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/>
  <workbookPr updateLinks="always"/>
  <mc:AlternateContent xmlns:mc="http://schemas.openxmlformats.org/markup-compatibility/2006">
    <mc:Choice Requires="x15">
      <x15ac:absPath xmlns:x15ac="http://schemas.microsoft.com/office/spreadsheetml/2010/11/ac" url="https://immaipu-my.sharepoint.com/personal/cadarosg_maipu_cl/Documents/REM/REM 2026/MARZO/CESFAM/Solange Angel/"/>
    </mc:Choice>
  </mc:AlternateContent>
  <xr:revisionPtr revIDLastSave="0" documentId="8_{F6253AEB-4489-4C4D-991B-889ABB9C51C3}" xr6:coauthVersionLast="47" xr6:coauthVersionMax="47" xr10:uidLastSave="{00000000-0000-0000-0000-000000000000}"/>
  <workbookProtection workbookAlgorithmName="SHA-512" workbookHashValue="fzjeEhjZ5ul/Ubj/nqeAGmyN1JF/OQi0ZQQNpSQuHRainJKAsrPi9K1hXd71zSLQ0+054zUZHYJhY9u1mRXRoA==" workbookSaltValue="9151dNKA+jWtnRjWmj3GQA==" workbookSpinCount="100000" lockStructure="1"/>
  <bookViews>
    <workbookView xWindow="-120" yWindow="-120" windowWidth="29040" windowHeight="15840" xr2:uid="{00000000-000D-0000-FFFF-FFFF00000000}"/>
  </bookViews>
  <sheets>
    <sheet name="NOMBRE" sheetId="1" r:id="rId1"/>
    <sheet name="A01" sheetId="2" r:id="rId2"/>
    <sheet name="A02" sheetId="3" r:id="rId3"/>
    <sheet name="A03" sheetId="4" r:id="rId4"/>
    <sheet name="A04" sheetId="5" r:id="rId5"/>
    <sheet name="A05" sheetId="6" r:id="rId6"/>
    <sheet name="A06" sheetId="7" r:id="rId7"/>
    <sheet name="A07" sheetId="8" r:id="rId8"/>
    <sheet name="A08" sheetId="9" r:id="rId9"/>
    <sheet name="A09" sheetId="10" r:id="rId10"/>
    <sheet name="A11" sheetId="11" r:id="rId11"/>
    <sheet name="A11a" sheetId="12" r:id="rId12"/>
    <sheet name="A19a" sheetId="13" r:id="rId13"/>
    <sheet name="A19b" sheetId="14" r:id="rId14"/>
    <sheet name="A21" sheetId="15" r:id="rId15"/>
    <sheet name="A23" sheetId="16" r:id="rId16"/>
    <sheet name="A24" sheetId="17" r:id="rId17"/>
    <sheet name="A25" sheetId="18" r:id="rId18"/>
    <sheet name="A26" sheetId="19" r:id="rId19"/>
    <sheet name="A27" sheetId="20" r:id="rId20"/>
    <sheet name="A28" sheetId="21" r:id="rId21"/>
    <sheet name="A29" sheetId="22" r:id="rId22"/>
    <sheet name="A30" sheetId="23" r:id="rId23"/>
    <sheet name="A30AR" sheetId="24" r:id="rId24"/>
    <sheet name="A31" sheetId="25" r:id="rId25"/>
    <sheet name="A32" sheetId="26" r:id="rId26"/>
    <sheet name="A33" sheetId="27" r:id="rId27"/>
    <sheet name="A34" sheetId="28" r:id="rId28"/>
    <sheet name="Control" sheetId="29" r:id="rId29"/>
    <sheet name="MACROS" sheetId="30" r:id="rId30"/>
  </sheets>
  <definedNames>
    <definedName name="_xleta.AND" hidden="1">#NAME?</definedName>
    <definedName name="_xleta.COLUMN" hidden="1">#NAME?</definedName>
    <definedName name="_xleta.IF" hidden="1">#NAME?</definedName>
    <definedName name="_xleta.LEN" hidden="1">#NAME?</definedName>
    <definedName name="_xleta.MATCH" hidden="1">#NAME?</definedName>
    <definedName name="_xleta.N" hidden="1">#NAME?</definedName>
    <definedName name="_xleta.NOT" hidden="1">#NAME?</definedName>
    <definedName name="_xleta.OR" hidden="1">#NAME?</definedName>
    <definedName name="_xleta.SUM" hidden="1">#NAME?</definedName>
    <definedName name="_xleta.T" hidden="1">#NAME?</definedName>
    <definedName name="_xleta.TRIM" hidden="1">#NAME?</definedName>
    <definedName name="_xleta.YEAR" hidden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21" i="29" l="1"/>
  <c r="G125" i="28"/>
  <c r="F125" i="28"/>
  <c r="E125" i="28"/>
  <c r="D125" i="28"/>
  <c r="C125" i="28"/>
  <c r="B125" i="28"/>
  <c r="CI105" i="28"/>
  <c r="CA105" i="28"/>
  <c r="Z105" i="28" s="1"/>
  <c r="CI104" i="28"/>
  <c r="CA104" i="28"/>
  <c r="Z104" i="28" s="1"/>
  <c r="B99" i="28"/>
  <c r="B98" i="28"/>
  <c r="B97" i="28"/>
  <c r="E94" i="28"/>
  <c r="D94" i="28"/>
  <c r="C94" i="28" s="1"/>
  <c r="E93" i="28"/>
  <c r="D93" i="28"/>
  <c r="C93" i="28"/>
  <c r="E92" i="28"/>
  <c r="D92" i="28"/>
  <c r="C92" i="28" s="1"/>
  <c r="CA91" i="28"/>
  <c r="W91" i="28" s="1"/>
  <c r="E91" i="28"/>
  <c r="D91" i="28"/>
  <c r="C91" i="28"/>
  <c r="CI91" i="28" s="1"/>
  <c r="E90" i="28"/>
  <c r="D90" i="28"/>
  <c r="C90" i="28" s="1"/>
  <c r="E89" i="28"/>
  <c r="D89" i="28"/>
  <c r="C89" i="28"/>
  <c r="E88" i="28"/>
  <c r="D88" i="28"/>
  <c r="C88" i="28" s="1"/>
  <c r="E87" i="28"/>
  <c r="D87" i="28"/>
  <c r="C87" i="28"/>
  <c r="E86" i="28"/>
  <c r="D86" i="28"/>
  <c r="C86" i="28" s="1"/>
  <c r="E71" i="28"/>
  <c r="D71" i="28"/>
  <c r="C71" i="28"/>
  <c r="E70" i="28"/>
  <c r="D70" i="28"/>
  <c r="C70" i="28" s="1"/>
  <c r="CA69" i="28"/>
  <c r="AK69" i="28" s="1"/>
  <c r="E69" i="28"/>
  <c r="D69" i="28"/>
  <c r="C69" i="28"/>
  <c r="CI69" i="28" s="1"/>
  <c r="E68" i="28"/>
  <c r="D68" i="28"/>
  <c r="E67" i="28"/>
  <c r="D67" i="28"/>
  <c r="C67" i="28"/>
  <c r="E66" i="28"/>
  <c r="D66" i="28"/>
  <c r="C66" i="28" s="1"/>
  <c r="CA65" i="28"/>
  <c r="AK65" i="28" s="1"/>
  <c r="E65" i="28"/>
  <c r="D65" i="28"/>
  <c r="C65" i="28"/>
  <c r="CI65" i="28" s="1"/>
  <c r="E64" i="28"/>
  <c r="D64" i="28"/>
  <c r="C64" i="28" s="1"/>
  <c r="AI58" i="28"/>
  <c r="T58" i="28"/>
  <c r="S58" i="28"/>
  <c r="R58" i="28"/>
  <c r="Q58" i="28"/>
  <c r="P58" i="28"/>
  <c r="O58" i="28"/>
  <c r="N58" i="28"/>
  <c r="M58" i="28"/>
  <c r="L58" i="28"/>
  <c r="K58" i="28"/>
  <c r="J58" i="28"/>
  <c r="I58" i="28"/>
  <c r="H58" i="28"/>
  <c r="G58" i="28"/>
  <c r="F58" i="28"/>
  <c r="E58" i="28"/>
  <c r="D58" i="28"/>
  <c r="D57" i="28"/>
  <c r="C57" i="28"/>
  <c r="B57" i="28"/>
  <c r="D56" i="28"/>
  <c r="C56" i="28"/>
  <c r="C58" i="28" s="1"/>
  <c r="B58" i="28" s="1"/>
  <c r="D55" i="28"/>
  <c r="C55" i="28"/>
  <c r="B55" i="28"/>
  <c r="AJ50" i="28"/>
  <c r="U50" i="28"/>
  <c r="T50" i="28"/>
  <c r="S50" i="28"/>
  <c r="R50" i="28"/>
  <c r="Q50" i="28"/>
  <c r="P50" i="28"/>
  <c r="O50" i="28"/>
  <c r="N50" i="28"/>
  <c r="M50" i="28"/>
  <c r="L50" i="28"/>
  <c r="K50" i="28"/>
  <c r="J50" i="28"/>
  <c r="I50" i="28"/>
  <c r="H50" i="28"/>
  <c r="G50" i="28"/>
  <c r="E50" i="28" s="1"/>
  <c r="F50" i="28"/>
  <c r="D50" i="28" s="1"/>
  <c r="E49" i="28"/>
  <c r="D49" i="28"/>
  <c r="E48" i="28"/>
  <c r="D48" i="28"/>
  <c r="C48" i="28"/>
  <c r="E47" i="28"/>
  <c r="D47" i="28"/>
  <c r="C47" i="28" s="1"/>
  <c r="AJ46" i="28"/>
  <c r="U46" i="28"/>
  <c r="T46" i="28"/>
  <c r="S46" i="28"/>
  <c r="R46" i="28"/>
  <c r="Q46" i="28"/>
  <c r="P46" i="28"/>
  <c r="O46" i="28"/>
  <c r="N46" i="28"/>
  <c r="M46" i="28"/>
  <c r="L46" i="28"/>
  <c r="K46" i="28"/>
  <c r="J46" i="28"/>
  <c r="I46" i="28"/>
  <c r="H46" i="28"/>
  <c r="G46" i="28"/>
  <c r="F46" i="28"/>
  <c r="E46" i="28"/>
  <c r="D46" i="28"/>
  <c r="CA45" i="28"/>
  <c r="AK45" i="28" s="1"/>
  <c r="E45" i="28"/>
  <c r="D45" i="28"/>
  <c r="C45" i="28"/>
  <c r="CI45" i="28" s="1"/>
  <c r="E44" i="28"/>
  <c r="D44" i="28"/>
  <c r="CA43" i="28"/>
  <c r="AK43" i="28" s="1"/>
  <c r="E43" i="28"/>
  <c r="D43" i="28"/>
  <c r="C43" i="28"/>
  <c r="CI43" i="28" s="1"/>
  <c r="E42" i="28"/>
  <c r="D42" i="28"/>
  <c r="CA41" i="28"/>
  <c r="AK41" i="28" s="1"/>
  <c r="E41" i="28"/>
  <c r="D41" i="28"/>
  <c r="C41" i="28"/>
  <c r="CI41" i="28" s="1"/>
  <c r="AJ40" i="28"/>
  <c r="U40" i="28"/>
  <c r="T40" i="28"/>
  <c r="S40" i="28"/>
  <c r="R40" i="28"/>
  <c r="Q40" i="28"/>
  <c r="P40" i="28"/>
  <c r="O40" i="28"/>
  <c r="N40" i="28"/>
  <c r="M40" i="28"/>
  <c r="L40" i="28"/>
  <c r="K40" i="28"/>
  <c r="J40" i="28"/>
  <c r="I40" i="28"/>
  <c r="H40" i="28"/>
  <c r="G40" i="28"/>
  <c r="E40" i="28" s="1"/>
  <c r="F40" i="28"/>
  <c r="D40" i="28" s="1"/>
  <c r="E39" i="28"/>
  <c r="D39" i="28"/>
  <c r="CA38" i="28"/>
  <c r="AK38" i="28" s="1"/>
  <c r="E38" i="28"/>
  <c r="D38" i="28"/>
  <c r="C38" i="28"/>
  <c r="CI38" i="28" s="1"/>
  <c r="E37" i="28"/>
  <c r="D37" i="28"/>
  <c r="CA36" i="28"/>
  <c r="AK36" i="28" s="1"/>
  <c r="E36" i="28"/>
  <c r="D36" i="28"/>
  <c r="C36" i="28"/>
  <c r="CI36" i="28" s="1"/>
  <c r="E35" i="28"/>
  <c r="D35" i="28"/>
  <c r="AJ34" i="28"/>
  <c r="U34" i="28"/>
  <c r="T34" i="28"/>
  <c r="S34" i="28"/>
  <c r="R34" i="28"/>
  <c r="Q34" i="28"/>
  <c r="P34" i="28"/>
  <c r="O34" i="28"/>
  <c r="N34" i="28"/>
  <c r="M34" i="28"/>
  <c r="L34" i="28"/>
  <c r="K34" i="28"/>
  <c r="J34" i="28"/>
  <c r="I34" i="28"/>
  <c r="H34" i="28"/>
  <c r="G34" i="28"/>
  <c r="F34" i="28"/>
  <c r="E34" i="28"/>
  <c r="D34" i="28"/>
  <c r="E33" i="28"/>
  <c r="D33" i="28"/>
  <c r="C33" i="28"/>
  <c r="E32" i="28"/>
  <c r="D32" i="28"/>
  <c r="C32" i="28" s="1"/>
  <c r="CA31" i="28"/>
  <c r="AK31" i="28" s="1"/>
  <c r="E31" i="28"/>
  <c r="D31" i="28"/>
  <c r="C31" i="28"/>
  <c r="CI31" i="28" s="1"/>
  <c r="E30" i="28"/>
  <c r="D30" i="28"/>
  <c r="E29" i="28"/>
  <c r="D29" i="28"/>
  <c r="C29" i="28"/>
  <c r="K24" i="28"/>
  <c r="J24" i="28"/>
  <c r="I24" i="28"/>
  <c r="H24" i="28"/>
  <c r="G24" i="28"/>
  <c r="F24" i="28"/>
  <c r="E24" i="28"/>
  <c r="D24" i="28"/>
  <c r="C24" i="28"/>
  <c r="B23" i="28"/>
  <c r="B22" i="28"/>
  <c r="B21" i="28"/>
  <c r="B24" i="28" s="1"/>
  <c r="AN16" i="28"/>
  <c r="AM16" i="28"/>
  <c r="AL16" i="28"/>
  <c r="AK16" i="28"/>
  <c r="AJ16" i="28"/>
  <c r="AI16" i="28"/>
  <c r="AH16" i="28"/>
  <c r="AG16" i="28"/>
  <c r="AF16" i="28"/>
  <c r="AE16" i="28"/>
  <c r="AD16" i="28"/>
  <c r="AC16" i="28"/>
  <c r="AB16" i="28"/>
  <c r="AA16" i="28"/>
  <c r="Z16" i="28"/>
  <c r="Y16" i="28"/>
  <c r="X16" i="28"/>
  <c r="W16" i="28"/>
  <c r="V16" i="28"/>
  <c r="U16" i="28"/>
  <c r="T16" i="28"/>
  <c r="S16" i="28"/>
  <c r="R16" i="28"/>
  <c r="Q16" i="28"/>
  <c r="P16" i="28"/>
  <c r="O16" i="28"/>
  <c r="N16" i="28"/>
  <c r="M16" i="28"/>
  <c r="L16" i="28"/>
  <c r="K16" i="28"/>
  <c r="J16" i="28"/>
  <c r="I16" i="28"/>
  <c r="H16" i="28"/>
  <c r="G16" i="28"/>
  <c r="F16" i="28"/>
  <c r="D16" i="28" s="1"/>
  <c r="C16" i="28" s="1"/>
  <c r="E16" i="28"/>
  <c r="E15" i="28"/>
  <c r="D15" i="28"/>
  <c r="C15" i="28" s="1"/>
  <c r="CI15" i="28" s="1"/>
  <c r="E14" i="28"/>
  <c r="C14" i="28" s="1"/>
  <c r="D14" i="28"/>
  <c r="CA13" i="28"/>
  <c r="AO13" i="28" s="1"/>
  <c r="E13" i="28"/>
  <c r="D13" i="28"/>
  <c r="C13" i="28" s="1"/>
  <c r="A5" i="28"/>
  <c r="A3" i="28"/>
  <c r="A2" i="28"/>
  <c r="K74" i="27"/>
  <c r="J74" i="27"/>
  <c r="I74" i="27"/>
  <c r="H74" i="27"/>
  <c r="G74" i="27"/>
  <c r="F74" i="27"/>
  <c r="E74" i="27"/>
  <c r="D74" i="27"/>
  <c r="C74" i="27"/>
  <c r="B74" i="27"/>
  <c r="D56" i="27"/>
  <c r="C56" i="27"/>
  <c r="CO51" i="27"/>
  <c r="CN51" i="27"/>
  <c r="CF51" i="27"/>
  <c r="CE51" i="27"/>
  <c r="E51" i="27"/>
  <c r="D51" i="27"/>
  <c r="CO50" i="27"/>
  <c r="CN50" i="27"/>
  <c r="CF50" i="27"/>
  <c r="CE50" i="27"/>
  <c r="E50" i="27"/>
  <c r="D50" i="27"/>
  <c r="C50" i="27"/>
  <c r="CO49" i="27"/>
  <c r="CN49" i="27"/>
  <c r="CF49" i="27"/>
  <c r="CE49" i="27"/>
  <c r="E49" i="27"/>
  <c r="C49" i="27" s="1"/>
  <c r="D49" i="27"/>
  <c r="CO48" i="27"/>
  <c r="CN48" i="27"/>
  <c r="CF48" i="27"/>
  <c r="CE48" i="27"/>
  <c r="E48" i="27"/>
  <c r="D48" i="27"/>
  <c r="CO47" i="27"/>
  <c r="CN47" i="27"/>
  <c r="CK47" i="27"/>
  <c r="CF47" i="27"/>
  <c r="CE47" i="27"/>
  <c r="CA47" i="27" a="1"/>
  <c r="CA47" i="27" s="1"/>
  <c r="E47" i="27"/>
  <c r="D47" i="27"/>
  <c r="C47" i="27"/>
  <c r="CO46" i="27"/>
  <c r="CN46" i="27"/>
  <c r="CF46" i="27"/>
  <c r="CE46" i="27"/>
  <c r="E46" i="27"/>
  <c r="D46" i="27"/>
  <c r="C46" i="27"/>
  <c r="CO45" i="27"/>
  <c r="CN45" i="27"/>
  <c r="CF45" i="27"/>
  <c r="CE45" i="27"/>
  <c r="E45" i="27"/>
  <c r="D45" i="27"/>
  <c r="C45" i="27" s="1"/>
  <c r="CO44" i="27"/>
  <c r="CN44" i="27"/>
  <c r="CF44" i="27"/>
  <c r="CE44" i="27"/>
  <c r="E44" i="27"/>
  <c r="D44" i="27"/>
  <c r="C44" i="27"/>
  <c r="CO43" i="27"/>
  <c r="CN43" i="27"/>
  <c r="CF43" i="27"/>
  <c r="CE43" i="27"/>
  <c r="E43" i="27"/>
  <c r="D43" i="27"/>
  <c r="C43" i="27" s="1"/>
  <c r="CO42" i="27"/>
  <c r="CN42" i="27"/>
  <c r="CF42" i="27"/>
  <c r="CE42" i="27"/>
  <c r="E42" i="27"/>
  <c r="C42" i="27" s="1"/>
  <c r="D42" i="27"/>
  <c r="CO41" i="27"/>
  <c r="CN41" i="27"/>
  <c r="CF41" i="27"/>
  <c r="CE41" i="27"/>
  <c r="E41" i="27"/>
  <c r="D41" i="27"/>
  <c r="CO40" i="27"/>
  <c r="CN40" i="27"/>
  <c r="CM40" i="27"/>
  <c r="CJ40" i="27" a="1"/>
  <c r="CJ40" i="27" s="1"/>
  <c r="BU40" i="27" s="1"/>
  <c r="CF40" i="27"/>
  <c r="CE40" i="27"/>
  <c r="CD40" i="27"/>
  <c r="CC40" i="27"/>
  <c r="E40" i="27"/>
  <c r="D40" i="27"/>
  <c r="CL40" i="27" s="1"/>
  <c r="C40" i="27"/>
  <c r="CO39" i="27"/>
  <c r="CN39" i="27"/>
  <c r="CF39" i="27"/>
  <c r="CE39" i="27"/>
  <c r="E39" i="27"/>
  <c r="D39" i="27"/>
  <c r="F34" i="27"/>
  <c r="E34" i="27"/>
  <c r="CK33" i="27"/>
  <c r="CC33" i="27"/>
  <c r="F33" i="27"/>
  <c r="E33" i="27"/>
  <c r="D33" i="27" s="1"/>
  <c r="CM32" i="27"/>
  <c r="CC32" i="27"/>
  <c r="CB32" i="27"/>
  <c r="F32" i="27"/>
  <c r="E32" i="27"/>
  <c r="D32" i="27" s="1"/>
  <c r="F31" i="27"/>
  <c r="E31" i="27"/>
  <c r="F30" i="27"/>
  <c r="E30" i="27"/>
  <c r="CK29" i="27"/>
  <c r="CC29" i="27"/>
  <c r="F29" i="27"/>
  <c r="E29" i="27"/>
  <c r="D29" i="27" s="1"/>
  <c r="F28" i="27"/>
  <c r="E28" i="27"/>
  <c r="CC27" i="27"/>
  <c r="F27" i="27"/>
  <c r="E27" i="27"/>
  <c r="D27" i="27" s="1"/>
  <c r="F26" i="27"/>
  <c r="E26" i="27"/>
  <c r="CM25" i="27"/>
  <c r="CL25" i="27"/>
  <c r="CK25" i="27"/>
  <c r="CB25" i="27"/>
  <c r="F25" i="27"/>
  <c r="E25" i="27"/>
  <c r="D25" i="27" s="1"/>
  <c r="F24" i="27"/>
  <c r="E24" i="27"/>
  <c r="CD23" i="27"/>
  <c r="CC23" i="27"/>
  <c r="F23" i="27"/>
  <c r="E23" i="27"/>
  <c r="D23" i="27" s="1"/>
  <c r="F22" i="27"/>
  <c r="E22" i="27"/>
  <c r="CC21" i="27"/>
  <c r="F21" i="27"/>
  <c r="E21" i="27"/>
  <c r="D21" i="27"/>
  <c r="CB20" i="27"/>
  <c r="F20" i="27"/>
  <c r="E20" i="27"/>
  <c r="D20" i="27"/>
  <c r="F19" i="27"/>
  <c r="E19" i="27"/>
  <c r="F18" i="27"/>
  <c r="D18" i="27" s="1"/>
  <c r="E18" i="27"/>
  <c r="CK17" i="27"/>
  <c r="F17" i="27"/>
  <c r="E17" i="27"/>
  <c r="D17" i="27" s="1"/>
  <c r="CC17" i="27" s="1"/>
  <c r="F16" i="27"/>
  <c r="E16" i="27"/>
  <c r="D16" i="27"/>
  <c r="CC16" i="27" s="1"/>
  <c r="CC15" i="27"/>
  <c r="CA15" i="27"/>
  <c r="F15" i="27"/>
  <c r="E15" i="27"/>
  <c r="D15" i="27" s="1"/>
  <c r="CK14" i="27"/>
  <c r="F14" i="27"/>
  <c r="D14" i="27" s="1"/>
  <c r="CL14" i="27" s="1"/>
  <c r="E14" i="27"/>
  <c r="CL13" i="27"/>
  <c r="CK13" i="27"/>
  <c r="CA13" i="27"/>
  <c r="F13" i="27"/>
  <c r="E13" i="27"/>
  <c r="D13" i="27"/>
  <c r="F12" i="27"/>
  <c r="E12" i="27"/>
  <c r="A5" i="27"/>
  <c r="A3" i="27"/>
  <c r="A2" i="27"/>
  <c r="B211" i="26"/>
  <c r="CL207" i="26"/>
  <c r="CB207" i="26"/>
  <c r="M207" i="26" s="1"/>
  <c r="CA207" i="26"/>
  <c r="B207" i="26"/>
  <c r="CK207" i="26" s="1"/>
  <c r="B206" i="26"/>
  <c r="CL202" i="26"/>
  <c r="CB202" i="26"/>
  <c r="CA202" i="26"/>
  <c r="V202" i="26"/>
  <c r="C202" i="26"/>
  <c r="CK202" i="26" s="1"/>
  <c r="CB201" i="26"/>
  <c r="C201" i="26"/>
  <c r="CL200" i="26"/>
  <c r="CB200" i="26"/>
  <c r="CA200" i="26"/>
  <c r="V200" i="26"/>
  <c r="C200" i="26"/>
  <c r="CK200" i="26" s="1"/>
  <c r="H196" i="26"/>
  <c r="C196" i="26"/>
  <c r="H195" i="26"/>
  <c r="C195" i="26"/>
  <c r="H194" i="26"/>
  <c r="C194" i="26"/>
  <c r="H193" i="26"/>
  <c r="C193" i="26"/>
  <c r="F189" i="26"/>
  <c r="B189" i="26"/>
  <c r="F188" i="26"/>
  <c r="B188" i="26"/>
  <c r="F187" i="26"/>
  <c r="B187" i="26"/>
  <c r="E183" i="26"/>
  <c r="B183" i="26"/>
  <c r="E182" i="26"/>
  <c r="B182" i="26"/>
  <c r="E178" i="26"/>
  <c r="B178" i="26"/>
  <c r="E177" i="26"/>
  <c r="B177" i="26"/>
  <c r="E176" i="26"/>
  <c r="B176" i="26"/>
  <c r="E175" i="26"/>
  <c r="B175" i="26"/>
  <c r="CM170" i="26"/>
  <c r="D170" i="26"/>
  <c r="C170" i="26"/>
  <c r="B170" i="26" s="1"/>
  <c r="D169" i="26"/>
  <c r="C169" i="26"/>
  <c r="B169" i="26"/>
  <c r="CM168" i="26"/>
  <c r="D168" i="26"/>
  <c r="C168" i="26"/>
  <c r="B168" i="26"/>
  <c r="CB163" i="26"/>
  <c r="E163" i="26"/>
  <c r="D163" i="26"/>
  <c r="C163" i="26" s="1"/>
  <c r="CB162" i="26"/>
  <c r="E162" i="26"/>
  <c r="D162" i="26"/>
  <c r="C162" i="26"/>
  <c r="E161" i="26"/>
  <c r="D161" i="26"/>
  <c r="C161" i="26"/>
  <c r="CM160" i="26"/>
  <c r="E160" i="26"/>
  <c r="D160" i="26"/>
  <c r="C160" i="26"/>
  <c r="CB159" i="26"/>
  <c r="E159" i="26"/>
  <c r="D159" i="26"/>
  <c r="C159" i="26" s="1"/>
  <c r="CA158" i="26"/>
  <c r="E158" i="26"/>
  <c r="D158" i="26"/>
  <c r="C158" i="26"/>
  <c r="E157" i="26"/>
  <c r="D157" i="26"/>
  <c r="C157" i="26" s="1"/>
  <c r="E156" i="26"/>
  <c r="D156" i="26"/>
  <c r="C156" i="26"/>
  <c r="AS151" i="26"/>
  <c r="AR151" i="26"/>
  <c r="AQ151" i="26"/>
  <c r="AP151" i="26"/>
  <c r="AO151" i="26"/>
  <c r="AN151" i="26"/>
  <c r="AM151" i="26"/>
  <c r="AL151" i="26"/>
  <c r="AK151" i="26"/>
  <c r="AJ151" i="26"/>
  <c r="AI151" i="26"/>
  <c r="AH151" i="26"/>
  <c r="AG151" i="26"/>
  <c r="AF151" i="26"/>
  <c r="AE151" i="26"/>
  <c r="AD151" i="26"/>
  <c r="AC151" i="26"/>
  <c r="AB151" i="26"/>
  <c r="AA151" i="26"/>
  <c r="Z151" i="26"/>
  <c r="Y151" i="26"/>
  <c r="X151" i="26"/>
  <c r="W151" i="26"/>
  <c r="V151" i="26"/>
  <c r="U151" i="26"/>
  <c r="T151" i="26"/>
  <c r="S151" i="26"/>
  <c r="R151" i="26"/>
  <c r="Q151" i="26"/>
  <c r="P151" i="26"/>
  <c r="O151" i="26"/>
  <c r="N151" i="26"/>
  <c r="M151" i="26"/>
  <c r="L151" i="26"/>
  <c r="K151" i="26"/>
  <c r="J151" i="26"/>
  <c r="I151" i="26"/>
  <c r="H151" i="26"/>
  <c r="G151" i="26"/>
  <c r="F151" i="26"/>
  <c r="CP150" i="26"/>
  <c r="CN150" i="26"/>
  <c r="CM150" i="26"/>
  <c r="CD150" i="26"/>
  <c r="CC150" i="26"/>
  <c r="E150" i="26"/>
  <c r="C150" i="26" s="1"/>
  <c r="D150" i="26"/>
  <c r="CP149" i="26"/>
  <c r="CD149" i="26"/>
  <c r="E149" i="26"/>
  <c r="C149" i="26" s="1"/>
  <c r="D149" i="26"/>
  <c r="CM148" i="26"/>
  <c r="CA148" i="26"/>
  <c r="E148" i="26"/>
  <c r="D148" i="26"/>
  <c r="C148" i="26"/>
  <c r="CM147" i="26"/>
  <c r="CA147" i="26"/>
  <c r="E147" i="26"/>
  <c r="C147" i="26" s="1"/>
  <c r="D147" i="26"/>
  <c r="CP146" i="26"/>
  <c r="CN146" i="26"/>
  <c r="CD146" i="26"/>
  <c r="CC146" i="26"/>
  <c r="E146" i="26"/>
  <c r="C146" i="26" s="1"/>
  <c r="D146" i="26"/>
  <c r="CL145" i="26"/>
  <c r="E145" i="26"/>
  <c r="C145" i="26" s="1"/>
  <c r="D145" i="26"/>
  <c r="CQ144" i="26"/>
  <c r="CP144" i="26"/>
  <c r="CL144" i="26"/>
  <c r="CE144" i="26"/>
  <c r="CC144" i="26"/>
  <c r="E144" i="26"/>
  <c r="D144" i="26"/>
  <c r="C144" i="26"/>
  <c r="CM143" i="26"/>
  <c r="CA143" i="26"/>
  <c r="E143" i="26"/>
  <c r="D143" i="26"/>
  <c r="C143" i="26"/>
  <c r="CP142" i="26"/>
  <c r="CD142" i="26"/>
  <c r="E142" i="26"/>
  <c r="C142" i="26" s="1"/>
  <c r="D142" i="26"/>
  <c r="CL141" i="26"/>
  <c r="E141" i="26"/>
  <c r="D141" i="26"/>
  <c r="D151" i="26" s="1"/>
  <c r="C141" i="26"/>
  <c r="AS140" i="26"/>
  <c r="AR140" i="26"/>
  <c r="AQ140" i="26"/>
  <c r="AP140" i="26"/>
  <c r="AO140" i="26"/>
  <c r="AN140" i="26"/>
  <c r="AM140" i="26"/>
  <c r="AL140" i="26"/>
  <c r="AK140" i="26"/>
  <c r="AJ140" i="26"/>
  <c r="AI140" i="26"/>
  <c r="AH140" i="26"/>
  <c r="AG140" i="26"/>
  <c r="AF140" i="26"/>
  <c r="AE140" i="26"/>
  <c r="AD140" i="26"/>
  <c r="AC140" i="26"/>
  <c r="AB140" i="26"/>
  <c r="AA140" i="26"/>
  <c r="Z140" i="26"/>
  <c r="Y140" i="26"/>
  <c r="X140" i="26"/>
  <c r="W140" i="26"/>
  <c r="V140" i="26"/>
  <c r="U140" i="26"/>
  <c r="T140" i="26"/>
  <c r="S140" i="26"/>
  <c r="R140" i="26"/>
  <c r="Q140" i="26"/>
  <c r="P140" i="26"/>
  <c r="O140" i="26"/>
  <c r="N140" i="26"/>
  <c r="M140" i="26"/>
  <c r="L140" i="26"/>
  <c r="K140" i="26"/>
  <c r="J140" i="26"/>
  <c r="I140" i="26"/>
  <c r="H140" i="26"/>
  <c r="G140" i="26"/>
  <c r="F140" i="26"/>
  <c r="CA139" i="26"/>
  <c r="E139" i="26"/>
  <c r="D139" i="26"/>
  <c r="C139" i="26"/>
  <c r="CM138" i="26"/>
  <c r="E138" i="26"/>
  <c r="D138" i="26"/>
  <c r="C138" i="26"/>
  <c r="CL137" i="26"/>
  <c r="E137" i="26"/>
  <c r="C137" i="26" s="1"/>
  <c r="CQ137" i="26" s="1"/>
  <c r="D137" i="26"/>
  <c r="CP136" i="26"/>
  <c r="CN136" i="26"/>
  <c r="CM136" i="26"/>
  <c r="CD136" i="26"/>
  <c r="CC136" i="26"/>
  <c r="E136" i="26"/>
  <c r="C136" i="26" s="1"/>
  <c r="D136" i="26"/>
  <c r="E135" i="26"/>
  <c r="C135" i="26" s="1"/>
  <c r="D135" i="26"/>
  <c r="CC134" i="26"/>
  <c r="E134" i="26"/>
  <c r="D134" i="26"/>
  <c r="C134" i="26"/>
  <c r="E133" i="26"/>
  <c r="C133" i="26" s="1"/>
  <c r="D133" i="26"/>
  <c r="CP132" i="26"/>
  <c r="CN132" i="26"/>
  <c r="CD132" i="26"/>
  <c r="CC132" i="26"/>
  <c r="E132" i="26"/>
  <c r="C132" i="26" s="1"/>
  <c r="D132" i="26"/>
  <c r="E131" i="26"/>
  <c r="D131" i="26"/>
  <c r="CQ130" i="26"/>
  <c r="CP130" i="26"/>
  <c r="CL130" i="26"/>
  <c r="CE130" i="26"/>
  <c r="CC130" i="26"/>
  <c r="E130" i="26"/>
  <c r="D130" i="26"/>
  <c r="D140" i="26" s="1"/>
  <c r="C130" i="26"/>
  <c r="CN125" i="26"/>
  <c r="CM125" i="26"/>
  <c r="CE125" i="26"/>
  <c r="CC125" i="26"/>
  <c r="B125" i="26"/>
  <c r="CQ124" i="26"/>
  <c r="CN124" i="26"/>
  <c r="CM124" i="26"/>
  <c r="CL124" i="26"/>
  <c r="CF124" i="26"/>
  <c r="CE124" i="26"/>
  <c r="CD124" i="26"/>
  <c r="CB124" i="26"/>
  <c r="CA124" i="26"/>
  <c r="B124" i="26"/>
  <c r="CQ123" i="26"/>
  <c r="CP123" i="26"/>
  <c r="CO123" i="26"/>
  <c r="CM123" i="26"/>
  <c r="CL123" i="26"/>
  <c r="CK123" i="26"/>
  <c r="CF123" i="26"/>
  <c r="CE123" i="26"/>
  <c r="CD123" i="26"/>
  <c r="CB123" i="26"/>
  <c r="CA123" i="26"/>
  <c r="B123" i="26"/>
  <c r="CN123" i="26" s="1"/>
  <c r="T118" i="26"/>
  <c r="S118" i="26"/>
  <c r="R118" i="26"/>
  <c r="Q118" i="26"/>
  <c r="P118" i="26"/>
  <c r="O118" i="26"/>
  <c r="N118" i="26"/>
  <c r="M118" i="26"/>
  <c r="L118" i="26"/>
  <c r="K118" i="26"/>
  <c r="J118" i="26"/>
  <c r="I118" i="26"/>
  <c r="H118" i="26"/>
  <c r="G118" i="26"/>
  <c r="F118" i="26"/>
  <c r="E118" i="26"/>
  <c r="D118" i="26"/>
  <c r="C118" i="26"/>
  <c r="CL117" i="26"/>
  <c r="CB117" i="26"/>
  <c r="B117" i="26"/>
  <c r="CG117" i="26" s="1"/>
  <c r="CL116" i="26"/>
  <c r="CE116" i="26"/>
  <c r="CB116" i="26"/>
  <c r="B116" i="26"/>
  <c r="X111" i="26"/>
  <c r="X110" i="26"/>
  <c r="X109" i="26"/>
  <c r="AU104" i="26"/>
  <c r="AT104" i="26"/>
  <c r="AS104" i="26"/>
  <c r="AR104" i="26"/>
  <c r="AQ104" i="26"/>
  <c r="AP104" i="26"/>
  <c r="AO104" i="26"/>
  <c r="AN104" i="26"/>
  <c r="AM104" i="26"/>
  <c r="AL104" i="26"/>
  <c r="AK104" i="26"/>
  <c r="AJ104" i="26"/>
  <c r="AI104" i="26"/>
  <c r="AH104" i="26"/>
  <c r="AG104" i="26"/>
  <c r="AF104" i="26"/>
  <c r="AE104" i="26"/>
  <c r="AD104" i="26"/>
  <c r="AC104" i="26"/>
  <c r="AB104" i="26"/>
  <c r="AA104" i="26"/>
  <c r="Z104" i="26"/>
  <c r="Y104" i="26"/>
  <c r="X104" i="26"/>
  <c r="W104" i="26"/>
  <c r="V104" i="26"/>
  <c r="U104" i="26"/>
  <c r="T104" i="26"/>
  <c r="S104" i="26"/>
  <c r="R104" i="26"/>
  <c r="Q104" i="26"/>
  <c r="P104" i="26"/>
  <c r="O104" i="26"/>
  <c r="N104" i="26"/>
  <c r="M104" i="26"/>
  <c r="L104" i="26"/>
  <c r="K104" i="26"/>
  <c r="J104" i="26"/>
  <c r="I104" i="26"/>
  <c r="H104" i="26"/>
  <c r="G104" i="26"/>
  <c r="F104" i="26"/>
  <c r="CP103" i="26"/>
  <c r="E103" i="26"/>
  <c r="C103" i="26" s="1"/>
  <c r="D103" i="26"/>
  <c r="CN102" i="26"/>
  <c r="E102" i="26"/>
  <c r="C102" i="26" s="1"/>
  <c r="D102" i="26"/>
  <c r="CL101" i="26"/>
  <c r="E101" i="26"/>
  <c r="D101" i="26"/>
  <c r="C101" i="26"/>
  <c r="CN100" i="26"/>
  <c r="CG100" i="26"/>
  <c r="CE100" i="26"/>
  <c r="CA100" i="26"/>
  <c r="E100" i="26"/>
  <c r="D100" i="26"/>
  <c r="C100" i="26"/>
  <c r="CP99" i="26"/>
  <c r="E99" i="26"/>
  <c r="C99" i="26" s="1"/>
  <c r="D99" i="26"/>
  <c r="CN98" i="26"/>
  <c r="E98" i="26"/>
  <c r="C98" i="26" s="1"/>
  <c r="D98" i="26"/>
  <c r="E97" i="26"/>
  <c r="E104" i="26" s="1"/>
  <c r="D97" i="26"/>
  <c r="C97" i="26"/>
  <c r="CN96" i="26"/>
  <c r="CM96" i="26"/>
  <c r="CG96" i="26"/>
  <c r="CE96" i="26"/>
  <c r="CB96" i="26"/>
  <c r="CA96" i="26"/>
  <c r="E96" i="26"/>
  <c r="C96" i="26" s="1"/>
  <c r="E95" i="26"/>
  <c r="D95" i="26"/>
  <c r="AS90" i="26"/>
  <c r="AR90" i="26"/>
  <c r="AQ90" i="26"/>
  <c r="AP90" i="26"/>
  <c r="AO90" i="26"/>
  <c r="AN90" i="26"/>
  <c r="AM90" i="26"/>
  <c r="AL90" i="26"/>
  <c r="AK90" i="26"/>
  <c r="AJ90" i="26"/>
  <c r="AI90" i="26"/>
  <c r="AH90" i="26"/>
  <c r="AG90" i="26"/>
  <c r="AF90" i="26"/>
  <c r="AD90" i="26"/>
  <c r="AC90" i="26"/>
  <c r="AB90" i="26"/>
  <c r="AA90" i="26"/>
  <c r="Y90" i="26"/>
  <c r="X90" i="26"/>
  <c r="W90" i="26"/>
  <c r="V90" i="26"/>
  <c r="U90" i="26"/>
  <c r="T90" i="26"/>
  <c r="S90" i="26"/>
  <c r="R90" i="26"/>
  <c r="Q90" i="26"/>
  <c r="P90" i="26"/>
  <c r="O90" i="26"/>
  <c r="N90" i="26"/>
  <c r="M90" i="26"/>
  <c r="L90" i="26"/>
  <c r="K90" i="26"/>
  <c r="J90" i="26"/>
  <c r="I90" i="26"/>
  <c r="H90" i="26"/>
  <c r="G90" i="26"/>
  <c r="F90" i="26"/>
  <c r="E90" i="26"/>
  <c r="D90" i="26"/>
  <c r="C90" i="26"/>
  <c r="CR89" i="26"/>
  <c r="CQ89" i="26"/>
  <c r="CP89" i="26"/>
  <c r="CN89" i="26"/>
  <c r="CM89" i="26"/>
  <c r="CH89" i="26"/>
  <c r="CG89" i="26"/>
  <c r="CF89" i="26"/>
  <c r="CD89" i="26"/>
  <c r="CC89" i="26"/>
  <c r="AE89" i="26"/>
  <c r="CB89" i="26" s="1"/>
  <c r="Z89" i="26"/>
  <c r="B89" i="26"/>
  <c r="CO89" i="26" s="1"/>
  <c r="CR88" i="26"/>
  <c r="CQ88" i="26"/>
  <c r="CP88" i="26"/>
  <c r="CN88" i="26"/>
  <c r="CM88" i="26"/>
  <c r="CH88" i="26"/>
  <c r="CG88" i="26"/>
  <c r="CF88" i="26"/>
  <c r="CD88" i="26"/>
  <c r="CC88" i="26"/>
  <c r="CB88" i="26"/>
  <c r="AE88" i="26"/>
  <c r="Z88" i="26"/>
  <c r="CL88" i="26" s="1"/>
  <c r="B88" i="26"/>
  <c r="CO88" i="26" s="1"/>
  <c r="CR87" i="26"/>
  <c r="CQ87" i="26"/>
  <c r="CP87" i="26"/>
  <c r="CN87" i="26"/>
  <c r="CM87" i="26"/>
  <c r="CH87" i="26"/>
  <c r="CG87" i="26"/>
  <c r="CF87" i="26"/>
  <c r="CD87" i="26"/>
  <c r="CC87" i="26"/>
  <c r="AE87" i="26"/>
  <c r="Z87" i="26"/>
  <c r="B87" i="26"/>
  <c r="CO87" i="26" s="1"/>
  <c r="CR86" i="26"/>
  <c r="CQ86" i="26"/>
  <c r="CP86" i="26"/>
  <c r="CN86" i="26"/>
  <c r="CM86" i="26"/>
  <c r="CL86" i="26"/>
  <c r="CH86" i="26"/>
  <c r="CG86" i="26"/>
  <c r="CF86" i="26"/>
  <c r="CD86" i="26"/>
  <c r="CC86" i="26"/>
  <c r="AE86" i="26"/>
  <c r="Z86" i="26"/>
  <c r="CB86" i="26" s="1"/>
  <c r="B86" i="26"/>
  <c r="CO86" i="26" s="1"/>
  <c r="CR85" i="26"/>
  <c r="CQ85" i="26"/>
  <c r="CP85" i="26"/>
  <c r="CN85" i="26"/>
  <c r="CM85" i="26"/>
  <c r="CH85" i="26"/>
  <c r="CG85" i="26"/>
  <c r="CF85" i="26"/>
  <c r="CD85" i="26"/>
  <c r="CC85" i="26"/>
  <c r="AE85" i="26"/>
  <c r="CB85" i="26" s="1"/>
  <c r="Z85" i="26"/>
  <c r="B85" i="26"/>
  <c r="CO85" i="26" s="1"/>
  <c r="CR84" i="26"/>
  <c r="CQ84" i="26"/>
  <c r="CP84" i="26"/>
  <c r="CN84" i="26"/>
  <c r="CM84" i="26"/>
  <c r="CH84" i="26"/>
  <c r="CG84" i="26"/>
  <c r="CF84" i="26"/>
  <c r="CD84" i="26"/>
  <c r="CC84" i="26"/>
  <c r="CB84" i="26"/>
  <c r="AE84" i="26"/>
  <c r="Z84" i="26"/>
  <c r="CL84" i="26" s="1"/>
  <c r="B84" i="26"/>
  <c r="CO84" i="26" s="1"/>
  <c r="CR83" i="26"/>
  <c r="CQ83" i="26"/>
  <c r="CP83" i="26"/>
  <c r="CN83" i="26"/>
  <c r="CM83" i="26"/>
  <c r="CH83" i="26"/>
  <c r="CG83" i="26"/>
  <c r="CF83" i="26"/>
  <c r="CD83" i="26"/>
  <c r="CC83" i="26"/>
  <c r="AE83" i="26"/>
  <c r="Z83" i="26"/>
  <c r="B83" i="26"/>
  <c r="CO83" i="26" s="1"/>
  <c r="CR82" i="26"/>
  <c r="CQ82" i="26"/>
  <c r="CP82" i="26"/>
  <c r="CN82" i="26"/>
  <c r="CM82" i="26"/>
  <c r="CL82" i="26"/>
  <c r="CH82" i="26"/>
  <c r="CG82" i="26"/>
  <c r="CF82" i="26"/>
  <c r="CD82" i="26"/>
  <c r="CC82" i="26"/>
  <c r="AE82" i="26"/>
  <c r="Z82" i="26"/>
  <c r="CB82" i="26" s="1"/>
  <c r="B82" i="26"/>
  <c r="CO82" i="26" s="1"/>
  <c r="CR81" i="26"/>
  <c r="CQ81" i="26"/>
  <c r="CP81" i="26"/>
  <c r="CN81" i="26"/>
  <c r="CM81" i="26"/>
  <c r="CH81" i="26"/>
  <c r="CG81" i="26"/>
  <c r="CF81" i="26"/>
  <c r="CD81" i="26"/>
  <c r="CC81" i="26"/>
  <c r="AE81" i="26"/>
  <c r="CB81" i="26" s="1"/>
  <c r="Z81" i="26"/>
  <c r="B81" i="26"/>
  <c r="CO81" i="26" s="1"/>
  <c r="CR80" i="26"/>
  <c r="CQ80" i="26"/>
  <c r="CP80" i="26"/>
  <c r="CN80" i="26"/>
  <c r="CM80" i="26"/>
  <c r="CH80" i="26"/>
  <c r="CG80" i="26"/>
  <c r="CF80" i="26"/>
  <c r="CD80" i="26"/>
  <c r="CC80" i="26"/>
  <c r="CB80" i="26"/>
  <c r="AE80" i="26"/>
  <c r="Z80" i="26"/>
  <c r="CL80" i="26" s="1"/>
  <c r="B80" i="26"/>
  <c r="CO80" i="26" s="1"/>
  <c r="CR79" i="26"/>
  <c r="CQ79" i="26"/>
  <c r="CP79" i="26"/>
  <c r="CN79" i="26"/>
  <c r="CM79" i="26"/>
  <c r="CH79" i="26"/>
  <c r="CG79" i="26"/>
  <c r="CF79" i="26"/>
  <c r="CD79" i="26"/>
  <c r="CC79" i="26"/>
  <c r="AE79" i="26"/>
  <c r="Z79" i="26"/>
  <c r="B79" i="26"/>
  <c r="CO79" i="26" s="1"/>
  <c r="CR78" i="26"/>
  <c r="CQ78" i="26"/>
  <c r="CP78" i="26"/>
  <c r="CN78" i="26"/>
  <c r="CM78" i="26"/>
  <c r="CL78" i="26"/>
  <c r="CH78" i="26"/>
  <c r="CG78" i="26"/>
  <c r="CF78" i="26"/>
  <c r="CD78" i="26"/>
  <c r="CC78" i="26"/>
  <c r="AE78" i="26"/>
  <c r="Z78" i="26"/>
  <c r="CB78" i="26" s="1"/>
  <c r="B78" i="26"/>
  <c r="CO78" i="26" s="1"/>
  <c r="CR77" i="26"/>
  <c r="CQ77" i="26"/>
  <c r="CP77" i="26"/>
  <c r="CN77" i="26"/>
  <c r="CM77" i="26"/>
  <c r="CH77" i="26"/>
  <c r="CG77" i="26"/>
  <c r="CF77" i="26"/>
  <c r="CD77" i="26"/>
  <c r="CC77" i="26"/>
  <c r="AE77" i="26"/>
  <c r="CB77" i="26" s="1"/>
  <c r="Z77" i="26"/>
  <c r="B77" i="26"/>
  <c r="CO77" i="26" s="1"/>
  <c r="CR76" i="26"/>
  <c r="CQ76" i="26"/>
  <c r="CP76" i="26"/>
  <c r="CN76" i="26"/>
  <c r="CM76" i="26"/>
  <c r="CH76" i="26"/>
  <c r="CG76" i="26"/>
  <c r="CF76" i="26"/>
  <c r="CD76" i="26"/>
  <c r="CC76" i="26"/>
  <c r="CB76" i="26"/>
  <c r="AE76" i="26"/>
  <c r="Z76" i="26"/>
  <c r="CL76" i="26" s="1"/>
  <c r="B76" i="26"/>
  <c r="CO76" i="26" s="1"/>
  <c r="CR75" i="26"/>
  <c r="CQ75" i="26"/>
  <c r="CP75" i="26"/>
  <c r="CN75" i="26"/>
  <c r="CM75" i="26"/>
  <c r="CH75" i="26"/>
  <c r="CG75" i="26"/>
  <c r="CF75" i="26"/>
  <c r="CD75" i="26"/>
  <c r="CC75" i="26"/>
  <c r="AE75" i="26"/>
  <c r="Z75" i="26"/>
  <c r="B75" i="26"/>
  <c r="CO75" i="26" s="1"/>
  <c r="CR74" i="26"/>
  <c r="CQ74" i="26"/>
  <c r="CP74" i="26"/>
  <c r="CN74" i="26"/>
  <c r="CM74" i="26"/>
  <c r="CL74" i="26"/>
  <c r="CH74" i="26"/>
  <c r="CG74" i="26"/>
  <c r="CF74" i="26"/>
  <c r="CD74" i="26"/>
  <c r="CC74" i="26"/>
  <c r="AE74" i="26"/>
  <c r="Z74" i="26"/>
  <c r="CB74" i="26" s="1"/>
  <c r="B74" i="26"/>
  <c r="CO74" i="26" s="1"/>
  <c r="CR73" i="26"/>
  <c r="CQ73" i="26"/>
  <c r="CP73" i="26"/>
  <c r="CN73" i="26"/>
  <c r="CM73" i="26"/>
  <c r="CH73" i="26"/>
  <c r="CG73" i="26"/>
  <c r="CF73" i="26"/>
  <c r="CD73" i="26"/>
  <c r="CC73" i="26"/>
  <c r="AE73" i="26"/>
  <c r="CB73" i="26" s="1"/>
  <c r="Z73" i="26"/>
  <c r="B73" i="26"/>
  <c r="CO73" i="26" s="1"/>
  <c r="CR72" i="26"/>
  <c r="CQ72" i="26"/>
  <c r="CP72" i="26"/>
  <c r="CN72" i="26"/>
  <c r="CM72" i="26"/>
  <c r="CH72" i="26"/>
  <c r="CG72" i="26"/>
  <c r="CF72" i="26"/>
  <c r="CD72" i="26"/>
  <c r="CC72" i="26"/>
  <c r="CB72" i="26"/>
  <c r="AE72" i="26"/>
  <c r="Z72" i="26"/>
  <c r="CL72" i="26" s="1"/>
  <c r="B72" i="26"/>
  <c r="CO72" i="26" s="1"/>
  <c r="CR71" i="26"/>
  <c r="CQ71" i="26"/>
  <c r="CP71" i="26"/>
  <c r="CN71" i="26"/>
  <c r="CM71" i="26"/>
  <c r="CH71" i="26"/>
  <c r="CG71" i="26"/>
  <c r="CF71" i="26"/>
  <c r="CD71" i="26"/>
  <c r="CC71" i="26"/>
  <c r="AE71" i="26"/>
  <c r="Z71" i="26"/>
  <c r="B71" i="26"/>
  <c r="CO71" i="26" s="1"/>
  <c r="CR70" i="26"/>
  <c r="CQ70" i="26"/>
  <c r="CP70" i="26"/>
  <c r="CN70" i="26"/>
  <c r="CM70" i="26"/>
  <c r="CL70" i="26"/>
  <c r="CH70" i="26"/>
  <c r="CG70" i="26"/>
  <c r="CF70" i="26"/>
  <c r="CD70" i="26"/>
  <c r="CC70" i="26"/>
  <c r="AE70" i="26"/>
  <c r="Z70" i="26"/>
  <c r="CB70" i="26" s="1"/>
  <c r="B70" i="26"/>
  <c r="CO70" i="26" s="1"/>
  <c r="CR69" i="26"/>
  <c r="CQ69" i="26"/>
  <c r="CP69" i="26"/>
  <c r="CN69" i="26"/>
  <c r="CM69" i="26"/>
  <c r="CH69" i="26"/>
  <c r="CG69" i="26"/>
  <c r="CF69" i="26"/>
  <c r="CD69" i="26"/>
  <c r="CC69" i="26"/>
  <c r="AE69" i="26"/>
  <c r="CB69" i="26" s="1"/>
  <c r="Z69" i="26"/>
  <c r="B69" i="26"/>
  <c r="CO69" i="26" s="1"/>
  <c r="CR68" i="26"/>
  <c r="CQ68" i="26"/>
  <c r="CP68" i="26"/>
  <c r="CN68" i="26"/>
  <c r="CM68" i="26"/>
  <c r="CH68" i="26"/>
  <c r="CG68" i="26"/>
  <c r="CF68" i="26"/>
  <c r="CD68" i="26"/>
  <c r="CC68" i="26"/>
  <c r="CB68" i="26"/>
  <c r="AE68" i="26"/>
  <c r="Z68" i="26"/>
  <c r="CL68" i="26" s="1"/>
  <c r="B68" i="26"/>
  <c r="CO68" i="26" s="1"/>
  <c r="CR67" i="26"/>
  <c r="CQ67" i="26"/>
  <c r="CP67" i="26"/>
  <c r="CN67" i="26"/>
  <c r="CM67" i="26"/>
  <c r="CH67" i="26"/>
  <c r="CG67" i="26"/>
  <c r="CF67" i="26"/>
  <c r="CD67" i="26"/>
  <c r="CC67" i="26"/>
  <c r="AE67" i="26"/>
  <c r="Z67" i="26"/>
  <c r="B67" i="26"/>
  <c r="CO67" i="26" s="1"/>
  <c r="CR66" i="26"/>
  <c r="CQ66" i="26"/>
  <c r="CP66" i="26"/>
  <c r="CN66" i="26"/>
  <c r="CM66" i="26"/>
  <c r="CL66" i="26"/>
  <c r="CH66" i="26"/>
  <c r="CG66" i="26"/>
  <c r="CF66" i="26"/>
  <c r="CD66" i="26"/>
  <c r="CC66" i="26"/>
  <c r="AE66" i="26"/>
  <c r="Z66" i="26"/>
  <c r="CB66" i="26" s="1"/>
  <c r="B66" i="26"/>
  <c r="CO66" i="26" s="1"/>
  <c r="CR65" i="26"/>
  <c r="CQ65" i="26"/>
  <c r="CP65" i="26"/>
  <c r="CN65" i="26"/>
  <c r="CM65" i="26"/>
  <c r="CH65" i="26"/>
  <c r="CG65" i="26"/>
  <c r="CF65" i="26"/>
  <c r="CD65" i="26"/>
  <c r="CC65" i="26"/>
  <c r="AE65" i="26"/>
  <c r="CB65" i="26" s="1"/>
  <c r="Z65" i="26"/>
  <c r="B65" i="26"/>
  <c r="CO65" i="26" s="1"/>
  <c r="CR64" i="26"/>
  <c r="CQ64" i="26"/>
  <c r="CP64" i="26"/>
  <c r="CN64" i="26"/>
  <c r="CM64" i="26"/>
  <c r="CH64" i="26"/>
  <c r="CG64" i="26"/>
  <c r="CF64" i="26"/>
  <c r="CD64" i="26"/>
  <c r="CC64" i="26"/>
  <c r="CB64" i="26"/>
  <c r="AE64" i="26"/>
  <c r="Z64" i="26"/>
  <c r="CL64" i="26" s="1"/>
  <c r="B64" i="26"/>
  <c r="CO64" i="26" s="1"/>
  <c r="CR63" i="26"/>
  <c r="CQ63" i="26"/>
  <c r="CP63" i="26"/>
  <c r="CN63" i="26"/>
  <c r="CM63" i="26"/>
  <c r="CH63" i="26"/>
  <c r="CG63" i="26"/>
  <c r="CF63" i="26"/>
  <c r="CD63" i="26"/>
  <c r="CC63" i="26"/>
  <c r="AE63" i="26"/>
  <c r="Z63" i="26"/>
  <c r="B63" i="26"/>
  <c r="CO63" i="26" s="1"/>
  <c r="CR62" i="26"/>
  <c r="CQ62" i="26"/>
  <c r="CP62" i="26"/>
  <c r="CN62" i="26"/>
  <c r="CM62" i="26"/>
  <c r="CL62" i="26"/>
  <c r="CH62" i="26"/>
  <c r="CG62" i="26"/>
  <c r="CF62" i="26"/>
  <c r="CD62" i="26"/>
  <c r="CC62" i="26"/>
  <c r="AE62" i="26"/>
  <c r="Z62" i="26"/>
  <c r="CB62" i="26" s="1"/>
  <c r="B62" i="26"/>
  <c r="CO62" i="26" s="1"/>
  <c r="CR61" i="26"/>
  <c r="CQ61" i="26"/>
  <c r="CP61" i="26"/>
  <c r="CN61" i="26"/>
  <c r="CM61" i="26"/>
  <c r="CH61" i="26"/>
  <c r="CG61" i="26"/>
  <c r="CF61" i="26"/>
  <c r="CD61" i="26"/>
  <c r="CC61" i="26"/>
  <c r="AE61" i="26"/>
  <c r="CB61" i="26" s="1"/>
  <c r="Z61" i="26"/>
  <c r="B61" i="26"/>
  <c r="CO61" i="26" s="1"/>
  <c r="CR60" i="26"/>
  <c r="CQ60" i="26"/>
  <c r="CP60" i="26"/>
  <c r="CN60" i="26"/>
  <c r="CM60" i="26"/>
  <c r="CH60" i="26"/>
  <c r="CG60" i="26"/>
  <c r="CF60" i="26"/>
  <c r="CD60" i="26"/>
  <c r="CC60" i="26"/>
  <c r="CB60" i="26"/>
  <c r="AE60" i="26"/>
  <c r="Z60" i="26"/>
  <c r="CL60" i="26" s="1"/>
  <c r="B60" i="26"/>
  <c r="CO60" i="26" s="1"/>
  <c r="CR59" i="26"/>
  <c r="CQ59" i="26"/>
  <c r="CP59" i="26"/>
  <c r="CN59" i="26"/>
  <c r="CM59" i="26"/>
  <c r="CH59" i="26"/>
  <c r="CG59" i="26"/>
  <c r="CF59" i="26"/>
  <c r="CD59" i="26"/>
  <c r="CC59" i="26"/>
  <c r="AE59" i="26"/>
  <c r="Z59" i="26"/>
  <c r="B59" i="26"/>
  <c r="CO59" i="26" s="1"/>
  <c r="CR58" i="26"/>
  <c r="CQ58" i="26"/>
  <c r="CP58" i="26"/>
  <c r="CN58" i="26"/>
  <c r="CM58" i="26"/>
  <c r="CL58" i="26"/>
  <c r="CH58" i="26"/>
  <c r="CG58" i="26"/>
  <c r="CF58" i="26"/>
  <c r="CD58" i="26"/>
  <c r="CC58" i="26"/>
  <c r="AE58" i="26"/>
  <c r="Z58" i="26"/>
  <c r="CB58" i="26" s="1"/>
  <c r="B58" i="26"/>
  <c r="CO58" i="26" s="1"/>
  <c r="CR57" i="26"/>
  <c r="CQ57" i="26"/>
  <c r="CP57" i="26"/>
  <c r="CN57" i="26"/>
  <c r="CM57" i="26"/>
  <c r="CH57" i="26"/>
  <c r="CG57" i="26"/>
  <c r="CF57" i="26"/>
  <c r="CD57" i="26"/>
  <c r="CC57" i="26"/>
  <c r="AE57" i="26"/>
  <c r="CB57" i="26" s="1"/>
  <c r="Z57" i="26"/>
  <c r="B57" i="26"/>
  <c r="CO57" i="26" s="1"/>
  <c r="CR56" i="26"/>
  <c r="CQ56" i="26"/>
  <c r="CP56" i="26"/>
  <c r="CN56" i="26"/>
  <c r="CM56" i="26"/>
  <c r="CH56" i="26"/>
  <c r="CG56" i="26"/>
  <c r="CF56" i="26"/>
  <c r="CD56" i="26"/>
  <c r="CC56" i="26"/>
  <c r="CB56" i="26"/>
  <c r="AE56" i="26"/>
  <c r="Z56" i="26"/>
  <c r="CL56" i="26" s="1"/>
  <c r="B56" i="26"/>
  <c r="CO56" i="26" s="1"/>
  <c r="CR55" i="26"/>
  <c r="CQ55" i="26"/>
  <c r="CP55" i="26"/>
  <c r="CN55" i="26"/>
  <c r="CM55" i="26"/>
  <c r="CH55" i="26"/>
  <c r="CG55" i="26"/>
  <c r="CF55" i="26"/>
  <c r="CD55" i="26"/>
  <c r="CC55" i="26"/>
  <c r="AE55" i="26"/>
  <c r="Z55" i="26"/>
  <c r="B55" i="26"/>
  <c r="CO55" i="26" s="1"/>
  <c r="CR54" i="26"/>
  <c r="CQ54" i="26"/>
  <c r="CP54" i="26"/>
  <c r="CN54" i="26"/>
  <c r="CM54" i="26"/>
  <c r="CL54" i="26"/>
  <c r="CH54" i="26"/>
  <c r="CG54" i="26"/>
  <c r="CF54" i="26"/>
  <c r="CD54" i="26"/>
  <c r="CC54" i="26"/>
  <c r="AE54" i="26"/>
  <c r="Z54" i="26"/>
  <c r="CB54" i="26" s="1"/>
  <c r="B54" i="26"/>
  <c r="CO54" i="26" s="1"/>
  <c r="CR53" i="26"/>
  <c r="CQ53" i="26"/>
  <c r="CP53" i="26"/>
  <c r="CN53" i="26"/>
  <c r="CM53" i="26"/>
  <c r="CH53" i="26"/>
  <c r="CG53" i="26"/>
  <c r="CF53" i="26"/>
  <c r="CD53" i="26"/>
  <c r="CC53" i="26"/>
  <c r="AE53" i="26"/>
  <c r="CB53" i="26" s="1"/>
  <c r="Z53" i="26"/>
  <c r="B53" i="26"/>
  <c r="CO53" i="26" s="1"/>
  <c r="CR52" i="26"/>
  <c r="CQ52" i="26"/>
  <c r="CP52" i="26"/>
  <c r="CN52" i="26"/>
  <c r="CM52" i="26"/>
  <c r="CH52" i="26"/>
  <c r="CG52" i="26"/>
  <c r="CF52" i="26"/>
  <c r="CD52" i="26"/>
  <c r="CC52" i="26"/>
  <c r="CB52" i="26"/>
  <c r="AE52" i="26"/>
  <c r="Z52" i="26"/>
  <c r="CL52" i="26" s="1"/>
  <c r="B52" i="26"/>
  <c r="CO52" i="26" s="1"/>
  <c r="CR51" i="26"/>
  <c r="CQ51" i="26"/>
  <c r="CP51" i="26"/>
  <c r="CN51" i="26"/>
  <c r="CM51" i="26"/>
  <c r="CH51" i="26"/>
  <c r="CG51" i="26"/>
  <c r="CF51" i="26"/>
  <c r="CD51" i="26"/>
  <c r="CC51" i="26"/>
  <c r="AE51" i="26"/>
  <c r="Z51" i="26"/>
  <c r="B51" i="26"/>
  <c r="CO51" i="26" s="1"/>
  <c r="CR50" i="26"/>
  <c r="CQ50" i="26"/>
  <c r="CP50" i="26"/>
  <c r="CN50" i="26"/>
  <c r="CM50" i="26"/>
  <c r="CL50" i="26"/>
  <c r="CH50" i="26"/>
  <c r="CG50" i="26"/>
  <c r="CF50" i="26"/>
  <c r="CD50" i="26"/>
  <c r="CC50" i="26"/>
  <c r="AE50" i="26"/>
  <c r="Z50" i="26"/>
  <c r="CB50" i="26" s="1"/>
  <c r="B50" i="26"/>
  <c r="CO50" i="26" s="1"/>
  <c r="CR49" i="26"/>
  <c r="CQ49" i="26"/>
  <c r="CP49" i="26"/>
  <c r="CN49" i="26"/>
  <c r="CM49" i="26"/>
  <c r="CH49" i="26"/>
  <c r="CG49" i="26"/>
  <c r="CF49" i="26"/>
  <c r="CD49" i="26"/>
  <c r="CC49" i="26"/>
  <c r="AE49" i="26"/>
  <c r="CB49" i="26" s="1"/>
  <c r="Z49" i="26"/>
  <c r="B49" i="26"/>
  <c r="CO49" i="26" s="1"/>
  <c r="CR48" i="26"/>
  <c r="CQ48" i="26"/>
  <c r="CP48" i="26"/>
  <c r="CN48" i="26"/>
  <c r="CM48" i="26"/>
  <c r="CH48" i="26"/>
  <c r="CG48" i="26"/>
  <c r="CF48" i="26"/>
  <c r="CD48" i="26"/>
  <c r="CC48" i="26"/>
  <c r="CB48" i="26"/>
  <c r="AE48" i="26"/>
  <c r="Z48" i="26"/>
  <c r="CL48" i="26" s="1"/>
  <c r="B48" i="26"/>
  <c r="CO48" i="26" s="1"/>
  <c r="CQ47" i="26"/>
  <c r="CK47" i="26"/>
  <c r="CD47" i="26"/>
  <c r="AE47" i="26"/>
  <c r="Z47" i="26"/>
  <c r="CB47" i="26" s="1"/>
  <c r="B47" i="26"/>
  <c r="CL47" i="26" s="1"/>
  <c r="CP46" i="26"/>
  <c r="CK46" i="26"/>
  <c r="CD46" i="26"/>
  <c r="AE46" i="26"/>
  <c r="Z46" i="26"/>
  <c r="CB46" i="26" s="1"/>
  <c r="B46" i="26"/>
  <c r="CR46" i="26" s="1"/>
  <c r="CP45" i="26"/>
  <c r="CK45" i="26"/>
  <c r="CD45" i="26"/>
  <c r="AE45" i="26"/>
  <c r="Z45" i="26"/>
  <c r="CB45" i="26" s="1"/>
  <c r="B45" i="26"/>
  <c r="CR45" i="26" s="1"/>
  <c r="CP44" i="26"/>
  <c r="CK44" i="26"/>
  <c r="CD44" i="26"/>
  <c r="AE44" i="26"/>
  <c r="Z44" i="26"/>
  <c r="CB44" i="26" s="1"/>
  <c r="B44" i="26"/>
  <c r="CR44" i="26" s="1"/>
  <c r="CP43" i="26"/>
  <c r="CK43" i="26"/>
  <c r="CD43" i="26"/>
  <c r="AE43" i="26"/>
  <c r="Z43" i="26"/>
  <c r="CB43" i="26" s="1"/>
  <c r="B43" i="26"/>
  <c r="CR43" i="26" s="1"/>
  <c r="CP42" i="26"/>
  <c r="CK42" i="26"/>
  <c r="CD42" i="26"/>
  <c r="AE42" i="26"/>
  <c r="Z42" i="26"/>
  <c r="CB42" i="26" s="1"/>
  <c r="B42" i="26"/>
  <c r="CR42" i="26" s="1"/>
  <c r="CP41" i="26"/>
  <c r="CK41" i="26"/>
  <c r="CD41" i="26"/>
  <c r="AE41" i="26"/>
  <c r="Z41" i="26"/>
  <c r="CB41" i="26" s="1"/>
  <c r="B41" i="26"/>
  <c r="CR41" i="26" s="1"/>
  <c r="CP40" i="26"/>
  <c r="CK40" i="26"/>
  <c r="CD40" i="26"/>
  <c r="AE40" i="26"/>
  <c r="Z40" i="26"/>
  <c r="CB40" i="26" s="1"/>
  <c r="B40" i="26"/>
  <c r="CR40" i="26" s="1"/>
  <c r="CP39" i="26"/>
  <c r="CK39" i="26"/>
  <c r="CD39" i="26"/>
  <c r="AE39" i="26"/>
  <c r="Z39" i="26"/>
  <c r="CB39" i="26" s="1"/>
  <c r="B39" i="26"/>
  <c r="CR39" i="26" s="1"/>
  <c r="CP38" i="26"/>
  <c r="CK38" i="26"/>
  <c r="CD38" i="26"/>
  <c r="AE38" i="26"/>
  <c r="Z38" i="26"/>
  <c r="CB38" i="26" s="1"/>
  <c r="B38" i="26"/>
  <c r="CR38" i="26" s="1"/>
  <c r="CP37" i="26"/>
  <c r="CK37" i="26"/>
  <c r="CD37" i="26"/>
  <c r="AE37" i="26"/>
  <c r="Z37" i="26"/>
  <c r="CB37" i="26" s="1"/>
  <c r="B37" i="26"/>
  <c r="CR37" i="26" s="1"/>
  <c r="CP36" i="26"/>
  <c r="CK36" i="26"/>
  <c r="CD36" i="26"/>
  <c r="AE36" i="26"/>
  <c r="Z36" i="26"/>
  <c r="CB36" i="26" s="1"/>
  <c r="B36" i="26"/>
  <c r="CR36" i="26" s="1"/>
  <c r="CP35" i="26"/>
  <c r="CK35" i="26"/>
  <c r="CD35" i="26"/>
  <c r="AE35" i="26"/>
  <c r="Z35" i="26"/>
  <c r="CL35" i="26" s="1"/>
  <c r="B35" i="26"/>
  <c r="CR35" i="26" s="1"/>
  <c r="CK29" i="26"/>
  <c r="B29" i="26"/>
  <c r="CB28" i="26"/>
  <c r="B28" i="26"/>
  <c r="CC28" i="26" s="1"/>
  <c r="E24" i="26"/>
  <c r="D24" i="26"/>
  <c r="C24" i="26"/>
  <c r="B23" i="26"/>
  <c r="B22" i="26"/>
  <c r="B21" i="26"/>
  <c r="B20" i="26"/>
  <c r="B24" i="26" s="1"/>
  <c r="B19" i="26"/>
  <c r="Z16" i="26"/>
  <c r="Y16" i="26"/>
  <c r="X16" i="26"/>
  <c r="W16" i="26"/>
  <c r="V16" i="26"/>
  <c r="U16" i="26"/>
  <c r="T16" i="26"/>
  <c r="S16" i="26"/>
  <c r="R16" i="26"/>
  <c r="Q16" i="26"/>
  <c r="P16" i="26"/>
  <c r="O16" i="26"/>
  <c r="N16" i="26"/>
  <c r="M16" i="26"/>
  <c r="L16" i="26"/>
  <c r="K16" i="26"/>
  <c r="J16" i="26"/>
  <c r="I16" i="26"/>
  <c r="H16" i="26"/>
  <c r="G16" i="26"/>
  <c r="F16" i="26"/>
  <c r="E16" i="26"/>
  <c r="D16" i="26"/>
  <c r="C16" i="26"/>
  <c r="CP15" i="26"/>
  <c r="CK15" i="26"/>
  <c r="CB15" i="26"/>
  <c r="B15" i="26"/>
  <c r="CL15" i="26" s="1"/>
  <c r="CP14" i="26"/>
  <c r="CN14" i="26"/>
  <c r="CM14" i="26"/>
  <c r="CL14" i="26"/>
  <c r="CF14" i="26"/>
  <c r="CE14" i="26"/>
  <c r="CD14" i="26"/>
  <c r="CB14" i="26"/>
  <c r="CA14" i="26"/>
  <c r="B14" i="26"/>
  <c r="CO14" i="26" s="1"/>
  <c r="CN13" i="26"/>
  <c r="CD13" i="26"/>
  <c r="B13" i="26"/>
  <c r="CP12" i="26"/>
  <c r="CN12" i="26"/>
  <c r="CM12" i="26"/>
  <c r="CL12" i="26"/>
  <c r="CF12" i="26"/>
  <c r="CE12" i="26"/>
  <c r="CD12" i="26"/>
  <c r="CB12" i="26"/>
  <c r="CA12" i="26"/>
  <c r="B12" i="26"/>
  <c r="CO12" i="26" s="1"/>
  <c r="CP11" i="26"/>
  <c r="CK11" i="26"/>
  <c r="CB11" i="26"/>
  <c r="B11" i="26"/>
  <c r="CL11" i="26" s="1"/>
  <c r="A5" i="26"/>
  <c r="A3" i="26"/>
  <c r="A2" i="26"/>
  <c r="B91" i="25"/>
  <c r="B90" i="25"/>
  <c r="B89" i="25"/>
  <c r="T85" i="25"/>
  <c r="S85" i="25"/>
  <c r="R85" i="25"/>
  <c r="Q85" i="25"/>
  <c r="P85" i="25"/>
  <c r="O85" i="25"/>
  <c r="N85" i="25"/>
  <c r="M85" i="25"/>
  <c r="L85" i="25"/>
  <c r="K85" i="25"/>
  <c r="J85" i="25"/>
  <c r="I85" i="25"/>
  <c r="H85" i="25"/>
  <c r="G85" i="25"/>
  <c r="F85" i="25"/>
  <c r="E85" i="25"/>
  <c r="B85" i="25"/>
  <c r="E84" i="25"/>
  <c r="D84" i="25"/>
  <c r="C84" i="25" s="1"/>
  <c r="E83" i="25"/>
  <c r="D83" i="25"/>
  <c r="C83" i="25" s="1"/>
  <c r="E82" i="25"/>
  <c r="D82" i="25"/>
  <c r="C82" i="25" s="1"/>
  <c r="E81" i="25"/>
  <c r="D81" i="25"/>
  <c r="C81" i="25" s="1"/>
  <c r="E80" i="25"/>
  <c r="D80" i="25"/>
  <c r="C80" i="25" s="1"/>
  <c r="E79" i="25"/>
  <c r="D79" i="25"/>
  <c r="C79" i="25" s="1"/>
  <c r="E78" i="25"/>
  <c r="D78" i="25"/>
  <c r="C78" i="25" s="1"/>
  <c r="E77" i="25"/>
  <c r="D77" i="25"/>
  <c r="C77" i="25" s="1"/>
  <c r="E76" i="25"/>
  <c r="D76" i="25"/>
  <c r="C76" i="25" s="1"/>
  <c r="E75" i="25"/>
  <c r="D75" i="25"/>
  <c r="C75" i="25" s="1"/>
  <c r="E74" i="25"/>
  <c r="D74" i="25"/>
  <c r="C74" i="25" s="1"/>
  <c r="E73" i="25"/>
  <c r="D73" i="25"/>
  <c r="C73" i="25" s="1"/>
  <c r="E72" i="25"/>
  <c r="D72" i="25"/>
  <c r="C72" i="25" s="1"/>
  <c r="E71" i="25"/>
  <c r="D71" i="25"/>
  <c r="C71" i="25" s="1"/>
  <c r="AF66" i="25"/>
  <c r="AE66" i="25"/>
  <c r="AD66" i="25"/>
  <c r="AC66" i="25"/>
  <c r="AB66" i="25"/>
  <c r="AA66" i="25"/>
  <c r="Z66" i="25"/>
  <c r="Y66" i="25"/>
  <c r="X66" i="25"/>
  <c r="W66" i="25"/>
  <c r="V66" i="25"/>
  <c r="U66" i="25"/>
  <c r="T66" i="25"/>
  <c r="S66" i="25"/>
  <c r="R66" i="25"/>
  <c r="Q66" i="25"/>
  <c r="P66" i="25"/>
  <c r="O66" i="25"/>
  <c r="N66" i="25"/>
  <c r="M66" i="25"/>
  <c r="L66" i="25"/>
  <c r="K66" i="25"/>
  <c r="J66" i="25"/>
  <c r="I66" i="25"/>
  <c r="H66" i="25"/>
  <c r="G66" i="25"/>
  <c r="F66" i="25"/>
  <c r="E66" i="25"/>
  <c r="D66" i="25"/>
  <c r="C66" i="25"/>
  <c r="B65" i="25"/>
  <c r="B64" i="25"/>
  <c r="B63" i="25"/>
  <c r="B62" i="25"/>
  <c r="B61" i="25"/>
  <c r="B60" i="25"/>
  <c r="B59" i="25"/>
  <c r="B58" i="25"/>
  <c r="B57" i="25"/>
  <c r="B56" i="25"/>
  <c r="B55" i="25"/>
  <c r="B54" i="25"/>
  <c r="B53" i="25"/>
  <c r="B52" i="25"/>
  <c r="B51" i="25"/>
  <c r="B50" i="25"/>
  <c r="AF46" i="25"/>
  <c r="AE46" i="25"/>
  <c r="AD46" i="25"/>
  <c r="AC46" i="25"/>
  <c r="AB46" i="25"/>
  <c r="AA46" i="25"/>
  <c r="Z46" i="25"/>
  <c r="Y46" i="25"/>
  <c r="X46" i="25"/>
  <c r="W46" i="25"/>
  <c r="V46" i="25"/>
  <c r="U46" i="25"/>
  <c r="T46" i="25"/>
  <c r="S46" i="25"/>
  <c r="R46" i="25"/>
  <c r="Q46" i="25"/>
  <c r="P46" i="25"/>
  <c r="O46" i="25"/>
  <c r="N46" i="25"/>
  <c r="M46" i="25"/>
  <c r="L46" i="25"/>
  <c r="K46" i="25"/>
  <c r="J46" i="25"/>
  <c r="I46" i="25"/>
  <c r="H46" i="25"/>
  <c r="G46" i="25"/>
  <c r="F46" i="25"/>
  <c r="E46" i="25"/>
  <c r="D46" i="25"/>
  <c r="C46" i="25"/>
  <c r="B45" i="25"/>
  <c r="B44" i="25"/>
  <c r="B43" i="25"/>
  <c r="B42" i="25"/>
  <c r="B41" i="25"/>
  <c r="B40" i="25"/>
  <c r="B39" i="25"/>
  <c r="B38" i="25"/>
  <c r="B37" i="25"/>
  <c r="B36" i="25"/>
  <c r="B35" i="25"/>
  <c r="B34" i="25"/>
  <c r="B33" i="25"/>
  <c r="B32" i="25"/>
  <c r="B46" i="25" s="1"/>
  <c r="AW28" i="25"/>
  <c r="AV28" i="25"/>
  <c r="AU28" i="25"/>
  <c r="AT28" i="25"/>
  <c r="AS28" i="25"/>
  <c r="AR28" i="25"/>
  <c r="AQ28" i="25"/>
  <c r="AP28" i="25"/>
  <c r="AO28" i="25"/>
  <c r="AN28" i="25"/>
  <c r="AM28" i="25"/>
  <c r="AL28" i="25"/>
  <c r="AK28" i="25"/>
  <c r="AJ28" i="25"/>
  <c r="AI28" i="25"/>
  <c r="AH28" i="25"/>
  <c r="AG28" i="25"/>
  <c r="AF28" i="25"/>
  <c r="AE28" i="25"/>
  <c r="AD28" i="25"/>
  <c r="AC28" i="25"/>
  <c r="AB28" i="25"/>
  <c r="AA28" i="25"/>
  <c r="Z28" i="25"/>
  <c r="Y28" i="25"/>
  <c r="X28" i="25"/>
  <c r="W28" i="25"/>
  <c r="V28" i="25"/>
  <c r="U28" i="25"/>
  <c r="T28" i="25"/>
  <c r="S28" i="25"/>
  <c r="R28" i="25"/>
  <c r="Q28" i="25"/>
  <c r="P28" i="25"/>
  <c r="O28" i="25"/>
  <c r="N28" i="25"/>
  <c r="M28" i="25"/>
  <c r="L28" i="25"/>
  <c r="K28" i="25"/>
  <c r="J28" i="25"/>
  <c r="I28" i="25"/>
  <c r="H28" i="25"/>
  <c r="G28" i="25"/>
  <c r="F28" i="25"/>
  <c r="D28" i="25" s="1"/>
  <c r="E28" i="25"/>
  <c r="C28" i="25"/>
  <c r="E27" i="25"/>
  <c r="C27" i="25" s="1"/>
  <c r="D27" i="25"/>
  <c r="CD26" i="25"/>
  <c r="CA26" i="25"/>
  <c r="E26" i="25"/>
  <c r="D26" i="25"/>
  <c r="C26" i="25"/>
  <c r="CJ26" i="25" s="1"/>
  <c r="CJ25" i="25"/>
  <c r="CD25" i="25"/>
  <c r="E25" i="25"/>
  <c r="D25" i="25"/>
  <c r="C25" i="25"/>
  <c r="CH25" i="25" s="1"/>
  <c r="CK24" i="25"/>
  <c r="CD24" i="25"/>
  <c r="CA24" i="25"/>
  <c r="E24" i="25"/>
  <c r="D24" i="25"/>
  <c r="C24" i="25"/>
  <c r="CJ24" i="25" s="1"/>
  <c r="CJ23" i="25"/>
  <c r="CD23" i="25"/>
  <c r="E23" i="25"/>
  <c r="D23" i="25"/>
  <c r="C23" i="25"/>
  <c r="CH23" i="25" s="1"/>
  <c r="CK22" i="25"/>
  <c r="CD22" i="25"/>
  <c r="CA22" i="25"/>
  <c r="E22" i="25"/>
  <c r="D22" i="25"/>
  <c r="C22" i="25"/>
  <c r="CJ22" i="25" s="1"/>
  <c r="CJ21" i="25"/>
  <c r="CD21" i="25"/>
  <c r="E21" i="25"/>
  <c r="D21" i="25"/>
  <c r="C21" i="25"/>
  <c r="CH21" i="25" s="1"/>
  <c r="CK20" i="25"/>
  <c r="CD20" i="25"/>
  <c r="CA20" i="25"/>
  <c r="E20" i="25"/>
  <c r="D20" i="25"/>
  <c r="C20" i="25"/>
  <c r="CJ20" i="25" s="1"/>
  <c r="CJ19" i="25"/>
  <c r="CD19" i="25"/>
  <c r="E19" i="25"/>
  <c r="D19" i="25"/>
  <c r="C19" i="25"/>
  <c r="CH19" i="25" s="1"/>
  <c r="CD18" i="25"/>
  <c r="E18" i="25"/>
  <c r="C18" i="25" s="1"/>
  <c r="D18" i="25"/>
  <c r="CA17" i="25"/>
  <c r="E17" i="25"/>
  <c r="D17" i="25"/>
  <c r="C17" i="25"/>
  <c r="CD16" i="25"/>
  <c r="E16" i="25"/>
  <c r="C16" i="25" s="1"/>
  <c r="D16" i="25"/>
  <c r="CA15" i="25"/>
  <c r="E15" i="25"/>
  <c r="D15" i="25"/>
  <c r="C15" i="25"/>
  <c r="CD14" i="25"/>
  <c r="E14" i="25"/>
  <c r="C14" i="25" s="1"/>
  <c r="D14" i="25"/>
  <c r="CA13" i="25"/>
  <c r="E13" i="25"/>
  <c r="D13" i="25"/>
  <c r="C13" i="25"/>
  <c r="CD12" i="25"/>
  <c r="E12" i="25"/>
  <c r="C12" i="25" s="1"/>
  <c r="D12" i="25"/>
  <c r="A5" i="25"/>
  <c r="A3" i="25"/>
  <c r="A2" i="25"/>
  <c r="B138" i="24"/>
  <c r="D27" i="29" s="1"/>
  <c r="B114" i="24"/>
  <c r="B113" i="24"/>
  <c r="B112" i="24"/>
  <c r="B111" i="24"/>
  <c r="E103" i="24"/>
  <c r="D103" i="24"/>
  <c r="C103" i="24"/>
  <c r="B103" i="24"/>
  <c r="B98" i="24"/>
  <c r="B97" i="24"/>
  <c r="B92" i="24"/>
  <c r="B91" i="24"/>
  <c r="B86" i="24"/>
  <c r="B85" i="24"/>
  <c r="I77" i="24"/>
  <c r="H77" i="24"/>
  <c r="G77" i="24"/>
  <c r="F77" i="24"/>
  <c r="E77" i="24"/>
  <c r="D77" i="24"/>
  <c r="C77" i="24"/>
  <c r="B77" i="24"/>
  <c r="G68" i="24"/>
  <c r="F68" i="24"/>
  <c r="E68" i="24"/>
  <c r="D68" i="24"/>
  <c r="C68" i="24"/>
  <c r="B68" i="24"/>
  <c r="E63" i="24"/>
  <c r="D63" i="24"/>
  <c r="C63" i="24"/>
  <c r="B63" i="24"/>
  <c r="E62" i="24"/>
  <c r="D62" i="24"/>
  <c r="C62" i="24"/>
  <c r="B62" i="24"/>
  <c r="E61" i="24"/>
  <c r="D61" i="24"/>
  <c r="C61" i="24"/>
  <c r="B61" i="24"/>
  <c r="E60" i="24"/>
  <c r="D60" i="24"/>
  <c r="C60" i="24"/>
  <c r="B60" i="24"/>
  <c r="E59" i="24"/>
  <c r="D59" i="24"/>
  <c r="C59" i="24"/>
  <c r="B59" i="24"/>
  <c r="E58" i="24"/>
  <c r="D58" i="24"/>
  <c r="C58" i="24"/>
  <c r="B58" i="24"/>
  <c r="Q57" i="24"/>
  <c r="P57" i="24"/>
  <c r="O57" i="24"/>
  <c r="N57" i="24"/>
  <c r="M57" i="24"/>
  <c r="L57" i="24"/>
  <c r="K57" i="24"/>
  <c r="J57" i="24"/>
  <c r="I57" i="24"/>
  <c r="H57" i="24"/>
  <c r="G57" i="24"/>
  <c r="F57" i="24"/>
  <c r="E57" i="24"/>
  <c r="D57" i="24"/>
  <c r="C57" i="24"/>
  <c r="B57" i="24"/>
  <c r="E52" i="24"/>
  <c r="D52" i="24"/>
  <c r="C52" i="24"/>
  <c r="B52" i="24"/>
  <c r="E51" i="24"/>
  <c r="D51" i="24"/>
  <c r="C51" i="24"/>
  <c r="B51" i="24"/>
  <c r="E50" i="24"/>
  <c r="D50" i="24"/>
  <c r="C50" i="24"/>
  <c r="B50" i="24"/>
  <c r="E49" i="24"/>
  <c r="D49" i="24"/>
  <c r="C49" i="24"/>
  <c r="B49" i="24"/>
  <c r="U48" i="24"/>
  <c r="T48" i="24"/>
  <c r="S48" i="24"/>
  <c r="R48" i="24"/>
  <c r="Q48" i="24"/>
  <c r="P48" i="24"/>
  <c r="O48" i="24"/>
  <c r="N48" i="24"/>
  <c r="M48" i="24"/>
  <c r="L48" i="24"/>
  <c r="K48" i="24"/>
  <c r="J48" i="24"/>
  <c r="I48" i="24"/>
  <c r="H48" i="24"/>
  <c r="G48" i="24"/>
  <c r="F48" i="24"/>
  <c r="E48" i="24"/>
  <c r="D48" i="24"/>
  <c r="C48" i="24"/>
  <c r="B48" i="24"/>
  <c r="E43" i="24"/>
  <c r="D43" i="24"/>
  <c r="C43" i="24"/>
  <c r="B43" i="24"/>
  <c r="E42" i="24"/>
  <c r="D42" i="24"/>
  <c r="C42" i="24"/>
  <c r="B42" i="24"/>
  <c r="E41" i="24"/>
  <c r="D41" i="24"/>
  <c r="C41" i="24"/>
  <c r="B41" i="24"/>
  <c r="E40" i="24"/>
  <c r="D40" i="24"/>
  <c r="C40" i="24"/>
  <c r="B40" i="24"/>
  <c r="E39" i="24"/>
  <c r="D39" i="24"/>
  <c r="C39" i="24"/>
  <c r="B39" i="24"/>
  <c r="E38" i="24"/>
  <c r="D38" i="24"/>
  <c r="C38" i="24"/>
  <c r="B38" i="24"/>
  <c r="E37" i="24"/>
  <c r="D37" i="24"/>
  <c r="E36" i="24"/>
  <c r="D36" i="24"/>
  <c r="C36" i="24"/>
  <c r="B36" i="24"/>
  <c r="E35" i="24"/>
  <c r="D35" i="24"/>
  <c r="C35" i="24"/>
  <c r="B35" i="24"/>
  <c r="E34" i="24"/>
  <c r="E32" i="24" s="1"/>
  <c r="D34" i="24"/>
  <c r="E33" i="24"/>
  <c r="D33" i="24"/>
  <c r="C33" i="24"/>
  <c r="B33" i="24"/>
  <c r="B32" i="24" s="1"/>
  <c r="Q32" i="24"/>
  <c r="P32" i="24"/>
  <c r="O32" i="24"/>
  <c r="N32" i="24"/>
  <c r="M32" i="24"/>
  <c r="L32" i="24"/>
  <c r="K32" i="24"/>
  <c r="J32" i="24"/>
  <c r="I32" i="24"/>
  <c r="H32" i="24"/>
  <c r="G32" i="24"/>
  <c r="F32" i="24"/>
  <c r="C32" i="24"/>
  <c r="E27" i="24"/>
  <c r="D27" i="24"/>
  <c r="C27" i="24"/>
  <c r="B27" i="24"/>
  <c r="E26" i="24"/>
  <c r="D26" i="24"/>
  <c r="C26" i="24"/>
  <c r="B26" i="24"/>
  <c r="E25" i="24"/>
  <c r="D25" i="24"/>
  <c r="C25" i="24"/>
  <c r="B25" i="24"/>
  <c r="E24" i="24"/>
  <c r="D24" i="24"/>
  <c r="C24" i="24"/>
  <c r="B24" i="24"/>
  <c r="E23" i="24"/>
  <c r="D23" i="24"/>
  <c r="C23" i="24"/>
  <c r="B23" i="24"/>
  <c r="E22" i="24"/>
  <c r="D22" i="24"/>
  <c r="E21" i="24"/>
  <c r="D21" i="24"/>
  <c r="E20" i="24"/>
  <c r="D20" i="24"/>
  <c r="C20" i="24"/>
  <c r="B20" i="24"/>
  <c r="E19" i="24"/>
  <c r="D19" i="24"/>
  <c r="C19" i="24"/>
  <c r="C15" i="24" s="1"/>
  <c r="B19" i="24"/>
  <c r="E18" i="24"/>
  <c r="D18" i="24"/>
  <c r="E17" i="24"/>
  <c r="D17" i="24"/>
  <c r="C17" i="24"/>
  <c r="B17" i="24"/>
  <c r="E16" i="24"/>
  <c r="E15" i="24" s="1"/>
  <c r="D16" i="24"/>
  <c r="Q15" i="24"/>
  <c r="P15" i="24"/>
  <c r="O15" i="24"/>
  <c r="N15" i="24"/>
  <c r="M15" i="24"/>
  <c r="L15" i="24"/>
  <c r="K15" i="24"/>
  <c r="J15" i="24"/>
  <c r="I15" i="24"/>
  <c r="H15" i="24"/>
  <c r="G15" i="24"/>
  <c r="F15" i="24"/>
  <c r="D15" i="24"/>
  <c r="B15" i="24"/>
  <c r="A5" i="24"/>
  <c r="A3" i="24"/>
  <c r="A2" i="24"/>
  <c r="B174" i="23"/>
  <c r="D26" i="29" s="1"/>
  <c r="G129" i="23"/>
  <c r="B129" i="23"/>
  <c r="G128" i="23"/>
  <c r="B128" i="23"/>
  <c r="G127" i="23"/>
  <c r="G123" i="23" s="1"/>
  <c r="B127" i="23"/>
  <c r="G124" i="23"/>
  <c r="B124" i="23"/>
  <c r="B123" i="23" s="1"/>
  <c r="U123" i="23"/>
  <c r="T123" i="23"/>
  <c r="S123" i="23"/>
  <c r="R123" i="23"/>
  <c r="Q123" i="23"/>
  <c r="P123" i="23"/>
  <c r="O123" i="23"/>
  <c r="N123" i="23"/>
  <c r="M123" i="23"/>
  <c r="L123" i="23"/>
  <c r="K123" i="23"/>
  <c r="J123" i="23"/>
  <c r="I123" i="23"/>
  <c r="H123" i="23"/>
  <c r="F123" i="23"/>
  <c r="E123" i="23"/>
  <c r="D123" i="23"/>
  <c r="C123" i="23"/>
  <c r="T114" i="23"/>
  <c r="S114" i="23"/>
  <c r="R114" i="23"/>
  <c r="Q114" i="23"/>
  <c r="P114" i="23"/>
  <c r="O114" i="23"/>
  <c r="N114" i="23"/>
  <c r="M114" i="23"/>
  <c r="L114" i="23"/>
  <c r="K114" i="23"/>
  <c r="J114" i="23"/>
  <c r="I114" i="23"/>
  <c r="H114" i="23"/>
  <c r="G114" i="23"/>
  <c r="F114" i="23"/>
  <c r="E114" i="23"/>
  <c r="D114" i="23"/>
  <c r="C114" i="23"/>
  <c r="B114" i="23"/>
  <c r="Y108" i="23"/>
  <c r="X108" i="23"/>
  <c r="W108" i="23"/>
  <c r="V108" i="23"/>
  <c r="U108" i="23"/>
  <c r="T108" i="23"/>
  <c r="S108" i="23"/>
  <c r="R108" i="23"/>
  <c r="Y107" i="23"/>
  <c r="X107" i="23"/>
  <c r="W107" i="23"/>
  <c r="V107" i="23"/>
  <c r="U107" i="23"/>
  <c r="T107" i="23"/>
  <c r="S107" i="23"/>
  <c r="R107" i="23"/>
  <c r="Y106" i="23"/>
  <c r="X106" i="23"/>
  <c r="W106" i="23"/>
  <c r="V106" i="23"/>
  <c r="U106" i="23"/>
  <c r="T106" i="23"/>
  <c r="S106" i="23"/>
  <c r="R106" i="23"/>
  <c r="Y105" i="23"/>
  <c r="X105" i="23"/>
  <c r="W105" i="23"/>
  <c r="V105" i="23"/>
  <c r="U105" i="23"/>
  <c r="T105" i="23"/>
  <c r="S105" i="23"/>
  <c r="R105" i="23"/>
  <c r="Y104" i="23"/>
  <c r="X104" i="23"/>
  <c r="W104" i="23"/>
  <c r="V104" i="23"/>
  <c r="U104" i="23"/>
  <c r="T104" i="23"/>
  <c r="S104" i="23"/>
  <c r="R104" i="23"/>
  <c r="Y103" i="23"/>
  <c r="X103" i="23"/>
  <c r="W103" i="23"/>
  <c r="V103" i="23"/>
  <c r="U103" i="23"/>
  <c r="T103" i="23"/>
  <c r="S103" i="23"/>
  <c r="R103" i="23"/>
  <c r="Y102" i="23"/>
  <c r="X102" i="23"/>
  <c r="W102" i="23"/>
  <c r="V102" i="23"/>
  <c r="U102" i="23"/>
  <c r="T102" i="23"/>
  <c r="S102" i="23"/>
  <c r="R102" i="23"/>
  <c r="Y101" i="23"/>
  <c r="X101" i="23"/>
  <c r="W101" i="23"/>
  <c r="V101" i="23"/>
  <c r="U101" i="23"/>
  <c r="T101" i="23"/>
  <c r="S101" i="23"/>
  <c r="R101" i="23"/>
  <c r="Y100" i="23"/>
  <c r="X100" i="23"/>
  <c r="W100" i="23"/>
  <c r="V100" i="23"/>
  <c r="U100" i="23"/>
  <c r="T100" i="23"/>
  <c r="S100" i="23"/>
  <c r="R100" i="23"/>
  <c r="Y99" i="23"/>
  <c r="Y98" i="23" s="1"/>
  <c r="X99" i="23"/>
  <c r="X98" i="23" s="1"/>
  <c r="W99" i="23"/>
  <c r="V99" i="23"/>
  <c r="U99" i="23"/>
  <c r="U98" i="23" s="1"/>
  <c r="T99" i="23"/>
  <c r="T98" i="23" s="1"/>
  <c r="S99" i="23"/>
  <c r="R99" i="23"/>
  <c r="AJ98" i="23"/>
  <c r="AI98" i="23"/>
  <c r="AH98" i="23"/>
  <c r="AG98" i="23"/>
  <c r="AF98" i="23"/>
  <c r="AE98" i="23"/>
  <c r="AD98" i="23"/>
  <c r="AC98" i="23"/>
  <c r="AB98" i="23"/>
  <c r="AA98" i="23"/>
  <c r="Z98" i="23"/>
  <c r="W98" i="23"/>
  <c r="V98" i="23"/>
  <c r="S98" i="23"/>
  <c r="R98" i="23"/>
  <c r="Q98" i="23"/>
  <c r="P98" i="23"/>
  <c r="O98" i="23"/>
  <c r="N98" i="23"/>
  <c r="M98" i="23"/>
  <c r="L98" i="23"/>
  <c r="K98" i="23"/>
  <c r="J98" i="23"/>
  <c r="I98" i="23"/>
  <c r="H98" i="23"/>
  <c r="G98" i="23"/>
  <c r="F98" i="23"/>
  <c r="E98" i="23"/>
  <c r="D98" i="23"/>
  <c r="C98" i="23"/>
  <c r="B98" i="23"/>
  <c r="Y80" i="23"/>
  <c r="X80" i="23"/>
  <c r="W80" i="23"/>
  <c r="V80" i="23"/>
  <c r="U80" i="23"/>
  <c r="T80" i="23"/>
  <c r="S80" i="23"/>
  <c r="R80" i="23"/>
  <c r="Q80" i="23"/>
  <c r="P80" i="23"/>
  <c r="O80" i="23"/>
  <c r="N80" i="23"/>
  <c r="M80" i="23"/>
  <c r="L80" i="23"/>
  <c r="K80" i="23"/>
  <c r="J80" i="23"/>
  <c r="I80" i="23"/>
  <c r="H80" i="23"/>
  <c r="G80" i="23"/>
  <c r="F80" i="23"/>
  <c r="E80" i="23"/>
  <c r="D80" i="23"/>
  <c r="C80" i="23"/>
  <c r="B80" i="23"/>
  <c r="Y67" i="23"/>
  <c r="X67" i="23"/>
  <c r="W67" i="23"/>
  <c r="V67" i="23"/>
  <c r="U67" i="23"/>
  <c r="T67" i="23"/>
  <c r="S67" i="23"/>
  <c r="R67" i="23"/>
  <c r="Y66" i="23"/>
  <c r="X66" i="23"/>
  <c r="W66" i="23"/>
  <c r="V66" i="23"/>
  <c r="U66" i="23"/>
  <c r="T66" i="23"/>
  <c r="S66" i="23"/>
  <c r="R66" i="23"/>
  <c r="Y65" i="23"/>
  <c r="X65" i="23"/>
  <c r="W65" i="23"/>
  <c r="V65" i="23"/>
  <c r="U65" i="23"/>
  <c r="T65" i="23"/>
  <c r="S65" i="23"/>
  <c r="R65" i="23"/>
  <c r="Y64" i="23"/>
  <c r="X64" i="23"/>
  <c r="W64" i="23"/>
  <c r="V64" i="23"/>
  <c r="U64" i="23"/>
  <c r="T64" i="23"/>
  <c r="S64" i="23"/>
  <c r="R64" i="23"/>
  <c r="Y63" i="23"/>
  <c r="X63" i="23"/>
  <c r="W63" i="23"/>
  <c r="V63" i="23"/>
  <c r="U63" i="23"/>
  <c r="T63" i="23"/>
  <c r="S63" i="23"/>
  <c r="R63" i="23"/>
  <c r="Y62" i="23"/>
  <c r="X62" i="23"/>
  <c r="W62" i="23"/>
  <c r="V62" i="23"/>
  <c r="U62" i="23"/>
  <c r="T62" i="23"/>
  <c r="S62" i="23"/>
  <c r="R62" i="23"/>
  <c r="Y61" i="23"/>
  <c r="X61" i="23"/>
  <c r="W61" i="23"/>
  <c r="V61" i="23"/>
  <c r="U61" i="23"/>
  <c r="T61" i="23"/>
  <c r="S61" i="23"/>
  <c r="R61" i="23"/>
  <c r="Y60" i="23"/>
  <c r="X60" i="23"/>
  <c r="W60" i="23"/>
  <c r="V60" i="23"/>
  <c r="U60" i="23"/>
  <c r="T60" i="23"/>
  <c r="S60" i="23"/>
  <c r="R60" i="23"/>
  <c r="Y59" i="23"/>
  <c r="X59" i="23"/>
  <c r="W59" i="23"/>
  <c r="V59" i="23"/>
  <c r="U59" i="23"/>
  <c r="T59" i="23"/>
  <c r="S59" i="23"/>
  <c r="R59" i="23"/>
  <c r="Y58" i="23"/>
  <c r="X58" i="23"/>
  <c r="W58" i="23"/>
  <c r="V58" i="23"/>
  <c r="U58" i="23"/>
  <c r="T58" i="23"/>
  <c r="S58" i="23"/>
  <c r="R58" i="23"/>
  <c r="Y57" i="23"/>
  <c r="X57" i="23"/>
  <c r="W57" i="23"/>
  <c r="V57" i="23"/>
  <c r="U57" i="23"/>
  <c r="T57" i="23"/>
  <c r="S57" i="23"/>
  <c r="R57" i="23"/>
  <c r="Y56" i="23"/>
  <c r="X56" i="23"/>
  <c r="W56" i="23"/>
  <c r="V56" i="23"/>
  <c r="U56" i="23"/>
  <c r="T56" i="23"/>
  <c r="S56" i="23"/>
  <c r="R56" i="23"/>
  <c r="Y55" i="23"/>
  <c r="X55" i="23"/>
  <c r="W55" i="23"/>
  <c r="V55" i="23"/>
  <c r="U55" i="23"/>
  <c r="T55" i="23"/>
  <c r="S55" i="23"/>
  <c r="R55" i="23"/>
  <c r="Y54" i="23"/>
  <c r="X54" i="23"/>
  <c r="W54" i="23"/>
  <c r="V54" i="23"/>
  <c r="U54" i="23"/>
  <c r="T54" i="23"/>
  <c r="S54" i="23"/>
  <c r="R54" i="23"/>
  <c r="Y53" i="23"/>
  <c r="X53" i="23"/>
  <c r="W53" i="23"/>
  <c r="V53" i="23"/>
  <c r="U53" i="23"/>
  <c r="T53" i="23"/>
  <c r="S53" i="23"/>
  <c r="R53" i="23"/>
  <c r="Y52" i="23"/>
  <c r="X52" i="23"/>
  <c r="W52" i="23"/>
  <c r="V52" i="23"/>
  <c r="U52" i="23"/>
  <c r="T52" i="23"/>
  <c r="S52" i="23"/>
  <c r="R52" i="23"/>
  <c r="Y51" i="23"/>
  <c r="X51" i="23"/>
  <c r="W51" i="23"/>
  <c r="V51" i="23"/>
  <c r="U51" i="23"/>
  <c r="T51" i="23"/>
  <c r="S51" i="23"/>
  <c r="R51" i="23"/>
  <c r="Y50" i="23"/>
  <c r="X50" i="23"/>
  <c r="W50" i="23"/>
  <c r="V50" i="23"/>
  <c r="U50" i="23"/>
  <c r="T50" i="23"/>
  <c r="S50" i="23"/>
  <c r="R50" i="23"/>
  <c r="Y49" i="23"/>
  <c r="X49" i="23"/>
  <c r="W49" i="23"/>
  <c r="V49" i="23"/>
  <c r="U49" i="23"/>
  <c r="T49" i="23"/>
  <c r="S49" i="23"/>
  <c r="R49" i="23"/>
  <c r="Y48" i="23"/>
  <c r="X48" i="23"/>
  <c r="W48" i="23"/>
  <c r="V48" i="23"/>
  <c r="U48" i="23"/>
  <c r="T48" i="23"/>
  <c r="S48" i="23"/>
  <c r="R48" i="23"/>
  <c r="Y47" i="23"/>
  <c r="X47" i="23"/>
  <c r="W47" i="23"/>
  <c r="V47" i="23"/>
  <c r="U47" i="23"/>
  <c r="T47" i="23"/>
  <c r="S47" i="23"/>
  <c r="R47" i="23"/>
  <c r="Y46" i="23"/>
  <c r="X46" i="23"/>
  <c r="W46" i="23"/>
  <c r="V46" i="23"/>
  <c r="U46" i="23"/>
  <c r="T46" i="23"/>
  <c r="S46" i="23"/>
  <c r="R46" i="23"/>
  <c r="Y45" i="23"/>
  <c r="X45" i="23"/>
  <c r="W45" i="23"/>
  <c r="V45" i="23"/>
  <c r="U45" i="23"/>
  <c r="T45" i="23"/>
  <c r="S45" i="23"/>
  <c r="R45" i="23"/>
  <c r="Y44" i="23"/>
  <c r="X44" i="23"/>
  <c r="W44" i="23"/>
  <c r="V44" i="23"/>
  <c r="U44" i="23"/>
  <c r="T44" i="23"/>
  <c r="S44" i="23"/>
  <c r="R44" i="23"/>
  <c r="Y43" i="23"/>
  <c r="X43" i="23"/>
  <c r="W43" i="23"/>
  <c r="V43" i="23"/>
  <c r="U43" i="23"/>
  <c r="T43" i="23"/>
  <c r="S43" i="23"/>
  <c r="R43" i="23"/>
  <c r="Y42" i="23"/>
  <c r="X42" i="23"/>
  <c r="W42" i="23"/>
  <c r="V42" i="23"/>
  <c r="U42" i="23"/>
  <c r="T42" i="23"/>
  <c r="S42" i="23"/>
  <c r="R42" i="23"/>
  <c r="Y41" i="23"/>
  <c r="X41" i="23"/>
  <c r="W41" i="23"/>
  <c r="V41" i="23"/>
  <c r="U41" i="23"/>
  <c r="T41" i="23"/>
  <c r="S41" i="23"/>
  <c r="R41" i="23"/>
  <c r="Y40" i="23"/>
  <c r="X40" i="23"/>
  <c r="W40" i="23"/>
  <c r="V40" i="23"/>
  <c r="U40" i="23"/>
  <c r="T40" i="23"/>
  <c r="S40" i="23"/>
  <c r="R40" i="23"/>
  <c r="Y39" i="23"/>
  <c r="X39" i="23"/>
  <c r="W39" i="23"/>
  <c r="V39" i="23"/>
  <c r="U39" i="23"/>
  <c r="T39" i="23"/>
  <c r="S39" i="23"/>
  <c r="R39" i="23"/>
  <c r="Y38" i="23"/>
  <c r="X38" i="23"/>
  <c r="W38" i="23"/>
  <c r="V38" i="23"/>
  <c r="U38" i="23"/>
  <c r="T38" i="23"/>
  <c r="S38" i="23"/>
  <c r="R38" i="23"/>
  <c r="Y37" i="23"/>
  <c r="X37" i="23"/>
  <c r="W37" i="23"/>
  <c r="V37" i="23"/>
  <c r="U37" i="23"/>
  <c r="T37" i="23"/>
  <c r="S37" i="23"/>
  <c r="R37" i="23"/>
  <c r="Y36" i="23"/>
  <c r="X36" i="23"/>
  <c r="W36" i="23"/>
  <c r="V36" i="23"/>
  <c r="U36" i="23"/>
  <c r="T36" i="23"/>
  <c r="S36" i="23"/>
  <c r="R36" i="23"/>
  <c r="Y35" i="23"/>
  <c r="X35" i="23"/>
  <c r="W35" i="23"/>
  <c r="V35" i="23"/>
  <c r="U35" i="23"/>
  <c r="T35" i="23"/>
  <c r="S35" i="23"/>
  <c r="R35" i="23"/>
  <c r="Y34" i="23"/>
  <c r="X34" i="23"/>
  <c r="W34" i="23"/>
  <c r="V34" i="23"/>
  <c r="U34" i="23"/>
  <c r="T34" i="23"/>
  <c r="S34" i="23"/>
  <c r="R34" i="23"/>
  <c r="Y33" i="23"/>
  <c r="X33" i="23"/>
  <c r="W33" i="23"/>
  <c r="V33" i="23"/>
  <c r="U33" i="23"/>
  <c r="T33" i="23"/>
  <c r="S33" i="23"/>
  <c r="R33" i="23"/>
  <c r="Y32" i="23"/>
  <c r="X32" i="23"/>
  <c r="W32" i="23"/>
  <c r="V32" i="23"/>
  <c r="U32" i="23"/>
  <c r="T32" i="23"/>
  <c r="S32" i="23"/>
  <c r="R32" i="23"/>
  <c r="Y31" i="23"/>
  <c r="X31" i="23"/>
  <c r="W31" i="23"/>
  <c r="V31" i="23"/>
  <c r="U31" i="23"/>
  <c r="T31" i="23"/>
  <c r="S31" i="23"/>
  <c r="R31" i="23"/>
  <c r="Y30" i="23"/>
  <c r="X30" i="23"/>
  <c r="W30" i="23"/>
  <c r="V30" i="23"/>
  <c r="U30" i="23"/>
  <c r="T30" i="23"/>
  <c r="S30" i="23"/>
  <c r="R30" i="23"/>
  <c r="Y29" i="23"/>
  <c r="X29" i="23"/>
  <c r="W29" i="23"/>
  <c r="V29" i="23"/>
  <c r="U29" i="23"/>
  <c r="T29" i="23"/>
  <c r="S29" i="23"/>
  <c r="R29" i="23"/>
  <c r="Y28" i="23"/>
  <c r="X28" i="23"/>
  <c r="W28" i="23"/>
  <c r="V28" i="23"/>
  <c r="U28" i="23"/>
  <c r="T28" i="23"/>
  <c r="S28" i="23"/>
  <c r="R28" i="23"/>
  <c r="Y27" i="23"/>
  <c r="X27" i="23"/>
  <c r="W27" i="23"/>
  <c r="V27" i="23"/>
  <c r="U27" i="23"/>
  <c r="T27" i="23"/>
  <c r="S27" i="23"/>
  <c r="R27" i="23"/>
  <c r="Y26" i="23"/>
  <c r="X26" i="23"/>
  <c r="W26" i="23"/>
  <c r="V26" i="23"/>
  <c r="U26" i="23"/>
  <c r="T26" i="23"/>
  <c r="S26" i="23"/>
  <c r="R26" i="23"/>
  <c r="Y25" i="23"/>
  <c r="X25" i="23"/>
  <c r="W25" i="23"/>
  <c r="V25" i="23"/>
  <c r="U25" i="23"/>
  <c r="T25" i="23"/>
  <c r="S25" i="23"/>
  <c r="R25" i="23"/>
  <c r="Y24" i="23"/>
  <c r="X24" i="23"/>
  <c r="W24" i="23"/>
  <c r="V24" i="23"/>
  <c r="U24" i="23"/>
  <c r="T24" i="23"/>
  <c r="S24" i="23"/>
  <c r="R24" i="23"/>
  <c r="Y23" i="23"/>
  <c r="X23" i="23"/>
  <c r="W23" i="23"/>
  <c r="V23" i="23"/>
  <c r="U23" i="23"/>
  <c r="T23" i="23"/>
  <c r="S23" i="23"/>
  <c r="R23" i="23"/>
  <c r="Y22" i="23"/>
  <c r="X22" i="23"/>
  <c r="W22" i="23"/>
  <c r="V22" i="23"/>
  <c r="U22" i="23"/>
  <c r="T22" i="23"/>
  <c r="S22" i="23"/>
  <c r="R22" i="23"/>
  <c r="Y21" i="23"/>
  <c r="X21" i="23"/>
  <c r="W21" i="23"/>
  <c r="V21" i="23"/>
  <c r="U21" i="23"/>
  <c r="T21" i="23"/>
  <c r="S21" i="23"/>
  <c r="R21" i="23"/>
  <c r="Y20" i="23"/>
  <c r="X20" i="23"/>
  <c r="W20" i="23"/>
  <c r="V20" i="23"/>
  <c r="U20" i="23"/>
  <c r="T20" i="23"/>
  <c r="S20" i="23"/>
  <c r="R20" i="23"/>
  <c r="Y19" i="23"/>
  <c r="X19" i="23"/>
  <c r="W19" i="23"/>
  <c r="V19" i="23"/>
  <c r="U19" i="23"/>
  <c r="T19" i="23"/>
  <c r="S19" i="23"/>
  <c r="R19" i="23"/>
  <c r="Y18" i="23"/>
  <c r="X18" i="23"/>
  <c r="W18" i="23"/>
  <c r="V18" i="23"/>
  <c r="U18" i="23"/>
  <c r="T18" i="23"/>
  <c r="S18" i="23"/>
  <c r="R18" i="23"/>
  <c r="Y17" i="23"/>
  <c r="X17" i="23"/>
  <c r="W17" i="23"/>
  <c r="V17" i="23"/>
  <c r="U17" i="23"/>
  <c r="T17" i="23"/>
  <c r="S17" i="23"/>
  <c r="R17" i="23"/>
  <c r="Y16" i="23"/>
  <c r="X16" i="23"/>
  <c r="W16" i="23"/>
  <c r="V16" i="23"/>
  <c r="U16" i="23"/>
  <c r="T16" i="23"/>
  <c r="S16" i="23"/>
  <c r="R16" i="23"/>
  <c r="Y15" i="23"/>
  <c r="X15" i="23"/>
  <c r="W15" i="23"/>
  <c r="V15" i="23"/>
  <c r="U15" i="23"/>
  <c r="T15" i="23"/>
  <c r="S15" i="23"/>
  <c r="R15" i="23"/>
  <c r="Y14" i="23"/>
  <c r="X14" i="23"/>
  <c r="W14" i="23"/>
  <c r="V14" i="23"/>
  <c r="U14" i="23"/>
  <c r="T14" i="23"/>
  <c r="S14" i="23"/>
  <c r="R14" i="23"/>
  <c r="Y13" i="23"/>
  <c r="X13" i="23"/>
  <c r="W13" i="23"/>
  <c r="W12" i="23" s="1"/>
  <c r="V13" i="23"/>
  <c r="U13" i="23"/>
  <c r="T13" i="23"/>
  <c r="S13" i="23"/>
  <c r="S12" i="23" s="1"/>
  <c r="R13" i="23"/>
  <c r="AU12" i="23"/>
  <c r="AT12" i="23"/>
  <c r="AS12" i="23"/>
  <c r="AR12" i="23"/>
  <c r="AQ12" i="23"/>
  <c r="AP12" i="23"/>
  <c r="AO12" i="23"/>
  <c r="AN12" i="23"/>
  <c r="AM12" i="23"/>
  <c r="AL12" i="23"/>
  <c r="AK12" i="23"/>
  <c r="AJ12" i="23"/>
  <c r="AI12" i="23"/>
  <c r="AH12" i="23"/>
  <c r="AG12" i="23"/>
  <c r="AF12" i="23"/>
  <c r="AE12" i="23"/>
  <c r="AD12" i="23"/>
  <c r="AC12" i="23"/>
  <c r="AB12" i="23"/>
  <c r="AA12" i="23"/>
  <c r="Z12" i="23"/>
  <c r="Y12" i="23"/>
  <c r="X12" i="23"/>
  <c r="V12" i="23"/>
  <c r="U12" i="23"/>
  <c r="T12" i="23"/>
  <c r="R12" i="23"/>
  <c r="Q12" i="23"/>
  <c r="P12" i="23"/>
  <c r="O12" i="23"/>
  <c r="N12" i="23"/>
  <c r="M12" i="23"/>
  <c r="L12" i="23"/>
  <c r="K12" i="23"/>
  <c r="J12" i="23"/>
  <c r="I12" i="23"/>
  <c r="H12" i="23"/>
  <c r="G12" i="23"/>
  <c r="F12" i="23"/>
  <c r="E12" i="23"/>
  <c r="A174" i="23" s="1"/>
  <c r="E26" i="29" s="1"/>
  <c r="D12" i="23"/>
  <c r="C12" i="23"/>
  <c r="B12" i="23"/>
  <c r="A5" i="23"/>
  <c r="A3" i="23"/>
  <c r="A2" i="23"/>
  <c r="B164" i="22"/>
  <c r="B163" i="22"/>
  <c r="B162" i="22"/>
  <c r="B157" i="22"/>
  <c r="B156" i="22"/>
  <c r="B132" i="22"/>
  <c r="B112" i="22"/>
  <c r="B111" i="22"/>
  <c r="CE71" i="22"/>
  <c r="CB71" i="22"/>
  <c r="CA71" i="22"/>
  <c r="R71" i="22" s="1"/>
  <c r="C71" i="22"/>
  <c r="CF71" i="22" s="1"/>
  <c r="CA70" i="22"/>
  <c r="R70" i="22" s="1"/>
  <c r="C70" i="22"/>
  <c r="CB70" i="22" s="1"/>
  <c r="CB69" i="22"/>
  <c r="C69" i="22"/>
  <c r="CF69" i="22" s="1"/>
  <c r="CE68" i="22"/>
  <c r="C68" i="22"/>
  <c r="CB68" i="22" s="1"/>
  <c r="CE67" i="22"/>
  <c r="CA67" i="22"/>
  <c r="C67" i="22"/>
  <c r="CF67" i="22" s="1"/>
  <c r="C66" i="22"/>
  <c r="C65" i="22"/>
  <c r="CF64" i="22"/>
  <c r="CE64" i="22"/>
  <c r="CB64" i="22"/>
  <c r="CA64" i="22"/>
  <c r="R64" i="22" s="1"/>
  <c r="CF63" i="22"/>
  <c r="CE63" i="22"/>
  <c r="CB63" i="22"/>
  <c r="R63" i="22" s="1"/>
  <c r="CA63" i="22"/>
  <c r="CB62" i="22"/>
  <c r="C62" i="22"/>
  <c r="CF62" i="22" s="1"/>
  <c r="CE61" i="22"/>
  <c r="C61" i="22"/>
  <c r="CB61" i="22" s="1"/>
  <c r="R60" i="22"/>
  <c r="L60" i="22"/>
  <c r="K60" i="22"/>
  <c r="J60" i="22"/>
  <c r="I60" i="22"/>
  <c r="H60" i="22"/>
  <c r="G60" i="22"/>
  <c r="F60" i="22"/>
  <c r="E60" i="22"/>
  <c r="D60" i="22"/>
  <c r="C60" i="22"/>
  <c r="CF59" i="22"/>
  <c r="CE59" i="22"/>
  <c r="CB59" i="22"/>
  <c r="CA59" i="22"/>
  <c r="R59" i="22" s="1"/>
  <c r="CE58" i="22"/>
  <c r="CA58" i="22"/>
  <c r="C58" i="22"/>
  <c r="CF58" i="22" s="1"/>
  <c r="CF57" i="22"/>
  <c r="C57" i="22"/>
  <c r="C56" i="22"/>
  <c r="CE55" i="22"/>
  <c r="CA55" i="22"/>
  <c r="R55" i="22"/>
  <c r="C55" i="22"/>
  <c r="CB55" i="22" s="1"/>
  <c r="CE54" i="22"/>
  <c r="CA54" i="22"/>
  <c r="C54" i="22"/>
  <c r="CF54" i="22" s="1"/>
  <c r="CA53" i="22"/>
  <c r="R53" i="22" s="1"/>
  <c r="C53" i="22"/>
  <c r="CB53" i="22" s="1"/>
  <c r="CB52" i="22"/>
  <c r="C52" i="22"/>
  <c r="CF52" i="22" s="1"/>
  <c r="CE51" i="22"/>
  <c r="CA51" i="22"/>
  <c r="R51" i="22"/>
  <c r="C51" i="22"/>
  <c r="CB51" i="22" s="1"/>
  <c r="CE50" i="22"/>
  <c r="CB50" i="22"/>
  <c r="CA50" i="22"/>
  <c r="R50" i="22" s="1"/>
  <c r="C50" i="22"/>
  <c r="CF50" i="22" s="1"/>
  <c r="C49" i="22"/>
  <c r="C48" i="22"/>
  <c r="CE47" i="22"/>
  <c r="C47" i="22"/>
  <c r="CB47" i="22" s="1"/>
  <c r="CE46" i="22"/>
  <c r="CA46" i="22"/>
  <c r="C46" i="22"/>
  <c r="CF46" i="22" s="1"/>
  <c r="CA45" i="22"/>
  <c r="R45" i="22" s="1"/>
  <c r="C45" i="22"/>
  <c r="CB45" i="22" s="1"/>
  <c r="CB44" i="22"/>
  <c r="C44" i="22"/>
  <c r="CF44" i="22" s="1"/>
  <c r="CE43" i="22"/>
  <c r="CA43" i="22"/>
  <c r="R43" i="22"/>
  <c r="C43" i="22"/>
  <c r="CB43" i="22" s="1"/>
  <c r="CE42" i="22"/>
  <c r="CB42" i="22"/>
  <c r="CA42" i="22"/>
  <c r="R42" i="22" s="1"/>
  <c r="C42" i="22"/>
  <c r="CF42" i="22" s="1"/>
  <c r="C41" i="22"/>
  <c r="C40" i="22"/>
  <c r="CE39" i="22"/>
  <c r="C39" i="22"/>
  <c r="CB39" i="22" s="1"/>
  <c r="CE38" i="22"/>
  <c r="CA38" i="22"/>
  <c r="C38" i="22"/>
  <c r="CF38" i="22" s="1"/>
  <c r="CA37" i="22"/>
  <c r="R37" i="22" s="1"/>
  <c r="C37" i="22"/>
  <c r="CB37" i="22" s="1"/>
  <c r="CB36" i="22"/>
  <c r="C36" i="22"/>
  <c r="CF36" i="22" s="1"/>
  <c r="CE35" i="22"/>
  <c r="CA35" i="22"/>
  <c r="R35" i="22"/>
  <c r="C35" i="22"/>
  <c r="CB35" i="22" s="1"/>
  <c r="CE34" i="22"/>
  <c r="CB34" i="22"/>
  <c r="CA34" i="22"/>
  <c r="R34" i="22" s="1"/>
  <c r="C34" i="22"/>
  <c r="CF34" i="22" s="1"/>
  <c r="R33" i="22"/>
  <c r="L33" i="22"/>
  <c r="K33" i="22"/>
  <c r="J33" i="22"/>
  <c r="I33" i="22"/>
  <c r="H33" i="22"/>
  <c r="G33" i="22"/>
  <c r="F33" i="22"/>
  <c r="E33" i="22"/>
  <c r="D33" i="22"/>
  <c r="CB32" i="22"/>
  <c r="C32" i="22"/>
  <c r="CA32" i="22" s="1"/>
  <c r="R32" i="22" s="1"/>
  <c r="CB28" i="22"/>
  <c r="D28" i="22"/>
  <c r="C28" i="22"/>
  <c r="B28" i="22" s="1"/>
  <c r="CA27" i="22"/>
  <c r="D27" i="22"/>
  <c r="C27" i="22"/>
  <c r="B27" i="22"/>
  <c r="D25" i="22"/>
  <c r="C25" i="22"/>
  <c r="B25" i="22" s="1"/>
  <c r="CF24" i="22"/>
  <c r="D24" i="22"/>
  <c r="C24" i="22"/>
  <c r="B24" i="22"/>
  <c r="CE24" i="22" s="1"/>
  <c r="D22" i="22"/>
  <c r="C22" i="22"/>
  <c r="B22" i="22" s="1"/>
  <c r="D21" i="22"/>
  <c r="C21" i="22"/>
  <c r="B21" i="22"/>
  <c r="D20" i="22"/>
  <c r="C20" i="22"/>
  <c r="B20" i="22" s="1"/>
  <c r="CF19" i="22"/>
  <c r="D19" i="22"/>
  <c r="C19" i="22"/>
  <c r="B19" i="22"/>
  <c r="CE19" i="22" s="1"/>
  <c r="CB18" i="22"/>
  <c r="D18" i="22"/>
  <c r="C18" i="22"/>
  <c r="B18" i="22" s="1"/>
  <c r="CA17" i="22"/>
  <c r="D17" i="22"/>
  <c r="C17" i="22"/>
  <c r="B17" i="22"/>
  <c r="D15" i="22"/>
  <c r="C15" i="22"/>
  <c r="B15" i="22" s="1"/>
  <c r="CF14" i="22"/>
  <c r="D14" i="22"/>
  <c r="C14" i="22"/>
  <c r="B14" i="22"/>
  <c r="CE14" i="22" s="1"/>
  <c r="D13" i="22"/>
  <c r="C13" i="22"/>
  <c r="B13" i="22" s="1"/>
  <c r="D12" i="22"/>
  <c r="C12" i="22"/>
  <c r="B12" i="22"/>
  <c r="A5" i="22"/>
  <c r="A3" i="22"/>
  <c r="A2" i="22"/>
  <c r="B310" i="21"/>
  <c r="B309" i="21"/>
  <c r="B308" i="21"/>
  <c r="B307" i="21"/>
  <c r="B306" i="21"/>
  <c r="B305" i="21"/>
  <c r="B304" i="21"/>
  <c r="B303" i="21"/>
  <c r="B302" i="21"/>
  <c r="B301" i="21"/>
  <c r="B300" i="21"/>
  <c r="B299" i="21"/>
  <c r="B298" i="21"/>
  <c r="B297" i="21"/>
  <c r="B296" i="21"/>
  <c r="B295" i="21"/>
  <c r="B294" i="21"/>
  <c r="B293" i="21"/>
  <c r="B292" i="21"/>
  <c r="B291" i="21"/>
  <c r="B290" i="21"/>
  <c r="B286" i="21"/>
  <c r="B285" i="21"/>
  <c r="B284" i="21"/>
  <c r="B283" i="21"/>
  <c r="B282" i="21"/>
  <c r="B281" i="21"/>
  <c r="B280" i="21"/>
  <c r="B279" i="21"/>
  <c r="B278" i="21"/>
  <c r="B277" i="21"/>
  <c r="B276" i="21"/>
  <c r="B275" i="21"/>
  <c r="B274" i="21"/>
  <c r="B273" i="21"/>
  <c r="B272" i="21"/>
  <c r="B271" i="21"/>
  <c r="B270" i="21"/>
  <c r="B269" i="21"/>
  <c r="B268" i="21"/>
  <c r="B267" i="21"/>
  <c r="B266" i="21"/>
  <c r="B265" i="21"/>
  <c r="B264" i="21"/>
  <c r="B263" i="21"/>
  <c r="B262" i="21"/>
  <c r="B261" i="21"/>
  <c r="B260" i="21"/>
  <c r="B256" i="21"/>
  <c r="B255" i="21"/>
  <c r="B254" i="21"/>
  <c r="B249" i="21"/>
  <c r="X215" i="21"/>
  <c r="W215" i="21"/>
  <c r="V215" i="21"/>
  <c r="U215" i="21"/>
  <c r="T215" i="21"/>
  <c r="S215" i="21"/>
  <c r="R215" i="21"/>
  <c r="Q215" i="21"/>
  <c r="P215" i="21"/>
  <c r="O215" i="21"/>
  <c r="N215" i="21"/>
  <c r="M215" i="21"/>
  <c r="L215" i="21"/>
  <c r="K215" i="21"/>
  <c r="J215" i="21"/>
  <c r="I215" i="21"/>
  <c r="H215" i="21"/>
  <c r="G215" i="21"/>
  <c r="F215" i="21"/>
  <c r="E215" i="21"/>
  <c r="D215" i="21"/>
  <c r="C215" i="21"/>
  <c r="CA214" i="21"/>
  <c r="Y214" i="21" s="1"/>
  <c r="B214" i="21"/>
  <c r="CM214" i="21" s="1"/>
  <c r="B213" i="21"/>
  <c r="CM213" i="21" s="1"/>
  <c r="B212" i="21"/>
  <c r="CA211" i="21"/>
  <c r="Y211" i="21"/>
  <c r="B211" i="21"/>
  <c r="CM211" i="21" s="1"/>
  <c r="X206" i="21"/>
  <c r="W206" i="21"/>
  <c r="V206" i="21"/>
  <c r="U206" i="21"/>
  <c r="T206" i="21"/>
  <c r="S206" i="21"/>
  <c r="R206" i="21"/>
  <c r="Q206" i="21"/>
  <c r="P206" i="21"/>
  <c r="O206" i="21"/>
  <c r="N206" i="21"/>
  <c r="M206" i="21"/>
  <c r="L206" i="21"/>
  <c r="K206" i="21"/>
  <c r="J206" i="21"/>
  <c r="I206" i="21"/>
  <c r="H206" i="21"/>
  <c r="G206" i="21"/>
  <c r="F206" i="21"/>
  <c r="E206" i="21"/>
  <c r="D206" i="21"/>
  <c r="C206" i="21"/>
  <c r="Y205" i="21"/>
  <c r="B205" i="21"/>
  <c r="CA205" i="21" s="1"/>
  <c r="B204" i="21"/>
  <c r="CM203" i="21"/>
  <c r="Y203" i="21"/>
  <c r="B203" i="21"/>
  <c r="CA203" i="21" s="1"/>
  <c r="CM202" i="21"/>
  <c r="B202" i="21"/>
  <c r="CA202" i="21" s="1"/>
  <c r="Y202" i="21" s="1"/>
  <c r="Y201" i="21"/>
  <c r="B201" i="21"/>
  <c r="CA201" i="21" s="1"/>
  <c r="B200" i="21"/>
  <c r="X195" i="21"/>
  <c r="W195" i="21"/>
  <c r="V195" i="21"/>
  <c r="U195" i="21"/>
  <c r="T195" i="21"/>
  <c r="S195" i="21"/>
  <c r="R195" i="21"/>
  <c r="Q195" i="21"/>
  <c r="P195" i="21"/>
  <c r="O195" i="21"/>
  <c r="N195" i="21"/>
  <c r="M195" i="21"/>
  <c r="L195" i="21"/>
  <c r="K195" i="21"/>
  <c r="J195" i="21"/>
  <c r="I195" i="21"/>
  <c r="H195" i="21"/>
  <c r="G195" i="21"/>
  <c r="F195" i="21"/>
  <c r="E195" i="21"/>
  <c r="D195" i="21"/>
  <c r="C195" i="21"/>
  <c r="CM194" i="21"/>
  <c r="CA194" i="21"/>
  <c r="Y194" i="21"/>
  <c r="B194" i="21"/>
  <c r="CM193" i="21"/>
  <c r="CA193" i="21"/>
  <c r="Y193" i="21"/>
  <c r="B193" i="21"/>
  <c r="CM192" i="21"/>
  <c r="CA192" i="21"/>
  <c r="Y192" i="21"/>
  <c r="B192" i="21"/>
  <c r="CM191" i="21"/>
  <c r="CA191" i="21"/>
  <c r="Y191" i="21"/>
  <c r="B191" i="21"/>
  <c r="CM190" i="21"/>
  <c r="CA190" i="21"/>
  <c r="Y190" i="21"/>
  <c r="B190" i="21"/>
  <c r="CM189" i="21"/>
  <c r="CA189" i="21"/>
  <c r="Y189" i="21"/>
  <c r="B189" i="21"/>
  <c r="CM188" i="21"/>
  <c r="CA188" i="21"/>
  <c r="Y188" i="21"/>
  <c r="B188" i="21"/>
  <c r="B195" i="21" s="1"/>
  <c r="D183" i="21"/>
  <c r="C183" i="21"/>
  <c r="B183" i="21" s="1"/>
  <c r="D182" i="21"/>
  <c r="C182" i="21"/>
  <c r="B182" i="21" s="1"/>
  <c r="CM181" i="21"/>
  <c r="D181" i="21"/>
  <c r="C181" i="21"/>
  <c r="B181" i="21" s="1"/>
  <c r="CA181" i="21" s="1"/>
  <c r="AP181" i="21" s="1"/>
  <c r="D180" i="21"/>
  <c r="D178" i="21" s="1"/>
  <c r="C180" i="21"/>
  <c r="B180" i="21" s="1"/>
  <c r="D179" i="21"/>
  <c r="C179" i="21"/>
  <c r="AO178" i="21"/>
  <c r="AN178" i="21"/>
  <c r="AM178" i="21"/>
  <c r="AL178" i="21"/>
  <c r="AK178" i="21"/>
  <c r="AJ178" i="21"/>
  <c r="AI178" i="21"/>
  <c r="AH178" i="21"/>
  <c r="AG178" i="21"/>
  <c r="AF178" i="21"/>
  <c r="AE178" i="21"/>
  <c r="AD178" i="21"/>
  <c r="AC178" i="21"/>
  <c r="AB178" i="21"/>
  <c r="AA178" i="21"/>
  <c r="Z178" i="21"/>
  <c r="Y178" i="21"/>
  <c r="X178" i="21"/>
  <c r="W178" i="21"/>
  <c r="V178" i="21"/>
  <c r="U178" i="21"/>
  <c r="T178" i="21"/>
  <c r="S178" i="21"/>
  <c r="R178" i="21"/>
  <c r="Q178" i="21"/>
  <c r="P178" i="21"/>
  <c r="O178" i="21"/>
  <c r="N178" i="21"/>
  <c r="M178" i="21"/>
  <c r="L178" i="21"/>
  <c r="K178" i="21"/>
  <c r="J178" i="21"/>
  <c r="I178" i="21"/>
  <c r="H178" i="21"/>
  <c r="G178" i="21"/>
  <c r="F178" i="21"/>
  <c r="E178" i="21"/>
  <c r="D177" i="21"/>
  <c r="C177" i="21"/>
  <c r="B177" i="21" s="1"/>
  <c r="D176" i="21"/>
  <c r="C176" i="21"/>
  <c r="B176" i="21" s="1"/>
  <c r="D175" i="21"/>
  <c r="C175" i="21"/>
  <c r="B175" i="21" s="1"/>
  <c r="CM174" i="21"/>
  <c r="D174" i="21"/>
  <c r="C174" i="21"/>
  <c r="B174" i="21" s="1"/>
  <c r="CA174" i="21" s="1"/>
  <c r="AP174" i="21" s="1"/>
  <c r="D173" i="21"/>
  <c r="C173" i="21"/>
  <c r="B173" i="21" s="1"/>
  <c r="D172" i="21"/>
  <c r="C172" i="21"/>
  <c r="B172" i="21" s="1"/>
  <c r="D171" i="21"/>
  <c r="C171" i="21"/>
  <c r="B171" i="21" s="1"/>
  <c r="CM170" i="21"/>
  <c r="D170" i="21"/>
  <c r="C170" i="21"/>
  <c r="B170" i="21" s="1"/>
  <c r="CA170" i="21" s="1"/>
  <c r="AP170" i="21" s="1"/>
  <c r="D169" i="21"/>
  <c r="C169" i="21"/>
  <c r="B169" i="21" s="1"/>
  <c r="D168" i="21"/>
  <c r="C168" i="21"/>
  <c r="B168" i="21" s="1"/>
  <c r="D167" i="21"/>
  <c r="C167" i="21"/>
  <c r="B167" i="21" s="1"/>
  <c r="CM166" i="21"/>
  <c r="D166" i="21"/>
  <c r="C166" i="21"/>
  <c r="B166" i="21" s="1"/>
  <c r="CA166" i="21" s="1"/>
  <c r="AP166" i="21" s="1"/>
  <c r="D165" i="21"/>
  <c r="C165" i="21"/>
  <c r="B165" i="21" s="1"/>
  <c r="D164" i="21"/>
  <c r="C164" i="21"/>
  <c r="B164" i="21" s="1"/>
  <c r="D163" i="21"/>
  <c r="C163" i="21"/>
  <c r="B163" i="21" s="1"/>
  <c r="CM162" i="21"/>
  <c r="D162" i="21"/>
  <c r="C162" i="21"/>
  <c r="B162" i="21" s="1"/>
  <c r="CA162" i="21" s="1"/>
  <c r="AP162" i="21" s="1"/>
  <c r="D161" i="21"/>
  <c r="C161" i="21"/>
  <c r="B161" i="21" s="1"/>
  <c r="D160" i="21"/>
  <c r="C160" i="21"/>
  <c r="B160" i="21" s="1"/>
  <c r="D159" i="21"/>
  <c r="C159" i="21"/>
  <c r="B159" i="21" s="1"/>
  <c r="CM158" i="21"/>
  <c r="D158" i="21"/>
  <c r="C158" i="21"/>
  <c r="B158" i="21" s="1"/>
  <c r="CA158" i="21" s="1"/>
  <c r="AP158" i="21" s="1"/>
  <c r="D157" i="21"/>
  <c r="C157" i="21"/>
  <c r="B157" i="21" s="1"/>
  <c r="D156" i="21"/>
  <c r="C156" i="21"/>
  <c r="B156" i="21" s="1"/>
  <c r="D155" i="21"/>
  <c r="C155" i="21"/>
  <c r="B155" i="21" s="1"/>
  <c r="CM154" i="21"/>
  <c r="D154" i="21"/>
  <c r="C154" i="21"/>
  <c r="B154" i="21" s="1"/>
  <c r="CA154" i="21" s="1"/>
  <c r="AP154" i="21" s="1"/>
  <c r="D153" i="21"/>
  <c r="C153" i="21"/>
  <c r="B153" i="21" s="1"/>
  <c r="D152" i="21"/>
  <c r="C152" i="21"/>
  <c r="B152" i="21" s="1"/>
  <c r="D151" i="21"/>
  <c r="C151" i="21"/>
  <c r="B151" i="21" s="1"/>
  <c r="CM150" i="21"/>
  <c r="D150" i="21"/>
  <c r="C150" i="21"/>
  <c r="B150" i="21" s="1"/>
  <c r="CA150" i="21" s="1"/>
  <c r="AP150" i="21" s="1"/>
  <c r="D149" i="21"/>
  <c r="C149" i="21"/>
  <c r="B149" i="21" s="1"/>
  <c r="CM124" i="21"/>
  <c r="CA124" i="21"/>
  <c r="L124" i="21"/>
  <c r="B124" i="21"/>
  <c r="CM123" i="21"/>
  <c r="CA123" i="21"/>
  <c r="L123" i="21"/>
  <c r="B123" i="21"/>
  <c r="CM122" i="21"/>
  <c r="CA122" i="21"/>
  <c r="L122" i="21"/>
  <c r="B122" i="21"/>
  <c r="CO118" i="21"/>
  <c r="CN118" i="21"/>
  <c r="CM118" i="21"/>
  <c r="CB118" i="21"/>
  <c r="CA118" i="21"/>
  <c r="B118" i="21"/>
  <c r="CC118" i="21" s="1"/>
  <c r="CO117" i="21"/>
  <c r="CN117" i="21"/>
  <c r="CM117" i="21"/>
  <c r="CB117" i="21"/>
  <c r="I117" i="21" s="1"/>
  <c r="CA117" i="21"/>
  <c r="B117" i="21"/>
  <c r="CC117" i="21" s="1"/>
  <c r="E113" i="21"/>
  <c r="D113" i="21"/>
  <c r="C113" i="21"/>
  <c r="B113" i="21"/>
  <c r="E105" i="21"/>
  <c r="D105" i="21"/>
  <c r="C105" i="21"/>
  <c r="B105" i="21"/>
  <c r="E97" i="21"/>
  <c r="D97" i="21"/>
  <c r="C97" i="21"/>
  <c r="B97" i="21"/>
  <c r="Z77" i="21"/>
  <c r="Y77" i="21"/>
  <c r="X77" i="21"/>
  <c r="W77" i="21"/>
  <c r="V77" i="21"/>
  <c r="U77" i="21"/>
  <c r="T77" i="21"/>
  <c r="S77" i="21"/>
  <c r="R77" i="21"/>
  <c r="Q77" i="21"/>
  <c r="P77" i="21"/>
  <c r="O77" i="21"/>
  <c r="N77" i="21"/>
  <c r="M77" i="21"/>
  <c r="L77" i="21"/>
  <c r="K77" i="21"/>
  <c r="J77" i="21"/>
  <c r="I77" i="21"/>
  <c r="H77" i="21"/>
  <c r="G77" i="21"/>
  <c r="F77" i="21"/>
  <c r="E77" i="21"/>
  <c r="D77" i="21"/>
  <c r="C77" i="21"/>
  <c r="CA76" i="21"/>
  <c r="B76" i="21"/>
  <c r="CN76" i="21" s="1"/>
  <c r="B75" i="21"/>
  <c r="CA74" i="21"/>
  <c r="B74" i="21"/>
  <c r="CN74" i="21" s="1"/>
  <c r="B73" i="21"/>
  <c r="Z69" i="21"/>
  <c r="Y69" i="21"/>
  <c r="X69" i="21"/>
  <c r="W69" i="21"/>
  <c r="V69" i="21"/>
  <c r="U69" i="21"/>
  <c r="T69" i="21"/>
  <c r="S69" i="21"/>
  <c r="R69" i="21"/>
  <c r="Q69" i="21"/>
  <c r="P69" i="21"/>
  <c r="O69" i="21"/>
  <c r="N69" i="21"/>
  <c r="M69" i="21"/>
  <c r="L69" i="21"/>
  <c r="K69" i="21"/>
  <c r="J69" i="21"/>
  <c r="I69" i="21"/>
  <c r="H69" i="21"/>
  <c r="G69" i="21"/>
  <c r="F69" i="21"/>
  <c r="E69" i="21"/>
  <c r="D69" i="21"/>
  <c r="C69" i="21"/>
  <c r="CN68" i="21"/>
  <c r="CB68" i="21"/>
  <c r="AA68" i="21" s="1"/>
  <c r="CA68" i="21"/>
  <c r="B68" i="21"/>
  <c r="CM68" i="21" s="1"/>
  <c r="CN67" i="21"/>
  <c r="CB67" i="21"/>
  <c r="B67" i="21"/>
  <c r="CM67" i="21" s="1"/>
  <c r="CN66" i="21"/>
  <c r="CB66" i="21"/>
  <c r="AA66" i="21" s="1"/>
  <c r="CA66" i="21"/>
  <c r="B66" i="21"/>
  <c r="CM66" i="21" s="1"/>
  <c r="CN65" i="21"/>
  <c r="CB65" i="21"/>
  <c r="B65" i="21"/>
  <c r="B69" i="21" s="1"/>
  <c r="H61" i="21"/>
  <c r="G61" i="21"/>
  <c r="F61" i="21"/>
  <c r="E61" i="21"/>
  <c r="D61" i="21"/>
  <c r="C61" i="21"/>
  <c r="B60" i="21"/>
  <c r="CC59" i="21"/>
  <c r="B59" i="21"/>
  <c r="B58" i="21"/>
  <c r="CC57" i="21"/>
  <c r="B57" i="21"/>
  <c r="B56" i="21"/>
  <c r="D52" i="21"/>
  <c r="B52" i="21" s="1"/>
  <c r="CM52" i="21" s="1"/>
  <c r="CB52" i="21" s="1"/>
  <c r="AQ52" i="21" s="1"/>
  <c r="C52" i="21"/>
  <c r="CB51" i="21"/>
  <c r="AQ51" i="21" s="1"/>
  <c r="D51" i="21"/>
  <c r="C51" i="21"/>
  <c r="B51" i="21"/>
  <c r="CM51" i="21" s="1"/>
  <c r="D50" i="21"/>
  <c r="B50" i="21" s="1"/>
  <c r="CM50" i="21" s="1"/>
  <c r="CB50" i="21" s="1"/>
  <c r="AQ50" i="21" s="1"/>
  <c r="C50" i="21"/>
  <c r="CB49" i="21"/>
  <c r="AQ49" i="21" s="1"/>
  <c r="D49" i="21"/>
  <c r="C49" i="21"/>
  <c r="B49" i="21"/>
  <c r="CM49" i="21" s="1"/>
  <c r="D48" i="21"/>
  <c r="B48" i="21" s="1"/>
  <c r="CM48" i="21" s="1"/>
  <c r="CB48" i="21" s="1"/>
  <c r="AQ48" i="21" s="1"/>
  <c r="C48" i="21"/>
  <c r="CB47" i="21"/>
  <c r="AQ47" i="21" s="1"/>
  <c r="D47" i="21"/>
  <c r="C47" i="21"/>
  <c r="B47" i="21"/>
  <c r="CM47" i="21" s="1"/>
  <c r="D46" i="21"/>
  <c r="B46" i="21" s="1"/>
  <c r="CM46" i="21" s="1"/>
  <c r="CB46" i="21" s="1"/>
  <c r="AQ46" i="21" s="1"/>
  <c r="C46" i="21"/>
  <c r="AQ45" i="21"/>
  <c r="D45" i="21"/>
  <c r="B45" i="21" s="1"/>
  <c r="C45" i="21"/>
  <c r="D44" i="21"/>
  <c r="C44" i="21"/>
  <c r="B44" i="21"/>
  <c r="CM44" i="21" s="1"/>
  <c r="CB44" i="21" s="1"/>
  <c r="AQ44" i="21" s="1"/>
  <c r="D43" i="21"/>
  <c r="B43" i="21" s="1"/>
  <c r="CM43" i="21" s="1"/>
  <c r="CB43" i="21" s="1"/>
  <c r="AQ43" i="21" s="1"/>
  <c r="C43" i="21"/>
  <c r="D42" i="21"/>
  <c r="C42" i="21"/>
  <c r="B42" i="21"/>
  <c r="CM42" i="21" s="1"/>
  <c r="CB42" i="21" s="1"/>
  <c r="AQ42" i="21" s="1"/>
  <c r="D41" i="21"/>
  <c r="B41" i="21" s="1"/>
  <c r="CM41" i="21" s="1"/>
  <c r="CB41" i="21" s="1"/>
  <c r="AQ41" i="21" s="1"/>
  <c r="C41" i="21"/>
  <c r="D40" i="21"/>
  <c r="C40" i="21"/>
  <c r="B40" i="21"/>
  <c r="CM40" i="21" s="1"/>
  <c r="CB40" i="21" s="1"/>
  <c r="AQ40" i="21" s="1"/>
  <c r="D39" i="21"/>
  <c r="B39" i="21" s="1"/>
  <c r="CM39" i="21" s="1"/>
  <c r="CB39" i="21" s="1"/>
  <c r="AQ39" i="21" s="1"/>
  <c r="C39" i="21"/>
  <c r="D38" i="21"/>
  <c r="C38" i="21"/>
  <c r="B38" i="21"/>
  <c r="CM38" i="21" s="1"/>
  <c r="CB38" i="21" s="1"/>
  <c r="AQ38" i="21" s="1"/>
  <c r="D37" i="21"/>
  <c r="B37" i="21" s="1"/>
  <c r="CM37" i="21" s="1"/>
  <c r="CB37" i="21" s="1"/>
  <c r="AQ37" i="21" s="1"/>
  <c r="C37" i="21"/>
  <c r="D36" i="21"/>
  <c r="C36" i="21"/>
  <c r="B36" i="21"/>
  <c r="CM36" i="21" s="1"/>
  <c r="CB36" i="21" s="1"/>
  <c r="AQ36" i="21" s="1"/>
  <c r="D35" i="21"/>
  <c r="B35" i="21" s="1"/>
  <c r="CM35" i="21" s="1"/>
  <c r="CB35" i="21" s="1"/>
  <c r="AQ35" i="21" s="1"/>
  <c r="C35" i="21"/>
  <c r="D34" i="21"/>
  <c r="C34" i="21"/>
  <c r="B34" i="21"/>
  <c r="CM34" i="21" s="1"/>
  <c r="CB34" i="21" s="1"/>
  <c r="AQ34" i="21" s="1"/>
  <c r="D33" i="21"/>
  <c r="B33" i="21" s="1"/>
  <c r="CM33" i="21" s="1"/>
  <c r="CB33" i="21" s="1"/>
  <c r="AQ33" i="21" s="1"/>
  <c r="C33" i="21"/>
  <c r="D32" i="21"/>
  <c r="C32" i="21"/>
  <c r="B32" i="21"/>
  <c r="CM32" i="21" s="1"/>
  <c r="CB32" i="21" s="1"/>
  <c r="AQ32" i="21" s="1"/>
  <c r="D31" i="21"/>
  <c r="B31" i="21" s="1"/>
  <c r="CM31" i="21" s="1"/>
  <c r="CB31" i="21" s="1"/>
  <c r="AQ31" i="21" s="1"/>
  <c r="C31" i="21"/>
  <c r="D30" i="21"/>
  <c r="C30" i="21"/>
  <c r="B30" i="21"/>
  <c r="CQ29" i="21"/>
  <c r="CP29" i="21"/>
  <c r="CE29" i="21" s="1"/>
  <c r="CO29" i="21"/>
  <c r="CN29" i="21"/>
  <c r="CC29" i="21" s="1"/>
  <c r="CF29" i="21"/>
  <c r="CD29" i="21"/>
  <c r="D29" i="21"/>
  <c r="C29" i="21"/>
  <c r="B29" i="21" s="1"/>
  <c r="CM29" i="21" s="1"/>
  <c r="CB29" i="21" s="1"/>
  <c r="CA24" i="21"/>
  <c r="D24" i="21"/>
  <c r="C24" i="21"/>
  <c r="B24" i="21"/>
  <c r="CM23" i="21"/>
  <c r="D23" i="21"/>
  <c r="C23" i="21"/>
  <c r="B23" i="21"/>
  <c r="D22" i="21"/>
  <c r="B22" i="21" s="1"/>
  <c r="C22" i="21"/>
  <c r="D21" i="21"/>
  <c r="C21" i="21"/>
  <c r="B21" i="21"/>
  <c r="CC21" i="21" s="1"/>
  <c r="CM20" i="21"/>
  <c r="CA20" i="21"/>
  <c r="D20" i="21"/>
  <c r="C20" i="21"/>
  <c r="B20" i="21"/>
  <c r="AS19" i="21"/>
  <c r="AR19" i="21"/>
  <c r="AQ19" i="21"/>
  <c r="AP19" i="21"/>
  <c r="AO19" i="21"/>
  <c r="AN19" i="21"/>
  <c r="AM19" i="21"/>
  <c r="AL19" i="21"/>
  <c r="AK19" i="21"/>
  <c r="AJ19" i="21"/>
  <c r="AI19" i="21"/>
  <c r="AH19" i="21"/>
  <c r="AG19" i="21"/>
  <c r="AF19" i="21"/>
  <c r="AE19" i="21"/>
  <c r="AD19" i="21"/>
  <c r="AC19" i="21"/>
  <c r="AB19" i="21"/>
  <c r="AA19" i="21"/>
  <c r="Z19" i="21"/>
  <c r="Y19" i="21"/>
  <c r="X19" i="21"/>
  <c r="W19" i="21"/>
  <c r="V19" i="21"/>
  <c r="U19" i="21"/>
  <c r="T19" i="21"/>
  <c r="S19" i="21"/>
  <c r="R19" i="21"/>
  <c r="Q19" i="21"/>
  <c r="P19" i="21"/>
  <c r="O19" i="21"/>
  <c r="N19" i="21"/>
  <c r="M19" i="21"/>
  <c r="L19" i="21"/>
  <c r="K19" i="21"/>
  <c r="J19" i="21"/>
  <c r="I19" i="21"/>
  <c r="H19" i="21"/>
  <c r="G19" i="21"/>
  <c r="F19" i="21"/>
  <c r="D19" i="21" s="1"/>
  <c r="E19" i="21"/>
  <c r="C19" i="21" s="1"/>
  <c r="B19" i="21" s="1"/>
  <c r="CM18" i="21"/>
  <c r="D18" i="21"/>
  <c r="B18" i="21" s="1"/>
  <c r="C18" i="21"/>
  <c r="CC17" i="21"/>
  <c r="D17" i="21"/>
  <c r="C17" i="21"/>
  <c r="B17" i="21"/>
  <c r="CM16" i="21"/>
  <c r="CA16" i="21"/>
  <c r="D16" i="21"/>
  <c r="C16" i="21"/>
  <c r="B16" i="21"/>
  <c r="CO15" i="21"/>
  <c r="D15" i="21"/>
  <c r="B15" i="21" s="1"/>
  <c r="C15" i="21"/>
  <c r="D14" i="21"/>
  <c r="B14" i="21" s="1"/>
  <c r="C14" i="21"/>
  <c r="D13" i="21"/>
  <c r="C13" i="21"/>
  <c r="B13" i="21"/>
  <c r="CC13" i="21" s="1"/>
  <c r="A5" i="21"/>
  <c r="A3" i="21"/>
  <c r="A2" i="21"/>
  <c r="E215" i="20"/>
  <c r="C215" i="20" s="1"/>
  <c r="D215" i="20"/>
  <c r="E214" i="20"/>
  <c r="C214" i="20" s="1"/>
  <c r="D214" i="20"/>
  <c r="E213" i="20"/>
  <c r="C213" i="20" s="1"/>
  <c r="D213" i="20"/>
  <c r="E212" i="20"/>
  <c r="C212" i="20" s="1"/>
  <c r="D212" i="20"/>
  <c r="E211" i="20"/>
  <c r="C211" i="20" s="1"/>
  <c r="D211" i="20"/>
  <c r="E210" i="20"/>
  <c r="C210" i="20" s="1"/>
  <c r="D210" i="20"/>
  <c r="E209" i="20"/>
  <c r="C209" i="20" s="1"/>
  <c r="D209" i="20"/>
  <c r="E208" i="20"/>
  <c r="C208" i="20" s="1"/>
  <c r="D208" i="20"/>
  <c r="I203" i="20"/>
  <c r="H203" i="20"/>
  <c r="G203" i="20"/>
  <c r="F203" i="20"/>
  <c r="E203" i="20"/>
  <c r="D203" i="20"/>
  <c r="CA202" i="20"/>
  <c r="J202" i="20" s="1"/>
  <c r="D202" i="20"/>
  <c r="CK202" i="20" s="1"/>
  <c r="D201" i="20"/>
  <c r="CK201" i="20" s="1"/>
  <c r="CA200" i="20"/>
  <c r="J200" i="20" s="1"/>
  <c r="D200" i="20"/>
  <c r="CK200" i="20" s="1"/>
  <c r="D199" i="20"/>
  <c r="CK199" i="20" s="1"/>
  <c r="CA198" i="20"/>
  <c r="J198" i="20" s="1"/>
  <c r="D198" i="20"/>
  <c r="CK198" i="20" s="1"/>
  <c r="D197" i="20"/>
  <c r="CK197" i="20" s="1"/>
  <c r="CA196" i="20"/>
  <c r="J196" i="20" s="1"/>
  <c r="D196" i="20"/>
  <c r="CK196" i="20" s="1"/>
  <c r="D195" i="20"/>
  <c r="CK195" i="20" s="1"/>
  <c r="CA194" i="20"/>
  <c r="J194" i="20" s="1"/>
  <c r="D194" i="20"/>
  <c r="CK194" i="20" s="1"/>
  <c r="D193" i="20"/>
  <c r="CK193" i="20" s="1"/>
  <c r="CA192" i="20"/>
  <c r="J192" i="20" s="1"/>
  <c r="D192" i="20"/>
  <c r="CK192" i="20" s="1"/>
  <c r="D191" i="20"/>
  <c r="CK191" i="20" s="1"/>
  <c r="CA190" i="20"/>
  <c r="J190" i="20" s="1"/>
  <c r="D190" i="20"/>
  <c r="CK190" i="20" s="1"/>
  <c r="D189" i="20"/>
  <c r="CK189" i="20" s="1"/>
  <c r="CA188" i="20"/>
  <c r="J188" i="20" s="1"/>
  <c r="D188" i="20"/>
  <c r="CK188" i="20" s="1"/>
  <c r="D187" i="20"/>
  <c r="CK187" i="20" s="1"/>
  <c r="CA186" i="20"/>
  <c r="J186" i="20" s="1"/>
  <c r="D186" i="20"/>
  <c r="CK186" i="20" s="1"/>
  <c r="D185" i="20"/>
  <c r="CK185" i="20" s="1"/>
  <c r="CA184" i="20"/>
  <c r="J184" i="20" s="1"/>
  <c r="D184" i="20"/>
  <c r="CK184" i="20" s="1"/>
  <c r="D183" i="20"/>
  <c r="CK183" i="20" s="1"/>
  <c r="CA182" i="20"/>
  <c r="J182" i="20" s="1"/>
  <c r="D182" i="20"/>
  <c r="CK182" i="20" s="1"/>
  <c r="D181" i="20"/>
  <c r="CK181" i="20" s="1"/>
  <c r="CA180" i="20"/>
  <c r="J180" i="20" s="1"/>
  <c r="D180" i="20"/>
  <c r="CK180" i="20" s="1"/>
  <c r="D179" i="20"/>
  <c r="CK179" i="20" s="1"/>
  <c r="CA178" i="20"/>
  <c r="J178" i="20" s="1"/>
  <c r="D178" i="20"/>
  <c r="CK178" i="20" s="1"/>
  <c r="D177" i="20"/>
  <c r="CK177" i="20" s="1"/>
  <c r="CA176" i="20"/>
  <c r="J176" i="20" s="1"/>
  <c r="D176" i="20"/>
  <c r="CK176" i="20" s="1"/>
  <c r="D175" i="20"/>
  <c r="CK175" i="20" s="1"/>
  <c r="CA174" i="20"/>
  <c r="J174" i="20" s="1"/>
  <c r="D174" i="20"/>
  <c r="CK174" i="20" s="1"/>
  <c r="D173" i="20"/>
  <c r="CK173" i="20" s="1"/>
  <c r="CA172" i="20"/>
  <c r="J172" i="20" s="1"/>
  <c r="D172" i="20"/>
  <c r="CK172" i="20" s="1"/>
  <c r="D171" i="20"/>
  <c r="CK171" i="20" s="1"/>
  <c r="CK168" i="20"/>
  <c r="D168" i="20"/>
  <c r="CL168" i="20" s="1"/>
  <c r="CL167" i="20"/>
  <c r="CB167" i="20"/>
  <c r="S167" i="20" s="1"/>
  <c r="D167" i="20"/>
  <c r="CK167" i="20" s="1"/>
  <c r="CK166" i="20"/>
  <c r="CB166" i="20"/>
  <c r="S166" i="20"/>
  <c r="D166" i="20"/>
  <c r="CL166" i="20" s="1"/>
  <c r="D165" i="20"/>
  <c r="CK164" i="20"/>
  <c r="D164" i="20"/>
  <c r="CL164" i="20" s="1"/>
  <c r="CL163" i="20"/>
  <c r="D163" i="20"/>
  <c r="CK163" i="20" s="1"/>
  <c r="CK162" i="20"/>
  <c r="CB162" i="20"/>
  <c r="S162" i="20"/>
  <c r="D162" i="20"/>
  <c r="CL162" i="20" s="1"/>
  <c r="CL161" i="20"/>
  <c r="CB161" i="20"/>
  <c r="S161" i="20" s="1"/>
  <c r="D161" i="20"/>
  <c r="CK161" i="20" s="1"/>
  <c r="CK160" i="20"/>
  <c r="D160" i="20"/>
  <c r="CL160" i="20" s="1"/>
  <c r="D159" i="20"/>
  <c r="CK159" i="20" s="1"/>
  <c r="CK158" i="20"/>
  <c r="CB158" i="20"/>
  <c r="S158" i="20"/>
  <c r="D158" i="20"/>
  <c r="CL158" i="20" s="1"/>
  <c r="CL157" i="20"/>
  <c r="D157" i="20"/>
  <c r="CK157" i="20" s="1"/>
  <c r="CK156" i="20"/>
  <c r="D156" i="20"/>
  <c r="CL155" i="20"/>
  <c r="CB155" i="20"/>
  <c r="S155" i="20"/>
  <c r="D155" i="20"/>
  <c r="CK155" i="20" s="1"/>
  <c r="CK154" i="20"/>
  <c r="CB154" i="20"/>
  <c r="S154" i="20"/>
  <c r="D154" i="20"/>
  <c r="CL154" i="20" s="1"/>
  <c r="CL153" i="20"/>
  <c r="CK153" i="20"/>
  <c r="CB153" i="20"/>
  <c r="S153" i="20" s="1"/>
  <c r="D153" i="20"/>
  <c r="CN149" i="20"/>
  <c r="CM149" i="20"/>
  <c r="CL149" i="20"/>
  <c r="CK149" i="20"/>
  <c r="CB149" i="20"/>
  <c r="CA149" i="20"/>
  <c r="I149" i="20" s="1"/>
  <c r="CN148" i="20"/>
  <c r="CM148" i="20"/>
  <c r="CL148" i="20"/>
  <c r="CK148" i="20"/>
  <c r="CB148" i="20"/>
  <c r="I148" i="20" s="1"/>
  <c r="CA148" i="20"/>
  <c r="B144" i="20"/>
  <c r="B143" i="20"/>
  <c r="B139" i="20"/>
  <c r="B138" i="20"/>
  <c r="B137" i="20"/>
  <c r="CK130" i="20"/>
  <c r="CA130" i="20"/>
  <c r="M130" i="20"/>
  <c r="D130" i="20"/>
  <c r="CK129" i="20"/>
  <c r="CA129" i="20"/>
  <c r="M129" i="20"/>
  <c r="D129" i="20"/>
  <c r="CK128" i="20"/>
  <c r="CA128" i="20"/>
  <c r="M128" i="20"/>
  <c r="D128" i="20"/>
  <c r="CK127" i="20"/>
  <c r="CA127" i="20"/>
  <c r="M127" i="20"/>
  <c r="D127" i="20"/>
  <c r="CK126" i="20"/>
  <c r="CA126" i="20"/>
  <c r="M126" i="20"/>
  <c r="D126" i="20"/>
  <c r="CK125" i="20"/>
  <c r="CA125" i="20"/>
  <c r="M125" i="20"/>
  <c r="D125" i="20"/>
  <c r="CK124" i="20"/>
  <c r="CA124" i="20"/>
  <c r="M124" i="20"/>
  <c r="D124" i="20"/>
  <c r="CK123" i="20"/>
  <c r="CA123" i="20"/>
  <c r="M123" i="20"/>
  <c r="D123" i="20"/>
  <c r="CK122" i="20"/>
  <c r="CA122" i="20"/>
  <c r="M122" i="20"/>
  <c r="D122" i="20"/>
  <c r="CM118" i="20"/>
  <c r="CL118" i="20"/>
  <c r="CK118" i="20"/>
  <c r="CB118" i="20"/>
  <c r="CA118" i="20"/>
  <c r="X118" i="20" s="1"/>
  <c r="E118" i="20"/>
  <c r="CC118" i="20" s="1"/>
  <c r="CM117" i="20"/>
  <c r="CL117" i="20"/>
  <c r="CK117" i="20"/>
  <c r="CB117" i="20"/>
  <c r="CA117" i="20"/>
  <c r="X117" i="20"/>
  <c r="E117" i="20"/>
  <c r="CC117" i="20" s="1"/>
  <c r="CM116" i="20"/>
  <c r="CL116" i="20"/>
  <c r="CK116" i="20"/>
  <c r="CB116" i="20"/>
  <c r="CA116" i="20"/>
  <c r="E116" i="20"/>
  <c r="CC116" i="20" s="1"/>
  <c r="X116" i="20" s="1"/>
  <c r="CK112" i="20"/>
  <c r="CA112" i="20"/>
  <c r="I112" i="20"/>
  <c r="D112" i="20"/>
  <c r="CK111" i="20"/>
  <c r="CA111" i="20"/>
  <c r="I111" i="20"/>
  <c r="D111" i="20"/>
  <c r="CK109" i="20"/>
  <c r="CA109" i="20"/>
  <c r="I109" i="20"/>
  <c r="D109" i="20"/>
  <c r="CK108" i="20"/>
  <c r="CA108" i="20"/>
  <c r="I108" i="20"/>
  <c r="D108" i="20"/>
  <c r="CK107" i="20"/>
  <c r="CA107" i="20"/>
  <c r="I107" i="20"/>
  <c r="D107" i="20"/>
  <c r="I98" i="20"/>
  <c r="H98" i="20"/>
  <c r="G98" i="20"/>
  <c r="D98" i="20" s="1"/>
  <c r="F98" i="20"/>
  <c r="E98" i="20"/>
  <c r="CK97" i="20"/>
  <c r="J97" i="20"/>
  <c r="D97" i="20"/>
  <c r="CA97" i="20" s="1"/>
  <c r="D96" i="20"/>
  <c r="D95" i="20"/>
  <c r="CA95" i="20" s="1"/>
  <c r="J95" i="20" s="1"/>
  <c r="CK94" i="20"/>
  <c r="D94" i="20"/>
  <c r="CA94" i="20" s="1"/>
  <c r="J94" i="20" s="1"/>
  <c r="CK93" i="20"/>
  <c r="J93" i="20"/>
  <c r="D93" i="20"/>
  <c r="CA93" i="20" s="1"/>
  <c r="D92" i="20"/>
  <c r="D91" i="20"/>
  <c r="CA91" i="20" s="1"/>
  <c r="J91" i="20" s="1"/>
  <c r="CK90" i="20"/>
  <c r="D90" i="20"/>
  <c r="CA90" i="20" s="1"/>
  <c r="J90" i="20" s="1"/>
  <c r="CK89" i="20"/>
  <c r="J89" i="20"/>
  <c r="D89" i="20"/>
  <c r="CA89" i="20" s="1"/>
  <c r="D88" i="20"/>
  <c r="D87" i="20"/>
  <c r="CA87" i="20" s="1"/>
  <c r="J87" i="20" s="1"/>
  <c r="CK86" i="20"/>
  <c r="D86" i="20"/>
  <c r="CA86" i="20" s="1"/>
  <c r="J86" i="20" s="1"/>
  <c r="CK85" i="20"/>
  <c r="J85" i="20"/>
  <c r="D85" i="20"/>
  <c r="CA85" i="20" s="1"/>
  <c r="D84" i="20"/>
  <c r="D83" i="20"/>
  <c r="CA83" i="20" s="1"/>
  <c r="J83" i="20" s="1"/>
  <c r="CK82" i="20"/>
  <c r="D82" i="20"/>
  <c r="CA82" i="20" s="1"/>
  <c r="J82" i="20" s="1"/>
  <c r="CK81" i="20"/>
  <c r="D81" i="20"/>
  <c r="CA81" i="20" s="1"/>
  <c r="J81" i="20" s="1"/>
  <c r="CK80" i="20"/>
  <c r="D80" i="20"/>
  <c r="CA80" i="20" s="1"/>
  <c r="J80" i="20" s="1"/>
  <c r="CK79" i="20"/>
  <c r="D79" i="20"/>
  <c r="CA79" i="20" s="1"/>
  <c r="J79" i="20" s="1"/>
  <c r="CK78" i="20"/>
  <c r="D78" i="20"/>
  <c r="CA78" i="20" s="1"/>
  <c r="J78" i="20" s="1"/>
  <c r="CK77" i="20"/>
  <c r="D77" i="20"/>
  <c r="CA77" i="20" s="1"/>
  <c r="J77" i="20" s="1"/>
  <c r="CK76" i="20"/>
  <c r="D76" i="20"/>
  <c r="CA76" i="20" s="1"/>
  <c r="J76" i="20" s="1"/>
  <c r="CK75" i="20"/>
  <c r="D75" i="20"/>
  <c r="CA75" i="20" s="1"/>
  <c r="J75" i="20" s="1"/>
  <c r="CK74" i="20"/>
  <c r="D74" i="20"/>
  <c r="CA74" i="20" s="1"/>
  <c r="J74" i="20" s="1"/>
  <c r="CK73" i="20"/>
  <c r="D73" i="20"/>
  <c r="CA73" i="20" s="1"/>
  <c r="J73" i="20" s="1"/>
  <c r="CK72" i="20"/>
  <c r="D72" i="20"/>
  <c r="CA72" i="20" s="1"/>
  <c r="J72" i="20" s="1"/>
  <c r="CK71" i="20"/>
  <c r="D71" i="20"/>
  <c r="CA71" i="20" s="1"/>
  <c r="J71" i="20" s="1"/>
  <c r="CK70" i="20"/>
  <c r="D70" i="20"/>
  <c r="CA70" i="20" s="1"/>
  <c r="J70" i="20" s="1"/>
  <c r="CK69" i="20"/>
  <c r="D69" i="20"/>
  <c r="CA69" i="20" s="1"/>
  <c r="J69" i="20" s="1"/>
  <c r="CK68" i="20"/>
  <c r="D68" i="20"/>
  <c r="CA68" i="20" s="1"/>
  <c r="J68" i="20" s="1"/>
  <c r="CK67" i="20"/>
  <c r="D67" i="20"/>
  <c r="CA67" i="20" s="1"/>
  <c r="J67" i="20" s="1"/>
  <c r="CK66" i="20"/>
  <c r="D66" i="20"/>
  <c r="CA66" i="20" s="1"/>
  <c r="CK65" i="20"/>
  <c r="CA65" i="20"/>
  <c r="J65" i="20" s="1"/>
  <c r="D65" i="20"/>
  <c r="CK64" i="20"/>
  <c r="CA64" i="20"/>
  <c r="J64" i="20" s="1"/>
  <c r="D64" i="20"/>
  <c r="CK63" i="20"/>
  <c r="CA63" i="20"/>
  <c r="J63" i="20" s="1"/>
  <c r="D63" i="20"/>
  <c r="CK62" i="20"/>
  <c r="CA62" i="20"/>
  <c r="J62" i="20" s="1"/>
  <c r="D62" i="20"/>
  <c r="CK61" i="20"/>
  <c r="CA61" i="20"/>
  <c r="J61" i="20" s="1"/>
  <c r="D61" i="20"/>
  <c r="CK60" i="20"/>
  <c r="CA60" i="20"/>
  <c r="J60" i="20" s="1"/>
  <c r="D60" i="20"/>
  <c r="CK59" i="20"/>
  <c r="CA59" i="20"/>
  <c r="J59" i="20" s="1"/>
  <c r="D59" i="20"/>
  <c r="CK58" i="20"/>
  <c r="CA58" i="20"/>
  <c r="J58" i="20" s="1"/>
  <c r="D58" i="20"/>
  <c r="CK57" i="20"/>
  <c r="CA57" i="20"/>
  <c r="J57" i="20" s="1"/>
  <c r="D57" i="20"/>
  <c r="CK56" i="20"/>
  <c r="CA56" i="20"/>
  <c r="J56" i="20" s="1"/>
  <c r="D56" i="20"/>
  <c r="AI53" i="20"/>
  <c r="AH53" i="20"/>
  <c r="AG53" i="20"/>
  <c r="AF53" i="20"/>
  <c r="AE53" i="20"/>
  <c r="AD53" i="20"/>
  <c r="AC53" i="20"/>
  <c r="AB53" i="20"/>
  <c r="AA53" i="20"/>
  <c r="Z53" i="20"/>
  <c r="Y53" i="20"/>
  <c r="X53" i="20"/>
  <c r="W53" i="20"/>
  <c r="V53" i="20"/>
  <c r="U53" i="20"/>
  <c r="T53" i="20"/>
  <c r="S53" i="20"/>
  <c r="R53" i="20"/>
  <c r="Q53" i="20"/>
  <c r="P53" i="20"/>
  <c r="O53" i="20"/>
  <c r="N53" i="20"/>
  <c r="M53" i="20"/>
  <c r="L53" i="20"/>
  <c r="K53" i="20"/>
  <c r="J53" i="20"/>
  <c r="I53" i="20"/>
  <c r="H53" i="20"/>
  <c r="G53" i="20"/>
  <c r="F53" i="20"/>
  <c r="D53" i="20" s="1"/>
  <c r="E53" i="20"/>
  <c r="CQ52" i="20"/>
  <c r="CM52" i="20"/>
  <c r="CE52" i="20"/>
  <c r="D52" i="20"/>
  <c r="CP51" i="20"/>
  <c r="CO51" i="20"/>
  <c r="CH51" i="20"/>
  <c r="CG51" i="20"/>
  <c r="CD51" i="20"/>
  <c r="CC51" i="20"/>
  <c r="D51" i="20"/>
  <c r="CR51" i="20" s="1"/>
  <c r="CR50" i="20"/>
  <c r="CQ50" i="20"/>
  <c r="CN50" i="20"/>
  <c r="CM50" i="20"/>
  <c r="CG50" i="20"/>
  <c r="CF50" i="20"/>
  <c r="CC50" i="20"/>
  <c r="CB50" i="20"/>
  <c r="D50" i="20"/>
  <c r="CP50" i="20" s="1"/>
  <c r="CR49" i="20"/>
  <c r="CQ49" i="20"/>
  <c r="CN49" i="20"/>
  <c r="CM49" i="20"/>
  <c r="CG49" i="20"/>
  <c r="CF49" i="20"/>
  <c r="CC49" i="20"/>
  <c r="CB49" i="20"/>
  <c r="D49" i="20"/>
  <c r="CP49" i="20" s="1"/>
  <c r="CR48" i="20"/>
  <c r="CQ48" i="20"/>
  <c r="CN48" i="20"/>
  <c r="CM48" i="20"/>
  <c r="CG48" i="20"/>
  <c r="CF48" i="20"/>
  <c r="CC48" i="20"/>
  <c r="CB48" i="20"/>
  <c r="D48" i="20"/>
  <c r="CP48" i="20" s="1"/>
  <c r="CR47" i="20"/>
  <c r="CQ47" i="20"/>
  <c r="CN47" i="20"/>
  <c r="CM47" i="20"/>
  <c r="CG47" i="20"/>
  <c r="CF47" i="20"/>
  <c r="CC47" i="20"/>
  <c r="CB47" i="20"/>
  <c r="D47" i="20"/>
  <c r="CP47" i="20" s="1"/>
  <c r="CR46" i="20"/>
  <c r="CQ46" i="20"/>
  <c r="CN46" i="20"/>
  <c r="CM46" i="20"/>
  <c r="CG46" i="20"/>
  <c r="CF46" i="20"/>
  <c r="CC46" i="20"/>
  <c r="CB46" i="20"/>
  <c r="D46" i="20"/>
  <c r="CP46" i="20" s="1"/>
  <c r="CR45" i="20"/>
  <c r="CQ45" i="20"/>
  <c r="CN45" i="20"/>
  <c r="CM45" i="20"/>
  <c r="CG45" i="20"/>
  <c r="CF45" i="20"/>
  <c r="CC45" i="20"/>
  <c r="CB45" i="20"/>
  <c r="D45" i="20"/>
  <c r="CP45" i="20" s="1"/>
  <c r="CR44" i="20"/>
  <c r="CQ44" i="20"/>
  <c r="CN44" i="20"/>
  <c r="CM44" i="20"/>
  <c r="CG44" i="20"/>
  <c r="CF44" i="20"/>
  <c r="CC44" i="20"/>
  <c r="CB44" i="20"/>
  <c r="D44" i="20"/>
  <c r="CP44" i="20" s="1"/>
  <c r="CR43" i="20"/>
  <c r="CQ43" i="20"/>
  <c r="CN43" i="20"/>
  <c r="CM43" i="20"/>
  <c r="CG43" i="20"/>
  <c r="CF43" i="20"/>
  <c r="CC43" i="20"/>
  <c r="CB43" i="20"/>
  <c r="D43" i="20"/>
  <c r="CP43" i="20" s="1"/>
  <c r="CR42" i="20"/>
  <c r="CQ42" i="20"/>
  <c r="CN42" i="20"/>
  <c r="CM42" i="20"/>
  <c r="CG42" i="20"/>
  <c r="CF42" i="20"/>
  <c r="CC42" i="20"/>
  <c r="CB42" i="20"/>
  <c r="D42" i="20"/>
  <c r="CP42" i="20" s="1"/>
  <c r="CR41" i="20"/>
  <c r="CQ41" i="20"/>
  <c r="CN41" i="20"/>
  <c r="CM41" i="20"/>
  <c r="CG41" i="20"/>
  <c r="CF41" i="20"/>
  <c r="CC41" i="20"/>
  <c r="CB41" i="20"/>
  <c r="D41" i="20"/>
  <c r="CP41" i="20" s="1"/>
  <c r="CR40" i="20"/>
  <c r="CQ40" i="20"/>
  <c r="CN40" i="20"/>
  <c r="CM40" i="20"/>
  <c r="CG40" i="20"/>
  <c r="CF40" i="20"/>
  <c r="CC40" i="20"/>
  <c r="CB40" i="20"/>
  <c r="D40" i="20"/>
  <c r="CP40" i="20" s="1"/>
  <c r="CR39" i="20"/>
  <c r="CQ39" i="20"/>
  <c r="CN39" i="20"/>
  <c r="CM39" i="20"/>
  <c r="CG39" i="20"/>
  <c r="CF39" i="20"/>
  <c r="CC39" i="20"/>
  <c r="CB39" i="20"/>
  <c r="D39" i="20"/>
  <c r="CP39" i="20" s="1"/>
  <c r="CR38" i="20"/>
  <c r="CQ38" i="20"/>
  <c r="CN38" i="20"/>
  <c r="CM38" i="20"/>
  <c r="CG38" i="20"/>
  <c r="CF38" i="20"/>
  <c r="CC38" i="20"/>
  <c r="CB38" i="20"/>
  <c r="D38" i="20"/>
  <c r="CP38" i="20" s="1"/>
  <c r="CR37" i="20"/>
  <c r="CQ37" i="20"/>
  <c r="CN37" i="20"/>
  <c r="CM37" i="20"/>
  <c r="CG37" i="20"/>
  <c r="CF37" i="20"/>
  <c r="CC37" i="20"/>
  <c r="CB37" i="20"/>
  <c r="D37" i="20"/>
  <c r="CP37" i="20" s="1"/>
  <c r="CR36" i="20"/>
  <c r="CQ36" i="20"/>
  <c r="CN36" i="20"/>
  <c r="CM36" i="20"/>
  <c r="CG36" i="20"/>
  <c r="CF36" i="20"/>
  <c r="CC36" i="20"/>
  <c r="CB36" i="20"/>
  <c r="D36" i="20"/>
  <c r="CP36" i="20" s="1"/>
  <c r="CR35" i="20"/>
  <c r="CQ35" i="20"/>
  <c r="CN35" i="20"/>
  <c r="CM35" i="20"/>
  <c r="CG35" i="20"/>
  <c r="CF35" i="20"/>
  <c r="CC35" i="20"/>
  <c r="CB35" i="20"/>
  <c r="D35" i="20"/>
  <c r="CP35" i="20" s="1"/>
  <c r="CR34" i="20"/>
  <c r="CQ34" i="20"/>
  <c r="CN34" i="20"/>
  <c r="CM34" i="20"/>
  <c r="CG34" i="20"/>
  <c r="CF34" i="20"/>
  <c r="CC34" i="20"/>
  <c r="CB34" i="20"/>
  <c r="D34" i="20"/>
  <c r="CP34" i="20" s="1"/>
  <c r="CR33" i="20"/>
  <c r="CQ33" i="20"/>
  <c r="CN33" i="20"/>
  <c r="CM33" i="20"/>
  <c r="CG33" i="20"/>
  <c r="CF33" i="20"/>
  <c r="CC33" i="20"/>
  <c r="CB33" i="20"/>
  <c r="D33" i="20"/>
  <c r="CP33" i="20" s="1"/>
  <c r="CR32" i="20"/>
  <c r="CQ32" i="20"/>
  <c r="CN32" i="20"/>
  <c r="CM32" i="20"/>
  <c r="CG32" i="20"/>
  <c r="CF32" i="20"/>
  <c r="CC32" i="20"/>
  <c r="CB32" i="20"/>
  <c r="D32" i="20"/>
  <c r="CP32" i="20" s="1"/>
  <c r="CR31" i="20"/>
  <c r="CQ31" i="20"/>
  <c r="CN31" i="20"/>
  <c r="CM31" i="20"/>
  <c r="CG31" i="20"/>
  <c r="CF31" i="20"/>
  <c r="CC31" i="20"/>
  <c r="CB31" i="20"/>
  <c r="D31" i="20"/>
  <c r="CP31" i="20" s="1"/>
  <c r="CR30" i="20"/>
  <c r="CQ30" i="20"/>
  <c r="CN30" i="20"/>
  <c r="CM30" i="20"/>
  <c r="CG30" i="20"/>
  <c r="CF30" i="20"/>
  <c r="CC30" i="20"/>
  <c r="CB30" i="20"/>
  <c r="D30" i="20"/>
  <c r="CP30" i="20" s="1"/>
  <c r="CR29" i="20"/>
  <c r="CQ29" i="20"/>
  <c r="CN29" i="20"/>
  <c r="CM29" i="20"/>
  <c r="CG29" i="20"/>
  <c r="CF29" i="20"/>
  <c r="CC29" i="20"/>
  <c r="CB29" i="20"/>
  <c r="D29" i="20"/>
  <c r="CP29" i="20" s="1"/>
  <c r="CR28" i="20"/>
  <c r="CQ28" i="20"/>
  <c r="CN28" i="20"/>
  <c r="CM28" i="20"/>
  <c r="CG28" i="20"/>
  <c r="CF28" i="20"/>
  <c r="CC28" i="20"/>
  <c r="CB28" i="20"/>
  <c r="D28" i="20"/>
  <c r="CP28" i="20" s="1"/>
  <c r="CQ27" i="20"/>
  <c r="CD27" i="20"/>
  <c r="D27" i="20"/>
  <c r="CO26" i="20"/>
  <c r="CD26" i="20"/>
  <c r="D26" i="20"/>
  <c r="CP25" i="20"/>
  <c r="CN25" i="20"/>
  <c r="CH25" i="20"/>
  <c r="CG25" i="20"/>
  <c r="CC25" i="20"/>
  <c r="CB25" i="20"/>
  <c r="D25" i="20"/>
  <c r="CR25" i="20" s="1"/>
  <c r="CL24" i="20"/>
  <c r="D24" i="20"/>
  <c r="CQ24" i="20" s="1"/>
  <c r="CP23" i="20"/>
  <c r="CN23" i="20"/>
  <c r="CH23" i="20"/>
  <c r="CG23" i="20"/>
  <c r="CC23" i="20"/>
  <c r="CB23" i="20"/>
  <c r="D23" i="20"/>
  <c r="CR23" i="20" s="1"/>
  <c r="CR22" i="20"/>
  <c r="CQ22" i="20"/>
  <c r="CN22" i="20"/>
  <c r="CM22" i="20"/>
  <c r="CG22" i="20"/>
  <c r="CF22" i="20"/>
  <c r="CC22" i="20"/>
  <c r="CB22" i="20"/>
  <c r="D22" i="20"/>
  <c r="CP22" i="20" s="1"/>
  <c r="CR21" i="20"/>
  <c r="CQ21" i="20"/>
  <c r="CN21" i="20"/>
  <c r="CM21" i="20"/>
  <c r="CG21" i="20"/>
  <c r="CF21" i="20"/>
  <c r="CC21" i="20"/>
  <c r="CB21" i="20"/>
  <c r="D21" i="20"/>
  <c r="CP21" i="20" s="1"/>
  <c r="CR20" i="20"/>
  <c r="CQ20" i="20"/>
  <c r="CN20" i="20"/>
  <c r="CM20" i="20"/>
  <c r="CG20" i="20"/>
  <c r="CF20" i="20"/>
  <c r="CC20" i="20"/>
  <c r="CB20" i="20"/>
  <c r="D20" i="20"/>
  <c r="CP20" i="20" s="1"/>
  <c r="CR19" i="20"/>
  <c r="CQ19" i="20"/>
  <c r="CN19" i="20"/>
  <c r="CM19" i="20"/>
  <c r="CG19" i="20"/>
  <c r="CF19" i="20"/>
  <c r="CC19" i="20"/>
  <c r="CB19" i="20"/>
  <c r="D19" i="20"/>
  <c r="CP19" i="20" s="1"/>
  <c r="CR18" i="20"/>
  <c r="CQ18" i="20"/>
  <c r="CN18" i="20"/>
  <c r="CM18" i="20"/>
  <c r="CG18" i="20"/>
  <c r="CF18" i="20"/>
  <c r="CC18" i="20"/>
  <c r="CB18" i="20"/>
  <c r="D18" i="20"/>
  <c r="CP18" i="20" s="1"/>
  <c r="CR17" i="20"/>
  <c r="CQ17" i="20"/>
  <c r="CN17" i="20"/>
  <c r="CM17" i="20"/>
  <c r="CG17" i="20"/>
  <c r="CF17" i="20"/>
  <c r="CC17" i="20"/>
  <c r="CB17" i="20"/>
  <c r="D17" i="20"/>
  <c r="CP17" i="20" s="1"/>
  <c r="CR16" i="20"/>
  <c r="CQ16" i="20"/>
  <c r="CN16" i="20"/>
  <c r="CM16" i="20"/>
  <c r="CG16" i="20"/>
  <c r="CF16" i="20"/>
  <c r="CC16" i="20"/>
  <c r="CB16" i="20"/>
  <c r="D16" i="20"/>
  <c r="CP16" i="20" s="1"/>
  <c r="CR15" i="20"/>
  <c r="CQ15" i="20"/>
  <c r="CN15" i="20"/>
  <c r="CM15" i="20"/>
  <c r="CG15" i="20"/>
  <c r="CF15" i="20"/>
  <c r="CC15" i="20"/>
  <c r="CB15" i="20"/>
  <c r="D15" i="20"/>
  <c r="CP15" i="20" s="1"/>
  <c r="CR14" i="20"/>
  <c r="CQ14" i="20"/>
  <c r="CN14" i="20"/>
  <c r="CM14" i="20"/>
  <c r="CG14" i="20"/>
  <c r="CF14" i="20"/>
  <c r="CC14" i="20"/>
  <c r="CB14" i="20"/>
  <c r="D14" i="20"/>
  <c r="CP14" i="20" s="1"/>
  <c r="CR13" i="20"/>
  <c r="CQ13" i="20"/>
  <c r="CN13" i="20"/>
  <c r="CM13" i="20"/>
  <c r="CG13" i="20"/>
  <c r="CF13" i="20"/>
  <c r="CC13" i="20"/>
  <c r="CB13" i="20"/>
  <c r="D13" i="20"/>
  <c r="CP13" i="20" s="1"/>
  <c r="CR12" i="20"/>
  <c r="CQ12" i="20"/>
  <c r="CN12" i="20"/>
  <c r="CM12" i="20"/>
  <c r="CG12" i="20"/>
  <c r="CF12" i="20"/>
  <c r="CC12" i="20"/>
  <c r="CB12" i="20"/>
  <c r="D12" i="20"/>
  <c r="CP12" i="20" s="1"/>
  <c r="CR11" i="20"/>
  <c r="CQ11" i="20"/>
  <c r="CM11" i="20"/>
  <c r="CH11" i="20"/>
  <c r="CD11" i="20"/>
  <c r="CC11" i="20"/>
  <c r="D11" i="20"/>
  <c r="A5" i="20"/>
  <c r="A3" i="20"/>
  <c r="A2" i="20"/>
  <c r="A139" i="19"/>
  <c r="S120" i="19"/>
  <c r="R120" i="19"/>
  <c r="Q120" i="19"/>
  <c r="P120" i="19"/>
  <c r="O120" i="19"/>
  <c r="N120" i="19"/>
  <c r="M120" i="19"/>
  <c r="L120" i="19"/>
  <c r="K120" i="19"/>
  <c r="J120" i="19"/>
  <c r="I120" i="19"/>
  <c r="H120" i="19"/>
  <c r="G120" i="19"/>
  <c r="F120" i="19"/>
  <c r="B120" i="19"/>
  <c r="E118" i="19"/>
  <c r="D118" i="19"/>
  <c r="C118" i="19"/>
  <c r="E117" i="19"/>
  <c r="D117" i="19"/>
  <c r="E116" i="19"/>
  <c r="D116" i="19"/>
  <c r="E115" i="19"/>
  <c r="D115" i="19"/>
  <c r="D120" i="19" s="1"/>
  <c r="C115" i="19"/>
  <c r="U110" i="19"/>
  <c r="T110" i="19"/>
  <c r="S110" i="19"/>
  <c r="R110" i="19"/>
  <c r="Q110" i="19"/>
  <c r="P110" i="19"/>
  <c r="O110" i="19"/>
  <c r="N110" i="19"/>
  <c r="M110" i="19"/>
  <c r="L110" i="19"/>
  <c r="K110" i="19"/>
  <c r="J110" i="19"/>
  <c r="I110" i="19"/>
  <c r="H110" i="19"/>
  <c r="G110" i="19"/>
  <c r="F110" i="19"/>
  <c r="E110" i="19"/>
  <c r="D110" i="19"/>
  <c r="C110" i="19"/>
  <c r="B110" i="19"/>
  <c r="B109" i="19"/>
  <c r="B108" i="19"/>
  <c r="B107" i="19"/>
  <c r="B106" i="19"/>
  <c r="B105" i="19"/>
  <c r="B104" i="19"/>
  <c r="B103" i="19"/>
  <c r="B102" i="19"/>
  <c r="B101" i="19"/>
  <c r="B100" i="19"/>
  <c r="B99" i="19"/>
  <c r="B98" i="19"/>
  <c r="B97" i="19"/>
  <c r="B96" i="19"/>
  <c r="B95" i="19"/>
  <c r="B87" i="19"/>
  <c r="B86" i="19"/>
  <c r="C81" i="19"/>
  <c r="C80" i="19"/>
  <c r="C79" i="19"/>
  <c r="C78" i="19"/>
  <c r="C77" i="19"/>
  <c r="C76" i="19"/>
  <c r="C75" i="19"/>
  <c r="C74" i="19"/>
  <c r="CD69" i="19"/>
  <c r="CC69" i="19"/>
  <c r="CB69" i="19"/>
  <c r="BZ69" i="19"/>
  <c r="BU69" i="19"/>
  <c r="BT69" i="19"/>
  <c r="BR69" i="19"/>
  <c r="BQ69" i="19"/>
  <c r="V69" i="19" s="1"/>
  <c r="D69" i="19"/>
  <c r="CA69" i="19" s="1"/>
  <c r="CD68" i="19"/>
  <c r="CC68" i="19"/>
  <c r="CB68" i="19"/>
  <c r="BZ68" i="19"/>
  <c r="BU68" i="19"/>
  <c r="BT68" i="19"/>
  <c r="BR68" i="19"/>
  <c r="BQ68" i="19"/>
  <c r="D68" i="19"/>
  <c r="CA68" i="19" s="1"/>
  <c r="CD67" i="19"/>
  <c r="CC67" i="19"/>
  <c r="CB67" i="19"/>
  <c r="BZ67" i="19"/>
  <c r="BU67" i="19"/>
  <c r="BT67" i="19"/>
  <c r="BR67" i="19"/>
  <c r="BQ67" i="19"/>
  <c r="V67" i="19" s="1"/>
  <c r="D67" i="19"/>
  <c r="CA67" i="19" s="1"/>
  <c r="CD66" i="19"/>
  <c r="CC66" i="19"/>
  <c r="CB66" i="19"/>
  <c r="BZ66" i="19"/>
  <c r="BU66" i="19"/>
  <c r="BT66" i="19"/>
  <c r="BR66" i="19"/>
  <c r="BQ66" i="19"/>
  <c r="D66" i="19"/>
  <c r="CA66" i="19" s="1"/>
  <c r="CD65" i="19"/>
  <c r="CC65" i="19"/>
  <c r="CB65" i="19"/>
  <c r="BZ65" i="19"/>
  <c r="BU65" i="19"/>
  <c r="BT65" i="19"/>
  <c r="BR65" i="19"/>
  <c r="BQ65" i="19"/>
  <c r="V65" i="19" s="1"/>
  <c r="D65" i="19"/>
  <c r="CA65" i="19" s="1"/>
  <c r="CD64" i="19"/>
  <c r="CC64" i="19"/>
  <c r="CB64" i="19"/>
  <c r="BZ64" i="19"/>
  <c r="BU64" i="19"/>
  <c r="BT64" i="19"/>
  <c r="BR64" i="19"/>
  <c r="BQ64" i="19"/>
  <c r="D64" i="19"/>
  <c r="CA64" i="19" s="1"/>
  <c r="M59" i="19"/>
  <c r="L59" i="19"/>
  <c r="K59" i="19"/>
  <c r="J59" i="19"/>
  <c r="I59" i="19"/>
  <c r="H59" i="19"/>
  <c r="G59" i="19"/>
  <c r="F59" i="19"/>
  <c r="E59" i="19"/>
  <c r="D59" i="19"/>
  <c r="CA58" i="19"/>
  <c r="BS58" i="19"/>
  <c r="BR58" i="19"/>
  <c r="C58" i="19"/>
  <c r="CC57" i="19"/>
  <c r="BZ57" i="19"/>
  <c r="BT57" i="19"/>
  <c r="BQ57" i="19"/>
  <c r="C57" i="19"/>
  <c r="CB57" i="19" s="1"/>
  <c r="CB56" i="19"/>
  <c r="C56" i="19"/>
  <c r="CC55" i="19"/>
  <c r="BZ55" i="19"/>
  <c r="BT55" i="19"/>
  <c r="BQ55" i="19"/>
  <c r="C55" i="19"/>
  <c r="CB55" i="19" s="1"/>
  <c r="CA54" i="19"/>
  <c r="BR54" i="19"/>
  <c r="C54" i="19"/>
  <c r="CC53" i="19"/>
  <c r="BZ53" i="19"/>
  <c r="BT53" i="19"/>
  <c r="BQ53" i="19"/>
  <c r="C53" i="19"/>
  <c r="CB53" i="19" s="1"/>
  <c r="BS52" i="19"/>
  <c r="C52" i="19"/>
  <c r="CA52" i="19" s="1"/>
  <c r="CC51" i="19"/>
  <c r="BZ51" i="19"/>
  <c r="BT51" i="19"/>
  <c r="BQ51" i="19"/>
  <c r="C51" i="19"/>
  <c r="CB51" i="19" s="1"/>
  <c r="CA50" i="19"/>
  <c r="BS50" i="19"/>
  <c r="BR50" i="19"/>
  <c r="C50" i="19"/>
  <c r="N47" i="19"/>
  <c r="M47" i="19"/>
  <c r="L47" i="19"/>
  <c r="K47" i="19"/>
  <c r="J47" i="19"/>
  <c r="I47" i="19"/>
  <c r="H47" i="19"/>
  <c r="G47" i="19"/>
  <c r="F47" i="19"/>
  <c r="E47" i="19"/>
  <c r="D47" i="19"/>
  <c r="C47" i="19"/>
  <c r="CC46" i="19"/>
  <c r="CB46" i="19"/>
  <c r="CA46" i="19"/>
  <c r="BZ46" i="19"/>
  <c r="BT46" i="19"/>
  <c r="BS46" i="19"/>
  <c r="BR46" i="19"/>
  <c r="BQ46" i="19"/>
  <c r="O46" i="19"/>
  <c r="CB45" i="19"/>
  <c r="CA45" i="19"/>
  <c r="BZ45" i="19"/>
  <c r="BS45" i="19"/>
  <c r="O45" i="19" s="1"/>
  <c r="BR45" i="19"/>
  <c r="BQ45" i="19"/>
  <c r="CB44" i="19"/>
  <c r="CA44" i="19"/>
  <c r="BZ44" i="19"/>
  <c r="BS44" i="19"/>
  <c r="BR44" i="19"/>
  <c r="BQ44" i="19"/>
  <c r="CB43" i="19"/>
  <c r="CA43" i="19"/>
  <c r="BZ43" i="19"/>
  <c r="BS43" i="19"/>
  <c r="BR43" i="19"/>
  <c r="O43" i="19" s="1"/>
  <c r="BQ43" i="19"/>
  <c r="CB42" i="19"/>
  <c r="CA42" i="19"/>
  <c r="BZ42" i="19"/>
  <c r="BS42" i="19"/>
  <c r="BR42" i="19"/>
  <c r="BQ42" i="19"/>
  <c r="O42" i="19" s="1"/>
  <c r="N41" i="19"/>
  <c r="M41" i="19"/>
  <c r="L41" i="19"/>
  <c r="K41" i="19"/>
  <c r="J41" i="19"/>
  <c r="I41" i="19"/>
  <c r="H41" i="19"/>
  <c r="G41" i="19"/>
  <c r="F41" i="19"/>
  <c r="E41" i="19"/>
  <c r="D41" i="19"/>
  <c r="C41" i="19"/>
  <c r="CC40" i="19"/>
  <c r="CB40" i="19"/>
  <c r="CA40" i="19"/>
  <c r="BZ40" i="19"/>
  <c r="BT40" i="19"/>
  <c r="BS40" i="19"/>
  <c r="BR40" i="19"/>
  <c r="O40" i="19" s="1"/>
  <c r="BQ40" i="19"/>
  <c r="CC39" i="19"/>
  <c r="CB39" i="19"/>
  <c r="CA39" i="19"/>
  <c r="BZ39" i="19"/>
  <c r="BT39" i="19"/>
  <c r="BS39" i="19"/>
  <c r="BR39" i="19"/>
  <c r="BQ39" i="19"/>
  <c r="CC38" i="19"/>
  <c r="CB38" i="19"/>
  <c r="CA38" i="19"/>
  <c r="BZ38" i="19"/>
  <c r="BT38" i="19"/>
  <c r="BS38" i="19"/>
  <c r="O38" i="19" s="1"/>
  <c r="BR38" i="19"/>
  <c r="BQ38" i="19"/>
  <c r="CG35" i="19"/>
  <c r="CC35" i="19"/>
  <c r="CA35" i="19"/>
  <c r="BW35" i="19"/>
  <c r="BS35" i="19"/>
  <c r="BQ35" i="19"/>
  <c r="C35" i="19"/>
  <c r="CG34" i="19"/>
  <c r="CC34" i="19"/>
  <c r="CA34" i="19"/>
  <c r="BW34" i="19"/>
  <c r="BS34" i="19"/>
  <c r="BQ34" i="19"/>
  <c r="C34" i="19"/>
  <c r="CG33" i="19"/>
  <c r="BZ33" i="19"/>
  <c r="BQ33" i="19"/>
  <c r="C33" i="19"/>
  <c r="CB33" i="19" s="1"/>
  <c r="BW32" i="19"/>
  <c r="C32" i="19"/>
  <c r="CD32" i="19" s="1"/>
  <c r="C31" i="19"/>
  <c r="CB30" i="19"/>
  <c r="C30" i="19"/>
  <c r="CB29" i="19"/>
  <c r="BU29" i="19"/>
  <c r="C29" i="19"/>
  <c r="CF28" i="19"/>
  <c r="CB28" i="19"/>
  <c r="BW28" i="19"/>
  <c r="BT28" i="19"/>
  <c r="C28" i="19"/>
  <c r="CF27" i="19"/>
  <c r="CC27" i="19"/>
  <c r="BZ27" i="19"/>
  <c r="BX27" i="19"/>
  <c r="BT27" i="19"/>
  <c r="BS27" i="19"/>
  <c r="BQ27" i="19"/>
  <c r="C27" i="19"/>
  <c r="CC26" i="19"/>
  <c r="BU26" i="19"/>
  <c r="C26" i="19"/>
  <c r="CE25" i="19"/>
  <c r="CD25" i="19"/>
  <c r="CB25" i="19"/>
  <c r="BZ25" i="19"/>
  <c r="BW25" i="19"/>
  <c r="BV25" i="19"/>
  <c r="BS25" i="19"/>
  <c r="BR25" i="19"/>
  <c r="BQ25" i="19"/>
  <c r="C25" i="19"/>
  <c r="CG24" i="19"/>
  <c r="CD24" i="19"/>
  <c r="CB24" i="19"/>
  <c r="BX24" i="19"/>
  <c r="BU24" i="19"/>
  <c r="BS24" i="19"/>
  <c r="C24" i="19"/>
  <c r="CF23" i="19"/>
  <c r="CA23" i="19"/>
  <c r="BU23" i="19"/>
  <c r="C23" i="19"/>
  <c r="CF22" i="19"/>
  <c r="CB22" i="19"/>
  <c r="BW22" i="19"/>
  <c r="BT22" i="19"/>
  <c r="C22" i="19"/>
  <c r="CF21" i="19"/>
  <c r="CC21" i="19"/>
  <c r="BZ21" i="19"/>
  <c r="BX21" i="19"/>
  <c r="BT21" i="19"/>
  <c r="BS21" i="19"/>
  <c r="BQ21" i="19"/>
  <c r="C21" i="19"/>
  <c r="CG20" i="19"/>
  <c r="CF20" i="19"/>
  <c r="CC20" i="19"/>
  <c r="CA20" i="19"/>
  <c r="BX20" i="19"/>
  <c r="BW20" i="19"/>
  <c r="BS20" i="19"/>
  <c r="BR20" i="19"/>
  <c r="BQ20" i="19"/>
  <c r="C20" i="19"/>
  <c r="CG19" i="19"/>
  <c r="CF19" i="19"/>
  <c r="CC19" i="19"/>
  <c r="CA19" i="19"/>
  <c r="BX19" i="19"/>
  <c r="BW19" i="19"/>
  <c r="BS19" i="19"/>
  <c r="BR19" i="19"/>
  <c r="BQ19" i="19"/>
  <c r="C19" i="19"/>
  <c r="CG18" i="19"/>
  <c r="CF18" i="19"/>
  <c r="CC18" i="19"/>
  <c r="CA18" i="19"/>
  <c r="BX18" i="19"/>
  <c r="BW18" i="19"/>
  <c r="BS18" i="19"/>
  <c r="BR18" i="19"/>
  <c r="BQ18" i="19"/>
  <c r="C18" i="19"/>
  <c r="CG17" i="19"/>
  <c r="CD17" i="19"/>
  <c r="CB17" i="19"/>
  <c r="BX17" i="19"/>
  <c r="BU17" i="19"/>
  <c r="BS17" i="19"/>
  <c r="C17" i="19"/>
  <c r="CC17" i="19" s="1"/>
  <c r="CG16" i="19"/>
  <c r="CD16" i="19"/>
  <c r="CC16" i="19"/>
  <c r="CB16" i="19"/>
  <c r="BX16" i="19"/>
  <c r="BW16" i="19"/>
  <c r="BU16" i="19"/>
  <c r="BS16" i="19"/>
  <c r="BQ16" i="19"/>
  <c r="C16" i="19"/>
  <c r="CF16" i="19" s="1"/>
  <c r="CG15" i="19"/>
  <c r="CD15" i="19"/>
  <c r="CB15" i="19"/>
  <c r="BX15" i="19"/>
  <c r="BU15" i="19"/>
  <c r="BS15" i="19"/>
  <c r="C15" i="19"/>
  <c r="CC15" i="19" s="1"/>
  <c r="CG14" i="19"/>
  <c r="CD14" i="19"/>
  <c r="CC14" i="19"/>
  <c r="CB14" i="19"/>
  <c r="BX14" i="19"/>
  <c r="BW14" i="19"/>
  <c r="BU14" i="19"/>
  <c r="BS14" i="19"/>
  <c r="BQ14" i="19"/>
  <c r="C14" i="19"/>
  <c r="CF14" i="19" s="1"/>
  <c r="CG13" i="19"/>
  <c r="CD13" i="19"/>
  <c r="CB13" i="19"/>
  <c r="BX13" i="19"/>
  <c r="BU13" i="19"/>
  <c r="BS13" i="19"/>
  <c r="C13" i="19"/>
  <c r="CC13" i="19" s="1"/>
  <c r="CG12" i="19"/>
  <c r="CD12" i="19"/>
  <c r="CC12" i="19"/>
  <c r="CB12" i="19"/>
  <c r="BX12" i="19"/>
  <c r="BW12" i="19"/>
  <c r="BU12" i="19"/>
  <c r="BS12" i="19"/>
  <c r="BQ12" i="19"/>
  <c r="C12" i="19"/>
  <c r="CF12" i="19" s="1"/>
  <c r="CG11" i="19"/>
  <c r="CD11" i="19"/>
  <c r="CB11" i="19"/>
  <c r="BX11" i="19"/>
  <c r="BU11" i="19"/>
  <c r="BS11" i="19"/>
  <c r="C11" i="19"/>
  <c r="CC11" i="19" s="1"/>
  <c r="CG10" i="19"/>
  <c r="CD10" i="19"/>
  <c r="CC10" i="19"/>
  <c r="CB10" i="19"/>
  <c r="BX10" i="19"/>
  <c r="BW10" i="19"/>
  <c r="BU10" i="19"/>
  <c r="BS10" i="19"/>
  <c r="BQ10" i="19"/>
  <c r="C10" i="19"/>
  <c r="A5" i="19"/>
  <c r="A3" i="19"/>
  <c r="A2" i="19"/>
  <c r="B297" i="18"/>
  <c r="C288" i="18"/>
  <c r="D275" i="18"/>
  <c r="C275" i="18"/>
  <c r="B275" i="18"/>
  <c r="D268" i="18"/>
  <c r="C268" i="18"/>
  <c r="D264" i="18"/>
  <c r="C264" i="18"/>
  <c r="D259" i="18"/>
  <c r="C259" i="18"/>
  <c r="D255" i="18"/>
  <c r="D269" i="18" s="1"/>
  <c r="C255" i="18"/>
  <c r="C269" i="18" s="1"/>
  <c r="E239" i="18"/>
  <c r="D239" i="18"/>
  <c r="C239" i="18"/>
  <c r="C238" i="18"/>
  <c r="C237" i="18"/>
  <c r="E234" i="18"/>
  <c r="D234" i="18"/>
  <c r="C234" i="18"/>
  <c r="D206" i="18"/>
  <c r="C206" i="18"/>
  <c r="B206" i="18"/>
  <c r="D200" i="18"/>
  <c r="C200" i="18"/>
  <c r="B199" i="18"/>
  <c r="B198" i="18"/>
  <c r="B197" i="18"/>
  <c r="B196" i="18"/>
  <c r="B195" i="18"/>
  <c r="B194" i="18"/>
  <c r="B193" i="18"/>
  <c r="B192" i="18"/>
  <c r="B191" i="18"/>
  <c r="B200" i="18" s="1"/>
  <c r="B190" i="18"/>
  <c r="I185" i="18"/>
  <c r="H185" i="18"/>
  <c r="G185" i="18"/>
  <c r="F184" i="18"/>
  <c r="F183" i="18"/>
  <c r="F182" i="18"/>
  <c r="F181" i="18"/>
  <c r="F180" i="18"/>
  <c r="F179" i="18"/>
  <c r="F178" i="18"/>
  <c r="F177" i="18"/>
  <c r="F176" i="18"/>
  <c r="F175" i="18"/>
  <c r="F174" i="18"/>
  <c r="F173" i="18"/>
  <c r="F172" i="18"/>
  <c r="F171" i="18"/>
  <c r="F170" i="18"/>
  <c r="F169" i="18"/>
  <c r="F168" i="18"/>
  <c r="F167" i="18"/>
  <c r="F166" i="18"/>
  <c r="F165" i="18"/>
  <c r="F164" i="18"/>
  <c r="F163" i="18"/>
  <c r="F162" i="18"/>
  <c r="F161" i="18"/>
  <c r="F160" i="18"/>
  <c r="H153" i="18"/>
  <c r="G153" i="18"/>
  <c r="F153" i="18"/>
  <c r="E153" i="18"/>
  <c r="D153" i="18"/>
  <c r="C153" i="18"/>
  <c r="C141" i="18"/>
  <c r="C140" i="18"/>
  <c r="C139" i="18"/>
  <c r="C138" i="18"/>
  <c r="C137" i="18"/>
  <c r="C136" i="18"/>
  <c r="C118" i="18"/>
  <c r="C117" i="18"/>
  <c r="C116" i="18"/>
  <c r="C115" i="18"/>
  <c r="C114" i="18"/>
  <c r="C113" i="18"/>
  <c r="C109" i="18"/>
  <c r="C108" i="18"/>
  <c r="C107" i="18"/>
  <c r="C106" i="18"/>
  <c r="C105" i="18"/>
  <c r="C104" i="18"/>
  <c r="H100" i="18"/>
  <c r="G100" i="18"/>
  <c r="F100" i="18"/>
  <c r="E100" i="18"/>
  <c r="D100" i="18"/>
  <c r="C100" i="18"/>
  <c r="H90" i="18"/>
  <c r="G90" i="18"/>
  <c r="F90" i="18"/>
  <c r="E90" i="18"/>
  <c r="D90" i="18"/>
  <c r="C90" i="18"/>
  <c r="B66" i="18"/>
  <c r="E61" i="18"/>
  <c r="E60" i="18"/>
  <c r="E59" i="18"/>
  <c r="E58" i="18"/>
  <c r="E57" i="18"/>
  <c r="E56" i="18"/>
  <c r="E55" i="18"/>
  <c r="E54" i="18"/>
  <c r="E53" i="18"/>
  <c r="E52" i="18"/>
  <c r="E51" i="18"/>
  <c r="E50" i="18"/>
  <c r="E49" i="18"/>
  <c r="E48" i="18"/>
  <c r="E47" i="18"/>
  <c r="E46" i="18"/>
  <c r="E45" i="18"/>
  <c r="E44" i="18"/>
  <c r="E43" i="18"/>
  <c r="E42" i="18"/>
  <c r="E41" i="18"/>
  <c r="E40" i="18"/>
  <c r="E39" i="18"/>
  <c r="E38" i="18"/>
  <c r="E37" i="18"/>
  <c r="E36" i="18"/>
  <c r="E35" i="18"/>
  <c r="E34" i="18"/>
  <c r="E33" i="18"/>
  <c r="E32" i="18"/>
  <c r="E31" i="18"/>
  <c r="AD28" i="18"/>
  <c r="AC28" i="18"/>
  <c r="AB28" i="18"/>
  <c r="AA28" i="18"/>
  <c r="Z28" i="18"/>
  <c r="Y28" i="18"/>
  <c r="X28" i="18"/>
  <c r="W28" i="18"/>
  <c r="V28" i="18"/>
  <c r="U28" i="18"/>
  <c r="T28" i="18"/>
  <c r="S28" i="18"/>
  <c r="R28" i="18"/>
  <c r="Q28" i="18"/>
  <c r="P28" i="18"/>
  <c r="O28" i="18"/>
  <c r="N28" i="18"/>
  <c r="M28" i="18"/>
  <c r="L28" i="18"/>
  <c r="K28" i="18"/>
  <c r="J28" i="18"/>
  <c r="I28" i="18"/>
  <c r="H28" i="18"/>
  <c r="G28" i="18"/>
  <c r="F27" i="18"/>
  <c r="E27" i="18"/>
  <c r="D27" i="18"/>
  <c r="F26" i="18"/>
  <c r="E26" i="18"/>
  <c r="D26" i="18" s="1"/>
  <c r="F25" i="18"/>
  <c r="D25" i="18" s="1"/>
  <c r="E25" i="18"/>
  <c r="F24" i="18"/>
  <c r="E24" i="18"/>
  <c r="F23" i="18"/>
  <c r="F28" i="18" s="1"/>
  <c r="E23" i="18"/>
  <c r="D23" i="18"/>
  <c r="F22" i="18"/>
  <c r="E22" i="18"/>
  <c r="D22" i="18" s="1"/>
  <c r="AD15" i="18"/>
  <c r="AC15" i="18"/>
  <c r="AB15" i="18"/>
  <c r="AA15" i="18"/>
  <c r="Z15" i="18"/>
  <c r="Y15" i="18"/>
  <c r="X15" i="18"/>
  <c r="W15" i="18"/>
  <c r="V15" i="18"/>
  <c r="U15" i="18"/>
  <c r="T15" i="18"/>
  <c r="S15" i="18"/>
  <c r="R15" i="18"/>
  <c r="Q15" i="18"/>
  <c r="P15" i="18"/>
  <c r="O15" i="18"/>
  <c r="N15" i="18"/>
  <c r="M15" i="18"/>
  <c r="L15" i="18"/>
  <c r="K15" i="18"/>
  <c r="J15" i="18"/>
  <c r="I15" i="18"/>
  <c r="H15" i="18"/>
  <c r="G15" i="18"/>
  <c r="E15" i="18" s="1"/>
  <c r="D15" i="18" s="1"/>
  <c r="F15" i="18"/>
  <c r="F14" i="18"/>
  <c r="E14" i="18"/>
  <c r="D14" i="18" s="1"/>
  <c r="F13" i="18"/>
  <c r="E13" i="18"/>
  <c r="D13" i="18"/>
  <c r="F12" i="18"/>
  <c r="E12" i="18"/>
  <c r="D12" i="18" s="1"/>
  <c r="A5" i="18"/>
  <c r="A3" i="18"/>
  <c r="A2" i="18"/>
  <c r="CI158" i="17"/>
  <c r="CA158" i="17"/>
  <c r="E158" i="17"/>
  <c r="CI157" i="17"/>
  <c r="CA157" i="17"/>
  <c r="E157" i="17" s="1"/>
  <c r="CI156" i="17"/>
  <c r="CA156" i="17"/>
  <c r="E156" i="17"/>
  <c r="CI154" i="17"/>
  <c r="CA154" i="17"/>
  <c r="F154" i="17" s="1"/>
  <c r="CI153" i="17"/>
  <c r="CA153" i="17"/>
  <c r="F153" i="17"/>
  <c r="CI152" i="17"/>
  <c r="CA152" i="17"/>
  <c r="F152" i="17" s="1"/>
  <c r="CJ144" i="17"/>
  <c r="CA144" i="17"/>
  <c r="B144" i="17"/>
  <c r="CI144" i="17" s="1"/>
  <c r="CJ130" i="17"/>
  <c r="CI130" i="17"/>
  <c r="CB130" i="17"/>
  <c r="CA130" i="17"/>
  <c r="F130" i="17" s="1"/>
  <c r="CJ129" i="17"/>
  <c r="CI129" i="17"/>
  <c r="CB129" i="17"/>
  <c r="CA129" i="17"/>
  <c r="F129" i="17"/>
  <c r="CJ128" i="17"/>
  <c r="CI128" i="17"/>
  <c r="CB128" i="17"/>
  <c r="CA128" i="17"/>
  <c r="F128" i="17" s="1"/>
  <c r="CJ127" i="17"/>
  <c r="CI127" i="17"/>
  <c r="CB127" i="17"/>
  <c r="F127" i="17" s="1"/>
  <c r="CA127" i="17"/>
  <c r="CJ126" i="17"/>
  <c r="CI126" i="17"/>
  <c r="CB126" i="17"/>
  <c r="CA126" i="17"/>
  <c r="F126" i="17" s="1"/>
  <c r="CJ125" i="17"/>
  <c r="CI125" i="17"/>
  <c r="CB125" i="17"/>
  <c r="CA125" i="17"/>
  <c r="F125" i="17"/>
  <c r="CJ124" i="17"/>
  <c r="CI124" i="17"/>
  <c r="CB124" i="17"/>
  <c r="CA124" i="17"/>
  <c r="F124" i="17" s="1"/>
  <c r="CJ123" i="17"/>
  <c r="CI123" i="17"/>
  <c r="CB123" i="17"/>
  <c r="F123" i="17" s="1"/>
  <c r="CA123" i="17"/>
  <c r="CJ122" i="17"/>
  <c r="CI122" i="17"/>
  <c r="CB122" i="17"/>
  <c r="CA122" i="17"/>
  <c r="F122" i="17" s="1"/>
  <c r="B119" i="17"/>
  <c r="B118" i="17"/>
  <c r="B117" i="17"/>
  <c r="CA109" i="17"/>
  <c r="M109" i="17" s="1"/>
  <c r="C109" i="17"/>
  <c r="CI109" i="17" s="1"/>
  <c r="I104" i="17"/>
  <c r="H104" i="17"/>
  <c r="G104" i="17"/>
  <c r="F104" i="17"/>
  <c r="E104" i="17"/>
  <c r="D104" i="17"/>
  <c r="C104" i="17"/>
  <c r="G83" i="17"/>
  <c r="F83" i="17"/>
  <c r="E83" i="17"/>
  <c r="D83" i="17"/>
  <c r="C83" i="17"/>
  <c r="B83" i="17"/>
  <c r="CM79" i="17"/>
  <c r="CL79" i="17"/>
  <c r="CK79" i="17"/>
  <c r="CJ79" i="17"/>
  <c r="CI79" i="17"/>
  <c r="CE79" i="17"/>
  <c r="CD79" i="17"/>
  <c r="CC79" i="17"/>
  <c r="CB79" i="17"/>
  <c r="M79" i="17" s="1"/>
  <c r="CA79" i="17"/>
  <c r="CM78" i="17"/>
  <c r="CL78" i="17"/>
  <c r="CK78" i="17"/>
  <c r="CJ78" i="17"/>
  <c r="CI78" i="17"/>
  <c r="CE78" i="17"/>
  <c r="CD78" i="17"/>
  <c r="CC78" i="17"/>
  <c r="CB78" i="17"/>
  <c r="CA78" i="17"/>
  <c r="M78" i="17" s="1"/>
  <c r="CM77" i="17"/>
  <c r="CL77" i="17"/>
  <c r="CK77" i="17"/>
  <c r="CJ77" i="17"/>
  <c r="CI77" i="17"/>
  <c r="CE77" i="17"/>
  <c r="CD77" i="17"/>
  <c r="CC77" i="17"/>
  <c r="CB77" i="17"/>
  <c r="CA77" i="17"/>
  <c r="M77" i="17"/>
  <c r="L76" i="17"/>
  <c r="K76" i="17"/>
  <c r="J76" i="17"/>
  <c r="I76" i="17"/>
  <c r="H76" i="17"/>
  <c r="G76" i="17"/>
  <c r="F76" i="17"/>
  <c r="E76" i="17"/>
  <c r="D76" i="17"/>
  <c r="C76" i="17"/>
  <c r="B76" i="17"/>
  <c r="C38" i="17"/>
  <c r="C37" i="17"/>
  <c r="C36" i="17"/>
  <c r="C35" i="17"/>
  <c r="C34" i="17"/>
  <c r="C33" i="17"/>
  <c r="C32" i="17"/>
  <c r="C31" i="17"/>
  <c r="C30" i="17"/>
  <c r="C29" i="17"/>
  <c r="C28" i="17"/>
  <c r="C27" i="17"/>
  <c r="C26" i="17"/>
  <c r="A179" i="17" s="1"/>
  <c r="E20" i="29" s="1"/>
  <c r="CM23" i="17"/>
  <c r="CL23" i="17"/>
  <c r="CK23" i="17"/>
  <c r="CJ23" i="17"/>
  <c r="CI23" i="17"/>
  <c r="CE23" i="17"/>
  <c r="CD23" i="17"/>
  <c r="CC23" i="17"/>
  <c r="CB23" i="17"/>
  <c r="CA23" i="17"/>
  <c r="AG23" i="17" s="1"/>
  <c r="CM22" i="17"/>
  <c r="CL22" i="17"/>
  <c r="CK22" i="17"/>
  <c r="CJ22" i="17"/>
  <c r="CI22" i="17"/>
  <c r="CE22" i="17"/>
  <c r="CD22" i="17"/>
  <c r="CC22" i="17"/>
  <c r="CB22" i="17"/>
  <c r="AG22" i="17" s="1"/>
  <c r="CA22" i="17"/>
  <c r="CM21" i="17"/>
  <c r="CL21" i="17"/>
  <c r="CK21" i="17"/>
  <c r="CJ21" i="17"/>
  <c r="CI21" i="17"/>
  <c r="CE21" i="17"/>
  <c r="CD21" i="17"/>
  <c r="CC21" i="17"/>
  <c r="CB21" i="17"/>
  <c r="CA21" i="17"/>
  <c r="AG21" i="17" s="1"/>
  <c r="CM20" i="17"/>
  <c r="CL20" i="17"/>
  <c r="CK20" i="17"/>
  <c r="CJ20" i="17"/>
  <c r="CI20" i="17"/>
  <c r="CE20" i="17"/>
  <c r="CD20" i="17"/>
  <c r="CC20" i="17"/>
  <c r="CB20" i="17"/>
  <c r="CA20" i="17"/>
  <c r="AG20" i="17"/>
  <c r="CM19" i="17"/>
  <c r="CL19" i="17"/>
  <c r="CK19" i="17"/>
  <c r="CJ19" i="17"/>
  <c r="CI19" i="17"/>
  <c r="CE19" i="17"/>
  <c r="CD19" i="17"/>
  <c r="CC19" i="17"/>
  <c r="CB19" i="17"/>
  <c r="CA19" i="17"/>
  <c r="AG19" i="17" s="1"/>
  <c r="CM18" i="17"/>
  <c r="CL18" i="17"/>
  <c r="CK18" i="17"/>
  <c r="CJ18" i="17"/>
  <c r="CI18" i="17"/>
  <c r="CE18" i="17"/>
  <c r="CD18" i="17"/>
  <c r="CC18" i="17"/>
  <c r="CB18" i="17"/>
  <c r="AG18" i="17" s="1"/>
  <c r="CA18" i="17"/>
  <c r="CM17" i="17"/>
  <c r="CL17" i="17"/>
  <c r="CK17" i="17"/>
  <c r="CJ17" i="17"/>
  <c r="CI17" i="17"/>
  <c r="CE17" i="17"/>
  <c r="CD17" i="17"/>
  <c r="CC17" i="17"/>
  <c r="CB17" i="17"/>
  <c r="CA17" i="17"/>
  <c r="AG17" i="17" s="1"/>
  <c r="CM16" i="17"/>
  <c r="CL16" i="17"/>
  <c r="CK16" i="17"/>
  <c r="CJ16" i="17"/>
  <c r="CI16" i="17"/>
  <c r="CE16" i="17"/>
  <c r="CD16" i="17"/>
  <c r="CC16" i="17"/>
  <c r="CB16" i="17"/>
  <c r="CA16" i="17"/>
  <c r="AG16" i="17"/>
  <c r="CM15" i="17"/>
  <c r="CL15" i="17"/>
  <c r="CK15" i="17"/>
  <c r="CJ15" i="17"/>
  <c r="B179" i="17" s="1"/>
  <c r="D20" i="29" s="1"/>
  <c r="CI15" i="17"/>
  <c r="CE15" i="17"/>
  <c r="CD15" i="17"/>
  <c r="CC15" i="17"/>
  <c r="CB15" i="17"/>
  <c r="CA15" i="17"/>
  <c r="CM14" i="17"/>
  <c r="CL14" i="17"/>
  <c r="CK14" i="17"/>
  <c r="CJ14" i="17"/>
  <c r="CI14" i="17"/>
  <c r="CE14" i="17"/>
  <c r="CD14" i="17"/>
  <c r="CC14" i="17"/>
  <c r="CB14" i="17"/>
  <c r="AG14" i="17" s="1"/>
  <c r="CA14" i="17"/>
  <c r="CM13" i="17"/>
  <c r="CL13" i="17"/>
  <c r="CK13" i="17"/>
  <c r="CJ13" i="17"/>
  <c r="CI13" i="17"/>
  <c r="CE13" i="17"/>
  <c r="CD13" i="17"/>
  <c r="CC13" i="17"/>
  <c r="CB13" i="17"/>
  <c r="CA13" i="17"/>
  <c r="AG13" i="17" s="1"/>
  <c r="AF12" i="17"/>
  <c r="AE12" i="17"/>
  <c r="AD12" i="17"/>
  <c r="AC12" i="17"/>
  <c r="AB12" i="17"/>
  <c r="AA12" i="17"/>
  <c r="Z12" i="17"/>
  <c r="Y12" i="17"/>
  <c r="X12" i="17"/>
  <c r="W12" i="17"/>
  <c r="V12" i="17"/>
  <c r="U12" i="17"/>
  <c r="T12" i="17"/>
  <c r="S12" i="17"/>
  <c r="R12" i="17"/>
  <c r="Q12" i="17"/>
  <c r="P12" i="17"/>
  <c r="O12" i="17"/>
  <c r="N12" i="17"/>
  <c r="M12" i="17"/>
  <c r="L12" i="17"/>
  <c r="K12" i="17"/>
  <c r="J12" i="17"/>
  <c r="I12" i="17"/>
  <c r="H12" i="17"/>
  <c r="G12" i="17"/>
  <c r="F12" i="17"/>
  <c r="E12" i="17"/>
  <c r="D12" i="17"/>
  <c r="C12" i="17"/>
  <c r="A5" i="17"/>
  <c r="A3" i="17"/>
  <c r="A2" i="17"/>
  <c r="F188" i="16"/>
  <c r="E188" i="16"/>
  <c r="D188" i="16"/>
  <c r="F187" i="16"/>
  <c r="E187" i="16"/>
  <c r="D187" i="16" s="1"/>
  <c r="F186" i="16"/>
  <c r="D186" i="16" s="1"/>
  <c r="E186" i="16"/>
  <c r="F185" i="16"/>
  <c r="E185" i="16"/>
  <c r="D185" i="16" s="1"/>
  <c r="F184" i="16"/>
  <c r="E184" i="16"/>
  <c r="D184" i="16"/>
  <c r="F183" i="16"/>
  <c r="E183" i="16"/>
  <c r="D183" i="16" s="1"/>
  <c r="E178" i="16"/>
  <c r="C178" i="16" s="1"/>
  <c r="D178" i="16"/>
  <c r="E177" i="16"/>
  <c r="D177" i="16"/>
  <c r="C177" i="16" s="1"/>
  <c r="E176" i="16"/>
  <c r="D176" i="16"/>
  <c r="C176" i="16"/>
  <c r="E175" i="16"/>
  <c r="D175" i="16"/>
  <c r="C175" i="16" s="1"/>
  <c r="C170" i="16"/>
  <c r="C169" i="16"/>
  <c r="C168" i="16"/>
  <c r="C167" i="16"/>
  <c r="C166" i="16"/>
  <c r="C165" i="16"/>
  <c r="D162" i="16"/>
  <c r="C162" i="16"/>
  <c r="B162" i="16"/>
  <c r="D161" i="16"/>
  <c r="C161" i="16"/>
  <c r="B161" i="16" s="1"/>
  <c r="D160" i="16"/>
  <c r="B160" i="16" s="1"/>
  <c r="C160" i="16"/>
  <c r="D159" i="16"/>
  <c r="C159" i="16"/>
  <c r="B159" i="16" s="1"/>
  <c r="D158" i="16"/>
  <c r="C158" i="16"/>
  <c r="B158" i="16"/>
  <c r="D153" i="16"/>
  <c r="C153" i="16"/>
  <c r="AN142" i="16"/>
  <c r="AM142" i="16"/>
  <c r="AL142" i="16"/>
  <c r="AK142" i="16"/>
  <c r="AJ142" i="16"/>
  <c r="AI142" i="16"/>
  <c r="AH142" i="16"/>
  <c r="AG142" i="16"/>
  <c r="AF142" i="16"/>
  <c r="AE142" i="16"/>
  <c r="AD142" i="16"/>
  <c r="AC142" i="16"/>
  <c r="AB142" i="16"/>
  <c r="AA142" i="16"/>
  <c r="Z142" i="16"/>
  <c r="Y142" i="16"/>
  <c r="X142" i="16"/>
  <c r="W142" i="16"/>
  <c r="V142" i="16"/>
  <c r="U142" i="16"/>
  <c r="T142" i="16"/>
  <c r="S142" i="16"/>
  <c r="R142" i="16"/>
  <c r="Q142" i="16"/>
  <c r="P142" i="16"/>
  <c r="O142" i="16"/>
  <c r="N142" i="16"/>
  <c r="M142" i="16"/>
  <c r="L142" i="16"/>
  <c r="K142" i="16"/>
  <c r="J142" i="16"/>
  <c r="I142" i="16"/>
  <c r="H142" i="16"/>
  <c r="G142" i="16"/>
  <c r="F142" i="16"/>
  <c r="E142" i="16"/>
  <c r="C142" i="16"/>
  <c r="D141" i="16"/>
  <c r="C141" i="16"/>
  <c r="B141" i="16"/>
  <c r="D140" i="16"/>
  <c r="C140" i="16"/>
  <c r="B140" i="16" s="1"/>
  <c r="D139" i="16"/>
  <c r="B139" i="16" s="1"/>
  <c r="C139" i="16"/>
  <c r="D138" i="16"/>
  <c r="C138" i="16"/>
  <c r="B138" i="16" s="1"/>
  <c r="D137" i="16"/>
  <c r="D142" i="16" s="1"/>
  <c r="C137" i="16"/>
  <c r="B137" i="16"/>
  <c r="D136" i="16"/>
  <c r="C136" i="16"/>
  <c r="B136" i="16" s="1"/>
  <c r="AO130" i="16"/>
  <c r="AN130" i="16"/>
  <c r="AM130" i="16"/>
  <c r="AL130" i="16"/>
  <c r="AK130" i="16"/>
  <c r="AJ130" i="16"/>
  <c r="AI130" i="16"/>
  <c r="AH130" i="16"/>
  <c r="AG130" i="16"/>
  <c r="AF130" i="16"/>
  <c r="AE130" i="16"/>
  <c r="AD130" i="16"/>
  <c r="AC130" i="16"/>
  <c r="AB130" i="16"/>
  <c r="AA130" i="16"/>
  <c r="Z130" i="16"/>
  <c r="Y130" i="16"/>
  <c r="X130" i="16"/>
  <c r="W130" i="16"/>
  <c r="V130" i="16"/>
  <c r="U130" i="16"/>
  <c r="T130" i="16"/>
  <c r="S130" i="16"/>
  <c r="R130" i="16"/>
  <c r="Q130" i="16"/>
  <c r="P130" i="16"/>
  <c r="O130" i="16"/>
  <c r="N130" i="16"/>
  <c r="M130" i="16"/>
  <c r="L130" i="16"/>
  <c r="K130" i="16"/>
  <c r="J130" i="16"/>
  <c r="I130" i="16"/>
  <c r="H130" i="16"/>
  <c r="G130" i="16"/>
  <c r="F130" i="16"/>
  <c r="E130" i="16"/>
  <c r="CF129" i="16"/>
  <c r="D129" i="16"/>
  <c r="C129" i="16"/>
  <c r="B129" i="16" s="1"/>
  <c r="CA129" i="16" s="1"/>
  <c r="AP129" i="16" s="1"/>
  <c r="D128" i="16"/>
  <c r="C128" i="16"/>
  <c r="B128" i="16" s="1"/>
  <c r="D127" i="16"/>
  <c r="C127" i="16"/>
  <c r="B127" i="16" s="1"/>
  <c r="D126" i="16"/>
  <c r="C126" i="16"/>
  <c r="B126" i="16" s="1"/>
  <c r="CF125" i="16"/>
  <c r="D125" i="16"/>
  <c r="C125" i="16"/>
  <c r="B125" i="16" s="1"/>
  <c r="CA125" i="16" s="1"/>
  <c r="AP125" i="16" s="1"/>
  <c r="D124" i="16"/>
  <c r="D130" i="16" s="1"/>
  <c r="C124" i="16"/>
  <c r="D119" i="16"/>
  <c r="B119" i="16" s="1"/>
  <c r="C119" i="16"/>
  <c r="D118" i="16"/>
  <c r="C118" i="16"/>
  <c r="B118" i="16" s="1"/>
  <c r="D117" i="16"/>
  <c r="C117" i="16"/>
  <c r="B117" i="16"/>
  <c r="D116" i="16"/>
  <c r="C116" i="16"/>
  <c r="B116" i="16" s="1"/>
  <c r="D115" i="16"/>
  <c r="B115" i="16" s="1"/>
  <c r="C115" i="16"/>
  <c r="D110" i="16"/>
  <c r="C110" i="16"/>
  <c r="B110" i="16" s="1"/>
  <c r="D109" i="16"/>
  <c r="C109" i="16"/>
  <c r="B109" i="16"/>
  <c r="D108" i="16"/>
  <c r="C108" i="16"/>
  <c r="B108" i="16" s="1"/>
  <c r="D103" i="16"/>
  <c r="B103" i="16" s="1"/>
  <c r="C103" i="16"/>
  <c r="D102" i="16"/>
  <c r="C102" i="16"/>
  <c r="B102" i="16" s="1"/>
  <c r="D101" i="16"/>
  <c r="C101" i="16"/>
  <c r="B101" i="16"/>
  <c r="D100" i="16"/>
  <c r="C100" i="16"/>
  <c r="B100" i="16" s="1"/>
  <c r="D99" i="16"/>
  <c r="B99" i="16" s="1"/>
  <c r="C99" i="16"/>
  <c r="D98" i="16"/>
  <c r="C98" i="16"/>
  <c r="B98" i="16" s="1"/>
  <c r="D97" i="16"/>
  <c r="C97" i="16"/>
  <c r="B97" i="16"/>
  <c r="D96" i="16"/>
  <c r="C96" i="16"/>
  <c r="B96" i="16" s="1"/>
  <c r="D95" i="16"/>
  <c r="B95" i="16" s="1"/>
  <c r="C95" i="16"/>
  <c r="E90" i="16"/>
  <c r="D90" i="16"/>
  <c r="C89" i="16"/>
  <c r="C88" i="16"/>
  <c r="C87" i="16"/>
  <c r="C90" i="16" s="1"/>
  <c r="AN84" i="16"/>
  <c r="AM84" i="16"/>
  <c r="AL84" i="16"/>
  <c r="AK84" i="16"/>
  <c r="AJ84" i="16"/>
  <c r="AI84" i="16"/>
  <c r="AH84" i="16"/>
  <c r="AG84" i="16"/>
  <c r="AF84" i="16"/>
  <c r="AE84" i="16"/>
  <c r="AD84" i="16"/>
  <c r="AC84" i="16"/>
  <c r="AB84" i="16"/>
  <c r="AA84" i="16"/>
  <c r="Z84" i="16"/>
  <c r="Y84" i="16"/>
  <c r="X84" i="16"/>
  <c r="W84" i="16"/>
  <c r="V84" i="16"/>
  <c r="U84" i="16"/>
  <c r="T84" i="16"/>
  <c r="S84" i="16"/>
  <c r="R84" i="16"/>
  <c r="Q84" i="16"/>
  <c r="P84" i="16"/>
  <c r="O84" i="16"/>
  <c r="N84" i="16"/>
  <c r="M84" i="16"/>
  <c r="L84" i="16"/>
  <c r="K84" i="16"/>
  <c r="J84" i="16"/>
  <c r="I84" i="16"/>
  <c r="H84" i="16"/>
  <c r="G84" i="16"/>
  <c r="F84" i="16"/>
  <c r="E84" i="16"/>
  <c r="D83" i="16"/>
  <c r="B83" i="16" s="1"/>
  <c r="C83" i="16"/>
  <c r="D82" i="16"/>
  <c r="C82" i="16"/>
  <c r="B82" i="16" s="1"/>
  <c r="D81" i="16"/>
  <c r="C81" i="16"/>
  <c r="B81" i="16"/>
  <c r="D80" i="16"/>
  <c r="C80" i="16"/>
  <c r="B80" i="16" s="1"/>
  <c r="D79" i="16"/>
  <c r="B79" i="16" s="1"/>
  <c r="C79" i="16"/>
  <c r="D78" i="16"/>
  <c r="D84" i="16" s="1"/>
  <c r="C78" i="16"/>
  <c r="AP73" i="16"/>
  <c r="AO73" i="16"/>
  <c r="AN73" i="16"/>
  <c r="AM73" i="16"/>
  <c r="AL73" i="16"/>
  <c r="AK73" i="16"/>
  <c r="AJ73" i="16"/>
  <c r="AI73" i="16"/>
  <c r="AH73" i="16"/>
  <c r="AG73" i="16"/>
  <c r="AF73" i="16"/>
  <c r="AE73" i="16"/>
  <c r="AD73" i="16"/>
  <c r="AC73" i="16"/>
  <c r="AB73" i="16"/>
  <c r="AA73" i="16"/>
  <c r="Z73" i="16"/>
  <c r="Y73" i="16"/>
  <c r="X73" i="16"/>
  <c r="W73" i="16"/>
  <c r="V73" i="16"/>
  <c r="U73" i="16"/>
  <c r="T73" i="16"/>
  <c r="S73" i="16"/>
  <c r="R73" i="16"/>
  <c r="Q73" i="16"/>
  <c r="P73" i="16"/>
  <c r="O73" i="16"/>
  <c r="N73" i="16"/>
  <c r="M73" i="16"/>
  <c r="L73" i="16"/>
  <c r="K73" i="16"/>
  <c r="J73" i="16"/>
  <c r="I73" i="16"/>
  <c r="H73" i="16"/>
  <c r="G73" i="16"/>
  <c r="F73" i="16"/>
  <c r="E73" i="16"/>
  <c r="D73" i="16"/>
  <c r="CF72" i="16"/>
  <c r="D72" i="16"/>
  <c r="B72" i="16" s="1"/>
  <c r="C72" i="16"/>
  <c r="CA71" i="16"/>
  <c r="AQ71" i="16" s="1"/>
  <c r="D71" i="16"/>
  <c r="C71" i="16"/>
  <c r="C73" i="16" s="1"/>
  <c r="B71" i="16"/>
  <c r="AO66" i="16"/>
  <c r="AN66" i="16"/>
  <c r="AM66" i="16"/>
  <c r="AL66" i="16"/>
  <c r="AK66" i="16"/>
  <c r="AJ66" i="16"/>
  <c r="AI66" i="16"/>
  <c r="AH66" i="16"/>
  <c r="AG66" i="16"/>
  <c r="AF66" i="16"/>
  <c r="AE66" i="16"/>
  <c r="AD66" i="16"/>
  <c r="AC66" i="16"/>
  <c r="AB66" i="16"/>
  <c r="AA66" i="16"/>
  <c r="Z66" i="16"/>
  <c r="Y66" i="16"/>
  <c r="X66" i="16"/>
  <c r="W66" i="16"/>
  <c r="V66" i="16"/>
  <c r="U66" i="16"/>
  <c r="T66" i="16"/>
  <c r="S66" i="16"/>
  <c r="R66" i="16"/>
  <c r="Q66" i="16"/>
  <c r="P66" i="16"/>
  <c r="O66" i="16"/>
  <c r="N66" i="16"/>
  <c r="M66" i="16"/>
  <c r="L66" i="16"/>
  <c r="K66" i="16"/>
  <c r="J66" i="16"/>
  <c r="I66" i="16"/>
  <c r="H66" i="16"/>
  <c r="G66" i="16"/>
  <c r="F66" i="16"/>
  <c r="E66" i="16"/>
  <c r="D65" i="16"/>
  <c r="B65" i="16" s="1"/>
  <c r="C65" i="16"/>
  <c r="CA64" i="16"/>
  <c r="AP64" i="16" s="1"/>
  <c r="D64" i="16"/>
  <c r="C64" i="16"/>
  <c r="C66" i="16" s="1"/>
  <c r="B64" i="16"/>
  <c r="CF64" i="16" s="1"/>
  <c r="D63" i="16"/>
  <c r="C63" i="16"/>
  <c r="D58" i="16"/>
  <c r="C58" i="16"/>
  <c r="B58" i="16"/>
  <c r="CF58" i="16" s="1"/>
  <c r="CC53" i="16"/>
  <c r="D53" i="16"/>
  <c r="B53" i="16" s="1"/>
  <c r="C53" i="16"/>
  <c r="D52" i="16"/>
  <c r="C52" i="16"/>
  <c r="B52" i="16"/>
  <c r="CA52" i="16" s="1"/>
  <c r="CC51" i="16"/>
  <c r="D51" i="16"/>
  <c r="B51" i="16" s="1"/>
  <c r="C51" i="16"/>
  <c r="D50" i="16"/>
  <c r="C50" i="16"/>
  <c r="B50" i="16"/>
  <c r="CA50" i="16" s="1"/>
  <c r="CC49" i="16"/>
  <c r="D49" i="16"/>
  <c r="B49" i="16" s="1"/>
  <c r="C49" i="16"/>
  <c r="D48" i="16"/>
  <c r="C48" i="16"/>
  <c r="B48" i="16"/>
  <c r="CA48" i="16" s="1"/>
  <c r="CC47" i="16"/>
  <c r="D47" i="16"/>
  <c r="B47" i="16" s="1"/>
  <c r="C47" i="16"/>
  <c r="D46" i="16"/>
  <c r="C46" i="16"/>
  <c r="B46" i="16"/>
  <c r="CA46" i="16" s="1"/>
  <c r="AR41" i="16"/>
  <c r="AQ41" i="16"/>
  <c r="AP41" i="16"/>
  <c r="AO41" i="16"/>
  <c r="AN41" i="16"/>
  <c r="AM41" i="16"/>
  <c r="AL41" i="16"/>
  <c r="AK41" i="16"/>
  <c r="AJ41" i="16"/>
  <c r="AI41" i="16"/>
  <c r="AH41" i="16"/>
  <c r="AG41" i="16"/>
  <c r="AF41" i="16"/>
  <c r="AE41" i="16"/>
  <c r="AD41" i="16"/>
  <c r="AC41" i="16"/>
  <c r="AB41" i="16"/>
  <c r="AA41" i="16"/>
  <c r="Z41" i="16"/>
  <c r="Y41" i="16"/>
  <c r="X41" i="16"/>
  <c r="W41" i="16"/>
  <c r="V41" i="16"/>
  <c r="U41" i="16"/>
  <c r="T41" i="16"/>
  <c r="S41" i="16"/>
  <c r="R41" i="16"/>
  <c r="Q41" i="16"/>
  <c r="P41" i="16"/>
  <c r="O41" i="16"/>
  <c r="N41" i="16"/>
  <c r="M41" i="16"/>
  <c r="L41" i="16"/>
  <c r="K41" i="16"/>
  <c r="J41" i="16"/>
  <c r="I41" i="16"/>
  <c r="H41" i="16"/>
  <c r="G41" i="16"/>
  <c r="F41" i="16"/>
  <c r="E40" i="16"/>
  <c r="D40" i="16"/>
  <c r="C40" i="16"/>
  <c r="CA40" i="16" s="1"/>
  <c r="E39" i="16"/>
  <c r="C39" i="16" s="1"/>
  <c r="D39" i="16"/>
  <c r="E38" i="16"/>
  <c r="D38" i="16"/>
  <c r="C38" i="16"/>
  <c r="CA38" i="16" s="1"/>
  <c r="E37" i="16"/>
  <c r="C37" i="16" s="1"/>
  <c r="D37" i="16"/>
  <c r="E36" i="16"/>
  <c r="D36" i="16"/>
  <c r="C36" i="16"/>
  <c r="CA36" i="16" s="1"/>
  <c r="E35" i="16"/>
  <c r="C35" i="16" s="1"/>
  <c r="D35" i="16"/>
  <c r="E34" i="16"/>
  <c r="D34" i="16"/>
  <c r="C34" i="16"/>
  <c r="CA34" i="16" s="1"/>
  <c r="E33" i="16"/>
  <c r="C33" i="16" s="1"/>
  <c r="D33" i="16"/>
  <c r="E32" i="16"/>
  <c r="D32" i="16"/>
  <c r="C32" i="16"/>
  <c r="CA32" i="16" s="1"/>
  <c r="E31" i="16"/>
  <c r="C31" i="16" s="1"/>
  <c r="D31" i="16"/>
  <c r="E30" i="16"/>
  <c r="D30" i="16"/>
  <c r="C30" i="16"/>
  <c r="CA30" i="16" s="1"/>
  <c r="E29" i="16"/>
  <c r="D29" i="16"/>
  <c r="E28" i="16"/>
  <c r="D28" i="16"/>
  <c r="D41" i="16" s="1"/>
  <c r="C28" i="16"/>
  <c r="CA28" i="16" s="1"/>
  <c r="AQ23" i="16"/>
  <c r="AP23" i="16"/>
  <c r="AO23" i="16"/>
  <c r="AN23" i="16"/>
  <c r="AM23" i="16"/>
  <c r="AL23" i="16"/>
  <c r="AK23" i="16"/>
  <c r="AJ23" i="16"/>
  <c r="AI23" i="16"/>
  <c r="AH23" i="16"/>
  <c r="AG23" i="16"/>
  <c r="AF23" i="16"/>
  <c r="AE23" i="16"/>
  <c r="AD23" i="16"/>
  <c r="AC23" i="16"/>
  <c r="AB23" i="16"/>
  <c r="AA23" i="16"/>
  <c r="Z23" i="16"/>
  <c r="Y23" i="16"/>
  <c r="X23" i="16"/>
  <c r="W23" i="16"/>
  <c r="V23" i="16"/>
  <c r="U23" i="16"/>
  <c r="T23" i="16"/>
  <c r="S23" i="16"/>
  <c r="R23" i="16"/>
  <c r="Q23" i="16"/>
  <c r="P23" i="16"/>
  <c r="O23" i="16"/>
  <c r="N23" i="16"/>
  <c r="M23" i="16"/>
  <c r="L23" i="16"/>
  <c r="K23" i="16"/>
  <c r="J23" i="16"/>
  <c r="I23" i="16"/>
  <c r="H23" i="16"/>
  <c r="G23" i="16"/>
  <c r="F23" i="16"/>
  <c r="E23" i="16"/>
  <c r="CA22" i="16"/>
  <c r="D22" i="16"/>
  <c r="C22" i="16"/>
  <c r="B22" i="16"/>
  <c r="CC21" i="16"/>
  <c r="D21" i="16"/>
  <c r="B21" i="16" s="1"/>
  <c r="C21" i="16"/>
  <c r="CA20" i="16"/>
  <c r="D20" i="16"/>
  <c r="C20" i="16"/>
  <c r="B20" i="16"/>
  <c r="CC19" i="16"/>
  <c r="D19" i="16"/>
  <c r="B19" i="16" s="1"/>
  <c r="C19" i="16"/>
  <c r="CA18" i="16"/>
  <c r="D18" i="16"/>
  <c r="C18" i="16"/>
  <c r="B18" i="16"/>
  <c r="CC17" i="16"/>
  <c r="D17" i="16"/>
  <c r="B17" i="16" s="1"/>
  <c r="C17" i="16"/>
  <c r="CA16" i="16"/>
  <c r="D16" i="16"/>
  <c r="C16" i="16"/>
  <c r="B16" i="16"/>
  <c r="CC15" i="16"/>
  <c r="D15" i="16"/>
  <c r="B15" i="16" s="1"/>
  <c r="C15" i="16"/>
  <c r="CA14" i="16"/>
  <c r="D14" i="16"/>
  <c r="C14" i="16"/>
  <c r="B14" i="16"/>
  <c r="CC13" i="16"/>
  <c r="D13" i="16"/>
  <c r="B13" i="16" s="1"/>
  <c r="C13" i="16"/>
  <c r="CA12" i="16"/>
  <c r="D12" i="16"/>
  <c r="C12" i="16"/>
  <c r="C23" i="16" s="1"/>
  <c r="B12" i="16"/>
  <c r="A5" i="16"/>
  <c r="A3" i="16"/>
  <c r="A2" i="16"/>
  <c r="J152" i="15"/>
  <c r="I152" i="15"/>
  <c r="H152" i="15"/>
  <c r="G152" i="15"/>
  <c r="F152" i="15"/>
  <c r="E152" i="15"/>
  <c r="D152" i="15"/>
  <c r="C152" i="15"/>
  <c r="B151" i="15"/>
  <c r="B150" i="15"/>
  <c r="B149" i="15"/>
  <c r="B148" i="15"/>
  <c r="B147" i="15"/>
  <c r="B146" i="15"/>
  <c r="B145" i="15"/>
  <c r="B144" i="15"/>
  <c r="B143" i="15"/>
  <c r="B152" i="15" s="1"/>
  <c r="I139" i="15"/>
  <c r="H139" i="15"/>
  <c r="G139" i="15"/>
  <c r="F139" i="15"/>
  <c r="E139" i="15"/>
  <c r="D139" i="15"/>
  <c r="C139" i="15"/>
  <c r="B139" i="15"/>
  <c r="BH138" i="15"/>
  <c r="BG138" i="15"/>
  <c r="BF138" i="15"/>
  <c r="AY138" i="15"/>
  <c r="AX138" i="15"/>
  <c r="AW138" i="15"/>
  <c r="J138" i="15"/>
  <c r="BH137" i="15"/>
  <c r="BG137" i="15"/>
  <c r="BF137" i="15"/>
  <c r="AY137" i="15"/>
  <c r="AX137" i="15"/>
  <c r="AW137" i="15"/>
  <c r="J137" i="15" s="1"/>
  <c r="BH136" i="15"/>
  <c r="BG136" i="15"/>
  <c r="BF136" i="15"/>
  <c r="AY136" i="15"/>
  <c r="AX136" i="15"/>
  <c r="J136" i="15" s="1"/>
  <c r="AW136" i="15"/>
  <c r="BH135" i="15"/>
  <c r="BG135" i="15"/>
  <c r="BF135" i="15"/>
  <c r="AY135" i="15"/>
  <c r="AX135" i="15"/>
  <c r="AW135" i="15"/>
  <c r="J135" i="15" s="1"/>
  <c r="BH134" i="15"/>
  <c r="BG134" i="15"/>
  <c r="BF134" i="15"/>
  <c r="AY134" i="15"/>
  <c r="AX134" i="15"/>
  <c r="AW134" i="15"/>
  <c r="J134" i="15"/>
  <c r="BH133" i="15"/>
  <c r="BG133" i="15"/>
  <c r="BF133" i="15"/>
  <c r="AY133" i="15"/>
  <c r="AX133" i="15"/>
  <c r="AW133" i="15"/>
  <c r="J133" i="15" s="1"/>
  <c r="BH132" i="15"/>
  <c r="BG132" i="15"/>
  <c r="BF132" i="15"/>
  <c r="AY132" i="15"/>
  <c r="AX132" i="15"/>
  <c r="J132" i="15" s="1"/>
  <c r="AW132" i="15"/>
  <c r="BH131" i="15"/>
  <c r="BG131" i="15"/>
  <c r="BF131" i="15"/>
  <c r="AY131" i="15"/>
  <c r="AX131" i="15"/>
  <c r="AW131" i="15"/>
  <c r="J131" i="15" s="1"/>
  <c r="BH130" i="15"/>
  <c r="BG130" i="15"/>
  <c r="BF130" i="15"/>
  <c r="AY130" i="15"/>
  <c r="AX130" i="15"/>
  <c r="AW130" i="15"/>
  <c r="J130" i="15"/>
  <c r="BH129" i="15"/>
  <c r="BG129" i="15"/>
  <c r="BF129" i="15"/>
  <c r="AY129" i="15"/>
  <c r="AX129" i="15"/>
  <c r="AW129" i="15"/>
  <c r="BH128" i="15"/>
  <c r="BG128" i="15"/>
  <c r="BF128" i="15"/>
  <c r="AY128" i="15"/>
  <c r="AX128" i="15"/>
  <c r="J128" i="15" s="1"/>
  <c r="AW128" i="15"/>
  <c r="BH127" i="15"/>
  <c r="BG127" i="15"/>
  <c r="BF127" i="15"/>
  <c r="AY127" i="15"/>
  <c r="AX127" i="15"/>
  <c r="AW127" i="15"/>
  <c r="J127" i="15" s="1"/>
  <c r="BI124" i="15"/>
  <c r="BH124" i="15"/>
  <c r="BG124" i="15"/>
  <c r="BF124" i="15"/>
  <c r="AZ124" i="15"/>
  <c r="AY124" i="15"/>
  <c r="AX124" i="15"/>
  <c r="I124" i="15" s="1"/>
  <c r="AW124" i="15"/>
  <c r="BI123" i="15"/>
  <c r="BH123" i="15"/>
  <c r="BG123" i="15"/>
  <c r="BF123" i="15"/>
  <c r="AZ123" i="15"/>
  <c r="AY123" i="15"/>
  <c r="AX123" i="15"/>
  <c r="AW123" i="15"/>
  <c r="H122" i="15"/>
  <c r="G122" i="15"/>
  <c r="F122" i="15"/>
  <c r="E122" i="15"/>
  <c r="D122" i="15"/>
  <c r="C122" i="15"/>
  <c r="B122" i="15"/>
  <c r="AX119" i="15"/>
  <c r="H119" i="15" s="1"/>
  <c r="B119" i="15"/>
  <c r="BG119" i="15" s="1"/>
  <c r="AW118" i="15"/>
  <c r="H118" i="15" s="1"/>
  <c r="B118" i="15"/>
  <c r="BF118" i="15" s="1"/>
  <c r="G114" i="15"/>
  <c r="F114" i="15"/>
  <c r="E114" i="15"/>
  <c r="D114" i="15"/>
  <c r="C114" i="15"/>
  <c r="BF113" i="15"/>
  <c r="AW113" i="15"/>
  <c r="H113" i="15"/>
  <c r="B113" i="15"/>
  <c r="BF112" i="15"/>
  <c r="AW112" i="15"/>
  <c r="H112" i="15"/>
  <c r="B112" i="15"/>
  <c r="BF111" i="15"/>
  <c r="AW111" i="15"/>
  <c r="H111" i="15"/>
  <c r="B111" i="15"/>
  <c r="BF110" i="15"/>
  <c r="AW110" i="15"/>
  <c r="H110" i="15"/>
  <c r="B110" i="15"/>
  <c r="BF109" i="15"/>
  <c r="AW109" i="15"/>
  <c r="H109" i="15"/>
  <c r="B109" i="15"/>
  <c r="BF108" i="15"/>
  <c r="AW108" i="15"/>
  <c r="H108" i="15"/>
  <c r="B108" i="15"/>
  <c r="BF107" i="15"/>
  <c r="AW107" i="15"/>
  <c r="H107" i="15"/>
  <c r="B107" i="15"/>
  <c r="BF106" i="15"/>
  <c r="AW106" i="15"/>
  <c r="H106" i="15"/>
  <c r="B106" i="15"/>
  <c r="B114" i="15" s="1"/>
  <c r="Q102" i="15"/>
  <c r="P102" i="15"/>
  <c r="O102" i="15"/>
  <c r="N102" i="15"/>
  <c r="M102" i="15"/>
  <c r="L102" i="15"/>
  <c r="K102" i="15"/>
  <c r="J102" i="15"/>
  <c r="I102" i="15"/>
  <c r="AW114" i="15" s="1"/>
  <c r="H114" i="15" s="1"/>
  <c r="H102" i="15"/>
  <c r="G102" i="15"/>
  <c r="F102" i="15"/>
  <c r="E102" i="15"/>
  <c r="D102" i="15"/>
  <c r="C102" i="15"/>
  <c r="B102" i="15"/>
  <c r="BF101" i="15"/>
  <c r="AW101" i="15"/>
  <c r="R101" i="15"/>
  <c r="BF100" i="15"/>
  <c r="AW100" i="15"/>
  <c r="R100" i="15" s="1"/>
  <c r="BF99" i="15"/>
  <c r="AW99" i="15"/>
  <c r="R99" i="15"/>
  <c r="BF98" i="15"/>
  <c r="AW98" i="15"/>
  <c r="R98" i="15" s="1"/>
  <c r="BF97" i="15"/>
  <c r="AW97" i="15"/>
  <c r="R97" i="15"/>
  <c r="BF96" i="15"/>
  <c r="AW96" i="15"/>
  <c r="R96" i="15" s="1"/>
  <c r="BF95" i="15"/>
  <c r="AW95" i="15"/>
  <c r="R95" i="15"/>
  <c r="BF94" i="15"/>
  <c r="AW94" i="15"/>
  <c r="R94" i="15" s="1"/>
  <c r="BF93" i="15"/>
  <c r="AW93" i="15"/>
  <c r="R93" i="15"/>
  <c r="BF92" i="15"/>
  <c r="AW92" i="15"/>
  <c r="R92" i="15" s="1"/>
  <c r="BF91" i="15"/>
  <c r="AW91" i="15"/>
  <c r="R91" i="15"/>
  <c r="BF90" i="15"/>
  <c r="AW90" i="15"/>
  <c r="R90" i="15" s="1"/>
  <c r="BF89" i="15"/>
  <c r="AW89" i="15"/>
  <c r="R89" i="15"/>
  <c r="C84" i="15"/>
  <c r="C83" i="15"/>
  <c r="C82" i="15"/>
  <c r="C81" i="15"/>
  <c r="C80" i="15"/>
  <c r="G69" i="15"/>
  <c r="F69" i="15"/>
  <c r="E69" i="15"/>
  <c r="D69" i="15"/>
  <c r="C69" i="15"/>
  <c r="B68" i="15"/>
  <c r="B67" i="15"/>
  <c r="B66" i="15"/>
  <c r="B65" i="15"/>
  <c r="B64" i="15"/>
  <c r="B63" i="15"/>
  <c r="B59" i="15"/>
  <c r="B58" i="15"/>
  <c r="B57" i="15"/>
  <c r="B53" i="15"/>
  <c r="B52" i="15"/>
  <c r="B51" i="15"/>
  <c r="BM37" i="15"/>
  <c r="P37" i="15"/>
  <c r="C37" i="15"/>
  <c r="BD37" i="15" s="1"/>
  <c r="BM36" i="15"/>
  <c r="C36" i="15"/>
  <c r="BD36" i="15" s="1"/>
  <c r="P36" i="15" s="1"/>
  <c r="BM35" i="15"/>
  <c r="P35" i="15"/>
  <c r="C35" i="15"/>
  <c r="BD35" i="15" s="1"/>
  <c r="BM34" i="15"/>
  <c r="P34" i="15"/>
  <c r="C34" i="15"/>
  <c r="BD34" i="15" s="1"/>
  <c r="BM33" i="15"/>
  <c r="P33" i="15"/>
  <c r="C33" i="15"/>
  <c r="BD33" i="15" s="1"/>
  <c r="BM32" i="15"/>
  <c r="C32" i="15"/>
  <c r="BD32" i="15" s="1"/>
  <c r="P32" i="15" s="1"/>
  <c r="BM31" i="15"/>
  <c r="BK31" i="15"/>
  <c r="BJ31" i="15"/>
  <c r="BI31" i="15"/>
  <c r="BG31" i="15"/>
  <c r="BF31" i="15"/>
  <c r="BD31" i="15"/>
  <c r="BB31" i="15"/>
  <c r="BA31" i="15"/>
  <c r="AZ31" i="15"/>
  <c r="AX31" i="15"/>
  <c r="AW31" i="15"/>
  <c r="C31" i="15"/>
  <c r="BL31" i="15" s="1"/>
  <c r="B25" i="15"/>
  <c r="B24" i="15"/>
  <c r="B23" i="15"/>
  <c r="B22" i="15"/>
  <c r="B21" i="15"/>
  <c r="AC17" i="15"/>
  <c r="Z17" i="15"/>
  <c r="U17" i="15"/>
  <c r="P17" i="15"/>
  <c r="K17" i="15"/>
  <c r="G17" i="15"/>
  <c r="AC16" i="15"/>
  <c r="Z16" i="15"/>
  <c r="U16" i="15"/>
  <c r="P16" i="15"/>
  <c r="K16" i="15"/>
  <c r="G16" i="15"/>
  <c r="AC15" i="15"/>
  <c r="AC13" i="15" s="1"/>
  <c r="Z15" i="15"/>
  <c r="U15" i="15"/>
  <c r="P15" i="15"/>
  <c r="P13" i="15" s="1"/>
  <c r="K15" i="15"/>
  <c r="G15" i="15"/>
  <c r="AC14" i="15"/>
  <c r="Z14" i="15"/>
  <c r="Z13" i="15" s="1"/>
  <c r="U14" i="15"/>
  <c r="U13" i="15" s="1"/>
  <c r="P14" i="15"/>
  <c r="K14" i="15"/>
  <c r="G14" i="15"/>
  <c r="G13" i="15" s="1"/>
  <c r="AE13" i="15"/>
  <c r="AD13" i="15"/>
  <c r="AB13" i="15"/>
  <c r="AA13" i="15"/>
  <c r="Y13" i="15"/>
  <c r="X13" i="15"/>
  <c r="W13" i="15"/>
  <c r="V13" i="15"/>
  <c r="T13" i="15"/>
  <c r="S13" i="15"/>
  <c r="R13" i="15"/>
  <c r="Q13" i="15"/>
  <c r="O13" i="15"/>
  <c r="N13" i="15"/>
  <c r="M13" i="15"/>
  <c r="L13" i="15"/>
  <c r="K13" i="15"/>
  <c r="J13" i="15"/>
  <c r="I13" i="15"/>
  <c r="H13" i="15"/>
  <c r="F13" i="15"/>
  <c r="E13" i="15"/>
  <c r="D13" i="15"/>
  <c r="C13" i="15"/>
  <c r="B13" i="15"/>
  <c r="CF11" i="15"/>
  <c r="A5" i="15"/>
  <c r="A3" i="15"/>
  <c r="A2" i="15"/>
  <c r="B187" i="13"/>
  <c r="B186" i="13"/>
  <c r="B185" i="13"/>
  <c r="B184" i="13"/>
  <c r="AL181" i="13"/>
  <c r="AK181" i="13"/>
  <c r="AJ181" i="13"/>
  <c r="AI181" i="13"/>
  <c r="AH181" i="13"/>
  <c r="AG181" i="13"/>
  <c r="AF181" i="13"/>
  <c r="AE181" i="13"/>
  <c r="AD181" i="13"/>
  <c r="AC181" i="13"/>
  <c r="AB181" i="13"/>
  <c r="AA181" i="13"/>
  <c r="Z181" i="13"/>
  <c r="Y181" i="13"/>
  <c r="X181" i="13"/>
  <c r="W181" i="13"/>
  <c r="V181" i="13"/>
  <c r="U181" i="13"/>
  <c r="T181" i="13"/>
  <c r="S181" i="13"/>
  <c r="R181" i="13"/>
  <c r="Q181" i="13"/>
  <c r="P181" i="13"/>
  <c r="O181" i="13"/>
  <c r="N181" i="13"/>
  <c r="M181" i="13"/>
  <c r="L181" i="13"/>
  <c r="K181" i="13"/>
  <c r="J181" i="13"/>
  <c r="I181" i="13"/>
  <c r="H181" i="13"/>
  <c r="G181" i="13"/>
  <c r="F181" i="13"/>
  <c r="E181" i="13"/>
  <c r="D180" i="13"/>
  <c r="C180" i="13"/>
  <c r="B180" i="13" s="1"/>
  <c r="D179" i="13"/>
  <c r="C179" i="13"/>
  <c r="D178" i="13"/>
  <c r="C178" i="13"/>
  <c r="B178" i="13" s="1"/>
  <c r="D177" i="13"/>
  <c r="B177" i="13" s="1"/>
  <c r="C177" i="13"/>
  <c r="D176" i="13"/>
  <c r="C176" i="13"/>
  <c r="D175" i="13"/>
  <c r="C175" i="13"/>
  <c r="B175" i="13"/>
  <c r="B170" i="13"/>
  <c r="B169" i="13"/>
  <c r="B168" i="13"/>
  <c r="B167" i="13"/>
  <c r="B164" i="13"/>
  <c r="B163" i="13"/>
  <c r="B162" i="13"/>
  <c r="B161" i="13"/>
  <c r="B160" i="13"/>
  <c r="B159" i="13"/>
  <c r="B158" i="13"/>
  <c r="B155" i="13"/>
  <c r="B154" i="13"/>
  <c r="B153" i="13"/>
  <c r="B152" i="13"/>
  <c r="B151" i="13"/>
  <c r="CA148" i="13"/>
  <c r="P148" i="13" s="1"/>
  <c r="C148" i="13"/>
  <c r="CJ148" i="13" s="1"/>
  <c r="C147" i="13"/>
  <c r="CA146" i="13"/>
  <c r="P146" i="13" s="1"/>
  <c r="C146" i="13"/>
  <c r="CJ146" i="13" s="1"/>
  <c r="C145" i="13"/>
  <c r="CA144" i="13"/>
  <c r="P144" i="13" s="1"/>
  <c r="C144" i="13"/>
  <c r="CJ144" i="13" s="1"/>
  <c r="C143" i="13"/>
  <c r="CA142" i="13"/>
  <c r="P142" i="13" s="1"/>
  <c r="C142" i="13"/>
  <c r="CJ142" i="13" s="1"/>
  <c r="C141" i="13"/>
  <c r="CA140" i="13"/>
  <c r="P140" i="13" s="1"/>
  <c r="C140" i="13"/>
  <c r="CJ140" i="13" s="1"/>
  <c r="C139" i="13"/>
  <c r="CA138" i="13"/>
  <c r="P138" i="13" s="1"/>
  <c r="C138" i="13"/>
  <c r="CJ138" i="13" s="1"/>
  <c r="C137" i="13"/>
  <c r="CA136" i="13"/>
  <c r="P136" i="13" s="1"/>
  <c r="C136" i="13"/>
  <c r="CJ136" i="13" s="1"/>
  <c r="C135" i="13"/>
  <c r="CA134" i="13"/>
  <c r="P134" i="13" s="1"/>
  <c r="C134" i="13"/>
  <c r="CJ134" i="13" s="1"/>
  <c r="C133" i="13"/>
  <c r="CA132" i="13"/>
  <c r="P132" i="13" s="1"/>
  <c r="C132" i="13"/>
  <c r="CJ132" i="13" s="1"/>
  <c r="C131" i="13"/>
  <c r="CA130" i="13"/>
  <c r="P130" i="13" s="1"/>
  <c r="C130" i="13"/>
  <c r="CJ130" i="13" s="1"/>
  <c r="C129" i="13"/>
  <c r="CK124" i="13"/>
  <c r="CJ124" i="13"/>
  <c r="CB124" i="13"/>
  <c r="CA124" i="13"/>
  <c r="E124" i="13"/>
  <c r="D124" i="13"/>
  <c r="C124" i="13"/>
  <c r="CK123" i="13"/>
  <c r="CJ123" i="13"/>
  <c r="CB123" i="13"/>
  <c r="CA123" i="13"/>
  <c r="E123" i="13"/>
  <c r="D123" i="13"/>
  <c r="C123" i="13"/>
  <c r="CK122" i="13"/>
  <c r="CJ122" i="13"/>
  <c r="CB122" i="13"/>
  <c r="CA122" i="13"/>
  <c r="E122" i="13"/>
  <c r="D122" i="13"/>
  <c r="C122" i="13"/>
  <c r="CJ117" i="13"/>
  <c r="CA117" i="13"/>
  <c r="E117" i="13" s="1"/>
  <c r="CJ116" i="13"/>
  <c r="CA116" i="13"/>
  <c r="E116" i="13"/>
  <c r="CJ115" i="13"/>
  <c r="CA115" i="13"/>
  <c r="E115" i="13" s="1"/>
  <c r="CJ114" i="13"/>
  <c r="CA114" i="13"/>
  <c r="E114" i="13"/>
  <c r="CJ113" i="13"/>
  <c r="CA113" i="13"/>
  <c r="E113" i="13" s="1"/>
  <c r="CJ110" i="13"/>
  <c r="CA110" i="13"/>
  <c r="E110" i="13"/>
  <c r="CJ109" i="13"/>
  <c r="CA109" i="13"/>
  <c r="E109" i="13" s="1"/>
  <c r="CJ108" i="13"/>
  <c r="CA108" i="13"/>
  <c r="E108" i="13"/>
  <c r="CE105" i="13"/>
  <c r="CA105" i="13"/>
  <c r="E105" i="13"/>
  <c r="CJ105" i="13" s="1"/>
  <c r="D105" i="13"/>
  <c r="CB105" i="13" s="1"/>
  <c r="C105" i="13"/>
  <c r="CL105" i="13" s="1"/>
  <c r="CJ104" i="13"/>
  <c r="CA104" i="13"/>
  <c r="E104" i="13"/>
  <c r="D104" i="13"/>
  <c r="CJ103" i="13"/>
  <c r="CA103" i="13"/>
  <c r="E103" i="13"/>
  <c r="D103" i="13"/>
  <c r="CJ102" i="13"/>
  <c r="CA102" i="13"/>
  <c r="E102" i="13"/>
  <c r="D102" i="13"/>
  <c r="CJ101" i="13"/>
  <c r="CA101" i="13"/>
  <c r="E101" i="13"/>
  <c r="D101" i="13"/>
  <c r="CJ100" i="13"/>
  <c r="CA100" i="13"/>
  <c r="E100" i="13"/>
  <c r="D100" i="13"/>
  <c r="CJ99" i="13"/>
  <c r="CA99" i="13"/>
  <c r="E99" i="13"/>
  <c r="D99" i="13"/>
  <c r="CJ98" i="13"/>
  <c r="CA98" i="13"/>
  <c r="E98" i="13"/>
  <c r="D98" i="13"/>
  <c r="CJ97" i="13"/>
  <c r="CA97" i="13"/>
  <c r="E97" i="13"/>
  <c r="D97" i="13"/>
  <c r="CJ96" i="13"/>
  <c r="CA96" i="13"/>
  <c r="E96" i="13"/>
  <c r="D96" i="13"/>
  <c r="CJ95" i="13"/>
  <c r="CA95" i="13"/>
  <c r="E95" i="13"/>
  <c r="D95" i="13"/>
  <c r="CJ94" i="13"/>
  <c r="CA94" i="13"/>
  <c r="E94" i="13"/>
  <c r="D94" i="13"/>
  <c r="CO89" i="13"/>
  <c r="CN89" i="13"/>
  <c r="CL89" i="13"/>
  <c r="CG89" i="13"/>
  <c r="CF89" i="13"/>
  <c r="CB89" i="13"/>
  <c r="E89" i="13"/>
  <c r="CK89" i="13" s="1"/>
  <c r="D89" i="13"/>
  <c r="CC89" i="13" s="1"/>
  <c r="C89" i="13"/>
  <c r="CO88" i="13"/>
  <c r="CL88" i="13"/>
  <c r="CF88" i="13"/>
  <c r="E88" i="13"/>
  <c r="CK88" i="13" s="1"/>
  <c r="D88" i="13"/>
  <c r="CC88" i="13" s="1"/>
  <c r="CO87" i="13"/>
  <c r="CK87" i="13"/>
  <c r="CF87" i="13"/>
  <c r="E87" i="13"/>
  <c r="CB87" i="13" s="1"/>
  <c r="D87" i="13"/>
  <c r="CC87" i="13" s="1"/>
  <c r="CO86" i="13"/>
  <c r="CF86" i="13"/>
  <c r="CC86" i="13"/>
  <c r="CB86" i="13"/>
  <c r="E86" i="13"/>
  <c r="CK86" i="13" s="1"/>
  <c r="D86" i="13"/>
  <c r="CO85" i="13"/>
  <c r="CN85" i="13"/>
  <c r="CL85" i="13"/>
  <c r="CF85" i="13"/>
  <c r="CB85" i="13"/>
  <c r="E85" i="13"/>
  <c r="CK85" i="13" s="1"/>
  <c r="D85" i="13"/>
  <c r="CC85" i="13" s="1"/>
  <c r="C85" i="13"/>
  <c r="CG85" i="13" s="1"/>
  <c r="CO84" i="13"/>
  <c r="CL84" i="13"/>
  <c r="CF84" i="13"/>
  <c r="E84" i="13"/>
  <c r="CK84" i="13" s="1"/>
  <c r="D84" i="13"/>
  <c r="CC84" i="13" s="1"/>
  <c r="CO83" i="13"/>
  <c r="CK83" i="13"/>
  <c r="CF83" i="13"/>
  <c r="E83" i="13"/>
  <c r="CB83" i="13" s="1"/>
  <c r="D83" i="13"/>
  <c r="CC83" i="13" s="1"/>
  <c r="CO82" i="13"/>
  <c r="CF82" i="13"/>
  <c r="CC82" i="13"/>
  <c r="CB82" i="13"/>
  <c r="E82" i="13"/>
  <c r="CK82" i="13" s="1"/>
  <c r="D82" i="13"/>
  <c r="CO81" i="13"/>
  <c r="CL81" i="13"/>
  <c r="CF81" i="13"/>
  <c r="CB81" i="13"/>
  <c r="E81" i="13"/>
  <c r="CK81" i="13" s="1"/>
  <c r="D81" i="13"/>
  <c r="CC81" i="13" s="1"/>
  <c r="C81" i="13"/>
  <c r="CN81" i="13" s="1"/>
  <c r="CO80" i="13"/>
  <c r="CL80" i="13"/>
  <c r="CF80" i="13"/>
  <c r="E80" i="13"/>
  <c r="CK80" i="13" s="1"/>
  <c r="D80" i="13"/>
  <c r="CC80" i="13" s="1"/>
  <c r="CO79" i="13"/>
  <c r="CK79" i="13"/>
  <c r="CF79" i="13"/>
  <c r="CB79" i="13"/>
  <c r="E79" i="13"/>
  <c r="D79" i="13"/>
  <c r="CO78" i="13"/>
  <c r="CF78" i="13"/>
  <c r="E78" i="13"/>
  <c r="CB78" i="13" s="1"/>
  <c r="CO77" i="13"/>
  <c r="CK77" i="13"/>
  <c r="CF77" i="13"/>
  <c r="E77" i="13"/>
  <c r="CB77" i="13" s="1"/>
  <c r="CO76" i="13"/>
  <c r="CM76" i="13"/>
  <c r="CK76" i="13"/>
  <c r="CF76" i="13"/>
  <c r="CB76" i="13"/>
  <c r="E76" i="13"/>
  <c r="C76" i="13"/>
  <c r="CO75" i="13"/>
  <c r="CF75" i="13"/>
  <c r="E75" i="13"/>
  <c r="CO74" i="13"/>
  <c r="CF74" i="13"/>
  <c r="E74" i="13"/>
  <c r="CB74" i="13" s="1"/>
  <c r="CO73" i="13"/>
  <c r="CL73" i="13"/>
  <c r="CF73" i="13"/>
  <c r="CC73" i="13"/>
  <c r="E73" i="13"/>
  <c r="D73" i="13"/>
  <c r="CO72" i="13"/>
  <c r="CL72" i="13"/>
  <c r="CF72" i="13"/>
  <c r="CC72" i="13"/>
  <c r="E72" i="13"/>
  <c r="D72" i="13"/>
  <c r="CO71" i="13"/>
  <c r="CL71" i="13"/>
  <c r="CF71" i="13"/>
  <c r="CC71" i="13"/>
  <c r="E71" i="13"/>
  <c r="D71" i="13"/>
  <c r="CO70" i="13"/>
  <c r="CL70" i="13"/>
  <c r="CF70" i="13"/>
  <c r="CC70" i="13"/>
  <c r="E70" i="13"/>
  <c r="D70" i="13"/>
  <c r="CO69" i="13"/>
  <c r="CL69" i="13"/>
  <c r="CF69" i="13"/>
  <c r="CC69" i="13"/>
  <c r="E69" i="13"/>
  <c r="D69" i="13"/>
  <c r="CO68" i="13"/>
  <c r="CL68" i="13"/>
  <c r="CF68" i="13"/>
  <c r="CC68" i="13"/>
  <c r="E68" i="13"/>
  <c r="D68" i="13"/>
  <c r="CO67" i="13"/>
  <c r="CL67" i="13"/>
  <c r="CF67" i="13"/>
  <c r="CC67" i="13"/>
  <c r="E67" i="13"/>
  <c r="D67" i="13"/>
  <c r="CO66" i="13"/>
  <c r="CL66" i="13"/>
  <c r="CF66" i="13"/>
  <c r="CC66" i="13"/>
  <c r="E66" i="13"/>
  <c r="D66" i="13"/>
  <c r="CO65" i="13"/>
  <c r="CL65" i="13"/>
  <c r="CF65" i="13"/>
  <c r="CC65" i="13"/>
  <c r="E65" i="13"/>
  <c r="D65" i="13"/>
  <c r="CO64" i="13"/>
  <c r="CL64" i="13"/>
  <c r="CF64" i="13"/>
  <c r="CC64" i="13"/>
  <c r="E64" i="13"/>
  <c r="D64" i="13"/>
  <c r="CO63" i="13"/>
  <c r="CL63" i="13"/>
  <c r="CF63" i="13"/>
  <c r="CC63" i="13"/>
  <c r="E63" i="13"/>
  <c r="D63" i="13"/>
  <c r="CO62" i="13"/>
  <c r="CL62" i="13"/>
  <c r="CF62" i="13"/>
  <c r="CC62" i="13"/>
  <c r="E62" i="13"/>
  <c r="D62" i="13"/>
  <c r="CO61" i="13"/>
  <c r="CL61" i="13"/>
  <c r="CF61" i="13"/>
  <c r="CC61" i="13"/>
  <c r="E61" i="13"/>
  <c r="D61" i="13"/>
  <c r="CO60" i="13"/>
  <c r="CL60" i="13"/>
  <c r="CF60" i="13"/>
  <c r="CC60" i="13"/>
  <c r="E60" i="13"/>
  <c r="D60" i="13"/>
  <c r="CO59" i="13"/>
  <c r="CL59" i="13"/>
  <c r="CF59" i="13"/>
  <c r="CC59" i="13"/>
  <c r="E59" i="13"/>
  <c r="D59" i="13"/>
  <c r="CO58" i="13"/>
  <c r="CL58" i="13"/>
  <c r="CF58" i="13"/>
  <c r="CC58" i="13"/>
  <c r="E58" i="13"/>
  <c r="D58" i="13"/>
  <c r="CO57" i="13"/>
  <c r="CL57" i="13"/>
  <c r="CF57" i="13"/>
  <c r="CC57" i="13"/>
  <c r="E57" i="13"/>
  <c r="D57" i="13"/>
  <c r="CK56" i="13"/>
  <c r="CE56" i="13"/>
  <c r="CC56" i="13"/>
  <c r="E56" i="13"/>
  <c r="CB56" i="13" s="1"/>
  <c r="D56" i="13"/>
  <c r="CL56" i="13" s="1"/>
  <c r="C56" i="13"/>
  <c r="CC55" i="13"/>
  <c r="E55" i="13"/>
  <c r="D55" i="13"/>
  <c r="CL55" i="13" s="1"/>
  <c r="CP54" i="13"/>
  <c r="CK54" i="13"/>
  <c r="CE54" i="13"/>
  <c r="CC54" i="13"/>
  <c r="CA54" i="13"/>
  <c r="E54" i="13"/>
  <c r="CB54" i="13" s="1"/>
  <c r="D54" i="13"/>
  <c r="CL54" i="13" s="1"/>
  <c r="C54" i="13"/>
  <c r="CC53" i="13"/>
  <c r="E53" i="13"/>
  <c r="D53" i="13"/>
  <c r="CL53" i="13" s="1"/>
  <c r="CK52" i="13"/>
  <c r="CC52" i="13"/>
  <c r="CA52" i="13"/>
  <c r="E52" i="13"/>
  <c r="CB52" i="13" s="1"/>
  <c r="D52" i="13"/>
  <c r="CL52" i="13" s="1"/>
  <c r="C52" i="13"/>
  <c r="CC51" i="13"/>
  <c r="E51" i="13"/>
  <c r="D51" i="13"/>
  <c r="CL51" i="13" s="1"/>
  <c r="CK50" i="13"/>
  <c r="CC50" i="13"/>
  <c r="E50" i="13"/>
  <c r="CB50" i="13" s="1"/>
  <c r="D50" i="13"/>
  <c r="CL50" i="13" s="1"/>
  <c r="C50" i="13"/>
  <c r="CC49" i="13"/>
  <c r="E49" i="13"/>
  <c r="D49" i="13"/>
  <c r="CL49" i="13" s="1"/>
  <c r="CK48" i="13"/>
  <c r="CE48" i="13"/>
  <c r="CC48" i="13"/>
  <c r="E48" i="13"/>
  <c r="CB48" i="13" s="1"/>
  <c r="D48" i="13"/>
  <c r="CL48" i="13" s="1"/>
  <c r="C48" i="13"/>
  <c r="CC47" i="13"/>
  <c r="E47" i="13"/>
  <c r="D47" i="13"/>
  <c r="CL47" i="13" s="1"/>
  <c r="CP46" i="13"/>
  <c r="CK46" i="13"/>
  <c r="CE46" i="13"/>
  <c r="CC46" i="13"/>
  <c r="CA46" i="13"/>
  <c r="E46" i="13"/>
  <c r="CB46" i="13" s="1"/>
  <c r="D46" i="13"/>
  <c r="CL46" i="13" s="1"/>
  <c r="C46" i="13"/>
  <c r="CC45" i="13"/>
  <c r="E45" i="13"/>
  <c r="D45" i="13"/>
  <c r="CL45" i="13" s="1"/>
  <c r="CP44" i="13"/>
  <c r="CK44" i="13"/>
  <c r="CC44" i="13"/>
  <c r="CA44" i="13"/>
  <c r="E44" i="13"/>
  <c r="CB44" i="13" s="1"/>
  <c r="D44" i="13"/>
  <c r="CL44" i="13" s="1"/>
  <c r="C44" i="13"/>
  <c r="CC43" i="13"/>
  <c r="E43" i="13"/>
  <c r="D43" i="13"/>
  <c r="CL43" i="13" s="1"/>
  <c r="CK42" i="13"/>
  <c r="CC42" i="13"/>
  <c r="E42" i="13"/>
  <c r="CB42" i="13" s="1"/>
  <c r="D42" i="13"/>
  <c r="CL42" i="13" s="1"/>
  <c r="C42" i="13"/>
  <c r="CC41" i="13"/>
  <c r="E41" i="13"/>
  <c r="D41" i="13"/>
  <c r="CL41" i="13" s="1"/>
  <c r="CK40" i="13"/>
  <c r="CE40" i="13"/>
  <c r="CC40" i="13"/>
  <c r="E40" i="13"/>
  <c r="CB40" i="13" s="1"/>
  <c r="D40" i="13"/>
  <c r="CL40" i="13" s="1"/>
  <c r="C40" i="13"/>
  <c r="CC39" i="13"/>
  <c r="E39" i="13"/>
  <c r="D39" i="13"/>
  <c r="CL39" i="13" s="1"/>
  <c r="CP38" i="13"/>
  <c r="CK38" i="13"/>
  <c r="CE38" i="13"/>
  <c r="CC38" i="13"/>
  <c r="CA38" i="13"/>
  <c r="E38" i="13"/>
  <c r="CB38" i="13" s="1"/>
  <c r="D38" i="13"/>
  <c r="CL38" i="13" s="1"/>
  <c r="C38" i="13"/>
  <c r="CC37" i="13"/>
  <c r="E37" i="13"/>
  <c r="D37" i="13"/>
  <c r="CL37" i="13" s="1"/>
  <c r="CP36" i="13"/>
  <c r="CK36" i="13"/>
  <c r="CC36" i="13"/>
  <c r="CA36" i="13"/>
  <c r="E36" i="13"/>
  <c r="CB36" i="13" s="1"/>
  <c r="D36" i="13"/>
  <c r="CL36" i="13" s="1"/>
  <c r="C36" i="13"/>
  <c r="CC35" i="13"/>
  <c r="E35" i="13"/>
  <c r="D35" i="13"/>
  <c r="CL35" i="13" s="1"/>
  <c r="CK34" i="13"/>
  <c r="CC34" i="13"/>
  <c r="E34" i="13"/>
  <c r="CB34" i="13" s="1"/>
  <c r="D34" i="13"/>
  <c r="CL34" i="13" s="1"/>
  <c r="C34" i="13"/>
  <c r="CC33" i="13"/>
  <c r="E33" i="13"/>
  <c r="D33" i="13"/>
  <c r="CL33" i="13" s="1"/>
  <c r="CK32" i="13"/>
  <c r="CE32" i="13"/>
  <c r="CC32" i="13"/>
  <c r="E32" i="13"/>
  <c r="CB32" i="13" s="1"/>
  <c r="D32" i="13"/>
  <c r="CL32" i="13" s="1"/>
  <c r="C32" i="13"/>
  <c r="CC31" i="13"/>
  <c r="E31" i="13"/>
  <c r="D31" i="13"/>
  <c r="CL31" i="13" s="1"/>
  <c r="CP30" i="13"/>
  <c r="CK30" i="13"/>
  <c r="CE30" i="13"/>
  <c r="CC30" i="13"/>
  <c r="CA30" i="13"/>
  <c r="E30" i="13"/>
  <c r="CB30" i="13" s="1"/>
  <c r="D30" i="13"/>
  <c r="CL30" i="13" s="1"/>
  <c r="C30" i="13"/>
  <c r="CC29" i="13"/>
  <c r="E29" i="13"/>
  <c r="D29" i="13"/>
  <c r="CL29" i="13" s="1"/>
  <c r="CK28" i="13"/>
  <c r="CC28" i="13"/>
  <c r="E28" i="13"/>
  <c r="CB28" i="13" s="1"/>
  <c r="D28" i="13"/>
  <c r="CL28" i="13" s="1"/>
  <c r="C28" i="13"/>
  <c r="CA28" i="13" s="1"/>
  <c r="CC27" i="13"/>
  <c r="E27" i="13"/>
  <c r="D27" i="13"/>
  <c r="CL27" i="13" s="1"/>
  <c r="CK26" i="13"/>
  <c r="CC26" i="13"/>
  <c r="E26" i="13"/>
  <c r="CB26" i="13" s="1"/>
  <c r="D26" i="13"/>
  <c r="CL26" i="13" s="1"/>
  <c r="C26" i="13"/>
  <c r="CC25" i="13"/>
  <c r="E25" i="13"/>
  <c r="D25" i="13"/>
  <c r="CL25" i="13" s="1"/>
  <c r="CK24" i="13"/>
  <c r="CE24" i="13"/>
  <c r="CB24" i="13"/>
  <c r="E24" i="13"/>
  <c r="D24" i="13"/>
  <c r="CC24" i="13" s="1"/>
  <c r="C24" i="13"/>
  <c r="CC23" i="13"/>
  <c r="E23" i="13"/>
  <c r="D23" i="13"/>
  <c r="CL23" i="13" s="1"/>
  <c r="CP22" i="13"/>
  <c r="CK22" i="13"/>
  <c r="CE22" i="13"/>
  <c r="CB22" i="13"/>
  <c r="CA22" i="13"/>
  <c r="E22" i="13"/>
  <c r="D22" i="13"/>
  <c r="CC22" i="13" s="1"/>
  <c r="C22" i="13"/>
  <c r="CC21" i="13"/>
  <c r="E21" i="13"/>
  <c r="D21" i="13"/>
  <c r="CL21" i="13" s="1"/>
  <c r="CK20" i="13"/>
  <c r="CB20" i="13"/>
  <c r="CA20" i="13"/>
  <c r="E20" i="13"/>
  <c r="D20" i="13"/>
  <c r="CC20" i="13" s="1"/>
  <c r="C20" i="13"/>
  <c r="CC19" i="13"/>
  <c r="E19" i="13"/>
  <c r="D19" i="13"/>
  <c r="CL19" i="13" s="1"/>
  <c r="CK18" i="13"/>
  <c r="CA18" i="13"/>
  <c r="E18" i="13"/>
  <c r="CB18" i="13" s="1"/>
  <c r="D18" i="13"/>
  <c r="CC18" i="13" s="1"/>
  <c r="C18" i="13"/>
  <c r="CC17" i="13"/>
  <c r="E17" i="13"/>
  <c r="D17" i="13"/>
  <c r="CL17" i="13" s="1"/>
  <c r="CK16" i="13"/>
  <c r="E16" i="13"/>
  <c r="CB16" i="13" s="1"/>
  <c r="D16" i="13"/>
  <c r="CC16" i="13" s="1"/>
  <c r="C16" i="13"/>
  <c r="CA16" i="13" s="1"/>
  <c r="CC15" i="13"/>
  <c r="E15" i="13"/>
  <c r="D15" i="13"/>
  <c r="CL15" i="13" s="1"/>
  <c r="CK14" i="13"/>
  <c r="E14" i="13"/>
  <c r="CB14" i="13" s="1"/>
  <c r="D14" i="13"/>
  <c r="CC14" i="13" s="1"/>
  <c r="C14" i="13"/>
  <c r="CA14" i="13" s="1"/>
  <c r="CC13" i="13"/>
  <c r="E13" i="13"/>
  <c r="D13" i="13"/>
  <c r="CL13" i="13" s="1"/>
  <c r="A5" i="13"/>
  <c r="A3" i="13"/>
  <c r="A2" i="13"/>
  <c r="D123" i="12"/>
  <c r="C123" i="12"/>
  <c r="B123" i="12" s="1"/>
  <c r="D122" i="12"/>
  <c r="C122" i="12"/>
  <c r="B122" i="12" s="1"/>
  <c r="D121" i="12"/>
  <c r="C121" i="12"/>
  <c r="B121" i="12" s="1"/>
  <c r="D120" i="12"/>
  <c r="C120" i="12"/>
  <c r="B120" i="12"/>
  <c r="D119" i="12"/>
  <c r="C119" i="12"/>
  <c r="B119" i="12" s="1"/>
  <c r="D118" i="12"/>
  <c r="C118" i="12"/>
  <c r="B118" i="12" s="1"/>
  <c r="CG113" i="12"/>
  <c r="CB113" i="12"/>
  <c r="CA113" i="12"/>
  <c r="B113" i="12"/>
  <c r="CH113" i="12" s="1"/>
  <c r="CH112" i="12"/>
  <c r="B112" i="12"/>
  <c r="CA111" i="12"/>
  <c r="B111" i="12"/>
  <c r="CH111" i="12" s="1"/>
  <c r="CB110" i="12"/>
  <c r="CA110" i="12"/>
  <c r="B110" i="12"/>
  <c r="CH110" i="12" s="1"/>
  <c r="CG109" i="12"/>
  <c r="CB109" i="12"/>
  <c r="CA109" i="12"/>
  <c r="B109" i="12"/>
  <c r="CH109" i="12" s="1"/>
  <c r="B105" i="12"/>
  <c r="CH105" i="12" s="1"/>
  <c r="CA104" i="12"/>
  <c r="B104" i="12"/>
  <c r="CH104" i="12" s="1"/>
  <c r="CB103" i="12"/>
  <c r="CA103" i="12"/>
  <c r="B103" i="12"/>
  <c r="CH103" i="12" s="1"/>
  <c r="CG102" i="12"/>
  <c r="CB102" i="12"/>
  <c r="CA102" i="12"/>
  <c r="B102" i="12"/>
  <c r="CH102" i="12" s="1"/>
  <c r="B101" i="12"/>
  <c r="CA100" i="12"/>
  <c r="B100" i="12"/>
  <c r="CH100" i="12" s="1"/>
  <c r="CH96" i="12"/>
  <c r="CG96" i="12"/>
  <c r="CB96" i="12"/>
  <c r="CA96" i="12"/>
  <c r="CH95" i="12"/>
  <c r="CG95" i="12"/>
  <c r="CB95" i="12"/>
  <c r="CA95" i="12"/>
  <c r="E95" i="12" s="1"/>
  <c r="CH92" i="12"/>
  <c r="CG92" i="12"/>
  <c r="CB92" i="12"/>
  <c r="CA92" i="12"/>
  <c r="E92" i="12"/>
  <c r="CH91" i="12"/>
  <c r="CG91" i="12"/>
  <c r="CB91" i="12"/>
  <c r="CA91" i="12"/>
  <c r="E91" i="12" s="1"/>
  <c r="CB88" i="12"/>
  <c r="CA88" i="12"/>
  <c r="N88" i="12" s="1"/>
  <c r="B88" i="12"/>
  <c r="CH88" i="12" s="1"/>
  <c r="CH87" i="12"/>
  <c r="B87" i="12"/>
  <c r="CG87" i="12" s="1"/>
  <c r="CB86" i="12"/>
  <c r="CA86" i="12"/>
  <c r="N86" i="12" s="1"/>
  <c r="B86" i="12"/>
  <c r="CH86" i="12" s="1"/>
  <c r="CH84" i="12"/>
  <c r="B84" i="12"/>
  <c r="CG84" i="12" s="1"/>
  <c r="CB83" i="12"/>
  <c r="CA83" i="12"/>
  <c r="N83" i="12" s="1"/>
  <c r="B83" i="12"/>
  <c r="CH83" i="12" s="1"/>
  <c r="CH82" i="12"/>
  <c r="B82" i="12"/>
  <c r="CG82" i="12" s="1"/>
  <c r="CB80" i="12"/>
  <c r="CA80" i="12"/>
  <c r="N80" i="12" s="1"/>
  <c r="B80" i="12"/>
  <c r="CH80" i="12" s="1"/>
  <c r="CH79" i="12"/>
  <c r="B79" i="12"/>
  <c r="CG79" i="12" s="1"/>
  <c r="CB78" i="12"/>
  <c r="CA78" i="12"/>
  <c r="N78" i="12" s="1"/>
  <c r="B78" i="12"/>
  <c r="CH78" i="12" s="1"/>
  <c r="CH73" i="12"/>
  <c r="B73" i="12"/>
  <c r="CG73" i="12" s="1"/>
  <c r="CB71" i="12"/>
  <c r="CA71" i="12"/>
  <c r="N71" i="12" s="1"/>
  <c r="B71" i="12"/>
  <c r="CH71" i="12" s="1"/>
  <c r="CH70" i="12"/>
  <c r="B70" i="12"/>
  <c r="CG70" i="12" s="1"/>
  <c r="CB68" i="12"/>
  <c r="CA68" i="12"/>
  <c r="N68" i="12" s="1"/>
  <c r="B68" i="12"/>
  <c r="CH68" i="12" s="1"/>
  <c r="CH67" i="12"/>
  <c r="B67" i="12"/>
  <c r="CG67" i="12" s="1"/>
  <c r="CB65" i="12"/>
  <c r="CA65" i="12"/>
  <c r="N65" i="12" s="1"/>
  <c r="B65" i="12"/>
  <c r="CH65" i="12" s="1"/>
  <c r="CH64" i="12"/>
  <c r="B64" i="12"/>
  <c r="CG64" i="12" s="1"/>
  <c r="CH59" i="12"/>
  <c r="CG59" i="12"/>
  <c r="CB59" i="12"/>
  <c r="CA59" i="12"/>
  <c r="E59" i="12" s="1"/>
  <c r="CH58" i="12"/>
  <c r="CG58" i="12"/>
  <c r="CB58" i="12"/>
  <c r="CA58" i="12"/>
  <c r="E58" i="12" s="1"/>
  <c r="CH57" i="12"/>
  <c r="CG57" i="12"/>
  <c r="CB57" i="12"/>
  <c r="CA57" i="12"/>
  <c r="E57" i="12"/>
  <c r="CH56" i="12"/>
  <c r="CG56" i="12"/>
  <c r="CB56" i="12"/>
  <c r="CA56" i="12"/>
  <c r="E56" i="12" s="1"/>
  <c r="CH53" i="12"/>
  <c r="CG53" i="12"/>
  <c r="CB53" i="12"/>
  <c r="CA53" i="12"/>
  <c r="CH52" i="12"/>
  <c r="CG52" i="12"/>
  <c r="CB52" i="12"/>
  <c r="E52" i="12" s="1"/>
  <c r="CA52" i="12"/>
  <c r="CH51" i="12"/>
  <c r="CG51" i="12"/>
  <c r="CB51" i="12"/>
  <c r="CA51" i="12"/>
  <c r="E51" i="12"/>
  <c r="CH50" i="12"/>
  <c r="CG50" i="12"/>
  <c r="CB50" i="12"/>
  <c r="CA50" i="12"/>
  <c r="E50" i="12" s="1"/>
  <c r="CB47" i="12"/>
  <c r="CA47" i="12"/>
  <c r="N47" i="12" s="1"/>
  <c r="B47" i="12"/>
  <c r="CH47" i="12" s="1"/>
  <c r="CH46" i="12"/>
  <c r="B46" i="12"/>
  <c r="CG46" i="12" s="1"/>
  <c r="CB45" i="12"/>
  <c r="CA45" i="12"/>
  <c r="N45" i="12" s="1"/>
  <c r="B45" i="12"/>
  <c r="CH45" i="12" s="1"/>
  <c r="CH44" i="12"/>
  <c r="B44" i="12"/>
  <c r="CG44" i="12" s="1"/>
  <c r="CB43" i="12"/>
  <c r="CA43" i="12"/>
  <c r="N43" i="12" s="1"/>
  <c r="B43" i="12"/>
  <c r="CH43" i="12" s="1"/>
  <c r="CH42" i="12"/>
  <c r="B42" i="12"/>
  <c r="CG42" i="12" s="1"/>
  <c r="CB41" i="12"/>
  <c r="CA41" i="12"/>
  <c r="N41" i="12" s="1"/>
  <c r="B41" i="12"/>
  <c r="CH41" i="12" s="1"/>
  <c r="CH40" i="12"/>
  <c r="B40" i="12"/>
  <c r="CG40" i="12" s="1"/>
  <c r="CH36" i="12"/>
  <c r="CG36" i="12"/>
  <c r="CB36" i="12"/>
  <c r="CA36" i="12"/>
  <c r="E36" i="12" s="1"/>
  <c r="CH35" i="12"/>
  <c r="CG35" i="12"/>
  <c r="CB35" i="12"/>
  <c r="CA35" i="12"/>
  <c r="E35" i="12" s="1"/>
  <c r="CH32" i="12"/>
  <c r="B32" i="12"/>
  <c r="CG32" i="12" s="1"/>
  <c r="CB31" i="12"/>
  <c r="CA31" i="12"/>
  <c r="B31" i="12"/>
  <c r="CH31" i="12" s="1"/>
  <c r="CH30" i="12"/>
  <c r="B30" i="12"/>
  <c r="CG30" i="12" s="1"/>
  <c r="CB29" i="12"/>
  <c r="CA29" i="12"/>
  <c r="B29" i="12"/>
  <c r="CH29" i="12" s="1"/>
  <c r="CH28" i="12"/>
  <c r="B28" i="12"/>
  <c r="CG28" i="12" s="1"/>
  <c r="CB27" i="12"/>
  <c r="CA27" i="12"/>
  <c r="B27" i="12"/>
  <c r="CH27" i="12" s="1"/>
  <c r="CH23" i="12"/>
  <c r="CG23" i="12"/>
  <c r="CB23" i="12"/>
  <c r="CA23" i="12"/>
  <c r="E23" i="12"/>
  <c r="CH22" i="12"/>
  <c r="CG22" i="12"/>
  <c r="CB22" i="12"/>
  <c r="CA22" i="12"/>
  <c r="E22" i="12" s="1"/>
  <c r="CB19" i="12"/>
  <c r="CA19" i="12"/>
  <c r="B19" i="12"/>
  <c r="CH19" i="12" s="1"/>
  <c r="CH18" i="12"/>
  <c r="B18" i="12"/>
  <c r="CG18" i="12" s="1"/>
  <c r="N17" i="12"/>
  <c r="B16" i="12"/>
  <c r="A150" i="12" s="1"/>
  <c r="E15" i="29" s="1"/>
  <c r="CH15" i="12"/>
  <c r="CA15" i="12"/>
  <c r="B15" i="12"/>
  <c r="CG15" i="12" s="1"/>
  <c r="N14" i="12"/>
  <c r="CH13" i="12"/>
  <c r="B13" i="12"/>
  <c r="CG13" i="12" s="1"/>
  <c r="CB12" i="12"/>
  <c r="CA12" i="12"/>
  <c r="B12" i="12"/>
  <c r="CH12" i="12" s="1"/>
  <c r="A5" i="12"/>
  <c r="A3" i="12"/>
  <c r="A2" i="12"/>
  <c r="CB272" i="11"/>
  <c r="D272" i="11"/>
  <c r="C272" i="11"/>
  <c r="B272" i="11" s="1"/>
  <c r="D271" i="11"/>
  <c r="C271" i="11"/>
  <c r="B271" i="11" s="1"/>
  <c r="CB271" i="11" s="1"/>
  <c r="D270" i="11"/>
  <c r="C270" i="11"/>
  <c r="B270" i="11"/>
  <c r="CA265" i="11"/>
  <c r="D265" i="11"/>
  <c r="C265" i="11"/>
  <c r="B265" i="11"/>
  <c r="CA264" i="11"/>
  <c r="D264" i="11"/>
  <c r="C264" i="11"/>
  <c r="B264" i="11"/>
  <c r="EB259" i="11"/>
  <c r="EA259" i="11"/>
  <c r="DZ259" i="11"/>
  <c r="DY259" i="11"/>
  <c r="DV259" i="11"/>
  <c r="DS259" i="11"/>
  <c r="DR259" i="11"/>
  <c r="DN259" i="11"/>
  <c r="DH259" i="11"/>
  <c r="DG259" i="11"/>
  <c r="CU259" i="11"/>
  <c r="CT259" i="11"/>
  <c r="CP259" i="11"/>
  <c r="CO259" i="11"/>
  <c r="CN259" i="11"/>
  <c r="CL259" i="11"/>
  <c r="CK259" i="11"/>
  <c r="CI259" i="11"/>
  <c r="CC259" i="11"/>
  <c r="CB259" i="11"/>
  <c r="CA259" i="11"/>
  <c r="D259" i="11"/>
  <c r="DU259" i="11" s="1"/>
  <c r="C259" i="11"/>
  <c r="CM259" i="11" s="1"/>
  <c r="EB258" i="11"/>
  <c r="EA258" i="11"/>
  <c r="DZ258" i="11"/>
  <c r="DY258" i="11"/>
  <c r="DV258" i="11"/>
  <c r="DS258" i="11"/>
  <c r="DR258" i="11"/>
  <c r="DN258" i="11"/>
  <c r="DH258" i="11"/>
  <c r="DG258" i="11"/>
  <c r="CU258" i="11"/>
  <c r="CT258" i="11"/>
  <c r="CN258" i="11"/>
  <c r="CM258" i="11"/>
  <c r="CK258" i="11"/>
  <c r="CI258" i="11"/>
  <c r="CC258" i="11"/>
  <c r="CB258" i="11"/>
  <c r="D258" i="11"/>
  <c r="DU258" i="11" s="1"/>
  <c r="C258" i="11"/>
  <c r="DP258" i="11" s="1"/>
  <c r="EB257" i="11"/>
  <c r="EA257" i="11"/>
  <c r="DZ257" i="11"/>
  <c r="DY257" i="11"/>
  <c r="DU257" i="11"/>
  <c r="DH257" i="11"/>
  <c r="DG257" i="11"/>
  <c r="CU257" i="11"/>
  <c r="CT257" i="11"/>
  <c r="CM257" i="11"/>
  <c r="CC257" i="11"/>
  <c r="CB257" i="11"/>
  <c r="D257" i="11"/>
  <c r="C257" i="11"/>
  <c r="DP257" i="11" s="1"/>
  <c r="EB256" i="11"/>
  <c r="EA256" i="11"/>
  <c r="DZ256" i="11"/>
  <c r="DY256" i="11"/>
  <c r="DT256" i="11"/>
  <c r="DH256" i="11"/>
  <c r="DG256" i="11"/>
  <c r="DF256" i="11"/>
  <c r="CU256" i="11"/>
  <c r="CT256" i="11"/>
  <c r="CP256" i="11"/>
  <c r="CO256" i="11"/>
  <c r="CL256" i="11"/>
  <c r="CC256" i="11"/>
  <c r="CB256" i="11"/>
  <c r="D256" i="11"/>
  <c r="DV256" i="11" s="1"/>
  <c r="C256" i="11"/>
  <c r="EB255" i="11"/>
  <c r="EA255" i="11"/>
  <c r="DZ255" i="11"/>
  <c r="DY255" i="11"/>
  <c r="DV255" i="11"/>
  <c r="DT255" i="11"/>
  <c r="DS255" i="11"/>
  <c r="DR255" i="11"/>
  <c r="DN255" i="11"/>
  <c r="DH255" i="11"/>
  <c r="DG255" i="11"/>
  <c r="CU255" i="11"/>
  <c r="CT255" i="11"/>
  <c r="CP255" i="11"/>
  <c r="CO255" i="11"/>
  <c r="CN255" i="11"/>
  <c r="CL255" i="11"/>
  <c r="CK255" i="11"/>
  <c r="CI255" i="11"/>
  <c r="CC255" i="11"/>
  <c r="CB255" i="11"/>
  <c r="CA255" i="11"/>
  <c r="D255" i="11"/>
  <c r="DU255" i="11" s="1"/>
  <c r="C255" i="11"/>
  <c r="CM255" i="11" s="1"/>
  <c r="EB254" i="11"/>
  <c r="EA254" i="11"/>
  <c r="DZ254" i="11"/>
  <c r="DY254" i="11"/>
  <c r="DV254" i="11"/>
  <c r="DS254" i="11"/>
  <c r="DR254" i="11"/>
  <c r="DN254" i="11"/>
  <c r="DH254" i="11"/>
  <c r="DG254" i="11"/>
  <c r="CU254" i="11"/>
  <c r="CT254" i="11"/>
  <c r="CN254" i="11"/>
  <c r="CM254" i="11"/>
  <c r="CK254" i="11"/>
  <c r="CI254" i="11"/>
  <c r="CC254" i="11"/>
  <c r="CB254" i="11"/>
  <c r="D254" i="11"/>
  <c r="DU254" i="11" s="1"/>
  <c r="C254" i="11"/>
  <c r="DP254" i="11" s="1"/>
  <c r="EB253" i="11"/>
  <c r="EA253" i="11"/>
  <c r="DZ253" i="11"/>
  <c r="DY253" i="11"/>
  <c r="DU253" i="11"/>
  <c r="DQ253" i="11"/>
  <c r="DH253" i="11"/>
  <c r="DG253" i="11"/>
  <c r="CU253" i="11"/>
  <c r="CT253" i="11"/>
  <c r="CM253" i="11"/>
  <c r="CC253" i="11"/>
  <c r="CB253" i="11"/>
  <c r="D253" i="11"/>
  <c r="C253" i="11"/>
  <c r="DP253" i="11" s="1"/>
  <c r="EB252" i="11"/>
  <c r="EA252" i="11"/>
  <c r="DZ252" i="11"/>
  <c r="DY252" i="11"/>
  <c r="DT252" i="11"/>
  <c r="DH252" i="11"/>
  <c r="DG252" i="11"/>
  <c r="CU252" i="11"/>
  <c r="CT252" i="11"/>
  <c r="CP252" i="11"/>
  <c r="CO252" i="11"/>
  <c r="CL252" i="11"/>
  <c r="CC252" i="11"/>
  <c r="CB252" i="11"/>
  <c r="D252" i="11"/>
  <c r="DV252" i="11" s="1"/>
  <c r="C252" i="11"/>
  <c r="DF252" i="11" s="1"/>
  <c r="EB251" i="11"/>
  <c r="EA251" i="11"/>
  <c r="DZ251" i="11"/>
  <c r="DY251" i="11"/>
  <c r="DV251" i="11"/>
  <c r="DT251" i="11"/>
  <c r="DS251" i="11"/>
  <c r="DR251" i="11"/>
  <c r="DN251" i="11"/>
  <c r="DH251" i="11"/>
  <c r="DG251" i="11"/>
  <c r="CU251" i="11"/>
  <c r="CT251" i="11"/>
  <c r="CP251" i="11"/>
  <c r="CO251" i="11"/>
  <c r="CN251" i="11"/>
  <c r="CL251" i="11"/>
  <c r="CK251" i="11"/>
  <c r="CI251" i="11"/>
  <c r="CC251" i="11"/>
  <c r="CB251" i="11"/>
  <c r="CA251" i="11"/>
  <c r="D251" i="11"/>
  <c r="DU251" i="11" s="1"/>
  <c r="C251" i="11"/>
  <c r="CM251" i="11" s="1"/>
  <c r="EB250" i="11"/>
  <c r="EA250" i="11"/>
  <c r="DZ250" i="11"/>
  <c r="DY250" i="11"/>
  <c r="DV250" i="11"/>
  <c r="DS250" i="11"/>
  <c r="DR250" i="11"/>
  <c r="DN250" i="11"/>
  <c r="DH250" i="11"/>
  <c r="DG250" i="11"/>
  <c r="CU250" i="11"/>
  <c r="CT250" i="11"/>
  <c r="CN250" i="11"/>
  <c r="CM250" i="11"/>
  <c r="CK250" i="11"/>
  <c r="CI250" i="11"/>
  <c r="CC250" i="11"/>
  <c r="CB250" i="11"/>
  <c r="D250" i="11"/>
  <c r="DU250" i="11" s="1"/>
  <c r="C250" i="11"/>
  <c r="DP250" i="11" s="1"/>
  <c r="EB249" i="11"/>
  <c r="EA249" i="11"/>
  <c r="DZ249" i="11"/>
  <c r="DY249" i="11"/>
  <c r="DH249" i="11"/>
  <c r="DG249" i="11"/>
  <c r="CU249" i="11"/>
  <c r="CT249" i="11"/>
  <c r="CM249" i="11"/>
  <c r="CC249" i="11"/>
  <c r="CB249" i="11"/>
  <c r="D249" i="11"/>
  <c r="DU249" i="11" s="1"/>
  <c r="C249" i="11"/>
  <c r="DP249" i="11" s="1"/>
  <c r="EB248" i="11"/>
  <c r="EA248" i="11"/>
  <c r="DZ248" i="11"/>
  <c r="DY248" i="11"/>
  <c r="DT248" i="11"/>
  <c r="DH248" i="11"/>
  <c r="DG248" i="11"/>
  <c r="DF248" i="11"/>
  <c r="CU248" i="11"/>
  <c r="CT248" i="11"/>
  <c r="CP248" i="11"/>
  <c r="CO248" i="11"/>
  <c r="CL248" i="11"/>
  <c r="CC248" i="11"/>
  <c r="CB248" i="11"/>
  <c r="D248" i="11"/>
  <c r="DV248" i="11" s="1"/>
  <c r="C248" i="11"/>
  <c r="EB247" i="11"/>
  <c r="EA247" i="11"/>
  <c r="DZ247" i="11"/>
  <c r="DY247" i="11"/>
  <c r="DV247" i="11"/>
  <c r="DT247" i="11"/>
  <c r="DS247" i="11"/>
  <c r="DR247" i="11"/>
  <c r="DN247" i="11"/>
  <c r="DH247" i="11"/>
  <c r="DG247" i="11"/>
  <c r="CU247" i="11"/>
  <c r="CT247" i="11"/>
  <c r="CP247" i="11"/>
  <c r="CO247" i="11"/>
  <c r="CN247" i="11"/>
  <c r="CL247" i="11"/>
  <c r="CK247" i="11"/>
  <c r="CI247" i="11"/>
  <c r="CC247" i="11"/>
  <c r="CB247" i="11"/>
  <c r="CA247" i="11"/>
  <c r="D247" i="11"/>
  <c r="DU247" i="11" s="1"/>
  <c r="C247" i="11"/>
  <c r="CM247" i="11" s="1"/>
  <c r="EB246" i="11"/>
  <c r="EA246" i="11"/>
  <c r="DZ246" i="11"/>
  <c r="DY246" i="11"/>
  <c r="DV246" i="11"/>
  <c r="DS246" i="11"/>
  <c r="DR246" i="11"/>
  <c r="DN246" i="11"/>
  <c r="DH246" i="11"/>
  <c r="DG246" i="11"/>
  <c r="CU246" i="11"/>
  <c r="CT246" i="11"/>
  <c r="CN246" i="11"/>
  <c r="CM246" i="11"/>
  <c r="CK246" i="11"/>
  <c r="CI246" i="11"/>
  <c r="CC246" i="11"/>
  <c r="CB246" i="11"/>
  <c r="D246" i="11"/>
  <c r="DU246" i="11" s="1"/>
  <c r="C246" i="11"/>
  <c r="DP246" i="11" s="1"/>
  <c r="EB245" i="11"/>
  <c r="EA245" i="11"/>
  <c r="DZ245" i="11"/>
  <c r="DY245" i="11"/>
  <c r="DQ245" i="11"/>
  <c r="DH245" i="11"/>
  <c r="DG245" i="11"/>
  <c r="CU245" i="11"/>
  <c r="CT245" i="11"/>
  <c r="CM245" i="11"/>
  <c r="CC245" i="11"/>
  <c r="CB245" i="11"/>
  <c r="D245" i="11"/>
  <c r="C245" i="11"/>
  <c r="DP245" i="11" s="1"/>
  <c r="EB244" i="11"/>
  <c r="EA244" i="11"/>
  <c r="DZ244" i="11"/>
  <c r="DY244" i="11"/>
  <c r="DT244" i="11"/>
  <c r="DH244" i="11"/>
  <c r="DG244" i="11"/>
  <c r="CU244" i="11"/>
  <c r="CT244" i="11"/>
  <c r="CP244" i="11"/>
  <c r="CO244" i="11"/>
  <c r="CL244" i="11"/>
  <c r="CC244" i="11"/>
  <c r="CB244" i="11"/>
  <c r="D244" i="11"/>
  <c r="DV244" i="11" s="1"/>
  <c r="C244" i="11"/>
  <c r="EB243" i="11"/>
  <c r="EA243" i="11"/>
  <c r="DZ243" i="11"/>
  <c r="DY243" i="11"/>
  <c r="DV243" i="11"/>
  <c r="DT243" i="11"/>
  <c r="DS243" i="11"/>
  <c r="DR243" i="11"/>
  <c r="DN243" i="11"/>
  <c r="DH243" i="11"/>
  <c r="DG243" i="11"/>
  <c r="CU243" i="11"/>
  <c r="CT243" i="11"/>
  <c r="CP243" i="11"/>
  <c r="CO243" i="11"/>
  <c r="CN243" i="11"/>
  <c r="CL243" i="11"/>
  <c r="CK243" i="11"/>
  <c r="CI243" i="11"/>
  <c r="CC243" i="11"/>
  <c r="CB243" i="11"/>
  <c r="CA243" i="11"/>
  <c r="D243" i="11"/>
  <c r="DU243" i="11" s="1"/>
  <c r="C243" i="11"/>
  <c r="CM243" i="11" s="1"/>
  <c r="EB242" i="11"/>
  <c r="EA242" i="11"/>
  <c r="DZ242" i="11"/>
  <c r="DY242" i="11"/>
  <c r="DV242" i="11"/>
  <c r="DS242" i="11"/>
  <c r="DR242" i="11"/>
  <c r="DN242" i="11"/>
  <c r="DH242" i="11"/>
  <c r="DG242" i="11"/>
  <c r="CU242" i="11"/>
  <c r="CT242" i="11"/>
  <c r="CN242" i="11"/>
  <c r="CM242" i="11"/>
  <c r="CK242" i="11"/>
  <c r="CI242" i="11"/>
  <c r="CC242" i="11"/>
  <c r="CB242" i="11"/>
  <c r="D242" i="11"/>
  <c r="DU242" i="11" s="1"/>
  <c r="C242" i="11"/>
  <c r="DP242" i="11" s="1"/>
  <c r="EB241" i="11"/>
  <c r="EA241" i="11"/>
  <c r="DZ241" i="11"/>
  <c r="DY241" i="11"/>
  <c r="DU241" i="11"/>
  <c r="DH241" i="11"/>
  <c r="DG241" i="11"/>
  <c r="CU241" i="11"/>
  <c r="CT241" i="11"/>
  <c r="CM241" i="11"/>
  <c r="CC241" i="11"/>
  <c r="CB241" i="11"/>
  <c r="D241" i="11"/>
  <c r="C241" i="11"/>
  <c r="DP241" i="11" s="1"/>
  <c r="EB240" i="11"/>
  <c r="EA240" i="11"/>
  <c r="DZ240" i="11"/>
  <c r="DY240" i="11"/>
  <c r="DT240" i="11"/>
  <c r="DH240" i="11"/>
  <c r="DG240" i="11"/>
  <c r="DF240" i="11"/>
  <c r="CU240" i="11"/>
  <c r="CT240" i="11"/>
  <c r="CP240" i="11"/>
  <c r="CO240" i="11"/>
  <c r="CL240" i="11"/>
  <c r="CC240" i="11"/>
  <c r="CB240" i="11"/>
  <c r="D240" i="11"/>
  <c r="DV240" i="11" s="1"/>
  <c r="C240" i="11"/>
  <c r="EB239" i="11"/>
  <c r="EA239" i="11"/>
  <c r="DZ239" i="11"/>
  <c r="DY239" i="11"/>
  <c r="DS239" i="11"/>
  <c r="DN239" i="11"/>
  <c r="DH239" i="11"/>
  <c r="CU239" i="11"/>
  <c r="CT239" i="11"/>
  <c r="CN239" i="11"/>
  <c r="CI239" i="11"/>
  <c r="CC239" i="11"/>
  <c r="D239" i="11"/>
  <c r="C239" i="11"/>
  <c r="DR239" i="11" s="1"/>
  <c r="EB238" i="11"/>
  <c r="EA238" i="11"/>
  <c r="DZ238" i="11"/>
  <c r="DY238" i="11"/>
  <c r="DT238" i="11"/>
  <c r="DS238" i="11"/>
  <c r="DP238" i="11"/>
  <c r="DN238" i="11"/>
  <c r="DH238" i="11"/>
  <c r="CU238" i="11"/>
  <c r="CT238" i="11"/>
  <c r="CO238" i="11"/>
  <c r="CN238" i="11"/>
  <c r="CK238" i="11"/>
  <c r="CI238" i="11"/>
  <c r="CC238" i="11"/>
  <c r="D238" i="11"/>
  <c r="C238" i="11"/>
  <c r="DR238" i="11" s="1"/>
  <c r="EB237" i="11"/>
  <c r="EA237" i="11"/>
  <c r="DZ237" i="11"/>
  <c r="DY237" i="11"/>
  <c r="DV237" i="11"/>
  <c r="DU237" i="11"/>
  <c r="DT237" i="11"/>
  <c r="DQ237" i="11"/>
  <c r="DP237" i="11"/>
  <c r="DH237" i="11"/>
  <c r="DF237" i="11"/>
  <c r="CU237" i="11"/>
  <c r="CT237" i="11"/>
  <c r="CQ237" i="11"/>
  <c r="CP237" i="11"/>
  <c r="CO237" i="11"/>
  <c r="CL237" i="11"/>
  <c r="CK237" i="11"/>
  <c r="CC237" i="11"/>
  <c r="CA237" i="11"/>
  <c r="D237" i="11"/>
  <c r="C237" i="11"/>
  <c r="DS237" i="11" s="1"/>
  <c r="DJ232" i="11"/>
  <c r="DI232" i="11"/>
  <c r="DF232" i="11"/>
  <c r="CB232" i="11"/>
  <c r="CA232" i="11"/>
  <c r="C232" i="11"/>
  <c r="B232" i="11"/>
  <c r="C231" i="11"/>
  <c r="B231" i="11"/>
  <c r="CC231" i="11" s="1"/>
  <c r="DI230" i="11"/>
  <c r="DH230" i="11"/>
  <c r="DG230" i="11"/>
  <c r="CE230" i="11"/>
  <c r="CD230" i="11"/>
  <c r="CC230" i="11"/>
  <c r="C230" i="11"/>
  <c r="B230" i="11"/>
  <c r="DJ230" i="11" s="1"/>
  <c r="DI229" i="11"/>
  <c r="DH229" i="11"/>
  <c r="CE229" i="11"/>
  <c r="CD229" i="11"/>
  <c r="CA229" i="11"/>
  <c r="C229" i="11"/>
  <c r="B229" i="11"/>
  <c r="DG229" i="11" s="1"/>
  <c r="DJ228" i="11"/>
  <c r="DI228" i="11"/>
  <c r="DF228" i="11"/>
  <c r="CB228" i="11"/>
  <c r="CA228" i="11"/>
  <c r="C228" i="11"/>
  <c r="B228" i="11"/>
  <c r="C227" i="11"/>
  <c r="B227" i="11"/>
  <c r="CC227" i="11" s="1"/>
  <c r="DI226" i="11"/>
  <c r="DH226" i="11"/>
  <c r="DG226" i="11"/>
  <c r="CE226" i="11"/>
  <c r="CD226" i="11"/>
  <c r="CC226" i="11"/>
  <c r="C226" i="11"/>
  <c r="B226" i="11"/>
  <c r="DJ226" i="11" s="1"/>
  <c r="DI221" i="11"/>
  <c r="DH221" i="11"/>
  <c r="CE221" i="11"/>
  <c r="CD221" i="11"/>
  <c r="CA221" i="11"/>
  <c r="C221" i="11"/>
  <c r="B221" i="11"/>
  <c r="DG221" i="11" s="1"/>
  <c r="DJ220" i="11"/>
  <c r="DI220" i="11"/>
  <c r="DF220" i="11"/>
  <c r="CB220" i="11"/>
  <c r="CA220" i="11"/>
  <c r="C220" i="11"/>
  <c r="B220" i="11"/>
  <c r="C219" i="11"/>
  <c r="B219" i="11"/>
  <c r="CC219" i="11" s="1"/>
  <c r="DI218" i="11"/>
  <c r="DH218" i="11"/>
  <c r="DG218" i="11"/>
  <c r="CE218" i="11"/>
  <c r="CD218" i="11"/>
  <c r="CC218" i="11"/>
  <c r="C218" i="11"/>
  <c r="B218" i="11"/>
  <c r="DJ218" i="11" s="1"/>
  <c r="DI217" i="11"/>
  <c r="DH217" i="11"/>
  <c r="CE217" i="11"/>
  <c r="CD217" i="11"/>
  <c r="CA217" i="11"/>
  <c r="C217" i="11"/>
  <c r="B217" i="11"/>
  <c r="DG217" i="11" s="1"/>
  <c r="DJ216" i="11"/>
  <c r="DI216" i="11"/>
  <c r="DF216" i="11"/>
  <c r="CB216" i="11"/>
  <c r="CA216" i="11"/>
  <c r="C216" i="11"/>
  <c r="B216" i="11"/>
  <c r="C215" i="11"/>
  <c r="B215" i="11"/>
  <c r="CC215" i="11" s="1"/>
  <c r="DZ210" i="11"/>
  <c r="DY210" i="11"/>
  <c r="DV210" i="11"/>
  <c r="DU210" i="11"/>
  <c r="DS210" i="11"/>
  <c r="DR210" i="11"/>
  <c r="DQ210" i="11"/>
  <c r="DN210" i="11"/>
  <c r="DH210" i="11"/>
  <c r="DG210" i="11"/>
  <c r="CU210" i="11"/>
  <c r="CT210" i="11"/>
  <c r="CN210" i="11"/>
  <c r="CM210" i="11"/>
  <c r="CK210" i="11"/>
  <c r="CI210" i="11"/>
  <c r="CC210" i="11"/>
  <c r="CB210" i="11"/>
  <c r="D210" i="11"/>
  <c r="C210" i="11"/>
  <c r="DP210" i="11" s="1"/>
  <c r="DZ209" i="11"/>
  <c r="DY209" i="11"/>
  <c r="DV209" i="11"/>
  <c r="DT209" i="11"/>
  <c r="DS209" i="11"/>
  <c r="DR209" i="11"/>
  <c r="DN209" i="11"/>
  <c r="DH209" i="11"/>
  <c r="DG209" i="11"/>
  <c r="CU209" i="11"/>
  <c r="CT209" i="11"/>
  <c r="CP209" i="11"/>
  <c r="CO209" i="11"/>
  <c r="CN209" i="11"/>
  <c r="CL209" i="11"/>
  <c r="CK209" i="11"/>
  <c r="CI209" i="11"/>
  <c r="CC209" i="11"/>
  <c r="CB209" i="11"/>
  <c r="CA209" i="11"/>
  <c r="D209" i="11"/>
  <c r="DU209" i="11" s="1"/>
  <c r="C209" i="11"/>
  <c r="CM209" i="11" s="1"/>
  <c r="DZ208" i="11"/>
  <c r="DY208" i="11"/>
  <c r="DT208" i="11"/>
  <c r="DP208" i="11"/>
  <c r="DN208" i="11"/>
  <c r="DH208" i="11"/>
  <c r="DG208" i="11"/>
  <c r="DF208" i="11"/>
  <c r="CU208" i="11"/>
  <c r="CT208" i="11"/>
  <c r="CP208" i="11"/>
  <c r="CO208" i="11"/>
  <c r="CL208" i="11"/>
  <c r="CK208" i="11"/>
  <c r="CC208" i="11"/>
  <c r="CB208" i="11"/>
  <c r="CA208" i="11"/>
  <c r="D208" i="11"/>
  <c r="DV208" i="11" s="1"/>
  <c r="C208" i="11"/>
  <c r="DZ207" i="11"/>
  <c r="DY207" i="11"/>
  <c r="DU207" i="11"/>
  <c r="DQ207" i="11"/>
  <c r="DH207" i="11"/>
  <c r="DG207" i="11"/>
  <c r="CU207" i="11"/>
  <c r="CT207" i="11"/>
  <c r="CP207" i="11"/>
  <c r="CL207" i="11"/>
  <c r="CC207" i="11"/>
  <c r="CB207" i="11"/>
  <c r="D207" i="11"/>
  <c r="C207" i="11"/>
  <c r="DF207" i="11" s="1"/>
  <c r="DZ206" i="11"/>
  <c r="DY206" i="11"/>
  <c r="DV206" i="11"/>
  <c r="DU206" i="11"/>
  <c r="DS206" i="11"/>
  <c r="DR206" i="11"/>
  <c r="DQ206" i="11"/>
  <c r="DN206" i="11"/>
  <c r="DH206" i="11"/>
  <c r="DG206" i="11"/>
  <c r="CU206" i="11"/>
  <c r="CT206" i="11"/>
  <c r="CN206" i="11"/>
  <c r="CM206" i="11"/>
  <c r="CK206" i="11"/>
  <c r="CI206" i="11"/>
  <c r="CC206" i="11"/>
  <c r="CB206" i="11"/>
  <c r="D206" i="11"/>
  <c r="C206" i="11"/>
  <c r="DP206" i="11" s="1"/>
  <c r="DZ205" i="11"/>
  <c r="DY205" i="11"/>
  <c r="DV205" i="11"/>
  <c r="DT205" i="11"/>
  <c r="DS205" i="11"/>
  <c r="DR205" i="11"/>
  <c r="DN205" i="11"/>
  <c r="DH205" i="11"/>
  <c r="DG205" i="11"/>
  <c r="CU205" i="11"/>
  <c r="CT205" i="11"/>
  <c r="CP205" i="11"/>
  <c r="CO205" i="11"/>
  <c r="CN205" i="11"/>
  <c r="CL205" i="11"/>
  <c r="CK205" i="11"/>
  <c r="CI205" i="11"/>
  <c r="CC205" i="11"/>
  <c r="CB205" i="11"/>
  <c r="CA205" i="11"/>
  <c r="D205" i="11"/>
  <c r="DU205" i="11" s="1"/>
  <c r="C205" i="11"/>
  <c r="CM205" i="11" s="1"/>
  <c r="DZ204" i="11"/>
  <c r="DY204" i="11"/>
  <c r="DT204" i="11"/>
  <c r="DP204" i="11"/>
  <c r="DN204" i="11"/>
  <c r="DH204" i="11"/>
  <c r="DG204" i="11"/>
  <c r="DF204" i="11"/>
  <c r="CU204" i="11"/>
  <c r="CT204" i="11"/>
  <c r="CP204" i="11"/>
  <c r="CO204" i="11"/>
  <c r="CL204" i="11"/>
  <c r="CK204" i="11"/>
  <c r="CC204" i="11"/>
  <c r="CB204" i="11"/>
  <c r="CA204" i="11"/>
  <c r="D204" i="11"/>
  <c r="DV204" i="11" s="1"/>
  <c r="C204" i="11"/>
  <c r="DZ203" i="11"/>
  <c r="DY203" i="11"/>
  <c r="DU203" i="11"/>
  <c r="DQ203" i="11"/>
  <c r="DH203" i="11"/>
  <c r="DG203" i="11"/>
  <c r="CU203" i="11"/>
  <c r="CT203" i="11"/>
  <c r="CP203" i="11"/>
  <c r="CL203" i="11"/>
  <c r="CC203" i="11"/>
  <c r="CB203" i="11"/>
  <c r="D203" i="11"/>
  <c r="C203" i="11"/>
  <c r="DF203" i="11" s="1"/>
  <c r="DZ202" i="11"/>
  <c r="DY202" i="11"/>
  <c r="DV202" i="11"/>
  <c r="DU202" i="11"/>
  <c r="DS202" i="11"/>
  <c r="DR202" i="11"/>
  <c r="DQ202" i="11"/>
  <c r="DN202" i="11"/>
  <c r="DH202" i="11"/>
  <c r="DG202" i="11"/>
  <c r="CU202" i="11"/>
  <c r="CT202" i="11"/>
  <c r="CN202" i="11"/>
  <c r="CM202" i="11"/>
  <c r="CK202" i="11"/>
  <c r="CI202" i="11"/>
  <c r="CC202" i="11"/>
  <c r="CB202" i="11"/>
  <c r="D202" i="11"/>
  <c r="C202" i="11"/>
  <c r="DP202" i="11" s="1"/>
  <c r="DZ201" i="11"/>
  <c r="DY201" i="11"/>
  <c r="DV201" i="11"/>
  <c r="DT201" i="11"/>
  <c r="DS201" i="11"/>
  <c r="DR201" i="11"/>
  <c r="DN201" i="11"/>
  <c r="DH201" i="11"/>
  <c r="DG201" i="11"/>
  <c r="CU201" i="11"/>
  <c r="CT201" i="11"/>
  <c r="CP201" i="11"/>
  <c r="CO201" i="11"/>
  <c r="CN201" i="11"/>
  <c r="CL201" i="11"/>
  <c r="CK201" i="11"/>
  <c r="CI201" i="11"/>
  <c r="CC201" i="11"/>
  <c r="CB201" i="11"/>
  <c r="CA201" i="11"/>
  <c r="D201" i="11"/>
  <c r="DU201" i="11" s="1"/>
  <c r="C201" i="11"/>
  <c r="CM201" i="11" s="1"/>
  <c r="DZ200" i="11"/>
  <c r="DY200" i="11"/>
  <c r="DT200" i="11"/>
  <c r="DP200" i="11"/>
  <c r="DN200" i="11"/>
  <c r="DH200" i="11"/>
  <c r="DG200" i="11"/>
  <c r="DF200" i="11"/>
  <c r="CU200" i="11"/>
  <c r="CT200" i="11"/>
  <c r="CP200" i="11"/>
  <c r="CO200" i="11"/>
  <c r="CL200" i="11"/>
  <c r="CK200" i="11"/>
  <c r="CC200" i="11"/>
  <c r="CB200" i="11"/>
  <c r="CA200" i="11"/>
  <c r="D200" i="11"/>
  <c r="DV200" i="11" s="1"/>
  <c r="C200" i="11"/>
  <c r="DR199" i="11"/>
  <c r="DH199" i="11"/>
  <c r="DG199" i="11"/>
  <c r="CQ199" i="11"/>
  <c r="CM199" i="11"/>
  <c r="CC199" i="11"/>
  <c r="CB199" i="11"/>
  <c r="D199" i="11"/>
  <c r="CL199" i="11" s="1"/>
  <c r="C199" i="11"/>
  <c r="DT198" i="11"/>
  <c r="DS198" i="11"/>
  <c r="DP198" i="11"/>
  <c r="DN198" i="11"/>
  <c r="DH198" i="11"/>
  <c r="DG198" i="11"/>
  <c r="DF198" i="11"/>
  <c r="CN198" i="11"/>
  <c r="CM198" i="11"/>
  <c r="CK198" i="11"/>
  <c r="CI198" i="11"/>
  <c r="CC198" i="11"/>
  <c r="CB198" i="11"/>
  <c r="D198" i="11"/>
  <c r="C198" i="11"/>
  <c r="DR198" i="11" s="1"/>
  <c r="DV197" i="11"/>
  <c r="DU197" i="11"/>
  <c r="DT197" i="11"/>
  <c r="DQ197" i="11"/>
  <c r="DP197" i="11"/>
  <c r="DH197" i="11"/>
  <c r="DG197" i="11"/>
  <c r="DF197" i="11"/>
  <c r="CP197" i="11"/>
  <c r="CO197" i="11"/>
  <c r="CN197" i="11"/>
  <c r="CL197" i="11"/>
  <c r="CK197" i="11"/>
  <c r="CI197" i="11"/>
  <c r="CC197" i="11"/>
  <c r="CB197" i="11"/>
  <c r="CA197" i="11"/>
  <c r="D197" i="11"/>
  <c r="CQ197" i="11" s="1"/>
  <c r="C197" i="11"/>
  <c r="DS197" i="11" s="1"/>
  <c r="DZ196" i="11"/>
  <c r="DY196" i="11"/>
  <c r="DT196" i="11"/>
  <c r="DH196" i="11"/>
  <c r="DG196" i="11"/>
  <c r="CU196" i="11"/>
  <c r="CT196" i="11"/>
  <c r="CP196" i="11"/>
  <c r="CO196" i="11"/>
  <c r="CL196" i="11"/>
  <c r="CC196" i="11"/>
  <c r="CB196" i="11"/>
  <c r="D196" i="11"/>
  <c r="DV196" i="11" s="1"/>
  <c r="C196" i="11"/>
  <c r="DP196" i="11" s="1"/>
  <c r="DZ195" i="11"/>
  <c r="DY195" i="11"/>
  <c r="DU195" i="11"/>
  <c r="DH195" i="11"/>
  <c r="DG195" i="11"/>
  <c r="CU195" i="11"/>
  <c r="CT195" i="11"/>
  <c r="CQ195" i="11"/>
  <c r="CL195" i="11"/>
  <c r="CC195" i="11"/>
  <c r="CB195" i="11"/>
  <c r="D195" i="11"/>
  <c r="C195" i="11"/>
  <c r="CM195" i="11" s="1"/>
  <c r="DZ194" i="11"/>
  <c r="DY194" i="11"/>
  <c r="DU194" i="11"/>
  <c r="DS194" i="11"/>
  <c r="DR194" i="11"/>
  <c r="DN194" i="11"/>
  <c r="DH194" i="11"/>
  <c r="DG194" i="11"/>
  <c r="CU194" i="11"/>
  <c r="CT194" i="11"/>
  <c r="CO194" i="11"/>
  <c r="CN194" i="11"/>
  <c r="CM194" i="11"/>
  <c r="CK194" i="11"/>
  <c r="CI194" i="11"/>
  <c r="CC194" i="11"/>
  <c r="CB194" i="11"/>
  <c r="D194" i="11"/>
  <c r="C194" i="11"/>
  <c r="DP194" i="11" s="1"/>
  <c r="DZ193" i="11"/>
  <c r="DY193" i="11"/>
  <c r="DV193" i="11"/>
  <c r="DT193" i="11"/>
  <c r="DR193" i="11"/>
  <c r="DP193" i="11"/>
  <c r="DN193" i="11"/>
  <c r="DH193" i="11"/>
  <c r="DG193" i="11"/>
  <c r="DF193" i="11"/>
  <c r="CU193" i="11"/>
  <c r="CT193" i="11"/>
  <c r="CP193" i="11"/>
  <c r="CO193" i="11"/>
  <c r="CN193" i="11"/>
  <c r="CL193" i="11"/>
  <c r="CK193" i="11"/>
  <c r="CI193" i="11"/>
  <c r="CC193" i="11"/>
  <c r="CB193" i="11"/>
  <c r="CA193" i="11"/>
  <c r="D193" i="11"/>
  <c r="DU193" i="11" s="1"/>
  <c r="C193" i="11"/>
  <c r="CM193" i="11" s="1"/>
  <c r="DZ192" i="11"/>
  <c r="DY192" i="11"/>
  <c r="DS192" i="11"/>
  <c r="DP192" i="11"/>
  <c r="DH192" i="11"/>
  <c r="DG192" i="11"/>
  <c r="CU192" i="11"/>
  <c r="CT192" i="11"/>
  <c r="CM192" i="11"/>
  <c r="CK192" i="11"/>
  <c r="CC192" i="11"/>
  <c r="CB192" i="11"/>
  <c r="D192" i="11"/>
  <c r="DV192" i="11" s="1"/>
  <c r="C192" i="11"/>
  <c r="DZ191" i="11"/>
  <c r="DY191" i="11"/>
  <c r="DR191" i="11"/>
  <c r="DH191" i="11"/>
  <c r="DG191" i="11"/>
  <c r="CU191" i="11"/>
  <c r="CT191" i="11"/>
  <c r="CM191" i="11"/>
  <c r="CI191" i="11"/>
  <c r="CC191" i="11"/>
  <c r="CB191" i="11"/>
  <c r="D191" i="11"/>
  <c r="DU191" i="11" s="1"/>
  <c r="C191" i="11"/>
  <c r="DZ190" i="11"/>
  <c r="DY190" i="11"/>
  <c r="DS190" i="11"/>
  <c r="DR190" i="11"/>
  <c r="DH190" i="11"/>
  <c r="CU190" i="11"/>
  <c r="CT190" i="11"/>
  <c r="CN190" i="11"/>
  <c r="CK190" i="11"/>
  <c r="CI190" i="11"/>
  <c r="CC190" i="11"/>
  <c r="D190" i="11"/>
  <c r="DU190" i="11" s="1"/>
  <c r="C190" i="11"/>
  <c r="DP190" i="11" s="1"/>
  <c r="DZ189" i="11"/>
  <c r="DY189" i="11"/>
  <c r="DV189" i="11"/>
  <c r="DT189" i="11"/>
  <c r="DH189" i="11"/>
  <c r="CU189" i="11"/>
  <c r="CT189" i="11"/>
  <c r="CQ189" i="11"/>
  <c r="CO189" i="11"/>
  <c r="CC189" i="11"/>
  <c r="D189" i="11"/>
  <c r="DU189" i="11" s="1"/>
  <c r="C189" i="11"/>
  <c r="DR189" i="11" s="1"/>
  <c r="DZ188" i="11"/>
  <c r="DY188" i="11"/>
  <c r="DU188" i="11"/>
  <c r="DS188" i="11"/>
  <c r="DQ188" i="11"/>
  <c r="DN188" i="11"/>
  <c r="DH188" i="11"/>
  <c r="DF188" i="11"/>
  <c r="CU188" i="11"/>
  <c r="CT188" i="11"/>
  <c r="CP188" i="11"/>
  <c r="CN188" i="11"/>
  <c r="CL188" i="11"/>
  <c r="CI188" i="11"/>
  <c r="CC188" i="11"/>
  <c r="CA188" i="11"/>
  <c r="D188" i="11"/>
  <c r="DT188" i="11" s="1"/>
  <c r="C188" i="11"/>
  <c r="DP188" i="11" s="1"/>
  <c r="DZ183" i="11"/>
  <c r="DY183" i="11"/>
  <c r="DV183" i="11"/>
  <c r="DT183" i="11"/>
  <c r="DH183" i="11"/>
  <c r="DG183" i="11"/>
  <c r="CU183" i="11"/>
  <c r="CT183" i="11"/>
  <c r="CP183" i="11"/>
  <c r="CL183" i="11"/>
  <c r="CC183" i="11"/>
  <c r="CB183" i="11"/>
  <c r="D183" i="11"/>
  <c r="CO183" i="11" s="1"/>
  <c r="C183" i="11"/>
  <c r="DP183" i="11" s="1"/>
  <c r="DZ182" i="11"/>
  <c r="DY182" i="11"/>
  <c r="DS182" i="11"/>
  <c r="DR182" i="11"/>
  <c r="DN182" i="11"/>
  <c r="DH182" i="11"/>
  <c r="DG182" i="11"/>
  <c r="CU182" i="11"/>
  <c r="CT182" i="11"/>
  <c r="CQ182" i="11"/>
  <c r="CN182" i="11"/>
  <c r="CM182" i="11"/>
  <c r="CK182" i="11"/>
  <c r="CI182" i="11"/>
  <c r="CC182" i="11"/>
  <c r="CB182" i="11"/>
  <c r="D182" i="11"/>
  <c r="C182" i="11"/>
  <c r="DP182" i="11" s="1"/>
  <c r="DZ181" i="11"/>
  <c r="DY181" i="11"/>
  <c r="DV181" i="11"/>
  <c r="DT181" i="11"/>
  <c r="DR181" i="11"/>
  <c r="DH181" i="11"/>
  <c r="DG181" i="11"/>
  <c r="CU181" i="11"/>
  <c r="CT181" i="11"/>
  <c r="CP181" i="11"/>
  <c r="CO181" i="11"/>
  <c r="CN181" i="11"/>
  <c r="CL181" i="11"/>
  <c r="CI181" i="11"/>
  <c r="CC181" i="11"/>
  <c r="CB181" i="11"/>
  <c r="D181" i="11"/>
  <c r="DU181" i="11" s="1"/>
  <c r="C181" i="11"/>
  <c r="CM181" i="11" s="1"/>
  <c r="DZ180" i="11"/>
  <c r="DY180" i="11"/>
  <c r="DS180" i="11"/>
  <c r="DN180" i="11"/>
  <c r="DH180" i="11"/>
  <c r="DG180" i="11"/>
  <c r="CU180" i="11"/>
  <c r="CT180" i="11"/>
  <c r="CQ180" i="11"/>
  <c r="CM180" i="11"/>
  <c r="CK180" i="11"/>
  <c r="CC180" i="11"/>
  <c r="CB180" i="11"/>
  <c r="D180" i="11"/>
  <c r="C180" i="11"/>
  <c r="DR180" i="11" s="1"/>
  <c r="DZ179" i="11"/>
  <c r="DY179" i="11"/>
  <c r="DV179" i="11"/>
  <c r="DT179" i="11"/>
  <c r="DH179" i="11"/>
  <c r="DG179" i="11"/>
  <c r="CU179" i="11"/>
  <c r="CT179" i="11"/>
  <c r="CP179" i="11"/>
  <c r="CL179" i="11"/>
  <c r="CC179" i="11"/>
  <c r="CB179" i="11"/>
  <c r="D179" i="11"/>
  <c r="CO179" i="11" s="1"/>
  <c r="C179" i="11"/>
  <c r="DR179" i="11" s="1"/>
  <c r="DZ178" i="11"/>
  <c r="DY178" i="11"/>
  <c r="DU178" i="11"/>
  <c r="DS178" i="11"/>
  <c r="DR178" i="11"/>
  <c r="DQ178" i="11"/>
  <c r="DN178" i="11"/>
  <c r="DH178" i="11"/>
  <c r="DG178" i="11"/>
  <c r="CU178" i="11"/>
  <c r="CT178" i="11"/>
  <c r="CQ178" i="11"/>
  <c r="CN178" i="11"/>
  <c r="CM178" i="11"/>
  <c r="CK178" i="11"/>
  <c r="CI178" i="11"/>
  <c r="CC178" i="11"/>
  <c r="CB178" i="11"/>
  <c r="CA178" i="11"/>
  <c r="D178" i="11"/>
  <c r="C178" i="11"/>
  <c r="DP178" i="11" s="1"/>
  <c r="DZ177" i="11"/>
  <c r="DY177" i="11"/>
  <c r="DV177" i="11"/>
  <c r="DT177" i="11"/>
  <c r="DH177" i="11"/>
  <c r="DG177" i="11"/>
  <c r="CU177" i="11"/>
  <c r="CT177" i="11"/>
  <c r="CP177" i="11"/>
  <c r="CO177" i="11"/>
  <c r="CL177" i="11"/>
  <c r="CC177" i="11"/>
  <c r="CB177" i="11"/>
  <c r="D177" i="11"/>
  <c r="DU177" i="11" s="1"/>
  <c r="C177" i="11"/>
  <c r="DZ176" i="11"/>
  <c r="DY176" i="11"/>
  <c r="DS176" i="11"/>
  <c r="DQ176" i="11"/>
  <c r="DN176" i="11"/>
  <c r="DH176" i="11"/>
  <c r="DG176" i="11"/>
  <c r="CU176" i="11"/>
  <c r="CT176" i="11"/>
  <c r="CO176" i="11"/>
  <c r="CM176" i="11"/>
  <c r="CK176" i="11"/>
  <c r="CC176" i="11"/>
  <c r="CB176" i="11"/>
  <c r="CA176" i="11"/>
  <c r="D176" i="11"/>
  <c r="DU176" i="11" s="1"/>
  <c r="C176" i="11"/>
  <c r="DR176" i="11" s="1"/>
  <c r="DZ175" i="11"/>
  <c r="DY175" i="11"/>
  <c r="DV175" i="11"/>
  <c r="DT175" i="11"/>
  <c r="DH175" i="11"/>
  <c r="DG175" i="11"/>
  <c r="CU175" i="11"/>
  <c r="CT175" i="11"/>
  <c r="CP175" i="11"/>
  <c r="CL175" i="11"/>
  <c r="CC175" i="11"/>
  <c r="CB175" i="11"/>
  <c r="D175" i="11"/>
  <c r="CO175" i="11" s="1"/>
  <c r="C175" i="11"/>
  <c r="DR175" i="11" s="1"/>
  <c r="DZ174" i="11"/>
  <c r="DY174" i="11"/>
  <c r="DS174" i="11"/>
  <c r="DR174" i="11"/>
  <c r="DN174" i="11"/>
  <c r="DH174" i="11"/>
  <c r="DG174" i="11"/>
  <c r="CU174" i="11"/>
  <c r="CT174" i="11"/>
  <c r="CN174" i="11"/>
  <c r="CM174" i="11"/>
  <c r="CK174" i="11"/>
  <c r="CI174" i="11"/>
  <c r="CC174" i="11"/>
  <c r="CB174" i="11"/>
  <c r="D174" i="11"/>
  <c r="C174" i="11"/>
  <c r="DP174" i="11" s="1"/>
  <c r="DZ173" i="11"/>
  <c r="DY173" i="11"/>
  <c r="DV173" i="11"/>
  <c r="DT173" i="11"/>
  <c r="DH173" i="11"/>
  <c r="DG173" i="11"/>
  <c r="CU173" i="11"/>
  <c r="CT173" i="11"/>
  <c r="CP173" i="11"/>
  <c r="CO173" i="11"/>
  <c r="CL173" i="11"/>
  <c r="CI173" i="11"/>
  <c r="CC173" i="11"/>
  <c r="CB173" i="11"/>
  <c r="D173" i="11"/>
  <c r="DU173" i="11" s="1"/>
  <c r="C173" i="11"/>
  <c r="DP173" i="11" s="1"/>
  <c r="DS172" i="11"/>
  <c r="DN172" i="11"/>
  <c r="DH172" i="11"/>
  <c r="DG172" i="11"/>
  <c r="CM172" i="11"/>
  <c r="CK172" i="11"/>
  <c r="CC172" i="11"/>
  <c r="CB172" i="11"/>
  <c r="D172" i="11"/>
  <c r="C172" i="11"/>
  <c r="DP172" i="11" s="1"/>
  <c r="DV171" i="11"/>
  <c r="DT171" i="11"/>
  <c r="DH171" i="11"/>
  <c r="DG171" i="11"/>
  <c r="CP171" i="11"/>
  <c r="CL171" i="11"/>
  <c r="CC171" i="11"/>
  <c r="CB171" i="11"/>
  <c r="D171" i="11"/>
  <c r="DU171" i="11" s="1"/>
  <c r="C171" i="11"/>
  <c r="CN171" i="11" s="1"/>
  <c r="DS170" i="11"/>
  <c r="DP170" i="11"/>
  <c r="DN170" i="11"/>
  <c r="DH170" i="11"/>
  <c r="DG170" i="11"/>
  <c r="CN170" i="11"/>
  <c r="CM170" i="11"/>
  <c r="CK170" i="11"/>
  <c r="CI170" i="11"/>
  <c r="CC170" i="11"/>
  <c r="CB170" i="11"/>
  <c r="D170" i="11"/>
  <c r="DQ170" i="11" s="1"/>
  <c r="C170" i="11"/>
  <c r="DR170" i="11" s="1"/>
  <c r="DZ169" i="11"/>
  <c r="DY169" i="11"/>
  <c r="DV169" i="11"/>
  <c r="DT169" i="11"/>
  <c r="DH169" i="11"/>
  <c r="DG169" i="11"/>
  <c r="CU169" i="11"/>
  <c r="CT169" i="11"/>
  <c r="CP169" i="11"/>
  <c r="CO169" i="11"/>
  <c r="CL169" i="11"/>
  <c r="CI169" i="11"/>
  <c r="CC169" i="11"/>
  <c r="CB169" i="11"/>
  <c r="D169" i="11"/>
  <c r="DU169" i="11" s="1"/>
  <c r="C169" i="11"/>
  <c r="DZ168" i="11"/>
  <c r="DY168" i="11"/>
  <c r="DS168" i="11"/>
  <c r="DN168" i="11"/>
  <c r="DH168" i="11"/>
  <c r="DG168" i="11"/>
  <c r="CU168" i="11"/>
  <c r="CT168" i="11"/>
  <c r="CM168" i="11"/>
  <c r="CK168" i="11"/>
  <c r="CC168" i="11"/>
  <c r="CB168" i="11"/>
  <c r="D168" i="11"/>
  <c r="DU168" i="11" s="1"/>
  <c r="C168" i="11"/>
  <c r="DR168" i="11" s="1"/>
  <c r="DZ167" i="11"/>
  <c r="DY167" i="11"/>
  <c r="DV167" i="11"/>
  <c r="DT167" i="11"/>
  <c r="DH167" i="11"/>
  <c r="DG167" i="11"/>
  <c r="CU167" i="11"/>
  <c r="CT167" i="11"/>
  <c r="CP167" i="11"/>
  <c r="CL167" i="11"/>
  <c r="CI167" i="11"/>
  <c r="CC167" i="11"/>
  <c r="CB167" i="11"/>
  <c r="D167" i="11"/>
  <c r="CO167" i="11" s="1"/>
  <c r="C167" i="11"/>
  <c r="DR167" i="11" s="1"/>
  <c r="DZ166" i="11"/>
  <c r="DY166" i="11"/>
  <c r="DU166" i="11"/>
  <c r="DS166" i="11"/>
  <c r="DR166" i="11"/>
  <c r="DN166" i="11"/>
  <c r="DH166" i="11"/>
  <c r="DG166" i="11"/>
  <c r="CU166" i="11"/>
  <c r="CT166" i="11"/>
  <c r="CQ166" i="11"/>
  <c r="CN166" i="11"/>
  <c r="CM166" i="11"/>
  <c r="CK166" i="11"/>
  <c r="CI166" i="11"/>
  <c r="CC166" i="11"/>
  <c r="CB166" i="11"/>
  <c r="CA166" i="11"/>
  <c r="D166" i="11"/>
  <c r="C166" i="11"/>
  <c r="DP166" i="11" s="1"/>
  <c r="DZ165" i="11"/>
  <c r="DY165" i="11"/>
  <c r="DV165" i="11"/>
  <c r="DT165" i="11"/>
  <c r="DR165" i="11"/>
  <c r="DH165" i="11"/>
  <c r="DG165" i="11"/>
  <c r="DF165" i="11"/>
  <c r="CU165" i="11"/>
  <c r="CT165" i="11"/>
  <c r="CP165" i="11"/>
  <c r="CO165" i="11"/>
  <c r="CL165" i="11"/>
  <c r="CC165" i="11"/>
  <c r="CB165" i="11"/>
  <c r="D165" i="11"/>
  <c r="DU165" i="11" s="1"/>
  <c r="C165" i="11"/>
  <c r="CA165" i="11" s="1"/>
  <c r="DZ164" i="11"/>
  <c r="DY164" i="11"/>
  <c r="DP164" i="11"/>
  <c r="DH164" i="11"/>
  <c r="DG164" i="11"/>
  <c r="CU164" i="11"/>
  <c r="CT164" i="11"/>
  <c r="CK164" i="11"/>
  <c r="CC164" i="11"/>
  <c r="CB164" i="11"/>
  <c r="D164" i="11"/>
  <c r="DV164" i="11" s="1"/>
  <c r="C164" i="11"/>
  <c r="DS164" i="11" s="1"/>
  <c r="DZ163" i="11"/>
  <c r="DY163" i="11"/>
  <c r="DV163" i="11"/>
  <c r="DU163" i="11"/>
  <c r="DT163" i="11"/>
  <c r="DQ163" i="11"/>
  <c r="DH163" i="11"/>
  <c r="CU163" i="11"/>
  <c r="CT163" i="11"/>
  <c r="CQ163" i="11"/>
  <c r="CP163" i="11"/>
  <c r="CO163" i="11"/>
  <c r="CL163" i="11"/>
  <c r="CC163" i="11"/>
  <c r="D163" i="11"/>
  <c r="C163" i="11"/>
  <c r="DP163" i="11" s="1"/>
  <c r="DZ162" i="11"/>
  <c r="DY162" i="11"/>
  <c r="DT162" i="11"/>
  <c r="DS162" i="11"/>
  <c r="DP162" i="11"/>
  <c r="DN162" i="11"/>
  <c r="DH162" i="11"/>
  <c r="CU162" i="11"/>
  <c r="CT162" i="11"/>
  <c r="CP162" i="11"/>
  <c r="CN162" i="11"/>
  <c r="CL162" i="11"/>
  <c r="CK162" i="11"/>
  <c r="CI162" i="11"/>
  <c r="CC162" i="11"/>
  <c r="CA162" i="11"/>
  <c r="D162" i="11"/>
  <c r="C162" i="11"/>
  <c r="DR162" i="11" s="1"/>
  <c r="DZ161" i="11"/>
  <c r="DY161" i="11"/>
  <c r="DV161" i="11"/>
  <c r="DH161" i="11"/>
  <c r="CU161" i="11"/>
  <c r="CT161" i="11"/>
  <c r="CO161" i="11"/>
  <c r="CC161" i="11"/>
  <c r="D161" i="11"/>
  <c r="C161" i="11"/>
  <c r="DN161" i="11" s="1"/>
  <c r="DN156" i="11"/>
  <c r="DM156" i="11"/>
  <c r="DL156" i="11"/>
  <c r="DK156" i="11"/>
  <c r="DJ156" i="11"/>
  <c r="DI156" i="11"/>
  <c r="DH156" i="11"/>
  <c r="DG156" i="11"/>
  <c r="DF156" i="11"/>
  <c r="CI156" i="11"/>
  <c r="CH156" i="11"/>
  <c r="CG156" i="11"/>
  <c r="CF156" i="11"/>
  <c r="CE156" i="11"/>
  <c r="CD156" i="11"/>
  <c r="CC156" i="11"/>
  <c r="CB156" i="11"/>
  <c r="CA156" i="11"/>
  <c r="Q156" i="11" s="1"/>
  <c r="DN155" i="11"/>
  <c r="DM155" i="11"/>
  <c r="DL155" i="11"/>
  <c r="DK155" i="11"/>
  <c r="DJ155" i="11"/>
  <c r="DI155" i="11"/>
  <c r="DH155" i="11"/>
  <c r="DG155" i="11"/>
  <c r="DF155" i="11"/>
  <c r="CI155" i="11"/>
  <c r="CH155" i="11"/>
  <c r="CG155" i="11"/>
  <c r="CF155" i="11"/>
  <c r="CE155" i="11"/>
  <c r="CD155" i="11"/>
  <c r="CC155" i="11"/>
  <c r="CB155" i="11"/>
  <c r="CA155" i="11"/>
  <c r="Q155" i="11" s="1"/>
  <c r="DN154" i="11"/>
  <c r="DM154" i="11"/>
  <c r="DL154" i="11"/>
  <c r="DK154" i="11"/>
  <c r="DJ154" i="11"/>
  <c r="DI154" i="11"/>
  <c r="DH154" i="11"/>
  <c r="DG154" i="11"/>
  <c r="DF154" i="11"/>
  <c r="CI154" i="11"/>
  <c r="CH154" i="11"/>
  <c r="CG154" i="11"/>
  <c r="CF154" i="11"/>
  <c r="CE154" i="11"/>
  <c r="CD154" i="11"/>
  <c r="CC154" i="11"/>
  <c r="CB154" i="11"/>
  <c r="CA154" i="11"/>
  <c r="Q154" i="11" s="1"/>
  <c r="DN153" i="11"/>
  <c r="DM153" i="11"/>
  <c r="DL153" i="11"/>
  <c r="DK153" i="11"/>
  <c r="DJ153" i="11"/>
  <c r="DI153" i="11"/>
  <c r="DH153" i="11"/>
  <c r="DG153" i="11"/>
  <c r="DF153" i="11"/>
  <c r="CI153" i="11"/>
  <c r="CH153" i="11"/>
  <c r="CG153" i="11"/>
  <c r="CF153" i="11"/>
  <c r="CE153" i="11"/>
  <c r="CD153" i="11"/>
  <c r="CC153" i="11"/>
  <c r="CB153" i="11"/>
  <c r="CA153" i="11"/>
  <c r="Q153" i="11"/>
  <c r="DN152" i="11"/>
  <c r="DM152" i="11"/>
  <c r="DL152" i="11"/>
  <c r="DK152" i="11"/>
  <c r="DJ152" i="11"/>
  <c r="DI152" i="11"/>
  <c r="DH152" i="11"/>
  <c r="DG152" i="11"/>
  <c r="DF152" i="11"/>
  <c r="CI152" i="11"/>
  <c r="CH152" i="11"/>
  <c r="CG152" i="11"/>
  <c r="CF152" i="11"/>
  <c r="CE152" i="11"/>
  <c r="CD152" i="11"/>
  <c r="CC152" i="11"/>
  <c r="CB152" i="11"/>
  <c r="CA152" i="11"/>
  <c r="Q152" i="11" s="1"/>
  <c r="DN148" i="11"/>
  <c r="DM148" i="11"/>
  <c r="DL148" i="11"/>
  <c r="DK148" i="11"/>
  <c r="DJ148" i="11"/>
  <c r="DI148" i="11"/>
  <c r="DH148" i="11"/>
  <c r="DG148" i="11"/>
  <c r="DF148" i="11"/>
  <c r="CI148" i="11"/>
  <c r="CH148" i="11"/>
  <c r="CG148" i="11"/>
  <c r="CF148" i="11"/>
  <c r="CE148" i="11"/>
  <c r="CD148" i="11"/>
  <c r="CC148" i="11"/>
  <c r="CB148" i="11"/>
  <c r="CA148" i="11"/>
  <c r="Q148" i="11" s="1"/>
  <c r="DN147" i="11"/>
  <c r="DM147" i="11"/>
  <c r="DL147" i="11"/>
  <c r="DK147" i="11"/>
  <c r="DJ147" i="11"/>
  <c r="DI147" i="11"/>
  <c r="DH147" i="11"/>
  <c r="DG147" i="11"/>
  <c r="DF147" i="11"/>
  <c r="CI147" i="11"/>
  <c r="CH147" i="11"/>
  <c r="CG147" i="11"/>
  <c r="CF147" i="11"/>
  <c r="CE147" i="11"/>
  <c r="CD147" i="11"/>
  <c r="CC147" i="11"/>
  <c r="CB147" i="11"/>
  <c r="CA147" i="11"/>
  <c r="Q147" i="11" s="1"/>
  <c r="DN146" i="11"/>
  <c r="DM146" i="11"/>
  <c r="DL146" i="11"/>
  <c r="DK146" i="11"/>
  <c r="DJ146" i="11"/>
  <c r="DI146" i="11"/>
  <c r="DH146" i="11"/>
  <c r="DG146" i="11"/>
  <c r="DF146" i="11"/>
  <c r="CI146" i="11"/>
  <c r="CH146" i="11"/>
  <c r="CG146" i="11"/>
  <c r="CF146" i="11"/>
  <c r="CE146" i="11"/>
  <c r="CD146" i="11"/>
  <c r="CC146" i="11"/>
  <c r="CB146" i="11"/>
  <c r="CA146" i="11"/>
  <c r="Q146" i="11"/>
  <c r="DN145" i="11"/>
  <c r="DM145" i="11"/>
  <c r="DL145" i="11"/>
  <c r="DK145" i="11"/>
  <c r="DJ145" i="11"/>
  <c r="DI145" i="11"/>
  <c r="DH145" i="11"/>
  <c r="DG145" i="11"/>
  <c r="DF145" i="11"/>
  <c r="CI145" i="11"/>
  <c r="CH145" i="11"/>
  <c r="CG145" i="11"/>
  <c r="CF145" i="11"/>
  <c r="CE145" i="11"/>
  <c r="CD145" i="11"/>
  <c r="CC145" i="11"/>
  <c r="CB145" i="11"/>
  <c r="CA145" i="11"/>
  <c r="Q145" i="11" s="1"/>
  <c r="DN144" i="11"/>
  <c r="DM144" i="11"/>
  <c r="DL144" i="11"/>
  <c r="DK144" i="11"/>
  <c r="DJ144" i="11"/>
  <c r="DI144" i="11"/>
  <c r="DH144" i="11"/>
  <c r="DG144" i="11"/>
  <c r="DF144" i="11"/>
  <c r="CI144" i="11"/>
  <c r="CH144" i="11"/>
  <c r="CG144" i="11"/>
  <c r="CF144" i="11"/>
  <c r="CE144" i="11"/>
  <c r="CD144" i="11"/>
  <c r="CC144" i="11"/>
  <c r="CB144" i="11"/>
  <c r="CA144" i="11"/>
  <c r="Q144" i="11" s="1"/>
  <c r="EC140" i="11"/>
  <c r="EB140" i="11"/>
  <c r="EA140" i="11"/>
  <c r="DZ140" i="11"/>
  <c r="DY140" i="11"/>
  <c r="DX140" i="11"/>
  <c r="DW140" i="11"/>
  <c r="DV140" i="11"/>
  <c r="DU140" i="11"/>
  <c r="DT140" i="11"/>
  <c r="DS140" i="11"/>
  <c r="DR140" i="11"/>
  <c r="DQ140" i="11"/>
  <c r="DP140" i="11"/>
  <c r="DO140" i="11"/>
  <c r="DN140" i="11"/>
  <c r="DM140" i="11"/>
  <c r="DL140" i="11"/>
  <c r="DK140" i="11"/>
  <c r="DJ140" i="11"/>
  <c r="DH140" i="11"/>
  <c r="CX140" i="11"/>
  <c r="CW140" i="11"/>
  <c r="CV140" i="11"/>
  <c r="CU140" i="11"/>
  <c r="CT140" i="11"/>
  <c r="CS140" i="11"/>
  <c r="CR140" i="11"/>
  <c r="CQ140" i="11"/>
  <c r="CP140" i="11"/>
  <c r="CO140" i="11"/>
  <c r="CN140" i="11"/>
  <c r="CM140" i="11"/>
  <c r="CL140" i="11"/>
  <c r="CK140" i="11"/>
  <c r="CJ140" i="11"/>
  <c r="CI140" i="11"/>
  <c r="CH140" i="11"/>
  <c r="CG140" i="11"/>
  <c r="CF140" i="11"/>
  <c r="CE140" i="11"/>
  <c r="CC140" i="11"/>
  <c r="C140" i="11"/>
  <c r="B140" i="11"/>
  <c r="DI140" i="11" s="1"/>
  <c r="EC139" i="11"/>
  <c r="EB139" i="11"/>
  <c r="EA139" i="11"/>
  <c r="DZ139" i="11"/>
  <c r="DY139" i="11"/>
  <c r="DX139" i="11"/>
  <c r="DW139" i="11"/>
  <c r="DV139" i="11"/>
  <c r="DU139" i="11"/>
  <c r="DT139" i="11"/>
  <c r="DS139" i="11"/>
  <c r="DR139" i="11"/>
  <c r="DQ139" i="11"/>
  <c r="DP139" i="11"/>
  <c r="DO139" i="11"/>
  <c r="DN139" i="11"/>
  <c r="DM139" i="11"/>
  <c r="DL139" i="11"/>
  <c r="DK139" i="11"/>
  <c r="DJ139" i="11"/>
  <c r="CX139" i="11"/>
  <c r="CW139" i="11"/>
  <c r="CV139" i="11"/>
  <c r="CU139" i="11"/>
  <c r="CT139" i="11"/>
  <c r="CS139" i="11"/>
  <c r="CR139" i="11"/>
  <c r="CQ139" i="11"/>
  <c r="CP139" i="11"/>
  <c r="CO139" i="11"/>
  <c r="CN139" i="11"/>
  <c r="CM139" i="11"/>
  <c r="CL139" i="11"/>
  <c r="CK139" i="11"/>
  <c r="CJ139" i="11"/>
  <c r="CI139" i="11"/>
  <c r="CH139" i="11"/>
  <c r="CG139" i="11"/>
  <c r="CF139" i="11"/>
  <c r="CE139" i="11"/>
  <c r="C139" i="11"/>
  <c r="B139" i="11"/>
  <c r="DH139" i="11" s="1"/>
  <c r="EC138" i="11"/>
  <c r="EB138" i="11"/>
  <c r="EA138" i="11"/>
  <c r="DZ138" i="11"/>
  <c r="DY138" i="11"/>
  <c r="DX138" i="11"/>
  <c r="DW138" i="11"/>
  <c r="DV138" i="11"/>
  <c r="DU138" i="11"/>
  <c r="DT138" i="11"/>
  <c r="DS138" i="11"/>
  <c r="DR138" i="11"/>
  <c r="DQ138" i="11"/>
  <c r="DP138" i="11"/>
  <c r="DO138" i="11"/>
  <c r="DN138" i="11"/>
  <c r="DM138" i="11"/>
  <c r="DL138" i="11"/>
  <c r="DK138" i="11"/>
  <c r="DJ138" i="11"/>
  <c r="DI138" i="11"/>
  <c r="DF138" i="11"/>
  <c r="CX138" i="11"/>
  <c r="CW138" i="11"/>
  <c r="CV138" i="11"/>
  <c r="CU138" i="11"/>
  <c r="CT138" i="11"/>
  <c r="CS138" i="11"/>
  <c r="CR138" i="11"/>
  <c r="CQ138" i="11"/>
  <c r="CP138" i="11"/>
  <c r="CO138" i="11"/>
  <c r="CN138" i="11"/>
  <c r="CM138" i="11"/>
  <c r="CL138" i="11"/>
  <c r="CK138" i="11"/>
  <c r="CJ138" i="11"/>
  <c r="CI138" i="11"/>
  <c r="CH138" i="11"/>
  <c r="CG138" i="11"/>
  <c r="CF138" i="11"/>
  <c r="CE138" i="11"/>
  <c r="CD138" i="11"/>
  <c r="CA138" i="11"/>
  <c r="C138" i="11"/>
  <c r="B138" i="11"/>
  <c r="DG138" i="11" s="1"/>
  <c r="DY137" i="11"/>
  <c r="DX137" i="11"/>
  <c r="DW137" i="11"/>
  <c r="DV137" i="11"/>
  <c r="DU137" i="11"/>
  <c r="DT137" i="11"/>
  <c r="DS137" i="11"/>
  <c r="DR137" i="11"/>
  <c r="DQ137" i="11"/>
  <c r="DP137" i="11"/>
  <c r="DG137" i="11"/>
  <c r="DF137" i="11"/>
  <c r="CT137" i="11"/>
  <c r="CS137" i="11"/>
  <c r="CR137" i="11"/>
  <c r="CQ137" i="11"/>
  <c r="CP137" i="11"/>
  <c r="CO137" i="11"/>
  <c r="CN137" i="11"/>
  <c r="CM137" i="11"/>
  <c r="CL137" i="11"/>
  <c r="CK137" i="11"/>
  <c r="CD137" i="11"/>
  <c r="CC137" i="11"/>
  <c r="C137" i="11"/>
  <c r="B137" i="11"/>
  <c r="DH137" i="11" s="1"/>
  <c r="EC136" i="11"/>
  <c r="EB136" i="11"/>
  <c r="EA136" i="11"/>
  <c r="DZ136" i="11"/>
  <c r="DY136" i="11"/>
  <c r="DX136" i="11"/>
  <c r="DW136" i="11"/>
  <c r="DV136" i="11"/>
  <c r="DU136" i="11"/>
  <c r="DT136" i="11"/>
  <c r="DS136" i="11"/>
  <c r="DR136" i="11"/>
  <c r="DQ136" i="11"/>
  <c r="DP136" i="11"/>
  <c r="DF136" i="11"/>
  <c r="CX136" i="11"/>
  <c r="CW136" i="11"/>
  <c r="CV136" i="11"/>
  <c r="CU136" i="11"/>
  <c r="CT136" i="11"/>
  <c r="CS136" i="11"/>
  <c r="CR136" i="11"/>
  <c r="CQ136" i="11"/>
  <c r="CP136" i="11"/>
  <c r="CO136" i="11"/>
  <c r="CN136" i="11"/>
  <c r="CM136" i="11"/>
  <c r="CL136" i="11"/>
  <c r="CK136" i="11"/>
  <c r="CC136" i="11"/>
  <c r="C136" i="11"/>
  <c r="B136" i="11"/>
  <c r="DG136" i="11" s="1"/>
  <c r="EC135" i="11"/>
  <c r="EB135" i="11"/>
  <c r="EA135" i="11"/>
  <c r="DZ135" i="11"/>
  <c r="DY135" i="11"/>
  <c r="DX135" i="11"/>
  <c r="DW135" i="11"/>
  <c r="DV135" i="11"/>
  <c r="DU135" i="11"/>
  <c r="DT135" i="11"/>
  <c r="DS135" i="11"/>
  <c r="DR135" i="11"/>
  <c r="DQ135" i="11"/>
  <c r="DP135" i="11"/>
  <c r="DO135" i="11"/>
  <c r="DN135" i="11"/>
  <c r="DM135" i="11"/>
  <c r="DL135" i="11"/>
  <c r="DK135" i="11"/>
  <c r="DJ135" i="11"/>
  <c r="CX135" i="11"/>
  <c r="CW135" i="11"/>
  <c r="CV135" i="11"/>
  <c r="CU135" i="11"/>
  <c r="CT135" i="11"/>
  <c r="CS135" i="11"/>
  <c r="CR135" i="11"/>
  <c r="CQ135" i="11"/>
  <c r="CP135" i="11"/>
  <c r="CO135" i="11"/>
  <c r="CN135" i="11"/>
  <c r="CM135" i="11"/>
  <c r="CL135" i="11"/>
  <c r="CK135" i="11"/>
  <c r="CJ135" i="11"/>
  <c r="CI135" i="11"/>
  <c r="CH135" i="11"/>
  <c r="CG135" i="11"/>
  <c r="CF135" i="11"/>
  <c r="CE135" i="11"/>
  <c r="C135" i="11"/>
  <c r="B135" i="11"/>
  <c r="DH135" i="11" s="1"/>
  <c r="EC134" i="11"/>
  <c r="EB134" i="11"/>
  <c r="EA134" i="11"/>
  <c r="DZ134" i="11"/>
  <c r="DY134" i="11"/>
  <c r="DX134" i="11"/>
  <c r="DW134" i="11"/>
  <c r="DV134" i="11"/>
  <c r="DU134" i="11"/>
  <c r="DT134" i="11"/>
  <c r="DS134" i="11"/>
  <c r="DR134" i="11"/>
  <c r="DQ134" i="11"/>
  <c r="DP134" i="11"/>
  <c r="DO134" i="11"/>
  <c r="DI134" i="11"/>
  <c r="CX134" i="11"/>
  <c r="CW134" i="11"/>
  <c r="CV134" i="11"/>
  <c r="CU134" i="11"/>
  <c r="CT134" i="11"/>
  <c r="CS134" i="11"/>
  <c r="CR134" i="11"/>
  <c r="CQ134" i="11"/>
  <c r="CP134" i="11"/>
  <c r="CO134" i="11"/>
  <c r="CN134" i="11"/>
  <c r="CM134" i="11"/>
  <c r="CL134" i="11"/>
  <c r="CK134" i="11"/>
  <c r="CJ134" i="11"/>
  <c r="CC134" i="11"/>
  <c r="C134" i="11"/>
  <c r="B134" i="11"/>
  <c r="DF134" i="11" s="1"/>
  <c r="EC133" i="11"/>
  <c r="EB133" i="11"/>
  <c r="EA133" i="11"/>
  <c r="DZ133" i="11"/>
  <c r="DY133" i="11"/>
  <c r="DX133" i="11"/>
  <c r="DW133" i="11"/>
  <c r="DV133" i="11"/>
  <c r="DU133" i="11"/>
  <c r="DT133" i="11"/>
  <c r="DS133" i="11"/>
  <c r="DR133" i="11"/>
  <c r="DQ133" i="11"/>
  <c r="DP133" i="11"/>
  <c r="CX133" i="11"/>
  <c r="CW133" i="11"/>
  <c r="CV133" i="11"/>
  <c r="CU133" i="11"/>
  <c r="CT133" i="11"/>
  <c r="CS133" i="11"/>
  <c r="CR133" i="11"/>
  <c r="CQ133" i="11"/>
  <c r="CP133" i="11"/>
  <c r="CO133" i="11"/>
  <c r="CN133" i="11"/>
  <c r="CM133" i="11"/>
  <c r="CL133" i="11"/>
  <c r="CK133" i="11"/>
  <c r="C133" i="11"/>
  <c r="B133" i="11"/>
  <c r="DF133" i="11" s="1"/>
  <c r="DL132" i="11"/>
  <c r="DK132" i="11"/>
  <c r="DJ132" i="11"/>
  <c r="DI132" i="11"/>
  <c r="CG132" i="11"/>
  <c r="CF132" i="11"/>
  <c r="CE132" i="11"/>
  <c r="CC132" i="11"/>
  <c r="C132" i="11"/>
  <c r="B132" i="11"/>
  <c r="DF132" i="11" s="1"/>
  <c r="EC131" i="11"/>
  <c r="EB131" i="11"/>
  <c r="EA131" i="11"/>
  <c r="DZ131" i="11"/>
  <c r="DY131" i="11"/>
  <c r="DX131" i="11"/>
  <c r="DW131" i="11"/>
  <c r="DV131" i="11"/>
  <c r="DU131" i="11"/>
  <c r="DT131" i="11"/>
  <c r="DS131" i="11"/>
  <c r="DR131" i="11"/>
  <c r="DQ131" i="11"/>
  <c r="DP131" i="11"/>
  <c r="DO131" i="11"/>
  <c r="DN131" i="11"/>
  <c r="DM131" i="11"/>
  <c r="DL131" i="11"/>
  <c r="DK131" i="11"/>
  <c r="DJ131" i="11"/>
  <c r="CX131" i="11"/>
  <c r="CW131" i="11"/>
  <c r="CV131" i="11"/>
  <c r="CU131" i="11"/>
  <c r="CT131" i="11"/>
  <c r="CS131" i="11"/>
  <c r="CR131" i="11"/>
  <c r="CQ131" i="11"/>
  <c r="CP131" i="11"/>
  <c r="CO131" i="11"/>
  <c r="CN131" i="11"/>
  <c r="CM131" i="11"/>
  <c r="CL131" i="11"/>
  <c r="CK131" i="11"/>
  <c r="CJ131" i="11"/>
  <c r="CI131" i="11"/>
  <c r="CH131" i="11"/>
  <c r="CG131" i="11"/>
  <c r="CF131" i="11"/>
  <c r="CE131" i="11"/>
  <c r="C131" i="11"/>
  <c r="B131" i="11"/>
  <c r="DH131" i="11" s="1"/>
  <c r="EC130" i="11"/>
  <c r="EB130" i="11"/>
  <c r="EA130" i="11"/>
  <c r="DZ130" i="11"/>
  <c r="DY130" i="11"/>
  <c r="DX130" i="11"/>
  <c r="DW130" i="11"/>
  <c r="DV130" i="11"/>
  <c r="DU130" i="11"/>
  <c r="DT130" i="11"/>
  <c r="DS130" i="11"/>
  <c r="DR130" i="11"/>
  <c r="DQ130" i="11"/>
  <c r="DP130" i="11"/>
  <c r="DO130" i="11"/>
  <c r="DI130" i="11"/>
  <c r="CX130" i="11"/>
  <c r="CW130" i="11"/>
  <c r="CV130" i="11"/>
  <c r="CU130" i="11"/>
  <c r="CT130" i="11"/>
  <c r="CS130" i="11"/>
  <c r="CR130" i="11"/>
  <c r="CQ130" i="11"/>
  <c r="CP130" i="11"/>
  <c r="CO130" i="11"/>
  <c r="CN130" i="11"/>
  <c r="CM130" i="11"/>
  <c r="CL130" i="11"/>
  <c r="CK130" i="11"/>
  <c r="CJ130" i="11"/>
  <c r="CC130" i="11"/>
  <c r="C130" i="11"/>
  <c r="B130" i="11"/>
  <c r="DF130" i="11" s="1"/>
  <c r="EC129" i="11"/>
  <c r="EB129" i="11"/>
  <c r="EA129" i="11"/>
  <c r="DZ129" i="11"/>
  <c r="DY129" i="11"/>
  <c r="DX129" i="11"/>
  <c r="DW129" i="11"/>
  <c r="DV129" i="11"/>
  <c r="DU129" i="11"/>
  <c r="DT129" i="11"/>
  <c r="DS129" i="11"/>
  <c r="DR129" i="11"/>
  <c r="DQ129" i="11"/>
  <c r="DP129" i="11"/>
  <c r="DO129" i="11"/>
  <c r="DI129" i="11"/>
  <c r="DF129" i="11"/>
  <c r="CX129" i="11"/>
  <c r="CW129" i="11"/>
  <c r="CV129" i="11"/>
  <c r="CU129" i="11"/>
  <c r="CT129" i="11"/>
  <c r="CS129" i="11"/>
  <c r="CR129" i="11"/>
  <c r="CQ129" i="11"/>
  <c r="CP129" i="11"/>
  <c r="CO129" i="11"/>
  <c r="CN129" i="11"/>
  <c r="CM129" i="11"/>
  <c r="CL129" i="11"/>
  <c r="CK129" i="11"/>
  <c r="CJ129" i="11"/>
  <c r="CD129" i="11"/>
  <c r="CC129" i="11"/>
  <c r="C129" i="11"/>
  <c r="B129" i="11"/>
  <c r="DG129" i="11" s="1"/>
  <c r="EC128" i="11"/>
  <c r="EB128" i="11"/>
  <c r="EA128" i="11"/>
  <c r="DZ128" i="11"/>
  <c r="DY128" i="11"/>
  <c r="DX128" i="11"/>
  <c r="DW128" i="11"/>
  <c r="DV128" i="11"/>
  <c r="DU128" i="11"/>
  <c r="DT128" i="11"/>
  <c r="DS128" i="11"/>
  <c r="DR128" i="11"/>
  <c r="DQ128" i="11"/>
  <c r="DP128" i="11"/>
  <c r="DO128" i="11"/>
  <c r="DG128" i="11"/>
  <c r="DF128" i="11"/>
  <c r="CX128" i="11"/>
  <c r="CW128" i="11"/>
  <c r="CV128" i="11"/>
  <c r="CU128" i="11"/>
  <c r="CT128" i="11"/>
  <c r="CS128" i="11"/>
  <c r="CR128" i="11"/>
  <c r="CQ128" i="11"/>
  <c r="CP128" i="11"/>
  <c r="CO128" i="11"/>
  <c r="CN128" i="11"/>
  <c r="CM128" i="11"/>
  <c r="CL128" i="11"/>
  <c r="CK128" i="11"/>
  <c r="CJ128" i="11"/>
  <c r="CD128" i="11"/>
  <c r="CA128" i="11"/>
  <c r="C128" i="11"/>
  <c r="B128" i="11"/>
  <c r="DH128" i="11" s="1"/>
  <c r="EC127" i="11"/>
  <c r="EB127" i="11"/>
  <c r="EA127" i="11"/>
  <c r="DZ127" i="11"/>
  <c r="DY127" i="11"/>
  <c r="DX127" i="11"/>
  <c r="DW127" i="11"/>
  <c r="DV127" i="11"/>
  <c r="DU127" i="11"/>
  <c r="DT127" i="11"/>
  <c r="DS127" i="11"/>
  <c r="DR127" i="11"/>
  <c r="DQ127" i="11"/>
  <c r="DP127" i="11"/>
  <c r="DO127" i="11"/>
  <c r="CX127" i="11"/>
  <c r="CW127" i="11"/>
  <c r="CV127" i="11"/>
  <c r="CU127" i="11"/>
  <c r="CT127" i="11"/>
  <c r="CS127" i="11"/>
  <c r="CR127" i="11"/>
  <c r="CQ127" i="11"/>
  <c r="CP127" i="11"/>
  <c r="CO127" i="11"/>
  <c r="CN127" i="11"/>
  <c r="CM127" i="11"/>
  <c r="CL127" i="11"/>
  <c r="CK127" i="11"/>
  <c r="CJ127" i="11"/>
  <c r="C127" i="11"/>
  <c r="B127" i="11"/>
  <c r="DI127" i="11" s="1"/>
  <c r="EC126" i="11"/>
  <c r="EB126" i="11"/>
  <c r="EA126" i="11"/>
  <c r="DZ126" i="11"/>
  <c r="DY126" i="11"/>
  <c r="DX126" i="11"/>
  <c r="DW126" i="11"/>
  <c r="DV126" i="11"/>
  <c r="DU126" i="11"/>
  <c r="DT126" i="11"/>
  <c r="DS126" i="11"/>
  <c r="DR126" i="11"/>
  <c r="DQ126" i="11"/>
  <c r="DP126" i="11"/>
  <c r="DO126" i="11"/>
  <c r="DI126" i="11"/>
  <c r="CX126" i="11"/>
  <c r="CW126" i="11"/>
  <c r="CV126" i="11"/>
  <c r="CU126" i="11"/>
  <c r="CT126" i="11"/>
  <c r="CS126" i="11"/>
  <c r="CR126" i="11"/>
  <c r="CQ126" i="11"/>
  <c r="CP126" i="11"/>
  <c r="CO126" i="11"/>
  <c r="CN126" i="11"/>
  <c r="CM126" i="11"/>
  <c r="CL126" i="11"/>
  <c r="CK126" i="11"/>
  <c r="CJ126" i="11"/>
  <c r="CC126" i="11"/>
  <c r="C126" i="11"/>
  <c r="B126" i="11"/>
  <c r="DF126" i="11" s="1"/>
  <c r="EC125" i="11"/>
  <c r="EB125" i="11"/>
  <c r="EA125" i="11"/>
  <c r="DZ125" i="11"/>
  <c r="DY125" i="11"/>
  <c r="DX125" i="11"/>
  <c r="DW125" i="11"/>
  <c r="DV125" i="11"/>
  <c r="DU125" i="11"/>
  <c r="DT125" i="11"/>
  <c r="DS125" i="11"/>
  <c r="DR125" i="11"/>
  <c r="DQ125" i="11"/>
  <c r="DP125" i="11"/>
  <c r="DO125" i="11"/>
  <c r="DI125" i="11"/>
  <c r="DF125" i="11"/>
  <c r="CX125" i="11"/>
  <c r="CW125" i="11"/>
  <c r="CV125" i="11"/>
  <c r="CU125" i="11"/>
  <c r="CT125" i="11"/>
  <c r="CS125" i="11"/>
  <c r="CR125" i="11"/>
  <c r="CQ125" i="11"/>
  <c r="CP125" i="11"/>
  <c r="CO125" i="11"/>
  <c r="CN125" i="11"/>
  <c r="CM125" i="11"/>
  <c r="CL125" i="11"/>
  <c r="CK125" i="11"/>
  <c r="CJ125" i="11"/>
  <c r="CD125" i="11"/>
  <c r="CC125" i="11"/>
  <c r="C125" i="11"/>
  <c r="B125" i="11"/>
  <c r="DG125" i="11" s="1"/>
  <c r="EC124" i="11"/>
  <c r="EB124" i="11"/>
  <c r="EA124" i="11"/>
  <c r="DZ124" i="11"/>
  <c r="DY124" i="11"/>
  <c r="DX124" i="11"/>
  <c r="DW124" i="11"/>
  <c r="DV124" i="11"/>
  <c r="DU124" i="11"/>
  <c r="DT124" i="11"/>
  <c r="DS124" i="11"/>
  <c r="DR124" i="11"/>
  <c r="DQ124" i="11"/>
  <c r="DP124" i="11"/>
  <c r="DO124" i="11"/>
  <c r="DG124" i="11"/>
  <c r="DF124" i="11"/>
  <c r="CX124" i="11"/>
  <c r="CW124" i="11"/>
  <c r="CV124" i="11"/>
  <c r="CU124" i="11"/>
  <c r="CT124" i="11"/>
  <c r="CS124" i="11"/>
  <c r="CR124" i="11"/>
  <c r="CQ124" i="11"/>
  <c r="CP124" i="11"/>
  <c r="CO124" i="11"/>
  <c r="CN124" i="11"/>
  <c r="CM124" i="11"/>
  <c r="CL124" i="11"/>
  <c r="CK124" i="11"/>
  <c r="CJ124" i="11"/>
  <c r="CD124" i="11"/>
  <c r="CA124" i="11"/>
  <c r="C124" i="11"/>
  <c r="B124" i="11"/>
  <c r="DH124" i="11" s="1"/>
  <c r="EC123" i="11"/>
  <c r="EB123" i="11"/>
  <c r="EA123" i="11"/>
  <c r="DZ123" i="11"/>
  <c r="DY123" i="11"/>
  <c r="DX123" i="11"/>
  <c r="DW123" i="11"/>
  <c r="DV123" i="11"/>
  <c r="DU123" i="11"/>
  <c r="DT123" i="11"/>
  <c r="DS123" i="11"/>
  <c r="DR123" i="11"/>
  <c r="DQ123" i="11"/>
  <c r="DP123" i="11"/>
  <c r="DO123" i="11"/>
  <c r="CX123" i="11"/>
  <c r="CW123" i="11"/>
  <c r="CV123" i="11"/>
  <c r="CU123" i="11"/>
  <c r="CT123" i="11"/>
  <c r="CS123" i="11"/>
  <c r="CR123" i="11"/>
  <c r="CQ123" i="11"/>
  <c r="CP123" i="11"/>
  <c r="CO123" i="11"/>
  <c r="CN123" i="11"/>
  <c r="CM123" i="11"/>
  <c r="CL123" i="11"/>
  <c r="CK123" i="11"/>
  <c r="CJ123" i="11"/>
  <c r="C123" i="11"/>
  <c r="B123" i="11"/>
  <c r="DI123" i="11" s="1"/>
  <c r="EC118" i="11"/>
  <c r="EB118" i="11"/>
  <c r="EA118" i="11"/>
  <c r="DZ118" i="11"/>
  <c r="DY118" i="11"/>
  <c r="DX118" i="11"/>
  <c r="DW118" i="11"/>
  <c r="DV118" i="11"/>
  <c r="DU118" i="11"/>
  <c r="DT118" i="11"/>
  <c r="DS118" i="11"/>
  <c r="DR118" i="11"/>
  <c r="DQ118" i="11"/>
  <c r="DP118" i="11"/>
  <c r="DO118" i="11"/>
  <c r="DN118" i="11"/>
  <c r="DM118" i="11"/>
  <c r="DL118" i="11"/>
  <c r="DK118" i="11"/>
  <c r="DJ118" i="11"/>
  <c r="DI118" i="11"/>
  <c r="DF118" i="11"/>
  <c r="CX118" i="11"/>
  <c r="CW118" i="11"/>
  <c r="CV118" i="11"/>
  <c r="CU118" i="11"/>
  <c r="CT118" i="11"/>
  <c r="CS118" i="11"/>
  <c r="CR118" i="11"/>
  <c r="CQ118" i="11"/>
  <c r="CP118" i="11"/>
  <c r="CO118" i="11"/>
  <c r="CN118" i="11"/>
  <c r="CM118" i="11"/>
  <c r="CL118" i="11"/>
  <c r="CK118" i="11"/>
  <c r="CJ118" i="11"/>
  <c r="CI118" i="11"/>
  <c r="CH118" i="11"/>
  <c r="CG118" i="11"/>
  <c r="CF118" i="11"/>
  <c r="CE118" i="11"/>
  <c r="CD118" i="11"/>
  <c r="CA118" i="11"/>
  <c r="C118" i="11"/>
  <c r="B118" i="11"/>
  <c r="DG118" i="11" s="1"/>
  <c r="EC117" i="11"/>
  <c r="EB117" i="11"/>
  <c r="EA117" i="11"/>
  <c r="DZ117" i="11"/>
  <c r="DY117" i="11"/>
  <c r="DX117" i="11"/>
  <c r="DW117" i="11"/>
  <c r="DV117" i="11"/>
  <c r="DU117" i="11"/>
  <c r="DT117" i="11"/>
  <c r="DS117" i="11"/>
  <c r="DR117" i="11"/>
  <c r="DQ117" i="11"/>
  <c r="DP117" i="11"/>
  <c r="DO117" i="11"/>
  <c r="DN117" i="11"/>
  <c r="DM117" i="11"/>
  <c r="DL117" i="11"/>
  <c r="DK117" i="11"/>
  <c r="DJ117" i="11"/>
  <c r="DI117" i="11"/>
  <c r="DH117" i="11"/>
  <c r="CX117" i="11"/>
  <c r="CW117" i="11"/>
  <c r="CV117" i="11"/>
  <c r="CU117" i="11"/>
  <c r="CT117" i="11"/>
  <c r="CS117" i="11"/>
  <c r="CR117" i="11"/>
  <c r="CQ117" i="11"/>
  <c r="CP117" i="11"/>
  <c r="CO117" i="11"/>
  <c r="CN117" i="11"/>
  <c r="CM117" i="11"/>
  <c r="CL117" i="11"/>
  <c r="CK117" i="11"/>
  <c r="CJ117" i="11"/>
  <c r="CI117" i="11"/>
  <c r="CH117" i="11"/>
  <c r="CG117" i="11"/>
  <c r="CF117" i="11"/>
  <c r="CE117" i="11"/>
  <c r="CD117" i="11"/>
  <c r="CC117" i="11"/>
  <c r="C117" i="11"/>
  <c r="B117" i="11"/>
  <c r="DF117" i="11" s="1"/>
  <c r="EC116" i="11"/>
  <c r="EB116" i="11"/>
  <c r="EA116" i="11"/>
  <c r="DZ116" i="11"/>
  <c r="DY116" i="11"/>
  <c r="DX116" i="11"/>
  <c r="DW116" i="11"/>
  <c r="DV116" i="11"/>
  <c r="DU116" i="11"/>
  <c r="DT116" i="11"/>
  <c r="DS116" i="11"/>
  <c r="DR116" i="11"/>
  <c r="DQ116" i="11"/>
  <c r="DP116" i="11"/>
  <c r="DO116" i="11"/>
  <c r="DN116" i="11"/>
  <c r="DM116" i="11"/>
  <c r="DL116" i="11"/>
  <c r="DK116" i="11"/>
  <c r="DJ116" i="11"/>
  <c r="DH116" i="11"/>
  <c r="CX116" i="11"/>
  <c r="CW116" i="11"/>
  <c r="CV116" i="11"/>
  <c r="CU116" i="11"/>
  <c r="CT116" i="11"/>
  <c r="CS116" i="11"/>
  <c r="CR116" i="11"/>
  <c r="CQ116" i="11"/>
  <c r="CP116" i="11"/>
  <c r="CO116" i="11"/>
  <c r="CN116" i="11"/>
  <c r="CM116" i="11"/>
  <c r="CL116" i="11"/>
  <c r="CK116" i="11"/>
  <c r="CJ116" i="11"/>
  <c r="CI116" i="11"/>
  <c r="CH116" i="11"/>
  <c r="CG116" i="11"/>
  <c r="CF116" i="11"/>
  <c r="CE116" i="11"/>
  <c r="CC116" i="11"/>
  <c r="C116" i="11"/>
  <c r="B116" i="11"/>
  <c r="DI116" i="11" s="1"/>
  <c r="DY115" i="11"/>
  <c r="DX115" i="11"/>
  <c r="DW115" i="11"/>
  <c r="DV115" i="11"/>
  <c r="DU115" i="11"/>
  <c r="DT115" i="11"/>
  <c r="DS115" i="11"/>
  <c r="DR115" i="11"/>
  <c r="DQ115" i="11"/>
  <c r="DP115" i="11"/>
  <c r="CT115" i="11"/>
  <c r="CS115" i="11"/>
  <c r="CR115" i="11"/>
  <c r="CQ115" i="11"/>
  <c r="CP115" i="11"/>
  <c r="CO115" i="11"/>
  <c r="CN115" i="11"/>
  <c r="CM115" i="11"/>
  <c r="CL115" i="11"/>
  <c r="CK115" i="11"/>
  <c r="C115" i="11"/>
  <c r="B115" i="11"/>
  <c r="DF115" i="11" s="1"/>
  <c r="EC114" i="11"/>
  <c r="EB114" i="11"/>
  <c r="EA114" i="11"/>
  <c r="DZ114" i="11"/>
  <c r="DY114" i="11"/>
  <c r="DX114" i="11"/>
  <c r="DW114" i="11"/>
  <c r="DV114" i="11"/>
  <c r="DU114" i="11"/>
  <c r="DT114" i="11"/>
  <c r="DS114" i="11"/>
  <c r="DR114" i="11"/>
  <c r="DQ114" i="11"/>
  <c r="DP114" i="11"/>
  <c r="DH114" i="11"/>
  <c r="DG114" i="11"/>
  <c r="CX114" i="11"/>
  <c r="CW114" i="11"/>
  <c r="CV114" i="11"/>
  <c r="CU114" i="11"/>
  <c r="CT114" i="11"/>
  <c r="CS114" i="11"/>
  <c r="CR114" i="11"/>
  <c r="CQ114" i="11"/>
  <c r="CP114" i="11"/>
  <c r="CO114" i="11"/>
  <c r="CN114" i="11"/>
  <c r="CM114" i="11"/>
  <c r="CL114" i="11"/>
  <c r="CK114" i="11"/>
  <c r="CD114" i="11"/>
  <c r="CA114" i="11"/>
  <c r="C114" i="11"/>
  <c r="B114" i="11"/>
  <c r="DI114" i="11" s="1"/>
  <c r="EC113" i="11"/>
  <c r="EB113" i="11"/>
  <c r="EA113" i="11"/>
  <c r="DZ113" i="11"/>
  <c r="DY113" i="11"/>
  <c r="DX113" i="11"/>
  <c r="DW113" i="11"/>
  <c r="DV113" i="11"/>
  <c r="DU113" i="11"/>
  <c r="DT113" i="11"/>
  <c r="DS113" i="11"/>
  <c r="DR113" i="11"/>
  <c r="DQ113" i="11"/>
  <c r="DP113" i="11"/>
  <c r="DO113" i="11"/>
  <c r="DN113" i="11"/>
  <c r="DM113" i="11"/>
  <c r="DL113" i="11"/>
  <c r="DK113" i="11"/>
  <c r="DJ113" i="11"/>
  <c r="DI113" i="11"/>
  <c r="DH113" i="11"/>
  <c r="CX113" i="11"/>
  <c r="CW113" i="11"/>
  <c r="CV113" i="11"/>
  <c r="CU113" i="11"/>
  <c r="CT113" i="11"/>
  <c r="CS113" i="11"/>
  <c r="CR113" i="11"/>
  <c r="CQ113" i="11"/>
  <c r="CP113" i="11"/>
  <c r="CO113" i="11"/>
  <c r="CN113" i="11"/>
  <c r="CM113" i="11"/>
  <c r="CL113" i="11"/>
  <c r="CK113" i="11"/>
  <c r="CJ113" i="11"/>
  <c r="CI113" i="11"/>
  <c r="CH113" i="11"/>
  <c r="CG113" i="11"/>
  <c r="CF113" i="11"/>
  <c r="CE113" i="11"/>
  <c r="CD113" i="11"/>
  <c r="CC113" i="11"/>
  <c r="C113" i="11"/>
  <c r="B113" i="11"/>
  <c r="DF113" i="11" s="1"/>
  <c r="EC112" i="11"/>
  <c r="EB112" i="11"/>
  <c r="EA112" i="11"/>
  <c r="DZ112" i="11"/>
  <c r="DY112" i="11"/>
  <c r="DX112" i="11"/>
  <c r="DW112" i="11"/>
  <c r="DV112" i="11"/>
  <c r="DU112" i="11"/>
  <c r="DT112" i="11"/>
  <c r="DS112" i="11"/>
  <c r="DR112" i="11"/>
  <c r="DQ112" i="11"/>
  <c r="DP112" i="11"/>
  <c r="DO112" i="11"/>
  <c r="DG112" i="11"/>
  <c r="DF112" i="11"/>
  <c r="CX112" i="11"/>
  <c r="CW112" i="11"/>
  <c r="CV112" i="11"/>
  <c r="CU112" i="11"/>
  <c r="CT112" i="11"/>
  <c r="CS112" i="11"/>
  <c r="CR112" i="11"/>
  <c r="CQ112" i="11"/>
  <c r="CP112" i="11"/>
  <c r="CO112" i="11"/>
  <c r="CN112" i="11"/>
  <c r="CM112" i="11"/>
  <c r="CL112" i="11"/>
  <c r="CK112" i="11"/>
  <c r="CJ112" i="11"/>
  <c r="CD112" i="11"/>
  <c r="CA112" i="11"/>
  <c r="C112" i="11"/>
  <c r="B112" i="11"/>
  <c r="DH112" i="11" s="1"/>
  <c r="EC111" i="11"/>
  <c r="EB111" i="11"/>
  <c r="EA111" i="11"/>
  <c r="DZ111" i="11"/>
  <c r="DY111" i="11"/>
  <c r="DX111" i="11"/>
  <c r="DW111" i="11"/>
  <c r="DV111" i="11"/>
  <c r="DU111" i="11"/>
  <c r="DT111" i="11"/>
  <c r="DS111" i="11"/>
  <c r="DR111" i="11"/>
  <c r="DQ111" i="11"/>
  <c r="DP111" i="11"/>
  <c r="DG111" i="11"/>
  <c r="DF111" i="11"/>
  <c r="CX111" i="11"/>
  <c r="CW111" i="11"/>
  <c r="CV111" i="11"/>
  <c r="CU111" i="11"/>
  <c r="CT111" i="11"/>
  <c r="CS111" i="11"/>
  <c r="CR111" i="11"/>
  <c r="CQ111" i="11"/>
  <c r="CP111" i="11"/>
  <c r="CO111" i="11"/>
  <c r="CN111" i="11"/>
  <c r="CM111" i="11"/>
  <c r="CL111" i="11"/>
  <c r="CK111" i="11"/>
  <c r="CD111" i="11"/>
  <c r="CC111" i="11"/>
  <c r="C111" i="11"/>
  <c r="B111" i="11"/>
  <c r="DH111" i="11" s="1"/>
  <c r="DL110" i="11"/>
  <c r="DK110" i="11"/>
  <c r="DJ110" i="11"/>
  <c r="DG110" i="11"/>
  <c r="DF110" i="11"/>
  <c r="CG110" i="11"/>
  <c r="CF110" i="11"/>
  <c r="CE110" i="11"/>
  <c r="CD110" i="11"/>
  <c r="CC110" i="11"/>
  <c r="CA110" i="11"/>
  <c r="C110" i="11"/>
  <c r="B110" i="11"/>
  <c r="DH110" i="11" s="1"/>
  <c r="EC109" i="11"/>
  <c r="EB109" i="11"/>
  <c r="EA109" i="11"/>
  <c r="DZ109" i="11"/>
  <c r="DY109" i="11"/>
  <c r="DX109" i="11"/>
  <c r="DW109" i="11"/>
  <c r="DV109" i="11"/>
  <c r="DU109" i="11"/>
  <c r="DT109" i="11"/>
  <c r="DS109" i="11"/>
  <c r="DR109" i="11"/>
  <c r="DQ109" i="11"/>
  <c r="DP109" i="11"/>
  <c r="DO109" i="11"/>
  <c r="DN109" i="11"/>
  <c r="DM109" i="11"/>
  <c r="DL109" i="11"/>
  <c r="DK109" i="11"/>
  <c r="DJ109" i="11"/>
  <c r="DI109" i="11"/>
  <c r="DH109" i="11"/>
  <c r="CX109" i="11"/>
  <c r="CW109" i="11"/>
  <c r="CV109" i="11"/>
  <c r="CU109" i="11"/>
  <c r="CT109" i="11"/>
  <c r="CS109" i="11"/>
  <c r="CR109" i="11"/>
  <c r="CQ109" i="11"/>
  <c r="CP109" i="11"/>
  <c r="CO109" i="11"/>
  <c r="CN109" i="11"/>
  <c r="CM109" i="11"/>
  <c r="CL109" i="11"/>
  <c r="CK109" i="11"/>
  <c r="CJ109" i="11"/>
  <c r="CI109" i="11"/>
  <c r="CH109" i="11"/>
  <c r="CG109" i="11"/>
  <c r="CF109" i="11"/>
  <c r="CE109" i="11"/>
  <c r="CD109" i="11"/>
  <c r="CC109" i="11"/>
  <c r="C109" i="11"/>
  <c r="B109" i="11"/>
  <c r="DF109" i="11" s="1"/>
  <c r="EC108" i="11"/>
  <c r="EB108" i="11"/>
  <c r="EA108" i="11"/>
  <c r="DZ108" i="11"/>
  <c r="DY108" i="11"/>
  <c r="DX108" i="11"/>
  <c r="DW108" i="11"/>
  <c r="DV108" i="11"/>
  <c r="DU108" i="11"/>
  <c r="DT108" i="11"/>
  <c r="DS108" i="11"/>
  <c r="DR108" i="11"/>
  <c r="DQ108" i="11"/>
  <c r="DP108" i="11"/>
  <c r="DO108" i="11"/>
  <c r="DG108" i="11"/>
  <c r="DF108" i="11"/>
  <c r="CX108" i="11"/>
  <c r="CW108" i="11"/>
  <c r="CV108" i="11"/>
  <c r="CU108" i="11"/>
  <c r="CT108" i="11"/>
  <c r="CS108" i="11"/>
  <c r="CR108" i="11"/>
  <c r="CQ108" i="11"/>
  <c r="CP108" i="11"/>
  <c r="CO108" i="11"/>
  <c r="CN108" i="11"/>
  <c r="CM108" i="11"/>
  <c r="CL108" i="11"/>
  <c r="CK108" i="11"/>
  <c r="CJ108" i="11"/>
  <c r="CD108" i="11"/>
  <c r="CA108" i="11"/>
  <c r="C108" i="11"/>
  <c r="B108" i="11"/>
  <c r="DH108" i="11" s="1"/>
  <c r="EC107" i="11"/>
  <c r="EB107" i="11"/>
  <c r="EA107" i="11"/>
  <c r="DZ107" i="11"/>
  <c r="DY107" i="11"/>
  <c r="DX107" i="11"/>
  <c r="DW107" i="11"/>
  <c r="DV107" i="11"/>
  <c r="DU107" i="11"/>
  <c r="DT107" i="11"/>
  <c r="DS107" i="11"/>
  <c r="DR107" i="11"/>
  <c r="DQ107" i="11"/>
  <c r="DP107" i="11"/>
  <c r="DO107" i="11"/>
  <c r="CX107" i="11"/>
  <c r="CW107" i="11"/>
  <c r="CV107" i="11"/>
  <c r="CU107" i="11"/>
  <c r="CT107" i="11"/>
  <c r="CS107" i="11"/>
  <c r="CR107" i="11"/>
  <c r="CQ107" i="11"/>
  <c r="CP107" i="11"/>
  <c r="CO107" i="11"/>
  <c r="CN107" i="11"/>
  <c r="CM107" i="11"/>
  <c r="CL107" i="11"/>
  <c r="CK107" i="11"/>
  <c r="CJ107" i="11"/>
  <c r="C107" i="11"/>
  <c r="B107" i="11"/>
  <c r="DI107" i="11" s="1"/>
  <c r="EC106" i="11"/>
  <c r="EB106" i="11"/>
  <c r="EA106" i="11"/>
  <c r="DZ106" i="11"/>
  <c r="DY106" i="11"/>
  <c r="DX106" i="11"/>
  <c r="DW106" i="11"/>
  <c r="DV106" i="11"/>
  <c r="DU106" i="11"/>
  <c r="DT106" i="11"/>
  <c r="DS106" i="11"/>
  <c r="DR106" i="11"/>
  <c r="DQ106" i="11"/>
  <c r="DP106" i="11"/>
  <c r="DO106" i="11"/>
  <c r="DI106" i="11"/>
  <c r="CX106" i="11"/>
  <c r="CW106" i="11"/>
  <c r="CV106" i="11"/>
  <c r="CU106" i="11"/>
  <c r="CT106" i="11"/>
  <c r="CS106" i="11"/>
  <c r="CR106" i="11"/>
  <c r="CQ106" i="11"/>
  <c r="CP106" i="11"/>
  <c r="CO106" i="11"/>
  <c r="CN106" i="11"/>
  <c r="CM106" i="11"/>
  <c r="CL106" i="11"/>
  <c r="CK106" i="11"/>
  <c r="CJ106" i="11"/>
  <c r="CC106" i="11"/>
  <c r="C106" i="11"/>
  <c r="B106" i="11"/>
  <c r="DF106" i="11" s="1"/>
  <c r="EC105" i="11"/>
  <c r="EB105" i="11"/>
  <c r="EA105" i="11"/>
  <c r="DZ105" i="11"/>
  <c r="DY105" i="11"/>
  <c r="DX105" i="11"/>
  <c r="DW105" i="11"/>
  <c r="DV105" i="11"/>
  <c r="DU105" i="11"/>
  <c r="DT105" i="11"/>
  <c r="DS105" i="11"/>
  <c r="DR105" i="11"/>
  <c r="DQ105" i="11"/>
  <c r="DP105" i="11"/>
  <c r="DO105" i="11"/>
  <c r="DI105" i="11"/>
  <c r="DF105" i="11"/>
  <c r="CX105" i="11"/>
  <c r="CW105" i="11"/>
  <c r="CV105" i="11"/>
  <c r="CU105" i="11"/>
  <c r="CT105" i="11"/>
  <c r="CS105" i="11"/>
  <c r="CR105" i="11"/>
  <c r="CQ105" i="11"/>
  <c r="CP105" i="11"/>
  <c r="CO105" i="11"/>
  <c r="CN105" i="11"/>
  <c r="CM105" i="11"/>
  <c r="CL105" i="11"/>
  <c r="CK105" i="11"/>
  <c r="CJ105" i="11"/>
  <c r="CD105" i="11"/>
  <c r="CC105" i="11"/>
  <c r="C105" i="11"/>
  <c r="B105" i="11"/>
  <c r="DG105" i="11" s="1"/>
  <c r="EC104" i="11"/>
  <c r="EB104" i="11"/>
  <c r="EA104" i="11"/>
  <c r="DZ104" i="11"/>
  <c r="DY104" i="11"/>
  <c r="DX104" i="11"/>
  <c r="DW104" i="11"/>
  <c r="DV104" i="11"/>
  <c r="DU104" i="11"/>
  <c r="DT104" i="11"/>
  <c r="DS104" i="11"/>
  <c r="DR104" i="11"/>
  <c r="DQ104" i="11"/>
  <c r="DP104" i="11"/>
  <c r="DO104" i="11"/>
  <c r="DG104" i="11"/>
  <c r="DF104" i="11"/>
  <c r="CX104" i="11"/>
  <c r="CW104" i="11"/>
  <c r="CV104" i="11"/>
  <c r="CU104" i="11"/>
  <c r="CT104" i="11"/>
  <c r="CS104" i="11"/>
  <c r="CR104" i="11"/>
  <c r="CQ104" i="11"/>
  <c r="CP104" i="11"/>
  <c r="CO104" i="11"/>
  <c r="CN104" i="11"/>
  <c r="CM104" i="11"/>
  <c r="CL104" i="11"/>
  <c r="CK104" i="11"/>
  <c r="CJ104" i="11"/>
  <c r="CD104" i="11"/>
  <c r="CA104" i="11"/>
  <c r="C104" i="11"/>
  <c r="B104" i="11"/>
  <c r="DH104" i="11" s="1"/>
  <c r="EC103" i="11"/>
  <c r="EB103" i="11"/>
  <c r="EA103" i="11"/>
  <c r="DZ103" i="11"/>
  <c r="DY103" i="11"/>
  <c r="DX103" i="11"/>
  <c r="DW103" i="11"/>
  <c r="DV103" i="11"/>
  <c r="DU103" i="11"/>
  <c r="DT103" i="11"/>
  <c r="DS103" i="11"/>
  <c r="DR103" i="11"/>
  <c r="DQ103" i="11"/>
  <c r="DP103" i="11"/>
  <c r="DO103" i="11"/>
  <c r="CX103" i="11"/>
  <c r="CW103" i="11"/>
  <c r="CV103" i="11"/>
  <c r="CU103" i="11"/>
  <c r="CT103" i="11"/>
  <c r="CS103" i="11"/>
  <c r="CR103" i="11"/>
  <c r="CQ103" i="11"/>
  <c r="CP103" i="11"/>
  <c r="CO103" i="11"/>
  <c r="CN103" i="11"/>
  <c r="CM103" i="11"/>
  <c r="CL103" i="11"/>
  <c r="CK103" i="11"/>
  <c r="CJ103" i="11"/>
  <c r="C103" i="11"/>
  <c r="B103" i="11"/>
  <c r="DI103" i="11" s="1"/>
  <c r="EC102" i="11"/>
  <c r="EB102" i="11"/>
  <c r="EA102" i="11"/>
  <c r="DZ102" i="11"/>
  <c r="DY102" i="11"/>
  <c r="DX102" i="11"/>
  <c r="DW102" i="11"/>
  <c r="DV102" i="11"/>
  <c r="DU102" i="11"/>
  <c r="DT102" i="11"/>
  <c r="DS102" i="11"/>
  <c r="DR102" i="11"/>
  <c r="DQ102" i="11"/>
  <c r="DP102" i="11"/>
  <c r="DO102" i="11"/>
  <c r="DI102" i="11"/>
  <c r="CX102" i="11"/>
  <c r="CW102" i="11"/>
  <c r="CV102" i="11"/>
  <c r="CU102" i="11"/>
  <c r="CT102" i="11"/>
  <c r="CS102" i="11"/>
  <c r="CR102" i="11"/>
  <c r="CQ102" i="11"/>
  <c r="CP102" i="11"/>
  <c r="CO102" i="11"/>
  <c r="CN102" i="11"/>
  <c r="CM102" i="11"/>
  <c r="CL102" i="11"/>
  <c r="CK102" i="11"/>
  <c r="CJ102" i="11"/>
  <c r="CC102" i="11"/>
  <c r="C102" i="11"/>
  <c r="B102" i="11"/>
  <c r="DF102" i="11" s="1"/>
  <c r="EC101" i="11"/>
  <c r="EB101" i="11"/>
  <c r="EA101" i="11"/>
  <c r="DZ101" i="11"/>
  <c r="DY101" i="11"/>
  <c r="DX101" i="11"/>
  <c r="DW101" i="11"/>
  <c r="DV101" i="11"/>
  <c r="DU101" i="11"/>
  <c r="DT101" i="11"/>
  <c r="DS101" i="11"/>
  <c r="DR101" i="11"/>
  <c r="DQ101" i="11"/>
  <c r="DP101" i="11"/>
  <c r="DO101" i="11"/>
  <c r="DI101" i="11"/>
  <c r="DF101" i="11"/>
  <c r="CX101" i="11"/>
  <c r="CW101" i="11"/>
  <c r="CV101" i="11"/>
  <c r="CU101" i="11"/>
  <c r="CT101" i="11"/>
  <c r="CS101" i="11"/>
  <c r="CR101" i="11"/>
  <c r="CQ101" i="11"/>
  <c r="CP101" i="11"/>
  <c r="CO101" i="11"/>
  <c r="CN101" i="11"/>
  <c r="CM101" i="11"/>
  <c r="CL101" i="11"/>
  <c r="CK101" i="11"/>
  <c r="CJ101" i="11"/>
  <c r="CD101" i="11"/>
  <c r="CC101" i="11"/>
  <c r="C101" i="11"/>
  <c r="B101" i="11"/>
  <c r="DG101" i="11" s="1"/>
  <c r="EC96" i="11"/>
  <c r="EB96" i="11"/>
  <c r="EA96" i="11"/>
  <c r="DZ96" i="11"/>
  <c r="DY96" i="11"/>
  <c r="DX96" i="11"/>
  <c r="DW96" i="11"/>
  <c r="DV96" i="11"/>
  <c r="DU96" i="11"/>
  <c r="DT96" i="11"/>
  <c r="DS96" i="11"/>
  <c r="DR96" i="11"/>
  <c r="DQ96" i="11"/>
  <c r="DP96" i="11"/>
  <c r="DO96" i="11"/>
  <c r="DN96" i="11"/>
  <c r="DM96" i="11"/>
  <c r="DL96" i="11"/>
  <c r="DK96" i="11"/>
  <c r="DJ96" i="11"/>
  <c r="DH96" i="11"/>
  <c r="CX96" i="11"/>
  <c r="CW96" i="11"/>
  <c r="CV96" i="11"/>
  <c r="CU96" i="11"/>
  <c r="CT96" i="11"/>
  <c r="CS96" i="11"/>
  <c r="CR96" i="11"/>
  <c r="CQ96" i="11"/>
  <c r="CP96" i="11"/>
  <c r="CO96" i="11"/>
  <c r="CN96" i="11"/>
  <c r="CM96" i="11"/>
  <c r="CL96" i="11"/>
  <c r="CK96" i="11"/>
  <c r="CJ96" i="11"/>
  <c r="CI96" i="11"/>
  <c r="CH96" i="11"/>
  <c r="CG96" i="11"/>
  <c r="CF96" i="11"/>
  <c r="CE96" i="11"/>
  <c r="CC96" i="11"/>
  <c r="C96" i="11"/>
  <c r="B96" i="11"/>
  <c r="DI96" i="11" s="1"/>
  <c r="EC95" i="11"/>
  <c r="EB95" i="11"/>
  <c r="EA95" i="11"/>
  <c r="DZ95" i="11"/>
  <c r="DY95" i="11"/>
  <c r="DX95" i="11"/>
  <c r="DW95" i="11"/>
  <c r="DV95" i="11"/>
  <c r="DU95" i="11"/>
  <c r="DT95" i="11"/>
  <c r="DS95" i="11"/>
  <c r="DR95" i="11"/>
  <c r="DQ95" i="11"/>
  <c r="DP95" i="11"/>
  <c r="DO95" i="11"/>
  <c r="DN95" i="11"/>
  <c r="DM95" i="11"/>
  <c r="DL95" i="11"/>
  <c r="DK95" i="11"/>
  <c r="DJ95" i="11"/>
  <c r="CX95" i="11"/>
  <c r="CW95" i="11"/>
  <c r="CV95" i="11"/>
  <c r="CU95" i="11"/>
  <c r="CT95" i="11"/>
  <c r="CS95" i="11"/>
  <c r="CR95" i="11"/>
  <c r="CQ95" i="11"/>
  <c r="CP95" i="11"/>
  <c r="CO95" i="11"/>
  <c r="CN95" i="11"/>
  <c r="CM95" i="11"/>
  <c r="CL95" i="11"/>
  <c r="CK95" i="11"/>
  <c r="CJ95" i="11"/>
  <c r="CI95" i="11"/>
  <c r="CH95" i="11"/>
  <c r="CG95" i="11"/>
  <c r="CF95" i="11"/>
  <c r="CE95" i="11"/>
  <c r="C95" i="11"/>
  <c r="B95" i="11"/>
  <c r="DH95" i="11" s="1"/>
  <c r="EC94" i="11"/>
  <c r="EB94" i="11"/>
  <c r="EA94" i="11"/>
  <c r="DZ94" i="11"/>
  <c r="DY94" i="11"/>
  <c r="DX94" i="11"/>
  <c r="DW94" i="11"/>
  <c r="DV94" i="11"/>
  <c r="DU94" i="11"/>
  <c r="DT94" i="11"/>
  <c r="DS94" i="11"/>
  <c r="DR94" i="11"/>
  <c r="DQ94" i="11"/>
  <c r="DP94" i="11"/>
  <c r="DO94" i="11"/>
  <c r="DN94" i="11"/>
  <c r="DM94" i="11"/>
  <c r="DL94" i="11"/>
  <c r="DK94" i="11"/>
  <c r="DJ94" i="11"/>
  <c r="DI94" i="11"/>
  <c r="DF94" i="11"/>
  <c r="CX94" i="11"/>
  <c r="CW94" i="11"/>
  <c r="CV94" i="11"/>
  <c r="CU94" i="11"/>
  <c r="CT94" i="11"/>
  <c r="CS94" i="11"/>
  <c r="CR94" i="11"/>
  <c r="CQ94" i="11"/>
  <c r="CP94" i="11"/>
  <c r="CO94" i="11"/>
  <c r="CN94" i="11"/>
  <c r="CM94" i="11"/>
  <c r="CL94" i="11"/>
  <c r="CK94" i="11"/>
  <c r="CJ94" i="11"/>
  <c r="CI94" i="11"/>
  <c r="CH94" i="11"/>
  <c r="CG94" i="11"/>
  <c r="CF94" i="11"/>
  <c r="CE94" i="11"/>
  <c r="CD94" i="11"/>
  <c r="CA94" i="11"/>
  <c r="C94" i="11"/>
  <c r="B94" i="11"/>
  <c r="DG94" i="11" s="1"/>
  <c r="DY93" i="11"/>
  <c r="DX93" i="11"/>
  <c r="DW93" i="11"/>
  <c r="DV93" i="11"/>
  <c r="DU93" i="11"/>
  <c r="DT93" i="11"/>
  <c r="DS93" i="11"/>
  <c r="DR93" i="11"/>
  <c r="DQ93" i="11"/>
  <c r="DP93" i="11"/>
  <c r="DG93" i="11"/>
  <c r="DF93" i="11"/>
  <c r="CT93" i="11"/>
  <c r="CS93" i="11"/>
  <c r="CR93" i="11"/>
  <c r="CQ93" i="11"/>
  <c r="CP93" i="11"/>
  <c r="CO93" i="11"/>
  <c r="CN93" i="11"/>
  <c r="CM93" i="11"/>
  <c r="CL93" i="11"/>
  <c r="CK93" i="11"/>
  <c r="CD93" i="11"/>
  <c r="CC93" i="11"/>
  <c r="CA93" i="11"/>
  <c r="C93" i="11"/>
  <c r="B93" i="11"/>
  <c r="DH93" i="11" s="1"/>
  <c r="EC92" i="11"/>
  <c r="EB92" i="11"/>
  <c r="EA92" i="11"/>
  <c r="DZ92" i="11"/>
  <c r="DY92" i="11"/>
  <c r="DX92" i="11"/>
  <c r="DW92" i="11"/>
  <c r="DV92" i="11"/>
  <c r="DU92" i="11"/>
  <c r="DT92" i="11"/>
  <c r="DS92" i="11"/>
  <c r="DR92" i="11"/>
  <c r="DQ92" i="11"/>
  <c r="DP92" i="11"/>
  <c r="DF92" i="11"/>
  <c r="CX92" i="11"/>
  <c r="CW92" i="11"/>
  <c r="CV92" i="11"/>
  <c r="CU92" i="11"/>
  <c r="CT92" i="11"/>
  <c r="CS92" i="11"/>
  <c r="CR92" i="11"/>
  <c r="CQ92" i="11"/>
  <c r="CP92" i="11"/>
  <c r="CO92" i="11"/>
  <c r="CN92" i="11"/>
  <c r="CM92" i="11"/>
  <c r="CL92" i="11"/>
  <c r="CK92" i="11"/>
  <c r="CC92" i="11"/>
  <c r="C92" i="11"/>
  <c r="B92" i="11"/>
  <c r="DG92" i="11" s="1"/>
  <c r="EC91" i="11"/>
  <c r="EB91" i="11"/>
  <c r="EA91" i="11"/>
  <c r="DZ91" i="11"/>
  <c r="DY91" i="11"/>
  <c r="DX91" i="11"/>
  <c r="DW91" i="11"/>
  <c r="DV91" i="11"/>
  <c r="DU91" i="11"/>
  <c r="DT91" i="11"/>
  <c r="DS91" i="11"/>
  <c r="DR91" i="11"/>
  <c r="DQ91" i="11"/>
  <c r="DP91" i="11"/>
  <c r="DO91" i="11"/>
  <c r="DN91" i="11"/>
  <c r="DM91" i="11"/>
  <c r="DL91" i="11"/>
  <c r="DK91" i="11"/>
  <c r="DJ91" i="11"/>
  <c r="CX91" i="11"/>
  <c r="CW91" i="11"/>
  <c r="CV91" i="11"/>
  <c r="CU91" i="11"/>
  <c r="CT91" i="11"/>
  <c r="CS91" i="11"/>
  <c r="CR91" i="11"/>
  <c r="CQ91" i="11"/>
  <c r="CP91" i="11"/>
  <c r="CO91" i="11"/>
  <c r="CN91" i="11"/>
  <c r="CM91" i="11"/>
  <c r="CL91" i="11"/>
  <c r="CK91" i="11"/>
  <c r="CJ91" i="11"/>
  <c r="CI91" i="11"/>
  <c r="CH91" i="11"/>
  <c r="CG91" i="11"/>
  <c r="CF91" i="11"/>
  <c r="CE91" i="11"/>
  <c r="C91" i="11"/>
  <c r="B91" i="11"/>
  <c r="DH91" i="11" s="1"/>
  <c r="EC90" i="11"/>
  <c r="EB90" i="11"/>
  <c r="EA90" i="11"/>
  <c r="DZ90" i="11"/>
  <c r="DY90" i="11"/>
  <c r="DX90" i="11"/>
  <c r="DW90" i="11"/>
  <c r="DV90" i="11"/>
  <c r="DU90" i="11"/>
  <c r="DT90" i="11"/>
  <c r="DS90" i="11"/>
  <c r="DR90" i="11"/>
  <c r="DQ90" i="11"/>
  <c r="DP90" i="11"/>
  <c r="DO90" i="11"/>
  <c r="DI90" i="11"/>
  <c r="CX90" i="11"/>
  <c r="CW90" i="11"/>
  <c r="CV90" i="11"/>
  <c r="CU90" i="11"/>
  <c r="CT90" i="11"/>
  <c r="CS90" i="11"/>
  <c r="CR90" i="11"/>
  <c r="CQ90" i="11"/>
  <c r="CP90" i="11"/>
  <c r="CO90" i="11"/>
  <c r="CN90" i="11"/>
  <c r="CM90" i="11"/>
  <c r="CL90" i="11"/>
  <c r="CK90" i="11"/>
  <c r="CJ90" i="11"/>
  <c r="CC90" i="11"/>
  <c r="C90" i="11"/>
  <c r="B90" i="11"/>
  <c r="DF90" i="11" s="1"/>
  <c r="EC89" i="11"/>
  <c r="EB89" i="11"/>
  <c r="EA89" i="11"/>
  <c r="DZ89" i="11"/>
  <c r="DY89" i="11"/>
  <c r="DX89" i="11"/>
  <c r="DW89" i="11"/>
  <c r="DV89" i="11"/>
  <c r="DU89" i="11"/>
  <c r="DT89" i="11"/>
  <c r="DS89" i="11"/>
  <c r="DR89" i="11"/>
  <c r="DQ89" i="11"/>
  <c r="DP89" i="11"/>
  <c r="CX89" i="11"/>
  <c r="CW89" i="11"/>
  <c r="CV89" i="11"/>
  <c r="CU89" i="11"/>
  <c r="CT89" i="11"/>
  <c r="CS89" i="11"/>
  <c r="CR89" i="11"/>
  <c r="CQ89" i="11"/>
  <c r="CP89" i="11"/>
  <c r="CO89" i="11"/>
  <c r="CN89" i="11"/>
  <c r="CM89" i="11"/>
  <c r="CL89" i="11"/>
  <c r="CK89" i="11"/>
  <c r="C89" i="11"/>
  <c r="B89" i="11"/>
  <c r="DF89" i="11" s="1"/>
  <c r="DL88" i="11"/>
  <c r="DK88" i="11"/>
  <c r="DJ88" i="11"/>
  <c r="DI88" i="11"/>
  <c r="CG88" i="11"/>
  <c r="CF88" i="11"/>
  <c r="CE88" i="11"/>
  <c r="CC88" i="11"/>
  <c r="C88" i="11"/>
  <c r="B88" i="11"/>
  <c r="DF88" i="11" s="1"/>
  <c r="EC87" i="11"/>
  <c r="EB87" i="11"/>
  <c r="EA87" i="11"/>
  <c r="DZ87" i="11"/>
  <c r="DY87" i="11"/>
  <c r="DX87" i="11"/>
  <c r="DW87" i="11"/>
  <c r="DV87" i="11"/>
  <c r="DU87" i="11"/>
  <c r="DT87" i="11"/>
  <c r="DS87" i="11"/>
  <c r="DR87" i="11"/>
  <c r="DQ87" i="11"/>
  <c r="DP87" i="11"/>
  <c r="DO87" i="11"/>
  <c r="DN87" i="11"/>
  <c r="DM87" i="11"/>
  <c r="DL87" i="11"/>
  <c r="DK87" i="11"/>
  <c r="DJ87" i="11"/>
  <c r="CX87" i="11"/>
  <c r="CW87" i="11"/>
  <c r="CV87" i="11"/>
  <c r="CU87" i="11"/>
  <c r="CT87" i="11"/>
  <c r="CS87" i="11"/>
  <c r="CR87" i="11"/>
  <c r="CQ87" i="11"/>
  <c r="CP87" i="11"/>
  <c r="CO87" i="11"/>
  <c r="CN87" i="11"/>
  <c r="CM87" i="11"/>
  <c r="CL87" i="11"/>
  <c r="CK87" i="11"/>
  <c r="CJ87" i="11"/>
  <c r="CI87" i="11"/>
  <c r="CH87" i="11"/>
  <c r="CG87" i="11"/>
  <c r="CF87" i="11"/>
  <c r="CE87" i="11"/>
  <c r="C87" i="11"/>
  <c r="B87" i="11"/>
  <c r="DH87" i="11" s="1"/>
  <c r="EC86" i="11"/>
  <c r="EB86" i="11"/>
  <c r="EA86" i="11"/>
  <c r="DZ86" i="11"/>
  <c r="DY86" i="11"/>
  <c r="DX86" i="11"/>
  <c r="DW86" i="11"/>
  <c r="DV86" i="11"/>
  <c r="DU86" i="11"/>
  <c r="DT86" i="11"/>
  <c r="DS86" i="11"/>
  <c r="DR86" i="11"/>
  <c r="DQ86" i="11"/>
  <c r="DP86" i="11"/>
  <c r="DO86" i="11"/>
  <c r="DI86" i="11"/>
  <c r="CX86" i="11"/>
  <c r="CW86" i="11"/>
  <c r="CV86" i="11"/>
  <c r="CU86" i="11"/>
  <c r="CT86" i="11"/>
  <c r="CS86" i="11"/>
  <c r="CR86" i="11"/>
  <c r="CQ86" i="11"/>
  <c r="CP86" i="11"/>
  <c r="CO86" i="11"/>
  <c r="CN86" i="11"/>
  <c r="CM86" i="11"/>
  <c r="CL86" i="11"/>
  <c r="CK86" i="11"/>
  <c r="CJ86" i="11"/>
  <c r="CC86" i="11"/>
  <c r="C86" i="11"/>
  <c r="B86" i="11"/>
  <c r="DF86" i="11" s="1"/>
  <c r="EC85" i="11"/>
  <c r="EB85" i="11"/>
  <c r="EA85" i="11"/>
  <c r="DZ85" i="11"/>
  <c r="DY85" i="11"/>
  <c r="DX85" i="11"/>
  <c r="DW85" i="11"/>
  <c r="DV85" i="11"/>
  <c r="DU85" i="11"/>
  <c r="DT85" i="11"/>
  <c r="DS85" i="11"/>
  <c r="DR85" i="11"/>
  <c r="DQ85" i="11"/>
  <c r="DP85" i="11"/>
  <c r="DO85" i="11"/>
  <c r="DI85" i="11"/>
  <c r="DF85" i="11"/>
  <c r="CX85" i="11"/>
  <c r="CW85" i="11"/>
  <c r="CV85" i="11"/>
  <c r="CU85" i="11"/>
  <c r="CT85" i="11"/>
  <c r="CS85" i="11"/>
  <c r="CR85" i="11"/>
  <c r="CQ85" i="11"/>
  <c r="CP85" i="11"/>
  <c r="CO85" i="11"/>
  <c r="CN85" i="11"/>
  <c r="CM85" i="11"/>
  <c r="CL85" i="11"/>
  <c r="CK85" i="11"/>
  <c r="CJ85" i="11"/>
  <c r="CD85" i="11"/>
  <c r="CC85" i="11"/>
  <c r="C85" i="11"/>
  <c r="B85" i="11"/>
  <c r="DG85" i="11" s="1"/>
  <c r="EC84" i="11"/>
  <c r="EB84" i="11"/>
  <c r="EA84" i="11"/>
  <c r="DZ84" i="11"/>
  <c r="DY84" i="11"/>
  <c r="DX84" i="11"/>
  <c r="DW84" i="11"/>
  <c r="DV84" i="11"/>
  <c r="DU84" i="11"/>
  <c r="DT84" i="11"/>
  <c r="DS84" i="11"/>
  <c r="DR84" i="11"/>
  <c r="DQ84" i="11"/>
  <c r="DP84" i="11"/>
  <c r="DO84" i="11"/>
  <c r="DG84" i="11"/>
  <c r="DF84" i="11"/>
  <c r="CX84" i="11"/>
  <c r="CW84" i="11"/>
  <c r="CV84" i="11"/>
  <c r="CU84" i="11"/>
  <c r="CT84" i="11"/>
  <c r="CS84" i="11"/>
  <c r="CR84" i="11"/>
  <c r="CQ84" i="11"/>
  <c r="CP84" i="11"/>
  <c r="CO84" i="11"/>
  <c r="CN84" i="11"/>
  <c r="CM84" i="11"/>
  <c r="CL84" i="11"/>
  <c r="CK84" i="11"/>
  <c r="CJ84" i="11"/>
  <c r="CD84" i="11"/>
  <c r="CA84" i="11"/>
  <c r="C84" i="11"/>
  <c r="B84" i="11"/>
  <c r="DH84" i="11" s="1"/>
  <c r="EC83" i="11"/>
  <c r="EB83" i="11"/>
  <c r="EA83" i="11"/>
  <c r="DZ83" i="11"/>
  <c r="DY83" i="11"/>
  <c r="DX83" i="11"/>
  <c r="DW83" i="11"/>
  <c r="DV83" i="11"/>
  <c r="DU83" i="11"/>
  <c r="DT83" i="11"/>
  <c r="DS83" i="11"/>
  <c r="DR83" i="11"/>
  <c r="DQ83" i="11"/>
  <c r="DP83" i="11"/>
  <c r="DO83" i="11"/>
  <c r="CX83" i="11"/>
  <c r="CW83" i="11"/>
  <c r="CV83" i="11"/>
  <c r="CU83" i="11"/>
  <c r="CT83" i="11"/>
  <c r="CS83" i="11"/>
  <c r="CR83" i="11"/>
  <c r="CQ83" i="11"/>
  <c r="CP83" i="11"/>
  <c r="CO83" i="11"/>
  <c r="CN83" i="11"/>
  <c r="CM83" i="11"/>
  <c r="CL83" i="11"/>
  <c r="CK83" i="11"/>
  <c r="CJ83" i="11"/>
  <c r="C83" i="11"/>
  <c r="B83" i="11"/>
  <c r="DI83" i="11" s="1"/>
  <c r="EC82" i="11"/>
  <c r="EB82" i="11"/>
  <c r="EA82" i="11"/>
  <c r="DZ82" i="11"/>
  <c r="DY82" i="11"/>
  <c r="DX82" i="11"/>
  <c r="DW82" i="11"/>
  <c r="DV82" i="11"/>
  <c r="DU82" i="11"/>
  <c r="DT82" i="11"/>
  <c r="DS82" i="11"/>
  <c r="DR82" i="11"/>
  <c r="DQ82" i="11"/>
  <c r="DP82" i="11"/>
  <c r="DO82" i="11"/>
  <c r="DI82" i="11"/>
  <c r="CX82" i="11"/>
  <c r="CW82" i="11"/>
  <c r="CV82" i="11"/>
  <c r="CU82" i="11"/>
  <c r="CT82" i="11"/>
  <c r="CS82" i="11"/>
  <c r="CR82" i="11"/>
  <c r="CQ82" i="11"/>
  <c r="CP82" i="11"/>
  <c r="CO82" i="11"/>
  <c r="CN82" i="11"/>
  <c r="CM82" i="11"/>
  <c r="CL82" i="11"/>
  <c r="CK82" i="11"/>
  <c r="CJ82" i="11"/>
  <c r="CC82" i="11"/>
  <c r="C82" i="11"/>
  <c r="B82" i="11"/>
  <c r="DF82" i="11" s="1"/>
  <c r="EC81" i="11"/>
  <c r="EB81" i="11"/>
  <c r="EA81" i="11"/>
  <c r="DZ81" i="11"/>
  <c r="DY81" i="11"/>
  <c r="DX81" i="11"/>
  <c r="DW81" i="11"/>
  <c r="DV81" i="11"/>
  <c r="DU81" i="11"/>
  <c r="DT81" i="11"/>
  <c r="DS81" i="11"/>
  <c r="DR81" i="11"/>
  <c r="DQ81" i="11"/>
  <c r="DP81" i="11"/>
  <c r="DO81" i="11"/>
  <c r="DI81" i="11"/>
  <c r="DF81" i="11"/>
  <c r="CX81" i="11"/>
  <c r="CW81" i="11"/>
  <c r="CV81" i="11"/>
  <c r="CU81" i="11"/>
  <c r="CT81" i="11"/>
  <c r="CS81" i="11"/>
  <c r="CR81" i="11"/>
  <c r="CQ81" i="11"/>
  <c r="CP81" i="11"/>
  <c r="CO81" i="11"/>
  <c r="CN81" i="11"/>
  <c r="CM81" i="11"/>
  <c r="CL81" i="11"/>
  <c r="CK81" i="11"/>
  <c r="CJ81" i="11"/>
  <c r="CD81" i="11"/>
  <c r="CC81" i="11"/>
  <c r="C81" i="11"/>
  <c r="B81" i="11"/>
  <c r="DG81" i="11" s="1"/>
  <c r="EC80" i="11"/>
  <c r="EB80" i="11"/>
  <c r="EA80" i="11"/>
  <c r="DZ80" i="11"/>
  <c r="DY80" i="11"/>
  <c r="DX80" i="11"/>
  <c r="DW80" i="11"/>
  <c r="DV80" i="11"/>
  <c r="DU80" i="11"/>
  <c r="DT80" i="11"/>
  <c r="DS80" i="11"/>
  <c r="DR80" i="11"/>
  <c r="DQ80" i="11"/>
  <c r="DP80" i="11"/>
  <c r="DO80" i="11"/>
  <c r="DG80" i="11"/>
  <c r="DF80" i="11"/>
  <c r="CX80" i="11"/>
  <c r="CW80" i="11"/>
  <c r="CV80" i="11"/>
  <c r="CU80" i="11"/>
  <c r="CT80" i="11"/>
  <c r="CS80" i="11"/>
  <c r="CR80" i="11"/>
  <c r="CQ80" i="11"/>
  <c r="CP80" i="11"/>
  <c r="CO80" i="11"/>
  <c r="CN80" i="11"/>
  <c r="CM80" i="11"/>
  <c r="CL80" i="11"/>
  <c r="CK80" i="11"/>
  <c r="CJ80" i="11"/>
  <c r="CD80" i="11"/>
  <c r="CC80" i="11"/>
  <c r="CA80" i="11"/>
  <c r="C80" i="11"/>
  <c r="B80" i="11"/>
  <c r="DH80" i="11" s="1"/>
  <c r="EC79" i="11"/>
  <c r="EB79" i="11"/>
  <c r="EA79" i="11"/>
  <c r="DZ79" i="11"/>
  <c r="DY79" i="11"/>
  <c r="DX79" i="11"/>
  <c r="DW79" i="11"/>
  <c r="DV79" i="11"/>
  <c r="DU79" i="11"/>
  <c r="DT79" i="11"/>
  <c r="DS79" i="11"/>
  <c r="DR79" i="11"/>
  <c r="DQ79" i="11"/>
  <c r="DP79" i="11"/>
  <c r="DO79" i="11"/>
  <c r="CX79" i="11"/>
  <c r="CW79" i="11"/>
  <c r="CV79" i="11"/>
  <c r="CU79" i="11"/>
  <c r="CT79" i="11"/>
  <c r="CS79" i="11"/>
  <c r="CR79" i="11"/>
  <c r="CQ79" i="11"/>
  <c r="CP79" i="11"/>
  <c r="CO79" i="11"/>
  <c r="CN79" i="11"/>
  <c r="CM79" i="11"/>
  <c r="CL79" i="11"/>
  <c r="CK79" i="11"/>
  <c r="CJ79" i="11"/>
  <c r="C79" i="11"/>
  <c r="B79" i="11"/>
  <c r="DI79" i="11" s="1"/>
  <c r="EC74" i="11"/>
  <c r="EB74" i="11"/>
  <c r="EA74" i="11"/>
  <c r="DZ74" i="11"/>
  <c r="DY74" i="11"/>
  <c r="DX74" i="11"/>
  <c r="DW74" i="11"/>
  <c r="DV74" i="11"/>
  <c r="DU74" i="11"/>
  <c r="DT74" i="11"/>
  <c r="DS74" i="11"/>
  <c r="DR74" i="11"/>
  <c r="DQ74" i="11"/>
  <c r="DP74" i="11"/>
  <c r="DO74" i="11"/>
  <c r="DN74" i="11"/>
  <c r="DM74" i="11"/>
  <c r="DL74" i="11"/>
  <c r="DK74" i="11"/>
  <c r="DJ74" i="11"/>
  <c r="DI74" i="11"/>
  <c r="DH74" i="11"/>
  <c r="DF74" i="11"/>
  <c r="CX74" i="11"/>
  <c r="CW74" i="11"/>
  <c r="CV74" i="11"/>
  <c r="CU74" i="11"/>
  <c r="CT74" i="11"/>
  <c r="CS74" i="11"/>
  <c r="CR74" i="11"/>
  <c r="CQ74" i="11"/>
  <c r="CP74" i="11"/>
  <c r="CO74" i="11"/>
  <c r="CN74" i="11"/>
  <c r="CM74" i="11"/>
  <c r="CL74" i="11"/>
  <c r="CK74" i="11"/>
  <c r="CJ74" i="11"/>
  <c r="CI74" i="11"/>
  <c r="CH74" i="11"/>
  <c r="CG74" i="11"/>
  <c r="CF74" i="11"/>
  <c r="CE74" i="11"/>
  <c r="CD74" i="11"/>
  <c r="CC74" i="11"/>
  <c r="CA74" i="11"/>
  <c r="C74" i="11"/>
  <c r="B74" i="11"/>
  <c r="DG74" i="11" s="1"/>
  <c r="EC73" i="11"/>
  <c r="EB73" i="11"/>
  <c r="EA73" i="11"/>
  <c r="DZ73" i="11"/>
  <c r="DY73" i="11"/>
  <c r="DX73" i="11"/>
  <c r="DW73" i="11"/>
  <c r="DV73" i="11"/>
  <c r="DU73" i="11"/>
  <c r="DT73" i="11"/>
  <c r="DS73" i="11"/>
  <c r="DR73" i="11"/>
  <c r="DQ73" i="11"/>
  <c r="DP73" i="11"/>
  <c r="DO73" i="11"/>
  <c r="DN73" i="11"/>
  <c r="DM73" i="11"/>
  <c r="DL73" i="11"/>
  <c r="DK73" i="11"/>
  <c r="DJ73" i="11"/>
  <c r="DI73" i="11"/>
  <c r="DH73" i="11"/>
  <c r="CX73" i="11"/>
  <c r="CW73" i="11"/>
  <c r="CV73" i="11"/>
  <c r="CU73" i="11"/>
  <c r="CT73" i="11"/>
  <c r="CS73" i="11"/>
  <c r="CR73" i="11"/>
  <c r="CQ73" i="11"/>
  <c r="CP73" i="11"/>
  <c r="CO73" i="11"/>
  <c r="CN73" i="11"/>
  <c r="CM73" i="11"/>
  <c r="CL73" i="11"/>
  <c r="CK73" i="11"/>
  <c r="CJ73" i="11"/>
  <c r="CI73" i="11"/>
  <c r="CH73" i="11"/>
  <c r="CG73" i="11"/>
  <c r="CF73" i="11"/>
  <c r="CE73" i="11"/>
  <c r="CD73" i="11"/>
  <c r="CC73" i="11"/>
  <c r="C73" i="11"/>
  <c r="B73" i="11"/>
  <c r="DF73" i="11" s="1"/>
  <c r="EC72" i="11"/>
  <c r="EB72" i="11"/>
  <c r="EA72" i="11"/>
  <c r="DZ72" i="11"/>
  <c r="DY72" i="11"/>
  <c r="DX72" i="11"/>
  <c r="DW72" i="11"/>
  <c r="DV72" i="11"/>
  <c r="DU72" i="11"/>
  <c r="DT72" i="11"/>
  <c r="DS72" i="11"/>
  <c r="DR72" i="11"/>
  <c r="DQ72" i="11"/>
  <c r="DP72" i="11"/>
  <c r="DO72" i="11"/>
  <c r="DN72" i="11"/>
  <c r="DM72" i="11"/>
  <c r="DL72" i="11"/>
  <c r="DK72" i="11"/>
  <c r="DJ72" i="11"/>
  <c r="DH72" i="11"/>
  <c r="CX72" i="11"/>
  <c r="CW72" i="11"/>
  <c r="CV72" i="11"/>
  <c r="CU72" i="11"/>
  <c r="CT72" i="11"/>
  <c r="CS72" i="11"/>
  <c r="CR72" i="11"/>
  <c r="CQ72" i="11"/>
  <c r="CP72" i="11"/>
  <c r="CO72" i="11"/>
  <c r="CN72" i="11"/>
  <c r="CM72" i="11"/>
  <c r="CL72" i="11"/>
  <c r="CK72" i="11"/>
  <c r="CJ72" i="11"/>
  <c r="CI72" i="11"/>
  <c r="CH72" i="11"/>
  <c r="CG72" i="11"/>
  <c r="CF72" i="11"/>
  <c r="CE72" i="11"/>
  <c r="CC72" i="11"/>
  <c r="C72" i="11"/>
  <c r="B72" i="11"/>
  <c r="DI72" i="11" s="1"/>
  <c r="DY71" i="11"/>
  <c r="DX71" i="11"/>
  <c r="DW71" i="11"/>
  <c r="DV71" i="11"/>
  <c r="DU71" i="11"/>
  <c r="DT71" i="11"/>
  <c r="DS71" i="11"/>
  <c r="DR71" i="11"/>
  <c r="DQ71" i="11"/>
  <c r="DP71" i="11"/>
  <c r="CT71" i="11"/>
  <c r="CS71" i="11"/>
  <c r="CR71" i="11"/>
  <c r="CQ71" i="11"/>
  <c r="CP71" i="11"/>
  <c r="CO71" i="11"/>
  <c r="CN71" i="11"/>
  <c r="CM71" i="11"/>
  <c r="CL71" i="11"/>
  <c r="CK71" i="11"/>
  <c r="C71" i="11"/>
  <c r="B71" i="11"/>
  <c r="DF71" i="11" s="1"/>
  <c r="EC70" i="11"/>
  <c r="EB70" i="11"/>
  <c r="EA70" i="11"/>
  <c r="DZ70" i="11"/>
  <c r="DY70" i="11"/>
  <c r="DX70" i="11"/>
  <c r="DW70" i="11"/>
  <c r="DV70" i="11"/>
  <c r="DU70" i="11"/>
  <c r="DT70" i="11"/>
  <c r="DS70" i="11"/>
  <c r="DR70" i="11"/>
  <c r="DQ70" i="11"/>
  <c r="DP70" i="11"/>
  <c r="DH70" i="11"/>
  <c r="DG70" i="11"/>
  <c r="DF70" i="11"/>
  <c r="CX70" i="11"/>
  <c r="CW70" i="11"/>
  <c r="CV70" i="11"/>
  <c r="CU70" i="11"/>
  <c r="CT70" i="11"/>
  <c r="CS70" i="11"/>
  <c r="CR70" i="11"/>
  <c r="CQ70" i="11"/>
  <c r="CP70" i="11"/>
  <c r="CO70" i="11"/>
  <c r="CN70" i="11"/>
  <c r="CM70" i="11"/>
  <c r="CL70" i="11"/>
  <c r="CK70" i="11"/>
  <c r="CD70" i="11"/>
  <c r="CC70" i="11"/>
  <c r="CA70" i="11"/>
  <c r="C70" i="11"/>
  <c r="B70" i="11"/>
  <c r="DI70" i="11" s="1"/>
  <c r="EC69" i="11"/>
  <c r="EB69" i="11"/>
  <c r="EA69" i="11"/>
  <c r="DZ69" i="11"/>
  <c r="DY69" i="11"/>
  <c r="DX69" i="11"/>
  <c r="DW69" i="11"/>
  <c r="DV69" i="11"/>
  <c r="DU69" i="11"/>
  <c r="DT69" i="11"/>
  <c r="DS69" i="11"/>
  <c r="DR69" i="11"/>
  <c r="DQ69" i="11"/>
  <c r="DP69" i="11"/>
  <c r="DO69" i="11"/>
  <c r="DN69" i="11"/>
  <c r="DM69" i="11"/>
  <c r="DL69" i="11"/>
  <c r="DK69" i="11"/>
  <c r="DJ69" i="11"/>
  <c r="DI69" i="11"/>
  <c r="DH69" i="11"/>
  <c r="CX69" i="11"/>
  <c r="CW69" i="11"/>
  <c r="CV69" i="11"/>
  <c r="CU69" i="11"/>
  <c r="CT69" i="11"/>
  <c r="CS69" i="11"/>
  <c r="CR69" i="11"/>
  <c r="CQ69" i="11"/>
  <c r="CP69" i="11"/>
  <c r="CO69" i="11"/>
  <c r="CN69" i="11"/>
  <c r="CM69" i="11"/>
  <c r="CL69" i="11"/>
  <c r="CK69" i="11"/>
  <c r="CJ69" i="11"/>
  <c r="CI69" i="11"/>
  <c r="CH69" i="11"/>
  <c r="CG69" i="11"/>
  <c r="CF69" i="11"/>
  <c r="CE69" i="11"/>
  <c r="CD69" i="11"/>
  <c r="CC69" i="11"/>
  <c r="C69" i="11"/>
  <c r="B69" i="11"/>
  <c r="DF69" i="11" s="1"/>
  <c r="EC68" i="11"/>
  <c r="EB68" i="11"/>
  <c r="EA68" i="11"/>
  <c r="DZ68" i="11"/>
  <c r="DY68" i="11"/>
  <c r="DX68" i="11"/>
  <c r="DW68" i="11"/>
  <c r="DV68" i="11"/>
  <c r="DU68" i="11"/>
  <c r="DT68" i="11"/>
  <c r="DS68" i="11"/>
  <c r="DR68" i="11"/>
  <c r="DQ68" i="11"/>
  <c r="DP68" i="11"/>
  <c r="DO68" i="11"/>
  <c r="DI68" i="11"/>
  <c r="DG68" i="11"/>
  <c r="DF68" i="11"/>
  <c r="CX68" i="11"/>
  <c r="CW68" i="11"/>
  <c r="CV68" i="11"/>
  <c r="CU68" i="11"/>
  <c r="CT68" i="11"/>
  <c r="CS68" i="11"/>
  <c r="CR68" i="11"/>
  <c r="CQ68" i="11"/>
  <c r="CP68" i="11"/>
  <c r="CO68" i="11"/>
  <c r="CN68" i="11"/>
  <c r="CM68" i="11"/>
  <c r="CL68" i="11"/>
  <c r="CK68" i="11"/>
  <c r="CJ68" i="11"/>
  <c r="CD68" i="11"/>
  <c r="CC68" i="11"/>
  <c r="CA68" i="11"/>
  <c r="C68" i="11"/>
  <c r="B68" i="11"/>
  <c r="DH68" i="11" s="1"/>
  <c r="EC67" i="11"/>
  <c r="EB67" i="11"/>
  <c r="EA67" i="11"/>
  <c r="DZ67" i="11"/>
  <c r="DY67" i="11"/>
  <c r="DX67" i="11"/>
  <c r="DW67" i="11"/>
  <c r="DV67" i="11"/>
  <c r="DU67" i="11"/>
  <c r="DT67" i="11"/>
  <c r="DS67" i="11"/>
  <c r="DR67" i="11"/>
  <c r="DQ67" i="11"/>
  <c r="DP67" i="11"/>
  <c r="DG67" i="11"/>
  <c r="DF67" i="11"/>
  <c r="CX67" i="11"/>
  <c r="CW67" i="11"/>
  <c r="CV67" i="11"/>
  <c r="CU67" i="11"/>
  <c r="CT67" i="11"/>
  <c r="CS67" i="11"/>
  <c r="CR67" i="11"/>
  <c r="CQ67" i="11"/>
  <c r="CP67" i="11"/>
  <c r="CO67" i="11"/>
  <c r="CN67" i="11"/>
  <c r="CM67" i="11"/>
  <c r="CL67" i="11"/>
  <c r="CK67" i="11"/>
  <c r="CD67" i="11"/>
  <c r="CC67" i="11"/>
  <c r="C67" i="11"/>
  <c r="B67" i="11"/>
  <c r="DH67" i="11" s="1"/>
  <c r="DL66" i="11"/>
  <c r="DK66" i="11"/>
  <c r="DJ66" i="11"/>
  <c r="DI66" i="11"/>
  <c r="DG66" i="11"/>
  <c r="DF66" i="11"/>
  <c r="CG66" i="11"/>
  <c r="CF66" i="11"/>
  <c r="CE66" i="11"/>
  <c r="CD66" i="11"/>
  <c r="CC66" i="11"/>
  <c r="CA66" i="11"/>
  <c r="C66" i="11"/>
  <c r="B66" i="11"/>
  <c r="DH66" i="11" s="1"/>
  <c r="EC65" i="11"/>
  <c r="EB65" i="11"/>
  <c r="EA65" i="11"/>
  <c r="DZ65" i="11"/>
  <c r="DY65" i="11"/>
  <c r="DX65" i="11"/>
  <c r="DW65" i="11"/>
  <c r="DV65" i="11"/>
  <c r="DU65" i="11"/>
  <c r="DT65" i="11"/>
  <c r="DS65" i="11"/>
  <c r="DR65" i="11"/>
  <c r="DQ65" i="11"/>
  <c r="DP65" i="11"/>
  <c r="DO65" i="11"/>
  <c r="DN65" i="11"/>
  <c r="DM65" i="11"/>
  <c r="DL65" i="11"/>
  <c r="DK65" i="11"/>
  <c r="DJ65" i="11"/>
  <c r="DI65" i="11"/>
  <c r="DH65" i="11"/>
  <c r="CX65" i="11"/>
  <c r="CW65" i="11"/>
  <c r="CV65" i="11"/>
  <c r="CU65" i="11"/>
  <c r="CT65" i="11"/>
  <c r="CS65" i="11"/>
  <c r="CR65" i="11"/>
  <c r="CQ65" i="11"/>
  <c r="CP65" i="11"/>
  <c r="CO65" i="11"/>
  <c r="CN65" i="11"/>
  <c r="CM65" i="11"/>
  <c r="CL65" i="11"/>
  <c r="CK65" i="11"/>
  <c r="CJ65" i="11"/>
  <c r="CI65" i="11"/>
  <c r="CH65" i="11"/>
  <c r="CG65" i="11"/>
  <c r="CF65" i="11"/>
  <c r="CE65" i="11"/>
  <c r="CD65" i="11"/>
  <c r="CC65" i="11"/>
  <c r="C65" i="11"/>
  <c r="B65" i="11"/>
  <c r="DF65" i="11" s="1"/>
  <c r="EC64" i="11"/>
  <c r="EB64" i="11"/>
  <c r="EA64" i="11"/>
  <c r="DZ64" i="11"/>
  <c r="DY64" i="11"/>
  <c r="DX64" i="11"/>
  <c r="DW64" i="11"/>
  <c r="DV64" i="11"/>
  <c r="DU64" i="11"/>
  <c r="DT64" i="11"/>
  <c r="DS64" i="11"/>
  <c r="DR64" i="11"/>
  <c r="DQ64" i="11"/>
  <c r="DP64" i="11"/>
  <c r="DO64" i="11"/>
  <c r="DI64" i="11"/>
  <c r="DG64" i="11"/>
  <c r="DF64" i="11"/>
  <c r="CX64" i="11"/>
  <c r="CW64" i="11"/>
  <c r="CV64" i="11"/>
  <c r="CU64" i="11"/>
  <c r="CT64" i="11"/>
  <c r="CS64" i="11"/>
  <c r="CR64" i="11"/>
  <c r="CQ64" i="11"/>
  <c r="CP64" i="11"/>
  <c r="CO64" i="11"/>
  <c r="CN64" i="11"/>
  <c r="CM64" i="11"/>
  <c r="CL64" i="11"/>
  <c r="CK64" i="11"/>
  <c r="CJ64" i="11"/>
  <c r="CD64" i="11"/>
  <c r="CC64" i="11"/>
  <c r="CA64" i="11"/>
  <c r="C64" i="11"/>
  <c r="B64" i="11"/>
  <c r="DH64" i="11" s="1"/>
  <c r="EC63" i="11"/>
  <c r="EB63" i="11"/>
  <c r="EA63" i="11"/>
  <c r="DZ63" i="11"/>
  <c r="DY63" i="11"/>
  <c r="DX63" i="11"/>
  <c r="DW63" i="11"/>
  <c r="DV63" i="11"/>
  <c r="DU63" i="11"/>
  <c r="DT63" i="11"/>
  <c r="DS63" i="11"/>
  <c r="DR63" i="11"/>
  <c r="DQ63" i="11"/>
  <c r="DP63" i="11"/>
  <c r="DO63" i="11"/>
  <c r="CX63" i="11"/>
  <c r="CW63" i="11"/>
  <c r="CV63" i="11"/>
  <c r="CU63" i="11"/>
  <c r="CT63" i="11"/>
  <c r="CS63" i="11"/>
  <c r="CR63" i="11"/>
  <c r="CQ63" i="11"/>
  <c r="CP63" i="11"/>
  <c r="CO63" i="11"/>
  <c r="CN63" i="11"/>
  <c r="CM63" i="11"/>
  <c r="CL63" i="11"/>
  <c r="CK63" i="11"/>
  <c r="CJ63" i="11"/>
  <c r="C63" i="11"/>
  <c r="B63" i="11"/>
  <c r="DI63" i="11" s="1"/>
  <c r="EC62" i="11"/>
  <c r="EB62" i="11"/>
  <c r="EA62" i="11"/>
  <c r="DZ62" i="11"/>
  <c r="DY62" i="11"/>
  <c r="DX62" i="11"/>
  <c r="DW62" i="11"/>
  <c r="DV62" i="11"/>
  <c r="DU62" i="11"/>
  <c r="DT62" i="11"/>
  <c r="DS62" i="11"/>
  <c r="DR62" i="11"/>
  <c r="DQ62" i="11"/>
  <c r="DP62" i="11"/>
  <c r="DO62" i="11"/>
  <c r="DI62" i="11"/>
  <c r="CX62" i="11"/>
  <c r="CW62" i="11"/>
  <c r="CV62" i="11"/>
  <c r="CU62" i="11"/>
  <c r="CT62" i="11"/>
  <c r="CS62" i="11"/>
  <c r="CR62" i="11"/>
  <c r="CQ62" i="11"/>
  <c r="CP62" i="11"/>
  <c r="CO62" i="11"/>
  <c r="CN62" i="11"/>
  <c r="CM62" i="11"/>
  <c r="CL62" i="11"/>
  <c r="CK62" i="11"/>
  <c r="CJ62" i="11"/>
  <c r="CC62" i="11"/>
  <c r="C62" i="11"/>
  <c r="B62" i="11"/>
  <c r="DF62" i="11" s="1"/>
  <c r="EC61" i="11"/>
  <c r="EB61" i="11"/>
  <c r="EA61" i="11"/>
  <c r="DZ61" i="11"/>
  <c r="DY61" i="11"/>
  <c r="DX61" i="11"/>
  <c r="DW61" i="11"/>
  <c r="DV61" i="11"/>
  <c r="DU61" i="11"/>
  <c r="DT61" i="11"/>
  <c r="DS61" i="11"/>
  <c r="DR61" i="11"/>
  <c r="DQ61" i="11"/>
  <c r="DP61" i="11"/>
  <c r="DO61" i="11"/>
  <c r="DI61" i="11"/>
  <c r="DF61" i="11"/>
  <c r="CX61" i="11"/>
  <c r="CW61" i="11"/>
  <c r="CV61" i="11"/>
  <c r="CU61" i="11"/>
  <c r="CT61" i="11"/>
  <c r="CS61" i="11"/>
  <c r="CR61" i="11"/>
  <c r="CQ61" i="11"/>
  <c r="CP61" i="11"/>
  <c r="CO61" i="11"/>
  <c r="CN61" i="11"/>
  <c r="CM61" i="11"/>
  <c r="CL61" i="11"/>
  <c r="CK61" i="11"/>
  <c r="CJ61" i="11"/>
  <c r="CD61" i="11"/>
  <c r="CC61" i="11"/>
  <c r="C61" i="11"/>
  <c r="B61" i="11"/>
  <c r="DG61" i="11" s="1"/>
  <c r="EC60" i="11"/>
  <c r="EB60" i="11"/>
  <c r="EA60" i="11"/>
  <c r="DZ60" i="11"/>
  <c r="DY60" i="11"/>
  <c r="DX60" i="11"/>
  <c r="DW60" i="11"/>
  <c r="DV60" i="11"/>
  <c r="DU60" i="11"/>
  <c r="DT60" i="11"/>
  <c r="DS60" i="11"/>
  <c r="DR60" i="11"/>
  <c r="DQ60" i="11"/>
  <c r="DP60" i="11"/>
  <c r="DO60" i="11"/>
  <c r="DI60" i="11"/>
  <c r="DG60" i="11"/>
  <c r="DF60" i="11"/>
  <c r="CX60" i="11"/>
  <c r="CW60" i="11"/>
  <c r="CV60" i="11"/>
  <c r="CU60" i="11"/>
  <c r="CT60" i="11"/>
  <c r="CS60" i="11"/>
  <c r="CR60" i="11"/>
  <c r="CQ60" i="11"/>
  <c r="CP60" i="11"/>
  <c r="CO60" i="11"/>
  <c r="CN60" i="11"/>
  <c r="CM60" i="11"/>
  <c r="CL60" i="11"/>
  <c r="CK60" i="11"/>
  <c r="CJ60" i="11"/>
  <c r="CD60" i="11"/>
  <c r="CC60" i="11"/>
  <c r="CA60" i="11"/>
  <c r="C60" i="11"/>
  <c r="B60" i="11"/>
  <c r="DH60" i="11" s="1"/>
  <c r="EC59" i="11"/>
  <c r="EB59" i="11"/>
  <c r="EA59" i="11"/>
  <c r="DZ59" i="11"/>
  <c r="DY59" i="11"/>
  <c r="DX59" i="11"/>
  <c r="DW59" i="11"/>
  <c r="DV59" i="11"/>
  <c r="DU59" i="11"/>
  <c r="DT59" i="11"/>
  <c r="DS59" i="11"/>
  <c r="DR59" i="11"/>
  <c r="DQ59" i="11"/>
  <c r="DP59" i="11"/>
  <c r="DO59" i="11"/>
  <c r="CX59" i="11"/>
  <c r="CW59" i="11"/>
  <c r="CV59" i="11"/>
  <c r="CU59" i="11"/>
  <c r="CT59" i="11"/>
  <c r="CS59" i="11"/>
  <c r="CR59" i="11"/>
  <c r="CQ59" i="11"/>
  <c r="CP59" i="11"/>
  <c r="CO59" i="11"/>
  <c r="CN59" i="11"/>
  <c r="CM59" i="11"/>
  <c r="CL59" i="11"/>
  <c r="CK59" i="11"/>
  <c r="CJ59" i="11"/>
  <c r="C59" i="11"/>
  <c r="B59" i="11"/>
  <c r="DI59" i="11" s="1"/>
  <c r="EC58" i="11"/>
  <c r="EB58" i="11"/>
  <c r="EA58" i="11"/>
  <c r="DZ58" i="11"/>
  <c r="DY58" i="11"/>
  <c r="DX58" i="11"/>
  <c r="DW58" i="11"/>
  <c r="DV58" i="11"/>
  <c r="DU58" i="11"/>
  <c r="DT58" i="11"/>
  <c r="DS58" i="11"/>
  <c r="DR58" i="11"/>
  <c r="DQ58" i="11"/>
  <c r="DP58" i="11"/>
  <c r="DO58" i="11"/>
  <c r="DI58" i="11"/>
  <c r="CX58" i="11"/>
  <c r="CW58" i="11"/>
  <c r="CV58" i="11"/>
  <c r="CU58" i="11"/>
  <c r="CT58" i="11"/>
  <c r="CS58" i="11"/>
  <c r="CR58" i="11"/>
  <c r="CQ58" i="11"/>
  <c r="CP58" i="11"/>
  <c r="CO58" i="11"/>
  <c r="CN58" i="11"/>
  <c r="CM58" i="11"/>
  <c r="CL58" i="11"/>
  <c r="CK58" i="11"/>
  <c r="CJ58" i="11"/>
  <c r="CC58" i="11"/>
  <c r="C58" i="11"/>
  <c r="B58" i="11"/>
  <c r="DF58" i="11" s="1"/>
  <c r="EC57" i="11"/>
  <c r="EB57" i="11"/>
  <c r="EA57" i="11"/>
  <c r="DZ57" i="11"/>
  <c r="DY57" i="11"/>
  <c r="DX57" i="11"/>
  <c r="DW57" i="11"/>
  <c r="DV57" i="11"/>
  <c r="DU57" i="11"/>
  <c r="DT57" i="11"/>
  <c r="DS57" i="11"/>
  <c r="DR57" i="11"/>
  <c r="DQ57" i="11"/>
  <c r="DP57" i="11"/>
  <c r="DO57" i="11"/>
  <c r="DI57" i="11"/>
  <c r="DF57" i="11"/>
  <c r="CX57" i="11"/>
  <c r="CW57" i="11"/>
  <c r="CV57" i="11"/>
  <c r="CU57" i="11"/>
  <c r="CT57" i="11"/>
  <c r="CS57" i="11"/>
  <c r="CR57" i="11"/>
  <c r="CQ57" i="11"/>
  <c r="CP57" i="11"/>
  <c r="CO57" i="11"/>
  <c r="CN57" i="11"/>
  <c r="CM57" i="11"/>
  <c r="CL57" i="11"/>
  <c r="CK57" i="11"/>
  <c r="CJ57" i="11"/>
  <c r="CD57" i="11"/>
  <c r="CC57" i="11"/>
  <c r="C57" i="11"/>
  <c r="B57" i="11"/>
  <c r="DG57" i="11" s="1"/>
  <c r="EC52" i="11"/>
  <c r="EB52" i="11"/>
  <c r="EA52" i="11"/>
  <c r="DZ52" i="11"/>
  <c r="DY52" i="11"/>
  <c r="DX52" i="11"/>
  <c r="DW52" i="11"/>
  <c r="DV52" i="11"/>
  <c r="DU52" i="11"/>
  <c r="DT52" i="11"/>
  <c r="DS52" i="11"/>
  <c r="DR52" i="11"/>
  <c r="DQ52" i="11"/>
  <c r="DP52" i="11"/>
  <c r="DO52" i="11"/>
  <c r="DN52" i="11"/>
  <c r="DM52" i="11"/>
  <c r="DL52" i="11"/>
  <c r="DK52" i="11"/>
  <c r="DJ52" i="11"/>
  <c r="DH52" i="11"/>
  <c r="CX52" i="11"/>
  <c r="CW52" i="11"/>
  <c r="CV52" i="11"/>
  <c r="CU52" i="11"/>
  <c r="CT52" i="11"/>
  <c r="CS52" i="11"/>
  <c r="CR52" i="11"/>
  <c r="CQ52" i="11"/>
  <c r="CP52" i="11"/>
  <c r="CO52" i="11"/>
  <c r="CN52" i="11"/>
  <c r="CM52" i="11"/>
  <c r="CL52" i="11"/>
  <c r="CK52" i="11"/>
  <c r="CJ52" i="11"/>
  <c r="CI52" i="11"/>
  <c r="CH52" i="11"/>
  <c r="CG52" i="11"/>
  <c r="CF52" i="11"/>
  <c r="CE52" i="11"/>
  <c r="CC52" i="11"/>
  <c r="C52" i="11"/>
  <c r="B52" i="11"/>
  <c r="DI52" i="11" s="1"/>
  <c r="EC51" i="11"/>
  <c r="EB51" i="11"/>
  <c r="EA51" i="11"/>
  <c r="DZ51" i="11"/>
  <c r="DY51" i="11"/>
  <c r="DX51" i="11"/>
  <c r="DW51" i="11"/>
  <c r="DV51" i="11"/>
  <c r="DU51" i="11"/>
  <c r="DT51" i="11"/>
  <c r="DS51" i="11"/>
  <c r="DR51" i="11"/>
  <c r="DQ51" i="11"/>
  <c r="DP51" i="11"/>
  <c r="DO51" i="11"/>
  <c r="DN51" i="11"/>
  <c r="DM51" i="11"/>
  <c r="DL51" i="11"/>
  <c r="DK51" i="11"/>
  <c r="DJ51" i="11"/>
  <c r="CX51" i="11"/>
  <c r="CW51" i="11"/>
  <c r="CV51" i="11"/>
  <c r="CU51" i="11"/>
  <c r="CT51" i="11"/>
  <c r="CS51" i="11"/>
  <c r="CR51" i="11"/>
  <c r="CQ51" i="11"/>
  <c r="CP51" i="11"/>
  <c r="CO51" i="11"/>
  <c r="CN51" i="11"/>
  <c r="CM51" i="11"/>
  <c r="CL51" i="11"/>
  <c r="CK51" i="11"/>
  <c r="CJ51" i="11"/>
  <c r="CI51" i="11"/>
  <c r="CH51" i="11"/>
  <c r="CG51" i="11"/>
  <c r="CF51" i="11"/>
  <c r="CE51" i="11"/>
  <c r="C51" i="11"/>
  <c r="B51" i="11"/>
  <c r="DH51" i="11" s="1"/>
  <c r="EC50" i="11"/>
  <c r="EB50" i="11"/>
  <c r="EA50" i="11"/>
  <c r="DZ50" i="11"/>
  <c r="DY50" i="11"/>
  <c r="DX50" i="11"/>
  <c r="DW50" i="11"/>
  <c r="DV50" i="11"/>
  <c r="DU50" i="11"/>
  <c r="DT50" i="11"/>
  <c r="DS50" i="11"/>
  <c r="DR50" i="11"/>
  <c r="DQ50" i="11"/>
  <c r="DP50" i="11"/>
  <c r="DO50" i="11"/>
  <c r="DN50" i="11"/>
  <c r="DM50" i="11"/>
  <c r="DL50" i="11"/>
  <c r="DK50" i="11"/>
  <c r="DJ50" i="11"/>
  <c r="DI50" i="11"/>
  <c r="DH50" i="11"/>
  <c r="DF50" i="11"/>
  <c r="CX50" i="11"/>
  <c r="CW50" i="11"/>
  <c r="CV50" i="11"/>
  <c r="CU50" i="11"/>
  <c r="CT50" i="11"/>
  <c r="CS50" i="11"/>
  <c r="CR50" i="11"/>
  <c r="CQ50" i="11"/>
  <c r="CP50" i="11"/>
  <c r="CO50" i="11"/>
  <c r="CN50" i="11"/>
  <c r="CM50" i="11"/>
  <c r="CL50" i="11"/>
  <c r="CK50" i="11"/>
  <c r="CJ50" i="11"/>
  <c r="CI50" i="11"/>
  <c r="CH50" i="11"/>
  <c r="CG50" i="11"/>
  <c r="CF50" i="11"/>
  <c r="CE50" i="11"/>
  <c r="CD50" i="11"/>
  <c r="CC50" i="11"/>
  <c r="CA50" i="11"/>
  <c r="C50" i="11"/>
  <c r="B50" i="11"/>
  <c r="DG50" i="11" s="1"/>
  <c r="DY49" i="11"/>
  <c r="DX49" i="11"/>
  <c r="DW49" i="11"/>
  <c r="DV49" i="11"/>
  <c r="DU49" i="11"/>
  <c r="DT49" i="11"/>
  <c r="DS49" i="11"/>
  <c r="DR49" i="11"/>
  <c r="DQ49" i="11"/>
  <c r="DP49" i="11"/>
  <c r="DG49" i="11"/>
  <c r="DF49" i="11"/>
  <c r="CT49" i="11"/>
  <c r="CS49" i="11"/>
  <c r="CR49" i="11"/>
  <c r="CQ49" i="11"/>
  <c r="CP49" i="11"/>
  <c r="CO49" i="11"/>
  <c r="CN49" i="11"/>
  <c r="CM49" i="11"/>
  <c r="CL49" i="11"/>
  <c r="CK49" i="11"/>
  <c r="CD49" i="11"/>
  <c r="CC49" i="11"/>
  <c r="C49" i="11"/>
  <c r="B49" i="11"/>
  <c r="DH49" i="11" s="1"/>
  <c r="EC48" i="11"/>
  <c r="EB48" i="11"/>
  <c r="EA48" i="11"/>
  <c r="DZ48" i="11"/>
  <c r="DY48" i="11"/>
  <c r="DX48" i="11"/>
  <c r="DW48" i="11"/>
  <c r="DV48" i="11"/>
  <c r="DU48" i="11"/>
  <c r="DT48" i="11"/>
  <c r="DS48" i="11"/>
  <c r="DR48" i="11"/>
  <c r="DQ48" i="11"/>
  <c r="DP48" i="11"/>
  <c r="DF48" i="11"/>
  <c r="CX48" i="11"/>
  <c r="CW48" i="11"/>
  <c r="CV48" i="11"/>
  <c r="CU48" i="11"/>
  <c r="CT48" i="11"/>
  <c r="CS48" i="11"/>
  <c r="CR48" i="11"/>
  <c r="CQ48" i="11"/>
  <c r="CP48" i="11"/>
  <c r="CO48" i="11"/>
  <c r="CN48" i="11"/>
  <c r="CM48" i="11"/>
  <c r="CL48" i="11"/>
  <c r="CK48" i="11"/>
  <c r="CC48" i="11"/>
  <c r="C48" i="11"/>
  <c r="B48" i="11"/>
  <c r="DG48" i="11" s="1"/>
  <c r="EC47" i="11"/>
  <c r="EB47" i="11"/>
  <c r="EA47" i="11"/>
  <c r="DZ47" i="11"/>
  <c r="DY47" i="11"/>
  <c r="DX47" i="11"/>
  <c r="DW47" i="11"/>
  <c r="DV47" i="11"/>
  <c r="DU47" i="11"/>
  <c r="DT47" i="11"/>
  <c r="DS47" i="11"/>
  <c r="DR47" i="11"/>
  <c r="DQ47" i="11"/>
  <c r="DP47" i="11"/>
  <c r="DO47" i="11"/>
  <c r="DN47" i="11"/>
  <c r="DM47" i="11"/>
  <c r="DL47" i="11"/>
  <c r="DK47" i="11"/>
  <c r="DJ47" i="11"/>
  <c r="CX47" i="11"/>
  <c r="CW47" i="11"/>
  <c r="CV47" i="11"/>
  <c r="CU47" i="11"/>
  <c r="CT47" i="11"/>
  <c r="CS47" i="11"/>
  <c r="CR47" i="11"/>
  <c r="CQ47" i="11"/>
  <c r="CP47" i="11"/>
  <c r="CO47" i="11"/>
  <c r="CN47" i="11"/>
  <c r="CM47" i="11"/>
  <c r="CL47" i="11"/>
  <c r="CK47" i="11"/>
  <c r="CJ47" i="11"/>
  <c r="CI47" i="11"/>
  <c r="CH47" i="11"/>
  <c r="CG47" i="11"/>
  <c r="CF47" i="11"/>
  <c r="CE47" i="11"/>
  <c r="C47" i="11"/>
  <c r="B47" i="11"/>
  <c r="DH47" i="11" s="1"/>
  <c r="EC46" i="11"/>
  <c r="EB46" i="11"/>
  <c r="EA46" i="11"/>
  <c r="DZ46" i="11"/>
  <c r="DY46" i="11"/>
  <c r="DX46" i="11"/>
  <c r="DW46" i="11"/>
  <c r="DV46" i="11"/>
  <c r="DU46" i="11"/>
  <c r="DT46" i="11"/>
  <c r="DS46" i="11"/>
  <c r="DR46" i="11"/>
  <c r="DQ46" i="11"/>
  <c r="DP46" i="11"/>
  <c r="DO46" i="11"/>
  <c r="DI46" i="11"/>
  <c r="CX46" i="11"/>
  <c r="CW46" i="11"/>
  <c r="CV46" i="11"/>
  <c r="CU46" i="11"/>
  <c r="CT46" i="11"/>
  <c r="CS46" i="11"/>
  <c r="CR46" i="11"/>
  <c r="CQ46" i="11"/>
  <c r="CP46" i="11"/>
  <c r="CO46" i="11"/>
  <c r="CN46" i="11"/>
  <c r="CM46" i="11"/>
  <c r="CL46" i="11"/>
  <c r="CK46" i="11"/>
  <c r="CJ46" i="11"/>
  <c r="CC46" i="11"/>
  <c r="C46" i="11"/>
  <c r="B46" i="11"/>
  <c r="DF46" i="11" s="1"/>
  <c r="EC45" i="11"/>
  <c r="EB45" i="11"/>
  <c r="EA45" i="11"/>
  <c r="DZ45" i="11"/>
  <c r="DY45" i="11"/>
  <c r="DX45" i="11"/>
  <c r="DW45" i="11"/>
  <c r="DV45" i="11"/>
  <c r="DU45" i="11"/>
  <c r="DT45" i="11"/>
  <c r="DS45" i="11"/>
  <c r="DR45" i="11"/>
  <c r="DQ45" i="11"/>
  <c r="DP45" i="11"/>
  <c r="CX45" i="11"/>
  <c r="CW45" i="11"/>
  <c r="CV45" i="11"/>
  <c r="CU45" i="11"/>
  <c r="CT45" i="11"/>
  <c r="CS45" i="11"/>
  <c r="CR45" i="11"/>
  <c r="CQ45" i="11"/>
  <c r="CP45" i="11"/>
  <c r="CO45" i="11"/>
  <c r="CN45" i="11"/>
  <c r="CM45" i="11"/>
  <c r="CL45" i="11"/>
  <c r="CK45" i="11"/>
  <c r="C45" i="11"/>
  <c r="B45" i="11"/>
  <c r="DF45" i="11" s="1"/>
  <c r="DL44" i="11"/>
  <c r="DK44" i="11"/>
  <c r="DJ44" i="11"/>
  <c r="DI44" i="11"/>
  <c r="CG44" i="11"/>
  <c r="CF44" i="11"/>
  <c r="CE44" i="11"/>
  <c r="CC44" i="11"/>
  <c r="C44" i="11"/>
  <c r="B44" i="11"/>
  <c r="DF44" i="11" s="1"/>
  <c r="EC43" i="11"/>
  <c r="EB43" i="11"/>
  <c r="EA43" i="11"/>
  <c r="DZ43" i="11"/>
  <c r="DY43" i="11"/>
  <c r="DX43" i="11"/>
  <c r="DW43" i="11"/>
  <c r="DV43" i="11"/>
  <c r="DU43" i="11"/>
  <c r="DT43" i="11"/>
  <c r="DS43" i="11"/>
  <c r="DR43" i="11"/>
  <c r="DQ43" i="11"/>
  <c r="DP43" i="11"/>
  <c r="DO43" i="11"/>
  <c r="DN43" i="11"/>
  <c r="DM43" i="11"/>
  <c r="DL43" i="11"/>
  <c r="DK43" i="11"/>
  <c r="DJ43" i="11"/>
  <c r="CX43" i="11"/>
  <c r="CW43" i="11"/>
  <c r="CV43" i="11"/>
  <c r="CU43" i="11"/>
  <c r="CT43" i="11"/>
  <c r="CS43" i="11"/>
  <c r="CR43" i="11"/>
  <c r="CQ43" i="11"/>
  <c r="CP43" i="11"/>
  <c r="CO43" i="11"/>
  <c r="CN43" i="11"/>
  <c r="CM43" i="11"/>
  <c r="CL43" i="11"/>
  <c r="CK43" i="11"/>
  <c r="CJ43" i="11"/>
  <c r="CI43" i="11"/>
  <c r="CH43" i="11"/>
  <c r="CG43" i="11"/>
  <c r="CF43" i="11"/>
  <c r="CE43" i="11"/>
  <c r="C43" i="11"/>
  <c r="B43" i="11"/>
  <c r="DH43" i="11" s="1"/>
  <c r="EC42" i="11"/>
  <c r="EB42" i="11"/>
  <c r="EA42" i="11"/>
  <c r="DZ42" i="11"/>
  <c r="DY42" i="11"/>
  <c r="DX42" i="11"/>
  <c r="DW42" i="11"/>
  <c r="DV42" i="11"/>
  <c r="DU42" i="11"/>
  <c r="DT42" i="11"/>
  <c r="DS42" i="11"/>
  <c r="DR42" i="11"/>
  <c r="DQ42" i="11"/>
  <c r="DP42" i="11"/>
  <c r="DO42" i="11"/>
  <c r="DI42" i="11"/>
  <c r="CX42" i="11"/>
  <c r="CW42" i="11"/>
  <c r="CV42" i="11"/>
  <c r="CU42" i="11"/>
  <c r="CT42" i="11"/>
  <c r="CS42" i="11"/>
  <c r="CR42" i="11"/>
  <c r="CQ42" i="11"/>
  <c r="CP42" i="11"/>
  <c r="CO42" i="11"/>
  <c r="CN42" i="11"/>
  <c r="CM42" i="11"/>
  <c r="CL42" i="11"/>
  <c r="CK42" i="11"/>
  <c r="CJ42" i="11"/>
  <c r="CC42" i="11"/>
  <c r="C42" i="11"/>
  <c r="B42" i="11"/>
  <c r="DF42" i="11" s="1"/>
  <c r="EC41" i="11"/>
  <c r="EB41" i="11"/>
  <c r="EA41" i="11"/>
  <c r="DZ41" i="11"/>
  <c r="DY41" i="11"/>
  <c r="DX41" i="11"/>
  <c r="DW41" i="11"/>
  <c r="DV41" i="11"/>
  <c r="DU41" i="11"/>
  <c r="DT41" i="11"/>
  <c r="DS41" i="11"/>
  <c r="DR41" i="11"/>
  <c r="DQ41" i="11"/>
  <c r="DP41" i="11"/>
  <c r="DO41" i="11"/>
  <c r="DI41" i="11"/>
  <c r="DF41" i="11"/>
  <c r="CX41" i="11"/>
  <c r="CW41" i="11"/>
  <c r="CV41" i="11"/>
  <c r="CU41" i="11"/>
  <c r="CT41" i="11"/>
  <c r="CS41" i="11"/>
  <c r="CR41" i="11"/>
  <c r="CQ41" i="11"/>
  <c r="CP41" i="11"/>
  <c r="CO41" i="11"/>
  <c r="CN41" i="11"/>
  <c r="CM41" i="11"/>
  <c r="CL41" i="11"/>
  <c r="CK41" i="11"/>
  <c r="CJ41" i="11"/>
  <c r="CD41" i="11"/>
  <c r="CC41" i="11"/>
  <c r="C41" i="11"/>
  <c r="B41" i="11"/>
  <c r="DG41" i="11" s="1"/>
  <c r="EC40" i="11"/>
  <c r="EB40" i="11"/>
  <c r="EA40" i="11"/>
  <c r="DZ40" i="11"/>
  <c r="DY40" i="11"/>
  <c r="DX40" i="11"/>
  <c r="DW40" i="11"/>
  <c r="DV40" i="11"/>
  <c r="DU40" i="11"/>
  <c r="DT40" i="11"/>
  <c r="DS40" i="11"/>
  <c r="DR40" i="11"/>
  <c r="DQ40" i="11"/>
  <c r="DP40" i="11"/>
  <c r="DO40" i="11"/>
  <c r="DG40" i="11"/>
  <c r="DF40" i="11"/>
  <c r="CX40" i="11"/>
  <c r="CW40" i="11"/>
  <c r="CV40" i="11"/>
  <c r="CU40" i="11"/>
  <c r="CT40" i="11"/>
  <c r="CS40" i="11"/>
  <c r="CR40" i="11"/>
  <c r="CQ40" i="11"/>
  <c r="CP40" i="11"/>
  <c r="CO40" i="11"/>
  <c r="CN40" i="11"/>
  <c r="CM40" i="11"/>
  <c r="CL40" i="11"/>
  <c r="CK40" i="11"/>
  <c r="CJ40" i="11"/>
  <c r="CD40" i="11"/>
  <c r="CA40" i="11"/>
  <c r="C40" i="11"/>
  <c r="B40" i="11"/>
  <c r="DH40" i="11" s="1"/>
  <c r="EC39" i="11"/>
  <c r="EB39" i="11"/>
  <c r="EA39" i="11"/>
  <c r="DZ39" i="11"/>
  <c r="DY39" i="11"/>
  <c r="DX39" i="11"/>
  <c r="DW39" i="11"/>
  <c r="DV39" i="11"/>
  <c r="DU39" i="11"/>
  <c r="DT39" i="11"/>
  <c r="DS39" i="11"/>
  <c r="DR39" i="11"/>
  <c r="DQ39" i="11"/>
  <c r="DP39" i="11"/>
  <c r="DO39" i="11"/>
  <c r="CX39" i="11"/>
  <c r="CW39" i="11"/>
  <c r="CV39" i="11"/>
  <c r="CU39" i="11"/>
  <c r="CT39" i="11"/>
  <c r="CS39" i="11"/>
  <c r="CR39" i="11"/>
  <c r="CQ39" i="11"/>
  <c r="CP39" i="11"/>
  <c r="CO39" i="11"/>
  <c r="CN39" i="11"/>
  <c r="CM39" i="11"/>
  <c r="CL39" i="11"/>
  <c r="CK39" i="11"/>
  <c r="CJ39" i="11"/>
  <c r="C39" i="11"/>
  <c r="B39" i="11"/>
  <c r="DI39" i="11" s="1"/>
  <c r="EC38" i="11"/>
  <c r="EB38" i="11"/>
  <c r="EA38" i="11"/>
  <c r="DZ38" i="11"/>
  <c r="DY38" i="11"/>
  <c r="DX38" i="11"/>
  <c r="DW38" i="11"/>
  <c r="DV38" i="11"/>
  <c r="DU38" i="11"/>
  <c r="DT38" i="11"/>
  <c r="DS38" i="11"/>
  <c r="DR38" i="11"/>
  <c r="DQ38" i="11"/>
  <c r="DP38" i="11"/>
  <c r="DO38" i="11"/>
  <c r="DI38" i="11"/>
  <c r="CX38" i="11"/>
  <c r="CW38" i="11"/>
  <c r="CV38" i="11"/>
  <c r="CU38" i="11"/>
  <c r="CT38" i="11"/>
  <c r="CS38" i="11"/>
  <c r="CR38" i="11"/>
  <c r="CQ38" i="11"/>
  <c r="CP38" i="11"/>
  <c r="CO38" i="11"/>
  <c r="CN38" i="11"/>
  <c r="CM38" i="11"/>
  <c r="CL38" i="11"/>
  <c r="CK38" i="11"/>
  <c r="CJ38" i="11"/>
  <c r="CC38" i="11"/>
  <c r="C38" i="11"/>
  <c r="B38" i="11"/>
  <c r="DF38" i="11" s="1"/>
  <c r="EC37" i="11"/>
  <c r="EB37" i="11"/>
  <c r="EA37" i="11"/>
  <c r="DZ37" i="11"/>
  <c r="DY37" i="11"/>
  <c r="DX37" i="11"/>
  <c r="DW37" i="11"/>
  <c r="DV37" i="11"/>
  <c r="DU37" i="11"/>
  <c r="DT37" i="11"/>
  <c r="DS37" i="11"/>
  <c r="DR37" i="11"/>
  <c r="DQ37" i="11"/>
  <c r="DP37" i="11"/>
  <c r="DO37" i="11"/>
  <c r="DI37" i="11"/>
  <c r="DF37" i="11"/>
  <c r="CX37" i="11"/>
  <c r="CW37" i="11"/>
  <c r="CV37" i="11"/>
  <c r="CU37" i="11"/>
  <c r="CT37" i="11"/>
  <c r="CS37" i="11"/>
  <c r="CR37" i="11"/>
  <c r="CQ37" i="11"/>
  <c r="CP37" i="11"/>
  <c r="CO37" i="11"/>
  <c r="CN37" i="11"/>
  <c r="CM37" i="11"/>
  <c r="CL37" i="11"/>
  <c r="CK37" i="11"/>
  <c r="CJ37" i="11"/>
  <c r="CD37" i="11"/>
  <c r="CC37" i="11"/>
  <c r="C37" i="11"/>
  <c r="B37" i="11"/>
  <c r="DG37" i="11" s="1"/>
  <c r="EC36" i="11"/>
  <c r="EB36" i="11"/>
  <c r="EA36" i="11"/>
  <c r="DZ36" i="11"/>
  <c r="DY36" i="11"/>
  <c r="DX36" i="11"/>
  <c r="DW36" i="11"/>
  <c r="DV36" i="11"/>
  <c r="DU36" i="11"/>
  <c r="DT36" i="11"/>
  <c r="DS36" i="11"/>
  <c r="DR36" i="11"/>
  <c r="DQ36" i="11"/>
  <c r="DP36" i="11"/>
  <c r="DO36" i="11"/>
  <c r="DG36" i="11"/>
  <c r="DF36" i="11"/>
  <c r="CX36" i="11"/>
  <c r="CW36" i="11"/>
  <c r="CV36" i="11"/>
  <c r="CU36" i="11"/>
  <c r="CT36" i="11"/>
  <c r="CS36" i="11"/>
  <c r="CR36" i="11"/>
  <c r="CQ36" i="11"/>
  <c r="CP36" i="11"/>
  <c r="CO36" i="11"/>
  <c r="CN36" i="11"/>
  <c r="CM36" i="11"/>
  <c r="CL36" i="11"/>
  <c r="CK36" i="11"/>
  <c r="CJ36" i="11"/>
  <c r="CD36" i="11"/>
  <c r="CA36" i="11"/>
  <c r="C36" i="11"/>
  <c r="B36" i="11"/>
  <c r="DH36" i="11" s="1"/>
  <c r="EC35" i="11"/>
  <c r="EB35" i="11"/>
  <c r="EA35" i="11"/>
  <c r="DZ35" i="11"/>
  <c r="DY35" i="11"/>
  <c r="DX35" i="11"/>
  <c r="DW35" i="11"/>
  <c r="DV35" i="11"/>
  <c r="DU35" i="11"/>
  <c r="DT35" i="11"/>
  <c r="DS35" i="11"/>
  <c r="DR35" i="11"/>
  <c r="DQ35" i="11"/>
  <c r="DP35" i="11"/>
  <c r="DO35" i="11"/>
  <c r="DH35" i="11"/>
  <c r="CX35" i="11"/>
  <c r="CW35" i="11"/>
  <c r="CV35" i="11"/>
  <c r="CU35" i="11"/>
  <c r="CT35" i="11"/>
  <c r="CS35" i="11"/>
  <c r="CR35" i="11"/>
  <c r="CQ35" i="11"/>
  <c r="CP35" i="11"/>
  <c r="CO35" i="11"/>
  <c r="CN35" i="11"/>
  <c r="CM35" i="11"/>
  <c r="CL35" i="11"/>
  <c r="CK35" i="11"/>
  <c r="CJ35" i="11"/>
  <c r="CB35" i="11"/>
  <c r="C35" i="11"/>
  <c r="B35" i="11"/>
  <c r="EC30" i="11"/>
  <c r="EB30" i="11"/>
  <c r="EA30" i="11"/>
  <c r="DZ30" i="11"/>
  <c r="DY30" i="11"/>
  <c r="DX30" i="11"/>
  <c r="DW30" i="11"/>
  <c r="DV30" i="11"/>
  <c r="DU30" i="11"/>
  <c r="DT30" i="11"/>
  <c r="DS30" i="11"/>
  <c r="DR30" i="11"/>
  <c r="DQ30" i="11"/>
  <c r="DP30" i="11"/>
  <c r="DO30" i="11"/>
  <c r="DN30" i="11"/>
  <c r="DM30" i="11"/>
  <c r="DL30" i="11"/>
  <c r="DK30" i="11"/>
  <c r="DJ30" i="11"/>
  <c r="DI30" i="11"/>
  <c r="DF30" i="11"/>
  <c r="CX30" i="11"/>
  <c r="CW30" i="11"/>
  <c r="CV30" i="11"/>
  <c r="CU30" i="11"/>
  <c r="CT30" i="11"/>
  <c r="CS30" i="11"/>
  <c r="CR30" i="11"/>
  <c r="CQ30" i="11"/>
  <c r="CP30" i="11"/>
  <c r="CO30" i="11"/>
  <c r="CN30" i="11"/>
  <c r="CM30" i="11"/>
  <c r="CL30" i="11"/>
  <c r="CK30" i="11"/>
  <c r="CJ30" i="11"/>
  <c r="CI30" i="11"/>
  <c r="CH30" i="11"/>
  <c r="CG30" i="11"/>
  <c r="CF30" i="11"/>
  <c r="CE30" i="11"/>
  <c r="CD30" i="11"/>
  <c r="CA30" i="11"/>
  <c r="C30" i="11"/>
  <c r="B30" i="11"/>
  <c r="DG30" i="11" s="1"/>
  <c r="EC29" i="11"/>
  <c r="EB29" i="11"/>
  <c r="EA29" i="11"/>
  <c r="DZ29" i="11"/>
  <c r="DY29" i="11"/>
  <c r="DX29" i="11"/>
  <c r="DW29" i="11"/>
  <c r="DV29" i="11"/>
  <c r="DU29" i="11"/>
  <c r="DT29" i="11"/>
  <c r="DS29" i="11"/>
  <c r="DR29" i="11"/>
  <c r="DQ29" i="11"/>
  <c r="DP29" i="11"/>
  <c r="DO29" i="11"/>
  <c r="DN29" i="11"/>
  <c r="DM29" i="11"/>
  <c r="DL29" i="11"/>
  <c r="DK29" i="11"/>
  <c r="DJ29" i="11"/>
  <c r="DI29" i="11"/>
  <c r="DH29" i="11"/>
  <c r="CX29" i="11"/>
  <c r="CW29" i="11"/>
  <c r="CV29" i="11"/>
  <c r="CU29" i="11"/>
  <c r="CT29" i="11"/>
  <c r="CS29" i="11"/>
  <c r="CR29" i="11"/>
  <c r="CQ29" i="11"/>
  <c r="CP29" i="11"/>
  <c r="CO29" i="11"/>
  <c r="CN29" i="11"/>
  <c r="CM29" i="11"/>
  <c r="CL29" i="11"/>
  <c r="CK29" i="11"/>
  <c r="CJ29" i="11"/>
  <c r="CI29" i="11"/>
  <c r="CH29" i="11"/>
  <c r="CG29" i="11"/>
  <c r="CF29" i="11"/>
  <c r="CE29" i="11"/>
  <c r="CD29" i="11"/>
  <c r="CC29" i="11"/>
  <c r="C29" i="11"/>
  <c r="B29" i="11"/>
  <c r="DF29" i="11" s="1"/>
  <c r="EC28" i="11"/>
  <c r="EB28" i="11"/>
  <c r="EA28" i="11"/>
  <c r="DZ28" i="11"/>
  <c r="DY28" i="11"/>
  <c r="DX28" i="11"/>
  <c r="DW28" i="11"/>
  <c r="DV28" i="11"/>
  <c r="DU28" i="11"/>
  <c r="DT28" i="11"/>
  <c r="DS28" i="11"/>
  <c r="DR28" i="11"/>
  <c r="DQ28" i="11"/>
  <c r="DP28" i="11"/>
  <c r="DO28" i="11"/>
  <c r="DN28" i="11"/>
  <c r="DM28" i="11"/>
  <c r="DL28" i="11"/>
  <c r="DK28" i="11"/>
  <c r="DJ28" i="11"/>
  <c r="DH28" i="11"/>
  <c r="CX28" i="11"/>
  <c r="CW28" i="11"/>
  <c r="CV28" i="11"/>
  <c r="CU28" i="11"/>
  <c r="CT28" i="11"/>
  <c r="CS28" i="11"/>
  <c r="CR28" i="11"/>
  <c r="CQ28" i="11"/>
  <c r="CP28" i="11"/>
  <c r="CO28" i="11"/>
  <c r="CN28" i="11"/>
  <c r="CM28" i="11"/>
  <c r="CL28" i="11"/>
  <c r="CK28" i="11"/>
  <c r="CJ28" i="11"/>
  <c r="CI28" i="11"/>
  <c r="CH28" i="11"/>
  <c r="CG28" i="11"/>
  <c r="CF28" i="11"/>
  <c r="CE28" i="11"/>
  <c r="CC28" i="11"/>
  <c r="C28" i="11"/>
  <c r="B28" i="11"/>
  <c r="DI28" i="11" s="1"/>
  <c r="DY27" i="11"/>
  <c r="DX27" i="11"/>
  <c r="DW27" i="11"/>
  <c r="DV27" i="11"/>
  <c r="DU27" i="11"/>
  <c r="DT27" i="11"/>
  <c r="DS27" i="11"/>
  <c r="DR27" i="11"/>
  <c r="DQ27" i="11"/>
  <c r="DP27" i="11"/>
  <c r="DH27" i="11"/>
  <c r="CT27" i="11"/>
  <c r="CS27" i="11"/>
  <c r="CR27" i="11"/>
  <c r="CQ27" i="11"/>
  <c r="CP27" i="11"/>
  <c r="CO27" i="11"/>
  <c r="CN27" i="11"/>
  <c r="CM27" i="11"/>
  <c r="CL27" i="11"/>
  <c r="CK27" i="11"/>
  <c r="CB27" i="11"/>
  <c r="CA27" i="11"/>
  <c r="C27" i="11"/>
  <c r="B27" i="11"/>
  <c r="EC26" i="11"/>
  <c r="EB26" i="11"/>
  <c r="EA26" i="11"/>
  <c r="DZ26" i="11"/>
  <c r="DY26" i="11"/>
  <c r="DX26" i="11"/>
  <c r="DW26" i="11"/>
  <c r="DV26" i="11"/>
  <c r="DU26" i="11"/>
  <c r="DT26" i="11"/>
  <c r="DS26" i="11"/>
  <c r="DR26" i="11"/>
  <c r="DQ26" i="11"/>
  <c r="DP26" i="11"/>
  <c r="DH26" i="11"/>
  <c r="DG26" i="11"/>
  <c r="CX26" i="11"/>
  <c r="CW26" i="11"/>
  <c r="CV26" i="11"/>
  <c r="CU26" i="11"/>
  <c r="CT26" i="11"/>
  <c r="CS26" i="11"/>
  <c r="CR26" i="11"/>
  <c r="CQ26" i="11"/>
  <c r="CP26" i="11"/>
  <c r="CO26" i="11"/>
  <c r="CN26" i="11"/>
  <c r="CM26" i="11"/>
  <c r="CL26" i="11"/>
  <c r="CK26" i="11"/>
  <c r="CD26" i="11"/>
  <c r="CA26" i="11"/>
  <c r="C26" i="11"/>
  <c r="B26" i="11"/>
  <c r="DI26" i="11" s="1"/>
  <c r="EC25" i="11"/>
  <c r="EB25" i="11"/>
  <c r="EA25" i="11"/>
  <c r="DZ25" i="11"/>
  <c r="DY25" i="11"/>
  <c r="DX25" i="11"/>
  <c r="DW25" i="11"/>
  <c r="DV25" i="11"/>
  <c r="DU25" i="11"/>
  <c r="DT25" i="11"/>
  <c r="DS25" i="11"/>
  <c r="DR25" i="11"/>
  <c r="DQ25" i="11"/>
  <c r="DP25" i="11"/>
  <c r="DO25" i="11"/>
  <c r="DN25" i="11"/>
  <c r="DM25" i="11"/>
  <c r="DL25" i="11"/>
  <c r="DK25" i="11"/>
  <c r="DJ25" i="11"/>
  <c r="DI25" i="11"/>
  <c r="DH25" i="11"/>
  <c r="CX25" i="11"/>
  <c r="CW25" i="11"/>
  <c r="CV25" i="11"/>
  <c r="CU25" i="11"/>
  <c r="CT25" i="11"/>
  <c r="CS25" i="11"/>
  <c r="CR25" i="11"/>
  <c r="CQ25" i="11"/>
  <c r="CP25" i="11"/>
  <c r="CO25" i="11"/>
  <c r="CN25" i="11"/>
  <c r="CM25" i="11"/>
  <c r="CL25" i="11"/>
  <c r="CK25" i="11"/>
  <c r="CJ25" i="11"/>
  <c r="CI25" i="11"/>
  <c r="CH25" i="11"/>
  <c r="CG25" i="11"/>
  <c r="CF25" i="11"/>
  <c r="CE25" i="11"/>
  <c r="CD25" i="11"/>
  <c r="CC25" i="11"/>
  <c r="C25" i="11"/>
  <c r="B25" i="11"/>
  <c r="DF25" i="11" s="1"/>
  <c r="EC24" i="11"/>
  <c r="EB24" i="11"/>
  <c r="EA24" i="11"/>
  <c r="DZ24" i="11"/>
  <c r="DY24" i="11"/>
  <c r="DX24" i="11"/>
  <c r="DW24" i="11"/>
  <c r="DV24" i="11"/>
  <c r="DU24" i="11"/>
  <c r="DT24" i="11"/>
  <c r="DS24" i="11"/>
  <c r="DR24" i="11"/>
  <c r="DQ24" i="11"/>
  <c r="DP24" i="11"/>
  <c r="DO24" i="11"/>
  <c r="DG24" i="11"/>
  <c r="DF24" i="11"/>
  <c r="CX24" i="11"/>
  <c r="CW24" i="11"/>
  <c r="CV24" i="11"/>
  <c r="CU24" i="11"/>
  <c r="CT24" i="11"/>
  <c r="CS24" i="11"/>
  <c r="CR24" i="11"/>
  <c r="CQ24" i="11"/>
  <c r="CP24" i="11"/>
  <c r="CO24" i="11"/>
  <c r="CN24" i="11"/>
  <c r="CM24" i="11"/>
  <c r="CL24" i="11"/>
  <c r="CK24" i="11"/>
  <c r="CJ24" i="11"/>
  <c r="CD24" i="11"/>
  <c r="CA24" i="11"/>
  <c r="C24" i="11"/>
  <c r="B24" i="11"/>
  <c r="DH24" i="11" s="1"/>
  <c r="EC23" i="11"/>
  <c r="EB23" i="11"/>
  <c r="EA23" i="11"/>
  <c r="DZ23" i="11"/>
  <c r="DY23" i="11"/>
  <c r="DX23" i="11"/>
  <c r="DW23" i="11"/>
  <c r="DV23" i="11"/>
  <c r="DU23" i="11"/>
  <c r="DT23" i="11"/>
  <c r="DS23" i="11"/>
  <c r="DR23" i="11"/>
  <c r="DQ23" i="11"/>
  <c r="DP23" i="11"/>
  <c r="DG23" i="11"/>
  <c r="DF23" i="11"/>
  <c r="CX23" i="11"/>
  <c r="CW23" i="11"/>
  <c r="CV23" i="11"/>
  <c r="CU23" i="11"/>
  <c r="CT23" i="11"/>
  <c r="CS23" i="11"/>
  <c r="CR23" i="11"/>
  <c r="CQ23" i="11"/>
  <c r="CP23" i="11"/>
  <c r="CO23" i="11"/>
  <c r="CN23" i="11"/>
  <c r="CM23" i="11"/>
  <c r="CL23" i="11"/>
  <c r="CK23" i="11"/>
  <c r="CD23" i="11"/>
  <c r="CC23" i="11"/>
  <c r="C23" i="11"/>
  <c r="B23" i="11"/>
  <c r="DH23" i="11" s="1"/>
  <c r="DL22" i="11"/>
  <c r="DK22" i="11"/>
  <c r="DJ22" i="11"/>
  <c r="DG22" i="11"/>
  <c r="DF22" i="11"/>
  <c r="CG22" i="11"/>
  <c r="CF22" i="11"/>
  <c r="CE22" i="11"/>
  <c r="CD22" i="11"/>
  <c r="CA22" i="11"/>
  <c r="C22" i="11"/>
  <c r="B22" i="11"/>
  <c r="DH22" i="11" s="1"/>
  <c r="EC21" i="11"/>
  <c r="EB21" i="11"/>
  <c r="EA21" i="11"/>
  <c r="DZ21" i="11"/>
  <c r="DY21" i="11"/>
  <c r="DX21" i="11"/>
  <c r="DW21" i="11"/>
  <c r="DV21" i="11"/>
  <c r="DU21" i="11"/>
  <c r="DT21" i="11"/>
  <c r="DS21" i="11"/>
  <c r="DR21" i="11"/>
  <c r="DQ21" i="11"/>
  <c r="DP21" i="11"/>
  <c r="DO21" i="11"/>
  <c r="DN21" i="11"/>
  <c r="DM21" i="11"/>
  <c r="DL21" i="11"/>
  <c r="DK21" i="11"/>
  <c r="DJ21" i="11"/>
  <c r="DI21" i="11"/>
  <c r="DH21" i="11"/>
  <c r="CX21" i="11"/>
  <c r="CW21" i="11"/>
  <c r="CV21" i="11"/>
  <c r="CU21" i="11"/>
  <c r="CT21" i="11"/>
  <c r="CS21" i="11"/>
  <c r="CR21" i="11"/>
  <c r="CQ21" i="11"/>
  <c r="CP21" i="11"/>
  <c r="CO21" i="11"/>
  <c r="CN21" i="11"/>
  <c r="CM21" i="11"/>
  <c r="CL21" i="11"/>
  <c r="CK21" i="11"/>
  <c r="CJ21" i="11"/>
  <c r="CI21" i="11"/>
  <c r="CH21" i="11"/>
  <c r="CG21" i="11"/>
  <c r="CF21" i="11"/>
  <c r="CE21" i="11"/>
  <c r="CD21" i="11"/>
  <c r="CC21" i="11"/>
  <c r="C21" i="11"/>
  <c r="B21" i="11"/>
  <c r="DF21" i="11" s="1"/>
  <c r="EC20" i="11"/>
  <c r="EB20" i="11"/>
  <c r="EA20" i="11"/>
  <c r="DZ20" i="11"/>
  <c r="DY20" i="11"/>
  <c r="DX20" i="11"/>
  <c r="DW20" i="11"/>
  <c r="DV20" i="11"/>
  <c r="DU20" i="11"/>
  <c r="DT20" i="11"/>
  <c r="DS20" i="11"/>
  <c r="DR20" i="11"/>
  <c r="DQ20" i="11"/>
  <c r="DP20" i="11"/>
  <c r="DO20" i="11"/>
  <c r="DG20" i="11"/>
  <c r="DF20" i="11"/>
  <c r="CX20" i="11"/>
  <c r="CW20" i="11"/>
  <c r="CV20" i="11"/>
  <c r="CU20" i="11"/>
  <c r="CT20" i="11"/>
  <c r="CS20" i="11"/>
  <c r="CR20" i="11"/>
  <c r="CQ20" i="11"/>
  <c r="CP20" i="11"/>
  <c r="CO20" i="11"/>
  <c r="CN20" i="11"/>
  <c r="CM20" i="11"/>
  <c r="CL20" i="11"/>
  <c r="CK20" i="11"/>
  <c r="CJ20" i="11"/>
  <c r="CD20" i="11"/>
  <c r="CA20" i="11"/>
  <c r="C20" i="11"/>
  <c r="B20" i="11"/>
  <c r="DH20" i="11" s="1"/>
  <c r="EC19" i="11"/>
  <c r="EB19" i="11"/>
  <c r="EA19" i="11"/>
  <c r="DZ19" i="11"/>
  <c r="DY19" i="11"/>
  <c r="DX19" i="11"/>
  <c r="DW19" i="11"/>
  <c r="DV19" i="11"/>
  <c r="DU19" i="11"/>
  <c r="DT19" i="11"/>
  <c r="DS19" i="11"/>
  <c r="DR19" i="11"/>
  <c r="DQ19" i="11"/>
  <c r="DP19" i="11"/>
  <c r="DO19" i="11"/>
  <c r="CX19" i="11"/>
  <c r="CW19" i="11"/>
  <c r="CV19" i="11"/>
  <c r="CU19" i="11"/>
  <c r="CT19" i="11"/>
  <c r="CS19" i="11"/>
  <c r="CR19" i="11"/>
  <c r="CQ19" i="11"/>
  <c r="CP19" i="11"/>
  <c r="CO19" i="11"/>
  <c r="CN19" i="11"/>
  <c r="CM19" i="11"/>
  <c r="CL19" i="11"/>
  <c r="CK19" i="11"/>
  <c r="CJ19" i="11"/>
  <c r="C19" i="11"/>
  <c r="B19" i="11"/>
  <c r="DG19" i="11" s="1"/>
  <c r="EC18" i="11"/>
  <c r="EB18" i="11"/>
  <c r="EA18" i="11"/>
  <c r="DZ18" i="11"/>
  <c r="DY18" i="11"/>
  <c r="DX18" i="11"/>
  <c r="DW18" i="11"/>
  <c r="DV18" i="11"/>
  <c r="DU18" i="11"/>
  <c r="DT18" i="11"/>
  <c r="DS18" i="11"/>
  <c r="DR18" i="11"/>
  <c r="DQ18" i="11"/>
  <c r="DP18" i="11"/>
  <c r="DO18" i="11"/>
  <c r="CX18" i="11"/>
  <c r="CW18" i="11"/>
  <c r="CV18" i="11"/>
  <c r="CU18" i="11"/>
  <c r="CT18" i="11"/>
  <c r="CS18" i="11"/>
  <c r="CR18" i="11"/>
  <c r="CQ18" i="11"/>
  <c r="CP18" i="11"/>
  <c r="CO18" i="11"/>
  <c r="CN18" i="11"/>
  <c r="CM18" i="11"/>
  <c r="CL18" i="11"/>
  <c r="CK18" i="11"/>
  <c r="CJ18" i="11"/>
  <c r="C18" i="11"/>
  <c r="B18" i="11"/>
  <c r="DH18" i="11" s="1"/>
  <c r="EC17" i="11"/>
  <c r="EB17" i="11"/>
  <c r="EA17" i="11"/>
  <c r="DZ17" i="11"/>
  <c r="DY17" i="11"/>
  <c r="DX17" i="11"/>
  <c r="DW17" i="11"/>
  <c r="DV17" i="11"/>
  <c r="DU17" i="11"/>
  <c r="DT17" i="11"/>
  <c r="DS17" i="11"/>
  <c r="DR17" i="11"/>
  <c r="DQ17" i="11"/>
  <c r="DP17" i="11"/>
  <c r="DO17" i="11"/>
  <c r="DI17" i="11"/>
  <c r="DF17" i="11"/>
  <c r="CX17" i="11"/>
  <c r="CW17" i="11"/>
  <c r="CV17" i="11"/>
  <c r="CU17" i="11"/>
  <c r="CT17" i="11"/>
  <c r="CS17" i="11"/>
  <c r="CR17" i="11"/>
  <c r="CQ17" i="11"/>
  <c r="CP17" i="11"/>
  <c r="CO17" i="11"/>
  <c r="CN17" i="11"/>
  <c r="CM17" i="11"/>
  <c r="CL17" i="11"/>
  <c r="CK17" i="11"/>
  <c r="CJ17" i="11"/>
  <c r="CD17" i="11"/>
  <c r="CC17" i="11"/>
  <c r="C17" i="11"/>
  <c r="B17" i="11"/>
  <c r="DG17" i="11" s="1"/>
  <c r="EC16" i="11"/>
  <c r="EB16" i="11"/>
  <c r="EA16" i="11"/>
  <c r="DZ16" i="11"/>
  <c r="DY16" i="11"/>
  <c r="DX16" i="11"/>
  <c r="DW16" i="11"/>
  <c r="DV16" i="11"/>
  <c r="DU16" i="11"/>
  <c r="DT16" i="11"/>
  <c r="DS16" i="11"/>
  <c r="DR16" i="11"/>
  <c r="DQ16" i="11"/>
  <c r="DP16" i="11"/>
  <c r="DO16" i="11"/>
  <c r="DG16" i="11"/>
  <c r="DF16" i="11"/>
  <c r="CX16" i="11"/>
  <c r="CW16" i="11"/>
  <c r="CV16" i="11"/>
  <c r="CU16" i="11"/>
  <c r="CT16" i="11"/>
  <c r="CS16" i="11"/>
  <c r="CR16" i="11"/>
  <c r="CQ16" i="11"/>
  <c r="CP16" i="11"/>
  <c r="CO16" i="11"/>
  <c r="CN16" i="11"/>
  <c r="CM16" i="11"/>
  <c r="CL16" i="11"/>
  <c r="CK16" i="11"/>
  <c r="CJ16" i="11"/>
  <c r="CD16" i="11"/>
  <c r="CA16" i="11"/>
  <c r="C16" i="11"/>
  <c r="B16" i="11"/>
  <c r="DH16" i="11" s="1"/>
  <c r="EC15" i="11"/>
  <c r="EB15" i="11"/>
  <c r="EA15" i="11"/>
  <c r="DZ15" i="11"/>
  <c r="DY15" i="11"/>
  <c r="DX15" i="11"/>
  <c r="DW15" i="11"/>
  <c r="DV15" i="11"/>
  <c r="DU15" i="11"/>
  <c r="DT15" i="11"/>
  <c r="DS15" i="11"/>
  <c r="DR15" i="11"/>
  <c r="DQ15" i="11"/>
  <c r="DP15" i="11"/>
  <c r="DO15" i="11"/>
  <c r="DG15" i="11"/>
  <c r="CX15" i="11"/>
  <c r="CW15" i="11"/>
  <c r="CV15" i="11"/>
  <c r="CU15" i="11"/>
  <c r="CT15" i="11"/>
  <c r="CS15" i="11"/>
  <c r="CR15" i="11"/>
  <c r="CQ15" i="11"/>
  <c r="CP15" i="11"/>
  <c r="CO15" i="11"/>
  <c r="CN15" i="11"/>
  <c r="CM15" i="11"/>
  <c r="CL15" i="11"/>
  <c r="CK15" i="11"/>
  <c r="CJ15" i="11"/>
  <c r="CB15" i="11"/>
  <c r="CA15" i="11"/>
  <c r="C15" i="11"/>
  <c r="B15" i="11"/>
  <c r="EC14" i="11"/>
  <c r="EB14" i="11"/>
  <c r="EA14" i="11"/>
  <c r="DZ14" i="11"/>
  <c r="DY14" i="11"/>
  <c r="DX14" i="11"/>
  <c r="DW14" i="11"/>
  <c r="DV14" i="11"/>
  <c r="DU14" i="11"/>
  <c r="DT14" i="11"/>
  <c r="DS14" i="11"/>
  <c r="DR14" i="11"/>
  <c r="DQ14" i="11"/>
  <c r="DP14" i="11"/>
  <c r="DO14" i="11"/>
  <c r="DH14" i="11"/>
  <c r="CX14" i="11"/>
  <c r="CW14" i="11"/>
  <c r="CV14" i="11"/>
  <c r="CU14" i="11"/>
  <c r="CT14" i="11"/>
  <c r="CS14" i="11"/>
  <c r="CR14" i="11"/>
  <c r="CQ14" i="11"/>
  <c r="CP14" i="11"/>
  <c r="CO14" i="11"/>
  <c r="CN14" i="11"/>
  <c r="CM14" i="11"/>
  <c r="CL14" i="11"/>
  <c r="CK14" i="11"/>
  <c r="CJ14" i="11"/>
  <c r="CC14" i="11"/>
  <c r="CB14" i="11"/>
  <c r="C14" i="11"/>
  <c r="B14" i="11"/>
  <c r="EC13" i="11"/>
  <c r="EB13" i="11"/>
  <c r="EA13" i="11"/>
  <c r="DZ13" i="11"/>
  <c r="DY13" i="11"/>
  <c r="DX13" i="11"/>
  <c r="DW13" i="11"/>
  <c r="DV13" i="11"/>
  <c r="DU13" i="11"/>
  <c r="DT13" i="11"/>
  <c r="DS13" i="11"/>
  <c r="DR13" i="11"/>
  <c r="DQ13" i="11"/>
  <c r="DP13" i="11"/>
  <c r="DO13" i="11"/>
  <c r="DI13" i="11"/>
  <c r="DF13" i="11"/>
  <c r="CX13" i="11"/>
  <c r="CW13" i="11"/>
  <c r="CV13" i="11"/>
  <c r="CU13" i="11"/>
  <c r="CT13" i="11"/>
  <c r="CS13" i="11"/>
  <c r="CR13" i="11"/>
  <c r="CQ13" i="11"/>
  <c r="CP13" i="11"/>
  <c r="CO13" i="11"/>
  <c r="CN13" i="11"/>
  <c r="CM13" i="11"/>
  <c r="CL13" i="11"/>
  <c r="CK13" i="11"/>
  <c r="CJ13" i="11"/>
  <c r="CD13" i="11"/>
  <c r="CC13" i="11"/>
  <c r="C13" i="11"/>
  <c r="B13" i="11"/>
  <c r="A5" i="11"/>
  <c r="A3" i="11"/>
  <c r="A2" i="11"/>
  <c r="CP345" i="10"/>
  <c r="CB345" i="10"/>
  <c r="CA345" i="10"/>
  <c r="AS345" i="10"/>
  <c r="F345" i="10"/>
  <c r="CO345" i="10" s="1"/>
  <c r="E345" i="10"/>
  <c r="D345" i="10"/>
  <c r="CP344" i="10"/>
  <c r="CB344" i="10"/>
  <c r="CA344" i="10"/>
  <c r="AS344" i="10"/>
  <c r="F344" i="10"/>
  <c r="CO344" i="10" s="1"/>
  <c r="E344" i="10"/>
  <c r="D344" i="10"/>
  <c r="CP343" i="10"/>
  <c r="CB343" i="10"/>
  <c r="CA343" i="10"/>
  <c r="AS343" i="10"/>
  <c r="F343" i="10"/>
  <c r="CO343" i="10" s="1"/>
  <c r="E343" i="10"/>
  <c r="D343" i="10"/>
  <c r="CP342" i="10"/>
  <c r="CB342" i="10"/>
  <c r="CA342" i="10"/>
  <c r="AS342" i="10" s="1"/>
  <c r="F342" i="10"/>
  <c r="CO342" i="10" s="1"/>
  <c r="E342" i="10"/>
  <c r="D342" i="10"/>
  <c r="CP341" i="10"/>
  <c r="CB341" i="10"/>
  <c r="CA341" i="10"/>
  <c r="AS341" i="10"/>
  <c r="F341" i="10"/>
  <c r="CO341" i="10" s="1"/>
  <c r="E341" i="10"/>
  <c r="D341" i="10"/>
  <c r="AX336" i="10"/>
  <c r="AW336" i="10"/>
  <c r="AU336" i="10"/>
  <c r="AT336" i="10"/>
  <c r="AS336" i="10"/>
  <c r="AR336" i="10"/>
  <c r="AN336" i="10"/>
  <c r="AM336" i="10"/>
  <c r="AL336" i="10"/>
  <c r="AK336" i="10"/>
  <c r="AJ336" i="10"/>
  <c r="AI336" i="10"/>
  <c r="AH336" i="10"/>
  <c r="AG336" i="10"/>
  <c r="AF336" i="10"/>
  <c r="AE336" i="10"/>
  <c r="AD336" i="10"/>
  <c r="AC336" i="10"/>
  <c r="AB336" i="10"/>
  <c r="AA336" i="10"/>
  <c r="Z336" i="10"/>
  <c r="Y336" i="10"/>
  <c r="X336" i="10"/>
  <c r="W336" i="10"/>
  <c r="V336" i="10"/>
  <c r="U336" i="10"/>
  <c r="T336" i="10"/>
  <c r="S336" i="10"/>
  <c r="R336" i="10"/>
  <c r="Q336" i="10"/>
  <c r="P336" i="10"/>
  <c r="O336" i="10"/>
  <c r="N336" i="10"/>
  <c r="M336" i="10"/>
  <c r="L336" i="10"/>
  <c r="K336" i="10"/>
  <c r="J336" i="10"/>
  <c r="I336" i="10"/>
  <c r="H336" i="10"/>
  <c r="G336" i="10"/>
  <c r="E336" i="10" s="1"/>
  <c r="F336" i="10"/>
  <c r="AX335" i="10"/>
  <c r="AW335" i="10"/>
  <c r="AU335" i="10"/>
  <c r="AT335" i="10"/>
  <c r="AS335" i="10"/>
  <c r="AR335" i="10"/>
  <c r="AN335" i="10"/>
  <c r="AM335" i="10"/>
  <c r="AL335" i="10"/>
  <c r="AK335" i="10"/>
  <c r="AJ335" i="10"/>
  <c r="AI335" i="10"/>
  <c r="AH335" i="10"/>
  <c r="AG335" i="10"/>
  <c r="AF335" i="10"/>
  <c r="AE335" i="10"/>
  <c r="AD335" i="10"/>
  <c r="AC335" i="10"/>
  <c r="AB335" i="10"/>
  <c r="AA335" i="10"/>
  <c r="Z335" i="10"/>
  <c r="Y335" i="10"/>
  <c r="X335" i="10"/>
  <c r="W335" i="10"/>
  <c r="V335" i="10"/>
  <c r="U335" i="10"/>
  <c r="T335" i="10"/>
  <c r="S335" i="10"/>
  <c r="R335" i="10"/>
  <c r="Q335" i="10"/>
  <c r="P335" i="10"/>
  <c r="O335" i="10"/>
  <c r="N335" i="10"/>
  <c r="M335" i="10"/>
  <c r="L335" i="10"/>
  <c r="K335" i="10"/>
  <c r="J335" i="10"/>
  <c r="I335" i="10"/>
  <c r="H335" i="10"/>
  <c r="G335" i="10"/>
  <c r="F335" i="10"/>
  <c r="E335" i="10"/>
  <c r="D335" i="10" s="1"/>
  <c r="AX334" i="10"/>
  <c r="AW334" i="10"/>
  <c r="AV334" i="10"/>
  <c r="AU334" i="10"/>
  <c r="AT334" i="10"/>
  <c r="AS334" i="10"/>
  <c r="AR334" i="10"/>
  <c r="AN334" i="10"/>
  <c r="AM334" i="10"/>
  <c r="AL334" i="10"/>
  <c r="AK334" i="10"/>
  <c r="AJ334" i="10"/>
  <c r="AI334" i="10"/>
  <c r="AH334" i="10"/>
  <c r="AG334" i="10"/>
  <c r="AF334" i="10"/>
  <c r="AE334" i="10"/>
  <c r="AD334" i="10"/>
  <c r="AC334" i="10"/>
  <c r="AB334" i="10"/>
  <c r="AA334" i="10"/>
  <c r="Z334" i="10"/>
  <c r="Y334" i="10"/>
  <c r="X334" i="10"/>
  <c r="W334" i="10"/>
  <c r="V334" i="10"/>
  <c r="U334" i="10"/>
  <c r="T334" i="10"/>
  <c r="S334" i="10"/>
  <c r="R334" i="10"/>
  <c r="Q334" i="10"/>
  <c r="P334" i="10"/>
  <c r="O334" i="10"/>
  <c r="N334" i="10"/>
  <c r="M334" i="10"/>
  <c r="L334" i="10"/>
  <c r="K334" i="10"/>
  <c r="J334" i="10"/>
  <c r="I334" i="10"/>
  <c r="H334" i="10"/>
  <c r="G334" i="10"/>
  <c r="F334" i="10"/>
  <c r="E334" i="10"/>
  <c r="AX333" i="10"/>
  <c r="AW333" i="10"/>
  <c r="AU333" i="10"/>
  <c r="AT333" i="10"/>
  <c r="AS333" i="10"/>
  <c r="AR333" i="10"/>
  <c r="AN333" i="10"/>
  <c r="AM333" i="10"/>
  <c r="AL333" i="10"/>
  <c r="AK333" i="10"/>
  <c r="AJ333" i="10"/>
  <c r="AI333" i="10"/>
  <c r="AH333" i="10"/>
  <c r="AG333" i="10"/>
  <c r="AF333" i="10"/>
  <c r="AE333" i="10"/>
  <c r="AD333" i="10"/>
  <c r="AC333" i="10"/>
  <c r="AB333" i="10"/>
  <c r="AA333" i="10"/>
  <c r="Z333" i="10"/>
  <c r="Y333" i="10"/>
  <c r="X333" i="10"/>
  <c r="W333" i="10"/>
  <c r="V333" i="10"/>
  <c r="U333" i="10"/>
  <c r="T333" i="10"/>
  <c r="S333" i="10"/>
  <c r="R333" i="10"/>
  <c r="Q333" i="10"/>
  <c r="P333" i="10"/>
  <c r="O333" i="10"/>
  <c r="N333" i="10"/>
  <c r="M333" i="10"/>
  <c r="L333" i="10"/>
  <c r="K333" i="10"/>
  <c r="J333" i="10"/>
  <c r="I333" i="10"/>
  <c r="E333" i="10" s="1"/>
  <c r="D333" i="10" s="1"/>
  <c r="H333" i="10"/>
  <c r="F333" i="10" s="1"/>
  <c r="G333" i="10"/>
  <c r="AX332" i="10"/>
  <c r="AW332" i="10"/>
  <c r="AU332" i="10"/>
  <c r="AT332" i="10"/>
  <c r="AS332" i="10"/>
  <c r="AR332" i="10"/>
  <c r="AQ332" i="10"/>
  <c r="AN332" i="10"/>
  <c r="AM332" i="10"/>
  <c r="AL332" i="10"/>
  <c r="AK332" i="10"/>
  <c r="AJ332" i="10"/>
  <c r="AI332" i="10"/>
  <c r="AH332" i="10"/>
  <c r="AG332" i="10"/>
  <c r="AF332" i="10"/>
  <c r="AE332" i="10"/>
  <c r="AD332" i="10"/>
  <c r="AC332" i="10"/>
  <c r="AB332" i="10"/>
  <c r="AA332" i="10"/>
  <c r="Z332" i="10"/>
  <c r="Y332" i="10"/>
  <c r="X332" i="10"/>
  <c r="W332" i="10"/>
  <c r="V332" i="10"/>
  <c r="U332" i="10"/>
  <c r="T332" i="10"/>
  <c r="S332" i="10"/>
  <c r="R332" i="10"/>
  <c r="Q332" i="10"/>
  <c r="P332" i="10"/>
  <c r="O332" i="10"/>
  <c r="N332" i="10"/>
  <c r="M332" i="10"/>
  <c r="L332" i="10"/>
  <c r="K332" i="10"/>
  <c r="J332" i="10"/>
  <c r="I332" i="10"/>
  <c r="H332" i="10"/>
  <c r="F332" i="10" s="1"/>
  <c r="G332" i="10"/>
  <c r="E332" i="10"/>
  <c r="D332" i="10" s="1"/>
  <c r="AX331" i="10"/>
  <c r="AW331" i="10"/>
  <c r="AU331" i="10"/>
  <c r="AT331" i="10"/>
  <c r="AS331" i="10"/>
  <c r="AR331" i="10"/>
  <c r="AQ331" i="10"/>
  <c r="AP331" i="10"/>
  <c r="AO331" i="10"/>
  <c r="AN331" i="10"/>
  <c r="AM331" i="10"/>
  <c r="AL331" i="10"/>
  <c r="AK331" i="10"/>
  <c r="AJ331" i="10"/>
  <c r="AI331" i="10"/>
  <c r="AH331" i="10"/>
  <c r="AG331" i="10"/>
  <c r="AF331" i="10"/>
  <c r="AE331" i="10"/>
  <c r="AD331" i="10"/>
  <c r="AC331" i="10"/>
  <c r="AB331" i="10"/>
  <c r="AA331" i="10"/>
  <c r="Z331" i="10"/>
  <c r="Y331" i="10"/>
  <c r="X331" i="10"/>
  <c r="W331" i="10"/>
  <c r="V331" i="10"/>
  <c r="U331" i="10"/>
  <c r="T331" i="10"/>
  <c r="S331" i="10"/>
  <c r="R331" i="10"/>
  <c r="Q331" i="10"/>
  <c r="P331" i="10"/>
  <c r="O331" i="10"/>
  <c r="N331" i="10"/>
  <c r="M331" i="10"/>
  <c r="L331" i="10"/>
  <c r="K331" i="10"/>
  <c r="J331" i="10"/>
  <c r="I331" i="10"/>
  <c r="H331" i="10"/>
  <c r="G331" i="10"/>
  <c r="E331" i="10" s="1"/>
  <c r="D331" i="10" s="1"/>
  <c r="F331" i="10"/>
  <c r="CP330" i="10"/>
  <c r="CB330" i="10"/>
  <c r="F330" i="10"/>
  <c r="CA330" i="10" s="1"/>
  <c r="E330" i="10"/>
  <c r="CP329" i="10"/>
  <c r="CB329" i="10"/>
  <c r="F329" i="10"/>
  <c r="CA329" i="10" s="1"/>
  <c r="E329" i="10"/>
  <c r="CP328" i="10"/>
  <c r="CO328" i="10"/>
  <c r="CB328" i="10"/>
  <c r="CA328" i="10"/>
  <c r="F328" i="10"/>
  <c r="E328" i="10"/>
  <c r="D328" i="10" s="1"/>
  <c r="CP327" i="10"/>
  <c r="CB327" i="10"/>
  <c r="CA327" i="10"/>
  <c r="F327" i="10"/>
  <c r="CO327" i="10" s="1"/>
  <c r="E327" i="10"/>
  <c r="D327" i="10" s="1"/>
  <c r="CP326" i="10"/>
  <c r="CB326" i="10"/>
  <c r="CA326" i="10"/>
  <c r="F326" i="10"/>
  <c r="CO326" i="10" s="1"/>
  <c r="E326" i="10"/>
  <c r="D326" i="10" s="1"/>
  <c r="CP325" i="10"/>
  <c r="CB325" i="10"/>
  <c r="CA325" i="10"/>
  <c r="F325" i="10"/>
  <c r="CO325" i="10" s="1"/>
  <c r="E325" i="10"/>
  <c r="D325" i="10" s="1"/>
  <c r="CP324" i="10"/>
  <c r="CO324" i="10"/>
  <c r="CB324" i="10"/>
  <c r="F324" i="10"/>
  <c r="CA324" i="10" s="1"/>
  <c r="E324" i="10"/>
  <c r="D324" i="10" s="1"/>
  <c r="CW324" i="10" s="1"/>
  <c r="CP323" i="10"/>
  <c r="CB323" i="10"/>
  <c r="CA323" i="10"/>
  <c r="F323" i="10"/>
  <c r="CO323" i="10" s="1"/>
  <c r="E323" i="10"/>
  <c r="D323" i="10" s="1"/>
  <c r="CP322" i="10"/>
  <c r="CO322" i="10"/>
  <c r="CB322" i="10"/>
  <c r="CA322" i="10"/>
  <c r="F322" i="10"/>
  <c r="E322" i="10"/>
  <c r="D322" i="10" s="1"/>
  <c r="CP321" i="10"/>
  <c r="CB321" i="10"/>
  <c r="F321" i="10"/>
  <c r="CA321" i="10" s="1"/>
  <c r="E321" i="10"/>
  <c r="CP320" i="10"/>
  <c r="CB320" i="10"/>
  <c r="F320" i="10"/>
  <c r="E320" i="10"/>
  <c r="CP319" i="10"/>
  <c r="CO319" i="10"/>
  <c r="CB319" i="10"/>
  <c r="F319" i="10"/>
  <c r="CA319" i="10" s="1"/>
  <c r="E319" i="10"/>
  <c r="D319" i="10" s="1"/>
  <c r="CT319" i="10" s="1"/>
  <c r="CP318" i="10"/>
  <c r="CO318" i="10"/>
  <c r="CB318" i="10"/>
  <c r="CA318" i="10"/>
  <c r="F318" i="10"/>
  <c r="E318" i="10"/>
  <c r="D318" i="10"/>
  <c r="CZ318" i="10" s="1"/>
  <c r="CW317" i="10"/>
  <c r="CP317" i="10"/>
  <c r="CO317" i="10"/>
  <c r="CL317" i="10"/>
  <c r="CB317" i="10"/>
  <c r="F317" i="10"/>
  <c r="CA317" i="10" s="1"/>
  <c r="E317" i="10"/>
  <c r="D317" i="10" s="1"/>
  <c r="CV317" i="10" s="1"/>
  <c r="CP316" i="10"/>
  <c r="CB316" i="10"/>
  <c r="F316" i="10"/>
  <c r="E316" i="10"/>
  <c r="D316" i="10" s="1"/>
  <c r="CY316" i="10" s="1"/>
  <c r="CP315" i="10"/>
  <c r="CO315" i="10"/>
  <c r="CB315" i="10"/>
  <c r="CA315" i="10"/>
  <c r="F315" i="10"/>
  <c r="E315" i="10"/>
  <c r="D315" i="10"/>
  <c r="CZ315" i="10" s="1"/>
  <c r="CW314" i="10"/>
  <c r="CP314" i="10"/>
  <c r="CO314" i="10"/>
  <c r="CI314" i="10"/>
  <c r="CB314" i="10"/>
  <c r="CA314" i="10"/>
  <c r="F314" i="10"/>
  <c r="E314" i="10"/>
  <c r="D314" i="10"/>
  <c r="CV314" i="10" s="1"/>
  <c r="CP313" i="10"/>
  <c r="CB313" i="10"/>
  <c r="CA313" i="10"/>
  <c r="F313" i="10"/>
  <c r="CO313" i="10" s="1"/>
  <c r="E313" i="10"/>
  <c r="D313" i="10" s="1"/>
  <c r="CV312" i="10"/>
  <c r="CT312" i="10"/>
  <c r="CP312" i="10"/>
  <c r="CO312" i="10"/>
  <c r="CL312" i="10"/>
  <c r="CK312" i="10"/>
  <c r="CB312" i="10"/>
  <c r="F312" i="10"/>
  <c r="CA312" i="10" s="1"/>
  <c r="E312" i="10"/>
  <c r="D312" i="10" s="1"/>
  <c r="CZ312" i="10" s="1"/>
  <c r="CP311" i="10"/>
  <c r="CO311" i="10"/>
  <c r="CB311" i="10"/>
  <c r="CA311" i="10"/>
  <c r="F311" i="10"/>
  <c r="E311" i="10"/>
  <c r="D311" i="10" s="1"/>
  <c r="CP310" i="10"/>
  <c r="CB310" i="10"/>
  <c r="F310" i="10"/>
  <c r="CO310" i="10" s="1"/>
  <c r="E310" i="10"/>
  <c r="D310" i="10" s="1"/>
  <c r="CP309" i="10"/>
  <c r="CO309" i="10"/>
  <c r="CB309" i="10"/>
  <c r="CA309" i="10"/>
  <c r="F309" i="10"/>
  <c r="E309" i="10"/>
  <c r="D309" i="10"/>
  <c r="CZ309" i="10" s="1"/>
  <c r="CP308" i="10"/>
  <c r="CO308" i="10"/>
  <c r="CB308" i="10"/>
  <c r="CA308" i="10"/>
  <c r="F308" i="10"/>
  <c r="E308" i="10"/>
  <c r="D308" i="10"/>
  <c r="CW308" i="10" s="1"/>
  <c r="CP307" i="10"/>
  <c r="CB307" i="10"/>
  <c r="CA307" i="10"/>
  <c r="F307" i="10"/>
  <c r="CO307" i="10" s="1"/>
  <c r="E307" i="10"/>
  <c r="D307" i="10"/>
  <c r="CW307" i="10" s="1"/>
  <c r="CP306" i="10"/>
  <c r="CB306" i="10"/>
  <c r="F306" i="10"/>
  <c r="CO306" i="10" s="1"/>
  <c r="E306" i="10"/>
  <c r="D306" i="10" s="1"/>
  <c r="CP305" i="10"/>
  <c r="CO305" i="10"/>
  <c r="CB305" i="10"/>
  <c r="CA305" i="10"/>
  <c r="F305" i="10"/>
  <c r="E305" i="10"/>
  <c r="D305" i="10"/>
  <c r="CZ305" i="10" s="1"/>
  <c r="CP304" i="10"/>
  <c r="CO304" i="10"/>
  <c r="CB304" i="10"/>
  <c r="CA304" i="10"/>
  <c r="F304" i="10"/>
  <c r="E304" i="10"/>
  <c r="D304" i="10"/>
  <c r="CX304" i="10" s="1"/>
  <c r="CP303" i="10"/>
  <c r="CB303" i="10"/>
  <c r="F303" i="10"/>
  <c r="CO303" i="10" s="1"/>
  <c r="E303" i="10"/>
  <c r="D303" i="10" s="1"/>
  <c r="CP302" i="10"/>
  <c r="CB302" i="10"/>
  <c r="F302" i="10"/>
  <c r="CO302" i="10" s="1"/>
  <c r="E302" i="10"/>
  <c r="D302" i="10" s="1"/>
  <c r="CP301" i="10"/>
  <c r="CB301" i="10"/>
  <c r="F301" i="10"/>
  <c r="CO301" i="10" s="1"/>
  <c r="E301" i="10"/>
  <c r="D301" i="10" s="1"/>
  <c r="CP300" i="10"/>
  <c r="CO300" i="10"/>
  <c r="CB300" i="10"/>
  <c r="CA300" i="10"/>
  <c r="F300" i="10"/>
  <c r="E300" i="10"/>
  <c r="D300" i="10"/>
  <c r="CZ300" i="10" s="1"/>
  <c r="CP299" i="10"/>
  <c r="CB299" i="10"/>
  <c r="F299" i="10"/>
  <c r="CO299" i="10" s="1"/>
  <c r="E299" i="10"/>
  <c r="D299" i="10" s="1"/>
  <c r="CP298" i="10"/>
  <c r="CB298" i="10"/>
  <c r="F298" i="10"/>
  <c r="CO298" i="10" s="1"/>
  <c r="E298" i="10"/>
  <c r="D298" i="10" s="1"/>
  <c r="CP297" i="10"/>
  <c r="CO297" i="10"/>
  <c r="CB297" i="10"/>
  <c r="CA297" i="10"/>
  <c r="F297" i="10"/>
  <c r="E297" i="10"/>
  <c r="D297" i="10"/>
  <c r="CZ297" i="10" s="1"/>
  <c r="CP296" i="10"/>
  <c r="CO296" i="10"/>
  <c r="CB296" i="10"/>
  <c r="CA296" i="10"/>
  <c r="F296" i="10"/>
  <c r="E296" i="10"/>
  <c r="D296" i="10"/>
  <c r="CW296" i="10" s="1"/>
  <c r="CP295" i="10"/>
  <c r="CB295" i="10"/>
  <c r="CA295" i="10"/>
  <c r="F295" i="10"/>
  <c r="CO295" i="10" s="1"/>
  <c r="E295" i="10"/>
  <c r="D295" i="10"/>
  <c r="CW295" i="10" s="1"/>
  <c r="CP294" i="10"/>
  <c r="CB294" i="10"/>
  <c r="F294" i="10"/>
  <c r="CO294" i="10" s="1"/>
  <c r="E294" i="10"/>
  <c r="D294" i="10" s="1"/>
  <c r="CP293" i="10"/>
  <c r="CO293" i="10"/>
  <c r="CB293" i="10"/>
  <c r="CA293" i="10"/>
  <c r="F293" i="10"/>
  <c r="E293" i="10"/>
  <c r="D293" i="10"/>
  <c r="CZ293" i="10" s="1"/>
  <c r="CP292" i="10"/>
  <c r="CO292" i="10"/>
  <c r="CB292" i="10"/>
  <c r="CA292" i="10"/>
  <c r="F292" i="10"/>
  <c r="E292" i="10"/>
  <c r="D292" i="10"/>
  <c r="CX292" i="10" s="1"/>
  <c r="CP291" i="10"/>
  <c r="CB291" i="10"/>
  <c r="F291" i="10"/>
  <c r="CO291" i="10" s="1"/>
  <c r="E291" i="10"/>
  <c r="D291" i="10" s="1"/>
  <c r="CP290" i="10"/>
  <c r="CB290" i="10"/>
  <c r="F290" i="10"/>
  <c r="CO290" i="10" s="1"/>
  <c r="E290" i="10"/>
  <c r="D290" i="10" s="1"/>
  <c r="CP289" i="10"/>
  <c r="CB289" i="10"/>
  <c r="F289" i="10"/>
  <c r="CO289" i="10" s="1"/>
  <c r="E289" i="10"/>
  <c r="D289" i="10" s="1"/>
  <c r="CP288" i="10"/>
  <c r="CO288" i="10"/>
  <c r="CB288" i="10"/>
  <c r="CA288" i="10"/>
  <c r="F288" i="10"/>
  <c r="E288" i="10"/>
  <c r="D288" i="10"/>
  <c r="CZ288" i="10" s="1"/>
  <c r="CP287" i="10"/>
  <c r="CB287" i="10"/>
  <c r="F287" i="10"/>
  <c r="CO287" i="10" s="1"/>
  <c r="E287" i="10"/>
  <c r="D287" i="10" s="1"/>
  <c r="CP286" i="10"/>
  <c r="CB286" i="10"/>
  <c r="F286" i="10"/>
  <c r="CO286" i="10" s="1"/>
  <c r="E286" i="10"/>
  <c r="D286" i="10" s="1"/>
  <c r="CP285" i="10"/>
  <c r="CO285" i="10"/>
  <c r="CB285" i="10"/>
  <c r="CA285" i="10"/>
  <c r="F285" i="10"/>
  <c r="E285" i="10"/>
  <c r="D285" i="10"/>
  <c r="CZ285" i="10" s="1"/>
  <c r="CP284" i="10"/>
  <c r="CO284" i="10"/>
  <c r="CB284" i="10"/>
  <c r="CA284" i="10"/>
  <c r="F284" i="10"/>
  <c r="E284" i="10"/>
  <c r="D284" i="10"/>
  <c r="CW284" i="10" s="1"/>
  <c r="CP283" i="10"/>
  <c r="CB283" i="10"/>
  <c r="CA283" i="10"/>
  <c r="F283" i="10"/>
  <c r="CO283" i="10" s="1"/>
  <c r="E283" i="10"/>
  <c r="D283" i="10"/>
  <c r="CW283" i="10" s="1"/>
  <c r="F282" i="10"/>
  <c r="E282" i="10"/>
  <c r="D282" i="10"/>
  <c r="CW282" i="10" s="1"/>
  <c r="F281" i="10"/>
  <c r="E281" i="10"/>
  <c r="D281" i="10"/>
  <c r="CW281" i="10" s="1"/>
  <c r="F280" i="10"/>
  <c r="E280" i="10"/>
  <c r="D280" i="10" s="1"/>
  <c r="F279" i="10"/>
  <c r="E279" i="10"/>
  <c r="D279" i="10" s="1"/>
  <c r="F278" i="10"/>
  <c r="E278" i="10"/>
  <c r="D278" i="10"/>
  <c r="CZ278" i="10" s="1"/>
  <c r="F277" i="10"/>
  <c r="E277" i="10"/>
  <c r="D277" i="10" s="1"/>
  <c r="F276" i="10"/>
  <c r="E276" i="10"/>
  <c r="D276" i="10"/>
  <c r="CZ276" i="10" s="1"/>
  <c r="F275" i="10"/>
  <c r="E275" i="10"/>
  <c r="D275" i="10" s="1"/>
  <c r="F274" i="10"/>
  <c r="E274" i="10"/>
  <c r="D274" i="10" s="1"/>
  <c r="F273" i="10"/>
  <c r="E273" i="10"/>
  <c r="D273" i="10"/>
  <c r="CZ273" i="10" s="1"/>
  <c r="F272" i="10"/>
  <c r="E272" i="10"/>
  <c r="D272" i="10"/>
  <c r="CW272" i="10" s="1"/>
  <c r="F271" i="10"/>
  <c r="E271" i="10"/>
  <c r="D271" i="10"/>
  <c r="CW271" i="10" s="1"/>
  <c r="F270" i="10"/>
  <c r="CO270" i="10" s="1"/>
  <c r="E270" i="10"/>
  <c r="D270" i="10" s="1"/>
  <c r="CO269" i="10"/>
  <c r="CA269" i="10"/>
  <c r="F269" i="10"/>
  <c r="E269" i="10"/>
  <c r="D269" i="10"/>
  <c r="CZ269" i="10" s="1"/>
  <c r="CO268" i="10"/>
  <c r="CA268" i="10"/>
  <c r="F268" i="10"/>
  <c r="E268" i="10"/>
  <c r="D268" i="10"/>
  <c r="CX268" i="10" s="1"/>
  <c r="F267" i="10"/>
  <c r="CO267" i="10" s="1"/>
  <c r="E267" i="10"/>
  <c r="D267" i="10" s="1"/>
  <c r="F266" i="10"/>
  <c r="CO266" i="10" s="1"/>
  <c r="E266" i="10"/>
  <c r="D266" i="10" s="1"/>
  <c r="F265" i="10"/>
  <c r="CO265" i="10" s="1"/>
  <c r="E265" i="10"/>
  <c r="D265" i="10" s="1"/>
  <c r="CP264" i="10"/>
  <c r="CO264" i="10"/>
  <c r="CB264" i="10"/>
  <c r="CA264" i="10"/>
  <c r="F264" i="10"/>
  <c r="E264" i="10"/>
  <c r="D264" i="10"/>
  <c r="CZ264" i="10" s="1"/>
  <c r="CP263" i="10"/>
  <c r="CB263" i="10"/>
  <c r="F263" i="10"/>
  <c r="CO263" i="10" s="1"/>
  <c r="E263" i="10"/>
  <c r="D263" i="10" s="1"/>
  <c r="CP262" i="10"/>
  <c r="CB262" i="10"/>
  <c r="F262" i="10"/>
  <c r="CO262" i="10" s="1"/>
  <c r="E262" i="10"/>
  <c r="D262" i="10" s="1"/>
  <c r="CP261" i="10"/>
  <c r="CO261" i="10"/>
  <c r="CB261" i="10"/>
  <c r="CA261" i="10"/>
  <c r="F261" i="10"/>
  <c r="E261" i="10"/>
  <c r="D261" i="10"/>
  <c r="CZ261" i="10" s="1"/>
  <c r="CP260" i="10"/>
  <c r="CO260" i="10"/>
  <c r="CB260" i="10"/>
  <c r="CA260" i="10"/>
  <c r="F260" i="10"/>
  <c r="E260" i="10"/>
  <c r="D260" i="10"/>
  <c r="CW260" i="10" s="1"/>
  <c r="CP259" i="10"/>
  <c r="CB259" i="10"/>
  <c r="CA259" i="10"/>
  <c r="F259" i="10"/>
  <c r="CO259" i="10" s="1"/>
  <c r="E259" i="10"/>
  <c r="D259" i="10"/>
  <c r="CW259" i="10" s="1"/>
  <c r="CP258" i="10"/>
  <c r="CB258" i="10"/>
  <c r="F258" i="10"/>
  <c r="CO258" i="10" s="1"/>
  <c r="E258" i="10"/>
  <c r="D258" i="10" s="1"/>
  <c r="CP257" i="10"/>
  <c r="CO257" i="10"/>
  <c r="CB257" i="10"/>
  <c r="CA257" i="10"/>
  <c r="F257" i="10"/>
  <c r="E257" i="10"/>
  <c r="D257" i="10"/>
  <c r="CZ257" i="10" s="1"/>
  <c r="CP256" i="10"/>
  <c r="CO256" i="10"/>
  <c r="CB256" i="10"/>
  <c r="CA256" i="10"/>
  <c r="F256" i="10"/>
  <c r="E256" i="10"/>
  <c r="D256" i="10"/>
  <c r="CX256" i="10" s="1"/>
  <c r="CP255" i="10"/>
  <c r="CB255" i="10"/>
  <c r="F255" i="10"/>
  <c r="CO255" i="10" s="1"/>
  <c r="E255" i="10"/>
  <c r="D255" i="10" s="1"/>
  <c r="CP254" i="10"/>
  <c r="CB254" i="10"/>
  <c r="F254" i="10"/>
  <c r="CO254" i="10" s="1"/>
  <c r="E254" i="10"/>
  <c r="D254" i="10" s="1"/>
  <c r="CP253" i="10"/>
  <c r="CB253" i="10"/>
  <c r="F253" i="10"/>
  <c r="CO253" i="10" s="1"/>
  <c r="E253" i="10"/>
  <c r="D253" i="10" s="1"/>
  <c r="CP252" i="10"/>
  <c r="CO252" i="10"/>
  <c r="CB252" i="10"/>
  <c r="CA252" i="10"/>
  <c r="F252" i="10"/>
  <c r="E252" i="10"/>
  <c r="D252" i="10"/>
  <c r="CZ252" i="10" s="1"/>
  <c r="CP251" i="10"/>
  <c r="CB251" i="10"/>
  <c r="F251" i="10"/>
  <c r="CO251" i="10" s="1"/>
  <c r="E251" i="10"/>
  <c r="D251" i="10" s="1"/>
  <c r="AY247" i="10"/>
  <c r="CS246" i="10"/>
  <c r="CR246" i="10"/>
  <c r="CO246" i="10"/>
  <c r="CE246" i="10"/>
  <c r="CB246" i="10"/>
  <c r="CA246" i="10"/>
  <c r="D246" i="10"/>
  <c r="CP246" i="10" s="1"/>
  <c r="CS245" i="10"/>
  <c r="CR245" i="10"/>
  <c r="CO245" i="10"/>
  <c r="CE245" i="10"/>
  <c r="CB245" i="10"/>
  <c r="CA245" i="10"/>
  <c r="D245" i="10"/>
  <c r="CP245" i="10" s="1"/>
  <c r="CS244" i="10"/>
  <c r="CR244" i="10"/>
  <c r="CO244" i="10"/>
  <c r="CE244" i="10"/>
  <c r="CB244" i="10"/>
  <c r="CA244" i="10"/>
  <c r="D244" i="10"/>
  <c r="CP244" i="10" s="1"/>
  <c r="CS243" i="10"/>
  <c r="CR243" i="10"/>
  <c r="CO243" i="10"/>
  <c r="CE243" i="10"/>
  <c r="CB243" i="10"/>
  <c r="CA243" i="10"/>
  <c r="D243" i="10"/>
  <c r="CP243" i="10" s="1"/>
  <c r="CS242" i="10"/>
  <c r="CR242" i="10"/>
  <c r="CO242" i="10"/>
  <c r="CE242" i="10"/>
  <c r="CB242" i="10"/>
  <c r="CA242" i="10"/>
  <c r="D242" i="10"/>
  <c r="CP242" i="10" s="1"/>
  <c r="AJ237" i="10"/>
  <c r="AD237" i="10"/>
  <c r="AJ236" i="10"/>
  <c r="AD236" i="10"/>
  <c r="AD235" i="10"/>
  <c r="CP235" i="10" s="1"/>
  <c r="F235" i="10"/>
  <c r="E235" i="10"/>
  <c r="D235" i="10"/>
  <c r="CO235" i="10" s="1"/>
  <c r="AD234" i="10"/>
  <c r="F234" i="10"/>
  <c r="E234" i="10"/>
  <c r="D234" i="10" s="1"/>
  <c r="AD233" i="10"/>
  <c r="F233" i="10"/>
  <c r="E233" i="10"/>
  <c r="D233" i="10" s="1"/>
  <c r="AD232" i="10"/>
  <c r="CP232" i="10" s="1"/>
  <c r="F232" i="10"/>
  <c r="D232" i="10" s="1"/>
  <c r="E232" i="10"/>
  <c r="AY228" i="10"/>
  <c r="AY227" i="10"/>
  <c r="F227" i="10"/>
  <c r="E227" i="10"/>
  <c r="D227" i="10"/>
  <c r="F226" i="10"/>
  <c r="E226" i="10"/>
  <c r="D226" i="10" s="1"/>
  <c r="F225" i="10"/>
  <c r="E225" i="10"/>
  <c r="D225" i="10"/>
  <c r="CV225" i="10" s="1"/>
  <c r="F224" i="10"/>
  <c r="E224" i="10"/>
  <c r="D224" i="10"/>
  <c r="CT224" i="10" s="1"/>
  <c r="F223" i="10"/>
  <c r="E223" i="10"/>
  <c r="D223" i="10" s="1"/>
  <c r="F222" i="10"/>
  <c r="E222" i="10"/>
  <c r="D222" i="10" s="1"/>
  <c r="F221" i="10"/>
  <c r="E221" i="10"/>
  <c r="D221" i="10"/>
  <c r="CV221" i="10" s="1"/>
  <c r="F220" i="10"/>
  <c r="E220" i="10"/>
  <c r="D220" i="10" s="1"/>
  <c r="F219" i="10"/>
  <c r="E219" i="10"/>
  <c r="D219" i="10" s="1"/>
  <c r="F218" i="10"/>
  <c r="E218" i="10"/>
  <c r="D218" i="10" s="1"/>
  <c r="F217" i="10"/>
  <c r="E217" i="10"/>
  <c r="D217" i="10" s="1"/>
  <c r="F216" i="10"/>
  <c r="E216" i="10"/>
  <c r="D216" i="10"/>
  <c r="CV216" i="10" s="1"/>
  <c r="F215" i="10"/>
  <c r="E215" i="10"/>
  <c r="D215" i="10"/>
  <c r="CT215" i="10" s="1"/>
  <c r="F214" i="10"/>
  <c r="E214" i="10"/>
  <c r="D214" i="10" s="1"/>
  <c r="F213" i="10"/>
  <c r="E213" i="10"/>
  <c r="D213" i="10" s="1"/>
  <c r="F212" i="10"/>
  <c r="E212" i="10"/>
  <c r="D212" i="10" s="1"/>
  <c r="F211" i="10"/>
  <c r="E211" i="10"/>
  <c r="D211" i="10"/>
  <c r="CV211" i="10" s="1"/>
  <c r="F210" i="10"/>
  <c r="E210" i="10"/>
  <c r="D210" i="10" s="1"/>
  <c r="F209" i="10"/>
  <c r="E209" i="10"/>
  <c r="D209" i="10" s="1"/>
  <c r="F208" i="10"/>
  <c r="E208" i="10"/>
  <c r="D208" i="10"/>
  <c r="CV208" i="10" s="1"/>
  <c r="F207" i="10"/>
  <c r="E207" i="10"/>
  <c r="D207" i="10"/>
  <c r="CT207" i="10" s="1"/>
  <c r="F206" i="10"/>
  <c r="E206" i="10"/>
  <c r="D206" i="10" s="1"/>
  <c r="F205" i="10"/>
  <c r="E205" i="10"/>
  <c r="D205" i="10"/>
  <c r="CV205" i="10" s="1"/>
  <c r="F204" i="10"/>
  <c r="E204" i="10"/>
  <c r="D204" i="10"/>
  <c r="CT204" i="10" s="1"/>
  <c r="F203" i="10"/>
  <c r="E203" i="10"/>
  <c r="D203" i="10"/>
  <c r="CT203" i="10" s="1"/>
  <c r="F202" i="10"/>
  <c r="E202" i="10"/>
  <c r="D202" i="10"/>
  <c r="CT202" i="10" s="1"/>
  <c r="AX201" i="10"/>
  <c r="AW201" i="10"/>
  <c r="AV201" i="10"/>
  <c r="AU201" i="10"/>
  <c r="AT201" i="10"/>
  <c r="AS201" i="10"/>
  <c r="AR201" i="10"/>
  <c r="AQ201" i="10"/>
  <c r="AP201" i="10"/>
  <c r="AO201" i="10"/>
  <c r="AN201" i="10"/>
  <c r="AM201" i="10"/>
  <c r="AL201" i="10"/>
  <c r="AK201" i="10"/>
  <c r="AJ201" i="10"/>
  <c r="AI201" i="10"/>
  <c r="AH201" i="10"/>
  <c r="AG201" i="10"/>
  <c r="AF201" i="10"/>
  <c r="AE201" i="10"/>
  <c r="AD201" i="10"/>
  <c r="AC201" i="10"/>
  <c r="AB201" i="10"/>
  <c r="AA201" i="10"/>
  <c r="Z201" i="10"/>
  <c r="Y201" i="10"/>
  <c r="X201" i="10"/>
  <c r="W201" i="10"/>
  <c r="V201" i="10"/>
  <c r="U201" i="10"/>
  <c r="T201" i="10"/>
  <c r="S201" i="10"/>
  <c r="R201" i="10"/>
  <c r="Q201" i="10"/>
  <c r="P201" i="10"/>
  <c r="O201" i="10"/>
  <c r="N201" i="10"/>
  <c r="M201" i="10"/>
  <c r="L201" i="10"/>
  <c r="K201" i="10"/>
  <c r="J201" i="10"/>
  <c r="I201" i="10"/>
  <c r="H201" i="10"/>
  <c r="F201" i="10" s="1"/>
  <c r="G201" i="10"/>
  <c r="E201" i="10"/>
  <c r="AY200" i="10"/>
  <c r="E200" i="10"/>
  <c r="D200" i="10"/>
  <c r="AY199" i="10"/>
  <c r="E199" i="10"/>
  <c r="D199" i="10" s="1"/>
  <c r="E198" i="10"/>
  <c r="D198" i="10" s="1"/>
  <c r="E197" i="10"/>
  <c r="D197" i="10" s="1"/>
  <c r="AX196" i="10"/>
  <c r="AW196" i="10"/>
  <c r="AV196" i="10"/>
  <c r="AU196" i="10"/>
  <c r="AT196" i="10"/>
  <c r="AS196" i="10"/>
  <c r="AR196" i="10"/>
  <c r="AQ196" i="10"/>
  <c r="AO196" i="10"/>
  <c r="AM196" i="10"/>
  <c r="AK196" i="10"/>
  <c r="AI196" i="10"/>
  <c r="AG196" i="10"/>
  <c r="AE196" i="10"/>
  <c r="AC196" i="10"/>
  <c r="E196" i="10" s="1"/>
  <c r="D196" i="10" s="1"/>
  <c r="E195" i="10"/>
  <c r="D195" i="10"/>
  <c r="CR195" i="10" s="1"/>
  <c r="AY194" i="10"/>
  <c r="E194" i="10"/>
  <c r="D194" i="10"/>
  <c r="AY193" i="10"/>
  <c r="E193" i="10"/>
  <c r="D193" i="10" s="1"/>
  <c r="AY192" i="10"/>
  <c r="E192" i="10"/>
  <c r="D192" i="10" s="1"/>
  <c r="AY191" i="10"/>
  <c r="F191" i="10"/>
  <c r="D191" i="10"/>
  <c r="AY190" i="10"/>
  <c r="F190" i="10"/>
  <c r="D190" i="10"/>
  <c r="F189" i="10"/>
  <c r="D189" i="10" s="1"/>
  <c r="F188" i="10"/>
  <c r="D188" i="10" s="1"/>
  <c r="F187" i="10"/>
  <c r="D187" i="10"/>
  <c r="CU187" i="10" s="1"/>
  <c r="F186" i="10"/>
  <c r="D186" i="10" s="1"/>
  <c r="F185" i="10"/>
  <c r="D185" i="10" s="1"/>
  <c r="F184" i="10"/>
  <c r="D184" i="10" s="1"/>
  <c r="AX183" i="10"/>
  <c r="AW183" i="10"/>
  <c r="AV183" i="10"/>
  <c r="AU183" i="10"/>
  <c r="AT183" i="10"/>
  <c r="AS183" i="10"/>
  <c r="AR183" i="10"/>
  <c r="AQ183" i="10"/>
  <c r="AP183" i="10"/>
  <c r="AN183" i="10"/>
  <c r="AL183" i="10"/>
  <c r="AJ183" i="10"/>
  <c r="AH183" i="10"/>
  <c r="AF183" i="10"/>
  <c r="F183" i="10" s="1"/>
  <c r="D183" i="10" s="1"/>
  <c r="AD183" i="10"/>
  <c r="F182" i="10"/>
  <c r="D182" i="10" s="1"/>
  <c r="F181" i="10"/>
  <c r="D181" i="10" s="1"/>
  <c r="F180" i="10"/>
  <c r="D180" i="10" s="1"/>
  <c r="F179" i="10"/>
  <c r="D179" i="10" s="1"/>
  <c r="AX174" i="10"/>
  <c r="AW174" i="10"/>
  <c r="AV174" i="10"/>
  <c r="AU174" i="10"/>
  <c r="AT174" i="10"/>
  <c r="AS174" i="10"/>
  <c r="AR174" i="10"/>
  <c r="AQ174" i="10"/>
  <c r="AP174" i="10"/>
  <c r="AO174" i="10"/>
  <c r="AN174" i="10"/>
  <c r="AM174" i="10"/>
  <c r="AL174" i="10"/>
  <c r="AK174" i="10"/>
  <c r="AJ174" i="10"/>
  <c r="AI174" i="10"/>
  <c r="AH174" i="10"/>
  <c r="AG174" i="10"/>
  <c r="AF174" i="10"/>
  <c r="AE174" i="10"/>
  <c r="AD174" i="10"/>
  <c r="AC174" i="10"/>
  <c r="AB174" i="10"/>
  <c r="AA174" i="10"/>
  <c r="Z174" i="10"/>
  <c r="Y174" i="10"/>
  <c r="X174" i="10"/>
  <c r="W174" i="10"/>
  <c r="V174" i="10"/>
  <c r="U174" i="10"/>
  <c r="T174" i="10"/>
  <c r="S174" i="10"/>
  <c r="R174" i="10"/>
  <c r="Q174" i="10"/>
  <c r="P174" i="10"/>
  <c r="O174" i="10"/>
  <c r="N174" i="10"/>
  <c r="M174" i="10"/>
  <c r="L174" i="10"/>
  <c r="K174" i="10"/>
  <c r="J174" i="10"/>
  <c r="I174" i="10"/>
  <c r="H174" i="10"/>
  <c r="G174" i="10"/>
  <c r="CQ173" i="10"/>
  <c r="CO173" i="10"/>
  <c r="CC173" i="10"/>
  <c r="CA173" i="10"/>
  <c r="F173" i="10"/>
  <c r="CP173" i="10" s="1"/>
  <c r="E173" i="10"/>
  <c r="D173" i="10" s="1"/>
  <c r="CU173" i="10" s="1"/>
  <c r="CQ172" i="10"/>
  <c r="CP172" i="10"/>
  <c r="CO172" i="10"/>
  <c r="CC172" i="10"/>
  <c r="CA172" i="10"/>
  <c r="F172" i="10"/>
  <c r="CB172" i="10" s="1"/>
  <c r="E172" i="10"/>
  <c r="D172" i="10" s="1"/>
  <c r="CU172" i="10" s="1"/>
  <c r="CQ171" i="10"/>
  <c r="CP171" i="10"/>
  <c r="CO171" i="10"/>
  <c r="CC171" i="10"/>
  <c r="CA171" i="10"/>
  <c r="F171" i="10"/>
  <c r="CB171" i="10" s="1"/>
  <c r="E171" i="10"/>
  <c r="D171" i="10" s="1"/>
  <c r="CU171" i="10" s="1"/>
  <c r="CQ170" i="10"/>
  <c r="CP170" i="10"/>
  <c r="CO170" i="10"/>
  <c r="CC170" i="10"/>
  <c r="CA170" i="10"/>
  <c r="F170" i="10"/>
  <c r="CB170" i="10" s="1"/>
  <c r="E170" i="10"/>
  <c r="D170" i="10" s="1"/>
  <c r="CU170" i="10" s="1"/>
  <c r="CQ169" i="10"/>
  <c r="CP169" i="10"/>
  <c r="CO169" i="10"/>
  <c r="CC169" i="10"/>
  <c r="CA169" i="10"/>
  <c r="F169" i="10"/>
  <c r="CB169" i="10" s="1"/>
  <c r="E169" i="10"/>
  <c r="D169" i="10" s="1"/>
  <c r="CU169" i="10" s="1"/>
  <c r="CQ168" i="10"/>
  <c r="CP168" i="10"/>
  <c r="CO168" i="10"/>
  <c r="CC168" i="10"/>
  <c r="CA168" i="10"/>
  <c r="F168" i="10"/>
  <c r="CB168" i="10" s="1"/>
  <c r="E168" i="10"/>
  <c r="D168" i="10" s="1"/>
  <c r="CU168" i="10" s="1"/>
  <c r="CQ167" i="10"/>
  <c r="CP167" i="10"/>
  <c r="CO167" i="10"/>
  <c r="CC167" i="10"/>
  <c r="CA167" i="10"/>
  <c r="F167" i="10"/>
  <c r="CB167" i="10" s="1"/>
  <c r="E167" i="10"/>
  <c r="D167" i="10" s="1"/>
  <c r="CU167" i="10" s="1"/>
  <c r="CQ166" i="10"/>
  <c r="CP166" i="10"/>
  <c r="CO166" i="10"/>
  <c r="CC166" i="10"/>
  <c r="CA166" i="10"/>
  <c r="F166" i="10"/>
  <c r="CB166" i="10" s="1"/>
  <c r="E166" i="10"/>
  <c r="D166" i="10" s="1"/>
  <c r="CU166" i="10" s="1"/>
  <c r="CQ165" i="10"/>
  <c r="CP165" i="10"/>
  <c r="CO165" i="10"/>
  <c r="CC165" i="10"/>
  <c r="CA165" i="10"/>
  <c r="F165" i="10"/>
  <c r="CB165" i="10" s="1"/>
  <c r="E165" i="10"/>
  <c r="D165" i="10" s="1"/>
  <c r="CU165" i="10" s="1"/>
  <c r="CQ164" i="10"/>
  <c r="CP164" i="10"/>
  <c r="CO164" i="10"/>
  <c r="CC164" i="10"/>
  <c r="CA164" i="10"/>
  <c r="F164" i="10"/>
  <c r="CB164" i="10" s="1"/>
  <c r="E164" i="10"/>
  <c r="D164" i="10" s="1"/>
  <c r="CU164" i="10" s="1"/>
  <c r="CQ163" i="10"/>
  <c r="CP163" i="10"/>
  <c r="CO163" i="10"/>
  <c r="CC163" i="10"/>
  <c r="CA163" i="10"/>
  <c r="F163" i="10"/>
  <c r="CB163" i="10" s="1"/>
  <c r="E163" i="10"/>
  <c r="D163" i="10" s="1"/>
  <c r="CU163" i="10" s="1"/>
  <c r="N158" i="10"/>
  <c r="M158" i="10"/>
  <c r="L158" i="10" a="1"/>
  <c r="L158" i="10" s="1"/>
  <c r="K158" i="10"/>
  <c r="J158" i="10"/>
  <c r="H158" i="10"/>
  <c r="G158" i="10"/>
  <c r="F158" i="10"/>
  <c r="E158" i="10"/>
  <c r="D158" i="10"/>
  <c r="C158" i="10"/>
  <c r="I157" i="10"/>
  <c r="B157" i="10"/>
  <c r="I156" i="10"/>
  <c r="B156" i="10"/>
  <c r="I155" i="10"/>
  <c r="B155" i="10"/>
  <c r="I154" i="10"/>
  <c r="B154" i="10"/>
  <c r="I153" i="10"/>
  <c r="B153" i="10"/>
  <c r="I152" i="10"/>
  <c r="B152" i="10"/>
  <c r="I151" i="10"/>
  <c r="B151" i="10"/>
  <c r="I150" i="10"/>
  <c r="B150" i="10"/>
  <c r="I149" i="10"/>
  <c r="I158" i="10" s="1"/>
  <c r="B149" i="10"/>
  <c r="I148" i="10"/>
  <c r="B148" i="10"/>
  <c r="B158" i="10" s="1"/>
  <c r="AX143" i="10"/>
  <c r="AW143" i="10"/>
  <c r="AV143" i="10"/>
  <c r="AU143" i="10"/>
  <c r="AT143" i="10"/>
  <c r="AS143" i="10"/>
  <c r="AR143" i="10"/>
  <c r="AQ143" i="10"/>
  <c r="AP143" i="10"/>
  <c r="AO143" i="10"/>
  <c r="AN143" i="10"/>
  <c r="AM143" i="10"/>
  <c r="AL143" i="10"/>
  <c r="AK143" i="10"/>
  <c r="AJ143" i="10"/>
  <c r="AI143" i="10"/>
  <c r="AH143" i="10"/>
  <c r="AG143" i="10"/>
  <c r="AF143" i="10"/>
  <c r="AE143" i="10"/>
  <c r="AD143" i="10"/>
  <c r="AC143" i="10"/>
  <c r="AB143" i="10"/>
  <c r="AA143" i="10"/>
  <c r="Z143" i="10"/>
  <c r="Y143" i="10"/>
  <c r="X143" i="10"/>
  <c r="W143" i="10"/>
  <c r="V143" i="10"/>
  <c r="U143" i="10"/>
  <c r="T143" i="10"/>
  <c r="S143" i="10"/>
  <c r="R143" i="10"/>
  <c r="Q143" i="10"/>
  <c r="P143" i="10"/>
  <c r="O143" i="10"/>
  <c r="N143" i="10"/>
  <c r="M143" i="10"/>
  <c r="L143" i="10"/>
  <c r="K143" i="10"/>
  <c r="J143" i="10"/>
  <c r="I143" i="10"/>
  <c r="H143" i="10"/>
  <c r="G143" i="10"/>
  <c r="E143" i="10" s="1"/>
  <c r="D143" i="10" s="1"/>
  <c r="F143" i="10"/>
  <c r="CR142" i="10"/>
  <c r="CD142" i="10"/>
  <c r="CA142" i="10"/>
  <c r="F142" i="10"/>
  <c r="CB142" i="10" s="1"/>
  <c r="E142" i="10"/>
  <c r="CR141" i="10"/>
  <c r="CD141" i="10"/>
  <c r="CA141" i="10"/>
  <c r="F141" i="10"/>
  <c r="CB141" i="10" s="1"/>
  <c r="E141" i="10"/>
  <c r="CR140" i="10"/>
  <c r="CD140" i="10"/>
  <c r="CB140" i="10"/>
  <c r="CA140" i="10"/>
  <c r="F140" i="10"/>
  <c r="CP140" i="10" s="1"/>
  <c r="E140" i="10"/>
  <c r="D140" i="10" s="1"/>
  <c r="CR139" i="10"/>
  <c r="CD139" i="10"/>
  <c r="CB139" i="10"/>
  <c r="CA139" i="10"/>
  <c r="F139" i="10"/>
  <c r="CP139" i="10" s="1"/>
  <c r="E139" i="10"/>
  <c r="D139" i="10" s="1"/>
  <c r="CR138" i="10"/>
  <c r="CD138" i="10"/>
  <c r="CB138" i="10"/>
  <c r="CA138" i="10"/>
  <c r="F138" i="10"/>
  <c r="CP138" i="10" s="1"/>
  <c r="E138" i="10"/>
  <c r="D138" i="10" s="1"/>
  <c r="CR137" i="10"/>
  <c r="CP137" i="10"/>
  <c r="CD137" i="10"/>
  <c r="CA137" i="10"/>
  <c r="F137" i="10"/>
  <c r="E137" i="10"/>
  <c r="CR136" i="10"/>
  <c r="CD136" i="10"/>
  <c r="CB136" i="10"/>
  <c r="CA136" i="10"/>
  <c r="F136" i="10"/>
  <c r="CP136" i="10" s="1"/>
  <c r="E136" i="10"/>
  <c r="D136" i="10" s="1"/>
  <c r="CR135" i="10"/>
  <c r="CD135" i="10"/>
  <c r="CA135" i="10"/>
  <c r="F135" i="10"/>
  <c r="CP135" i="10" s="1"/>
  <c r="E135" i="10"/>
  <c r="CR134" i="10"/>
  <c r="CD134" i="10"/>
  <c r="CB134" i="10"/>
  <c r="CA134" i="10"/>
  <c r="F134" i="10"/>
  <c r="CP134" i="10" s="1"/>
  <c r="E134" i="10"/>
  <c r="D134" i="10" s="1"/>
  <c r="CR133" i="10"/>
  <c r="CD133" i="10"/>
  <c r="CA133" i="10"/>
  <c r="F133" i="10"/>
  <c r="CP133" i="10" s="1"/>
  <c r="E133" i="10"/>
  <c r="CR132" i="10"/>
  <c r="CD132" i="10"/>
  <c r="CB132" i="10"/>
  <c r="CA132" i="10"/>
  <c r="F132" i="10"/>
  <c r="CP132" i="10" s="1"/>
  <c r="E132" i="10"/>
  <c r="D132" i="10"/>
  <c r="CR131" i="10"/>
  <c r="CD131" i="10"/>
  <c r="CA131" i="10"/>
  <c r="F131" i="10"/>
  <c r="E131" i="10"/>
  <c r="CS130" i="10"/>
  <c r="CR130" i="10"/>
  <c r="CF130" i="10"/>
  <c r="CE130" i="10"/>
  <c r="CD130" i="10"/>
  <c r="CB130" i="10"/>
  <c r="CA130" i="10"/>
  <c r="F130" i="10"/>
  <c r="CP130" i="10" s="1"/>
  <c r="E130" i="10"/>
  <c r="D130" i="10"/>
  <c r="CR129" i="10"/>
  <c r="CP129" i="10"/>
  <c r="CD129" i="10"/>
  <c r="CA129" i="10"/>
  <c r="F129" i="10"/>
  <c r="E129" i="10"/>
  <c r="CR128" i="10"/>
  <c r="CD128" i="10"/>
  <c r="CB128" i="10"/>
  <c r="CA128" i="10"/>
  <c r="F128" i="10"/>
  <c r="CP128" i="10" s="1"/>
  <c r="E128" i="10"/>
  <c r="D128" i="10" s="1"/>
  <c r="CR127" i="10"/>
  <c r="CD127" i="10"/>
  <c r="F127" i="10"/>
  <c r="E127" i="10"/>
  <c r="CR126" i="10"/>
  <c r="CD126" i="10"/>
  <c r="CA126" i="10"/>
  <c r="F126" i="10"/>
  <c r="CB126" i="10" s="1"/>
  <c r="E126" i="10"/>
  <c r="D126" i="10" s="1"/>
  <c r="CX125" i="10"/>
  <c r="CS125" i="10"/>
  <c r="CR125" i="10"/>
  <c r="CP125" i="10"/>
  <c r="CG125" i="10"/>
  <c r="CF125" i="10"/>
  <c r="CD125" i="10"/>
  <c r="CB125" i="10"/>
  <c r="F125" i="10"/>
  <c r="E125" i="10"/>
  <c r="D125" i="10"/>
  <c r="CR124" i="10"/>
  <c r="CD124" i="10"/>
  <c r="F124" i="10"/>
  <c r="E124" i="10"/>
  <c r="CR123" i="10"/>
  <c r="CP123" i="10"/>
  <c r="CD123" i="10"/>
  <c r="CB123" i="10"/>
  <c r="F123" i="10"/>
  <c r="E123" i="10"/>
  <c r="D123" i="10" s="1"/>
  <c r="CR122" i="10"/>
  <c r="CD122" i="10"/>
  <c r="F122" i="10"/>
  <c r="E122" i="10"/>
  <c r="D122" i="10" s="1"/>
  <c r="CX121" i="10"/>
  <c r="CS121" i="10"/>
  <c r="CR121" i="10"/>
  <c r="CP121" i="10"/>
  <c r="CG121" i="10"/>
  <c r="CF121" i="10"/>
  <c r="CD121" i="10"/>
  <c r="CB121" i="10"/>
  <c r="F121" i="10"/>
  <c r="E121" i="10"/>
  <c r="D121" i="10"/>
  <c r="CR120" i="10"/>
  <c r="CP120" i="10"/>
  <c r="CD120" i="10"/>
  <c r="CA120" i="10"/>
  <c r="F120" i="10"/>
  <c r="E120" i="10"/>
  <c r="CR119" i="10"/>
  <c r="CD119" i="10"/>
  <c r="CB119" i="10"/>
  <c r="CA119" i="10"/>
  <c r="F119" i="10"/>
  <c r="CP119" i="10" s="1"/>
  <c r="E119" i="10"/>
  <c r="D119" i="10" s="1"/>
  <c r="CR118" i="10"/>
  <c r="CP118" i="10"/>
  <c r="CD118" i="10"/>
  <c r="CA118" i="10"/>
  <c r="F118" i="10"/>
  <c r="E118" i="10"/>
  <c r="CR117" i="10"/>
  <c r="CD117" i="10"/>
  <c r="CB117" i="10"/>
  <c r="CA117" i="10"/>
  <c r="F117" i="10"/>
  <c r="CP117" i="10" s="1"/>
  <c r="E117" i="10"/>
  <c r="D117" i="10" s="1"/>
  <c r="CR116" i="10"/>
  <c r="CQ116" i="10"/>
  <c r="CF116" i="10"/>
  <c r="CE116" i="10"/>
  <c r="CD116" i="10"/>
  <c r="CB116" i="10"/>
  <c r="CA116" i="10"/>
  <c r="F116" i="10"/>
  <c r="CP116" i="10" s="1"/>
  <c r="E116" i="10"/>
  <c r="D116" i="10"/>
  <c r="CR115" i="10"/>
  <c r="CP115" i="10"/>
  <c r="CD115" i="10"/>
  <c r="CA115" i="10"/>
  <c r="F115" i="10"/>
  <c r="E115" i="10"/>
  <c r="CR114" i="10"/>
  <c r="CD114" i="10"/>
  <c r="CB114" i="10"/>
  <c r="CA114" i="10"/>
  <c r="F114" i="10"/>
  <c r="CP114" i="10" s="1"/>
  <c r="E114" i="10"/>
  <c r="D114" i="10" s="1"/>
  <c r="CR113" i="10"/>
  <c r="CA113" i="10"/>
  <c r="F113" i="10"/>
  <c r="CP113" i="10" s="1"/>
  <c r="E113" i="10"/>
  <c r="CU112" i="10"/>
  <c r="CR112" i="10"/>
  <c r="CH112" i="10"/>
  <c r="CE112" i="10"/>
  <c r="CD112" i="10"/>
  <c r="CA112" i="10"/>
  <c r="F112" i="10"/>
  <c r="CB112" i="10" s="1"/>
  <c r="E112" i="10"/>
  <c r="D112" i="10"/>
  <c r="CR111" i="10"/>
  <c r="CD111" i="10"/>
  <c r="CA111" i="10"/>
  <c r="F111" i="10"/>
  <c r="CB111" i="10" s="1"/>
  <c r="E111" i="10"/>
  <c r="CU110" i="10"/>
  <c r="CR110" i="10"/>
  <c r="CQ110" i="10"/>
  <c r="CH110" i="10"/>
  <c r="CE110" i="10"/>
  <c r="CD110" i="10"/>
  <c r="CA110" i="10"/>
  <c r="F110" i="10"/>
  <c r="CB110" i="10" s="1"/>
  <c r="E110" i="10"/>
  <c r="D110" i="10"/>
  <c r="CR109" i="10"/>
  <c r="CD109" i="10"/>
  <c r="CB109" i="10"/>
  <c r="CA109" i="10"/>
  <c r="F109" i="10"/>
  <c r="CP109" i="10" s="1"/>
  <c r="E109" i="10"/>
  <c r="D109" i="10" s="1"/>
  <c r="CR108" i="10"/>
  <c r="CP108" i="10"/>
  <c r="CD108" i="10"/>
  <c r="CA108" i="10"/>
  <c r="F108" i="10"/>
  <c r="CB108" i="10" s="1"/>
  <c r="E108" i="10"/>
  <c r="D108" i="10"/>
  <c r="CR107" i="10"/>
  <c r="CD107" i="10"/>
  <c r="CA107" i="10"/>
  <c r="F107" i="10"/>
  <c r="CB107" i="10" s="1"/>
  <c r="E107" i="10"/>
  <c r="D107" i="10" s="1"/>
  <c r="CR106" i="10"/>
  <c r="CD106" i="10"/>
  <c r="CB106" i="10"/>
  <c r="CA106" i="10"/>
  <c r="F106" i="10"/>
  <c r="CP106" i="10" s="1"/>
  <c r="E106" i="10"/>
  <c r="D106" i="10"/>
  <c r="CU106" i="10" s="1"/>
  <c r="CP105" i="10"/>
  <c r="CB105" i="10"/>
  <c r="CA105" i="10"/>
  <c r="F105" i="10"/>
  <c r="E105" i="10"/>
  <c r="D105" i="10"/>
  <c r="CW105" i="10" s="1"/>
  <c r="CR104" i="10"/>
  <c r="CD104" i="10"/>
  <c r="F104" i="10"/>
  <c r="CP104" i="10" s="1"/>
  <c r="E104" i="10"/>
  <c r="D104" i="10" s="1"/>
  <c r="CR103" i="10"/>
  <c r="CD103" i="10"/>
  <c r="CB103" i="10"/>
  <c r="CA103" i="10"/>
  <c r="F103" i="10"/>
  <c r="CP103" i="10" s="1"/>
  <c r="E103" i="10"/>
  <c r="D103" i="10"/>
  <c r="CU103" i="10" s="1"/>
  <c r="CR102" i="10"/>
  <c r="CD102" i="10"/>
  <c r="CA102" i="10"/>
  <c r="F102" i="10"/>
  <c r="CB102" i="10" s="1"/>
  <c r="E102" i="10"/>
  <c r="D102" i="10" s="1"/>
  <c r="CR101" i="10"/>
  <c r="CD101" i="10"/>
  <c r="CB101" i="10"/>
  <c r="CA101" i="10"/>
  <c r="F101" i="10"/>
  <c r="CP101" i="10" s="1"/>
  <c r="E101" i="10"/>
  <c r="D101" i="10"/>
  <c r="CU101" i="10" s="1"/>
  <c r="CR100" i="10"/>
  <c r="CD100" i="10"/>
  <c r="CA100" i="10"/>
  <c r="F100" i="10"/>
  <c r="CB100" i="10" s="1"/>
  <c r="E100" i="10"/>
  <c r="D100" i="10" s="1"/>
  <c r="CR99" i="10"/>
  <c r="CD99" i="10"/>
  <c r="CB99" i="10"/>
  <c r="CA99" i="10"/>
  <c r="F99" i="10"/>
  <c r="CP99" i="10" s="1"/>
  <c r="E99" i="10"/>
  <c r="D99" i="10"/>
  <c r="CU99" i="10" s="1"/>
  <c r="CR98" i="10"/>
  <c r="CD98" i="10"/>
  <c r="CA98" i="10"/>
  <c r="F98" i="10"/>
  <c r="CB98" i="10" s="1"/>
  <c r="E98" i="10"/>
  <c r="D98" i="10" s="1"/>
  <c r="CR97" i="10"/>
  <c r="CD97" i="10"/>
  <c r="CB97" i="10"/>
  <c r="CA97" i="10"/>
  <c r="F97" i="10"/>
  <c r="CP97" i="10" s="1"/>
  <c r="E97" i="10"/>
  <c r="D97" i="10"/>
  <c r="CU97" i="10" s="1"/>
  <c r="CR96" i="10"/>
  <c r="CD96" i="10"/>
  <c r="CA96" i="10"/>
  <c r="F96" i="10"/>
  <c r="CB96" i="10" s="1"/>
  <c r="E96" i="10"/>
  <c r="D96" i="10" s="1"/>
  <c r="CR95" i="10"/>
  <c r="CD95" i="10"/>
  <c r="CB95" i="10"/>
  <c r="CA95" i="10"/>
  <c r="F95" i="10"/>
  <c r="CP95" i="10" s="1"/>
  <c r="E95" i="10"/>
  <c r="D95" i="10"/>
  <c r="CU95" i="10" s="1"/>
  <c r="CR94" i="10"/>
  <c r="CD94" i="10"/>
  <c r="CA94" i="10"/>
  <c r="F94" i="10"/>
  <c r="CB94" i="10" s="1"/>
  <c r="E94" i="10"/>
  <c r="D94" i="10" s="1"/>
  <c r="CR93" i="10"/>
  <c r="CD93" i="10"/>
  <c r="CB93" i="10"/>
  <c r="CA93" i="10"/>
  <c r="F93" i="10"/>
  <c r="CP93" i="10" s="1"/>
  <c r="E93" i="10"/>
  <c r="D93" i="10"/>
  <c r="CU93" i="10" s="1"/>
  <c r="CR92" i="10"/>
  <c r="CD92" i="10"/>
  <c r="CA92" i="10"/>
  <c r="F92" i="10"/>
  <c r="CB92" i="10" s="1"/>
  <c r="E92" i="10"/>
  <c r="CR91" i="10"/>
  <c r="CD91" i="10"/>
  <c r="CB91" i="10"/>
  <c r="CA91" i="10"/>
  <c r="F91" i="10"/>
  <c r="CP91" i="10" s="1"/>
  <c r="E91" i="10"/>
  <c r="D91" i="10"/>
  <c r="CU91" i="10" s="1"/>
  <c r="D86" i="10"/>
  <c r="D85" i="10"/>
  <c r="CA81" i="10"/>
  <c r="O81" i="10" s="1"/>
  <c r="I81" i="10"/>
  <c r="D81" i="10"/>
  <c r="CO81" i="10" s="1"/>
  <c r="I80" i="10"/>
  <c r="CA80" i="10" s="1"/>
  <c r="O80" i="10" s="1"/>
  <c r="D80" i="10"/>
  <c r="CO80" i="10" s="1"/>
  <c r="I79" i="10"/>
  <c r="CO79" i="10" s="1"/>
  <c r="D79" i="10"/>
  <c r="CA78" i="10"/>
  <c r="O78" i="10"/>
  <c r="I78" i="10"/>
  <c r="CO78" i="10" s="1"/>
  <c r="D78" i="10"/>
  <c r="CA77" i="10"/>
  <c r="O77" i="10" s="1"/>
  <c r="I77" i="10"/>
  <c r="D77" i="10"/>
  <c r="CO77" i="10" s="1"/>
  <c r="I76" i="10"/>
  <c r="CA76" i="10" s="1"/>
  <c r="O76" i="10" s="1"/>
  <c r="D76" i="10"/>
  <c r="CO76" i="10" s="1"/>
  <c r="I75" i="10"/>
  <c r="CO75" i="10" s="1"/>
  <c r="D75" i="10"/>
  <c r="CA74" i="10"/>
  <c r="O74" i="10"/>
  <c r="I74" i="10"/>
  <c r="CO74" i="10" s="1"/>
  <c r="D74" i="10"/>
  <c r="CA73" i="10"/>
  <c r="O73" i="10" s="1"/>
  <c r="I73" i="10"/>
  <c r="D73" i="10"/>
  <c r="CO73" i="10" s="1"/>
  <c r="I72" i="10"/>
  <c r="CA72" i="10" s="1"/>
  <c r="O72" i="10" s="1"/>
  <c r="D72" i="10"/>
  <c r="CO72" i="10" s="1"/>
  <c r="I71" i="10"/>
  <c r="CO71" i="10" s="1"/>
  <c r="D71" i="10"/>
  <c r="AX67" i="10"/>
  <c r="AW67" i="10"/>
  <c r="AV67" i="10"/>
  <c r="AU67" i="10"/>
  <c r="AT67" i="10"/>
  <c r="AS67" i="10"/>
  <c r="AR67" i="10"/>
  <c r="AP67" i="10"/>
  <c r="AO67" i="10"/>
  <c r="AN67" i="10"/>
  <c r="AM67" i="10"/>
  <c r="AL67" i="10"/>
  <c r="AK67" i="10"/>
  <c r="AJ67" i="10"/>
  <c r="AI67" i="10"/>
  <c r="AH67" i="10"/>
  <c r="AG67" i="10"/>
  <c r="AF67" i="10"/>
  <c r="AE67" i="10"/>
  <c r="AD67" i="10"/>
  <c r="AC67" i="10"/>
  <c r="AB67" i="10"/>
  <c r="AA67" i="10"/>
  <c r="CQ66" i="10"/>
  <c r="CC66" i="10"/>
  <c r="F66" i="10"/>
  <c r="CB66" i="10" s="1"/>
  <c r="E66" i="10"/>
  <c r="D66" i="10" s="1"/>
  <c r="CT65" i="10"/>
  <c r="CQ65" i="10"/>
  <c r="CP65" i="10"/>
  <c r="CE65" i="10"/>
  <c r="CC65" i="10"/>
  <c r="CB65" i="10"/>
  <c r="F65" i="10"/>
  <c r="E65" i="10"/>
  <c r="D65" i="10"/>
  <c r="CS65" i="10" s="1"/>
  <c r="CQ64" i="10"/>
  <c r="CC64" i="10"/>
  <c r="F64" i="10"/>
  <c r="F67" i="10" s="1"/>
  <c r="E64" i="10"/>
  <c r="D64" i="10" s="1"/>
  <c r="AX63" i="10"/>
  <c r="AW63" i="10"/>
  <c r="AV63" i="10"/>
  <c r="AU63" i="10"/>
  <c r="AT63" i="10"/>
  <c r="AS63" i="10"/>
  <c r="AR63" i="10"/>
  <c r="AQ63" i="10"/>
  <c r="AP63" i="10"/>
  <c r="AO63" i="10"/>
  <c r="AN63" i="10"/>
  <c r="AM63" i="10"/>
  <c r="AL63" i="10"/>
  <c r="AK63" i="10"/>
  <c r="AJ63" i="10"/>
  <c r="AI63" i="10"/>
  <c r="AH63" i="10"/>
  <c r="AG63" i="10"/>
  <c r="AF63" i="10"/>
  <c r="AE63" i="10"/>
  <c r="AD63" i="10"/>
  <c r="AC63" i="10"/>
  <c r="AB63" i="10"/>
  <c r="AA63" i="10"/>
  <c r="Z63" i="10"/>
  <c r="Y63" i="10"/>
  <c r="X63" i="10"/>
  <c r="W63" i="10"/>
  <c r="V63" i="10"/>
  <c r="U63" i="10"/>
  <c r="T63" i="10"/>
  <c r="S63" i="10"/>
  <c r="R63" i="10"/>
  <c r="Q63" i="10"/>
  <c r="P63" i="10"/>
  <c r="O63" i="10"/>
  <c r="N63" i="10"/>
  <c r="M63" i="10"/>
  <c r="L63" i="10"/>
  <c r="K63" i="10"/>
  <c r="J63" i="10"/>
  <c r="I63" i="10"/>
  <c r="H63" i="10"/>
  <c r="G63" i="10"/>
  <c r="CQ62" i="10"/>
  <c r="CO62" i="10"/>
  <c r="CC62" i="10"/>
  <c r="CA62" i="10"/>
  <c r="F62" i="10"/>
  <c r="CP62" i="10" s="1"/>
  <c r="E62" i="10"/>
  <c r="CQ61" i="10"/>
  <c r="CO61" i="10"/>
  <c r="CC61" i="10"/>
  <c r="CA61" i="10"/>
  <c r="F61" i="10"/>
  <c r="CP61" i="10" s="1"/>
  <c r="E61" i="10"/>
  <c r="CQ60" i="10"/>
  <c r="CO60" i="10"/>
  <c r="CC60" i="10"/>
  <c r="CA60" i="10"/>
  <c r="F60" i="10"/>
  <c r="CP60" i="10" s="1"/>
  <c r="E60" i="10"/>
  <c r="CQ59" i="10"/>
  <c r="CO59" i="10"/>
  <c r="CC59" i="10"/>
  <c r="CA59" i="10"/>
  <c r="F59" i="10"/>
  <c r="CP59" i="10" s="1"/>
  <c r="E59" i="10"/>
  <c r="CQ58" i="10"/>
  <c r="CO58" i="10"/>
  <c r="CC58" i="10"/>
  <c r="CA58" i="10"/>
  <c r="F58" i="10"/>
  <c r="CP58" i="10" s="1"/>
  <c r="E58" i="10"/>
  <c r="E63" i="10" s="1"/>
  <c r="AX57" i="10"/>
  <c r="AW57" i="10"/>
  <c r="AV57" i="10"/>
  <c r="AU57" i="10"/>
  <c r="AT57" i="10"/>
  <c r="AS57" i="10"/>
  <c r="AR57" i="10"/>
  <c r="AQ57" i="10"/>
  <c r="AP57" i="10"/>
  <c r="AO57" i="10"/>
  <c r="AN57" i="10"/>
  <c r="AM57" i="10"/>
  <c r="AL57" i="10"/>
  <c r="AK57" i="10"/>
  <c r="AJ57" i="10"/>
  <c r="AI57" i="10"/>
  <c r="AH57" i="10"/>
  <c r="AG57" i="10"/>
  <c r="AF57" i="10"/>
  <c r="AE57" i="10"/>
  <c r="AD57" i="10"/>
  <c r="AC57" i="10"/>
  <c r="AB57" i="10"/>
  <c r="AA57" i="10"/>
  <c r="Z57" i="10"/>
  <c r="Y57" i="10"/>
  <c r="X57" i="10"/>
  <c r="W57" i="10"/>
  <c r="V57" i="10"/>
  <c r="U57" i="10"/>
  <c r="T57" i="10"/>
  <c r="S57" i="10"/>
  <c r="R57" i="10"/>
  <c r="Q57" i="10"/>
  <c r="P57" i="10"/>
  <c r="O57" i="10"/>
  <c r="N57" i="10"/>
  <c r="M57" i="10"/>
  <c r="L57" i="10"/>
  <c r="K57" i="10"/>
  <c r="J57" i="10"/>
  <c r="I57" i="10"/>
  <c r="H57" i="10"/>
  <c r="G57" i="10"/>
  <c r="CQ56" i="10"/>
  <c r="CO56" i="10"/>
  <c r="CC56" i="10"/>
  <c r="CA56" i="10"/>
  <c r="F56" i="10"/>
  <c r="CP56" i="10" s="1"/>
  <c r="E56" i="10"/>
  <c r="D56" i="10" s="1"/>
  <c r="CQ55" i="10"/>
  <c r="CO55" i="10"/>
  <c r="CC55" i="10"/>
  <c r="CA55" i="10"/>
  <c r="F55" i="10"/>
  <c r="CP55" i="10" s="1"/>
  <c r="E55" i="10"/>
  <c r="D55" i="10" s="1"/>
  <c r="CQ54" i="10"/>
  <c r="CO54" i="10"/>
  <c r="CC54" i="10"/>
  <c r="CA54" i="10"/>
  <c r="F54" i="10"/>
  <c r="CP54" i="10" s="1"/>
  <c r="E54" i="10"/>
  <c r="CQ53" i="10"/>
  <c r="CO53" i="10"/>
  <c r="CC53" i="10"/>
  <c r="CA53" i="10"/>
  <c r="F53" i="10"/>
  <c r="CP53" i="10" s="1"/>
  <c r="E53" i="10"/>
  <c r="CQ52" i="10"/>
  <c r="CO52" i="10"/>
  <c r="CC52" i="10"/>
  <c r="CA52" i="10"/>
  <c r="F52" i="10"/>
  <c r="CP52" i="10" s="1"/>
  <c r="E52" i="10"/>
  <c r="CQ51" i="10"/>
  <c r="CO51" i="10"/>
  <c r="CC51" i="10"/>
  <c r="CA51" i="10"/>
  <c r="F51" i="10"/>
  <c r="F57" i="10" s="1"/>
  <c r="E51" i="10"/>
  <c r="E57" i="10" s="1"/>
  <c r="CQ50" i="10"/>
  <c r="CO50" i="10"/>
  <c r="CC50" i="10"/>
  <c r="CA50" i="10"/>
  <c r="F50" i="10"/>
  <c r="CP50" i="10" s="1"/>
  <c r="E50" i="10"/>
  <c r="CQ49" i="10"/>
  <c r="CO49" i="10"/>
  <c r="CC49" i="10"/>
  <c r="CA49" i="10"/>
  <c r="F49" i="10"/>
  <c r="CP49" i="10" s="1"/>
  <c r="E49" i="10"/>
  <c r="CQ48" i="10"/>
  <c r="CO48" i="10"/>
  <c r="CC48" i="10"/>
  <c r="CA48" i="10"/>
  <c r="F48" i="10"/>
  <c r="CP48" i="10" s="1"/>
  <c r="E48" i="10"/>
  <c r="CQ47" i="10"/>
  <c r="CO47" i="10"/>
  <c r="CC47" i="10"/>
  <c r="CA47" i="10"/>
  <c r="F47" i="10"/>
  <c r="CP47" i="10" s="1"/>
  <c r="E47" i="10"/>
  <c r="CP46" i="10"/>
  <c r="CO46" i="10"/>
  <c r="CB46" i="10"/>
  <c r="CA46" i="10"/>
  <c r="F46" i="10"/>
  <c r="E46" i="10"/>
  <c r="D46" i="10" s="1"/>
  <c r="CO45" i="10"/>
  <c r="CA45" i="10"/>
  <c r="F45" i="10"/>
  <c r="CB45" i="10" s="1"/>
  <c r="E45" i="10"/>
  <c r="CQ44" i="10"/>
  <c r="CO44" i="10"/>
  <c r="CC44" i="10"/>
  <c r="CA44" i="10"/>
  <c r="F44" i="10"/>
  <c r="CP44" i="10" s="1"/>
  <c r="E44" i="10"/>
  <c r="AX39" i="10"/>
  <c r="AW39" i="10"/>
  <c r="AV39" i="10"/>
  <c r="AU39" i="10"/>
  <c r="AT39" i="10"/>
  <c r="AS39" i="10"/>
  <c r="AR39" i="10"/>
  <c r="AQ39" i="10"/>
  <c r="AP39" i="10"/>
  <c r="AO39" i="10"/>
  <c r="AN39" i="10"/>
  <c r="AM39" i="10"/>
  <c r="AL39" i="10"/>
  <c r="AK39" i="10"/>
  <c r="AJ39" i="10"/>
  <c r="AI39" i="10"/>
  <c r="AH39" i="10"/>
  <c r="AG39" i="10"/>
  <c r="AF39" i="10"/>
  <c r="AE39" i="10"/>
  <c r="AD39" i="10"/>
  <c r="AC39" i="10"/>
  <c r="AB39" i="10"/>
  <c r="AA39" i="10"/>
  <c r="Z39" i="10"/>
  <c r="Y39" i="10"/>
  <c r="X39" i="10"/>
  <c r="W39" i="10"/>
  <c r="V39" i="10"/>
  <c r="U39" i="10"/>
  <c r="T39" i="10"/>
  <c r="S39" i="10"/>
  <c r="R39" i="10"/>
  <c r="Q39" i="10"/>
  <c r="P39" i="10"/>
  <c r="O39" i="10"/>
  <c r="N39" i="10"/>
  <c r="M39" i="10"/>
  <c r="L39" i="10"/>
  <c r="K39" i="10"/>
  <c r="J39" i="10"/>
  <c r="I39" i="10"/>
  <c r="H39" i="10"/>
  <c r="G39" i="10"/>
  <c r="CQ38" i="10"/>
  <c r="CO38" i="10"/>
  <c r="CC38" i="10"/>
  <c r="CA38" i="10"/>
  <c r="F38" i="10"/>
  <c r="CP38" i="10" s="1"/>
  <c r="E38" i="10"/>
  <c r="D38" i="10" s="1"/>
  <c r="CQ37" i="10"/>
  <c r="CO37" i="10"/>
  <c r="CC37" i="10"/>
  <c r="CA37" i="10"/>
  <c r="F37" i="10"/>
  <c r="CP37" i="10" s="1"/>
  <c r="E37" i="10"/>
  <c r="D37" i="10" s="1"/>
  <c r="CQ36" i="10"/>
  <c r="CO36" i="10"/>
  <c r="CC36" i="10"/>
  <c r="CA36" i="10"/>
  <c r="F36" i="10"/>
  <c r="CP36" i="10" s="1"/>
  <c r="E36" i="10"/>
  <c r="D36" i="10" s="1"/>
  <c r="CQ35" i="10"/>
  <c r="CO35" i="10"/>
  <c r="CC35" i="10"/>
  <c r="CA35" i="10"/>
  <c r="F35" i="10"/>
  <c r="CP35" i="10" s="1"/>
  <c r="E35" i="10"/>
  <c r="D35" i="10" s="1"/>
  <c r="CQ34" i="10"/>
  <c r="CO34" i="10"/>
  <c r="CC34" i="10"/>
  <c r="CA34" i="10"/>
  <c r="F34" i="10"/>
  <c r="CP34" i="10" s="1"/>
  <c r="E34" i="10"/>
  <c r="D34" i="10" s="1"/>
  <c r="CQ33" i="10"/>
  <c r="CO33" i="10"/>
  <c r="CC33" i="10"/>
  <c r="CA33" i="10"/>
  <c r="F33" i="10"/>
  <c r="CP33" i="10" s="1"/>
  <c r="E33" i="10"/>
  <c r="D33" i="10" s="1"/>
  <c r="CQ32" i="10"/>
  <c r="CO32" i="10"/>
  <c r="CC32" i="10"/>
  <c r="CA32" i="10"/>
  <c r="F32" i="10"/>
  <c r="CP32" i="10" s="1"/>
  <c r="E32" i="10"/>
  <c r="D32" i="10" s="1"/>
  <c r="CQ31" i="10"/>
  <c r="CO31" i="10"/>
  <c r="CC31" i="10"/>
  <c r="CA31" i="10"/>
  <c r="F31" i="10"/>
  <c r="CP31" i="10" s="1"/>
  <c r="E31" i="10"/>
  <c r="D31" i="10" s="1"/>
  <c r="CQ30" i="10"/>
  <c r="CO30" i="10"/>
  <c r="CC30" i="10"/>
  <c r="CA30" i="10"/>
  <c r="F30" i="10"/>
  <c r="CP30" i="10" s="1"/>
  <c r="E30" i="10"/>
  <c r="D30" i="10" s="1"/>
  <c r="CQ29" i="10"/>
  <c r="CO29" i="10"/>
  <c r="CC29" i="10"/>
  <c r="CA29" i="10"/>
  <c r="F29" i="10"/>
  <c r="CP29" i="10" s="1"/>
  <c r="E29" i="10"/>
  <c r="D29" i="10" s="1"/>
  <c r="CQ28" i="10"/>
  <c r="CO28" i="10"/>
  <c r="CC28" i="10"/>
  <c r="CA28" i="10"/>
  <c r="F28" i="10"/>
  <c r="CP28" i="10" s="1"/>
  <c r="E28" i="10"/>
  <c r="D28" i="10" s="1"/>
  <c r="CQ27" i="10"/>
  <c r="CO27" i="10"/>
  <c r="CC27" i="10"/>
  <c r="CA27" i="10"/>
  <c r="F27" i="10"/>
  <c r="CP27" i="10" s="1"/>
  <c r="E27" i="10"/>
  <c r="D27" i="10" s="1"/>
  <c r="CQ26" i="10"/>
  <c r="CO26" i="10"/>
  <c r="CC26" i="10"/>
  <c r="CA26" i="10"/>
  <c r="F26" i="10"/>
  <c r="CP26" i="10" s="1"/>
  <c r="E26" i="10"/>
  <c r="D26" i="10" s="1"/>
  <c r="CQ25" i="10"/>
  <c r="CO25" i="10"/>
  <c r="CC25" i="10"/>
  <c r="CA25" i="10"/>
  <c r="F25" i="10"/>
  <c r="CP25" i="10" s="1"/>
  <c r="E25" i="10"/>
  <c r="D25" i="10" s="1"/>
  <c r="CQ24" i="10"/>
  <c r="CO24" i="10"/>
  <c r="CC24" i="10"/>
  <c r="CA24" i="10"/>
  <c r="F24" i="10"/>
  <c r="CP24" i="10" s="1"/>
  <c r="E24" i="10"/>
  <c r="D24" i="10" s="1"/>
  <c r="CQ23" i="10"/>
  <c r="CO23" i="10"/>
  <c r="CC23" i="10"/>
  <c r="CA23" i="10"/>
  <c r="F23" i="10"/>
  <c r="CP23" i="10" s="1"/>
  <c r="E23" i="10"/>
  <c r="D23" i="10" s="1"/>
  <c r="CQ22" i="10"/>
  <c r="CO22" i="10"/>
  <c r="CC22" i="10"/>
  <c r="CA22" i="10"/>
  <c r="F22" i="10"/>
  <c r="CP22" i="10" s="1"/>
  <c r="E22" i="10"/>
  <c r="D22" i="10" s="1"/>
  <c r="CQ21" i="10"/>
  <c r="CO21" i="10"/>
  <c r="CC21" i="10"/>
  <c r="CA21" i="10"/>
  <c r="F21" i="10"/>
  <c r="CP21" i="10" s="1"/>
  <c r="E21" i="10"/>
  <c r="E39" i="10" s="1"/>
  <c r="CQ17" i="10"/>
  <c r="CO17" i="10"/>
  <c r="CC17" i="10"/>
  <c r="CA17" i="10"/>
  <c r="F17" i="10"/>
  <c r="CP17" i="10" s="1"/>
  <c r="E17" i="10"/>
  <c r="D17" i="10" s="1"/>
  <c r="CQ16" i="10"/>
  <c r="CO16" i="10"/>
  <c r="CC16" i="10"/>
  <c r="CA16" i="10"/>
  <c r="F16" i="10"/>
  <c r="CP16" i="10" s="1"/>
  <c r="E16" i="10"/>
  <c r="CQ15" i="10"/>
  <c r="CO15" i="10"/>
  <c r="CC15" i="10"/>
  <c r="CA15" i="10"/>
  <c r="F15" i="10"/>
  <c r="CP15" i="10" s="1"/>
  <c r="E15" i="10"/>
  <c r="CQ14" i="10"/>
  <c r="CO14" i="10"/>
  <c r="CC14" i="10"/>
  <c r="CA14" i="10"/>
  <c r="F14" i="10"/>
  <c r="CP14" i="10" s="1"/>
  <c r="E14" i="10"/>
  <c r="CQ13" i="10"/>
  <c r="CO13" i="10"/>
  <c r="CC13" i="10"/>
  <c r="CA13" i="10"/>
  <c r="F13" i="10"/>
  <c r="CP13" i="10" s="1"/>
  <c r="E13" i="10"/>
  <c r="CQ12" i="10"/>
  <c r="CO12" i="10"/>
  <c r="CC12" i="10"/>
  <c r="CA12" i="10"/>
  <c r="F12" i="10"/>
  <c r="CP12" i="10" s="1"/>
  <c r="E12" i="10"/>
  <c r="A5" i="10"/>
  <c r="A3" i="10"/>
  <c r="A2" i="10"/>
  <c r="B232" i="9"/>
  <c r="D215" i="9"/>
  <c r="B215" i="9" s="1"/>
  <c r="C215" i="9"/>
  <c r="D214" i="9"/>
  <c r="C214" i="9"/>
  <c r="B214" i="9" s="1"/>
  <c r="D213" i="9"/>
  <c r="C213" i="9"/>
  <c r="B213" i="9" s="1"/>
  <c r="D212" i="9"/>
  <c r="C212" i="9"/>
  <c r="B212" i="9" s="1"/>
  <c r="D211" i="9"/>
  <c r="C211" i="9"/>
  <c r="B211" i="9" s="1"/>
  <c r="O210" i="9"/>
  <c r="N210" i="9"/>
  <c r="M210" i="9"/>
  <c r="L210" i="9"/>
  <c r="K210" i="9"/>
  <c r="J210" i="9"/>
  <c r="I210" i="9"/>
  <c r="H210" i="9"/>
  <c r="G210" i="9"/>
  <c r="F210" i="9"/>
  <c r="D210" i="9" s="1"/>
  <c r="E210" i="9"/>
  <c r="C210" i="9" s="1"/>
  <c r="CM205" i="9"/>
  <c r="CA205" i="9"/>
  <c r="D205" i="9"/>
  <c r="C205" i="9"/>
  <c r="CN205" i="9" s="1"/>
  <c r="B205" i="9"/>
  <c r="CP205" i="9" s="1"/>
  <c r="B200" i="9"/>
  <c r="B199" i="9"/>
  <c r="E196" i="9"/>
  <c r="D196" i="9"/>
  <c r="C196" i="9"/>
  <c r="CO196" i="9" s="1"/>
  <c r="E195" i="9"/>
  <c r="C195" i="9" s="1"/>
  <c r="D195" i="9"/>
  <c r="D191" i="9"/>
  <c r="C191" i="9"/>
  <c r="B191" i="9" s="1"/>
  <c r="D190" i="9"/>
  <c r="C190" i="9"/>
  <c r="B190" i="9"/>
  <c r="D189" i="9"/>
  <c r="C189" i="9"/>
  <c r="B189" i="9" s="1"/>
  <c r="D188" i="9"/>
  <c r="B188" i="9" s="1"/>
  <c r="C188" i="9"/>
  <c r="C183" i="9"/>
  <c r="C182" i="9"/>
  <c r="C181" i="9"/>
  <c r="C180" i="9"/>
  <c r="C179" i="9"/>
  <c r="C178" i="9"/>
  <c r="C166" i="9"/>
  <c r="C165" i="9"/>
  <c r="B158" i="9"/>
  <c r="CM142" i="9"/>
  <c r="CA142" i="9"/>
  <c r="K142" i="9" s="1"/>
  <c r="C142" i="9"/>
  <c r="CM141" i="9"/>
  <c r="CA141" i="9"/>
  <c r="K141" i="9" s="1"/>
  <c r="C141" i="9"/>
  <c r="CD131" i="9"/>
  <c r="E131" i="9"/>
  <c r="D131" i="9"/>
  <c r="C131" i="9" s="1"/>
  <c r="CD130" i="9"/>
  <c r="E130" i="9"/>
  <c r="D130" i="9"/>
  <c r="C130" i="9" s="1"/>
  <c r="CD129" i="9"/>
  <c r="E129" i="9"/>
  <c r="D129" i="9"/>
  <c r="C129" i="9" s="1"/>
  <c r="E125" i="9"/>
  <c r="D125" i="9"/>
  <c r="C125" i="9" s="1"/>
  <c r="E124" i="9"/>
  <c r="D124" i="9"/>
  <c r="C124" i="9" s="1"/>
  <c r="E123" i="9"/>
  <c r="D123" i="9"/>
  <c r="C123" i="9" s="1"/>
  <c r="E113" i="9"/>
  <c r="D113" i="9"/>
  <c r="C113" i="9" s="1"/>
  <c r="E112" i="9"/>
  <c r="D112" i="9"/>
  <c r="C112" i="9" s="1"/>
  <c r="E111" i="9"/>
  <c r="D111" i="9"/>
  <c r="C111" i="9" s="1"/>
  <c r="E110" i="9"/>
  <c r="D110" i="9"/>
  <c r="C110" i="9" s="1"/>
  <c r="E109" i="9"/>
  <c r="D109" i="9"/>
  <c r="C109" i="9" s="1"/>
  <c r="E108" i="9"/>
  <c r="D108" i="9"/>
  <c r="C108" i="9" s="1"/>
  <c r="E107" i="9"/>
  <c r="D107" i="9"/>
  <c r="C107" i="9" s="1"/>
  <c r="AO106" i="9"/>
  <c r="AN106" i="9"/>
  <c r="AM106" i="9"/>
  <c r="AL106" i="9"/>
  <c r="AK106" i="9"/>
  <c r="AJ106" i="9"/>
  <c r="AI106" i="9"/>
  <c r="AH106" i="9"/>
  <c r="AG106" i="9"/>
  <c r="AF106" i="9"/>
  <c r="AE106" i="9"/>
  <c r="AD106" i="9"/>
  <c r="AC106" i="9"/>
  <c r="AB106" i="9"/>
  <c r="AA106" i="9"/>
  <c r="Z106" i="9"/>
  <c r="Y106" i="9"/>
  <c r="X106" i="9"/>
  <c r="W106" i="9"/>
  <c r="V106" i="9"/>
  <c r="U106" i="9"/>
  <c r="T106" i="9"/>
  <c r="S106" i="9"/>
  <c r="R106" i="9"/>
  <c r="Q106" i="9"/>
  <c r="P106" i="9"/>
  <c r="O106" i="9"/>
  <c r="N106" i="9"/>
  <c r="M106" i="9"/>
  <c r="L106" i="9"/>
  <c r="K106" i="9"/>
  <c r="J106" i="9"/>
  <c r="I106" i="9"/>
  <c r="H106" i="9"/>
  <c r="G106" i="9"/>
  <c r="F106" i="9"/>
  <c r="E106" i="9"/>
  <c r="E101" i="9"/>
  <c r="D101" i="9"/>
  <c r="C101" i="9"/>
  <c r="B100" i="9"/>
  <c r="B99" i="9"/>
  <c r="B98" i="9"/>
  <c r="B97" i="9"/>
  <c r="B96" i="9"/>
  <c r="B95" i="9"/>
  <c r="B94" i="9"/>
  <c r="B93" i="9"/>
  <c r="B92" i="9"/>
  <c r="B91" i="9"/>
  <c r="B90" i="9"/>
  <c r="B89" i="9"/>
  <c r="B88" i="9"/>
  <c r="B87" i="9"/>
  <c r="B86" i="9"/>
  <c r="B85" i="9"/>
  <c r="B84" i="9"/>
  <c r="B83" i="9"/>
  <c r="B82" i="9"/>
  <c r="B81" i="9"/>
  <c r="B101" i="9" s="1"/>
  <c r="AL78" i="9"/>
  <c r="AK78" i="9"/>
  <c r="AJ78" i="9"/>
  <c r="AI78" i="9"/>
  <c r="AH78" i="9"/>
  <c r="AG78" i="9"/>
  <c r="AF78" i="9"/>
  <c r="AE78" i="9"/>
  <c r="AD78" i="9"/>
  <c r="AC78" i="9"/>
  <c r="AB78" i="9"/>
  <c r="AA78" i="9"/>
  <c r="Z78" i="9"/>
  <c r="Y78" i="9"/>
  <c r="X78" i="9"/>
  <c r="W78" i="9"/>
  <c r="V78" i="9"/>
  <c r="U78" i="9"/>
  <c r="T78" i="9"/>
  <c r="S78" i="9"/>
  <c r="R78" i="9"/>
  <c r="Q78" i="9"/>
  <c r="P78" i="9"/>
  <c r="O78" i="9"/>
  <c r="N78" i="9"/>
  <c r="M78" i="9"/>
  <c r="L78" i="9"/>
  <c r="K78" i="9"/>
  <c r="J78" i="9"/>
  <c r="I78" i="9"/>
  <c r="H78" i="9"/>
  <c r="G78" i="9"/>
  <c r="F78" i="9"/>
  <c r="E78" i="9"/>
  <c r="D77" i="9"/>
  <c r="C77" i="9"/>
  <c r="B77" i="9"/>
  <c r="D76" i="9"/>
  <c r="C76" i="9"/>
  <c r="B76" i="9" s="1"/>
  <c r="D75" i="9"/>
  <c r="C75" i="9"/>
  <c r="B75" i="9" s="1"/>
  <c r="D74" i="9"/>
  <c r="C74" i="9"/>
  <c r="B74" i="9" s="1"/>
  <c r="D73" i="9"/>
  <c r="C73" i="9"/>
  <c r="B73" i="9"/>
  <c r="D72" i="9"/>
  <c r="D78" i="9" s="1"/>
  <c r="C72" i="9"/>
  <c r="B72" i="9" s="1"/>
  <c r="AN67" i="9"/>
  <c r="AM67" i="9"/>
  <c r="AL67" i="9"/>
  <c r="AK67" i="9"/>
  <c r="AJ67" i="9"/>
  <c r="AI67" i="9"/>
  <c r="AH67" i="9"/>
  <c r="AG67" i="9"/>
  <c r="AF67" i="9"/>
  <c r="AE67" i="9"/>
  <c r="AD67" i="9"/>
  <c r="AC67" i="9"/>
  <c r="AB67" i="9"/>
  <c r="AA67" i="9"/>
  <c r="Z67" i="9"/>
  <c r="Y67" i="9"/>
  <c r="X67" i="9"/>
  <c r="W67" i="9"/>
  <c r="V67" i="9"/>
  <c r="U67" i="9"/>
  <c r="T67" i="9"/>
  <c r="S67" i="9"/>
  <c r="R67" i="9"/>
  <c r="Q67" i="9"/>
  <c r="P67" i="9"/>
  <c r="O67" i="9"/>
  <c r="N67" i="9"/>
  <c r="M67" i="9"/>
  <c r="L67" i="9"/>
  <c r="K67" i="9"/>
  <c r="J67" i="9"/>
  <c r="I67" i="9"/>
  <c r="H67" i="9"/>
  <c r="G67" i="9"/>
  <c r="F67" i="9"/>
  <c r="E67" i="9"/>
  <c r="D67" i="9"/>
  <c r="D66" i="9"/>
  <c r="C66" i="9"/>
  <c r="B66" i="9" s="1"/>
  <c r="D65" i="9"/>
  <c r="C65" i="9"/>
  <c r="B65" i="9" s="1"/>
  <c r="D64" i="9"/>
  <c r="C64" i="9"/>
  <c r="B64" i="9" s="1"/>
  <c r="D63" i="9"/>
  <c r="C63" i="9"/>
  <c r="B63" i="9" s="1"/>
  <c r="D62" i="9"/>
  <c r="C62" i="9"/>
  <c r="B62" i="9" s="1"/>
  <c r="D61" i="9"/>
  <c r="C61" i="9"/>
  <c r="C67" i="9" s="1"/>
  <c r="D56" i="9"/>
  <c r="C56" i="9"/>
  <c r="B56" i="9" s="1"/>
  <c r="D55" i="9"/>
  <c r="C55" i="9"/>
  <c r="B55" i="9" s="1"/>
  <c r="D54" i="9"/>
  <c r="C54" i="9"/>
  <c r="B54" i="9" s="1"/>
  <c r="AP53" i="9"/>
  <c r="D53" i="9"/>
  <c r="C53" i="9"/>
  <c r="B53" i="9" s="1"/>
  <c r="D52" i="9"/>
  <c r="C52" i="9"/>
  <c r="B52" i="9" s="1"/>
  <c r="D51" i="9"/>
  <c r="C51" i="9"/>
  <c r="B51" i="9" s="1"/>
  <c r="D46" i="9"/>
  <c r="C46" i="9"/>
  <c r="B46" i="9" s="1"/>
  <c r="D45" i="9"/>
  <c r="C45" i="9"/>
  <c r="B45" i="9" s="1"/>
  <c r="D44" i="9"/>
  <c r="C44" i="9"/>
  <c r="B44" i="9" s="1"/>
  <c r="D43" i="9"/>
  <c r="C43" i="9"/>
  <c r="B43" i="9" s="1"/>
  <c r="D42" i="9"/>
  <c r="C42" i="9"/>
  <c r="B42" i="9" s="1"/>
  <c r="D41" i="9"/>
  <c r="C41" i="9"/>
  <c r="B41" i="9" s="1"/>
  <c r="D36" i="9"/>
  <c r="C36" i="9"/>
  <c r="B36" i="9" s="1"/>
  <c r="D35" i="9"/>
  <c r="C35" i="9"/>
  <c r="B35" i="9" s="1"/>
  <c r="D34" i="9"/>
  <c r="C34" i="9"/>
  <c r="B34" i="9" s="1"/>
  <c r="D33" i="9"/>
  <c r="C33" i="9"/>
  <c r="B33" i="9" s="1"/>
  <c r="D32" i="9"/>
  <c r="C32" i="9"/>
  <c r="B32" i="9" s="1"/>
  <c r="D31" i="9"/>
  <c r="C31" i="9"/>
  <c r="B31" i="9" s="1"/>
  <c r="D26" i="9"/>
  <c r="C26" i="9"/>
  <c r="B26" i="9" s="1"/>
  <c r="D25" i="9"/>
  <c r="C25" i="9"/>
  <c r="B25" i="9" s="1"/>
  <c r="D24" i="9"/>
  <c r="C24" i="9"/>
  <c r="B24" i="9" s="1"/>
  <c r="D23" i="9"/>
  <c r="C23" i="9"/>
  <c r="B23" i="9" s="1"/>
  <c r="AY22" i="9"/>
  <c r="D22" i="9"/>
  <c r="C22" i="9"/>
  <c r="B22" i="9" s="1"/>
  <c r="D21" i="9"/>
  <c r="C21" i="9"/>
  <c r="B21" i="9" s="1"/>
  <c r="CS20" i="9"/>
  <c r="AS20" i="9"/>
  <c r="CG20" i="9" s="1"/>
  <c r="D20" i="9"/>
  <c r="C20" i="9"/>
  <c r="B20" i="9"/>
  <c r="CP20" i="9" s="1"/>
  <c r="D15" i="9"/>
  <c r="B15" i="9" s="1"/>
  <c r="C15" i="9"/>
  <c r="D14" i="9"/>
  <c r="C14" i="9"/>
  <c r="B14" i="9"/>
  <c r="CM14" i="9" s="1"/>
  <c r="D13" i="9"/>
  <c r="B13" i="9" s="1"/>
  <c r="C13" i="9"/>
  <c r="D12" i="9"/>
  <c r="C12" i="9"/>
  <c r="B12" i="9"/>
  <c r="CQ12" i="9" s="1"/>
  <c r="A5" i="9"/>
  <c r="A3" i="9"/>
  <c r="A2" i="9"/>
  <c r="B215" i="8"/>
  <c r="CO215" i="8" s="1"/>
  <c r="CN214" i="8"/>
  <c r="CB214" i="8"/>
  <c r="B214" i="8"/>
  <c r="CQ214" i="8" s="1"/>
  <c r="B213" i="8"/>
  <c r="CO213" i="8" s="1"/>
  <c r="E208" i="8"/>
  <c r="D208" i="8"/>
  <c r="C208" i="8"/>
  <c r="E207" i="8"/>
  <c r="D207" i="8"/>
  <c r="C207" i="8"/>
  <c r="CT202" i="8"/>
  <c r="CI202" i="8"/>
  <c r="CC202" i="8"/>
  <c r="E202" i="8"/>
  <c r="CO202" i="8" s="1"/>
  <c r="D202" i="8"/>
  <c r="CU202" i="8" s="1"/>
  <c r="C202" i="8"/>
  <c r="CS202" i="8" s="1"/>
  <c r="CI201" i="8"/>
  <c r="E201" i="8"/>
  <c r="CH201" i="8" s="1"/>
  <c r="D201" i="8"/>
  <c r="CU201" i="8" s="1"/>
  <c r="CT200" i="8"/>
  <c r="CI200" i="8"/>
  <c r="CC200" i="8"/>
  <c r="E200" i="8"/>
  <c r="CO200" i="8" s="1"/>
  <c r="D200" i="8"/>
  <c r="CU200" i="8" s="1"/>
  <c r="C200" i="8"/>
  <c r="CS200" i="8" s="1"/>
  <c r="CI199" i="8"/>
  <c r="E199" i="8"/>
  <c r="CH199" i="8" s="1"/>
  <c r="D199" i="8"/>
  <c r="CU199" i="8" s="1"/>
  <c r="CT198" i="8"/>
  <c r="CI198" i="8"/>
  <c r="CC198" i="8"/>
  <c r="E198" i="8"/>
  <c r="CO198" i="8" s="1"/>
  <c r="D198" i="8"/>
  <c r="CU198" i="8" s="1"/>
  <c r="C198" i="8"/>
  <c r="CS198" i="8" s="1"/>
  <c r="CI197" i="8"/>
  <c r="E197" i="8"/>
  <c r="CH197" i="8" s="1"/>
  <c r="D197" i="8"/>
  <c r="CU197" i="8" s="1"/>
  <c r="E196" i="8"/>
  <c r="CO196" i="8" s="1"/>
  <c r="D196" i="8"/>
  <c r="CU196" i="8" s="1"/>
  <c r="E191" i="8"/>
  <c r="C191" i="8" s="1"/>
  <c r="D191" i="8"/>
  <c r="E190" i="8"/>
  <c r="C190" i="8" s="1"/>
  <c r="D190" i="8"/>
  <c r="E189" i="8"/>
  <c r="C189" i="8" s="1"/>
  <c r="D189" i="8"/>
  <c r="E188" i="8"/>
  <c r="C188" i="8" s="1"/>
  <c r="D188" i="8"/>
  <c r="E187" i="8"/>
  <c r="C187" i="8" s="1"/>
  <c r="D187" i="8"/>
  <c r="E186" i="8"/>
  <c r="C186" i="8" s="1"/>
  <c r="D186" i="8"/>
  <c r="E185" i="8"/>
  <c r="D185" i="8"/>
  <c r="C185" i="8" s="1"/>
  <c r="E184" i="8"/>
  <c r="D184" i="8"/>
  <c r="C184" i="8" s="1"/>
  <c r="E183" i="8"/>
  <c r="D183" i="8"/>
  <c r="C183" i="8" s="1"/>
  <c r="E182" i="8"/>
  <c r="D182" i="8"/>
  <c r="C182" i="8" s="1"/>
  <c r="CO177" i="8"/>
  <c r="CD177" i="8"/>
  <c r="E177" i="8"/>
  <c r="CC177" i="8" s="1"/>
  <c r="D177" i="8"/>
  <c r="CP177" i="8" s="1"/>
  <c r="C177" i="8"/>
  <c r="CR177" i="8" s="1"/>
  <c r="CD176" i="8"/>
  <c r="E176" i="8"/>
  <c r="CC176" i="8" s="1"/>
  <c r="D176" i="8"/>
  <c r="CP176" i="8" s="1"/>
  <c r="CO175" i="8"/>
  <c r="CD175" i="8"/>
  <c r="E175" i="8"/>
  <c r="CC175" i="8" s="1"/>
  <c r="D175" i="8"/>
  <c r="CP175" i="8" s="1"/>
  <c r="C175" i="8"/>
  <c r="CR175" i="8" s="1"/>
  <c r="CD174" i="8"/>
  <c r="E174" i="8"/>
  <c r="CC174" i="8" s="1"/>
  <c r="D174" i="8"/>
  <c r="CP174" i="8" s="1"/>
  <c r="CO173" i="8"/>
  <c r="CD173" i="8"/>
  <c r="E173" i="8"/>
  <c r="CC173" i="8" s="1"/>
  <c r="D173" i="8"/>
  <c r="CP173" i="8" s="1"/>
  <c r="C173" i="8"/>
  <c r="CR173" i="8" s="1"/>
  <c r="CD172" i="8"/>
  <c r="E172" i="8"/>
  <c r="CC172" i="8" s="1"/>
  <c r="D172" i="8"/>
  <c r="CP172" i="8" s="1"/>
  <c r="CO171" i="8"/>
  <c r="CD171" i="8"/>
  <c r="E171" i="8"/>
  <c r="CC171" i="8" s="1"/>
  <c r="D171" i="8"/>
  <c r="CP171" i="8" s="1"/>
  <c r="C171" i="8"/>
  <c r="CR171" i="8" s="1"/>
  <c r="CD170" i="8"/>
  <c r="E170" i="8"/>
  <c r="CC170" i="8" s="1"/>
  <c r="D170" i="8"/>
  <c r="CP170" i="8" s="1"/>
  <c r="CO169" i="8"/>
  <c r="CD169" i="8"/>
  <c r="E169" i="8"/>
  <c r="CC169" i="8" s="1"/>
  <c r="D169" i="8"/>
  <c r="CP169" i="8" s="1"/>
  <c r="C169" i="8"/>
  <c r="CR169" i="8" s="1"/>
  <c r="CD168" i="8"/>
  <c r="E168" i="8"/>
  <c r="CC168" i="8" s="1"/>
  <c r="D168" i="8"/>
  <c r="CP168" i="8" s="1"/>
  <c r="CO167" i="8"/>
  <c r="CD167" i="8"/>
  <c r="E167" i="8"/>
  <c r="CC167" i="8" s="1"/>
  <c r="D167" i="8"/>
  <c r="CP167" i="8" s="1"/>
  <c r="C167" i="8"/>
  <c r="CR167" i="8" s="1"/>
  <c r="AW162" i="8"/>
  <c r="AV162" i="8"/>
  <c r="AU162" i="8"/>
  <c r="AT162" i="8"/>
  <c r="AS162" i="8"/>
  <c r="AR162" i="8"/>
  <c r="AQ162" i="8"/>
  <c r="AP162" i="8"/>
  <c r="AO162" i="8"/>
  <c r="AN162" i="8"/>
  <c r="AM162" i="8"/>
  <c r="AL162" i="8"/>
  <c r="AK162" i="8"/>
  <c r="AJ162" i="8"/>
  <c r="AI162" i="8"/>
  <c r="AH162" i="8"/>
  <c r="AG162" i="8"/>
  <c r="AF162" i="8"/>
  <c r="AE162" i="8"/>
  <c r="AD162" i="8"/>
  <c r="AC162" i="8"/>
  <c r="AB162" i="8"/>
  <c r="AA162" i="8"/>
  <c r="Z162" i="8"/>
  <c r="Y162" i="8"/>
  <c r="X162" i="8"/>
  <c r="W162" i="8"/>
  <c r="V162" i="8"/>
  <c r="U162" i="8"/>
  <c r="T162" i="8"/>
  <c r="S162" i="8"/>
  <c r="R162" i="8"/>
  <c r="Q162" i="8"/>
  <c r="P162" i="8"/>
  <c r="O162" i="8"/>
  <c r="N162" i="8"/>
  <c r="M162" i="8"/>
  <c r="L162" i="8"/>
  <c r="K162" i="8"/>
  <c r="J162" i="8"/>
  <c r="I162" i="8"/>
  <c r="H162" i="8"/>
  <c r="G162" i="8"/>
  <c r="F162" i="8"/>
  <c r="CT161" i="8"/>
  <c r="CS161" i="8"/>
  <c r="CH161" i="8"/>
  <c r="CG161" i="8"/>
  <c r="E161" i="8"/>
  <c r="D161" i="8"/>
  <c r="C161" i="8" s="1"/>
  <c r="CT160" i="8"/>
  <c r="CS160" i="8"/>
  <c r="CN160" i="8"/>
  <c r="CH160" i="8"/>
  <c r="CG160" i="8"/>
  <c r="E160" i="8"/>
  <c r="D160" i="8"/>
  <c r="C160" i="8" s="1"/>
  <c r="CR160" i="8" s="1"/>
  <c r="CT159" i="8"/>
  <c r="CS159" i="8"/>
  <c r="CH159" i="8"/>
  <c r="CG159" i="8"/>
  <c r="CC159" i="8"/>
  <c r="E159" i="8"/>
  <c r="D159" i="8"/>
  <c r="C159" i="8" s="1"/>
  <c r="CE158" i="8"/>
  <c r="E158" i="8"/>
  <c r="D158" i="8"/>
  <c r="C158" i="8" s="1"/>
  <c r="CT157" i="8"/>
  <c r="CS157" i="8"/>
  <c r="CP157" i="8"/>
  <c r="CH157" i="8"/>
  <c r="CG157" i="8"/>
  <c r="CC157" i="8"/>
  <c r="E157" i="8"/>
  <c r="D157" i="8"/>
  <c r="C157" i="8" s="1"/>
  <c r="E156" i="8"/>
  <c r="D156" i="8"/>
  <c r="C156" i="8" s="1"/>
  <c r="CE156" i="8" s="1"/>
  <c r="CN155" i="8"/>
  <c r="E155" i="8"/>
  <c r="D155" i="8"/>
  <c r="C155" i="8" s="1"/>
  <c r="CC155" i="8" s="1"/>
  <c r="E154" i="8"/>
  <c r="D154" i="8"/>
  <c r="C154" i="8" s="1"/>
  <c r="CE154" i="8" s="1"/>
  <c r="CN153" i="8"/>
  <c r="CC153" i="8"/>
  <c r="E153" i="8"/>
  <c r="C153" i="8"/>
  <c r="CO152" i="8"/>
  <c r="E152" i="8"/>
  <c r="C152" i="8" s="1"/>
  <c r="E151" i="8"/>
  <c r="E162" i="8" s="1"/>
  <c r="D151" i="8"/>
  <c r="V146" i="8"/>
  <c r="U146" i="8"/>
  <c r="T146" i="8"/>
  <c r="S146" i="8"/>
  <c r="R146" i="8"/>
  <c r="Q146" i="8"/>
  <c r="P146" i="8"/>
  <c r="O146" i="8"/>
  <c r="N146" i="8"/>
  <c r="M146" i="8"/>
  <c r="L146" i="8"/>
  <c r="K146" i="8"/>
  <c r="J146" i="8"/>
  <c r="I146" i="8"/>
  <c r="H146" i="8"/>
  <c r="G146" i="8"/>
  <c r="F146" i="8"/>
  <c r="E146" i="8"/>
  <c r="D146" i="8"/>
  <c r="C146" i="8"/>
  <c r="B145" i="8"/>
  <c r="B144" i="8"/>
  <c r="CD144" i="8" s="1"/>
  <c r="B143" i="8"/>
  <c r="B142" i="8"/>
  <c r="CD142" i="8" s="1"/>
  <c r="B141" i="8"/>
  <c r="B140" i="8"/>
  <c r="CD140" i="8" s="1"/>
  <c r="B139" i="8"/>
  <c r="B138" i="8"/>
  <c r="CD138" i="8" s="1"/>
  <c r="B137" i="8"/>
  <c r="B136" i="8"/>
  <c r="CD136" i="8" s="1"/>
  <c r="B135" i="8"/>
  <c r="B134" i="8"/>
  <c r="CD134" i="8" s="1"/>
  <c r="B133" i="8"/>
  <c r="B132" i="8"/>
  <c r="CD132" i="8" s="1"/>
  <c r="B131" i="8"/>
  <c r="B130" i="8"/>
  <c r="CD130" i="8" s="1"/>
  <c r="B129" i="8"/>
  <c r="AI126" i="8"/>
  <c r="AH126" i="8"/>
  <c r="AG126" i="8"/>
  <c r="AF126" i="8"/>
  <c r="AE126" i="8"/>
  <c r="AD126" i="8"/>
  <c r="AC126" i="8"/>
  <c r="AB126" i="8"/>
  <c r="AA126" i="8"/>
  <c r="Z126" i="8"/>
  <c r="Y126" i="8"/>
  <c r="X126" i="8"/>
  <c r="W126" i="8"/>
  <c r="V126" i="8"/>
  <c r="U126" i="8"/>
  <c r="T126" i="8"/>
  <c r="S126" i="8"/>
  <c r="R126" i="8"/>
  <c r="Q126" i="8"/>
  <c r="P126" i="8"/>
  <c r="O126" i="8"/>
  <c r="M126" i="8"/>
  <c r="L126" i="8"/>
  <c r="K126" i="8"/>
  <c r="I126" i="8"/>
  <c r="H126" i="8"/>
  <c r="G126" i="8"/>
  <c r="E126" i="8"/>
  <c r="D126" i="8"/>
  <c r="C126" i="8"/>
  <c r="N125" i="8"/>
  <c r="J125" i="8"/>
  <c r="F125" i="8"/>
  <c r="B125" i="8"/>
  <c r="N124" i="8"/>
  <c r="J124" i="8"/>
  <c r="F124" i="8"/>
  <c r="B124" i="8"/>
  <c r="N123" i="8"/>
  <c r="J123" i="8"/>
  <c r="F123" i="8"/>
  <c r="B123" i="8"/>
  <c r="N122" i="8"/>
  <c r="J122" i="8"/>
  <c r="F122" i="8"/>
  <c r="B122" i="8"/>
  <c r="N121" i="8"/>
  <c r="J121" i="8"/>
  <c r="F121" i="8"/>
  <c r="B121" i="8"/>
  <c r="N120" i="8"/>
  <c r="J120" i="8"/>
  <c r="F120" i="8"/>
  <c r="B120" i="8"/>
  <c r="N119" i="8"/>
  <c r="J119" i="8"/>
  <c r="F119" i="8"/>
  <c r="B119" i="8"/>
  <c r="N118" i="8"/>
  <c r="J118" i="8"/>
  <c r="F118" i="8"/>
  <c r="B118" i="8"/>
  <c r="N117" i="8"/>
  <c r="J117" i="8"/>
  <c r="F117" i="8"/>
  <c r="B117" i="8"/>
  <c r="N116" i="8"/>
  <c r="J116" i="8"/>
  <c r="F116" i="8"/>
  <c r="B116" i="8"/>
  <c r="N115" i="8"/>
  <c r="J115" i="8"/>
  <c r="F115" i="8"/>
  <c r="B115" i="8"/>
  <c r="N114" i="8"/>
  <c r="J114" i="8"/>
  <c r="F114" i="8"/>
  <c r="B114" i="8"/>
  <c r="N113" i="8"/>
  <c r="J113" i="8"/>
  <c r="F113" i="8"/>
  <c r="B113" i="8"/>
  <c r="N112" i="8"/>
  <c r="J112" i="8"/>
  <c r="F112" i="8"/>
  <c r="B112" i="8"/>
  <c r="N111" i="8"/>
  <c r="J111" i="8"/>
  <c r="F111" i="8"/>
  <c r="B111" i="8"/>
  <c r="N110" i="8"/>
  <c r="J110" i="8"/>
  <c r="F110" i="8"/>
  <c r="B110" i="8"/>
  <c r="N109" i="8"/>
  <c r="J109" i="8"/>
  <c r="F109" i="8"/>
  <c r="B109" i="8"/>
  <c r="N108" i="8"/>
  <c r="J108" i="8"/>
  <c r="F108" i="8"/>
  <c r="B108" i="8"/>
  <c r="N107" i="8"/>
  <c r="J107" i="8"/>
  <c r="F107" i="8"/>
  <c r="B107" i="8"/>
  <c r="N106" i="8"/>
  <c r="J106" i="8"/>
  <c r="F106" i="8"/>
  <c r="B106" i="8"/>
  <c r="N105" i="8"/>
  <c r="J105" i="8"/>
  <c r="F105" i="8"/>
  <c r="B105" i="8"/>
  <c r="N104" i="8"/>
  <c r="J104" i="8"/>
  <c r="F104" i="8"/>
  <c r="B104" i="8"/>
  <c r="N103" i="8"/>
  <c r="J103" i="8"/>
  <c r="F103" i="8"/>
  <c r="B103" i="8"/>
  <c r="N102" i="8"/>
  <c r="J102" i="8"/>
  <c r="F102" i="8"/>
  <c r="B102" i="8"/>
  <c r="N101" i="8"/>
  <c r="J101" i="8"/>
  <c r="F101" i="8"/>
  <c r="B101" i="8"/>
  <c r="N100" i="8"/>
  <c r="J100" i="8"/>
  <c r="F100" i="8"/>
  <c r="B100" i="8"/>
  <c r="N99" i="8"/>
  <c r="J99" i="8"/>
  <c r="F99" i="8"/>
  <c r="B99" i="8"/>
  <c r="N98" i="8"/>
  <c r="J98" i="8"/>
  <c r="F98" i="8"/>
  <c r="B98" i="8"/>
  <c r="N97" i="8"/>
  <c r="J97" i="8"/>
  <c r="F97" i="8"/>
  <c r="B97" i="8"/>
  <c r="N96" i="8"/>
  <c r="J96" i="8"/>
  <c r="F96" i="8"/>
  <c r="B96" i="8"/>
  <c r="N95" i="8"/>
  <c r="J95" i="8"/>
  <c r="F95" i="8"/>
  <c r="B95" i="8"/>
  <c r="N94" i="8"/>
  <c r="J94" i="8"/>
  <c r="F94" i="8"/>
  <c r="B94" i="8"/>
  <c r="N93" i="8"/>
  <c r="J93" i="8"/>
  <c r="F93" i="8"/>
  <c r="B93" i="8"/>
  <c r="N92" i="8"/>
  <c r="J92" i="8"/>
  <c r="F92" i="8"/>
  <c r="B92" i="8"/>
  <c r="N91" i="8"/>
  <c r="J91" i="8"/>
  <c r="F91" i="8"/>
  <c r="B91" i="8"/>
  <c r="N90" i="8"/>
  <c r="J90" i="8"/>
  <c r="F90" i="8"/>
  <c r="B90" i="8"/>
  <c r="N89" i="8"/>
  <c r="J89" i="8"/>
  <c r="F89" i="8"/>
  <c r="B89" i="8"/>
  <c r="N88" i="8"/>
  <c r="J88" i="8"/>
  <c r="F88" i="8"/>
  <c r="B88" i="8"/>
  <c r="N87" i="8"/>
  <c r="J87" i="8"/>
  <c r="F87" i="8"/>
  <c r="B87" i="8"/>
  <c r="N86" i="8"/>
  <c r="J86" i="8"/>
  <c r="F86" i="8"/>
  <c r="B86" i="8"/>
  <c r="N85" i="8"/>
  <c r="J85" i="8"/>
  <c r="F85" i="8"/>
  <c r="B85" i="8"/>
  <c r="N84" i="8"/>
  <c r="J84" i="8"/>
  <c r="F84" i="8"/>
  <c r="B84" i="8"/>
  <c r="N83" i="8"/>
  <c r="J83" i="8"/>
  <c r="F83" i="8"/>
  <c r="B83" i="8"/>
  <c r="N82" i="8"/>
  <c r="J82" i="8"/>
  <c r="F82" i="8"/>
  <c r="B82" i="8"/>
  <c r="N81" i="8"/>
  <c r="J81" i="8"/>
  <c r="F81" i="8"/>
  <c r="B81" i="8"/>
  <c r="N80" i="8"/>
  <c r="J80" i="8"/>
  <c r="F80" i="8"/>
  <c r="B80" i="8"/>
  <c r="N79" i="8"/>
  <c r="J79" i="8"/>
  <c r="F79" i="8"/>
  <c r="B79" i="8"/>
  <c r="N78" i="8"/>
  <c r="J78" i="8"/>
  <c r="F78" i="8"/>
  <c r="B78" i="8"/>
  <c r="N77" i="8"/>
  <c r="J77" i="8"/>
  <c r="F77" i="8"/>
  <c r="B77" i="8"/>
  <c r="N76" i="8"/>
  <c r="J76" i="8"/>
  <c r="F76" i="8"/>
  <c r="B76" i="8"/>
  <c r="N75" i="8"/>
  <c r="J75" i="8"/>
  <c r="F75" i="8"/>
  <c r="B75" i="8"/>
  <c r="N74" i="8"/>
  <c r="J74" i="8"/>
  <c r="F74" i="8"/>
  <c r="B74" i="8"/>
  <c r="N73" i="8"/>
  <c r="J73" i="8"/>
  <c r="F73" i="8"/>
  <c r="B73" i="8"/>
  <c r="N72" i="8"/>
  <c r="J72" i="8"/>
  <c r="F72" i="8"/>
  <c r="B72" i="8"/>
  <c r="N71" i="8"/>
  <c r="N126" i="8" s="1"/>
  <c r="J71" i="8"/>
  <c r="J126" i="8" s="1"/>
  <c r="F71" i="8"/>
  <c r="F126" i="8" s="1"/>
  <c r="B71" i="8"/>
  <c r="B126" i="8" s="1"/>
  <c r="AG67" i="8"/>
  <c r="AF67" i="8"/>
  <c r="AE67" i="8"/>
  <c r="AD67" i="8"/>
  <c r="AC67" i="8"/>
  <c r="AA67" i="8"/>
  <c r="Z67" i="8"/>
  <c r="Y67" i="8"/>
  <c r="W67" i="8"/>
  <c r="V67" i="8"/>
  <c r="U67" i="8"/>
  <c r="T67" i="8"/>
  <c r="S67" i="8"/>
  <c r="R67" i="8"/>
  <c r="Q67" i="8"/>
  <c r="P67" i="8"/>
  <c r="O67" i="8"/>
  <c r="N67" i="8"/>
  <c r="M67" i="8"/>
  <c r="L67" i="8"/>
  <c r="K67" i="8"/>
  <c r="J67" i="8"/>
  <c r="I67" i="8"/>
  <c r="H67" i="8"/>
  <c r="G67" i="8"/>
  <c r="F67" i="8"/>
  <c r="E67" i="8"/>
  <c r="D67" i="8"/>
  <c r="C67" i="8"/>
  <c r="AB66" i="8"/>
  <c r="X66" i="8"/>
  <c r="B66" i="8"/>
  <c r="CB66" i="8" s="1"/>
  <c r="AB65" i="8"/>
  <c r="CD65" i="8" s="1"/>
  <c r="X65" i="8"/>
  <c r="B65" i="8"/>
  <c r="CC65" i="8" s="1"/>
  <c r="CB64" i="8"/>
  <c r="AB64" i="8"/>
  <c r="X64" i="8"/>
  <c r="CD64" i="8" s="1"/>
  <c r="B64" i="8"/>
  <c r="CD63" i="8"/>
  <c r="AB63" i="8"/>
  <c r="X63" i="8"/>
  <c r="CO63" i="8" s="1"/>
  <c r="B63" i="8"/>
  <c r="CM62" i="8"/>
  <c r="CC62" i="8"/>
  <c r="AB62" i="8"/>
  <c r="X62" i="8"/>
  <c r="CD62" i="8" s="1"/>
  <c r="B62" i="8"/>
  <c r="CN62" i="8" s="1"/>
  <c r="CM61" i="8"/>
  <c r="CC61" i="8"/>
  <c r="AB61" i="8"/>
  <c r="X61" i="8"/>
  <c r="CO61" i="8" s="1"/>
  <c r="B61" i="8"/>
  <c r="CN61" i="8" s="1"/>
  <c r="CM60" i="8"/>
  <c r="CC60" i="8"/>
  <c r="AB60" i="8"/>
  <c r="X60" i="8"/>
  <c r="CD60" i="8" s="1"/>
  <c r="B60" i="8"/>
  <c r="CN60" i="8" s="1"/>
  <c r="CM59" i="8"/>
  <c r="CC59" i="8"/>
  <c r="AB59" i="8"/>
  <c r="X59" i="8"/>
  <c r="CO59" i="8" s="1"/>
  <c r="B59" i="8"/>
  <c r="CN59" i="8" s="1"/>
  <c r="CM58" i="8"/>
  <c r="CC58" i="8"/>
  <c r="AB58" i="8"/>
  <c r="X58" i="8"/>
  <c r="CD58" i="8" s="1"/>
  <c r="B58" i="8"/>
  <c r="CN58" i="8" s="1"/>
  <c r="CM57" i="8"/>
  <c r="CC57" i="8"/>
  <c r="AB57" i="8"/>
  <c r="X57" i="8"/>
  <c r="CO57" i="8" s="1"/>
  <c r="B57" i="8"/>
  <c r="CN57" i="8" s="1"/>
  <c r="CM56" i="8"/>
  <c r="CC56" i="8"/>
  <c r="AB56" i="8"/>
  <c r="X56" i="8"/>
  <c r="CD56" i="8" s="1"/>
  <c r="B56" i="8"/>
  <c r="CN56" i="8" s="1"/>
  <c r="CM55" i="8"/>
  <c r="CC55" i="8"/>
  <c r="AB55" i="8"/>
  <c r="X55" i="8"/>
  <c r="CO55" i="8" s="1"/>
  <c r="B55" i="8"/>
  <c r="CN55" i="8" s="1"/>
  <c r="CM54" i="8"/>
  <c r="CC54" i="8"/>
  <c r="AB54" i="8"/>
  <c r="X54" i="8"/>
  <c r="CD54" i="8" s="1"/>
  <c r="B54" i="8"/>
  <c r="CN54" i="8" s="1"/>
  <c r="CM53" i="8"/>
  <c r="CC53" i="8"/>
  <c r="AB53" i="8"/>
  <c r="X53" i="8"/>
  <c r="CO53" i="8" s="1"/>
  <c r="B53" i="8"/>
  <c r="CN53" i="8" s="1"/>
  <c r="CM52" i="8"/>
  <c r="CC52" i="8"/>
  <c r="AB52" i="8"/>
  <c r="X52" i="8"/>
  <c r="CD52" i="8" s="1"/>
  <c r="B52" i="8"/>
  <c r="CN52" i="8" s="1"/>
  <c r="CM51" i="8"/>
  <c r="CC51" i="8"/>
  <c r="AB51" i="8"/>
  <c r="X51" i="8"/>
  <c r="CO51" i="8" s="1"/>
  <c r="B51" i="8"/>
  <c r="CN51" i="8" s="1"/>
  <c r="CM50" i="8"/>
  <c r="CC50" i="8"/>
  <c r="AB50" i="8"/>
  <c r="X50" i="8"/>
  <c r="CD50" i="8" s="1"/>
  <c r="B50" i="8"/>
  <c r="CN50" i="8" s="1"/>
  <c r="CM49" i="8"/>
  <c r="CC49" i="8"/>
  <c r="AB49" i="8"/>
  <c r="X49" i="8"/>
  <c r="CO49" i="8" s="1"/>
  <c r="B49" i="8"/>
  <c r="CN49" i="8" s="1"/>
  <c r="CM48" i="8"/>
  <c r="CC48" i="8"/>
  <c r="AB48" i="8"/>
  <c r="X48" i="8"/>
  <c r="CD48" i="8" s="1"/>
  <c r="B48" i="8"/>
  <c r="CN48" i="8" s="1"/>
  <c r="CM47" i="8"/>
  <c r="CC47" i="8"/>
  <c r="AB47" i="8"/>
  <c r="X47" i="8"/>
  <c r="CO47" i="8" s="1"/>
  <c r="B47" i="8"/>
  <c r="CN47" i="8" s="1"/>
  <c r="CM46" i="8"/>
  <c r="CC46" i="8"/>
  <c r="AB46" i="8"/>
  <c r="X46" i="8"/>
  <c r="CD46" i="8" s="1"/>
  <c r="B46" i="8"/>
  <c r="CN46" i="8" s="1"/>
  <c r="CM45" i="8"/>
  <c r="CC45" i="8"/>
  <c r="AB45" i="8"/>
  <c r="X45" i="8"/>
  <c r="CO45" i="8" s="1"/>
  <c r="B45" i="8"/>
  <c r="CN45" i="8" s="1"/>
  <c r="CM44" i="8"/>
  <c r="CC44" i="8"/>
  <c r="AB44" i="8"/>
  <c r="X44" i="8"/>
  <c r="CD44" i="8" s="1"/>
  <c r="B44" i="8"/>
  <c r="CN44" i="8" s="1"/>
  <c r="CM43" i="8"/>
  <c r="CC43" i="8"/>
  <c r="AB43" i="8"/>
  <c r="X43" i="8"/>
  <c r="CO43" i="8" s="1"/>
  <c r="B43" i="8"/>
  <c r="CN43" i="8" s="1"/>
  <c r="CM42" i="8"/>
  <c r="CC42" i="8"/>
  <c r="AB42" i="8"/>
  <c r="X42" i="8"/>
  <c r="CD42" i="8" s="1"/>
  <c r="B42" i="8"/>
  <c r="CN42" i="8" s="1"/>
  <c r="CM41" i="8"/>
  <c r="CC41" i="8"/>
  <c r="AB41" i="8"/>
  <c r="X41" i="8"/>
  <c r="CO41" i="8" s="1"/>
  <c r="B41" i="8"/>
  <c r="CN41" i="8" s="1"/>
  <c r="CM40" i="8"/>
  <c r="CC40" i="8"/>
  <c r="AB40" i="8"/>
  <c r="X40" i="8"/>
  <c r="CD40" i="8" s="1"/>
  <c r="B40" i="8"/>
  <c r="CN40" i="8" s="1"/>
  <c r="CM39" i="8"/>
  <c r="CC39" i="8"/>
  <c r="AB39" i="8"/>
  <c r="X39" i="8"/>
  <c r="CO39" i="8" s="1"/>
  <c r="B39" i="8"/>
  <c r="CN39" i="8" s="1"/>
  <c r="CM38" i="8"/>
  <c r="CC38" i="8"/>
  <c r="AB38" i="8"/>
  <c r="X38" i="8"/>
  <c r="CD38" i="8" s="1"/>
  <c r="B38" i="8"/>
  <c r="CN38" i="8" s="1"/>
  <c r="CM37" i="8"/>
  <c r="CC37" i="8"/>
  <c r="AB37" i="8"/>
  <c r="X37" i="8"/>
  <c r="CO37" i="8" s="1"/>
  <c r="B37" i="8"/>
  <c r="CN37" i="8" s="1"/>
  <c r="CM36" i="8"/>
  <c r="CC36" i="8"/>
  <c r="AB36" i="8"/>
  <c r="X36" i="8"/>
  <c r="CD36" i="8" s="1"/>
  <c r="B36" i="8"/>
  <c r="CN36" i="8" s="1"/>
  <c r="CM35" i="8"/>
  <c r="CC35" i="8"/>
  <c r="AB35" i="8"/>
  <c r="X35" i="8"/>
  <c r="CO35" i="8" s="1"/>
  <c r="B35" i="8"/>
  <c r="CN35" i="8" s="1"/>
  <c r="CM34" i="8"/>
  <c r="CC34" i="8"/>
  <c r="AB34" i="8"/>
  <c r="X34" i="8"/>
  <c r="CD34" i="8" s="1"/>
  <c r="B34" i="8"/>
  <c r="CN34" i="8" s="1"/>
  <c r="CM33" i="8"/>
  <c r="CC33" i="8"/>
  <c r="AB33" i="8"/>
  <c r="X33" i="8"/>
  <c r="CO33" i="8" s="1"/>
  <c r="B33" i="8"/>
  <c r="CN33" i="8" s="1"/>
  <c r="CM32" i="8"/>
  <c r="CC32" i="8"/>
  <c r="AB32" i="8"/>
  <c r="X32" i="8"/>
  <c r="CD32" i="8" s="1"/>
  <c r="B32" i="8"/>
  <c r="CN32" i="8" s="1"/>
  <c r="CM31" i="8"/>
  <c r="CC31" i="8"/>
  <c r="AB31" i="8"/>
  <c r="X31" i="8"/>
  <c r="CO31" i="8" s="1"/>
  <c r="B31" i="8"/>
  <c r="CN31" i="8" s="1"/>
  <c r="CM30" i="8"/>
  <c r="CC30" i="8"/>
  <c r="AB30" i="8"/>
  <c r="X30" i="8"/>
  <c r="CD30" i="8" s="1"/>
  <c r="B30" i="8"/>
  <c r="CN30" i="8" s="1"/>
  <c r="CM29" i="8"/>
  <c r="CC29" i="8"/>
  <c r="AB29" i="8"/>
  <c r="X29" i="8"/>
  <c r="CO29" i="8" s="1"/>
  <c r="B29" i="8"/>
  <c r="CN29" i="8" s="1"/>
  <c r="CM28" i="8"/>
  <c r="CC28" i="8"/>
  <c r="AB28" i="8"/>
  <c r="X28" i="8"/>
  <c r="CD28" i="8" s="1"/>
  <c r="B28" i="8"/>
  <c r="CN28" i="8" s="1"/>
  <c r="CM27" i="8"/>
  <c r="CC27" i="8"/>
  <c r="AB27" i="8"/>
  <c r="X27" i="8"/>
  <c r="CO27" i="8" s="1"/>
  <c r="B27" i="8"/>
  <c r="CN27" i="8" s="1"/>
  <c r="CM26" i="8"/>
  <c r="CC26" i="8"/>
  <c r="AB26" i="8"/>
  <c r="X26" i="8"/>
  <c r="CD26" i="8" s="1"/>
  <c r="B26" i="8"/>
  <c r="CN26" i="8" s="1"/>
  <c r="CM25" i="8"/>
  <c r="CC25" i="8"/>
  <c r="AB25" i="8"/>
  <c r="X25" i="8"/>
  <c r="CO25" i="8" s="1"/>
  <c r="B25" i="8"/>
  <c r="CN25" i="8" s="1"/>
  <c r="CM24" i="8"/>
  <c r="CC24" i="8"/>
  <c r="AB24" i="8"/>
  <c r="X24" i="8"/>
  <c r="CD24" i="8" s="1"/>
  <c r="B24" i="8"/>
  <c r="CN24" i="8" s="1"/>
  <c r="CM23" i="8"/>
  <c r="CC23" i="8"/>
  <c r="AB23" i="8"/>
  <c r="X23" i="8"/>
  <c r="CO23" i="8" s="1"/>
  <c r="B23" i="8"/>
  <c r="CN23" i="8" s="1"/>
  <c r="CM22" i="8"/>
  <c r="CC22" i="8"/>
  <c r="AB22" i="8"/>
  <c r="X22" i="8"/>
  <c r="CD22" i="8" s="1"/>
  <c r="B22" i="8"/>
  <c r="CN22" i="8" s="1"/>
  <c r="CM21" i="8"/>
  <c r="CC21" i="8"/>
  <c r="AB21" i="8"/>
  <c r="X21" i="8"/>
  <c r="CO21" i="8" s="1"/>
  <c r="B21" i="8"/>
  <c r="CN21" i="8" s="1"/>
  <c r="CM20" i="8"/>
  <c r="CC20" i="8"/>
  <c r="AB20" i="8"/>
  <c r="X20" i="8"/>
  <c r="CD20" i="8" s="1"/>
  <c r="B20" i="8"/>
  <c r="CN20" i="8" s="1"/>
  <c r="CM19" i="8"/>
  <c r="CC19" i="8"/>
  <c r="AB19" i="8"/>
  <c r="X19" i="8"/>
  <c r="CO19" i="8" s="1"/>
  <c r="B19" i="8"/>
  <c r="CN19" i="8" s="1"/>
  <c r="CM18" i="8"/>
  <c r="CC18" i="8"/>
  <c r="AB18" i="8"/>
  <c r="X18" i="8"/>
  <c r="CD18" i="8" s="1"/>
  <c r="B18" i="8"/>
  <c r="CN18" i="8" s="1"/>
  <c r="CM17" i="8"/>
  <c r="CC17" i="8"/>
  <c r="AB17" i="8"/>
  <c r="X17" i="8"/>
  <c r="CO17" i="8" s="1"/>
  <c r="B17" i="8"/>
  <c r="CN17" i="8" s="1"/>
  <c r="CM16" i="8"/>
  <c r="CC16" i="8"/>
  <c r="AB16" i="8"/>
  <c r="X16" i="8"/>
  <c r="CD16" i="8" s="1"/>
  <c r="B16" i="8"/>
  <c r="CN16" i="8" s="1"/>
  <c r="CM15" i="8"/>
  <c r="CC15" i="8"/>
  <c r="AB15" i="8"/>
  <c r="X15" i="8"/>
  <c r="CO15" i="8" s="1"/>
  <c r="B15" i="8"/>
  <c r="CN15" i="8" s="1"/>
  <c r="CM14" i="8"/>
  <c r="CC14" i="8"/>
  <c r="AB14" i="8"/>
  <c r="X14" i="8"/>
  <c r="CD14" i="8" s="1"/>
  <c r="B14" i="8"/>
  <c r="CN14" i="8" s="1"/>
  <c r="CM13" i="8"/>
  <c r="CC13" i="8"/>
  <c r="AB13" i="8"/>
  <c r="X13" i="8"/>
  <c r="CO13" i="8" s="1"/>
  <c r="B13" i="8"/>
  <c r="CN13" i="8" s="1"/>
  <c r="CM12" i="8"/>
  <c r="CC12" i="8"/>
  <c r="AB12" i="8"/>
  <c r="AB67" i="8" s="1"/>
  <c r="X12" i="8"/>
  <c r="CD12" i="8" s="1"/>
  <c r="B12" i="8"/>
  <c r="A5" i="8"/>
  <c r="A3" i="8"/>
  <c r="A2" i="8"/>
  <c r="N181" i="7"/>
  <c r="M181" i="7"/>
  <c r="L181" i="7"/>
  <c r="K181" i="7"/>
  <c r="J181" i="7"/>
  <c r="I181" i="7"/>
  <c r="H181" i="7"/>
  <c r="G181" i="7"/>
  <c r="F181" i="7"/>
  <c r="E181" i="7"/>
  <c r="D180" i="7"/>
  <c r="C180" i="7"/>
  <c r="B180" i="7" s="1"/>
  <c r="D179" i="7"/>
  <c r="D181" i="7" s="1"/>
  <c r="C179" i="7"/>
  <c r="C181" i="7" s="1"/>
  <c r="CP168" i="7"/>
  <c r="CG168" i="7"/>
  <c r="E168" i="7"/>
  <c r="CF168" i="7" s="1"/>
  <c r="D168" i="7"/>
  <c r="CQ168" i="7" s="1"/>
  <c r="C168" i="7"/>
  <c r="CN168" i="7" s="1"/>
  <c r="X167" i="7"/>
  <c r="W167" i="7"/>
  <c r="V167" i="7"/>
  <c r="U167" i="7"/>
  <c r="T167" i="7"/>
  <c r="S167" i="7"/>
  <c r="R167" i="7"/>
  <c r="Q167" i="7"/>
  <c r="P167" i="7"/>
  <c r="O167" i="7"/>
  <c r="N167" i="7"/>
  <c r="M167" i="7"/>
  <c r="L167" i="7"/>
  <c r="K167" i="7"/>
  <c r="J167" i="7"/>
  <c r="I167" i="7"/>
  <c r="H167" i="7"/>
  <c r="G167" i="7"/>
  <c r="E167" i="7" s="1"/>
  <c r="F167" i="7"/>
  <c r="D167" i="7" s="1"/>
  <c r="C167" i="7" s="1"/>
  <c r="CG166" i="7"/>
  <c r="E166" i="7"/>
  <c r="CP166" i="7" s="1"/>
  <c r="D166" i="7"/>
  <c r="CQ166" i="7" s="1"/>
  <c r="CP165" i="7"/>
  <c r="CG165" i="7"/>
  <c r="E165" i="7"/>
  <c r="CF165" i="7" s="1"/>
  <c r="D165" i="7"/>
  <c r="CQ165" i="7" s="1"/>
  <c r="C165" i="7"/>
  <c r="CN165" i="7" s="1"/>
  <c r="CG164" i="7"/>
  <c r="E164" i="7"/>
  <c r="CP164" i="7" s="1"/>
  <c r="D164" i="7"/>
  <c r="CQ164" i="7" s="1"/>
  <c r="X163" i="7"/>
  <c r="W163" i="7"/>
  <c r="V163" i="7"/>
  <c r="U163" i="7"/>
  <c r="T163" i="7"/>
  <c r="S163" i="7"/>
  <c r="R163" i="7"/>
  <c r="Q163" i="7"/>
  <c r="P163" i="7"/>
  <c r="O163" i="7"/>
  <c r="N163" i="7"/>
  <c r="M163" i="7"/>
  <c r="L163" i="7"/>
  <c r="K163" i="7"/>
  <c r="J163" i="7"/>
  <c r="I163" i="7"/>
  <c r="H163" i="7"/>
  <c r="G163" i="7"/>
  <c r="F163" i="7"/>
  <c r="CP162" i="7"/>
  <c r="CG162" i="7"/>
  <c r="E162" i="7"/>
  <c r="CF162" i="7" s="1"/>
  <c r="D162" i="7"/>
  <c r="CQ162" i="7" s="1"/>
  <c r="C162" i="7"/>
  <c r="CN162" i="7" s="1"/>
  <c r="CG161" i="7"/>
  <c r="E161" i="7"/>
  <c r="CP161" i="7" s="1"/>
  <c r="D161" i="7"/>
  <c r="CQ161" i="7" s="1"/>
  <c r="CP160" i="7"/>
  <c r="CG160" i="7"/>
  <c r="E160" i="7"/>
  <c r="CF160" i="7" s="1"/>
  <c r="D160" i="7"/>
  <c r="CQ160" i="7" s="1"/>
  <c r="C160" i="7"/>
  <c r="B150" i="7"/>
  <c r="B149" i="7"/>
  <c r="B148" i="7"/>
  <c r="B147" i="7"/>
  <c r="B146" i="7"/>
  <c r="B145" i="7"/>
  <c r="B144" i="7"/>
  <c r="B143" i="7"/>
  <c r="AR138" i="7"/>
  <c r="AQ138" i="7"/>
  <c r="AP138" i="7"/>
  <c r="AO138" i="7"/>
  <c r="AN138" i="7"/>
  <c r="AM138" i="7"/>
  <c r="AL138" i="7"/>
  <c r="AK138" i="7"/>
  <c r="AJ138" i="7"/>
  <c r="AI138" i="7"/>
  <c r="AH138" i="7"/>
  <c r="AG138" i="7"/>
  <c r="AF138" i="7"/>
  <c r="AE138" i="7"/>
  <c r="AD138" i="7"/>
  <c r="AC138" i="7"/>
  <c r="AB138" i="7"/>
  <c r="AA138" i="7"/>
  <c r="Z138" i="7"/>
  <c r="Y138" i="7"/>
  <c r="X138" i="7"/>
  <c r="W138" i="7"/>
  <c r="V138" i="7"/>
  <c r="U138" i="7"/>
  <c r="T138" i="7"/>
  <c r="S138" i="7"/>
  <c r="R138" i="7"/>
  <c r="Q138" i="7"/>
  <c r="P138" i="7"/>
  <c r="O138" i="7"/>
  <c r="N138" i="7"/>
  <c r="M138" i="7"/>
  <c r="L138" i="7"/>
  <c r="K138" i="7"/>
  <c r="J138" i="7"/>
  <c r="I138" i="7"/>
  <c r="H138" i="7"/>
  <c r="G138" i="7"/>
  <c r="F138" i="7"/>
  <c r="E138" i="7"/>
  <c r="C138" i="7" s="1"/>
  <c r="D138" i="7"/>
  <c r="E137" i="7"/>
  <c r="D137" i="7"/>
  <c r="C137" i="7"/>
  <c r="CL137" i="7" s="1"/>
  <c r="E136" i="7"/>
  <c r="C136" i="7" s="1"/>
  <c r="D136" i="7"/>
  <c r="E135" i="7"/>
  <c r="D135" i="7"/>
  <c r="C135" i="7"/>
  <c r="CL135" i="7" s="1"/>
  <c r="B130" i="7"/>
  <c r="D126" i="7"/>
  <c r="C126" i="7"/>
  <c r="B126" i="7"/>
  <c r="D125" i="7"/>
  <c r="C125" i="7"/>
  <c r="B125" i="7" s="1"/>
  <c r="D124" i="7"/>
  <c r="B124" i="7" s="1"/>
  <c r="C124" i="7"/>
  <c r="D116" i="7"/>
  <c r="B116" i="7" s="1"/>
  <c r="C116" i="7"/>
  <c r="D115" i="7"/>
  <c r="B115" i="7" s="1"/>
  <c r="C115" i="7"/>
  <c r="D114" i="7"/>
  <c r="B114" i="7" s="1"/>
  <c r="C114" i="7"/>
  <c r="F109" i="7"/>
  <c r="E109" i="7"/>
  <c r="D109" i="7"/>
  <c r="C109" i="7"/>
  <c r="B109" i="7"/>
  <c r="F102" i="7"/>
  <c r="E102" i="7"/>
  <c r="D102" i="7"/>
  <c r="C102" i="7"/>
  <c r="B102" i="7"/>
  <c r="E76" i="7"/>
  <c r="D76" i="7"/>
  <c r="C76" i="7"/>
  <c r="CK76" i="7" s="1"/>
  <c r="E75" i="7"/>
  <c r="D75" i="7"/>
  <c r="C75" i="7"/>
  <c r="CK75" i="7" s="1"/>
  <c r="E74" i="7"/>
  <c r="C74" i="7" s="1"/>
  <c r="D74" i="7"/>
  <c r="E73" i="7"/>
  <c r="C73" i="7" s="1"/>
  <c r="D73" i="7"/>
  <c r="E72" i="7"/>
  <c r="C72" i="7" s="1"/>
  <c r="D72" i="7"/>
  <c r="E71" i="7"/>
  <c r="C71" i="7" s="1"/>
  <c r="D71" i="7"/>
  <c r="E70" i="7"/>
  <c r="C70" i="7" s="1"/>
  <c r="D70" i="7"/>
  <c r="E69" i="7"/>
  <c r="C69" i="7" s="1"/>
  <c r="D69" i="7"/>
  <c r="E68" i="7"/>
  <c r="C68" i="7" s="1"/>
  <c r="D68" i="7"/>
  <c r="E67" i="7"/>
  <c r="C67" i="7" s="1"/>
  <c r="D67" i="7"/>
  <c r="E66" i="7"/>
  <c r="C66" i="7" s="1"/>
  <c r="D66" i="7"/>
  <c r="E65" i="7"/>
  <c r="C65" i="7" s="1"/>
  <c r="D65" i="7"/>
  <c r="E64" i="7"/>
  <c r="C64" i="7" s="1"/>
  <c r="D64" i="7"/>
  <c r="E63" i="7"/>
  <c r="C63" i="7" s="1"/>
  <c r="D63" i="7"/>
  <c r="E62" i="7"/>
  <c r="C62" i="7" s="1"/>
  <c r="D62" i="7"/>
  <c r="E61" i="7"/>
  <c r="C61" i="7" s="1"/>
  <c r="D61" i="7"/>
  <c r="E60" i="7"/>
  <c r="C60" i="7" s="1"/>
  <c r="D60" i="7"/>
  <c r="E59" i="7"/>
  <c r="C59" i="7" s="1"/>
  <c r="D59" i="7"/>
  <c r="E58" i="7"/>
  <c r="C58" i="7" s="1"/>
  <c r="D58" i="7"/>
  <c r="E57" i="7"/>
  <c r="C57" i="7" s="1"/>
  <c r="D57" i="7"/>
  <c r="E56" i="7"/>
  <c r="C56" i="7" s="1"/>
  <c r="D56" i="7"/>
  <c r="E55" i="7"/>
  <c r="C55" i="7" s="1"/>
  <c r="D55" i="7"/>
  <c r="E50" i="7"/>
  <c r="D50" i="7"/>
  <c r="C50" i="7"/>
  <c r="CL50" i="7" s="1"/>
  <c r="E49" i="7"/>
  <c r="C49" i="7" s="1"/>
  <c r="D49" i="7"/>
  <c r="M38" i="7"/>
  <c r="L38" i="7"/>
  <c r="K38" i="7"/>
  <c r="J38" i="7"/>
  <c r="I38" i="7"/>
  <c r="H38" i="7"/>
  <c r="G38" i="7"/>
  <c r="F38" i="7"/>
  <c r="D38" i="7"/>
  <c r="C38" i="7"/>
  <c r="E37" i="7"/>
  <c r="B37" i="7"/>
  <c r="E36" i="7"/>
  <c r="E38" i="7" s="1"/>
  <c r="B36" i="7"/>
  <c r="B38" i="7" s="1"/>
  <c r="AU32" i="7"/>
  <c r="AT32" i="7"/>
  <c r="AS32" i="7"/>
  <c r="AR32" i="7"/>
  <c r="AQ32" i="7"/>
  <c r="AP32" i="7"/>
  <c r="AO32" i="7"/>
  <c r="AN32" i="7"/>
  <c r="AM32" i="7"/>
  <c r="AL32" i="7"/>
  <c r="AK32" i="7"/>
  <c r="AJ32" i="7"/>
  <c r="AI32" i="7"/>
  <c r="AH32" i="7"/>
  <c r="AG32" i="7"/>
  <c r="AF32" i="7"/>
  <c r="AE32" i="7"/>
  <c r="AD32" i="7"/>
  <c r="AC32" i="7"/>
  <c r="AB32" i="7"/>
  <c r="AA32" i="7"/>
  <c r="Z32" i="7"/>
  <c r="Y32" i="7"/>
  <c r="X32" i="7"/>
  <c r="W32" i="7"/>
  <c r="V32" i="7"/>
  <c r="U32" i="7"/>
  <c r="T32" i="7"/>
  <c r="S32" i="7"/>
  <c r="R32" i="7"/>
  <c r="Q32" i="7"/>
  <c r="P32" i="7"/>
  <c r="O32" i="7"/>
  <c r="N32" i="7"/>
  <c r="M32" i="7"/>
  <c r="L32" i="7"/>
  <c r="K32" i="7"/>
  <c r="J32" i="7"/>
  <c r="I32" i="7"/>
  <c r="H32" i="7"/>
  <c r="D32" i="7"/>
  <c r="C32" i="7"/>
  <c r="B32" i="7"/>
  <c r="G31" i="7"/>
  <c r="F31" i="7"/>
  <c r="E31" i="7"/>
  <c r="CM31" i="7" s="1"/>
  <c r="B31" i="7"/>
  <c r="G30" i="7"/>
  <c r="G32" i="7" s="1"/>
  <c r="F30" i="7"/>
  <c r="F32" i="7" s="1"/>
  <c r="B30" i="7"/>
  <c r="CR26" i="7"/>
  <c r="CH26" i="7"/>
  <c r="E26" i="7"/>
  <c r="CQ26" i="7" s="1"/>
  <c r="D26" i="7"/>
  <c r="C26" i="7"/>
  <c r="CN26" i="7" s="1"/>
  <c r="CR25" i="7"/>
  <c r="E25" i="7"/>
  <c r="CG25" i="7" s="1"/>
  <c r="D25" i="7"/>
  <c r="CH25" i="7" s="1"/>
  <c r="CR24" i="7"/>
  <c r="CH24" i="7"/>
  <c r="E24" i="7"/>
  <c r="CQ24" i="7" s="1"/>
  <c r="D24" i="7"/>
  <c r="C24" i="7"/>
  <c r="CN24" i="7" s="1"/>
  <c r="CR23" i="7"/>
  <c r="E23" i="7"/>
  <c r="CG23" i="7" s="1"/>
  <c r="D23" i="7"/>
  <c r="CH23" i="7" s="1"/>
  <c r="AV22" i="7"/>
  <c r="AU22" i="7"/>
  <c r="AT22" i="7"/>
  <c r="AS22" i="7"/>
  <c r="AR22" i="7"/>
  <c r="AQ22" i="7"/>
  <c r="AP22" i="7"/>
  <c r="AO22" i="7"/>
  <c r="AN22" i="7"/>
  <c r="AM22" i="7"/>
  <c r="AL22" i="7"/>
  <c r="AK22" i="7"/>
  <c r="AJ22" i="7"/>
  <c r="AI22" i="7"/>
  <c r="AH22" i="7"/>
  <c r="AG22" i="7"/>
  <c r="AF22" i="7"/>
  <c r="AE22" i="7"/>
  <c r="AD22" i="7"/>
  <c r="AC22" i="7"/>
  <c r="AB22" i="7"/>
  <c r="AA22" i="7"/>
  <c r="Z22" i="7"/>
  <c r="Y22" i="7"/>
  <c r="X22" i="7"/>
  <c r="W22" i="7"/>
  <c r="V22" i="7"/>
  <c r="U22" i="7"/>
  <c r="T22" i="7"/>
  <c r="S22" i="7"/>
  <c r="R22" i="7"/>
  <c r="Q22" i="7"/>
  <c r="P22" i="7"/>
  <c r="O22" i="7"/>
  <c r="N22" i="7"/>
  <c r="M22" i="7"/>
  <c r="L22" i="7"/>
  <c r="K22" i="7"/>
  <c r="J22" i="7"/>
  <c r="I22" i="7"/>
  <c r="H22" i="7"/>
  <c r="G22" i="7"/>
  <c r="E22" i="7" s="1"/>
  <c r="F22" i="7"/>
  <c r="D22" i="7"/>
  <c r="CQ21" i="7"/>
  <c r="CH21" i="7"/>
  <c r="E21" i="7"/>
  <c r="CG21" i="7" s="1"/>
  <c r="D21" i="7"/>
  <c r="CR21" i="7" s="1"/>
  <c r="CQ20" i="7"/>
  <c r="E20" i="7"/>
  <c r="CG20" i="7" s="1"/>
  <c r="D20" i="7"/>
  <c r="CR20" i="7" s="1"/>
  <c r="CQ19" i="7"/>
  <c r="CH19" i="7"/>
  <c r="E19" i="7"/>
  <c r="CG19" i="7" s="1"/>
  <c r="D19" i="7"/>
  <c r="CR19" i="7" s="1"/>
  <c r="CQ18" i="7"/>
  <c r="E18" i="7"/>
  <c r="CG18" i="7" s="1"/>
  <c r="D18" i="7"/>
  <c r="CR18" i="7" s="1"/>
  <c r="CQ17" i="7"/>
  <c r="CH17" i="7"/>
  <c r="E17" i="7"/>
  <c r="CG17" i="7" s="1"/>
  <c r="D17" i="7"/>
  <c r="CR17" i="7" s="1"/>
  <c r="CQ16" i="7"/>
  <c r="E16" i="7"/>
  <c r="CG16" i="7" s="1"/>
  <c r="D16" i="7"/>
  <c r="CR16" i="7" s="1"/>
  <c r="CQ15" i="7"/>
  <c r="CH15" i="7"/>
  <c r="E15" i="7"/>
  <c r="CG15" i="7" s="1"/>
  <c r="D15" i="7"/>
  <c r="CR15" i="7" s="1"/>
  <c r="CQ14" i="7"/>
  <c r="E14" i="7"/>
  <c r="CG14" i="7" s="1"/>
  <c r="D14" i="7"/>
  <c r="CR14" i="7" s="1"/>
  <c r="CQ13" i="7"/>
  <c r="CH13" i="7"/>
  <c r="E13" i="7"/>
  <c r="CG13" i="7" s="1"/>
  <c r="D13" i="7"/>
  <c r="CR13" i="7" s="1"/>
  <c r="CQ12" i="7"/>
  <c r="E12" i="7"/>
  <c r="CG12" i="7" s="1"/>
  <c r="D12" i="7"/>
  <c r="CR12" i="7" s="1"/>
  <c r="A5" i="7"/>
  <c r="A3" i="7"/>
  <c r="A2" i="7"/>
  <c r="CR411" i="6"/>
  <c r="CP411" i="6"/>
  <c r="CD411" i="6"/>
  <c r="CB411" i="6"/>
  <c r="B411" i="6"/>
  <c r="CQ411" i="6" s="1"/>
  <c r="CR410" i="6"/>
  <c r="CP410" i="6"/>
  <c r="CO410" i="6"/>
  <c r="CD410" i="6"/>
  <c r="CB410" i="6"/>
  <c r="G410" i="6" s="1"/>
  <c r="CA410" i="6"/>
  <c r="B410" i="6"/>
  <c r="CQ410" i="6" s="1"/>
  <c r="CR409" i="6"/>
  <c r="CP409" i="6"/>
  <c r="CD409" i="6"/>
  <c r="CB409" i="6"/>
  <c r="B409" i="6"/>
  <c r="CQ409" i="6" s="1"/>
  <c r="CP404" i="6"/>
  <c r="CB404" i="6"/>
  <c r="V404" i="6" s="1"/>
  <c r="CA404" i="6"/>
  <c r="B404" i="6"/>
  <c r="CO404" i="6" s="1"/>
  <c r="CP403" i="6"/>
  <c r="CB403" i="6"/>
  <c r="B403" i="6"/>
  <c r="CO403" i="6" s="1"/>
  <c r="CP402" i="6"/>
  <c r="CB402" i="6"/>
  <c r="V402" i="6" s="1"/>
  <c r="CA402" i="6"/>
  <c r="B402" i="6"/>
  <c r="CO402" i="6" s="1"/>
  <c r="CP401" i="6"/>
  <c r="CB401" i="6"/>
  <c r="B401" i="6"/>
  <c r="CO401" i="6" s="1"/>
  <c r="CP400" i="6"/>
  <c r="CB400" i="6"/>
  <c r="V400" i="6" s="1"/>
  <c r="CA400" i="6"/>
  <c r="B400" i="6"/>
  <c r="CO400" i="6" s="1"/>
  <c r="U399" i="6"/>
  <c r="T399" i="6"/>
  <c r="S399" i="6"/>
  <c r="R399" i="6"/>
  <c r="Q399" i="6"/>
  <c r="P399" i="6"/>
  <c r="O399" i="6"/>
  <c r="N399" i="6"/>
  <c r="M399" i="6"/>
  <c r="L399" i="6"/>
  <c r="K399" i="6"/>
  <c r="J399" i="6"/>
  <c r="I399" i="6"/>
  <c r="H399" i="6"/>
  <c r="G399" i="6"/>
  <c r="F399" i="6"/>
  <c r="E399" i="6"/>
  <c r="D399" i="6"/>
  <c r="C399" i="6"/>
  <c r="B399" i="6" s="1"/>
  <c r="CP398" i="6"/>
  <c r="CB398" i="6"/>
  <c r="B398" i="6"/>
  <c r="CO398" i="6" s="1"/>
  <c r="CP397" i="6"/>
  <c r="CB397" i="6"/>
  <c r="V397" i="6" s="1"/>
  <c r="CA397" i="6"/>
  <c r="B397" i="6"/>
  <c r="CO397" i="6" s="1"/>
  <c r="CP396" i="6"/>
  <c r="CB396" i="6"/>
  <c r="B396" i="6"/>
  <c r="CO396" i="6" s="1"/>
  <c r="U395" i="6"/>
  <c r="T395" i="6"/>
  <c r="S395" i="6"/>
  <c r="R395" i="6"/>
  <c r="Q395" i="6"/>
  <c r="P395" i="6"/>
  <c r="O395" i="6"/>
  <c r="N395" i="6"/>
  <c r="M395" i="6"/>
  <c r="L395" i="6"/>
  <c r="K395" i="6"/>
  <c r="I395" i="6"/>
  <c r="H395" i="6"/>
  <c r="G395" i="6"/>
  <c r="F395" i="6"/>
  <c r="E395" i="6"/>
  <c r="D395" i="6"/>
  <c r="C395" i="6"/>
  <c r="B395" i="6"/>
  <c r="CA394" i="6"/>
  <c r="B394" i="6"/>
  <c r="CP394" i="6" s="1"/>
  <c r="D389" i="6"/>
  <c r="B389" i="6" s="1"/>
  <c r="C389" i="6"/>
  <c r="D388" i="6"/>
  <c r="B388" i="6" s="1"/>
  <c r="C388" i="6"/>
  <c r="D387" i="6"/>
  <c r="B387" i="6" s="1"/>
  <c r="C387" i="6"/>
  <c r="D386" i="6"/>
  <c r="B386" i="6" s="1"/>
  <c r="C386" i="6"/>
  <c r="D385" i="6"/>
  <c r="B385" i="6" s="1"/>
  <c r="C385" i="6"/>
  <c r="D384" i="6"/>
  <c r="B384" i="6" s="1"/>
  <c r="C384" i="6"/>
  <c r="D382" i="6"/>
  <c r="B382" i="6" s="1"/>
  <c r="C382" i="6"/>
  <c r="D381" i="6"/>
  <c r="B381" i="6" s="1"/>
  <c r="C381" i="6"/>
  <c r="D380" i="6"/>
  <c r="B380" i="6" s="1"/>
  <c r="C380" i="6"/>
  <c r="D379" i="6"/>
  <c r="B379" i="6" s="1"/>
  <c r="C379" i="6"/>
  <c r="D378" i="6"/>
  <c r="B378" i="6" s="1"/>
  <c r="C378" i="6"/>
  <c r="D376" i="6"/>
  <c r="B376" i="6" s="1"/>
  <c r="C376" i="6"/>
  <c r="D375" i="6"/>
  <c r="B375" i="6" s="1"/>
  <c r="C375" i="6"/>
  <c r="D373" i="6"/>
  <c r="B373" i="6" s="1"/>
  <c r="C373" i="6"/>
  <c r="D372" i="6"/>
  <c r="B372" i="6" s="1"/>
  <c r="C372" i="6"/>
  <c r="E366" i="6"/>
  <c r="C366" i="6" s="1"/>
  <c r="D366" i="6"/>
  <c r="E365" i="6"/>
  <c r="C365" i="6" s="1"/>
  <c r="D365" i="6"/>
  <c r="E364" i="6"/>
  <c r="C364" i="6" s="1"/>
  <c r="D364" i="6"/>
  <c r="E363" i="6"/>
  <c r="C363" i="6" s="1"/>
  <c r="D363" i="6"/>
  <c r="E362" i="6"/>
  <c r="C362" i="6" s="1"/>
  <c r="D362" i="6"/>
  <c r="E361" i="6"/>
  <c r="C361" i="6" s="1"/>
  <c r="D361" i="6"/>
  <c r="E360" i="6"/>
  <c r="C360" i="6" s="1"/>
  <c r="D360" i="6"/>
  <c r="E359" i="6"/>
  <c r="C359" i="6" s="1"/>
  <c r="D359" i="6"/>
  <c r="E358" i="6"/>
  <c r="C358" i="6" s="1"/>
  <c r="D358" i="6"/>
  <c r="E357" i="6"/>
  <c r="C357" i="6" s="1"/>
  <c r="D357" i="6"/>
  <c r="CT352" i="6"/>
  <c r="CG352" i="6"/>
  <c r="D352" i="6"/>
  <c r="CF352" i="6" s="1"/>
  <c r="C352" i="6"/>
  <c r="CU352" i="6" s="1"/>
  <c r="B352" i="6"/>
  <c r="CP352" i="6" s="1"/>
  <c r="CU351" i="6"/>
  <c r="CG351" i="6"/>
  <c r="D351" i="6"/>
  <c r="CT351" i="6" s="1"/>
  <c r="C351" i="6"/>
  <c r="B351" i="6"/>
  <c r="CR351" i="6" s="1"/>
  <c r="CO346" i="6"/>
  <c r="CA346" i="6"/>
  <c r="E346" i="6"/>
  <c r="D346" i="6"/>
  <c r="CP346" i="6" s="1"/>
  <c r="C346" i="6"/>
  <c r="CR346" i="6" s="1"/>
  <c r="CO345" i="6"/>
  <c r="CA345" i="6"/>
  <c r="E345" i="6"/>
  <c r="D345" i="6"/>
  <c r="CP345" i="6" s="1"/>
  <c r="C345" i="6"/>
  <c r="CR345" i="6" s="1"/>
  <c r="CO344" i="6"/>
  <c r="CA344" i="6"/>
  <c r="E344" i="6"/>
  <c r="D344" i="6"/>
  <c r="CP344" i="6" s="1"/>
  <c r="C344" i="6"/>
  <c r="CR344" i="6" s="1"/>
  <c r="CP339" i="6"/>
  <c r="CA339" i="6"/>
  <c r="E339" i="6"/>
  <c r="CO339" i="6" s="1"/>
  <c r="D339" i="6"/>
  <c r="CB339" i="6" s="1"/>
  <c r="C339" i="6"/>
  <c r="CQ339" i="6" s="1"/>
  <c r="CP338" i="6"/>
  <c r="CA338" i="6"/>
  <c r="E338" i="6"/>
  <c r="CO338" i="6" s="1"/>
  <c r="D338" i="6"/>
  <c r="CB338" i="6" s="1"/>
  <c r="C338" i="6"/>
  <c r="CQ338" i="6" s="1"/>
  <c r="CP337" i="6"/>
  <c r="CA337" i="6"/>
  <c r="E337" i="6"/>
  <c r="CO337" i="6" s="1"/>
  <c r="D337" i="6"/>
  <c r="CB337" i="6" s="1"/>
  <c r="C337" i="6"/>
  <c r="CQ337" i="6" s="1"/>
  <c r="CP336" i="6"/>
  <c r="CA336" i="6"/>
  <c r="E336" i="6"/>
  <c r="CO336" i="6" s="1"/>
  <c r="D336" i="6"/>
  <c r="CB336" i="6" s="1"/>
  <c r="C336" i="6"/>
  <c r="CQ336" i="6" s="1"/>
  <c r="CP335" i="6"/>
  <c r="CA335" i="6"/>
  <c r="E335" i="6"/>
  <c r="CO335" i="6" s="1"/>
  <c r="D335" i="6"/>
  <c r="CB335" i="6" s="1"/>
  <c r="C335" i="6"/>
  <c r="CQ335" i="6" s="1"/>
  <c r="E334" i="6"/>
  <c r="D334" i="6"/>
  <c r="C334" i="6"/>
  <c r="CQ334" i="6" s="1"/>
  <c r="CP333" i="6"/>
  <c r="CA333" i="6"/>
  <c r="E333" i="6"/>
  <c r="CO333" i="6" s="1"/>
  <c r="D333" i="6"/>
  <c r="CB333" i="6" s="1"/>
  <c r="C333" i="6"/>
  <c r="CQ333" i="6" s="1"/>
  <c r="CP332" i="6"/>
  <c r="CA332" i="6"/>
  <c r="E332" i="6"/>
  <c r="CO332" i="6" s="1"/>
  <c r="D332" i="6"/>
  <c r="CB332" i="6" s="1"/>
  <c r="C332" i="6"/>
  <c r="CQ332" i="6" s="1"/>
  <c r="CP331" i="6"/>
  <c r="CA331" i="6"/>
  <c r="E331" i="6"/>
  <c r="CO331" i="6" s="1"/>
  <c r="D331" i="6"/>
  <c r="CB331" i="6" s="1"/>
  <c r="C331" i="6"/>
  <c r="CQ331" i="6" s="1"/>
  <c r="CP330" i="6"/>
  <c r="CA330" i="6"/>
  <c r="E330" i="6"/>
  <c r="CO330" i="6" s="1"/>
  <c r="D330" i="6"/>
  <c r="CB330" i="6" s="1"/>
  <c r="C330" i="6"/>
  <c r="CQ330" i="6" s="1"/>
  <c r="E329" i="6"/>
  <c r="CO329" i="6" s="1"/>
  <c r="CO324" i="6"/>
  <c r="CB324" i="6"/>
  <c r="CA324" i="6"/>
  <c r="E324" i="6"/>
  <c r="CP324" i="6" s="1"/>
  <c r="D324" i="6"/>
  <c r="CC324" i="6" s="1"/>
  <c r="CP323" i="6"/>
  <c r="CO323" i="6"/>
  <c r="CB323" i="6"/>
  <c r="CA323" i="6"/>
  <c r="E323" i="6"/>
  <c r="D323" i="6"/>
  <c r="CQ323" i="6" s="1"/>
  <c r="CO322" i="6"/>
  <c r="CB322" i="6"/>
  <c r="CA322" i="6"/>
  <c r="E322" i="6"/>
  <c r="CP322" i="6" s="1"/>
  <c r="D322" i="6"/>
  <c r="CC322" i="6" s="1"/>
  <c r="CP321" i="6"/>
  <c r="CO321" i="6"/>
  <c r="CB321" i="6"/>
  <c r="CA321" i="6"/>
  <c r="E321" i="6"/>
  <c r="D321" i="6"/>
  <c r="CQ321" i="6" s="1"/>
  <c r="CO320" i="6"/>
  <c r="CB320" i="6"/>
  <c r="CA320" i="6"/>
  <c r="E320" i="6"/>
  <c r="CP320" i="6" s="1"/>
  <c r="D320" i="6"/>
  <c r="CC320" i="6" s="1"/>
  <c r="CP319" i="6"/>
  <c r="CO319" i="6"/>
  <c r="CB319" i="6"/>
  <c r="CA319" i="6"/>
  <c r="E319" i="6"/>
  <c r="D319" i="6"/>
  <c r="CQ319" i="6" s="1"/>
  <c r="CO318" i="6"/>
  <c r="CB318" i="6"/>
  <c r="CA318" i="6"/>
  <c r="E318" i="6"/>
  <c r="CP318" i="6" s="1"/>
  <c r="D318" i="6"/>
  <c r="CC318" i="6" s="1"/>
  <c r="CP317" i="6"/>
  <c r="CO317" i="6"/>
  <c r="CB317" i="6"/>
  <c r="CA317" i="6"/>
  <c r="E317" i="6"/>
  <c r="D317" i="6"/>
  <c r="CQ317" i="6" s="1"/>
  <c r="CO316" i="6"/>
  <c r="CB316" i="6"/>
  <c r="CA316" i="6"/>
  <c r="E316" i="6"/>
  <c r="CP316" i="6" s="1"/>
  <c r="D316" i="6"/>
  <c r="CC316" i="6" s="1"/>
  <c r="CU315" i="6"/>
  <c r="CP315" i="6"/>
  <c r="CO315" i="6"/>
  <c r="CE315" i="6"/>
  <c r="CB315" i="6"/>
  <c r="CA315" i="6"/>
  <c r="E315" i="6"/>
  <c r="C315" i="6"/>
  <c r="CT315" i="6" s="1"/>
  <c r="CO314" i="6"/>
  <c r="CA314" i="6"/>
  <c r="E314" i="6"/>
  <c r="CB314" i="6" s="1"/>
  <c r="CP313" i="6"/>
  <c r="CO313" i="6"/>
  <c r="CB313" i="6"/>
  <c r="CA313" i="6"/>
  <c r="E313" i="6"/>
  <c r="C313" i="6"/>
  <c r="CS313" i="6" s="1"/>
  <c r="CO312" i="6"/>
  <c r="CA312" i="6"/>
  <c r="E312" i="6"/>
  <c r="CP312" i="6" s="1"/>
  <c r="CU311" i="6"/>
  <c r="CP311" i="6"/>
  <c r="CO311" i="6"/>
  <c r="CE311" i="6"/>
  <c r="CB311" i="6"/>
  <c r="CA311" i="6"/>
  <c r="E311" i="6"/>
  <c r="C311" i="6"/>
  <c r="CT311" i="6" s="1"/>
  <c r="CO310" i="6"/>
  <c r="CA310" i="6"/>
  <c r="E310" i="6"/>
  <c r="CB310" i="6" s="1"/>
  <c r="CP309" i="6"/>
  <c r="CO309" i="6"/>
  <c r="CB309" i="6"/>
  <c r="CA309" i="6"/>
  <c r="E309" i="6"/>
  <c r="C309" i="6"/>
  <c r="CS309" i="6" s="1"/>
  <c r="CO308" i="6"/>
  <c r="CA308" i="6"/>
  <c r="E308" i="6"/>
  <c r="CP308" i="6" s="1"/>
  <c r="CU307" i="6"/>
  <c r="CP307" i="6"/>
  <c r="CO307" i="6"/>
  <c r="CE307" i="6"/>
  <c r="CB307" i="6"/>
  <c r="CA307" i="6"/>
  <c r="E307" i="6"/>
  <c r="C307" i="6"/>
  <c r="CT307" i="6" s="1"/>
  <c r="AV306" i="6"/>
  <c r="AU306" i="6"/>
  <c r="AT306" i="6"/>
  <c r="AS306" i="6"/>
  <c r="AR306" i="6"/>
  <c r="AQ306" i="6"/>
  <c r="AP306" i="6"/>
  <c r="AO306" i="6"/>
  <c r="AN306" i="6"/>
  <c r="AM306" i="6"/>
  <c r="AL306" i="6"/>
  <c r="AK306" i="6"/>
  <c r="AJ306" i="6"/>
  <c r="AI306" i="6"/>
  <c r="AH306" i="6"/>
  <c r="AG306" i="6"/>
  <c r="AF306" i="6"/>
  <c r="AE306" i="6"/>
  <c r="AD306" i="6"/>
  <c r="AC306" i="6"/>
  <c r="AB306" i="6"/>
  <c r="AA306" i="6"/>
  <c r="Z306" i="6"/>
  <c r="Y306" i="6"/>
  <c r="X306" i="6"/>
  <c r="W306" i="6"/>
  <c r="V306" i="6"/>
  <c r="U306" i="6"/>
  <c r="T306" i="6"/>
  <c r="S306" i="6"/>
  <c r="R306" i="6"/>
  <c r="Q306" i="6"/>
  <c r="P306" i="6"/>
  <c r="O306" i="6"/>
  <c r="N306" i="6"/>
  <c r="M306" i="6"/>
  <c r="L306" i="6"/>
  <c r="K306" i="6"/>
  <c r="J306" i="6"/>
  <c r="I306" i="6"/>
  <c r="H306" i="6"/>
  <c r="G306" i="6"/>
  <c r="E306" i="6" s="1"/>
  <c r="F306" i="6"/>
  <c r="D306" i="6" s="1"/>
  <c r="C306" i="6" s="1"/>
  <c r="E301" i="6"/>
  <c r="D301" i="6"/>
  <c r="C301" i="6"/>
  <c r="CO301" i="6" s="1"/>
  <c r="E300" i="6"/>
  <c r="D300" i="6"/>
  <c r="C300" i="6"/>
  <c r="CO300" i="6" s="1"/>
  <c r="E299" i="6"/>
  <c r="D299" i="6"/>
  <c r="C299" i="6"/>
  <c r="CO299" i="6" s="1"/>
  <c r="E298" i="6"/>
  <c r="D298" i="6"/>
  <c r="C298" i="6"/>
  <c r="CO298" i="6" s="1"/>
  <c r="CR293" i="6"/>
  <c r="CP293" i="6"/>
  <c r="CD293" i="6"/>
  <c r="CB293" i="6"/>
  <c r="E293" i="6"/>
  <c r="CS293" i="6" s="1"/>
  <c r="D293" i="6"/>
  <c r="C293" i="6"/>
  <c r="CT293" i="6" s="1"/>
  <c r="CR292" i="6"/>
  <c r="CP292" i="6"/>
  <c r="CD292" i="6"/>
  <c r="CB292" i="6"/>
  <c r="E292" i="6"/>
  <c r="CS292" i="6" s="1"/>
  <c r="D292" i="6"/>
  <c r="C292" i="6"/>
  <c r="CT292" i="6" s="1"/>
  <c r="CR291" i="6"/>
  <c r="CP291" i="6"/>
  <c r="CD291" i="6"/>
  <c r="CB291" i="6"/>
  <c r="E291" i="6"/>
  <c r="CS291" i="6" s="1"/>
  <c r="D291" i="6"/>
  <c r="C291" i="6"/>
  <c r="CT291" i="6" s="1"/>
  <c r="CR290" i="6"/>
  <c r="CP290" i="6"/>
  <c r="CD290" i="6"/>
  <c r="CB290" i="6"/>
  <c r="E290" i="6"/>
  <c r="CS290" i="6" s="1"/>
  <c r="D290" i="6"/>
  <c r="C290" i="6"/>
  <c r="CT290" i="6" s="1"/>
  <c r="CR289" i="6"/>
  <c r="CP289" i="6"/>
  <c r="CD289" i="6"/>
  <c r="CB289" i="6"/>
  <c r="E289" i="6"/>
  <c r="CS289" i="6" s="1"/>
  <c r="D289" i="6"/>
  <c r="C289" i="6"/>
  <c r="CT289" i="6" s="1"/>
  <c r="CR288" i="6"/>
  <c r="CP288" i="6"/>
  <c r="CD288" i="6"/>
  <c r="CB288" i="6"/>
  <c r="E288" i="6"/>
  <c r="CS288" i="6" s="1"/>
  <c r="D288" i="6"/>
  <c r="C288" i="6"/>
  <c r="CT288" i="6" s="1"/>
  <c r="CR287" i="6"/>
  <c r="CP287" i="6"/>
  <c r="CD287" i="6"/>
  <c r="CB287" i="6"/>
  <c r="E287" i="6"/>
  <c r="CS287" i="6" s="1"/>
  <c r="D287" i="6"/>
  <c r="C287" i="6"/>
  <c r="CT287" i="6" s="1"/>
  <c r="CR286" i="6"/>
  <c r="CP286" i="6"/>
  <c r="CD286" i="6"/>
  <c r="CB286" i="6"/>
  <c r="E286" i="6"/>
  <c r="CS286" i="6" s="1"/>
  <c r="D286" i="6"/>
  <c r="C286" i="6"/>
  <c r="CT286" i="6" s="1"/>
  <c r="CR285" i="6"/>
  <c r="CP285" i="6"/>
  <c r="CD285" i="6"/>
  <c r="CB285" i="6"/>
  <c r="E285" i="6"/>
  <c r="CS285" i="6" s="1"/>
  <c r="D285" i="6"/>
  <c r="C285" i="6"/>
  <c r="CT285" i="6" s="1"/>
  <c r="CR284" i="6"/>
  <c r="CP284" i="6"/>
  <c r="CD284" i="6"/>
  <c r="CB284" i="6"/>
  <c r="E284" i="6"/>
  <c r="CS284" i="6" s="1"/>
  <c r="D284" i="6"/>
  <c r="C284" i="6"/>
  <c r="CT284" i="6" s="1"/>
  <c r="CR283" i="6"/>
  <c r="CP283" i="6"/>
  <c r="CD283" i="6"/>
  <c r="CB283" i="6"/>
  <c r="E283" i="6"/>
  <c r="CS283" i="6" s="1"/>
  <c r="D283" i="6"/>
  <c r="C283" i="6"/>
  <c r="CT283" i="6" s="1"/>
  <c r="CR282" i="6"/>
  <c r="CP282" i="6"/>
  <c r="CD282" i="6"/>
  <c r="CB282" i="6"/>
  <c r="E282" i="6"/>
  <c r="CS282" i="6" s="1"/>
  <c r="D282" i="6"/>
  <c r="C282" i="6"/>
  <c r="CT282" i="6" s="1"/>
  <c r="CR281" i="6"/>
  <c r="CD281" i="6"/>
  <c r="E281" i="6"/>
  <c r="CS281" i="6" s="1"/>
  <c r="D281" i="6"/>
  <c r="C281" i="6"/>
  <c r="CW281" i="6" s="1"/>
  <c r="CR280" i="6"/>
  <c r="CD280" i="6"/>
  <c r="E280" i="6"/>
  <c r="CS280" i="6" s="1"/>
  <c r="D280" i="6"/>
  <c r="C280" i="6"/>
  <c r="CW280" i="6" s="1"/>
  <c r="CR279" i="6"/>
  <c r="CD279" i="6"/>
  <c r="E279" i="6"/>
  <c r="CS279" i="6" s="1"/>
  <c r="D279" i="6"/>
  <c r="C279" i="6"/>
  <c r="CW279" i="6" s="1"/>
  <c r="CR278" i="6"/>
  <c r="CP278" i="6"/>
  <c r="CD278" i="6"/>
  <c r="CB278" i="6"/>
  <c r="E278" i="6"/>
  <c r="CS278" i="6" s="1"/>
  <c r="D278" i="6"/>
  <c r="C278" i="6"/>
  <c r="CT278" i="6" s="1"/>
  <c r="CR277" i="6"/>
  <c r="CP277" i="6"/>
  <c r="CD277" i="6"/>
  <c r="CB277" i="6"/>
  <c r="E277" i="6"/>
  <c r="CS277" i="6" s="1"/>
  <c r="D277" i="6"/>
  <c r="C277" i="6"/>
  <c r="CT277" i="6" s="1"/>
  <c r="CR276" i="6"/>
  <c r="CP276" i="6"/>
  <c r="CD276" i="6"/>
  <c r="CB276" i="6"/>
  <c r="E276" i="6"/>
  <c r="CS276" i="6" s="1"/>
  <c r="D276" i="6"/>
  <c r="C276" i="6"/>
  <c r="CT276" i="6" s="1"/>
  <c r="CR275" i="6"/>
  <c r="CP275" i="6"/>
  <c r="CD275" i="6"/>
  <c r="CB275" i="6"/>
  <c r="E275" i="6"/>
  <c r="CS275" i="6" s="1"/>
  <c r="D275" i="6"/>
  <c r="C275" i="6"/>
  <c r="CT275" i="6" s="1"/>
  <c r="CR274" i="6"/>
  <c r="CP274" i="6"/>
  <c r="CD274" i="6"/>
  <c r="CB274" i="6"/>
  <c r="E274" i="6"/>
  <c r="CS274" i="6" s="1"/>
  <c r="D274" i="6"/>
  <c r="C274" i="6"/>
  <c r="CT274" i="6" s="1"/>
  <c r="CR273" i="6"/>
  <c r="E273" i="6"/>
  <c r="CE273" i="6" s="1"/>
  <c r="D273" i="6"/>
  <c r="CD273" i="6" s="1"/>
  <c r="CR272" i="6"/>
  <c r="CB272" i="6"/>
  <c r="E272" i="6"/>
  <c r="CP272" i="6" s="1"/>
  <c r="D272" i="6"/>
  <c r="CD272" i="6" s="1"/>
  <c r="C272" i="6"/>
  <c r="CV272" i="6" s="1"/>
  <c r="CR271" i="6"/>
  <c r="E271" i="6"/>
  <c r="CE271" i="6" s="1"/>
  <c r="D271" i="6"/>
  <c r="CD271" i="6" s="1"/>
  <c r="CR270" i="6"/>
  <c r="CB270" i="6"/>
  <c r="E270" i="6"/>
  <c r="CP270" i="6" s="1"/>
  <c r="D270" i="6"/>
  <c r="CD270" i="6" s="1"/>
  <c r="C270" i="6"/>
  <c r="CV270" i="6" s="1"/>
  <c r="CR269" i="6"/>
  <c r="CD269" i="6"/>
  <c r="CB269" i="6"/>
  <c r="E269" i="6"/>
  <c r="CP269" i="6" s="1"/>
  <c r="D269" i="6"/>
  <c r="C269" i="6"/>
  <c r="CT269" i="6" s="1"/>
  <c r="CR268" i="6"/>
  <c r="CD268" i="6"/>
  <c r="E268" i="6"/>
  <c r="CP268" i="6" s="1"/>
  <c r="D268" i="6"/>
  <c r="CR267" i="6"/>
  <c r="CD267" i="6"/>
  <c r="E267" i="6"/>
  <c r="CP267" i="6" s="1"/>
  <c r="D267" i="6"/>
  <c r="CR266" i="6"/>
  <c r="CD266" i="6"/>
  <c r="E266" i="6"/>
  <c r="CP266" i="6" s="1"/>
  <c r="D266" i="6"/>
  <c r="CR265" i="6"/>
  <c r="CD265" i="6"/>
  <c r="E265" i="6"/>
  <c r="CP265" i="6" s="1"/>
  <c r="D265" i="6"/>
  <c r="CR264" i="6"/>
  <c r="CD264" i="6"/>
  <c r="E264" i="6"/>
  <c r="CP264" i="6" s="1"/>
  <c r="D264" i="6"/>
  <c r="CR263" i="6"/>
  <c r="CD263" i="6"/>
  <c r="E263" i="6"/>
  <c r="CP263" i="6" s="1"/>
  <c r="D263" i="6"/>
  <c r="CR262" i="6"/>
  <c r="CD262" i="6"/>
  <c r="E262" i="6"/>
  <c r="CP262" i="6" s="1"/>
  <c r="D262" i="6"/>
  <c r="CR261" i="6"/>
  <c r="CD261" i="6"/>
  <c r="E261" i="6"/>
  <c r="CP261" i="6" s="1"/>
  <c r="D261" i="6"/>
  <c r="CV260" i="6"/>
  <c r="CR260" i="6"/>
  <c r="CG260" i="6"/>
  <c r="CE260" i="6"/>
  <c r="E260" i="6"/>
  <c r="CS260" i="6" s="1"/>
  <c r="C260" i="6"/>
  <c r="CT260" i="6" s="1"/>
  <c r="CR259" i="6"/>
  <c r="CD259" i="6"/>
  <c r="E259" i="6"/>
  <c r="CP259" i="6" s="1"/>
  <c r="D259" i="6"/>
  <c r="CR258" i="6"/>
  <c r="CD258" i="6"/>
  <c r="E258" i="6"/>
  <c r="CP258" i="6" s="1"/>
  <c r="D258" i="6"/>
  <c r="CR257" i="6"/>
  <c r="CD257" i="6"/>
  <c r="E257" i="6"/>
  <c r="CP257" i="6" s="1"/>
  <c r="D257" i="6"/>
  <c r="CR256" i="6"/>
  <c r="CD256" i="6"/>
  <c r="E256" i="6"/>
  <c r="CP256" i="6" s="1"/>
  <c r="D256" i="6"/>
  <c r="CR255" i="6"/>
  <c r="CD255" i="6"/>
  <c r="E255" i="6"/>
  <c r="CP255" i="6" s="1"/>
  <c r="D255" i="6"/>
  <c r="CR254" i="6"/>
  <c r="CD254" i="6"/>
  <c r="E254" i="6"/>
  <c r="CP254" i="6" s="1"/>
  <c r="D254" i="6"/>
  <c r="CR252" i="6"/>
  <c r="CD252" i="6"/>
  <c r="E252" i="6"/>
  <c r="CP252" i="6" s="1"/>
  <c r="D252" i="6"/>
  <c r="CR251" i="6"/>
  <c r="CD251" i="6"/>
  <c r="E251" i="6"/>
  <c r="CP251" i="6" s="1"/>
  <c r="D251" i="6"/>
  <c r="CR250" i="6"/>
  <c r="CD250" i="6"/>
  <c r="E250" i="6"/>
  <c r="CP250" i="6" s="1"/>
  <c r="D250" i="6"/>
  <c r="CR249" i="6"/>
  <c r="CD249" i="6"/>
  <c r="E249" i="6"/>
  <c r="CP249" i="6" s="1"/>
  <c r="D249" i="6"/>
  <c r="CR248" i="6"/>
  <c r="CD248" i="6"/>
  <c r="E248" i="6"/>
  <c r="CP248" i="6" s="1"/>
  <c r="D248" i="6"/>
  <c r="CR247" i="6"/>
  <c r="CD247" i="6"/>
  <c r="E247" i="6"/>
  <c r="CP247" i="6" s="1"/>
  <c r="D247" i="6"/>
  <c r="CF246" i="6"/>
  <c r="CS245" i="6"/>
  <c r="CQ245" i="6"/>
  <c r="CE245" i="6"/>
  <c r="CC245" i="6"/>
  <c r="E245" i="6"/>
  <c r="CP245" i="6" s="1"/>
  <c r="D245" i="6"/>
  <c r="C245" i="6" s="1"/>
  <c r="CW241" i="6"/>
  <c r="CP241" i="6"/>
  <c r="CO241" i="6"/>
  <c r="CI241" i="6"/>
  <c r="CH241" i="6"/>
  <c r="CD241" i="6"/>
  <c r="CB241" i="6"/>
  <c r="CA241" i="6"/>
  <c r="E241" i="6"/>
  <c r="CV241" i="6" s="1"/>
  <c r="D241" i="6"/>
  <c r="CG241" i="6" s="1"/>
  <c r="CW240" i="6"/>
  <c r="CO240" i="6"/>
  <c r="CH240" i="6"/>
  <c r="CD240" i="6"/>
  <c r="CB240" i="6"/>
  <c r="E240" i="6"/>
  <c r="CP240" i="6" s="1"/>
  <c r="D240" i="6"/>
  <c r="CU240" i="6" s="1"/>
  <c r="CW239" i="6"/>
  <c r="CP239" i="6"/>
  <c r="CO239" i="6"/>
  <c r="CI239" i="6"/>
  <c r="CH239" i="6"/>
  <c r="CD239" i="6"/>
  <c r="CB239" i="6"/>
  <c r="CA239" i="6"/>
  <c r="E239" i="6"/>
  <c r="CV239" i="6" s="1"/>
  <c r="D239" i="6"/>
  <c r="CG239" i="6" s="1"/>
  <c r="CW238" i="6"/>
  <c r="CO238" i="6"/>
  <c r="CH238" i="6"/>
  <c r="CD238" i="6"/>
  <c r="CB238" i="6"/>
  <c r="E238" i="6"/>
  <c r="CP238" i="6" s="1"/>
  <c r="D238" i="6"/>
  <c r="CU238" i="6" s="1"/>
  <c r="CW237" i="6"/>
  <c r="CP237" i="6"/>
  <c r="CO237" i="6"/>
  <c r="CI237" i="6"/>
  <c r="CH237" i="6"/>
  <c r="CD237" i="6"/>
  <c r="CB237" i="6"/>
  <c r="CA237" i="6"/>
  <c r="E237" i="6"/>
  <c r="CV237" i="6" s="1"/>
  <c r="D237" i="6"/>
  <c r="CG237" i="6" s="1"/>
  <c r="CW236" i="6"/>
  <c r="CO236" i="6"/>
  <c r="CH236" i="6"/>
  <c r="CD236" i="6"/>
  <c r="CB236" i="6"/>
  <c r="E236" i="6"/>
  <c r="CP236" i="6" s="1"/>
  <c r="D236" i="6"/>
  <c r="CU236" i="6" s="1"/>
  <c r="CW235" i="6"/>
  <c r="CP235" i="6"/>
  <c r="CO235" i="6"/>
  <c r="CI235" i="6"/>
  <c r="CH235" i="6"/>
  <c r="CD235" i="6"/>
  <c r="CB235" i="6"/>
  <c r="CA235" i="6"/>
  <c r="E235" i="6"/>
  <c r="CV235" i="6" s="1"/>
  <c r="D235" i="6"/>
  <c r="CG235" i="6" s="1"/>
  <c r="CW234" i="6"/>
  <c r="CO234" i="6"/>
  <c r="CH234" i="6"/>
  <c r="CD234" i="6"/>
  <c r="CB234" i="6"/>
  <c r="E234" i="6"/>
  <c r="CP234" i="6" s="1"/>
  <c r="D234" i="6"/>
  <c r="CU234" i="6" s="1"/>
  <c r="CW233" i="6"/>
  <c r="CP233" i="6"/>
  <c r="CO233" i="6"/>
  <c r="CI233" i="6"/>
  <c r="CH233" i="6"/>
  <c r="CD233" i="6"/>
  <c r="CB233" i="6"/>
  <c r="CA233" i="6"/>
  <c r="E233" i="6"/>
  <c r="CV233" i="6" s="1"/>
  <c r="D233" i="6"/>
  <c r="CG233" i="6" s="1"/>
  <c r="CW232" i="6"/>
  <c r="CO232" i="6"/>
  <c r="CH232" i="6"/>
  <c r="CD232" i="6"/>
  <c r="CB232" i="6"/>
  <c r="E232" i="6"/>
  <c r="CP232" i="6" s="1"/>
  <c r="D232" i="6"/>
  <c r="CU232" i="6" s="1"/>
  <c r="CW231" i="6"/>
  <c r="CP231" i="6"/>
  <c r="CO231" i="6"/>
  <c r="CI231" i="6"/>
  <c r="CH231" i="6"/>
  <c r="CD231" i="6"/>
  <c r="CB231" i="6"/>
  <c r="CA231" i="6"/>
  <c r="E231" i="6"/>
  <c r="CV231" i="6" s="1"/>
  <c r="D231" i="6"/>
  <c r="CG231" i="6" s="1"/>
  <c r="CW230" i="6"/>
  <c r="CO230" i="6"/>
  <c r="CH230" i="6"/>
  <c r="CD230" i="6"/>
  <c r="CB230" i="6"/>
  <c r="E230" i="6"/>
  <c r="CP230" i="6" s="1"/>
  <c r="D230" i="6"/>
  <c r="CU230" i="6" s="1"/>
  <c r="CX229" i="6"/>
  <c r="CV229" i="6"/>
  <c r="CR229" i="6"/>
  <c r="CH229" i="6"/>
  <c r="CD229" i="6"/>
  <c r="E229" i="6"/>
  <c r="CI229" i="6" s="1"/>
  <c r="D229" i="6"/>
  <c r="CJ229" i="6" s="1"/>
  <c r="CX228" i="6"/>
  <c r="CV228" i="6"/>
  <c r="CR228" i="6"/>
  <c r="CH228" i="6"/>
  <c r="CD228" i="6"/>
  <c r="E228" i="6"/>
  <c r="CI228" i="6" s="1"/>
  <c r="D228" i="6"/>
  <c r="CJ228" i="6" s="1"/>
  <c r="CX227" i="6"/>
  <c r="CV227" i="6"/>
  <c r="CR227" i="6"/>
  <c r="CH227" i="6"/>
  <c r="CD227" i="6"/>
  <c r="E227" i="6"/>
  <c r="CI227" i="6" s="1"/>
  <c r="D227" i="6"/>
  <c r="CJ227" i="6" s="1"/>
  <c r="CW226" i="6"/>
  <c r="CP226" i="6"/>
  <c r="CO226" i="6"/>
  <c r="CI226" i="6"/>
  <c r="CH226" i="6"/>
  <c r="CD226" i="6"/>
  <c r="CB226" i="6"/>
  <c r="CA226" i="6"/>
  <c r="E226" i="6"/>
  <c r="CV226" i="6" s="1"/>
  <c r="D226" i="6"/>
  <c r="CG226" i="6" s="1"/>
  <c r="CW225" i="6"/>
  <c r="CO225" i="6"/>
  <c r="CH225" i="6"/>
  <c r="CD225" i="6"/>
  <c r="CB225" i="6"/>
  <c r="E225" i="6"/>
  <c r="CP225" i="6" s="1"/>
  <c r="D225" i="6"/>
  <c r="CU225" i="6" s="1"/>
  <c r="CW224" i="6"/>
  <c r="CP224" i="6"/>
  <c r="CO224" i="6"/>
  <c r="CI224" i="6"/>
  <c r="CH224" i="6"/>
  <c r="CD224" i="6"/>
  <c r="CB224" i="6"/>
  <c r="CA224" i="6"/>
  <c r="E224" i="6"/>
  <c r="CV224" i="6" s="1"/>
  <c r="D224" i="6"/>
  <c r="CG224" i="6" s="1"/>
  <c r="CW223" i="6"/>
  <c r="CO223" i="6"/>
  <c r="CH223" i="6"/>
  <c r="CD223" i="6"/>
  <c r="CB223" i="6"/>
  <c r="E223" i="6"/>
  <c r="CP223" i="6" s="1"/>
  <c r="D223" i="6"/>
  <c r="CU223" i="6" s="1"/>
  <c r="CW222" i="6"/>
  <c r="CP222" i="6"/>
  <c r="CO222" i="6"/>
  <c r="CI222" i="6"/>
  <c r="CH222" i="6"/>
  <c r="CD222" i="6"/>
  <c r="CB222" i="6"/>
  <c r="CA222" i="6"/>
  <c r="E222" i="6"/>
  <c r="CV222" i="6" s="1"/>
  <c r="D222" i="6"/>
  <c r="CG222" i="6" s="1"/>
  <c r="CW221" i="6"/>
  <c r="CV221" i="6"/>
  <c r="CR221" i="6"/>
  <c r="CI221" i="6"/>
  <c r="CA221" i="6"/>
  <c r="E221" i="6"/>
  <c r="CO221" i="6" s="1"/>
  <c r="D221" i="6"/>
  <c r="CU221" i="6" s="1"/>
  <c r="CW220" i="6"/>
  <c r="CV220" i="6"/>
  <c r="CR220" i="6"/>
  <c r="CI220" i="6"/>
  <c r="CA220" i="6"/>
  <c r="E220" i="6"/>
  <c r="CO220" i="6" s="1"/>
  <c r="D220" i="6"/>
  <c r="CU220" i="6" s="1"/>
  <c r="CW219" i="6"/>
  <c r="CV219" i="6"/>
  <c r="CR219" i="6"/>
  <c r="CI219" i="6"/>
  <c r="CA219" i="6"/>
  <c r="E219" i="6"/>
  <c r="CO219" i="6" s="1"/>
  <c r="D219" i="6"/>
  <c r="CU219" i="6" s="1"/>
  <c r="CW218" i="6"/>
  <c r="CV218" i="6"/>
  <c r="CR218" i="6"/>
  <c r="CI218" i="6"/>
  <c r="CA218" i="6"/>
  <c r="E218" i="6"/>
  <c r="CO218" i="6" s="1"/>
  <c r="D218" i="6"/>
  <c r="CU218" i="6" s="1"/>
  <c r="CW217" i="6"/>
  <c r="CO217" i="6"/>
  <c r="CH217" i="6"/>
  <c r="CD217" i="6"/>
  <c r="CB217" i="6"/>
  <c r="E217" i="6"/>
  <c r="CP217" i="6" s="1"/>
  <c r="D217" i="6"/>
  <c r="CU217" i="6" s="1"/>
  <c r="CW216" i="6"/>
  <c r="CP216" i="6"/>
  <c r="CO216" i="6"/>
  <c r="CI216" i="6"/>
  <c r="CH216" i="6"/>
  <c r="CD216" i="6"/>
  <c r="CB216" i="6"/>
  <c r="CA216" i="6"/>
  <c r="E216" i="6"/>
  <c r="CV216" i="6" s="1"/>
  <c r="D216" i="6"/>
  <c r="CG216" i="6" s="1"/>
  <c r="CW215" i="6"/>
  <c r="CO215" i="6"/>
  <c r="CH215" i="6"/>
  <c r="CD215" i="6"/>
  <c r="CB215" i="6"/>
  <c r="E215" i="6"/>
  <c r="CP215" i="6" s="1"/>
  <c r="D215" i="6"/>
  <c r="CU215" i="6" s="1"/>
  <c r="CW214" i="6"/>
  <c r="CP214" i="6"/>
  <c r="CO214" i="6"/>
  <c r="CI214" i="6"/>
  <c r="CH214" i="6"/>
  <c r="CD214" i="6"/>
  <c r="CB214" i="6"/>
  <c r="CA214" i="6"/>
  <c r="E214" i="6"/>
  <c r="CV214" i="6" s="1"/>
  <c r="D214" i="6"/>
  <c r="CG214" i="6" s="1"/>
  <c r="CW213" i="6"/>
  <c r="CO213" i="6"/>
  <c r="CH213" i="6"/>
  <c r="CD213" i="6"/>
  <c r="CB213" i="6"/>
  <c r="E213" i="6"/>
  <c r="CP213" i="6" s="1"/>
  <c r="D213" i="6"/>
  <c r="CU213" i="6" s="1"/>
  <c r="CW212" i="6"/>
  <c r="CP212" i="6"/>
  <c r="CO212" i="6"/>
  <c r="CI212" i="6"/>
  <c r="CH212" i="6"/>
  <c r="CD212" i="6"/>
  <c r="CB212" i="6"/>
  <c r="CA212" i="6"/>
  <c r="E212" i="6"/>
  <c r="CV212" i="6" s="1"/>
  <c r="D212" i="6"/>
  <c r="CG212" i="6" s="1"/>
  <c r="CW211" i="6"/>
  <c r="CO211" i="6"/>
  <c r="CH211" i="6"/>
  <c r="CD211" i="6"/>
  <c r="CB211" i="6"/>
  <c r="E211" i="6"/>
  <c r="CP211" i="6" s="1"/>
  <c r="D211" i="6"/>
  <c r="CU211" i="6" s="1"/>
  <c r="CW210" i="6"/>
  <c r="CP210" i="6"/>
  <c r="CO210" i="6"/>
  <c r="CI210" i="6"/>
  <c r="CH210" i="6"/>
  <c r="CD210" i="6"/>
  <c r="CB210" i="6"/>
  <c r="CA210" i="6"/>
  <c r="E210" i="6"/>
  <c r="CV210" i="6" s="1"/>
  <c r="D210" i="6"/>
  <c r="CG210" i="6" s="1"/>
  <c r="CW209" i="6"/>
  <c r="CO209" i="6"/>
  <c r="CH209" i="6"/>
  <c r="CD209" i="6"/>
  <c r="CB209" i="6"/>
  <c r="E209" i="6"/>
  <c r="CP209" i="6" s="1"/>
  <c r="D209" i="6"/>
  <c r="CU209" i="6" s="1"/>
  <c r="CW208" i="6"/>
  <c r="CV208" i="6"/>
  <c r="CR208" i="6"/>
  <c r="CP208" i="6"/>
  <c r="CI208" i="6"/>
  <c r="CH208" i="6"/>
  <c r="CD208" i="6"/>
  <c r="CB208" i="6"/>
  <c r="E208" i="6"/>
  <c r="C208" i="6"/>
  <c r="CX207" i="6"/>
  <c r="CG207" i="6"/>
  <c r="CC207" i="6"/>
  <c r="E207" i="6"/>
  <c r="CV207" i="6" s="1"/>
  <c r="D207" i="6"/>
  <c r="CU207" i="6" s="1"/>
  <c r="CX206" i="6"/>
  <c r="CP206" i="6"/>
  <c r="CI206" i="6"/>
  <c r="CG206" i="6"/>
  <c r="CC206" i="6"/>
  <c r="CA206" i="6"/>
  <c r="E206" i="6"/>
  <c r="CV206" i="6" s="1"/>
  <c r="D206" i="6"/>
  <c r="CU206" i="6" s="1"/>
  <c r="C206" i="6"/>
  <c r="CT206" i="6" s="1"/>
  <c r="CX205" i="6"/>
  <c r="CG205" i="6"/>
  <c r="CC205" i="6"/>
  <c r="E205" i="6"/>
  <c r="D205" i="6"/>
  <c r="CU205" i="6" s="1"/>
  <c r="CX204" i="6"/>
  <c r="CP204" i="6"/>
  <c r="CI204" i="6"/>
  <c r="CG204" i="6"/>
  <c r="CC204" i="6"/>
  <c r="CA204" i="6"/>
  <c r="E204" i="6"/>
  <c r="CV204" i="6" s="1"/>
  <c r="D204" i="6"/>
  <c r="CU204" i="6" s="1"/>
  <c r="C204" i="6"/>
  <c r="CX203" i="6"/>
  <c r="CV203" i="6"/>
  <c r="CG203" i="6"/>
  <c r="CC203" i="6"/>
  <c r="E203" i="6"/>
  <c r="D203" i="6"/>
  <c r="CU203" i="6" s="1"/>
  <c r="CX202" i="6"/>
  <c r="CT202" i="6"/>
  <c r="CP202" i="6"/>
  <c r="CI202" i="6"/>
  <c r="CG202" i="6"/>
  <c r="CE202" i="6"/>
  <c r="CC202" i="6"/>
  <c r="CA202" i="6"/>
  <c r="E202" i="6"/>
  <c r="CV202" i="6" s="1"/>
  <c r="D202" i="6"/>
  <c r="CU202" i="6" s="1"/>
  <c r="C202" i="6"/>
  <c r="CX200" i="6"/>
  <c r="CG200" i="6"/>
  <c r="CC200" i="6"/>
  <c r="E200" i="6"/>
  <c r="D200" i="6"/>
  <c r="CU200" i="6" s="1"/>
  <c r="CX199" i="6"/>
  <c r="CP199" i="6"/>
  <c r="CI199" i="6"/>
  <c r="CG199" i="6"/>
  <c r="CC199" i="6"/>
  <c r="CA199" i="6"/>
  <c r="E199" i="6"/>
  <c r="CV199" i="6" s="1"/>
  <c r="D199" i="6"/>
  <c r="CU199" i="6" s="1"/>
  <c r="C199" i="6"/>
  <c r="CX198" i="6"/>
  <c r="CG198" i="6"/>
  <c r="CC198" i="6"/>
  <c r="E198" i="6"/>
  <c r="CV198" i="6" s="1"/>
  <c r="D198" i="6"/>
  <c r="CU198" i="6" s="1"/>
  <c r="CX197" i="6"/>
  <c r="CP197" i="6"/>
  <c r="CI197" i="6"/>
  <c r="CG197" i="6"/>
  <c r="CC197" i="6"/>
  <c r="CA197" i="6"/>
  <c r="E197" i="6"/>
  <c r="CV197" i="6" s="1"/>
  <c r="D197" i="6"/>
  <c r="CU197" i="6" s="1"/>
  <c r="C197" i="6"/>
  <c r="CT197" i="6" s="1"/>
  <c r="CX196" i="6"/>
  <c r="CG196" i="6"/>
  <c r="CC196" i="6"/>
  <c r="E196" i="6"/>
  <c r="D196" i="6"/>
  <c r="CU196" i="6" s="1"/>
  <c r="CX195" i="6"/>
  <c r="CP195" i="6"/>
  <c r="CI195" i="6"/>
  <c r="CG195" i="6"/>
  <c r="CE195" i="6"/>
  <c r="CC195" i="6"/>
  <c r="CA195" i="6"/>
  <c r="E195" i="6"/>
  <c r="CV195" i="6" s="1"/>
  <c r="D195" i="6"/>
  <c r="CU195" i="6" s="1"/>
  <c r="C195" i="6"/>
  <c r="CX193" i="6"/>
  <c r="CV193" i="6"/>
  <c r="CG193" i="6"/>
  <c r="CC193" i="6"/>
  <c r="E193" i="6"/>
  <c r="D193" i="6"/>
  <c r="CU193" i="6" s="1"/>
  <c r="E187" i="6"/>
  <c r="C187" i="6" s="1"/>
  <c r="D187" i="6"/>
  <c r="E186" i="6"/>
  <c r="C186" i="6" s="1"/>
  <c r="CO186" i="6" s="1"/>
  <c r="D186" i="6"/>
  <c r="CO185" i="6"/>
  <c r="E185" i="6"/>
  <c r="C185" i="6" s="1"/>
  <c r="D185" i="6"/>
  <c r="CO184" i="6"/>
  <c r="E184" i="6"/>
  <c r="C184" i="6" s="1"/>
  <c r="D184" i="6"/>
  <c r="Q183" i="6"/>
  <c r="P183" i="6"/>
  <c r="O183" i="6"/>
  <c r="N183" i="6"/>
  <c r="M183" i="6"/>
  <c r="L183" i="6"/>
  <c r="K183" i="6"/>
  <c r="J183" i="6"/>
  <c r="I183" i="6"/>
  <c r="H183" i="6"/>
  <c r="G183" i="6"/>
  <c r="F183" i="6"/>
  <c r="CB182" i="6"/>
  <c r="E182" i="6"/>
  <c r="D182" i="6"/>
  <c r="C182" i="6" s="1"/>
  <c r="E181" i="6"/>
  <c r="D181" i="6"/>
  <c r="C181" i="6" s="1"/>
  <c r="E180" i="6"/>
  <c r="E183" i="6" s="1"/>
  <c r="D180" i="6"/>
  <c r="C180" i="6" s="1"/>
  <c r="CB180" i="6" s="1"/>
  <c r="R175" i="6"/>
  <c r="Q175" i="6"/>
  <c r="P175" i="6"/>
  <c r="O175" i="6"/>
  <c r="N175" i="6"/>
  <c r="M175" i="6"/>
  <c r="L175" i="6"/>
  <c r="K175" i="6"/>
  <c r="J175" i="6"/>
  <c r="I175" i="6"/>
  <c r="H175" i="6"/>
  <c r="G175" i="6"/>
  <c r="F175" i="6"/>
  <c r="E174" i="6"/>
  <c r="D174" i="6"/>
  <c r="C174" i="6" s="1"/>
  <c r="E173" i="6"/>
  <c r="D173" i="6"/>
  <c r="C173" i="6" s="1"/>
  <c r="CB173" i="6" s="1"/>
  <c r="E172" i="6"/>
  <c r="D172" i="6"/>
  <c r="C172" i="6" s="1"/>
  <c r="CB171" i="6"/>
  <c r="E171" i="6"/>
  <c r="E175" i="6" s="1"/>
  <c r="D171" i="6"/>
  <c r="C171" i="6" s="1"/>
  <c r="R170" i="6"/>
  <c r="R176" i="6" s="1"/>
  <c r="Q170" i="6"/>
  <c r="Q176" i="6" s="1"/>
  <c r="P170" i="6"/>
  <c r="P176" i="6" s="1"/>
  <c r="O170" i="6"/>
  <c r="O176" i="6" s="1"/>
  <c r="N170" i="6"/>
  <c r="N176" i="6" s="1"/>
  <c r="M170" i="6"/>
  <c r="M176" i="6" s="1"/>
  <c r="L170" i="6"/>
  <c r="L176" i="6" s="1"/>
  <c r="K170" i="6"/>
  <c r="K176" i="6" s="1"/>
  <c r="J170" i="6"/>
  <c r="J176" i="6" s="1"/>
  <c r="I170" i="6"/>
  <c r="I176" i="6" s="1"/>
  <c r="H170" i="6"/>
  <c r="H176" i="6" s="1"/>
  <c r="G170" i="6"/>
  <c r="G176" i="6" s="1"/>
  <c r="F170" i="6"/>
  <c r="F176" i="6" s="1"/>
  <c r="E169" i="6"/>
  <c r="D169" i="6"/>
  <c r="C169" i="6" s="1"/>
  <c r="CB168" i="6"/>
  <c r="E168" i="6"/>
  <c r="D168" i="6"/>
  <c r="C168" i="6" s="1"/>
  <c r="E167" i="6"/>
  <c r="E170" i="6" s="1"/>
  <c r="E176" i="6" s="1"/>
  <c r="D167" i="6"/>
  <c r="C167" i="6" s="1"/>
  <c r="CB167" i="6" s="1"/>
  <c r="I163" i="6"/>
  <c r="O162" i="6"/>
  <c r="N162" i="6"/>
  <c r="M162" i="6"/>
  <c r="L162" i="6"/>
  <c r="L163" i="6" s="1"/>
  <c r="K162" i="6"/>
  <c r="J162" i="6"/>
  <c r="I162" i="6"/>
  <c r="H162" i="6"/>
  <c r="H163" i="6" s="1"/>
  <c r="G162" i="6"/>
  <c r="F162" i="6"/>
  <c r="CB161" i="6"/>
  <c r="E161" i="6"/>
  <c r="D161" i="6"/>
  <c r="C161" i="6" s="1"/>
  <c r="E160" i="6"/>
  <c r="D160" i="6"/>
  <c r="C160" i="6" s="1"/>
  <c r="CB160" i="6" s="1"/>
  <c r="E159" i="6"/>
  <c r="D159" i="6"/>
  <c r="C159" i="6" s="1"/>
  <c r="CB159" i="6" s="1"/>
  <c r="CB158" i="6"/>
  <c r="E158" i="6"/>
  <c r="E162" i="6" s="1"/>
  <c r="D158" i="6"/>
  <c r="C158" i="6" s="1"/>
  <c r="O157" i="6"/>
  <c r="O163" i="6" s="1"/>
  <c r="N157" i="6"/>
  <c r="N163" i="6" s="1"/>
  <c r="M157" i="6"/>
  <c r="M163" i="6" s="1"/>
  <c r="L157" i="6"/>
  <c r="K157" i="6"/>
  <c r="K163" i="6" s="1"/>
  <c r="J157" i="6"/>
  <c r="J163" i="6" s="1"/>
  <c r="I157" i="6"/>
  <c r="H157" i="6"/>
  <c r="G157" i="6"/>
  <c r="G163" i="6" s="1"/>
  <c r="F157" i="6"/>
  <c r="F163" i="6" s="1"/>
  <c r="CA156" i="6"/>
  <c r="E156" i="6"/>
  <c r="D156" i="6"/>
  <c r="C156" i="6"/>
  <c r="E155" i="6"/>
  <c r="D155" i="6"/>
  <c r="C155" i="6"/>
  <c r="CA155" i="6" s="1"/>
  <c r="E154" i="6"/>
  <c r="E157" i="6" s="1"/>
  <c r="E163" i="6" s="1"/>
  <c r="D154" i="6"/>
  <c r="D157" i="6" s="1"/>
  <c r="E150" i="6"/>
  <c r="C150" i="6" s="1"/>
  <c r="D150" i="6"/>
  <c r="CB149" i="6"/>
  <c r="E149" i="6"/>
  <c r="D149" i="6"/>
  <c r="C149" i="6"/>
  <c r="E148" i="6"/>
  <c r="D148" i="6"/>
  <c r="C148" i="6"/>
  <c r="CB148" i="6" s="1"/>
  <c r="E147" i="6"/>
  <c r="C147" i="6" s="1"/>
  <c r="D147" i="6"/>
  <c r="E146" i="6"/>
  <c r="C146" i="6" s="1"/>
  <c r="D146" i="6"/>
  <c r="E141" i="6"/>
  <c r="D141" i="6"/>
  <c r="C141" i="6"/>
  <c r="CA141" i="6" s="1"/>
  <c r="E140" i="6"/>
  <c r="C140" i="6" s="1"/>
  <c r="D140" i="6"/>
  <c r="E139" i="6"/>
  <c r="D139" i="6"/>
  <c r="C139" i="6"/>
  <c r="CA139" i="6" s="1"/>
  <c r="E138" i="6"/>
  <c r="D138" i="6"/>
  <c r="C138" i="6" s="1"/>
  <c r="CC138" i="6" s="1"/>
  <c r="CB137" i="6"/>
  <c r="E137" i="6"/>
  <c r="D137" i="6"/>
  <c r="C137" i="6" s="1"/>
  <c r="CQ137" i="6" s="1"/>
  <c r="CQ136" i="6"/>
  <c r="E136" i="6"/>
  <c r="D136" i="6"/>
  <c r="C136" i="6" s="1"/>
  <c r="CB136" i="6" s="1"/>
  <c r="CB135" i="6"/>
  <c r="E135" i="6"/>
  <c r="D135" i="6"/>
  <c r="C135" i="6" s="1"/>
  <c r="CQ135" i="6" s="1"/>
  <c r="CQ134" i="6"/>
  <c r="E134" i="6"/>
  <c r="D134" i="6"/>
  <c r="C134" i="6" s="1"/>
  <c r="CB134" i="6" s="1"/>
  <c r="CB133" i="6"/>
  <c r="E133" i="6"/>
  <c r="D133" i="6"/>
  <c r="C133" i="6" s="1"/>
  <c r="CQ133" i="6" s="1"/>
  <c r="E128" i="6"/>
  <c r="D128" i="6"/>
  <c r="C128" i="6" s="1"/>
  <c r="CB128" i="6" s="1"/>
  <c r="E127" i="6"/>
  <c r="D127" i="6"/>
  <c r="C127" i="6" s="1"/>
  <c r="CB127" i="6" s="1"/>
  <c r="CB126" i="6"/>
  <c r="E126" i="6"/>
  <c r="D126" i="6"/>
  <c r="C126" i="6" s="1"/>
  <c r="CB125" i="6"/>
  <c r="E125" i="6"/>
  <c r="D125" i="6"/>
  <c r="C125" i="6" s="1"/>
  <c r="E124" i="6"/>
  <c r="D124" i="6"/>
  <c r="C124" i="6" s="1"/>
  <c r="CB124" i="6" s="1"/>
  <c r="E123" i="6"/>
  <c r="D123" i="6"/>
  <c r="C123" i="6" s="1"/>
  <c r="CB123" i="6" s="1"/>
  <c r="CB122" i="6"/>
  <c r="E122" i="6"/>
  <c r="D122" i="6"/>
  <c r="C122" i="6" s="1"/>
  <c r="CB121" i="6"/>
  <c r="E121" i="6"/>
  <c r="D121" i="6"/>
  <c r="C121" i="6" s="1"/>
  <c r="E120" i="6"/>
  <c r="D120" i="6"/>
  <c r="C120" i="6" s="1"/>
  <c r="CB120" i="6" s="1"/>
  <c r="E119" i="6"/>
  <c r="D119" i="6"/>
  <c r="C119" i="6" s="1"/>
  <c r="CB119" i="6" s="1"/>
  <c r="E114" i="6"/>
  <c r="D114" i="6"/>
  <c r="C114" i="6"/>
  <c r="E113" i="6"/>
  <c r="D113" i="6"/>
  <c r="C113" i="6" s="1"/>
  <c r="E112" i="6"/>
  <c r="C112" i="6" s="1"/>
  <c r="D112" i="6"/>
  <c r="M111" i="6"/>
  <c r="L111" i="6"/>
  <c r="K111" i="6"/>
  <c r="J111" i="6"/>
  <c r="I111" i="6"/>
  <c r="H111" i="6"/>
  <c r="G111" i="6"/>
  <c r="E111" i="6" s="1"/>
  <c r="F111" i="6"/>
  <c r="D111" i="6" s="1"/>
  <c r="C111" i="6" s="1"/>
  <c r="E106" i="6"/>
  <c r="D106" i="6"/>
  <c r="C106" i="6" s="1"/>
  <c r="CB106" i="6" s="1"/>
  <c r="CB105" i="6"/>
  <c r="E105" i="6"/>
  <c r="D105" i="6"/>
  <c r="C105" i="6" s="1"/>
  <c r="E104" i="6"/>
  <c r="D104" i="6"/>
  <c r="C104" i="6" s="1"/>
  <c r="CB104" i="6" s="1"/>
  <c r="CB103" i="6"/>
  <c r="E103" i="6"/>
  <c r="D103" i="6"/>
  <c r="C103" i="6" s="1"/>
  <c r="E98" i="6"/>
  <c r="D98" i="6"/>
  <c r="C98" i="6" s="1"/>
  <c r="CB98" i="6" s="1"/>
  <c r="E97" i="6"/>
  <c r="D97" i="6"/>
  <c r="C97" i="6"/>
  <c r="CQ97" i="6" s="1"/>
  <c r="CP96" i="6"/>
  <c r="E96" i="6"/>
  <c r="D96" i="6"/>
  <c r="C96" i="6" s="1"/>
  <c r="CA96" i="6" s="1"/>
  <c r="E95" i="6"/>
  <c r="D95" i="6"/>
  <c r="C95" i="6"/>
  <c r="CQ95" i="6" s="1"/>
  <c r="CO89" i="6"/>
  <c r="CA89" i="6"/>
  <c r="C89" i="6"/>
  <c r="CB89" i="6" s="1"/>
  <c r="CP86" i="6"/>
  <c r="CO86" i="6"/>
  <c r="CB86" i="6"/>
  <c r="CA86" i="6"/>
  <c r="E86" i="6"/>
  <c r="C83" i="6"/>
  <c r="CO83" i="6" s="1"/>
  <c r="CO82" i="6"/>
  <c r="C82" i="6"/>
  <c r="CO81" i="6"/>
  <c r="CA81" i="6"/>
  <c r="C81" i="6"/>
  <c r="C80" i="6"/>
  <c r="CO80" i="6" s="1"/>
  <c r="C79" i="6"/>
  <c r="CO79" i="6" s="1"/>
  <c r="CO78" i="6"/>
  <c r="C78" i="6"/>
  <c r="CO77" i="6"/>
  <c r="CA77" i="6"/>
  <c r="C77" i="6"/>
  <c r="C76" i="6"/>
  <c r="CO76" i="6" s="1"/>
  <c r="C75" i="6"/>
  <c r="CO75" i="6" s="1"/>
  <c r="CO74" i="6"/>
  <c r="C74" i="6"/>
  <c r="CO73" i="6"/>
  <c r="CA73" i="6"/>
  <c r="C73" i="6"/>
  <c r="C72" i="6"/>
  <c r="CO72" i="6" s="1"/>
  <c r="C71" i="6"/>
  <c r="CO71" i="6" s="1"/>
  <c r="CO70" i="6"/>
  <c r="C70" i="6"/>
  <c r="CO69" i="6"/>
  <c r="CA69" i="6"/>
  <c r="C69" i="6"/>
  <c r="C68" i="6"/>
  <c r="CO68" i="6" s="1"/>
  <c r="C67" i="6"/>
  <c r="CO67" i="6" s="1"/>
  <c r="CO66" i="6"/>
  <c r="C66" i="6"/>
  <c r="CO65" i="6"/>
  <c r="CA65" i="6"/>
  <c r="C65" i="6"/>
  <c r="C64" i="6"/>
  <c r="CO64" i="6" s="1"/>
  <c r="R63" i="6"/>
  <c r="Q63" i="6"/>
  <c r="P63" i="6"/>
  <c r="O63" i="6"/>
  <c r="N63" i="6"/>
  <c r="M63" i="6"/>
  <c r="L63" i="6"/>
  <c r="K63" i="6"/>
  <c r="J63" i="6"/>
  <c r="I63" i="6"/>
  <c r="H63" i="6"/>
  <c r="G63" i="6"/>
  <c r="F63" i="6"/>
  <c r="E63" i="6"/>
  <c r="D63" i="6"/>
  <c r="C63" i="6"/>
  <c r="CR59" i="6"/>
  <c r="CQ59" i="6"/>
  <c r="CD59" i="6"/>
  <c r="CC59" i="6"/>
  <c r="C59" i="6"/>
  <c r="CU59" i="6" s="1"/>
  <c r="CU58" i="6"/>
  <c r="CR58" i="6"/>
  <c r="CQ58" i="6"/>
  <c r="CO58" i="6"/>
  <c r="CD58" i="6"/>
  <c r="CC58" i="6"/>
  <c r="C58" i="6"/>
  <c r="CU57" i="6"/>
  <c r="CS57" i="6"/>
  <c r="CR57" i="6"/>
  <c r="CQ57" i="6"/>
  <c r="CO57" i="6"/>
  <c r="CG57" i="6"/>
  <c r="CD57" i="6"/>
  <c r="CC57" i="6"/>
  <c r="CA57" i="6"/>
  <c r="C57" i="6"/>
  <c r="CR56" i="6"/>
  <c r="CQ56" i="6"/>
  <c r="CD56" i="6"/>
  <c r="CC56" i="6"/>
  <c r="C56" i="6"/>
  <c r="CU56" i="6" s="1"/>
  <c r="CR55" i="6"/>
  <c r="CQ55" i="6"/>
  <c r="CD55" i="6"/>
  <c r="CC55" i="6"/>
  <c r="C55" i="6"/>
  <c r="CU55" i="6" s="1"/>
  <c r="CX51" i="6"/>
  <c r="CV51" i="6"/>
  <c r="CT51" i="6"/>
  <c r="CS51" i="6"/>
  <c r="CR51" i="6"/>
  <c r="CO51" i="6"/>
  <c r="CJ51" i="6"/>
  <c r="CH51" i="6"/>
  <c r="CF51" i="6"/>
  <c r="CE51" i="6"/>
  <c r="CD51" i="6"/>
  <c r="CB51" i="6"/>
  <c r="CA51" i="6"/>
  <c r="C51" i="6"/>
  <c r="CW51" i="6" s="1"/>
  <c r="CS50" i="6"/>
  <c r="CR50" i="6"/>
  <c r="CE50" i="6"/>
  <c r="CD50" i="6"/>
  <c r="C50" i="6"/>
  <c r="CU50" i="6" s="1"/>
  <c r="CX49" i="6"/>
  <c r="CV49" i="6"/>
  <c r="CT49" i="6"/>
  <c r="CS49" i="6"/>
  <c r="CR49" i="6"/>
  <c r="CO49" i="6"/>
  <c r="CJ49" i="6"/>
  <c r="CH49" i="6"/>
  <c r="CF49" i="6"/>
  <c r="CE49" i="6"/>
  <c r="CD49" i="6"/>
  <c r="CB49" i="6"/>
  <c r="C49" i="6"/>
  <c r="CY49" i="6" s="1"/>
  <c r="CS48" i="6"/>
  <c r="CR48" i="6"/>
  <c r="CE48" i="6"/>
  <c r="CD48" i="6"/>
  <c r="C48" i="6"/>
  <c r="CU48" i="6" s="1"/>
  <c r="CX47" i="6"/>
  <c r="CV47" i="6"/>
  <c r="CT47" i="6"/>
  <c r="CS47" i="6"/>
  <c r="CR47" i="6"/>
  <c r="CO47" i="6"/>
  <c r="CJ47" i="6"/>
  <c r="CH47" i="6"/>
  <c r="CF47" i="6"/>
  <c r="CE47" i="6"/>
  <c r="CD47" i="6"/>
  <c r="CB47" i="6"/>
  <c r="CA47" i="6"/>
  <c r="C47" i="6"/>
  <c r="CW47" i="6" s="1"/>
  <c r="CY46" i="6"/>
  <c r="CS46" i="6"/>
  <c r="CR46" i="6"/>
  <c r="CK46" i="6"/>
  <c r="CI46" i="6"/>
  <c r="CG46" i="6"/>
  <c r="CE46" i="6"/>
  <c r="CD46" i="6"/>
  <c r="CC46" i="6"/>
  <c r="CA46" i="6"/>
  <c r="C46" i="6"/>
  <c r="CU46" i="6" s="1"/>
  <c r="CX45" i="6"/>
  <c r="CV45" i="6"/>
  <c r="CT45" i="6"/>
  <c r="CS45" i="6"/>
  <c r="CR45" i="6"/>
  <c r="CO45" i="6"/>
  <c r="CJ45" i="6"/>
  <c r="CH45" i="6"/>
  <c r="CF45" i="6"/>
  <c r="CE45" i="6"/>
  <c r="CD45" i="6"/>
  <c r="CB45" i="6"/>
  <c r="C45" i="6"/>
  <c r="CY45" i="6" s="1"/>
  <c r="CY44" i="6"/>
  <c r="CS44" i="6"/>
  <c r="CR44" i="6"/>
  <c r="CI44" i="6"/>
  <c r="CG44" i="6"/>
  <c r="CE44" i="6"/>
  <c r="CD44" i="6"/>
  <c r="CC44" i="6"/>
  <c r="CA44" i="6"/>
  <c r="C44" i="6"/>
  <c r="CU44" i="6" s="1"/>
  <c r="CX43" i="6"/>
  <c r="CV43" i="6"/>
  <c r="CT43" i="6"/>
  <c r="CS43" i="6"/>
  <c r="CR43" i="6"/>
  <c r="CO43" i="6"/>
  <c r="CJ43" i="6"/>
  <c r="CH43" i="6"/>
  <c r="CF43" i="6"/>
  <c r="CE43" i="6"/>
  <c r="CD43" i="6"/>
  <c r="CB43" i="6"/>
  <c r="CA43" i="6"/>
  <c r="C43" i="6"/>
  <c r="CW43" i="6" s="1"/>
  <c r="CU42" i="6"/>
  <c r="CS42" i="6"/>
  <c r="CR42" i="6"/>
  <c r="CK42" i="6"/>
  <c r="CI42" i="6"/>
  <c r="CE42" i="6"/>
  <c r="CD42" i="6"/>
  <c r="CC42" i="6"/>
  <c r="C42" i="6"/>
  <c r="CX41" i="6"/>
  <c r="CV41" i="6"/>
  <c r="CT41" i="6"/>
  <c r="CS41" i="6"/>
  <c r="CR41" i="6"/>
  <c r="CO41" i="6"/>
  <c r="CJ41" i="6"/>
  <c r="CH41" i="6"/>
  <c r="CF41" i="6"/>
  <c r="CE41" i="6"/>
  <c r="CD41" i="6"/>
  <c r="CB41" i="6"/>
  <c r="C41" i="6"/>
  <c r="CY41" i="6" s="1"/>
  <c r="CU40" i="6"/>
  <c r="CS40" i="6"/>
  <c r="CR40" i="6"/>
  <c r="CK40" i="6"/>
  <c r="CI40" i="6"/>
  <c r="CE40" i="6"/>
  <c r="CD40" i="6"/>
  <c r="CC40" i="6"/>
  <c r="C40" i="6"/>
  <c r="CX39" i="6"/>
  <c r="CV39" i="6"/>
  <c r="CT39" i="6"/>
  <c r="CS39" i="6"/>
  <c r="CR39" i="6"/>
  <c r="CO39" i="6"/>
  <c r="CJ39" i="6"/>
  <c r="CH39" i="6"/>
  <c r="CF39" i="6"/>
  <c r="CE39" i="6"/>
  <c r="CD39" i="6"/>
  <c r="CB39" i="6"/>
  <c r="C39" i="6"/>
  <c r="CW39" i="6" s="1"/>
  <c r="CU38" i="6"/>
  <c r="CS38" i="6"/>
  <c r="CR38" i="6"/>
  <c r="CK38" i="6"/>
  <c r="CI38" i="6"/>
  <c r="CE38" i="6"/>
  <c r="CD38" i="6"/>
  <c r="CC38" i="6"/>
  <c r="C38" i="6"/>
  <c r="CX37" i="6"/>
  <c r="CV37" i="6"/>
  <c r="CT37" i="6"/>
  <c r="CS37" i="6"/>
  <c r="CR37" i="6"/>
  <c r="CO37" i="6"/>
  <c r="CJ37" i="6"/>
  <c r="CH37" i="6"/>
  <c r="CF37" i="6"/>
  <c r="CE37" i="6"/>
  <c r="CD37" i="6"/>
  <c r="CB37" i="6"/>
  <c r="C37" i="6"/>
  <c r="CY37" i="6" s="1"/>
  <c r="CU36" i="6"/>
  <c r="CS36" i="6"/>
  <c r="CR36" i="6"/>
  <c r="CK36" i="6"/>
  <c r="CI36" i="6"/>
  <c r="CE36" i="6"/>
  <c r="CD36" i="6"/>
  <c r="CC36" i="6"/>
  <c r="C36" i="6"/>
  <c r="AA35" i="6"/>
  <c r="Z35" i="6"/>
  <c r="Y35" i="6"/>
  <c r="X35" i="6"/>
  <c r="W35" i="6"/>
  <c r="V35" i="6"/>
  <c r="U35" i="6"/>
  <c r="T35" i="6"/>
  <c r="S35" i="6"/>
  <c r="R35" i="6"/>
  <c r="Q35" i="6"/>
  <c r="P35" i="6"/>
  <c r="O35" i="6"/>
  <c r="N35" i="6"/>
  <c r="M35" i="6"/>
  <c r="L35" i="6"/>
  <c r="K35" i="6"/>
  <c r="J35" i="6"/>
  <c r="I35" i="6"/>
  <c r="H35" i="6"/>
  <c r="G35" i="6"/>
  <c r="F35" i="6"/>
  <c r="E35" i="6"/>
  <c r="D35" i="6"/>
  <c r="CQ31" i="6"/>
  <c r="CP31" i="6"/>
  <c r="CO31" i="6"/>
  <c r="CC31" i="6"/>
  <c r="CB31" i="6"/>
  <c r="G31" i="6" s="1"/>
  <c r="CA31" i="6"/>
  <c r="CQ30" i="6"/>
  <c r="CP30" i="6"/>
  <c r="CO30" i="6"/>
  <c r="CC30" i="6"/>
  <c r="CB30" i="6"/>
  <c r="CA30" i="6"/>
  <c r="G30" i="6" s="1"/>
  <c r="CQ29" i="6"/>
  <c r="CP29" i="6"/>
  <c r="CO29" i="6"/>
  <c r="CC29" i="6"/>
  <c r="CB29" i="6"/>
  <c r="G29" i="6" s="1"/>
  <c r="CA29" i="6"/>
  <c r="CQ28" i="6"/>
  <c r="CP28" i="6"/>
  <c r="CO28" i="6"/>
  <c r="CC28" i="6"/>
  <c r="CB28" i="6"/>
  <c r="CA28" i="6"/>
  <c r="G28" i="6" s="1"/>
  <c r="CQ27" i="6"/>
  <c r="CP27" i="6"/>
  <c r="CO27" i="6"/>
  <c r="CC27" i="6"/>
  <c r="CB27" i="6"/>
  <c r="CA27" i="6"/>
  <c r="G27" i="6"/>
  <c r="CQ26" i="6"/>
  <c r="CP26" i="6"/>
  <c r="CO26" i="6"/>
  <c r="CC26" i="6"/>
  <c r="CB26" i="6"/>
  <c r="CA26" i="6"/>
  <c r="CQ25" i="6"/>
  <c r="CP25" i="6"/>
  <c r="CO25" i="6"/>
  <c r="CC25" i="6"/>
  <c r="CB25" i="6"/>
  <c r="CA25" i="6"/>
  <c r="G25" i="6"/>
  <c r="CQ24" i="6"/>
  <c r="CP24" i="6"/>
  <c r="CO24" i="6"/>
  <c r="CC24" i="6"/>
  <c r="CB24" i="6"/>
  <c r="CA24" i="6"/>
  <c r="CQ23" i="6"/>
  <c r="CP23" i="6"/>
  <c r="CO23" i="6"/>
  <c r="CC23" i="6"/>
  <c r="CB23" i="6"/>
  <c r="G23" i="6" s="1"/>
  <c r="CA23" i="6"/>
  <c r="CQ22" i="6"/>
  <c r="CP22" i="6"/>
  <c r="CO22" i="6"/>
  <c r="CC22" i="6"/>
  <c r="CB22" i="6"/>
  <c r="CA22" i="6"/>
  <c r="G22" i="6" s="1"/>
  <c r="CQ21" i="6"/>
  <c r="CP21" i="6"/>
  <c r="CO21" i="6"/>
  <c r="CC21" i="6"/>
  <c r="CB21" i="6"/>
  <c r="G21" i="6" s="1"/>
  <c r="CA21" i="6"/>
  <c r="CQ20" i="6"/>
  <c r="CP20" i="6"/>
  <c r="CO20" i="6"/>
  <c r="CC20" i="6"/>
  <c r="CB20" i="6"/>
  <c r="CA20" i="6"/>
  <c r="G20" i="6" s="1"/>
  <c r="CQ19" i="6"/>
  <c r="CP19" i="6"/>
  <c r="CO19" i="6"/>
  <c r="CC19" i="6"/>
  <c r="CB19" i="6"/>
  <c r="CA19" i="6"/>
  <c r="G19" i="6"/>
  <c r="CQ18" i="6"/>
  <c r="CP18" i="6"/>
  <c r="CO18" i="6"/>
  <c r="CC18" i="6"/>
  <c r="CB18" i="6"/>
  <c r="CA18" i="6"/>
  <c r="CX14" i="6"/>
  <c r="CW14" i="6"/>
  <c r="CV14" i="6"/>
  <c r="CT14" i="6"/>
  <c r="CS14" i="6"/>
  <c r="CR14" i="6"/>
  <c r="CO14" i="6"/>
  <c r="CJ14" i="6"/>
  <c r="CI14" i="6"/>
  <c r="CG14" i="6"/>
  <c r="CF14" i="6"/>
  <c r="CE14" i="6"/>
  <c r="CB14" i="6"/>
  <c r="CA14" i="6"/>
  <c r="C14" i="6"/>
  <c r="CU14" i="6" s="1"/>
  <c r="CX13" i="6"/>
  <c r="CW13" i="6"/>
  <c r="CV13" i="6"/>
  <c r="CT13" i="6"/>
  <c r="CR13" i="6"/>
  <c r="CP13" i="6"/>
  <c r="CJ13" i="6"/>
  <c r="CI13" i="6"/>
  <c r="CH13" i="6"/>
  <c r="CF13" i="6"/>
  <c r="CD13" i="6"/>
  <c r="CB13" i="6"/>
  <c r="C13" i="6"/>
  <c r="CU13" i="6" s="1"/>
  <c r="CX12" i="6"/>
  <c r="CW12" i="6"/>
  <c r="CV12" i="6"/>
  <c r="CT12" i="6"/>
  <c r="CR12" i="6"/>
  <c r="CO12" i="6"/>
  <c r="CJ12" i="6"/>
  <c r="CI12" i="6"/>
  <c r="CG12" i="6"/>
  <c r="CE12" i="6"/>
  <c r="CB12" i="6"/>
  <c r="C12" i="6"/>
  <c r="CS12" i="6" s="1"/>
  <c r="CX11" i="6"/>
  <c r="CW11" i="6"/>
  <c r="CV11" i="6"/>
  <c r="CT11" i="6"/>
  <c r="CR11" i="6"/>
  <c r="CO11" i="6"/>
  <c r="CJ11" i="6"/>
  <c r="CI11" i="6"/>
  <c r="CG11" i="6"/>
  <c r="CF11" i="6"/>
  <c r="CE11" i="6"/>
  <c r="CB11" i="6"/>
  <c r="CA11" i="6"/>
  <c r="C11" i="6"/>
  <c r="CS11" i="6" s="1"/>
  <c r="A5" i="6"/>
  <c r="A3" i="6"/>
  <c r="A2" i="6"/>
  <c r="B219" i="5"/>
  <c r="B218" i="5"/>
  <c r="B217" i="5"/>
  <c r="C213" i="5"/>
  <c r="C212" i="5"/>
  <c r="C211" i="5"/>
  <c r="C210" i="5"/>
  <c r="B206" i="5"/>
  <c r="B205" i="5"/>
  <c r="B204" i="5"/>
  <c r="B203" i="5"/>
  <c r="B202" i="5"/>
  <c r="BW198" i="5"/>
  <c r="BU198" i="5"/>
  <c r="BP198" i="5"/>
  <c r="B198" i="5"/>
  <c r="BQ198" i="5" s="1"/>
  <c r="BW197" i="5"/>
  <c r="BU197" i="5"/>
  <c r="BP197" i="5"/>
  <c r="B197" i="5"/>
  <c r="BQ197" i="5" s="1"/>
  <c r="BW196" i="5"/>
  <c r="BU196" i="5"/>
  <c r="BP196" i="5"/>
  <c r="B196" i="5"/>
  <c r="BQ196" i="5" s="1"/>
  <c r="BW195" i="5"/>
  <c r="BU195" i="5"/>
  <c r="BP195" i="5"/>
  <c r="B195" i="5"/>
  <c r="BQ195" i="5" s="1"/>
  <c r="BW194" i="5"/>
  <c r="BU194" i="5"/>
  <c r="BP194" i="5"/>
  <c r="B194" i="5"/>
  <c r="BQ194" i="5" s="1"/>
  <c r="BW193" i="5"/>
  <c r="BU193" i="5"/>
  <c r="BP193" i="5"/>
  <c r="B193" i="5"/>
  <c r="BQ193" i="5" s="1"/>
  <c r="B189" i="5"/>
  <c r="B188" i="5"/>
  <c r="B187" i="5"/>
  <c r="B186" i="5"/>
  <c r="W183" i="5"/>
  <c r="V183" i="5"/>
  <c r="U183" i="5" s="1"/>
  <c r="E183" i="5"/>
  <c r="C183" i="5" s="1"/>
  <c r="B183" i="5" s="1"/>
  <c r="D183" i="5"/>
  <c r="W182" i="5"/>
  <c r="V182" i="5"/>
  <c r="U182" i="5" s="1"/>
  <c r="N182" i="5"/>
  <c r="L182" i="5" s="1"/>
  <c r="B182" i="5" s="1"/>
  <c r="M182" i="5"/>
  <c r="E182" i="5"/>
  <c r="D182" i="5"/>
  <c r="C182" i="5" s="1"/>
  <c r="W181" i="5"/>
  <c r="U181" i="5" s="1"/>
  <c r="B181" i="5" s="1"/>
  <c r="V181" i="5"/>
  <c r="E181" i="5"/>
  <c r="D181" i="5"/>
  <c r="C181" i="5" s="1"/>
  <c r="W180" i="5"/>
  <c r="U180" i="5" s="1"/>
  <c r="V180" i="5"/>
  <c r="N180" i="5"/>
  <c r="M180" i="5"/>
  <c r="L180" i="5" s="1"/>
  <c r="E180" i="5"/>
  <c r="C180" i="5" s="1"/>
  <c r="B180" i="5" s="1"/>
  <c r="D180" i="5"/>
  <c r="W179" i="5"/>
  <c r="V179" i="5"/>
  <c r="U179" i="5" s="1"/>
  <c r="E179" i="5"/>
  <c r="C179" i="5" s="1"/>
  <c r="B179" i="5" s="1"/>
  <c r="D179" i="5"/>
  <c r="W178" i="5"/>
  <c r="V178" i="5"/>
  <c r="U178" i="5" s="1"/>
  <c r="N178" i="5"/>
  <c r="L178" i="5" s="1"/>
  <c r="M178" i="5"/>
  <c r="E178" i="5"/>
  <c r="D178" i="5"/>
  <c r="C178" i="5" s="1"/>
  <c r="W177" i="5"/>
  <c r="U177" i="5" s="1"/>
  <c r="V177" i="5"/>
  <c r="E177" i="5"/>
  <c r="D177" i="5"/>
  <c r="C177" i="5" s="1"/>
  <c r="W176" i="5"/>
  <c r="U176" i="5" s="1"/>
  <c r="V176" i="5"/>
  <c r="N176" i="5"/>
  <c r="M176" i="5"/>
  <c r="L176" i="5" s="1"/>
  <c r="E176" i="5"/>
  <c r="D176" i="5"/>
  <c r="C176" i="5"/>
  <c r="BV171" i="5"/>
  <c r="BU171" i="5"/>
  <c r="BP171" i="5"/>
  <c r="BO171" i="5"/>
  <c r="V171" i="5"/>
  <c r="E167" i="5"/>
  <c r="C167" i="5" s="1"/>
  <c r="D167" i="5"/>
  <c r="E166" i="5"/>
  <c r="C166" i="5" s="1"/>
  <c r="D166" i="5"/>
  <c r="BO165" i="5"/>
  <c r="E165" i="5"/>
  <c r="D165" i="5"/>
  <c r="C165" i="5"/>
  <c r="E164" i="5"/>
  <c r="D164" i="5"/>
  <c r="C164" i="5"/>
  <c r="BO164" i="5" s="1"/>
  <c r="E163" i="5"/>
  <c r="C163" i="5" s="1"/>
  <c r="D163" i="5"/>
  <c r="E162" i="5"/>
  <c r="C162" i="5" s="1"/>
  <c r="D162" i="5"/>
  <c r="BO161" i="5"/>
  <c r="E161" i="5"/>
  <c r="D161" i="5"/>
  <c r="C161" i="5"/>
  <c r="E160" i="5"/>
  <c r="D160" i="5"/>
  <c r="C160" i="5"/>
  <c r="BO160" i="5" s="1"/>
  <c r="E159" i="5"/>
  <c r="C159" i="5" s="1"/>
  <c r="D159" i="5"/>
  <c r="E158" i="5"/>
  <c r="C158" i="5" s="1"/>
  <c r="D158" i="5"/>
  <c r="BO157" i="5"/>
  <c r="E157" i="5"/>
  <c r="D157" i="5"/>
  <c r="C157" i="5"/>
  <c r="E156" i="5"/>
  <c r="D156" i="5"/>
  <c r="C156" i="5"/>
  <c r="BO156" i="5" s="1"/>
  <c r="E155" i="5"/>
  <c r="C155" i="5" s="1"/>
  <c r="D155" i="5"/>
  <c r="E154" i="5"/>
  <c r="C154" i="5" s="1"/>
  <c r="D154" i="5"/>
  <c r="BV149" i="5"/>
  <c r="BQ149" i="5"/>
  <c r="C149" i="5"/>
  <c r="BV148" i="5"/>
  <c r="BQ148" i="5"/>
  <c r="C148" i="5"/>
  <c r="BV147" i="5"/>
  <c r="BQ147" i="5"/>
  <c r="C147" i="5"/>
  <c r="BV146" i="5"/>
  <c r="BU146" i="5"/>
  <c r="BR146" i="5"/>
  <c r="BP146" i="5"/>
  <c r="BO146" i="5"/>
  <c r="C146" i="5"/>
  <c r="BW146" i="5" s="1"/>
  <c r="BW145" i="5"/>
  <c r="BQ145" i="5"/>
  <c r="C145" i="5"/>
  <c r="BV145" i="5" s="1"/>
  <c r="BW144" i="5"/>
  <c r="BU144" i="5"/>
  <c r="BP144" i="5"/>
  <c r="C144" i="5"/>
  <c r="BQ144" i="5" s="1"/>
  <c r="BW143" i="5"/>
  <c r="BQ143" i="5"/>
  <c r="L143" i="5" s="1"/>
  <c r="BP143" i="5"/>
  <c r="C143" i="5"/>
  <c r="BV143" i="5" s="1"/>
  <c r="BW142" i="5"/>
  <c r="BQ142" i="5"/>
  <c r="C142" i="5"/>
  <c r="BV142" i="5" s="1"/>
  <c r="BW141" i="5"/>
  <c r="BQ141" i="5"/>
  <c r="BP141" i="5"/>
  <c r="L141" i="5"/>
  <c r="C141" i="5"/>
  <c r="BV141" i="5" s="1"/>
  <c r="BV137" i="5"/>
  <c r="BP137" i="5"/>
  <c r="D137" i="5"/>
  <c r="C137" i="5"/>
  <c r="B137" i="5" s="1"/>
  <c r="BX137" i="5" s="1"/>
  <c r="BX136" i="5"/>
  <c r="BV136" i="5"/>
  <c r="BP136" i="5"/>
  <c r="D136" i="5"/>
  <c r="C136" i="5"/>
  <c r="B136" i="5" s="1"/>
  <c r="BX135" i="5"/>
  <c r="BV135" i="5"/>
  <c r="BP135" i="5"/>
  <c r="D135" i="5"/>
  <c r="C135" i="5"/>
  <c r="B135" i="5" s="1"/>
  <c r="B124" i="5"/>
  <c r="B123" i="5"/>
  <c r="B122" i="5"/>
  <c r="R117" i="5"/>
  <c r="Q117" i="5"/>
  <c r="P117" i="5"/>
  <c r="O117" i="5"/>
  <c r="N117" i="5"/>
  <c r="M117" i="5"/>
  <c r="L117" i="5"/>
  <c r="K117" i="5"/>
  <c r="J117" i="5"/>
  <c r="I117" i="5"/>
  <c r="H117" i="5"/>
  <c r="G117" i="5"/>
  <c r="F117" i="5"/>
  <c r="E117" i="5"/>
  <c r="D117" i="5"/>
  <c r="C117" i="5"/>
  <c r="B117" i="5" s="1"/>
  <c r="B116" i="5"/>
  <c r="B115" i="5"/>
  <c r="B114" i="5"/>
  <c r="B109" i="5"/>
  <c r="B108" i="5"/>
  <c r="B107" i="5"/>
  <c r="B105" i="5"/>
  <c r="B104" i="5"/>
  <c r="B103" i="5"/>
  <c r="B102" i="5"/>
  <c r="B101" i="5"/>
  <c r="BX83" i="5"/>
  <c r="BO83" i="5"/>
  <c r="E83" i="5"/>
  <c r="D83" i="5"/>
  <c r="C83" i="5"/>
  <c r="BS83" i="5" s="1"/>
  <c r="BX82" i="5"/>
  <c r="BO82" i="5"/>
  <c r="E82" i="5"/>
  <c r="D82" i="5"/>
  <c r="C82" i="5"/>
  <c r="BS82" i="5" s="1"/>
  <c r="BX81" i="5"/>
  <c r="BO81" i="5"/>
  <c r="E81" i="5"/>
  <c r="D81" i="5"/>
  <c r="C81" i="5"/>
  <c r="BS81" i="5" s="1"/>
  <c r="BX80" i="5"/>
  <c r="BO80" i="5"/>
  <c r="E80" i="5"/>
  <c r="D80" i="5"/>
  <c r="C80" i="5"/>
  <c r="BS80" i="5" s="1"/>
  <c r="AM75" i="5"/>
  <c r="AL75" i="5"/>
  <c r="AK75" i="5"/>
  <c r="AJ75" i="5"/>
  <c r="AI75" i="5"/>
  <c r="AH75" i="5"/>
  <c r="AG75" i="5"/>
  <c r="AF75" i="5"/>
  <c r="AE75" i="5"/>
  <c r="AD75" i="5"/>
  <c r="AC75" i="5"/>
  <c r="AB75" i="5"/>
  <c r="AA75" i="5"/>
  <c r="Z75" i="5"/>
  <c r="Y75" i="5"/>
  <c r="X75" i="5"/>
  <c r="W75" i="5"/>
  <c r="V75" i="5"/>
  <c r="U75" i="5"/>
  <c r="T75" i="5"/>
  <c r="S75" i="5"/>
  <c r="R75" i="5"/>
  <c r="Q75" i="5"/>
  <c r="P75" i="5"/>
  <c r="O75" i="5"/>
  <c r="N75" i="5"/>
  <c r="M75" i="5"/>
  <c r="L75" i="5"/>
  <c r="K75" i="5"/>
  <c r="J75" i="5"/>
  <c r="I75" i="5"/>
  <c r="H75" i="5"/>
  <c r="G75" i="5"/>
  <c r="F75" i="5"/>
  <c r="E75" i="5"/>
  <c r="D75" i="5"/>
  <c r="C75" i="5" s="1"/>
  <c r="E74" i="5"/>
  <c r="C74" i="5" s="1"/>
  <c r="D74" i="5"/>
  <c r="E73" i="5"/>
  <c r="D73" i="5"/>
  <c r="C73" i="5" s="1"/>
  <c r="BW64" i="5"/>
  <c r="BU64" i="5"/>
  <c r="BQ64" i="5"/>
  <c r="BP64" i="5"/>
  <c r="B64" i="5"/>
  <c r="BV64" i="5" s="1"/>
  <c r="BW63" i="5"/>
  <c r="BU63" i="5"/>
  <c r="BQ63" i="5"/>
  <c r="BP63" i="5"/>
  <c r="B63" i="5"/>
  <c r="BV63" i="5" s="1"/>
  <c r="X62" i="5"/>
  <c r="W62" i="5"/>
  <c r="V62" i="5"/>
  <c r="U62" i="5"/>
  <c r="T62" i="5"/>
  <c r="S62" i="5"/>
  <c r="R62" i="5"/>
  <c r="Q62" i="5"/>
  <c r="P62" i="5"/>
  <c r="O62" i="5"/>
  <c r="N62" i="5"/>
  <c r="M62" i="5"/>
  <c r="L62" i="5"/>
  <c r="K62" i="5"/>
  <c r="J62" i="5"/>
  <c r="I62" i="5"/>
  <c r="H62" i="5"/>
  <c r="G62" i="5"/>
  <c r="F62" i="5"/>
  <c r="E62" i="5"/>
  <c r="D62" i="5"/>
  <c r="C62" i="5"/>
  <c r="B62" i="5"/>
  <c r="BW61" i="5"/>
  <c r="BQ61" i="5"/>
  <c r="B61" i="5"/>
  <c r="BV61" i="5" s="1"/>
  <c r="BW60" i="5"/>
  <c r="BQ60" i="5"/>
  <c r="BO60" i="5"/>
  <c r="B60" i="5"/>
  <c r="BV60" i="5" s="1"/>
  <c r="X59" i="5"/>
  <c r="W59" i="5"/>
  <c r="V59" i="5"/>
  <c r="U59" i="5"/>
  <c r="T59" i="5"/>
  <c r="S59" i="5"/>
  <c r="R59" i="5"/>
  <c r="Q59" i="5"/>
  <c r="P59" i="5"/>
  <c r="O59" i="5"/>
  <c r="N59" i="5"/>
  <c r="M59" i="5"/>
  <c r="L59" i="5"/>
  <c r="K59" i="5"/>
  <c r="J59" i="5"/>
  <c r="I59" i="5"/>
  <c r="H59" i="5"/>
  <c r="G59" i="5"/>
  <c r="F59" i="5"/>
  <c r="E59" i="5"/>
  <c r="D59" i="5"/>
  <c r="C59" i="5"/>
  <c r="O54" i="5"/>
  <c r="N54" i="5"/>
  <c r="M54" i="5" s="1"/>
  <c r="D54" i="5"/>
  <c r="C54" i="5"/>
  <c r="B54" i="5"/>
  <c r="BU54" i="5" s="1"/>
  <c r="O53" i="5"/>
  <c r="M53" i="5" s="1"/>
  <c r="N53" i="5"/>
  <c r="D53" i="5"/>
  <c r="C53" i="5"/>
  <c r="B53" i="5" s="1"/>
  <c r="BV53" i="5" s="1"/>
  <c r="D48" i="5"/>
  <c r="C48" i="5"/>
  <c r="B48" i="5" s="1"/>
  <c r="BY48" i="5" s="1"/>
  <c r="D47" i="5"/>
  <c r="C47" i="5"/>
  <c r="B47" i="5" s="1"/>
  <c r="BY47" i="5" s="1"/>
  <c r="D46" i="5"/>
  <c r="C46" i="5"/>
  <c r="B46" i="5" s="1"/>
  <c r="BY46" i="5" s="1"/>
  <c r="D45" i="5"/>
  <c r="C45" i="5"/>
  <c r="B45" i="5" s="1"/>
  <c r="BY45" i="5" s="1"/>
  <c r="D44" i="5"/>
  <c r="C44" i="5"/>
  <c r="B44" i="5" s="1"/>
  <c r="BY44" i="5" s="1"/>
  <c r="D43" i="5"/>
  <c r="C43" i="5"/>
  <c r="B43" i="5" s="1"/>
  <c r="BY43" i="5" s="1"/>
  <c r="D42" i="5"/>
  <c r="C42" i="5"/>
  <c r="B42" i="5" s="1"/>
  <c r="BY42" i="5" s="1"/>
  <c r="D41" i="5"/>
  <c r="C41" i="5"/>
  <c r="B41" i="5" s="1"/>
  <c r="BY41" i="5" s="1"/>
  <c r="D40" i="5"/>
  <c r="C40" i="5"/>
  <c r="B40" i="5" s="1"/>
  <c r="BY40" i="5" s="1"/>
  <c r="D39" i="5"/>
  <c r="C39" i="5"/>
  <c r="B39" i="5" s="1"/>
  <c r="BY39" i="5" s="1"/>
  <c r="D38" i="5"/>
  <c r="B38" i="5"/>
  <c r="BY38" i="5" s="1"/>
  <c r="D37" i="5"/>
  <c r="C37" i="5"/>
  <c r="B37" i="5"/>
  <c r="BX37" i="5" s="1"/>
  <c r="D36" i="5"/>
  <c r="C36" i="5"/>
  <c r="B36" i="5"/>
  <c r="BX36" i="5" s="1"/>
  <c r="D35" i="5"/>
  <c r="C35" i="5"/>
  <c r="B35" i="5"/>
  <c r="BX35" i="5" s="1"/>
  <c r="D34" i="5"/>
  <c r="C34" i="5"/>
  <c r="B34" i="5"/>
  <c r="BX34" i="5" s="1"/>
  <c r="BS33" i="5"/>
  <c r="BQ33" i="5"/>
  <c r="D33" i="5"/>
  <c r="B33" i="5" s="1"/>
  <c r="BY32" i="5"/>
  <c r="BW32" i="5"/>
  <c r="BP32" i="5"/>
  <c r="D32" i="5"/>
  <c r="B32" i="5"/>
  <c r="D31" i="5"/>
  <c r="B31" i="5" s="1"/>
  <c r="C31" i="5"/>
  <c r="D26" i="5"/>
  <c r="B26" i="5" s="1"/>
  <c r="C26" i="5"/>
  <c r="D25" i="5"/>
  <c r="B25" i="5" s="1"/>
  <c r="C25" i="5"/>
  <c r="D24" i="5"/>
  <c r="C24" i="5"/>
  <c r="B24" i="5"/>
  <c r="BO24" i="5" s="1"/>
  <c r="BO23" i="5"/>
  <c r="D23" i="5"/>
  <c r="C23" i="5"/>
  <c r="B23" i="5"/>
  <c r="BW23" i="5" s="1"/>
  <c r="D22" i="5"/>
  <c r="D12" i="5" s="1"/>
  <c r="C22" i="5"/>
  <c r="D21" i="5"/>
  <c r="B21" i="5" s="1"/>
  <c r="C21" i="5"/>
  <c r="BU20" i="5"/>
  <c r="BQ20" i="5"/>
  <c r="D20" i="5"/>
  <c r="B20" i="5" s="1"/>
  <c r="BX19" i="5"/>
  <c r="BV19" i="5"/>
  <c r="BP19" i="5"/>
  <c r="D19" i="5"/>
  <c r="B19" i="5"/>
  <c r="D18" i="5"/>
  <c r="B18" i="5" s="1"/>
  <c r="C18" i="5"/>
  <c r="D17" i="5"/>
  <c r="B17" i="5" s="1"/>
  <c r="C17" i="5"/>
  <c r="D16" i="5"/>
  <c r="B16" i="5" s="1"/>
  <c r="C16" i="5"/>
  <c r="D15" i="5"/>
  <c r="B15" i="5" s="1"/>
  <c r="C15" i="5"/>
  <c r="D14" i="5"/>
  <c r="B14" i="5" s="1"/>
  <c r="C14" i="5"/>
  <c r="D13" i="5"/>
  <c r="B13" i="5" s="1"/>
  <c r="C13" i="5"/>
  <c r="AS12" i="5"/>
  <c r="AR12" i="5"/>
  <c r="AQ12" i="5"/>
  <c r="AP12" i="5"/>
  <c r="AO12" i="5"/>
  <c r="AN12" i="5"/>
  <c r="AM12" i="5"/>
  <c r="AL12" i="5"/>
  <c r="AK12" i="5"/>
  <c r="AJ12" i="5"/>
  <c r="AI12" i="5"/>
  <c r="AH12" i="5"/>
  <c r="AG12" i="5"/>
  <c r="AF12" i="5"/>
  <c r="AE12" i="5"/>
  <c r="AD12" i="5"/>
  <c r="AC12" i="5"/>
  <c r="AB12" i="5"/>
  <c r="AA12" i="5"/>
  <c r="Z12" i="5"/>
  <c r="Y12" i="5"/>
  <c r="X12" i="5"/>
  <c r="W12" i="5"/>
  <c r="V12" i="5"/>
  <c r="U12" i="5"/>
  <c r="T12" i="5"/>
  <c r="S12" i="5"/>
  <c r="R12" i="5"/>
  <c r="Q12" i="5"/>
  <c r="P12" i="5"/>
  <c r="O12" i="5"/>
  <c r="N12" i="5"/>
  <c r="M12" i="5"/>
  <c r="L12" i="5"/>
  <c r="K12" i="5"/>
  <c r="J12" i="5"/>
  <c r="I12" i="5"/>
  <c r="H12" i="5"/>
  <c r="G12" i="5"/>
  <c r="F12" i="5"/>
  <c r="E12" i="5"/>
  <c r="C12" i="5"/>
  <c r="A5" i="5"/>
  <c r="A3" i="5"/>
  <c r="A2" i="5"/>
  <c r="CO274" i="4"/>
  <c r="CE274" i="4"/>
  <c r="E274" i="4"/>
  <c r="C274" i="4" s="1"/>
  <c r="D274" i="4"/>
  <c r="CP274" i="4" s="1"/>
  <c r="CO273" i="4"/>
  <c r="CE273" i="4"/>
  <c r="E273" i="4"/>
  <c r="D273" i="4"/>
  <c r="CP273" i="4" s="1"/>
  <c r="C273" i="4"/>
  <c r="CK273" i="4" s="1"/>
  <c r="CK272" i="4"/>
  <c r="CA272" i="4"/>
  <c r="E272" i="4"/>
  <c r="CO272" i="4" s="1"/>
  <c r="D272" i="4"/>
  <c r="CP272" i="4" s="1"/>
  <c r="C272" i="4"/>
  <c r="CQ272" i="4" s="1"/>
  <c r="E271" i="4"/>
  <c r="CO271" i="4" s="1"/>
  <c r="D271" i="4"/>
  <c r="CP271" i="4" s="1"/>
  <c r="E270" i="4"/>
  <c r="D270" i="4"/>
  <c r="C270" i="4" s="1"/>
  <c r="E265" i="4"/>
  <c r="D265" i="4"/>
  <c r="C265" i="4"/>
  <c r="E264" i="4"/>
  <c r="D264" i="4"/>
  <c r="C264" i="4" s="1"/>
  <c r="E263" i="4"/>
  <c r="D263" i="4"/>
  <c r="C263" i="4"/>
  <c r="E262" i="4"/>
  <c r="D262" i="4"/>
  <c r="C262" i="4"/>
  <c r="CK262" i="4" s="1"/>
  <c r="E261" i="4"/>
  <c r="D261" i="4"/>
  <c r="C261" i="4"/>
  <c r="CK261" i="4" s="1"/>
  <c r="E260" i="4"/>
  <c r="D260" i="4"/>
  <c r="C260" i="4"/>
  <c r="CK260" i="4" s="1"/>
  <c r="E255" i="4"/>
  <c r="D255" i="4"/>
  <c r="C255" i="4" s="1"/>
  <c r="E254" i="4"/>
  <c r="C254" i="4" s="1"/>
  <c r="D254" i="4"/>
  <c r="E253" i="4"/>
  <c r="D253" i="4"/>
  <c r="C253" i="4" s="1"/>
  <c r="E252" i="4"/>
  <c r="C252" i="4" s="1"/>
  <c r="D252" i="4"/>
  <c r="E251" i="4"/>
  <c r="D251" i="4"/>
  <c r="C251" i="4" s="1"/>
  <c r="E250" i="4"/>
  <c r="D250" i="4"/>
  <c r="C250" i="4"/>
  <c r="E249" i="4"/>
  <c r="D249" i="4"/>
  <c r="C249" i="4" s="1"/>
  <c r="E248" i="4"/>
  <c r="D248" i="4"/>
  <c r="C248" i="4"/>
  <c r="E247" i="4"/>
  <c r="D247" i="4"/>
  <c r="C247" i="4" s="1"/>
  <c r="E246" i="4"/>
  <c r="C246" i="4" s="1"/>
  <c r="D246" i="4"/>
  <c r="F232" i="4"/>
  <c r="E232" i="4"/>
  <c r="D232" i="4"/>
  <c r="C232" i="4"/>
  <c r="CL231" i="4"/>
  <c r="CK231" i="4"/>
  <c r="CB231" i="4"/>
  <c r="G231" i="4" s="1"/>
  <c r="CA231" i="4"/>
  <c r="CL230" i="4"/>
  <c r="CK230" i="4"/>
  <c r="CB230" i="4"/>
  <c r="G230" i="4" s="1"/>
  <c r="CA230" i="4"/>
  <c r="J227" i="4"/>
  <c r="I227" i="4"/>
  <c r="F227" i="4"/>
  <c r="E227" i="4"/>
  <c r="CL226" i="4"/>
  <c r="CK226" i="4"/>
  <c r="CB226" i="4"/>
  <c r="CA226" i="4"/>
  <c r="K226" i="4" s="1"/>
  <c r="CL225" i="4"/>
  <c r="CK225" i="4"/>
  <c r="CB225" i="4"/>
  <c r="CA225" i="4"/>
  <c r="K225" i="4"/>
  <c r="CL224" i="4"/>
  <c r="CK224" i="4"/>
  <c r="CB224" i="4"/>
  <c r="CA224" i="4"/>
  <c r="K224" i="4" s="1"/>
  <c r="CL223" i="4"/>
  <c r="CK223" i="4"/>
  <c r="CB223" i="4"/>
  <c r="CA223" i="4"/>
  <c r="K223" i="4"/>
  <c r="J222" i="4"/>
  <c r="I222" i="4"/>
  <c r="H222" i="4"/>
  <c r="G222" i="4"/>
  <c r="F222" i="4"/>
  <c r="E222" i="4"/>
  <c r="CL221" i="4"/>
  <c r="CK221" i="4"/>
  <c r="CB221" i="4"/>
  <c r="CA221" i="4"/>
  <c r="K221" i="4" s="1"/>
  <c r="CL220" i="4"/>
  <c r="CK220" i="4"/>
  <c r="CB220" i="4"/>
  <c r="CA220" i="4"/>
  <c r="K220" i="4"/>
  <c r="CL219" i="4"/>
  <c r="CK219" i="4"/>
  <c r="CB219" i="4"/>
  <c r="CA219" i="4"/>
  <c r="K219" i="4" s="1"/>
  <c r="E215" i="4"/>
  <c r="D215" i="4"/>
  <c r="C215" i="4" s="1"/>
  <c r="CB215" i="4" s="1"/>
  <c r="E214" i="4"/>
  <c r="D214" i="4"/>
  <c r="C214" i="4"/>
  <c r="CB214" i="4" s="1"/>
  <c r="E213" i="4"/>
  <c r="D213" i="4"/>
  <c r="C213" i="4"/>
  <c r="CB213" i="4" s="1"/>
  <c r="AI208" i="4"/>
  <c r="AH208" i="4"/>
  <c r="AG208" i="4"/>
  <c r="AF208" i="4"/>
  <c r="AE208" i="4"/>
  <c r="AD208" i="4"/>
  <c r="AC208" i="4"/>
  <c r="AB208" i="4"/>
  <c r="AA208" i="4"/>
  <c r="Z208" i="4"/>
  <c r="Y208" i="4"/>
  <c r="X208" i="4"/>
  <c r="W208" i="4"/>
  <c r="V208" i="4"/>
  <c r="U208" i="4"/>
  <c r="T208" i="4"/>
  <c r="S208" i="4"/>
  <c r="R208" i="4"/>
  <c r="Q208" i="4"/>
  <c r="P208" i="4"/>
  <c r="O208" i="4"/>
  <c r="N208" i="4"/>
  <c r="M208" i="4"/>
  <c r="L208" i="4"/>
  <c r="K208" i="4"/>
  <c r="J208" i="4"/>
  <c r="I208" i="4"/>
  <c r="H208" i="4"/>
  <c r="G208" i="4"/>
  <c r="F208" i="4"/>
  <c r="CN207" i="4"/>
  <c r="CB207" i="4"/>
  <c r="E207" i="4"/>
  <c r="CL207" i="4" s="1"/>
  <c r="D207" i="4"/>
  <c r="CK207" i="4" s="1"/>
  <c r="CN206" i="4"/>
  <c r="CB206" i="4"/>
  <c r="E206" i="4"/>
  <c r="E208" i="4" s="1"/>
  <c r="D206" i="4"/>
  <c r="CK206" i="4" s="1"/>
  <c r="S201" i="4"/>
  <c r="R201" i="4"/>
  <c r="Q201" i="4"/>
  <c r="P201" i="4"/>
  <c r="O201" i="4"/>
  <c r="N201" i="4"/>
  <c r="M201" i="4"/>
  <c r="L201" i="4"/>
  <c r="K201" i="4"/>
  <c r="J201" i="4"/>
  <c r="I201" i="4"/>
  <c r="H201" i="4"/>
  <c r="G201" i="4"/>
  <c r="F201" i="4"/>
  <c r="D201" i="4" s="1"/>
  <c r="C201" i="4" s="1"/>
  <c r="E201" i="4"/>
  <c r="E200" i="4"/>
  <c r="D200" i="4"/>
  <c r="C200" i="4" s="1"/>
  <c r="E199" i="4"/>
  <c r="D199" i="4"/>
  <c r="C199" i="4" s="1"/>
  <c r="U194" i="4"/>
  <c r="T194" i="4"/>
  <c r="S194" i="4"/>
  <c r="R194" i="4"/>
  <c r="Q194" i="4"/>
  <c r="P194" i="4"/>
  <c r="O194" i="4"/>
  <c r="N194" i="4"/>
  <c r="M194" i="4"/>
  <c r="L194" i="4"/>
  <c r="K194" i="4"/>
  <c r="J194" i="4"/>
  <c r="I194" i="4"/>
  <c r="H194" i="4"/>
  <c r="G194" i="4"/>
  <c r="F194" i="4"/>
  <c r="E194" i="4"/>
  <c r="D194" i="4"/>
  <c r="C194" i="4" s="1"/>
  <c r="E193" i="4"/>
  <c r="D193" i="4"/>
  <c r="C193" i="4"/>
  <c r="E192" i="4"/>
  <c r="D192" i="4"/>
  <c r="C192" i="4"/>
  <c r="Q186" i="4"/>
  <c r="P186" i="4"/>
  <c r="O186" i="4"/>
  <c r="N186" i="4"/>
  <c r="M186" i="4"/>
  <c r="L186" i="4"/>
  <c r="K186" i="4"/>
  <c r="J186" i="4"/>
  <c r="I186" i="4"/>
  <c r="H186" i="4"/>
  <c r="G186" i="4"/>
  <c r="F186" i="4"/>
  <c r="E186" i="4"/>
  <c r="E185" i="4"/>
  <c r="D185" i="4"/>
  <c r="C185" i="4" s="1"/>
  <c r="E184" i="4"/>
  <c r="D184" i="4"/>
  <c r="C184" i="4"/>
  <c r="E183" i="4"/>
  <c r="D183" i="4"/>
  <c r="D186" i="4" s="1"/>
  <c r="C183" i="4"/>
  <c r="C186" i="4" s="1"/>
  <c r="E178" i="4"/>
  <c r="C178" i="4" s="1"/>
  <c r="D178" i="4"/>
  <c r="E177" i="4"/>
  <c r="D177" i="4"/>
  <c r="C177" i="4" s="1"/>
  <c r="E176" i="4"/>
  <c r="D176" i="4"/>
  <c r="C176" i="4"/>
  <c r="E175" i="4"/>
  <c r="D175" i="4"/>
  <c r="C175" i="4"/>
  <c r="E174" i="4"/>
  <c r="D174" i="4"/>
  <c r="C174" i="4" s="1"/>
  <c r="E173" i="4"/>
  <c r="D173" i="4"/>
  <c r="C173" i="4" s="1"/>
  <c r="E168" i="4"/>
  <c r="D168" i="4"/>
  <c r="C168" i="4"/>
  <c r="E167" i="4"/>
  <c r="D167" i="4"/>
  <c r="C167" i="4"/>
  <c r="E166" i="4"/>
  <c r="D166" i="4"/>
  <c r="C166" i="4" s="1"/>
  <c r="E165" i="4"/>
  <c r="D165" i="4"/>
  <c r="C165" i="4" s="1"/>
  <c r="E164" i="4"/>
  <c r="D164" i="4"/>
  <c r="C164" i="4"/>
  <c r="E163" i="4"/>
  <c r="D163" i="4"/>
  <c r="C163" i="4"/>
  <c r="CL157" i="4"/>
  <c r="CK157" i="4"/>
  <c r="CB157" i="4"/>
  <c r="CA157" i="4"/>
  <c r="AD157" i="4"/>
  <c r="CL156" i="4"/>
  <c r="CK156" i="4"/>
  <c r="CB156" i="4"/>
  <c r="CA156" i="4"/>
  <c r="AD156" i="4" s="1"/>
  <c r="CL155" i="4"/>
  <c r="CK155" i="4"/>
  <c r="CB155" i="4"/>
  <c r="CA155" i="4"/>
  <c r="AD155" i="4" s="1"/>
  <c r="CL154" i="4"/>
  <c r="CK154" i="4"/>
  <c r="CB154" i="4"/>
  <c r="CA154" i="4"/>
  <c r="AD154" i="4"/>
  <c r="CL153" i="4"/>
  <c r="CK153" i="4"/>
  <c r="CB153" i="4"/>
  <c r="CA153" i="4"/>
  <c r="AD153" i="4"/>
  <c r="AC152" i="4"/>
  <c r="AB152" i="4"/>
  <c r="AA152" i="4"/>
  <c r="Z152" i="4"/>
  <c r="Y152" i="4"/>
  <c r="X152" i="4"/>
  <c r="W152" i="4"/>
  <c r="V152" i="4"/>
  <c r="U152" i="4"/>
  <c r="T152" i="4"/>
  <c r="S152" i="4"/>
  <c r="R152" i="4"/>
  <c r="Q152" i="4"/>
  <c r="P152" i="4"/>
  <c r="O152" i="4"/>
  <c r="N152" i="4"/>
  <c r="M152" i="4"/>
  <c r="L152" i="4"/>
  <c r="K152" i="4"/>
  <c r="J152" i="4"/>
  <c r="I152" i="4"/>
  <c r="H152" i="4"/>
  <c r="G152" i="4"/>
  <c r="F152" i="4"/>
  <c r="CL151" i="4"/>
  <c r="E151" i="4"/>
  <c r="D151" i="4"/>
  <c r="C151" i="4"/>
  <c r="CA151" i="4" s="1"/>
  <c r="CL150" i="4"/>
  <c r="E150" i="4"/>
  <c r="D150" i="4"/>
  <c r="C150" i="4"/>
  <c r="CA150" i="4" s="1"/>
  <c r="CL149" i="4"/>
  <c r="E149" i="4"/>
  <c r="D149" i="4"/>
  <c r="C149" i="4"/>
  <c r="CA149" i="4" s="1"/>
  <c r="CL148" i="4"/>
  <c r="E148" i="4"/>
  <c r="D148" i="4"/>
  <c r="C148" i="4"/>
  <c r="CA148" i="4" s="1"/>
  <c r="CL147" i="4"/>
  <c r="E147" i="4"/>
  <c r="D147" i="4"/>
  <c r="C147" i="4"/>
  <c r="CA147" i="4" s="1"/>
  <c r="CL146" i="4"/>
  <c r="E146" i="4"/>
  <c r="D146" i="4"/>
  <c r="C146" i="4"/>
  <c r="CA146" i="4" s="1"/>
  <c r="CL145" i="4"/>
  <c r="E145" i="4"/>
  <c r="D145" i="4"/>
  <c r="C145" i="4"/>
  <c r="CA145" i="4" s="1"/>
  <c r="CL144" i="4"/>
  <c r="E144" i="4"/>
  <c r="D144" i="4"/>
  <c r="C144" i="4"/>
  <c r="CA144" i="4" s="1"/>
  <c r="CL143" i="4"/>
  <c r="E143" i="4"/>
  <c r="D143" i="4"/>
  <c r="C143" i="4"/>
  <c r="CA143" i="4" s="1"/>
  <c r="CL142" i="4"/>
  <c r="E142" i="4"/>
  <c r="D142" i="4"/>
  <c r="C142" i="4"/>
  <c r="CA142" i="4" s="1"/>
  <c r="CL141" i="4"/>
  <c r="E141" i="4"/>
  <c r="D141" i="4"/>
  <c r="C141" i="4"/>
  <c r="CA141" i="4" s="1"/>
  <c r="CL140" i="4"/>
  <c r="E140" i="4"/>
  <c r="D140" i="4"/>
  <c r="C140" i="4"/>
  <c r="CA140" i="4" s="1"/>
  <c r="CL139" i="4"/>
  <c r="E139" i="4"/>
  <c r="D139" i="4"/>
  <c r="C139" i="4"/>
  <c r="CA139" i="4" s="1"/>
  <c r="CL138" i="4"/>
  <c r="E138" i="4"/>
  <c r="D138" i="4"/>
  <c r="C138" i="4"/>
  <c r="CA138" i="4" s="1"/>
  <c r="CL137" i="4"/>
  <c r="E137" i="4"/>
  <c r="D137" i="4"/>
  <c r="C137" i="4"/>
  <c r="CA137" i="4" s="1"/>
  <c r="CL136" i="4"/>
  <c r="E136" i="4"/>
  <c r="D136" i="4"/>
  <c r="C136" i="4"/>
  <c r="CA136" i="4" s="1"/>
  <c r="CL135" i="4"/>
  <c r="E135" i="4"/>
  <c r="D135" i="4"/>
  <c r="C135" i="4"/>
  <c r="CA135" i="4" s="1"/>
  <c r="CL134" i="4"/>
  <c r="E134" i="4"/>
  <c r="D134" i="4"/>
  <c r="C134" i="4"/>
  <c r="CA134" i="4" s="1"/>
  <c r="E133" i="4"/>
  <c r="D133" i="4"/>
  <c r="C133" i="4" s="1"/>
  <c r="E132" i="4"/>
  <c r="D132" i="4"/>
  <c r="C132" i="4" s="1"/>
  <c r="E131" i="4"/>
  <c r="D131" i="4"/>
  <c r="C131" i="4" s="1"/>
  <c r="E130" i="4"/>
  <c r="D130" i="4"/>
  <c r="C130" i="4" s="1"/>
  <c r="E129" i="4"/>
  <c r="D129" i="4"/>
  <c r="C129" i="4" s="1"/>
  <c r="E128" i="4"/>
  <c r="D128" i="4"/>
  <c r="C128" i="4" s="1"/>
  <c r="E127" i="4"/>
  <c r="D127" i="4"/>
  <c r="C127" i="4" s="1"/>
  <c r="E126" i="4"/>
  <c r="D126" i="4"/>
  <c r="C126" i="4" s="1"/>
  <c r="E125" i="4"/>
  <c r="D125" i="4"/>
  <c r="C125" i="4" s="1"/>
  <c r="E124" i="4"/>
  <c r="D124" i="4"/>
  <c r="C124" i="4" s="1"/>
  <c r="E123" i="4"/>
  <c r="D123" i="4"/>
  <c r="C123" i="4" s="1"/>
  <c r="E122" i="4"/>
  <c r="E152" i="4" s="1"/>
  <c r="D122" i="4"/>
  <c r="C122" i="4" s="1"/>
  <c r="E117" i="4"/>
  <c r="D117" i="4"/>
  <c r="C117" i="4" s="1"/>
  <c r="E116" i="4"/>
  <c r="D116" i="4"/>
  <c r="C116" i="4" s="1"/>
  <c r="E115" i="4"/>
  <c r="D115" i="4"/>
  <c r="C115" i="4" s="1"/>
  <c r="E114" i="4"/>
  <c r="D114" i="4"/>
  <c r="C114" i="4" s="1"/>
  <c r="E113" i="4"/>
  <c r="D113" i="4"/>
  <c r="C113" i="4" s="1"/>
  <c r="E112" i="4"/>
  <c r="D112" i="4"/>
  <c r="C112" i="4" s="1"/>
  <c r="E111" i="4"/>
  <c r="D111" i="4"/>
  <c r="C111" i="4" s="1"/>
  <c r="E110" i="4"/>
  <c r="D110" i="4"/>
  <c r="C110" i="4" s="1"/>
  <c r="E109" i="4"/>
  <c r="D109" i="4"/>
  <c r="C109" i="4"/>
  <c r="E108" i="4"/>
  <c r="D108" i="4"/>
  <c r="C108" i="4" s="1"/>
  <c r="E102" i="4"/>
  <c r="D102" i="4"/>
  <c r="C102" i="4" s="1"/>
  <c r="E101" i="4"/>
  <c r="D101" i="4"/>
  <c r="C101" i="4" s="1"/>
  <c r="E100" i="4"/>
  <c r="D100" i="4"/>
  <c r="C100" i="4"/>
  <c r="E99" i="4"/>
  <c r="D99" i="4"/>
  <c r="C99" i="4" s="1"/>
  <c r="E98" i="4"/>
  <c r="E97" i="4" s="1"/>
  <c r="D98" i="4"/>
  <c r="C98" i="4" s="1"/>
  <c r="C97" i="4" s="1"/>
  <c r="I97" i="4"/>
  <c r="H97" i="4"/>
  <c r="G97" i="4"/>
  <c r="F97" i="4"/>
  <c r="D97" i="4"/>
  <c r="CK93" i="4"/>
  <c r="CA93" i="4"/>
  <c r="I93" i="4"/>
  <c r="CK92" i="4"/>
  <c r="CA92" i="4"/>
  <c r="I92" i="4" s="1"/>
  <c r="CK91" i="4"/>
  <c r="CA91" i="4"/>
  <c r="I91" i="4" s="1"/>
  <c r="CK90" i="4"/>
  <c r="CA90" i="4"/>
  <c r="I90" i="4" s="1"/>
  <c r="CO87" i="4"/>
  <c r="CE87" i="4" s="1"/>
  <c r="CN87" i="4"/>
  <c r="CM87" i="4"/>
  <c r="CC87" i="4" s="1"/>
  <c r="CL87" i="4"/>
  <c r="CK87" i="4"/>
  <c r="CA87" i="4" s="1"/>
  <c r="G87" i="4" s="1"/>
  <c r="CD87" i="4"/>
  <c r="CB87" i="4"/>
  <c r="CO86" i="4"/>
  <c r="CN86" i="4"/>
  <c r="CD86" i="4" s="1"/>
  <c r="CM86" i="4"/>
  <c r="CL86" i="4"/>
  <c r="CB86" i="4" s="1"/>
  <c r="CK86" i="4"/>
  <c r="CE86" i="4"/>
  <c r="CC86" i="4"/>
  <c r="CA86" i="4"/>
  <c r="B79" i="4"/>
  <c r="D74" i="4"/>
  <c r="C74" i="4"/>
  <c r="B74" i="4"/>
  <c r="CB74" i="4" s="1"/>
  <c r="D73" i="4"/>
  <c r="C73" i="4"/>
  <c r="B73" i="4"/>
  <c r="CB73" i="4" s="1"/>
  <c r="D72" i="4"/>
  <c r="C72" i="4"/>
  <c r="B72" i="4"/>
  <c r="CB72" i="4" s="1"/>
  <c r="CA67" i="4"/>
  <c r="M67" i="4" s="1"/>
  <c r="C67" i="4"/>
  <c r="CB67" i="4" s="1"/>
  <c r="C66" i="4"/>
  <c r="CL66" i="4" s="1"/>
  <c r="CA65" i="4"/>
  <c r="C65" i="4"/>
  <c r="CB65" i="4" s="1"/>
  <c r="C64" i="4"/>
  <c r="CL64" i="4" s="1"/>
  <c r="CA63" i="4"/>
  <c r="C63" i="4"/>
  <c r="CB63" i="4" s="1"/>
  <c r="C62" i="4"/>
  <c r="CL62" i="4" s="1"/>
  <c r="CA61" i="4"/>
  <c r="C61" i="4"/>
  <c r="CB61" i="4" s="1"/>
  <c r="D57" i="4"/>
  <c r="B57" i="4" s="1"/>
  <c r="C57" i="4"/>
  <c r="D56" i="4"/>
  <c r="B56" i="4" s="1"/>
  <c r="C56" i="4"/>
  <c r="D55" i="4"/>
  <c r="B55" i="4" s="1"/>
  <c r="C55" i="4"/>
  <c r="J54" i="4"/>
  <c r="I54" i="4"/>
  <c r="H54" i="4"/>
  <c r="G54" i="4"/>
  <c r="F54" i="4"/>
  <c r="E54" i="4"/>
  <c r="C54" i="4" s="1"/>
  <c r="B54" i="4" s="1"/>
  <c r="D54" i="4"/>
  <c r="D49" i="4"/>
  <c r="C49" i="4"/>
  <c r="B49" i="4" s="1"/>
  <c r="D48" i="4"/>
  <c r="C48" i="4"/>
  <c r="B48" i="4" s="1"/>
  <c r="D47" i="4"/>
  <c r="C47" i="4"/>
  <c r="B47" i="4" s="1"/>
  <c r="D46" i="4"/>
  <c r="C46" i="4"/>
  <c r="B46" i="4" s="1"/>
  <c r="E41" i="4"/>
  <c r="D41" i="4"/>
  <c r="C41" i="4" s="1"/>
  <c r="E40" i="4"/>
  <c r="D40" i="4"/>
  <c r="C40" i="4" s="1"/>
  <c r="E39" i="4"/>
  <c r="D39" i="4"/>
  <c r="C39" i="4" s="1"/>
  <c r="E38" i="4"/>
  <c r="D38" i="4"/>
  <c r="C38" i="4" s="1"/>
  <c r="E37" i="4"/>
  <c r="D37" i="4"/>
  <c r="C37" i="4" s="1"/>
  <c r="E36" i="4"/>
  <c r="D36" i="4"/>
  <c r="C36" i="4" s="1"/>
  <c r="E35" i="4"/>
  <c r="D35" i="4"/>
  <c r="C35" i="4" s="1"/>
  <c r="E34" i="4"/>
  <c r="D34" i="4"/>
  <c r="C34" i="4" s="1"/>
  <c r="E33" i="4"/>
  <c r="D33" i="4"/>
  <c r="C33" i="4" s="1"/>
  <c r="E32" i="4"/>
  <c r="D32" i="4"/>
  <c r="C32" i="4" s="1"/>
  <c r="E31" i="4"/>
  <c r="D31" i="4"/>
  <c r="C31" i="4" s="1"/>
  <c r="E30" i="4"/>
  <c r="D30" i="4"/>
  <c r="C30" i="4" s="1"/>
  <c r="E29" i="4"/>
  <c r="D29" i="4"/>
  <c r="C29" i="4" s="1"/>
  <c r="E28" i="4"/>
  <c r="D28" i="4"/>
  <c r="C28" i="4" s="1"/>
  <c r="E27" i="4"/>
  <c r="D27" i="4"/>
  <c r="C27" i="4" s="1"/>
  <c r="E26" i="4"/>
  <c r="D26" i="4"/>
  <c r="C26" i="4" s="1"/>
  <c r="E25" i="4"/>
  <c r="D25" i="4"/>
  <c r="C25" i="4" s="1"/>
  <c r="E24" i="4"/>
  <c r="D24" i="4"/>
  <c r="C24" i="4" s="1"/>
  <c r="E23" i="4"/>
  <c r="D23" i="4"/>
  <c r="C23" i="4" s="1"/>
  <c r="E22" i="4"/>
  <c r="D22" i="4"/>
  <c r="C22" i="4" s="1"/>
  <c r="E21" i="4"/>
  <c r="D21" i="4"/>
  <c r="C21" i="4" s="1"/>
  <c r="E20" i="4"/>
  <c r="D20" i="4"/>
  <c r="C20" i="4" s="1"/>
  <c r="E15" i="4"/>
  <c r="D15" i="4"/>
  <c r="C15" i="4" s="1"/>
  <c r="E14" i="4"/>
  <c r="D14" i="4"/>
  <c r="C14" i="4" s="1"/>
  <c r="E13" i="4"/>
  <c r="D13" i="4"/>
  <c r="C13" i="4"/>
  <c r="A5" i="4"/>
  <c r="A3" i="4"/>
  <c r="A2" i="4"/>
  <c r="D35" i="3"/>
  <c r="C35" i="3"/>
  <c r="B35" i="3" s="1"/>
  <c r="D34" i="3"/>
  <c r="C34" i="3"/>
  <c r="B34" i="3" s="1"/>
  <c r="D30" i="3"/>
  <c r="C30" i="3"/>
  <c r="B30" i="3" s="1"/>
  <c r="D29" i="3"/>
  <c r="C29" i="3"/>
  <c r="B29" i="3" s="1"/>
  <c r="D25" i="3"/>
  <c r="C25" i="3"/>
  <c r="B25" i="3" s="1"/>
  <c r="D24" i="3"/>
  <c r="C24" i="3"/>
  <c r="B24" i="3" s="1"/>
  <c r="D23" i="3"/>
  <c r="C23" i="3"/>
  <c r="B23" i="3" s="1"/>
  <c r="D22" i="3"/>
  <c r="D21" i="3" s="1"/>
  <c r="C22" i="3"/>
  <c r="C21" i="3" s="1"/>
  <c r="AH21" i="3"/>
  <c r="AG21" i="3"/>
  <c r="AF21" i="3"/>
  <c r="AE21" i="3"/>
  <c r="AD21" i="3"/>
  <c r="AC21" i="3"/>
  <c r="AB21" i="3"/>
  <c r="AA21" i="3"/>
  <c r="Z21" i="3"/>
  <c r="Y21" i="3"/>
  <c r="X21" i="3"/>
  <c r="W21" i="3"/>
  <c r="V21" i="3"/>
  <c r="U21" i="3"/>
  <c r="T21" i="3"/>
  <c r="S21" i="3"/>
  <c r="R21" i="3"/>
  <c r="Q21" i="3"/>
  <c r="P21" i="3"/>
  <c r="O21" i="3"/>
  <c r="N21" i="3"/>
  <c r="M21" i="3"/>
  <c r="L21" i="3"/>
  <c r="K21" i="3"/>
  <c r="J21" i="3"/>
  <c r="I21" i="3"/>
  <c r="H21" i="3"/>
  <c r="G21" i="3"/>
  <c r="F21" i="3"/>
  <c r="E21" i="3"/>
  <c r="D17" i="3"/>
  <c r="C17" i="3"/>
  <c r="B17" i="3"/>
  <c r="CB17" i="3" s="1"/>
  <c r="D16" i="3"/>
  <c r="C16" i="3"/>
  <c r="B16" i="3"/>
  <c r="CB16" i="3" s="1"/>
  <c r="D15" i="3"/>
  <c r="C15" i="3"/>
  <c r="B15" i="3"/>
  <c r="CB15" i="3" s="1"/>
  <c r="D14" i="3"/>
  <c r="C14" i="3"/>
  <c r="B14" i="3"/>
  <c r="CB14" i="3" s="1"/>
  <c r="D13" i="3"/>
  <c r="C13" i="3"/>
  <c r="B13" i="3"/>
  <c r="CB13" i="3" s="1"/>
  <c r="D12" i="3"/>
  <c r="D11" i="3" s="1"/>
  <c r="C12" i="3"/>
  <c r="B12" i="3"/>
  <c r="CB12" i="3" s="1"/>
  <c r="AH11" i="3"/>
  <c r="AG11" i="3"/>
  <c r="AF11" i="3"/>
  <c r="AE11" i="3"/>
  <c r="AD11" i="3"/>
  <c r="AC11" i="3"/>
  <c r="AB11" i="3"/>
  <c r="AA11" i="3"/>
  <c r="Z11" i="3"/>
  <c r="Y11" i="3"/>
  <c r="X11" i="3"/>
  <c r="W11" i="3"/>
  <c r="V11" i="3"/>
  <c r="U11" i="3"/>
  <c r="T11" i="3"/>
  <c r="S11" i="3"/>
  <c r="R11" i="3"/>
  <c r="Q11" i="3"/>
  <c r="P11" i="3"/>
  <c r="O11" i="3"/>
  <c r="N11" i="3"/>
  <c r="M11" i="3"/>
  <c r="L11" i="3"/>
  <c r="K11" i="3"/>
  <c r="J11" i="3"/>
  <c r="I11" i="3"/>
  <c r="H11" i="3"/>
  <c r="G11" i="3"/>
  <c r="F11" i="3"/>
  <c r="E11" i="3"/>
  <c r="C11" i="3"/>
  <c r="A5" i="3"/>
  <c r="A3" i="3"/>
  <c r="A2" i="3"/>
  <c r="I200" i="2"/>
  <c r="H200" i="2"/>
  <c r="G200" i="2"/>
  <c r="F200" i="2"/>
  <c r="E200" i="2"/>
  <c r="D200" i="2"/>
  <c r="C200" i="2"/>
  <c r="B200" i="2"/>
  <c r="CV199" i="2"/>
  <c r="CU199" i="2"/>
  <c r="CB199" i="2"/>
  <c r="CA199" i="2"/>
  <c r="J199" i="2"/>
  <c r="CV198" i="2"/>
  <c r="CU198" i="2"/>
  <c r="CB198" i="2"/>
  <c r="CA198" i="2"/>
  <c r="J198" i="2" s="1"/>
  <c r="CV197" i="2"/>
  <c r="CU197" i="2"/>
  <c r="CB197" i="2"/>
  <c r="CA197" i="2"/>
  <c r="J197" i="2" s="1"/>
  <c r="CV196" i="2"/>
  <c r="CU196" i="2"/>
  <c r="CB196" i="2"/>
  <c r="CA196" i="2"/>
  <c r="J196" i="2" s="1"/>
  <c r="CV195" i="2"/>
  <c r="CU195" i="2"/>
  <c r="CB195" i="2"/>
  <c r="CA195" i="2"/>
  <c r="J195" i="2"/>
  <c r="CV194" i="2"/>
  <c r="CU194" i="2"/>
  <c r="CB194" i="2"/>
  <c r="CA194" i="2"/>
  <c r="J194" i="2" s="1"/>
  <c r="CV193" i="2"/>
  <c r="CU193" i="2"/>
  <c r="CB193" i="2"/>
  <c r="CA193" i="2"/>
  <c r="J193" i="2" s="1"/>
  <c r="CV192" i="2"/>
  <c r="CU192" i="2"/>
  <c r="CB192" i="2"/>
  <c r="CA192" i="2"/>
  <c r="J192" i="2" s="1"/>
  <c r="CV191" i="2"/>
  <c r="CU191" i="2"/>
  <c r="CB191" i="2"/>
  <c r="CA191" i="2"/>
  <c r="J191" i="2"/>
  <c r="CV190" i="2"/>
  <c r="CU190" i="2"/>
  <c r="CB190" i="2"/>
  <c r="CA190" i="2"/>
  <c r="J190" i="2" s="1"/>
  <c r="CV189" i="2"/>
  <c r="CU189" i="2"/>
  <c r="CB189" i="2"/>
  <c r="CA189" i="2"/>
  <c r="J189" i="2" s="1"/>
  <c r="I183" i="2"/>
  <c r="H183" i="2"/>
  <c r="G183" i="2"/>
  <c r="F183" i="2"/>
  <c r="E183" i="2"/>
  <c r="D183" i="2"/>
  <c r="C183" i="2"/>
  <c r="B183" i="2"/>
  <c r="CV182" i="2"/>
  <c r="CU182" i="2"/>
  <c r="CB182" i="2"/>
  <c r="CA182" i="2"/>
  <c r="J182" i="2" s="1"/>
  <c r="CV181" i="2"/>
  <c r="CU181" i="2"/>
  <c r="CB181" i="2"/>
  <c r="CA181" i="2"/>
  <c r="J181" i="2"/>
  <c r="CV180" i="2"/>
  <c r="CU180" i="2"/>
  <c r="CB180" i="2"/>
  <c r="CA180" i="2"/>
  <c r="J180" i="2" s="1"/>
  <c r="CV179" i="2"/>
  <c r="CU179" i="2"/>
  <c r="CB179" i="2"/>
  <c r="CA179" i="2"/>
  <c r="J179" i="2" s="1"/>
  <c r="CV178" i="2"/>
  <c r="CU178" i="2"/>
  <c r="CB178" i="2"/>
  <c r="CA178" i="2"/>
  <c r="J178" i="2" s="1"/>
  <c r="CV177" i="2"/>
  <c r="CU177" i="2"/>
  <c r="CB177" i="2"/>
  <c r="CA177" i="2"/>
  <c r="J177" i="2"/>
  <c r="CV176" i="2"/>
  <c r="CU176" i="2"/>
  <c r="CB176" i="2"/>
  <c r="CA176" i="2"/>
  <c r="J176" i="2" s="1"/>
  <c r="CV175" i="2"/>
  <c r="CU175" i="2"/>
  <c r="CB175" i="2"/>
  <c r="CA175" i="2"/>
  <c r="J175" i="2" s="1"/>
  <c r="CV174" i="2"/>
  <c r="CU174" i="2"/>
  <c r="CB174" i="2"/>
  <c r="CA174" i="2"/>
  <c r="J174" i="2" s="1"/>
  <c r="CV173" i="2"/>
  <c r="CU173" i="2"/>
  <c r="CB173" i="2"/>
  <c r="CA173" i="2"/>
  <c r="J173" i="2"/>
  <c r="CV172" i="2"/>
  <c r="CU172" i="2"/>
  <c r="CB172" i="2"/>
  <c r="CA172" i="2"/>
  <c r="J172" i="2" s="1"/>
  <c r="N166" i="2"/>
  <c r="M166" i="2"/>
  <c r="L166" i="2"/>
  <c r="K166" i="2"/>
  <c r="J166" i="2"/>
  <c r="I166" i="2"/>
  <c r="H166" i="2"/>
  <c r="G166" i="2"/>
  <c r="F166" i="2"/>
  <c r="E166" i="2"/>
  <c r="D166" i="2"/>
  <c r="C166" i="2"/>
  <c r="B166" i="2"/>
  <c r="CU165" i="2"/>
  <c r="CA165" i="2"/>
  <c r="O165" i="2" s="1"/>
  <c r="CU164" i="2"/>
  <c r="CA164" i="2"/>
  <c r="O164" i="2"/>
  <c r="CU163" i="2"/>
  <c r="CA163" i="2"/>
  <c r="O163" i="2" s="1"/>
  <c r="CU162" i="2"/>
  <c r="CA162" i="2"/>
  <c r="O162" i="2" s="1"/>
  <c r="CU161" i="2"/>
  <c r="CA161" i="2"/>
  <c r="O161" i="2" s="1"/>
  <c r="CU160" i="2"/>
  <c r="CA160" i="2"/>
  <c r="O160" i="2"/>
  <c r="CU159" i="2"/>
  <c r="CA159" i="2"/>
  <c r="O159" i="2" s="1"/>
  <c r="CU158" i="2"/>
  <c r="CA158" i="2"/>
  <c r="O158" i="2" s="1"/>
  <c r="CU157" i="2"/>
  <c r="CA157" i="2"/>
  <c r="O157" i="2" s="1"/>
  <c r="CU156" i="2"/>
  <c r="CA156" i="2"/>
  <c r="O156" i="2"/>
  <c r="CU155" i="2"/>
  <c r="CA155" i="2"/>
  <c r="O155" i="2" s="1"/>
  <c r="L149" i="2"/>
  <c r="K149" i="2"/>
  <c r="J149" i="2"/>
  <c r="I149" i="2"/>
  <c r="H149" i="2"/>
  <c r="G149" i="2"/>
  <c r="F149" i="2"/>
  <c r="E149" i="2"/>
  <c r="D149" i="2"/>
  <c r="C149" i="2"/>
  <c r="B149" i="2" s="1"/>
  <c r="CA148" i="2"/>
  <c r="M148" i="2" s="1"/>
  <c r="B148" i="2"/>
  <c r="CU148" i="2" s="1"/>
  <c r="CA147" i="2"/>
  <c r="M147" i="2" s="1"/>
  <c r="B147" i="2"/>
  <c r="CU147" i="2" s="1"/>
  <c r="CA146" i="2"/>
  <c r="M146" i="2" s="1"/>
  <c r="B146" i="2"/>
  <c r="CU146" i="2" s="1"/>
  <c r="CA145" i="2"/>
  <c r="M145" i="2" s="1"/>
  <c r="B145" i="2"/>
  <c r="CU145" i="2" s="1"/>
  <c r="CA144" i="2"/>
  <c r="M144" i="2" s="1"/>
  <c r="B144" i="2"/>
  <c r="CU144" i="2" s="1"/>
  <c r="CA143" i="2"/>
  <c r="M143" i="2" s="1"/>
  <c r="B143" i="2"/>
  <c r="CU143" i="2" s="1"/>
  <c r="CA142" i="2"/>
  <c r="M142" i="2" s="1"/>
  <c r="B142" i="2"/>
  <c r="CU142" i="2" s="1"/>
  <c r="CA141" i="2"/>
  <c r="M141" i="2" s="1"/>
  <c r="B141" i="2"/>
  <c r="CU141" i="2" s="1"/>
  <c r="CA140" i="2"/>
  <c r="M140" i="2" s="1"/>
  <c r="B140" i="2"/>
  <c r="CU140" i="2" s="1"/>
  <c r="CA139" i="2"/>
  <c r="M139" i="2" s="1"/>
  <c r="B139" i="2"/>
  <c r="CU139" i="2" s="1"/>
  <c r="CA138" i="2"/>
  <c r="M138" i="2" s="1"/>
  <c r="B138" i="2"/>
  <c r="CU138" i="2" s="1"/>
  <c r="CA137" i="2"/>
  <c r="M137" i="2" s="1"/>
  <c r="B137" i="2"/>
  <c r="CU137" i="2" s="1"/>
  <c r="CA136" i="2"/>
  <c r="M136" i="2" s="1"/>
  <c r="B136" i="2"/>
  <c r="CU136" i="2" s="1"/>
  <c r="L130" i="2"/>
  <c r="K130" i="2"/>
  <c r="J130" i="2"/>
  <c r="I130" i="2"/>
  <c r="H130" i="2"/>
  <c r="G130" i="2"/>
  <c r="F130" i="2"/>
  <c r="E130" i="2"/>
  <c r="D130" i="2"/>
  <c r="C130" i="2"/>
  <c r="B130" i="2" s="1"/>
  <c r="B129" i="2"/>
  <c r="CA129" i="2" s="1"/>
  <c r="M129" i="2" s="1"/>
  <c r="B128" i="2"/>
  <c r="CA128" i="2" s="1"/>
  <c r="M128" i="2" s="1"/>
  <c r="B127" i="2"/>
  <c r="CA127" i="2" s="1"/>
  <c r="M127" i="2" s="1"/>
  <c r="B126" i="2"/>
  <c r="CA126" i="2" s="1"/>
  <c r="M126" i="2" s="1"/>
  <c r="B125" i="2"/>
  <c r="CA125" i="2" s="1"/>
  <c r="M125" i="2" s="1"/>
  <c r="B124" i="2"/>
  <c r="CA124" i="2" s="1"/>
  <c r="M124" i="2" s="1"/>
  <c r="B123" i="2"/>
  <c r="CA123" i="2" s="1"/>
  <c r="M123" i="2" s="1"/>
  <c r="B122" i="2"/>
  <c r="CA122" i="2" s="1"/>
  <c r="M122" i="2" s="1"/>
  <c r="B121" i="2"/>
  <c r="CA121" i="2" s="1"/>
  <c r="M121" i="2" s="1"/>
  <c r="B120" i="2"/>
  <c r="CA120" i="2" s="1"/>
  <c r="M120" i="2" s="1"/>
  <c r="B119" i="2"/>
  <c r="CA119" i="2" s="1"/>
  <c r="M119" i="2" s="1"/>
  <c r="B118" i="2"/>
  <c r="CA118" i="2" s="1"/>
  <c r="M118" i="2" s="1"/>
  <c r="B117" i="2"/>
  <c r="CA117" i="2" s="1"/>
  <c r="M117" i="2" s="1"/>
  <c r="L111" i="2"/>
  <c r="K111" i="2"/>
  <c r="J111" i="2"/>
  <c r="I111" i="2"/>
  <c r="H111" i="2"/>
  <c r="G111" i="2"/>
  <c r="F111" i="2"/>
  <c r="E111" i="2"/>
  <c r="D111" i="2"/>
  <c r="C111" i="2"/>
  <c r="B111" i="2"/>
  <c r="B110" i="2"/>
  <c r="CU110" i="2" s="1"/>
  <c r="B109" i="2"/>
  <c r="CU109" i="2" s="1"/>
  <c r="B108" i="2"/>
  <c r="CU108" i="2" s="1"/>
  <c r="B107" i="2"/>
  <c r="CU107" i="2" s="1"/>
  <c r="B106" i="2"/>
  <c r="CU106" i="2" s="1"/>
  <c r="B105" i="2"/>
  <c r="CU105" i="2" s="1"/>
  <c r="B104" i="2"/>
  <c r="CU104" i="2" s="1"/>
  <c r="B103" i="2"/>
  <c r="CU103" i="2" s="1"/>
  <c r="B102" i="2"/>
  <c r="CU102" i="2" s="1"/>
  <c r="B101" i="2"/>
  <c r="CU101" i="2" s="1"/>
  <c r="B100" i="2"/>
  <c r="CU100" i="2" s="1"/>
  <c r="B99" i="2"/>
  <c r="CU99" i="2" s="1"/>
  <c r="B98" i="2"/>
  <c r="CU98" i="2" s="1"/>
  <c r="D93" i="2"/>
  <c r="C93" i="2"/>
  <c r="B93" i="2"/>
  <c r="CB93" i="2" s="1"/>
  <c r="D92" i="2"/>
  <c r="C92" i="2"/>
  <c r="B92" i="2"/>
  <c r="CB92" i="2" s="1"/>
  <c r="D91" i="2"/>
  <c r="C91" i="2"/>
  <c r="B91" i="2"/>
  <c r="CB91" i="2" s="1"/>
  <c r="D90" i="2"/>
  <c r="C90" i="2"/>
  <c r="B90" i="2"/>
  <c r="CB90" i="2" s="1"/>
  <c r="D89" i="2"/>
  <c r="C89" i="2"/>
  <c r="B89" i="2"/>
  <c r="CB89" i="2" s="1"/>
  <c r="D88" i="2"/>
  <c r="C88" i="2"/>
  <c r="B88" i="2"/>
  <c r="CB88" i="2" s="1"/>
  <c r="CU82" i="2"/>
  <c r="CA82" i="2"/>
  <c r="B82" i="2"/>
  <c r="CV82" i="2" s="1"/>
  <c r="B81" i="2"/>
  <c r="CX81" i="2" s="1"/>
  <c r="CU80" i="2"/>
  <c r="CA80" i="2"/>
  <c r="B80" i="2"/>
  <c r="CV80" i="2" s="1"/>
  <c r="B79" i="2"/>
  <c r="CX79" i="2" s="1"/>
  <c r="CU78" i="2"/>
  <c r="CA78" i="2"/>
  <c r="B78" i="2"/>
  <c r="CV78" i="2" s="1"/>
  <c r="L74" i="2"/>
  <c r="K74" i="2"/>
  <c r="J74" i="2"/>
  <c r="I74" i="2"/>
  <c r="H74" i="2"/>
  <c r="G74" i="2"/>
  <c r="E74" i="2"/>
  <c r="D74" i="2"/>
  <c r="CU73" i="2"/>
  <c r="CA73" i="2"/>
  <c r="F73" i="2"/>
  <c r="CX73" i="2" s="1"/>
  <c r="C73" i="2"/>
  <c r="CV73" i="2" s="1"/>
  <c r="CX72" i="2"/>
  <c r="CD72" i="2"/>
  <c r="F72" i="2"/>
  <c r="C72" i="2"/>
  <c r="CU72" i="2" s="1"/>
  <c r="F71" i="2"/>
  <c r="CW71" i="2" s="1"/>
  <c r="C71" i="2"/>
  <c r="CX71" i="2" s="1"/>
  <c r="F70" i="2"/>
  <c r="F74" i="2" s="1"/>
  <c r="C70" i="2"/>
  <c r="CW70" i="2" s="1"/>
  <c r="E66" i="2"/>
  <c r="D66" i="2"/>
  <c r="C66" i="2"/>
  <c r="CB66" i="2" s="1"/>
  <c r="E65" i="2"/>
  <c r="D65" i="2"/>
  <c r="C65" i="2"/>
  <c r="CB65" i="2" s="1"/>
  <c r="E64" i="2"/>
  <c r="D64" i="2"/>
  <c r="C64" i="2"/>
  <c r="CB64" i="2" s="1"/>
  <c r="E63" i="2"/>
  <c r="D63" i="2"/>
  <c r="C63" i="2"/>
  <c r="CB63" i="2" s="1"/>
  <c r="E62" i="2"/>
  <c r="D62" i="2"/>
  <c r="C62" i="2"/>
  <c r="CB62" i="2" s="1"/>
  <c r="E61" i="2"/>
  <c r="D61" i="2"/>
  <c r="C61" i="2"/>
  <c r="CB61" i="2" s="1"/>
  <c r="E60" i="2"/>
  <c r="D60" i="2"/>
  <c r="C60" i="2"/>
  <c r="CB60" i="2" s="1"/>
  <c r="E59" i="2"/>
  <c r="D59" i="2"/>
  <c r="C59" i="2"/>
  <c r="CB59" i="2" s="1"/>
  <c r="E58" i="2"/>
  <c r="D58" i="2"/>
  <c r="C58" i="2"/>
  <c r="CB58" i="2" s="1"/>
  <c r="E57" i="2"/>
  <c r="D57" i="2"/>
  <c r="C57" i="2"/>
  <c r="CB57" i="2" s="1"/>
  <c r="E56" i="2"/>
  <c r="D56" i="2"/>
  <c r="C56" i="2"/>
  <c r="CB56" i="2" s="1"/>
  <c r="E55" i="2"/>
  <c r="D55" i="2"/>
  <c r="C55" i="2"/>
  <c r="CB55" i="2" s="1"/>
  <c r="E54" i="2"/>
  <c r="D54" i="2"/>
  <c r="C54" i="2"/>
  <c r="CB54" i="2" s="1"/>
  <c r="E53" i="2"/>
  <c r="D53" i="2"/>
  <c r="C53" i="2"/>
  <c r="CB53" i="2" s="1"/>
  <c r="E52" i="2"/>
  <c r="D52" i="2"/>
  <c r="C52" i="2"/>
  <c r="CB52" i="2" s="1"/>
  <c r="E51" i="2"/>
  <c r="D51" i="2"/>
  <c r="C51" i="2"/>
  <c r="CB51" i="2" s="1"/>
  <c r="E50" i="2"/>
  <c r="D50" i="2"/>
  <c r="C50" i="2"/>
  <c r="CB50" i="2" s="1"/>
  <c r="E49" i="2"/>
  <c r="D49" i="2"/>
  <c r="C49" i="2"/>
  <c r="CB49" i="2" s="1"/>
  <c r="E48" i="2"/>
  <c r="D48" i="2"/>
  <c r="C48" i="2"/>
  <c r="CB48" i="2" s="1"/>
  <c r="E47" i="2"/>
  <c r="D47" i="2"/>
  <c r="C47" i="2"/>
  <c r="CB47" i="2" s="1"/>
  <c r="E46" i="2"/>
  <c r="D46" i="2"/>
  <c r="C46" i="2"/>
  <c r="CB46" i="2" s="1"/>
  <c r="E45" i="2"/>
  <c r="D45" i="2"/>
  <c r="C45" i="2"/>
  <c r="CB45" i="2" s="1"/>
  <c r="E44" i="2"/>
  <c r="D44" i="2"/>
  <c r="C44" i="2"/>
  <c r="CB44" i="2" s="1"/>
  <c r="CW39" i="2"/>
  <c r="CC39" i="2"/>
  <c r="C39" i="2"/>
  <c r="CZ39" i="2" s="1"/>
  <c r="CV38" i="2"/>
  <c r="CB38" i="2"/>
  <c r="C38" i="2"/>
  <c r="CZ38" i="2" s="1"/>
  <c r="CY37" i="2"/>
  <c r="CW37" i="2"/>
  <c r="CV37" i="2"/>
  <c r="CU37" i="2"/>
  <c r="CE37" i="2"/>
  <c r="CC37" i="2"/>
  <c r="CB37" i="2"/>
  <c r="CA37" i="2"/>
  <c r="C37" i="2"/>
  <c r="CZ37" i="2" s="1"/>
  <c r="CW36" i="2"/>
  <c r="CV36" i="2"/>
  <c r="CC36" i="2"/>
  <c r="CB36" i="2"/>
  <c r="C36" i="2"/>
  <c r="DB36" i="2" s="1"/>
  <c r="DE32" i="2"/>
  <c r="DD32" i="2"/>
  <c r="CZ32" i="2"/>
  <c r="CX32" i="2"/>
  <c r="CU32" i="2"/>
  <c r="CK32" i="2"/>
  <c r="CJ32" i="2"/>
  <c r="CF32" i="2"/>
  <c r="CD32" i="2"/>
  <c r="CA32" i="2"/>
  <c r="C32" i="2"/>
  <c r="DA32" i="2" s="1"/>
  <c r="DE31" i="2"/>
  <c r="DD31" i="2"/>
  <c r="CX31" i="2"/>
  <c r="CK31" i="2"/>
  <c r="CJ31" i="2"/>
  <c r="CD31" i="2"/>
  <c r="C31" i="2"/>
  <c r="DG31" i="2" s="1"/>
  <c r="DD30" i="2"/>
  <c r="DB30" i="2"/>
  <c r="CJ30" i="2"/>
  <c r="CA30" i="2"/>
  <c r="C30" i="2"/>
  <c r="DC30" i="2" s="1"/>
  <c r="DD29" i="2"/>
  <c r="CJ29" i="2"/>
  <c r="C29" i="2"/>
  <c r="DF29" i="2" s="1"/>
  <c r="DD28" i="2"/>
  <c r="CX28" i="2"/>
  <c r="CJ28" i="2"/>
  <c r="CD28" i="2"/>
  <c r="C28" i="2"/>
  <c r="DC28" i="2" s="1"/>
  <c r="DD27" i="2"/>
  <c r="CX27" i="2"/>
  <c r="CJ27" i="2"/>
  <c r="CD27" i="2"/>
  <c r="C27" i="2"/>
  <c r="DC27" i="2" s="1"/>
  <c r="C26" i="2"/>
  <c r="DA26" i="2" s="1"/>
  <c r="C25" i="2"/>
  <c r="DA25" i="2" s="1"/>
  <c r="C24" i="2"/>
  <c r="DA24" i="2" s="1"/>
  <c r="C23" i="2"/>
  <c r="DA23" i="2" s="1"/>
  <c r="DD22" i="2"/>
  <c r="DB22" i="2"/>
  <c r="CW22" i="2"/>
  <c r="CJ22" i="2"/>
  <c r="CF22" i="2"/>
  <c r="CA22" i="2"/>
  <c r="C22" i="2"/>
  <c r="DC22" i="2" s="1"/>
  <c r="DD21" i="2"/>
  <c r="CJ21" i="2"/>
  <c r="C21" i="2"/>
  <c r="DF21" i="2" s="1"/>
  <c r="DD20" i="2"/>
  <c r="DB20" i="2"/>
  <c r="CW20" i="2"/>
  <c r="CJ20" i="2"/>
  <c r="CF20" i="2"/>
  <c r="CA20" i="2"/>
  <c r="C20" i="2"/>
  <c r="DC20" i="2" s="1"/>
  <c r="DD19" i="2"/>
  <c r="CJ19" i="2"/>
  <c r="C19" i="2"/>
  <c r="DF19" i="2" s="1"/>
  <c r="DD18" i="2"/>
  <c r="CJ18" i="2"/>
  <c r="C18" i="2"/>
  <c r="DC18" i="2" s="1"/>
  <c r="DD17" i="2"/>
  <c r="CJ17" i="2"/>
  <c r="C17" i="2"/>
  <c r="DC17" i="2" s="1"/>
  <c r="DD16" i="2"/>
  <c r="CJ16" i="2"/>
  <c r="C16" i="2"/>
  <c r="DC16" i="2" s="1"/>
  <c r="DD15" i="2"/>
  <c r="CJ15" i="2"/>
  <c r="C15" i="2"/>
  <c r="DC15" i="2" s="1"/>
  <c r="DD14" i="2"/>
  <c r="CJ14" i="2"/>
  <c r="C14" i="2"/>
  <c r="DC14" i="2" s="1"/>
  <c r="DD13" i="2"/>
  <c r="CJ13" i="2"/>
  <c r="C13" i="2"/>
  <c r="DC13" i="2" s="1"/>
  <c r="DE12" i="2"/>
  <c r="DD12" i="2"/>
  <c r="CX12" i="2"/>
  <c r="CK12" i="2"/>
  <c r="CJ12" i="2"/>
  <c r="CD12" i="2"/>
  <c r="C12" i="2"/>
  <c r="CZ12" i="2" s="1"/>
  <c r="DE11" i="2"/>
  <c r="DD11" i="2"/>
  <c r="CX11" i="2"/>
  <c r="CK11" i="2"/>
  <c r="CJ11" i="2"/>
  <c r="CD11" i="2"/>
  <c r="C11" i="2"/>
  <c r="A258" i="2" s="1"/>
  <c r="E5" i="29" s="1"/>
  <c r="A5" i="2"/>
  <c r="A3" i="2"/>
  <c r="A2" i="2"/>
  <c r="X25" i="1"/>
  <c r="W26" i="1" s="1"/>
  <c r="X24" i="1"/>
  <c r="X10" i="1"/>
  <c r="C6" i="1" s="1"/>
  <c r="W10" i="1"/>
  <c r="W3" i="1"/>
  <c r="I3" i="1"/>
  <c r="W2" i="1"/>
  <c r="I2" i="1"/>
  <c r="R123" i="14"/>
  <c r="Q123" i="14"/>
  <c r="P123" i="14"/>
  <c r="O123" i="14"/>
  <c r="N123" i="14"/>
  <c r="M123" i="14"/>
  <c r="L123" i="14"/>
  <c r="K123" i="14"/>
  <c r="J123" i="14"/>
  <c r="I123" i="14"/>
  <c r="H123" i="14"/>
  <c r="G123" i="14"/>
  <c r="F123" i="14"/>
  <c r="E123" i="14"/>
  <c r="D123" i="14"/>
  <c r="B123" i="14"/>
  <c r="CR122" i="14"/>
  <c r="CP122" i="14"/>
  <c r="CN122" i="14"/>
  <c r="CM122" i="14"/>
  <c r="CG122" i="14"/>
  <c r="CE122" i="14"/>
  <c r="CC122" i="14"/>
  <c r="CB122" i="14"/>
  <c r="CA122" i="14"/>
  <c r="C122" i="14"/>
  <c r="CS122" i="14" s="1"/>
  <c r="CS121" i="14"/>
  <c r="CO121" i="14"/>
  <c r="CN121" i="14"/>
  <c r="CM121" i="14"/>
  <c r="CF121" i="14"/>
  <c r="CB121" i="14"/>
  <c r="CA121" i="14"/>
  <c r="C121" i="14"/>
  <c r="CR121" i="14" s="1"/>
  <c r="CR120" i="14"/>
  <c r="CP120" i="14"/>
  <c r="CN120" i="14"/>
  <c r="CM120" i="14"/>
  <c r="CG120" i="14"/>
  <c r="CE120" i="14"/>
  <c r="CC120" i="14"/>
  <c r="CB120" i="14"/>
  <c r="CA120" i="14"/>
  <c r="C120" i="14"/>
  <c r="CQ120" i="14" s="1"/>
  <c r="CN119" i="14"/>
  <c r="CM119" i="14"/>
  <c r="CB119" i="14"/>
  <c r="CA119" i="14"/>
  <c r="C119" i="14"/>
  <c r="CP119" i="14" s="1"/>
  <c r="CR118" i="14"/>
  <c r="CP118" i="14"/>
  <c r="CN118" i="14"/>
  <c r="CM118" i="14"/>
  <c r="CG118" i="14"/>
  <c r="CE118" i="14"/>
  <c r="CC118" i="14"/>
  <c r="CB118" i="14"/>
  <c r="CA118" i="14"/>
  <c r="C118" i="14"/>
  <c r="CS118" i="14" s="1"/>
  <c r="CS117" i="14"/>
  <c r="CO117" i="14"/>
  <c r="CN117" i="14"/>
  <c r="CM117" i="14"/>
  <c r="CF117" i="14"/>
  <c r="CB117" i="14"/>
  <c r="CA117" i="14"/>
  <c r="C117" i="14"/>
  <c r="CR117" i="14" s="1"/>
  <c r="CR116" i="14"/>
  <c r="CP116" i="14"/>
  <c r="CN116" i="14"/>
  <c r="CM116" i="14"/>
  <c r="CG116" i="14"/>
  <c r="CE116" i="14"/>
  <c r="CC116" i="14"/>
  <c r="CB116" i="14"/>
  <c r="CA116" i="14"/>
  <c r="C116" i="14"/>
  <c r="CQ116" i="14" s="1"/>
  <c r="CN115" i="14"/>
  <c r="CM115" i="14"/>
  <c r="CB115" i="14"/>
  <c r="CA115" i="14"/>
  <c r="C115" i="14"/>
  <c r="CP115" i="14" s="1"/>
  <c r="CR114" i="14"/>
  <c r="CP114" i="14"/>
  <c r="CN114" i="14"/>
  <c r="CM114" i="14"/>
  <c r="CG114" i="14"/>
  <c r="CE114" i="14"/>
  <c r="CC114" i="14"/>
  <c r="CB114" i="14"/>
  <c r="CA114" i="14"/>
  <c r="C114" i="14"/>
  <c r="CS114" i="14" s="1"/>
  <c r="CS113" i="14"/>
  <c r="CO113" i="14"/>
  <c r="CN113" i="14"/>
  <c r="CM113" i="14"/>
  <c r="CF113" i="14"/>
  <c r="CB113" i="14"/>
  <c r="CA113" i="14"/>
  <c r="C113" i="14"/>
  <c r="CR113" i="14" s="1"/>
  <c r="T109" i="14"/>
  <c r="S109" i="14"/>
  <c r="R109" i="14"/>
  <c r="Q109" i="14"/>
  <c r="P109" i="14"/>
  <c r="O109" i="14"/>
  <c r="N109" i="14"/>
  <c r="M109" i="14"/>
  <c r="L109" i="14"/>
  <c r="J109" i="14"/>
  <c r="I109" i="14"/>
  <c r="H109" i="14"/>
  <c r="G109" i="14"/>
  <c r="F109" i="14"/>
  <c r="E109" i="14"/>
  <c r="D109" i="14"/>
  <c r="C109" i="14"/>
  <c r="CS108" i="14"/>
  <c r="CQ108" i="14"/>
  <c r="CO108" i="14"/>
  <c r="CN108" i="14"/>
  <c r="CM108" i="14"/>
  <c r="CF108" i="14"/>
  <c r="CE108" i="14"/>
  <c r="CD108" i="14"/>
  <c r="CB108" i="14"/>
  <c r="CA108" i="14"/>
  <c r="K108" i="14"/>
  <c r="CP108" i="14" s="1"/>
  <c r="B108" i="14"/>
  <c r="CR107" i="14"/>
  <c r="CN107" i="14"/>
  <c r="CM107" i="14"/>
  <c r="CE107" i="14"/>
  <c r="CB107" i="14"/>
  <c r="CA107" i="14"/>
  <c r="K107" i="14"/>
  <c r="CQ107" i="14" s="1"/>
  <c r="B107" i="14"/>
  <c r="CS106" i="14"/>
  <c r="CQ106" i="14"/>
  <c r="CO106" i="14"/>
  <c r="CN106" i="14"/>
  <c r="CM106" i="14"/>
  <c r="CF106" i="14"/>
  <c r="CD106" i="14"/>
  <c r="CB106" i="14"/>
  <c r="CA106" i="14"/>
  <c r="K106" i="14"/>
  <c r="CR106" i="14" s="1"/>
  <c r="B106" i="14"/>
  <c r="CN105" i="14"/>
  <c r="CM105" i="14"/>
  <c r="CB105" i="14"/>
  <c r="CA105" i="14"/>
  <c r="K105" i="14"/>
  <c r="CS105" i="14" s="1"/>
  <c r="B105" i="14"/>
  <c r="CS104" i="14"/>
  <c r="CQ104" i="14"/>
  <c r="CO104" i="14"/>
  <c r="CN104" i="14"/>
  <c r="CM104" i="14"/>
  <c r="CF104" i="14"/>
  <c r="CD104" i="14"/>
  <c r="CB104" i="14"/>
  <c r="CA104" i="14"/>
  <c r="K104" i="14"/>
  <c r="CP104" i="14" s="1"/>
  <c r="B104" i="14"/>
  <c r="CR103" i="14"/>
  <c r="CN103" i="14"/>
  <c r="CM103" i="14"/>
  <c r="CE103" i="14"/>
  <c r="CB103" i="14"/>
  <c r="CA103" i="14"/>
  <c r="K103" i="14"/>
  <c r="CQ103" i="14" s="1"/>
  <c r="B103" i="14"/>
  <c r="CS102" i="14"/>
  <c r="CQ102" i="14"/>
  <c r="CO102" i="14"/>
  <c r="CN102" i="14"/>
  <c r="CM102" i="14"/>
  <c r="CF102" i="14"/>
  <c r="CE102" i="14"/>
  <c r="CD102" i="14"/>
  <c r="CB102" i="14"/>
  <c r="CA102" i="14"/>
  <c r="K102" i="14"/>
  <c r="CR102" i="14" s="1"/>
  <c r="B102" i="14"/>
  <c r="CN101" i="14"/>
  <c r="CM101" i="14"/>
  <c r="CB101" i="14"/>
  <c r="CA101" i="14"/>
  <c r="K101" i="14"/>
  <c r="CS101" i="14" s="1"/>
  <c r="B101" i="14"/>
  <c r="CS100" i="14"/>
  <c r="CQ100" i="14"/>
  <c r="CO100" i="14"/>
  <c r="CN100" i="14"/>
  <c r="CM100" i="14"/>
  <c r="CF100" i="14"/>
  <c r="CD100" i="14"/>
  <c r="CB100" i="14"/>
  <c r="CA100" i="14"/>
  <c r="K100" i="14"/>
  <c r="CP100" i="14" s="1"/>
  <c r="B100" i="14"/>
  <c r="CR99" i="14"/>
  <c r="CN99" i="14"/>
  <c r="CM99" i="14"/>
  <c r="CE99" i="14"/>
  <c r="CB99" i="14"/>
  <c r="CA99" i="14"/>
  <c r="K99" i="14"/>
  <c r="CQ99" i="14" s="1"/>
  <c r="B99" i="14"/>
  <c r="CS98" i="14"/>
  <c r="CQ98" i="14"/>
  <c r="CO98" i="14"/>
  <c r="CN98" i="14"/>
  <c r="CM98" i="14"/>
  <c r="CF98" i="14"/>
  <c r="CE98" i="14"/>
  <c r="CD98" i="14"/>
  <c r="CB98" i="14"/>
  <c r="CA98" i="14"/>
  <c r="K98" i="14"/>
  <c r="CR98" i="14" s="1"/>
  <c r="B98" i="14"/>
  <c r="CN97" i="14"/>
  <c r="CM97" i="14"/>
  <c r="CB97" i="14"/>
  <c r="CA97" i="14"/>
  <c r="K97" i="14"/>
  <c r="CS97" i="14" s="1"/>
  <c r="B97" i="14"/>
  <c r="B109" i="14" s="1"/>
  <c r="R92" i="14"/>
  <c r="Q92" i="14"/>
  <c r="P92" i="14"/>
  <c r="O92" i="14"/>
  <c r="N92" i="14"/>
  <c r="M92" i="14"/>
  <c r="L92" i="14"/>
  <c r="K92" i="14"/>
  <c r="J92" i="14"/>
  <c r="I92" i="14"/>
  <c r="H92" i="14"/>
  <c r="G92" i="14"/>
  <c r="F92" i="14"/>
  <c r="E92" i="14"/>
  <c r="D92" i="14"/>
  <c r="B92" i="14"/>
  <c r="CR91" i="14"/>
  <c r="CN91" i="14"/>
  <c r="CM91" i="14"/>
  <c r="CE91" i="14"/>
  <c r="CB91" i="14"/>
  <c r="CA91" i="14"/>
  <c r="C91" i="14"/>
  <c r="CQ91" i="14" s="1"/>
  <c r="CR90" i="14"/>
  <c r="CN90" i="14"/>
  <c r="CM90" i="14"/>
  <c r="CE90" i="14"/>
  <c r="CB90" i="14"/>
  <c r="CA90" i="14"/>
  <c r="C90" i="14"/>
  <c r="CQ90" i="14" s="1"/>
  <c r="CR89" i="14"/>
  <c r="CN89" i="14"/>
  <c r="CM89" i="14"/>
  <c r="CE89" i="14"/>
  <c r="CB89" i="14"/>
  <c r="CA89" i="14"/>
  <c r="C89" i="14"/>
  <c r="CQ89" i="14" s="1"/>
  <c r="CR88" i="14"/>
  <c r="CN88" i="14"/>
  <c r="CM88" i="14"/>
  <c r="CE88" i="14"/>
  <c r="CB88" i="14"/>
  <c r="CA88" i="14"/>
  <c r="C88" i="14"/>
  <c r="CQ88" i="14" s="1"/>
  <c r="CS87" i="14"/>
  <c r="CR87" i="14"/>
  <c r="CO87" i="14"/>
  <c r="CN87" i="14"/>
  <c r="CM87" i="14"/>
  <c r="CF87" i="14"/>
  <c r="CE87" i="14"/>
  <c r="CB87" i="14"/>
  <c r="CA87" i="14"/>
  <c r="C87" i="14"/>
  <c r="CQ87" i="14" s="1"/>
  <c r="CS86" i="14"/>
  <c r="CR86" i="14"/>
  <c r="CO86" i="14"/>
  <c r="CN86" i="14"/>
  <c r="CM86" i="14"/>
  <c r="CF86" i="14"/>
  <c r="CE86" i="14"/>
  <c r="CB86" i="14"/>
  <c r="CA86" i="14"/>
  <c r="C86" i="14"/>
  <c r="CQ86" i="14" s="1"/>
  <c r="CS85" i="14"/>
  <c r="CR85" i="14"/>
  <c r="CO85" i="14"/>
  <c r="CN85" i="14"/>
  <c r="CM85" i="14"/>
  <c r="CF85" i="14"/>
  <c r="CE85" i="14"/>
  <c r="CB85" i="14"/>
  <c r="CA85" i="14"/>
  <c r="C85" i="14"/>
  <c r="CQ85" i="14" s="1"/>
  <c r="CS84" i="14"/>
  <c r="CR84" i="14"/>
  <c r="CO84" i="14"/>
  <c r="CN84" i="14"/>
  <c r="CM84" i="14"/>
  <c r="CF84" i="14"/>
  <c r="CE84" i="14"/>
  <c r="CB84" i="14"/>
  <c r="CA84" i="14"/>
  <c r="C84" i="14"/>
  <c r="CQ84" i="14" s="1"/>
  <c r="CS83" i="14"/>
  <c r="CR83" i="14"/>
  <c r="CO83" i="14"/>
  <c r="CN83" i="14"/>
  <c r="CM83" i="14"/>
  <c r="CF83" i="14"/>
  <c r="CE83" i="14"/>
  <c r="CB83" i="14"/>
  <c r="CA83" i="14"/>
  <c r="C83" i="14"/>
  <c r="CQ83" i="14" s="1"/>
  <c r="CS82" i="14"/>
  <c r="CR82" i="14"/>
  <c r="CO82" i="14"/>
  <c r="CN82" i="14"/>
  <c r="CM82" i="14"/>
  <c r="CF82" i="14"/>
  <c r="CE82" i="14"/>
  <c r="CB82" i="14"/>
  <c r="CA82" i="14"/>
  <c r="C82" i="14"/>
  <c r="CQ82" i="14" s="1"/>
  <c r="CS81" i="14"/>
  <c r="CR81" i="14"/>
  <c r="CO81" i="14"/>
  <c r="CN81" i="14"/>
  <c r="CM81" i="14"/>
  <c r="CF81" i="14"/>
  <c r="CE81" i="14"/>
  <c r="CB81" i="14"/>
  <c r="CA81" i="14"/>
  <c r="C81" i="14"/>
  <c r="CQ81" i="14" s="1"/>
  <c r="CS80" i="14"/>
  <c r="CR80" i="14"/>
  <c r="CO80" i="14"/>
  <c r="CN80" i="14"/>
  <c r="CM80" i="14"/>
  <c r="CF80" i="14"/>
  <c r="CE80" i="14"/>
  <c r="CB80" i="14"/>
  <c r="CA80" i="14"/>
  <c r="C80" i="14"/>
  <c r="CQ80" i="14" s="1"/>
  <c r="CS79" i="14"/>
  <c r="CR79" i="14"/>
  <c r="CO79" i="14"/>
  <c r="CN79" i="14"/>
  <c r="CM79" i="14"/>
  <c r="CF79" i="14"/>
  <c r="CE79" i="14"/>
  <c r="CB79" i="14"/>
  <c r="CA79" i="14"/>
  <c r="C79" i="14"/>
  <c r="CQ79" i="14" s="1"/>
  <c r="CS78" i="14"/>
  <c r="CR78" i="14"/>
  <c r="CO78" i="14"/>
  <c r="CN78" i="14"/>
  <c r="CM78" i="14"/>
  <c r="CF78" i="14"/>
  <c r="CE78" i="14"/>
  <c r="CB78" i="14"/>
  <c r="CA78" i="14"/>
  <c r="C78" i="14"/>
  <c r="C92" i="14" s="1"/>
  <c r="W74" i="14"/>
  <c r="V74" i="14"/>
  <c r="U74" i="14"/>
  <c r="T74" i="14"/>
  <c r="S74" i="14"/>
  <c r="R74" i="14"/>
  <c r="Q74" i="14"/>
  <c r="P74" i="14"/>
  <c r="O74" i="14"/>
  <c r="N74" i="14"/>
  <c r="M74" i="14"/>
  <c r="L74" i="14"/>
  <c r="K74" i="14"/>
  <c r="J74" i="14"/>
  <c r="I74" i="14"/>
  <c r="H74" i="14"/>
  <c r="G74" i="14"/>
  <c r="F74" i="14"/>
  <c r="E74" i="14"/>
  <c r="D74" i="14"/>
  <c r="C74" i="14"/>
  <c r="B74" i="14"/>
  <c r="CN73" i="14"/>
  <c r="CM73" i="14"/>
  <c r="CB73" i="14"/>
  <c r="CA73" i="14"/>
  <c r="N73" i="14"/>
  <c r="CS73" i="14" s="1"/>
  <c r="B73" i="14"/>
  <c r="CS72" i="14"/>
  <c r="CR72" i="14"/>
  <c r="CQ72" i="14"/>
  <c r="CO72" i="14"/>
  <c r="CN72" i="14"/>
  <c r="CM72" i="14"/>
  <c r="CF72" i="14"/>
  <c r="CE72" i="14"/>
  <c r="CD72" i="14"/>
  <c r="CB72" i="14"/>
  <c r="CA72" i="14"/>
  <c r="N72" i="14"/>
  <c r="CP72" i="14" s="1"/>
  <c r="B72" i="14"/>
  <c r="CS71" i="14"/>
  <c r="CR71" i="14"/>
  <c r="CO71" i="14"/>
  <c r="CN71" i="14"/>
  <c r="CM71" i="14"/>
  <c r="CF71" i="14"/>
  <c r="CE71" i="14"/>
  <c r="CB71" i="14"/>
  <c r="CA71" i="14"/>
  <c r="N71" i="14"/>
  <c r="CQ71" i="14" s="1"/>
  <c r="B71" i="14"/>
  <c r="CS70" i="14"/>
  <c r="CO70" i="14"/>
  <c r="CN70" i="14"/>
  <c r="CM70" i="14"/>
  <c r="CF70" i="14"/>
  <c r="CB70" i="14"/>
  <c r="CA70" i="14"/>
  <c r="N70" i="14"/>
  <c r="CR70" i="14" s="1"/>
  <c r="B70" i="14"/>
  <c r="CN69" i="14"/>
  <c r="CM69" i="14"/>
  <c r="CB69" i="14"/>
  <c r="CA69" i="14"/>
  <c r="N69" i="14"/>
  <c r="CS69" i="14" s="1"/>
  <c r="B69" i="14"/>
  <c r="CS68" i="14"/>
  <c r="CR68" i="14"/>
  <c r="CQ68" i="14"/>
  <c r="CO68" i="14"/>
  <c r="CN68" i="14"/>
  <c r="CM68" i="14"/>
  <c r="CF68" i="14"/>
  <c r="CE68" i="14"/>
  <c r="CD68" i="14"/>
  <c r="CB68" i="14"/>
  <c r="CA68" i="14"/>
  <c r="N68" i="14"/>
  <c r="CP68" i="14" s="1"/>
  <c r="B68" i="14"/>
  <c r="CS67" i="14"/>
  <c r="CR67" i="14"/>
  <c r="CO67" i="14"/>
  <c r="CN67" i="14"/>
  <c r="CM67" i="14"/>
  <c r="CF67" i="14"/>
  <c r="CE67" i="14"/>
  <c r="CB67" i="14"/>
  <c r="CA67" i="14"/>
  <c r="N67" i="14"/>
  <c r="CQ67" i="14" s="1"/>
  <c r="B67" i="14"/>
  <c r="CS66" i="14"/>
  <c r="CO66" i="14"/>
  <c r="CN66" i="14"/>
  <c r="CM66" i="14"/>
  <c r="CF66" i="14"/>
  <c r="CB66" i="14"/>
  <c r="CA66" i="14"/>
  <c r="N66" i="14"/>
  <c r="CR66" i="14" s="1"/>
  <c r="B66" i="14"/>
  <c r="CN65" i="14"/>
  <c r="CM65" i="14"/>
  <c r="CB65" i="14"/>
  <c r="CA65" i="14"/>
  <c r="N65" i="14"/>
  <c r="CS65" i="14" s="1"/>
  <c r="B65" i="14"/>
  <c r="CS64" i="14"/>
  <c r="CR64" i="14"/>
  <c r="CQ64" i="14"/>
  <c r="CO64" i="14"/>
  <c r="CN64" i="14"/>
  <c r="CM64" i="14"/>
  <c r="CF64" i="14"/>
  <c r="CE64" i="14"/>
  <c r="CD64" i="14"/>
  <c r="CB64" i="14"/>
  <c r="CA64" i="14"/>
  <c r="N64" i="14"/>
  <c r="CP64" i="14" s="1"/>
  <c r="B64" i="14"/>
  <c r="CS63" i="14"/>
  <c r="CR63" i="14"/>
  <c r="CO63" i="14"/>
  <c r="CN63" i="14"/>
  <c r="CM63" i="14"/>
  <c r="CF63" i="14"/>
  <c r="CE63" i="14"/>
  <c r="CB63" i="14"/>
  <c r="CA63" i="14"/>
  <c r="N63" i="14"/>
  <c r="CQ63" i="14" s="1"/>
  <c r="B63" i="14"/>
  <c r="CS62" i="14"/>
  <c r="CO62" i="14"/>
  <c r="CN62" i="14"/>
  <c r="CM62" i="14"/>
  <c r="CF62" i="14"/>
  <c r="CB62" i="14"/>
  <c r="CA62" i="14"/>
  <c r="N62" i="14"/>
  <c r="CR62" i="14" s="1"/>
  <c r="B62" i="14"/>
  <c r="CU57" i="14"/>
  <c r="CN57" i="14"/>
  <c r="CM57" i="14"/>
  <c r="CI57" i="14"/>
  <c r="CB57" i="14"/>
  <c r="CA57" i="14"/>
  <c r="B57" i="14"/>
  <c r="CQ57" i="14" s="1"/>
  <c r="CU56" i="14"/>
  <c r="CN56" i="14"/>
  <c r="CM56" i="14"/>
  <c r="CI56" i="14"/>
  <c r="CB56" i="14"/>
  <c r="CA56" i="14"/>
  <c r="B56" i="14"/>
  <c r="CQ56" i="14" s="1"/>
  <c r="CU55" i="14"/>
  <c r="CN55" i="14"/>
  <c r="CM55" i="14"/>
  <c r="CI55" i="14"/>
  <c r="CB55" i="14"/>
  <c r="CA55" i="14"/>
  <c r="B55" i="14"/>
  <c r="CQ55" i="14" s="1"/>
  <c r="CU54" i="14"/>
  <c r="CN54" i="14"/>
  <c r="CM54" i="14"/>
  <c r="CI54" i="14"/>
  <c r="CB54" i="14"/>
  <c r="CA54" i="14"/>
  <c r="B54" i="14"/>
  <c r="CQ54" i="14" s="1"/>
  <c r="CU53" i="14"/>
  <c r="CN53" i="14"/>
  <c r="CM53" i="14"/>
  <c r="CI53" i="14"/>
  <c r="CB53" i="14"/>
  <c r="CA53" i="14"/>
  <c r="B53" i="14"/>
  <c r="CQ53" i="14" s="1"/>
  <c r="R52" i="14"/>
  <c r="Q52" i="14"/>
  <c r="P52" i="14"/>
  <c r="O52" i="14"/>
  <c r="N52" i="14"/>
  <c r="M52" i="14"/>
  <c r="L52" i="14"/>
  <c r="K52" i="14"/>
  <c r="J52" i="14"/>
  <c r="D52" i="14"/>
  <c r="C52" i="14"/>
  <c r="B52" i="14"/>
  <c r="CU51" i="14"/>
  <c r="CR51" i="14"/>
  <c r="CN51" i="14"/>
  <c r="CM51" i="14"/>
  <c r="CI51" i="14"/>
  <c r="CB51" i="14"/>
  <c r="CA51" i="14"/>
  <c r="B51" i="14"/>
  <c r="CQ51" i="14" s="1"/>
  <c r="CU50" i="14"/>
  <c r="CN50" i="14"/>
  <c r="CM50" i="14"/>
  <c r="CI50" i="14"/>
  <c r="CB50" i="14"/>
  <c r="CA50" i="14"/>
  <c r="B50" i="14"/>
  <c r="CQ50" i="14" s="1"/>
  <c r="CU49" i="14"/>
  <c r="CN49" i="14"/>
  <c r="CM49" i="14"/>
  <c r="CI49" i="14"/>
  <c r="CB49" i="14"/>
  <c r="CA49" i="14"/>
  <c r="B49" i="14"/>
  <c r="CQ49" i="14" s="1"/>
  <c r="CU48" i="14"/>
  <c r="CN48" i="14"/>
  <c r="CM48" i="14"/>
  <c r="CI48" i="14"/>
  <c r="CB48" i="14"/>
  <c r="CA48" i="14"/>
  <c r="B48" i="14"/>
  <c r="CQ48" i="14" s="1"/>
  <c r="CU47" i="14"/>
  <c r="CN47" i="14"/>
  <c r="CM47" i="14"/>
  <c r="CI47" i="14"/>
  <c r="CB47" i="14"/>
  <c r="CA47" i="14"/>
  <c r="B47" i="14"/>
  <c r="CQ47" i="14" s="1"/>
  <c r="CU46" i="14"/>
  <c r="CN46" i="14"/>
  <c r="CM46" i="14"/>
  <c r="CI46" i="14"/>
  <c r="CB46" i="14"/>
  <c r="CA46" i="14"/>
  <c r="B46" i="14"/>
  <c r="CQ46" i="14" s="1"/>
  <c r="CU45" i="14"/>
  <c r="CN45" i="14"/>
  <c r="CM45" i="14"/>
  <c r="CI45" i="14"/>
  <c r="CB45" i="14"/>
  <c r="CA45" i="14"/>
  <c r="B45" i="14"/>
  <c r="CQ45" i="14" s="1"/>
  <c r="CU44" i="14"/>
  <c r="CN44" i="14"/>
  <c r="CM44" i="14"/>
  <c r="CI44" i="14"/>
  <c r="CB44" i="14"/>
  <c r="CA44" i="14"/>
  <c r="B44" i="14"/>
  <c r="CQ44" i="14" s="1"/>
  <c r="CU43" i="14"/>
  <c r="CN43" i="14"/>
  <c r="CM43" i="14"/>
  <c r="CI43" i="14"/>
  <c r="CB43" i="14"/>
  <c r="CA43" i="14"/>
  <c r="B43" i="14"/>
  <c r="CQ43" i="14" s="1"/>
  <c r="CU42" i="14"/>
  <c r="CN42" i="14"/>
  <c r="CM42" i="14"/>
  <c r="CI42" i="14"/>
  <c r="CB42" i="14"/>
  <c r="CA42" i="14"/>
  <c r="B42" i="14"/>
  <c r="CQ42" i="14" s="1"/>
  <c r="CU41" i="14"/>
  <c r="CN41" i="14"/>
  <c r="CM41" i="14"/>
  <c r="CI41" i="14"/>
  <c r="CB41" i="14"/>
  <c r="CA41" i="14"/>
  <c r="B41" i="14"/>
  <c r="CQ41" i="14" s="1"/>
  <c r="CU40" i="14"/>
  <c r="CN40" i="14"/>
  <c r="CM40" i="14"/>
  <c r="CI40" i="14"/>
  <c r="CB40" i="14"/>
  <c r="CA40" i="14"/>
  <c r="B40" i="14"/>
  <c r="CQ40" i="14" s="1"/>
  <c r="CU39" i="14"/>
  <c r="CN39" i="14"/>
  <c r="CM39" i="14"/>
  <c r="CI39" i="14"/>
  <c r="CB39" i="14"/>
  <c r="CA39" i="14"/>
  <c r="B39" i="14"/>
  <c r="CQ39" i="14" s="1"/>
  <c r="CU38" i="14"/>
  <c r="CN38" i="14"/>
  <c r="CM38" i="14"/>
  <c r="CI38" i="14"/>
  <c r="CB38" i="14"/>
  <c r="CA38" i="14"/>
  <c r="B38" i="14"/>
  <c r="CQ38" i="14" s="1"/>
  <c r="CU37" i="14"/>
  <c r="CN37" i="14"/>
  <c r="CM37" i="14"/>
  <c r="CI37" i="14"/>
  <c r="CB37" i="14"/>
  <c r="CA37" i="14"/>
  <c r="B37" i="14"/>
  <c r="CQ37" i="14" s="1"/>
  <c r="CU36" i="14"/>
  <c r="CN36" i="14"/>
  <c r="CM36" i="14"/>
  <c r="CI36" i="14"/>
  <c r="CB36" i="14"/>
  <c r="CA36" i="14"/>
  <c r="B36" i="14"/>
  <c r="CQ36" i="14" s="1"/>
  <c r="CU35" i="14"/>
  <c r="CN35" i="14"/>
  <c r="CM35" i="14"/>
  <c r="CI35" i="14"/>
  <c r="CB35" i="14"/>
  <c r="CA35" i="14"/>
  <c r="B35" i="14"/>
  <c r="CQ35" i="14" s="1"/>
  <c r="CU34" i="14"/>
  <c r="CN34" i="14"/>
  <c r="CM34" i="14"/>
  <c r="CI34" i="14"/>
  <c r="CB34" i="14"/>
  <c r="CA34" i="14"/>
  <c r="B34" i="14"/>
  <c r="CQ34" i="14" s="1"/>
  <c r="CU33" i="14"/>
  <c r="CN33" i="14"/>
  <c r="CM33" i="14"/>
  <c r="CI33" i="14"/>
  <c r="CB33" i="14"/>
  <c r="CA33" i="14"/>
  <c r="B33" i="14"/>
  <c r="CQ33" i="14" s="1"/>
  <c r="CU32" i="14"/>
  <c r="CN32" i="14"/>
  <c r="CM32" i="14"/>
  <c r="CI32" i="14"/>
  <c r="CB32" i="14"/>
  <c r="CA32" i="14"/>
  <c r="B32" i="14"/>
  <c r="CQ32" i="14" s="1"/>
  <c r="CU31" i="14"/>
  <c r="CN31" i="14"/>
  <c r="CM31" i="14"/>
  <c r="CI31" i="14"/>
  <c r="CB31" i="14"/>
  <c r="CA31" i="14"/>
  <c r="B31" i="14"/>
  <c r="CQ31" i="14" s="1"/>
  <c r="CU30" i="14"/>
  <c r="CN30" i="14"/>
  <c r="CM30" i="14"/>
  <c r="CI30" i="14"/>
  <c r="CB30" i="14"/>
  <c r="CA30" i="14"/>
  <c r="B30" i="14"/>
  <c r="CQ30" i="14" s="1"/>
  <c r="CU29" i="14"/>
  <c r="CN29" i="14"/>
  <c r="CM29" i="14"/>
  <c r="CI29" i="14"/>
  <c r="CB29" i="14"/>
  <c r="CA29" i="14"/>
  <c r="B29" i="14"/>
  <c r="CQ29" i="14" s="1"/>
  <c r="CU28" i="14"/>
  <c r="CN28" i="14"/>
  <c r="CM28" i="14"/>
  <c r="CI28" i="14"/>
  <c r="CB28" i="14"/>
  <c r="CA28" i="14"/>
  <c r="B28" i="14"/>
  <c r="CQ28" i="14" s="1"/>
  <c r="CU27" i="14"/>
  <c r="CN27" i="14"/>
  <c r="CM27" i="14"/>
  <c r="CI27" i="14"/>
  <c r="CB27" i="14"/>
  <c r="CA27" i="14"/>
  <c r="B27" i="14"/>
  <c r="CQ27" i="14" s="1"/>
  <c r="CU26" i="14"/>
  <c r="CN26" i="14"/>
  <c r="CM26" i="14"/>
  <c r="CI26" i="14"/>
  <c r="CB26" i="14"/>
  <c r="CA26" i="14"/>
  <c r="B26" i="14"/>
  <c r="CQ26" i="14" s="1"/>
  <c r="CU25" i="14"/>
  <c r="CN25" i="14"/>
  <c r="CM25" i="14"/>
  <c r="CI25" i="14"/>
  <c r="CB25" i="14"/>
  <c r="CA25" i="14"/>
  <c r="B25" i="14"/>
  <c r="CQ25" i="14" s="1"/>
  <c r="CU24" i="14"/>
  <c r="CN24" i="14"/>
  <c r="CM24" i="14"/>
  <c r="CI24" i="14"/>
  <c r="CB24" i="14"/>
  <c r="CA24" i="14"/>
  <c r="B24" i="14"/>
  <c r="CQ24" i="14" s="1"/>
  <c r="CU23" i="14"/>
  <c r="CN23" i="14"/>
  <c r="CM23" i="14"/>
  <c r="CI23" i="14"/>
  <c r="CB23" i="14"/>
  <c r="CA23" i="14"/>
  <c r="B23" i="14"/>
  <c r="CQ23" i="14" s="1"/>
  <c r="CU22" i="14"/>
  <c r="CN22" i="14"/>
  <c r="CM22" i="14"/>
  <c r="CI22" i="14"/>
  <c r="CB22" i="14"/>
  <c r="CA22" i="14"/>
  <c r="B22" i="14"/>
  <c r="CQ22" i="14" s="1"/>
  <c r="CU21" i="14"/>
  <c r="CN21" i="14"/>
  <c r="CM21" i="14"/>
  <c r="CI21" i="14"/>
  <c r="CB21" i="14"/>
  <c r="CA21" i="14"/>
  <c r="B21" i="14"/>
  <c r="CQ21" i="14" s="1"/>
  <c r="CU20" i="14"/>
  <c r="CN20" i="14"/>
  <c r="CM20" i="14"/>
  <c r="CI20" i="14"/>
  <c r="CB20" i="14"/>
  <c r="CA20" i="14"/>
  <c r="B20" i="14"/>
  <c r="CQ20" i="14" s="1"/>
  <c r="CU19" i="14"/>
  <c r="CN19" i="14"/>
  <c r="CM19" i="14"/>
  <c r="CI19" i="14"/>
  <c r="CB19" i="14"/>
  <c r="CA19" i="14"/>
  <c r="B19" i="14"/>
  <c r="CQ19" i="14" s="1"/>
  <c r="CU18" i="14"/>
  <c r="CN18" i="14"/>
  <c r="CM18" i="14"/>
  <c r="CI18" i="14"/>
  <c r="CB18" i="14"/>
  <c r="CA18" i="14"/>
  <c r="B18" i="14"/>
  <c r="CQ18" i="14" s="1"/>
  <c r="CU17" i="14"/>
  <c r="CN17" i="14"/>
  <c r="CM17" i="14"/>
  <c r="CI17" i="14"/>
  <c r="CB17" i="14"/>
  <c r="CA17" i="14"/>
  <c r="B17" i="14"/>
  <c r="CQ17" i="14" s="1"/>
  <c r="CU16" i="14"/>
  <c r="CN16" i="14"/>
  <c r="CM16" i="14"/>
  <c r="CI16" i="14"/>
  <c r="CB16" i="14"/>
  <c r="CA16" i="14"/>
  <c r="B16" i="14"/>
  <c r="CQ16" i="14" s="1"/>
  <c r="CU15" i="14"/>
  <c r="CN15" i="14"/>
  <c r="CM15" i="14"/>
  <c r="CI15" i="14"/>
  <c r="CB15" i="14"/>
  <c r="CA15" i="14"/>
  <c r="B15" i="14"/>
  <c r="CQ15" i="14" s="1"/>
  <c r="CU14" i="14"/>
  <c r="CN14" i="14"/>
  <c r="CM14" i="14"/>
  <c r="CI14" i="14"/>
  <c r="CB14" i="14"/>
  <c r="CA14" i="14"/>
  <c r="B14" i="14"/>
  <c r="CQ14" i="14" s="1"/>
  <c r="CU13" i="14"/>
  <c r="CN13" i="14"/>
  <c r="CM13" i="14"/>
  <c r="CI13" i="14"/>
  <c r="CB13" i="14"/>
  <c r="CA13" i="14"/>
  <c r="B13" i="14"/>
  <c r="CQ13" i="14" s="1"/>
  <c r="CU12" i="14"/>
  <c r="CN12" i="14"/>
  <c r="CM12" i="14"/>
  <c r="CI12" i="14"/>
  <c r="CB12" i="14"/>
  <c r="CA12" i="14"/>
  <c r="B12" i="14"/>
  <c r="CQ12" i="14" s="1"/>
  <c r="R11" i="14"/>
  <c r="Q11" i="14"/>
  <c r="P11" i="14"/>
  <c r="O11" i="14"/>
  <c r="N11" i="14"/>
  <c r="M11" i="14"/>
  <c r="L11" i="14"/>
  <c r="K11" i="14"/>
  <c r="J11" i="14"/>
  <c r="I11" i="14"/>
  <c r="H11" i="14"/>
  <c r="G11" i="14"/>
  <c r="F11" i="14"/>
  <c r="E11" i="14"/>
  <c r="D11" i="14"/>
  <c r="C11" i="14"/>
  <c r="B11" i="14" s="1"/>
  <c r="A5" i="14"/>
  <c r="A3" i="14"/>
  <c r="A2" i="14"/>
  <c r="CG21" i="3" l="1"/>
  <c r="CB21" i="3"/>
  <c r="CG24" i="3"/>
  <c r="CF24" i="3"/>
  <c r="CB24" i="3"/>
  <c r="CA24" i="3"/>
  <c r="AI24" i="3" s="1"/>
  <c r="CG29" i="3"/>
  <c r="CF29" i="3"/>
  <c r="CB29" i="3"/>
  <c r="CA29" i="3"/>
  <c r="AI29" i="3" s="1"/>
  <c r="CG34" i="3"/>
  <c r="CF34" i="3"/>
  <c r="CB34" i="3"/>
  <c r="CA34" i="3"/>
  <c r="AI34" i="3" s="1"/>
  <c r="CA21" i="4"/>
  <c r="CL21" i="4"/>
  <c r="CK21" i="4"/>
  <c r="CB21" i="4"/>
  <c r="CA23" i="4"/>
  <c r="CL23" i="4"/>
  <c r="CK23" i="4"/>
  <c r="CB23" i="4"/>
  <c r="CA25" i="4"/>
  <c r="CL25" i="4"/>
  <c r="CK25" i="4"/>
  <c r="CB25" i="4"/>
  <c r="CA27" i="4"/>
  <c r="T27" i="4" s="1"/>
  <c r="CL27" i="4"/>
  <c r="CK27" i="4"/>
  <c r="CB27" i="4"/>
  <c r="CA29" i="4"/>
  <c r="T29" i="4" s="1"/>
  <c r="CL29" i="4"/>
  <c r="CK29" i="4"/>
  <c r="CB29" i="4"/>
  <c r="CA31" i="4"/>
  <c r="T31" i="4" s="1"/>
  <c r="CL31" i="4"/>
  <c r="CK31" i="4"/>
  <c r="CB31" i="4"/>
  <c r="CA33" i="4"/>
  <c r="T33" i="4" s="1"/>
  <c r="CL33" i="4"/>
  <c r="CK33" i="4"/>
  <c r="CB33" i="4"/>
  <c r="CA35" i="4"/>
  <c r="T35" i="4" s="1"/>
  <c r="CL35" i="4"/>
  <c r="CK35" i="4"/>
  <c r="CB35" i="4"/>
  <c r="CA37" i="4"/>
  <c r="T37" i="4" s="1"/>
  <c r="CL37" i="4"/>
  <c r="CK37" i="4"/>
  <c r="CB37" i="4"/>
  <c r="CA39" i="4"/>
  <c r="T39" i="4" s="1"/>
  <c r="CL39" i="4"/>
  <c r="CK39" i="4"/>
  <c r="CB39" i="4"/>
  <c r="CA41" i="4"/>
  <c r="T41" i="4" s="1"/>
  <c r="CL41" i="4"/>
  <c r="CK41" i="4"/>
  <c r="CB41" i="4"/>
  <c r="CA47" i="4"/>
  <c r="S47" i="4" s="1"/>
  <c r="CL47" i="4"/>
  <c r="CK47" i="4"/>
  <c r="CB47" i="4"/>
  <c r="CA49" i="4"/>
  <c r="S49" i="4" s="1"/>
  <c r="CL49" i="4"/>
  <c r="CK49" i="4"/>
  <c r="CB49" i="4"/>
  <c r="CL56" i="4"/>
  <c r="CK56" i="4"/>
  <c r="CB56" i="4"/>
  <c r="CA56" i="4"/>
  <c r="K56" i="4" s="1"/>
  <c r="M61" i="4"/>
  <c r="G86" i="4"/>
  <c r="BY13" i="5"/>
  <c r="BU13" i="5"/>
  <c r="BP13" i="5"/>
  <c r="BW13" i="5"/>
  <c r="BR13" i="5"/>
  <c r="BV13" i="5"/>
  <c r="BS13" i="5"/>
  <c r="BQ13" i="5"/>
  <c r="BX13" i="5"/>
  <c r="BO13" i="5"/>
  <c r="AT13" i="5" s="1"/>
  <c r="BY15" i="5"/>
  <c r="BU15" i="5"/>
  <c r="BP15" i="5"/>
  <c r="BW15" i="5"/>
  <c r="BR15" i="5"/>
  <c r="BV15" i="5"/>
  <c r="BS15" i="5"/>
  <c r="BQ15" i="5"/>
  <c r="BX15" i="5"/>
  <c r="BO15" i="5"/>
  <c r="BY17" i="5"/>
  <c r="BU17" i="5"/>
  <c r="BP17" i="5"/>
  <c r="BW17" i="5"/>
  <c r="BR17" i="5"/>
  <c r="BV17" i="5"/>
  <c r="BS17" i="5"/>
  <c r="BQ17" i="5"/>
  <c r="BX17" i="5"/>
  <c r="BO17" i="5"/>
  <c r="AT17" i="5" s="1"/>
  <c r="BX21" i="5"/>
  <c r="BR21" i="5"/>
  <c r="BV21" i="5"/>
  <c r="BP21" i="5"/>
  <c r="BW21" i="5"/>
  <c r="BU21" i="5"/>
  <c r="BQ21" i="5"/>
  <c r="BO21" i="5"/>
  <c r="AT21" i="5" s="1"/>
  <c r="BP154" i="5"/>
  <c r="BV154" i="5"/>
  <c r="BO154" i="5"/>
  <c r="AP154" i="5" s="1"/>
  <c r="BU154" i="5"/>
  <c r="BP163" i="5"/>
  <c r="BV163" i="5"/>
  <c r="BU163" i="5"/>
  <c r="BO163" i="5"/>
  <c r="AP163" i="5" s="1"/>
  <c r="B177" i="5"/>
  <c r="B178" i="5"/>
  <c r="CQ140" i="6"/>
  <c r="CB140" i="6"/>
  <c r="CO140" i="6"/>
  <c r="CA140" i="6"/>
  <c r="CP140" i="6"/>
  <c r="CC140" i="6"/>
  <c r="CC150" i="6"/>
  <c r="CQ150" i="6"/>
  <c r="CB150" i="6"/>
  <c r="CP150" i="6"/>
  <c r="W30" i="1"/>
  <c r="W28" i="1"/>
  <c r="W27" i="1"/>
  <c r="W29" i="1" s="1"/>
  <c r="CH21" i="3"/>
  <c r="CC21" i="3"/>
  <c r="CA112" i="4"/>
  <c r="CL112" i="4"/>
  <c r="CK112" i="4"/>
  <c r="CB112" i="4"/>
  <c r="CA114" i="4"/>
  <c r="CL114" i="4"/>
  <c r="CK114" i="4"/>
  <c r="CB114" i="4"/>
  <c r="CA116" i="4"/>
  <c r="CL116" i="4"/>
  <c r="CK116" i="4"/>
  <c r="CB116" i="4"/>
  <c r="C152" i="4"/>
  <c r="CA122" i="4"/>
  <c r="AD122" i="4" s="1"/>
  <c r="CL122" i="4"/>
  <c r="CK122" i="4"/>
  <c r="CB122" i="4"/>
  <c r="CA124" i="4"/>
  <c r="AD124" i="4" s="1"/>
  <c r="CL124" i="4"/>
  <c r="CK124" i="4"/>
  <c r="CB124" i="4"/>
  <c r="CA126" i="4"/>
  <c r="AD126" i="4" s="1"/>
  <c r="CL126" i="4"/>
  <c r="CK126" i="4"/>
  <c r="CB126" i="4"/>
  <c r="CA128" i="4"/>
  <c r="AD128" i="4" s="1"/>
  <c r="CL128" i="4"/>
  <c r="CK128" i="4"/>
  <c r="CB128" i="4"/>
  <c r="CA130" i="4"/>
  <c r="AD130" i="4" s="1"/>
  <c r="CL130" i="4"/>
  <c r="CK130" i="4"/>
  <c r="CB130" i="4"/>
  <c r="CA132" i="4"/>
  <c r="AD132" i="4" s="1"/>
  <c r="CL132" i="4"/>
  <c r="CK132" i="4"/>
  <c r="CB132" i="4"/>
  <c r="CP200" i="4"/>
  <c r="CL200" i="4"/>
  <c r="CD200" i="4"/>
  <c r="CO200" i="4"/>
  <c r="CK200" i="4"/>
  <c r="CC200" i="4"/>
  <c r="CN200" i="4"/>
  <c r="CF200" i="4"/>
  <c r="CB200" i="4"/>
  <c r="CM200" i="4"/>
  <c r="CE200" i="4"/>
  <c r="CA200" i="4"/>
  <c r="BW26" i="5"/>
  <c r="BR26" i="5"/>
  <c r="BY26" i="5"/>
  <c r="BU26" i="5"/>
  <c r="BP26" i="5"/>
  <c r="BX26" i="5"/>
  <c r="BO26" i="5"/>
  <c r="AT26" i="5" s="1"/>
  <c r="BV26" i="5"/>
  <c r="BS26" i="5"/>
  <c r="BQ26" i="5"/>
  <c r="BP159" i="5"/>
  <c r="BV159" i="5"/>
  <c r="BU159" i="5"/>
  <c r="BO159" i="5"/>
  <c r="BP166" i="5"/>
  <c r="BV166" i="5"/>
  <c r="BO166" i="5"/>
  <c r="AP166" i="5" s="1"/>
  <c r="BU166" i="5"/>
  <c r="CC146" i="6"/>
  <c r="CQ146" i="6"/>
  <c r="CB146" i="6"/>
  <c r="CP146" i="6"/>
  <c r="CG23" i="3"/>
  <c r="CF23" i="3"/>
  <c r="CB23" i="3"/>
  <c r="CA23" i="3"/>
  <c r="AI23" i="3" s="1"/>
  <c r="CG25" i="3"/>
  <c r="CF25" i="3"/>
  <c r="CB25" i="3"/>
  <c r="CA25" i="3"/>
  <c r="AI25" i="3" s="1"/>
  <c r="CG30" i="3"/>
  <c r="CF30" i="3"/>
  <c r="CB30" i="3"/>
  <c r="CA30" i="3"/>
  <c r="AI30" i="3" s="1"/>
  <c r="CG35" i="3"/>
  <c r="CF35" i="3"/>
  <c r="CB35" i="3"/>
  <c r="CA35" i="3"/>
  <c r="AI35" i="3" s="1"/>
  <c r="CA20" i="4"/>
  <c r="CL20" i="4"/>
  <c r="CK20" i="4"/>
  <c r="CB20" i="4"/>
  <c r="CA22" i="4"/>
  <c r="CL22" i="4"/>
  <c r="CK22" i="4"/>
  <c r="CB22" i="4"/>
  <c r="CA24" i="4"/>
  <c r="CL24" i="4"/>
  <c r="CK24" i="4"/>
  <c r="CB24" i="4"/>
  <c r="CA26" i="4"/>
  <c r="CL26" i="4"/>
  <c r="CK26" i="4"/>
  <c r="CB26" i="4"/>
  <c r="CA28" i="4"/>
  <c r="CL28" i="4"/>
  <c r="CK28" i="4"/>
  <c r="CB28" i="4"/>
  <c r="CA30" i="4"/>
  <c r="CL30" i="4"/>
  <c r="CK30" i="4"/>
  <c r="CB30" i="4"/>
  <c r="CA32" i="4"/>
  <c r="CL32" i="4"/>
  <c r="CK32" i="4"/>
  <c r="CB32" i="4"/>
  <c r="CA34" i="4"/>
  <c r="CL34" i="4"/>
  <c r="CK34" i="4"/>
  <c r="CB34" i="4"/>
  <c r="CA36" i="4"/>
  <c r="CL36" i="4"/>
  <c r="CK36" i="4"/>
  <c r="CB36" i="4"/>
  <c r="CA38" i="4"/>
  <c r="CL38" i="4"/>
  <c r="CK38" i="4"/>
  <c r="CB38" i="4"/>
  <c r="CA40" i="4"/>
  <c r="CL40" i="4"/>
  <c r="CK40" i="4"/>
  <c r="CB40" i="4"/>
  <c r="CA46" i="4"/>
  <c r="CL46" i="4"/>
  <c r="CK46" i="4"/>
  <c r="CB46" i="4"/>
  <c r="CA48" i="4"/>
  <c r="CL48" i="4"/>
  <c r="CK48" i="4"/>
  <c r="CB48" i="4"/>
  <c r="CL55" i="4"/>
  <c r="CK55" i="4"/>
  <c r="CB55" i="4"/>
  <c r="CA55" i="4"/>
  <c r="K55" i="4" s="1"/>
  <c r="CL57" i="4"/>
  <c r="CK57" i="4"/>
  <c r="CB57" i="4"/>
  <c r="CA57" i="4"/>
  <c r="K57" i="4" s="1"/>
  <c r="M65" i="4"/>
  <c r="BW14" i="5"/>
  <c r="BR14" i="5"/>
  <c r="BY14" i="5"/>
  <c r="BU14" i="5"/>
  <c r="BP14" i="5"/>
  <c r="BV14" i="5"/>
  <c r="BS14" i="5"/>
  <c r="BQ14" i="5"/>
  <c r="BX14" i="5"/>
  <c r="BO14" i="5"/>
  <c r="BW16" i="5"/>
  <c r="BR16" i="5"/>
  <c r="BY16" i="5"/>
  <c r="BU16" i="5"/>
  <c r="BP16" i="5"/>
  <c r="BV16" i="5"/>
  <c r="BS16" i="5"/>
  <c r="BQ16" i="5"/>
  <c r="BX16" i="5"/>
  <c r="BO16" i="5"/>
  <c r="BW18" i="5"/>
  <c r="BR18" i="5"/>
  <c r="BY18" i="5"/>
  <c r="BU18" i="5"/>
  <c r="BP18" i="5"/>
  <c r="BV18" i="5"/>
  <c r="BS18" i="5"/>
  <c r="BQ18" i="5"/>
  <c r="BX18" i="5"/>
  <c r="BO18" i="5"/>
  <c r="BP155" i="5"/>
  <c r="BV155" i="5"/>
  <c r="BU155" i="5"/>
  <c r="BO155" i="5"/>
  <c r="BP162" i="5"/>
  <c r="BV162" i="5"/>
  <c r="BO162" i="5"/>
  <c r="AP162" i="5" s="1"/>
  <c r="BU162" i="5"/>
  <c r="M63" i="4"/>
  <c r="CA113" i="4"/>
  <c r="X113" i="4" s="1"/>
  <c r="CL113" i="4"/>
  <c r="CK113" i="4"/>
  <c r="CB113" i="4"/>
  <c r="CA115" i="4"/>
  <c r="X115" i="4" s="1"/>
  <c r="CL115" i="4"/>
  <c r="CK115" i="4"/>
  <c r="CB115" i="4"/>
  <c r="CA117" i="4"/>
  <c r="X117" i="4" s="1"/>
  <c r="CL117" i="4"/>
  <c r="CK117" i="4"/>
  <c r="CB117" i="4"/>
  <c r="CA123" i="4"/>
  <c r="AD123" i="4" s="1"/>
  <c r="CL123" i="4"/>
  <c r="CK123" i="4"/>
  <c r="CB123" i="4"/>
  <c r="CA125" i="4"/>
  <c r="AD125" i="4" s="1"/>
  <c r="CL125" i="4"/>
  <c r="CK125" i="4"/>
  <c r="CB125" i="4"/>
  <c r="CA127" i="4"/>
  <c r="AD127" i="4" s="1"/>
  <c r="CL127" i="4"/>
  <c r="CK127" i="4"/>
  <c r="CB127" i="4"/>
  <c r="CA129" i="4"/>
  <c r="AD129" i="4" s="1"/>
  <c r="CL129" i="4"/>
  <c r="CK129" i="4"/>
  <c r="CB129" i="4"/>
  <c r="CA131" i="4"/>
  <c r="AD131" i="4" s="1"/>
  <c r="CL131" i="4"/>
  <c r="CK131" i="4"/>
  <c r="CB131" i="4"/>
  <c r="CA133" i="4"/>
  <c r="AD133" i="4" s="1"/>
  <c r="CL133" i="4"/>
  <c r="CK133" i="4"/>
  <c r="CB133" i="4"/>
  <c r="CP199" i="4"/>
  <c r="CL199" i="4"/>
  <c r="CD199" i="4"/>
  <c r="CO199" i="4"/>
  <c r="CK199" i="4"/>
  <c r="CC199" i="4"/>
  <c r="CN199" i="4"/>
  <c r="CF199" i="4"/>
  <c r="CB199" i="4"/>
  <c r="CM199" i="4"/>
  <c r="CE199" i="4"/>
  <c r="CA199" i="4"/>
  <c r="CR274" i="4"/>
  <c r="CN274" i="4"/>
  <c r="CH274" i="4"/>
  <c r="CD274" i="4"/>
  <c r="CL274" i="4"/>
  <c r="CB274" i="4"/>
  <c r="CQ274" i="4"/>
  <c r="CG274" i="4"/>
  <c r="CM274" i="4"/>
  <c r="CC274" i="4"/>
  <c r="CK274" i="4"/>
  <c r="CA274" i="4"/>
  <c r="BX25" i="5"/>
  <c r="BR25" i="5"/>
  <c r="BV25" i="5"/>
  <c r="BP25" i="5"/>
  <c r="BW25" i="5"/>
  <c r="BU25" i="5"/>
  <c r="BQ25" i="5"/>
  <c r="BO25" i="5"/>
  <c r="BY31" i="5"/>
  <c r="BU31" i="5"/>
  <c r="BP31" i="5"/>
  <c r="BW31" i="5"/>
  <c r="BR31" i="5"/>
  <c r="BX31" i="5"/>
  <c r="BO31" i="5"/>
  <c r="BV31" i="5"/>
  <c r="BS31" i="5"/>
  <c r="BQ31" i="5"/>
  <c r="BP158" i="5"/>
  <c r="BV158" i="5"/>
  <c r="BO158" i="5"/>
  <c r="AP158" i="5" s="1"/>
  <c r="BU158" i="5"/>
  <c r="BP167" i="5"/>
  <c r="BV167" i="5"/>
  <c r="BU167" i="5"/>
  <c r="BO167" i="5"/>
  <c r="BU179" i="5"/>
  <c r="BO179" i="5"/>
  <c r="BV179" i="5"/>
  <c r="BP179" i="5"/>
  <c r="BV180" i="5"/>
  <c r="BP180" i="5"/>
  <c r="BU180" i="5"/>
  <c r="BO180" i="5"/>
  <c r="AF180" i="5" s="1"/>
  <c r="BV181" i="5"/>
  <c r="BP181" i="5"/>
  <c r="BU181" i="5"/>
  <c r="BO181" i="5"/>
  <c r="AF181" i="5" s="1"/>
  <c r="BO182" i="5"/>
  <c r="BU182" i="5"/>
  <c r="BP182" i="5"/>
  <c r="BV182" i="5"/>
  <c r="BO183" i="5"/>
  <c r="BU183" i="5"/>
  <c r="BP183" i="5"/>
  <c r="BV183" i="5"/>
  <c r="CC147" i="6"/>
  <c r="CQ147" i="6"/>
  <c r="CP147" i="6"/>
  <c r="CB147" i="6"/>
  <c r="AS147" i="6" s="1"/>
  <c r="CA11" i="2"/>
  <c r="CF11" i="2"/>
  <c r="CV11" i="2"/>
  <c r="DA11" i="2"/>
  <c r="CA12" i="2"/>
  <c r="CF12" i="2"/>
  <c r="CV12" i="2"/>
  <c r="DA12" i="2"/>
  <c r="CA13" i="2"/>
  <c r="CG13" i="2"/>
  <c r="CL13" i="2"/>
  <c r="CZ13" i="2"/>
  <c r="CA14" i="2"/>
  <c r="CG14" i="2"/>
  <c r="CL14" i="2"/>
  <c r="CZ14" i="2"/>
  <c r="CA15" i="2"/>
  <c r="CG15" i="2"/>
  <c r="CL15" i="2"/>
  <c r="CZ15" i="2"/>
  <c r="CA16" i="2"/>
  <c r="CG16" i="2"/>
  <c r="CL16" i="2"/>
  <c r="CZ16" i="2"/>
  <c r="CA17" i="2"/>
  <c r="CG17" i="2"/>
  <c r="CL17" i="2"/>
  <c r="CZ17" i="2"/>
  <c r="CA18" i="2"/>
  <c r="CG18" i="2"/>
  <c r="CL18" i="2"/>
  <c r="CZ18" i="2"/>
  <c r="CA19" i="2"/>
  <c r="CF19" i="2"/>
  <c r="CW19" i="2"/>
  <c r="DB19" i="2"/>
  <c r="CC20" i="2"/>
  <c r="CH20" i="2"/>
  <c r="CU20" i="2"/>
  <c r="CZ20" i="2"/>
  <c r="CA21" i="2"/>
  <c r="CF21" i="2"/>
  <c r="CW21" i="2"/>
  <c r="DB21" i="2"/>
  <c r="CC22" i="2"/>
  <c r="CH22" i="2"/>
  <c r="CU22" i="2"/>
  <c r="CZ22" i="2"/>
  <c r="CA23" i="2"/>
  <c r="CG23" i="2"/>
  <c r="CW23" i="2"/>
  <c r="DB23" i="2"/>
  <c r="CA24" i="2"/>
  <c r="CG24" i="2"/>
  <c r="CW24" i="2"/>
  <c r="DB24" i="2"/>
  <c r="CA25" i="2"/>
  <c r="CG25" i="2"/>
  <c r="CW25" i="2"/>
  <c r="DB25" i="2"/>
  <c r="CA26" i="2"/>
  <c r="CG26" i="2"/>
  <c r="CW26" i="2"/>
  <c r="DB26" i="2"/>
  <c r="CA27" i="2"/>
  <c r="CG27" i="2"/>
  <c r="CL27" i="2"/>
  <c r="CZ27" i="2"/>
  <c r="CA28" i="2"/>
  <c r="CG28" i="2"/>
  <c r="CL28" i="2"/>
  <c r="CZ28" i="2"/>
  <c r="CA29" i="2"/>
  <c r="DB29" i="2"/>
  <c r="CH30" i="2"/>
  <c r="CU30" i="2"/>
  <c r="CA31" i="2"/>
  <c r="CF31" i="2"/>
  <c r="CU31" i="2"/>
  <c r="CZ31" i="2"/>
  <c r="CH32" i="2"/>
  <c r="CL32" i="2"/>
  <c r="DB32" i="2"/>
  <c r="DF32" i="2"/>
  <c r="CA36" i="2"/>
  <c r="CE36" i="2"/>
  <c r="CU36" i="2"/>
  <c r="CY36" i="2"/>
  <c r="CG37" i="2"/>
  <c r="DA37" i="2"/>
  <c r="CA38" i="2"/>
  <c r="CF38" i="2"/>
  <c r="DA38" i="2"/>
  <c r="CA39" i="2"/>
  <c r="CF39" i="2"/>
  <c r="DA39" i="2"/>
  <c r="CU44" i="2"/>
  <c r="CU45" i="2"/>
  <c r="CU46" i="2"/>
  <c r="CU47" i="2"/>
  <c r="CU48" i="2"/>
  <c r="CU49" i="2"/>
  <c r="CU50" i="2"/>
  <c r="CU51" i="2"/>
  <c r="CU52" i="2"/>
  <c r="CU53" i="2"/>
  <c r="CU54" i="2"/>
  <c r="CU55" i="2"/>
  <c r="CU56" i="2"/>
  <c r="CU57" i="2"/>
  <c r="CU58" i="2"/>
  <c r="CU59" i="2"/>
  <c r="CU60" i="2"/>
  <c r="CU61" i="2"/>
  <c r="CU62" i="2"/>
  <c r="CU63" i="2"/>
  <c r="CU64" i="2"/>
  <c r="CU65" i="2"/>
  <c r="CU66" i="2"/>
  <c r="CD70" i="2"/>
  <c r="CX70" i="2"/>
  <c r="CA71" i="2"/>
  <c r="CU71" i="2"/>
  <c r="CB72" i="2"/>
  <c r="CV72" i="2"/>
  <c r="CC73" i="2"/>
  <c r="CW73" i="2"/>
  <c r="CC78" i="2"/>
  <c r="CW78" i="2"/>
  <c r="CA79" i="2"/>
  <c r="CU79" i="2"/>
  <c r="CC80" i="2"/>
  <c r="CW80" i="2"/>
  <c r="CA81" i="2"/>
  <c r="CU81" i="2"/>
  <c r="CC82" i="2"/>
  <c r="CW82" i="2"/>
  <c r="CU88" i="2"/>
  <c r="CU89" i="2"/>
  <c r="CU90" i="2"/>
  <c r="CU91" i="2"/>
  <c r="CU92" i="2"/>
  <c r="CU93" i="2"/>
  <c r="CA98" i="2"/>
  <c r="M98" i="2" s="1"/>
  <c r="CA99" i="2"/>
  <c r="M99" i="2" s="1"/>
  <c r="CA100" i="2"/>
  <c r="M100" i="2" s="1"/>
  <c r="CA101" i="2"/>
  <c r="M101" i="2" s="1"/>
  <c r="CA102" i="2"/>
  <c r="M102" i="2" s="1"/>
  <c r="CA103" i="2"/>
  <c r="M103" i="2" s="1"/>
  <c r="CA104" i="2"/>
  <c r="M104" i="2" s="1"/>
  <c r="CA105" i="2"/>
  <c r="M105" i="2" s="1"/>
  <c r="CA106" i="2"/>
  <c r="M106" i="2" s="1"/>
  <c r="CA107" i="2"/>
  <c r="M107" i="2" s="1"/>
  <c r="CA108" i="2"/>
  <c r="M108" i="2" s="1"/>
  <c r="CA109" i="2"/>
  <c r="M109" i="2" s="1"/>
  <c r="CA110" i="2"/>
  <c r="M110" i="2" s="1"/>
  <c r="CU117" i="2"/>
  <c r="CU118" i="2"/>
  <c r="CU119" i="2"/>
  <c r="CU120" i="2"/>
  <c r="CU121" i="2"/>
  <c r="CU122" i="2"/>
  <c r="CU123" i="2"/>
  <c r="CU124" i="2"/>
  <c r="CU125" i="2"/>
  <c r="CU126" i="2"/>
  <c r="CU127" i="2"/>
  <c r="CU128" i="2"/>
  <c r="CU129" i="2"/>
  <c r="CF12" i="3"/>
  <c r="CF13" i="3"/>
  <c r="CF14" i="3"/>
  <c r="CF15" i="3"/>
  <c r="CF16" i="3"/>
  <c r="CF17" i="3"/>
  <c r="B22" i="3"/>
  <c r="A51" i="3"/>
  <c r="E6" i="29" s="1"/>
  <c r="CK61" i="4"/>
  <c r="CA62" i="4"/>
  <c r="CK63" i="4"/>
  <c r="CA64" i="4"/>
  <c r="CK65" i="4"/>
  <c r="CA66" i="4"/>
  <c r="CK67" i="4"/>
  <c r="CK72" i="4"/>
  <c r="CK73" i="4"/>
  <c r="CK74" i="4"/>
  <c r="CB134" i="4"/>
  <c r="AD134" i="4" s="1"/>
  <c r="CB135" i="4"/>
  <c r="AD135" i="4" s="1"/>
  <c r="CB136" i="4"/>
  <c r="AD136" i="4" s="1"/>
  <c r="CB137" i="4"/>
  <c r="AD137" i="4" s="1"/>
  <c r="CB138" i="4"/>
  <c r="AD138" i="4" s="1"/>
  <c r="CB139" i="4"/>
  <c r="AD139" i="4" s="1"/>
  <c r="CB140" i="4"/>
  <c r="AD140" i="4" s="1"/>
  <c r="CB141" i="4"/>
  <c r="AD141" i="4" s="1"/>
  <c r="CB142" i="4"/>
  <c r="AD142" i="4" s="1"/>
  <c r="CB143" i="4"/>
  <c r="AD143" i="4" s="1"/>
  <c r="CB144" i="4"/>
  <c r="AD144" i="4" s="1"/>
  <c r="CB145" i="4"/>
  <c r="AD145" i="4" s="1"/>
  <c r="CB146" i="4"/>
  <c r="AD146" i="4" s="1"/>
  <c r="CB147" i="4"/>
  <c r="AD147" i="4" s="1"/>
  <c r="CB148" i="4"/>
  <c r="AD148" i="4" s="1"/>
  <c r="CB149" i="4"/>
  <c r="AD149" i="4" s="1"/>
  <c r="CB150" i="4"/>
  <c r="AD150" i="4" s="1"/>
  <c r="CB151" i="4"/>
  <c r="AD151" i="4" s="1"/>
  <c r="D152" i="4"/>
  <c r="CD206" i="4"/>
  <c r="CL206" i="4"/>
  <c r="CD207" i="4"/>
  <c r="CK213" i="4"/>
  <c r="CK214" i="4"/>
  <c r="C271" i="4"/>
  <c r="CE272" i="4"/>
  <c r="CG273" i="4"/>
  <c r="CQ273" i="4"/>
  <c r="BX20" i="5"/>
  <c r="BR20" i="5"/>
  <c r="BV20" i="5"/>
  <c r="BP20" i="5"/>
  <c r="BW20" i="5"/>
  <c r="B22" i="5"/>
  <c r="BU23" i="5"/>
  <c r="BW24" i="5"/>
  <c r="BX32" i="5"/>
  <c r="BS32" i="5"/>
  <c r="BO32" i="5"/>
  <c r="BV32" i="5"/>
  <c r="BQ32" i="5"/>
  <c r="BR32" i="5"/>
  <c r="BW33" i="5"/>
  <c r="BR33" i="5"/>
  <c r="BY33" i="5"/>
  <c r="BU33" i="5"/>
  <c r="BP33" i="5"/>
  <c r="BV33" i="5"/>
  <c r="BV34" i="5"/>
  <c r="BV35" i="5"/>
  <c r="BV36" i="5"/>
  <c r="BV37" i="5"/>
  <c r="BW38" i="5"/>
  <c r="BW39" i="5"/>
  <c r="BW40" i="5"/>
  <c r="BW41" i="5"/>
  <c r="BW42" i="5"/>
  <c r="BW43" i="5"/>
  <c r="BW44" i="5"/>
  <c r="BW45" i="5"/>
  <c r="BW46" i="5"/>
  <c r="BW47" i="5"/>
  <c r="BW48" i="5"/>
  <c r="BQ53" i="5"/>
  <c r="BP54" i="5"/>
  <c r="BW136" i="5"/>
  <c r="BQ136" i="5"/>
  <c r="BU136" i="5"/>
  <c r="BO136" i="5"/>
  <c r="BR136" i="5"/>
  <c r="BU147" i="5"/>
  <c r="BW147" i="5"/>
  <c r="BP147" i="5"/>
  <c r="BU148" i="5"/>
  <c r="BW148" i="5"/>
  <c r="BP148" i="5"/>
  <c r="BU149" i="5"/>
  <c r="BW149" i="5"/>
  <c r="BP149" i="5"/>
  <c r="G24" i="6"/>
  <c r="C35" i="6"/>
  <c r="CX36" i="6"/>
  <c r="CT36" i="6"/>
  <c r="CO36" i="6"/>
  <c r="CH36" i="6"/>
  <c r="CV36" i="6"/>
  <c r="CJ36" i="6"/>
  <c r="CF36" i="6"/>
  <c r="CB36" i="6"/>
  <c r="CQ36" i="6"/>
  <c r="CW36" i="6"/>
  <c r="CV38" i="6"/>
  <c r="CJ38" i="6"/>
  <c r="CF38" i="6"/>
  <c r="CB38" i="6"/>
  <c r="CX38" i="6"/>
  <c r="CT38" i="6"/>
  <c r="CO38" i="6"/>
  <c r="CH38" i="6"/>
  <c r="CQ38" i="6"/>
  <c r="CW38" i="6"/>
  <c r="CX40" i="6"/>
  <c r="CT40" i="6"/>
  <c r="CO40" i="6"/>
  <c r="CH40" i="6"/>
  <c r="CV40" i="6"/>
  <c r="CJ40" i="6"/>
  <c r="CF40" i="6"/>
  <c r="CB40" i="6"/>
  <c r="CQ40" i="6"/>
  <c r="CW40" i="6"/>
  <c r="CV42" i="6"/>
  <c r="CJ42" i="6"/>
  <c r="CF42" i="6"/>
  <c r="CB42" i="6"/>
  <c r="CX42" i="6"/>
  <c r="CT42" i="6"/>
  <c r="CO42" i="6"/>
  <c r="CH42" i="6"/>
  <c r="CQ42" i="6"/>
  <c r="CW42" i="6"/>
  <c r="CK44" i="6"/>
  <c r="CC48" i="6"/>
  <c r="CI48" i="6"/>
  <c r="CC50" i="6"/>
  <c r="CI50" i="6"/>
  <c r="CA55" i="6"/>
  <c r="CG55" i="6"/>
  <c r="CS55" i="6"/>
  <c r="CO56" i="6"/>
  <c r="CT58" i="6"/>
  <c r="CP58" i="6"/>
  <c r="CF58" i="6"/>
  <c r="CB58" i="6"/>
  <c r="CV58" i="6"/>
  <c r="CH58" i="6"/>
  <c r="CE58" i="6"/>
  <c r="CA59" i="6"/>
  <c r="CG59" i="6"/>
  <c r="CS59" i="6"/>
  <c r="CB66" i="6"/>
  <c r="CP66" i="6"/>
  <c r="CA67" i="6"/>
  <c r="CB70" i="6"/>
  <c r="CP70" i="6"/>
  <c r="CA71" i="6"/>
  <c r="CB74" i="6"/>
  <c r="CP74" i="6"/>
  <c r="CA75" i="6"/>
  <c r="CB78" i="6"/>
  <c r="CP78" i="6"/>
  <c r="CA79" i="6"/>
  <c r="CB82" i="6"/>
  <c r="CP82" i="6"/>
  <c r="CA83" i="6"/>
  <c r="CO97" i="6"/>
  <c r="CC103" i="6"/>
  <c r="CP103" i="6"/>
  <c r="CA103" i="6"/>
  <c r="AM103" i="6" s="1"/>
  <c r="CO103" i="6"/>
  <c r="CC105" i="6"/>
  <c r="CP105" i="6"/>
  <c r="CA105" i="6"/>
  <c r="AM105" i="6" s="1"/>
  <c r="CO105" i="6"/>
  <c r="CO122" i="6"/>
  <c r="CA122" i="6"/>
  <c r="AJ122" i="6" s="1"/>
  <c r="CP122" i="6"/>
  <c r="CO126" i="6"/>
  <c r="CA126" i="6"/>
  <c r="AJ126" i="6" s="1"/>
  <c r="CP126" i="6"/>
  <c r="C162" i="6"/>
  <c r="CA158" i="6"/>
  <c r="P158" i="6" s="1"/>
  <c r="CO158" i="6"/>
  <c r="CP158" i="6"/>
  <c r="D162" i="6"/>
  <c r="CO169" i="6"/>
  <c r="CA169" i="6"/>
  <c r="CP169" i="6"/>
  <c r="CO172" i="6"/>
  <c r="CA172" i="6"/>
  <c r="CP172" i="6"/>
  <c r="D175" i="6"/>
  <c r="CP182" i="6"/>
  <c r="CO182" i="6"/>
  <c r="CA182" i="6"/>
  <c r="R182" i="6" s="1"/>
  <c r="CA185" i="6"/>
  <c r="CP185" i="6"/>
  <c r="CB185" i="6"/>
  <c r="CK195" i="6"/>
  <c r="CY195" i="6"/>
  <c r="CF195" i="6"/>
  <c r="CS195" i="6"/>
  <c r="CP196" i="6"/>
  <c r="CI196" i="6"/>
  <c r="CA196" i="6"/>
  <c r="C196" i="6"/>
  <c r="CW196" i="6"/>
  <c r="CO196" i="6"/>
  <c r="CH196" i="6"/>
  <c r="CD196" i="6"/>
  <c r="CB196" i="6"/>
  <c r="CR196" i="6"/>
  <c r="CE197" i="6"/>
  <c r="CK204" i="6"/>
  <c r="CY204" i="6"/>
  <c r="CF204" i="6"/>
  <c r="CS204" i="6"/>
  <c r="CP205" i="6"/>
  <c r="CI205" i="6"/>
  <c r="CA205" i="6"/>
  <c r="C205" i="6"/>
  <c r="CW205" i="6"/>
  <c r="CO205" i="6"/>
  <c r="CH205" i="6"/>
  <c r="CD205" i="6"/>
  <c r="CB205" i="6"/>
  <c r="CR205" i="6"/>
  <c r="CE206" i="6"/>
  <c r="CO358" i="6"/>
  <c r="CB358" i="6"/>
  <c r="CA358" i="6"/>
  <c r="CP358" i="6"/>
  <c r="CO360" i="6"/>
  <c r="CB360" i="6"/>
  <c r="CA360" i="6"/>
  <c r="CP360" i="6"/>
  <c r="CO362" i="6"/>
  <c r="CB362" i="6"/>
  <c r="CA362" i="6"/>
  <c r="CP362" i="6"/>
  <c r="CO364" i="6"/>
  <c r="CB364" i="6"/>
  <c r="CA364" i="6"/>
  <c r="CP364" i="6"/>
  <c r="CO366" i="6"/>
  <c r="CB366" i="6"/>
  <c r="CA366" i="6"/>
  <c r="CP366" i="6"/>
  <c r="CO373" i="6"/>
  <c r="CB373" i="6"/>
  <c r="CA373" i="6"/>
  <c r="CP373" i="6"/>
  <c r="CO376" i="6"/>
  <c r="CB376" i="6"/>
  <c r="CA376" i="6"/>
  <c r="CP376" i="6"/>
  <c r="CO379" i="6"/>
  <c r="CB379" i="6"/>
  <c r="CA379" i="6"/>
  <c r="CP379" i="6"/>
  <c r="CO381" i="6"/>
  <c r="CB381" i="6"/>
  <c r="CA381" i="6"/>
  <c r="CP381" i="6"/>
  <c r="CO384" i="6"/>
  <c r="CB384" i="6"/>
  <c r="CA384" i="6"/>
  <c r="CP384" i="6"/>
  <c r="CO386" i="6"/>
  <c r="CB386" i="6"/>
  <c r="CA386" i="6"/>
  <c r="CP386" i="6"/>
  <c r="CO388" i="6"/>
  <c r="CB388" i="6"/>
  <c r="CA388" i="6"/>
  <c r="CP388" i="6"/>
  <c r="CK55" i="7"/>
  <c r="CB55" i="7"/>
  <c r="CA55" i="7"/>
  <c r="AN55" i="7" s="1"/>
  <c r="CL55" i="7"/>
  <c r="CK57" i="7"/>
  <c r="CB57" i="7"/>
  <c r="CA57" i="7"/>
  <c r="AN57" i="7" s="1"/>
  <c r="CL57" i="7"/>
  <c r="CK59" i="7"/>
  <c r="CB59" i="7"/>
  <c r="CA59" i="7"/>
  <c r="AN59" i="7" s="1"/>
  <c r="CL59" i="7"/>
  <c r="CK61" i="7"/>
  <c r="CB61" i="7"/>
  <c r="CA61" i="7"/>
  <c r="AN61" i="7" s="1"/>
  <c r="CL61" i="7"/>
  <c r="CK63" i="7"/>
  <c r="CB63" i="7"/>
  <c r="CA63" i="7"/>
  <c r="AN63" i="7" s="1"/>
  <c r="CL63" i="7"/>
  <c r="CK65" i="7"/>
  <c r="CB65" i="7"/>
  <c r="CA65" i="7"/>
  <c r="AN65" i="7" s="1"/>
  <c r="CL65" i="7"/>
  <c r="CK67" i="7"/>
  <c r="CB67" i="7"/>
  <c r="CA67" i="7"/>
  <c r="AN67" i="7" s="1"/>
  <c r="CL67" i="7"/>
  <c r="CK69" i="7"/>
  <c r="CB69" i="7"/>
  <c r="CA69" i="7"/>
  <c r="AN69" i="7" s="1"/>
  <c r="CL69" i="7"/>
  <c r="CK71" i="7"/>
  <c r="CB71" i="7"/>
  <c r="CA71" i="7"/>
  <c r="AN71" i="7" s="1"/>
  <c r="CL71" i="7"/>
  <c r="CK73" i="7"/>
  <c r="CB73" i="7"/>
  <c r="CA73" i="7"/>
  <c r="AN73" i="7" s="1"/>
  <c r="CL73" i="7"/>
  <c r="CA114" i="7"/>
  <c r="Q114" i="7" s="1"/>
  <c r="CL114" i="7"/>
  <c r="CK114" i="7"/>
  <c r="CB114" i="7"/>
  <c r="CA116" i="7"/>
  <c r="Q116" i="7" s="1"/>
  <c r="CL116" i="7"/>
  <c r="CK116" i="7"/>
  <c r="CB116" i="7"/>
  <c r="CR16" i="14"/>
  <c r="CC17" i="14"/>
  <c r="S17" i="14" s="1"/>
  <c r="CG18" i="14"/>
  <c r="CG19" i="14"/>
  <c r="CG20" i="14"/>
  <c r="CR20" i="14"/>
  <c r="CC21" i="14"/>
  <c r="S21" i="14" s="1"/>
  <c r="CR21" i="14"/>
  <c r="CC22" i="14"/>
  <c r="CR23" i="14"/>
  <c r="CG26" i="14"/>
  <c r="CR26" i="14"/>
  <c r="CC27" i="14"/>
  <c r="CR27" i="14"/>
  <c r="CC28" i="14"/>
  <c r="CR28" i="14"/>
  <c r="CC31" i="14"/>
  <c r="CR31" i="14"/>
  <c r="CG34" i="14"/>
  <c r="CR34" i="14"/>
  <c r="CC35" i="14"/>
  <c r="CR35" i="14"/>
  <c r="CC36" i="14"/>
  <c r="CR36" i="14"/>
  <c r="CC37" i="14"/>
  <c r="CR37" i="14"/>
  <c r="CC38" i="14"/>
  <c r="CR38" i="14"/>
  <c r="CC39" i="14"/>
  <c r="CC42" i="14"/>
  <c r="CR42" i="14"/>
  <c r="CC43" i="14"/>
  <c r="CR44" i="14"/>
  <c r="CC53" i="14"/>
  <c r="CR55" i="14"/>
  <c r="CG56" i="14"/>
  <c r="CC57" i="14"/>
  <c r="CP69" i="14"/>
  <c r="CG73" i="14"/>
  <c r="CG105" i="14"/>
  <c r="CD115" i="14"/>
  <c r="CD119" i="14"/>
  <c r="D6" i="1"/>
  <c r="A4" i="22" s="1"/>
  <c r="CD12" i="14"/>
  <c r="CH12" i="14"/>
  <c r="CO12" i="14"/>
  <c r="B200" i="14" s="1"/>
  <c r="D17" i="29" s="1"/>
  <c r="CS12" i="14"/>
  <c r="CD13" i="14"/>
  <c r="CH13" i="14"/>
  <c r="CO13" i="14"/>
  <c r="CS13" i="14"/>
  <c r="CD14" i="14"/>
  <c r="CH14" i="14"/>
  <c r="CO14" i="14"/>
  <c r="CS14" i="14"/>
  <c r="CD15" i="14"/>
  <c r="CH15" i="14"/>
  <c r="CO15" i="14"/>
  <c r="CS15" i="14"/>
  <c r="CD16" i="14"/>
  <c r="CH16" i="14"/>
  <c r="CO16" i="14"/>
  <c r="CS16" i="14"/>
  <c r="CD17" i="14"/>
  <c r="CH17" i="14"/>
  <c r="CO17" i="14"/>
  <c r="CS17" i="14"/>
  <c r="CD18" i="14"/>
  <c r="CH18" i="14"/>
  <c r="CO18" i="14"/>
  <c r="CS18" i="14"/>
  <c r="CD19" i="14"/>
  <c r="CH19" i="14"/>
  <c r="CO19" i="14"/>
  <c r="CS19" i="14"/>
  <c r="CD20" i="14"/>
  <c r="CH20" i="14"/>
  <c r="CO20" i="14"/>
  <c r="CS20" i="14"/>
  <c r="CD21" i="14"/>
  <c r="CH21" i="14"/>
  <c r="CO21" i="14"/>
  <c r="CS21" i="14"/>
  <c r="CD22" i="14"/>
  <c r="CH22" i="14"/>
  <c r="CO22" i="14"/>
  <c r="CS22" i="14"/>
  <c r="CD23" i="14"/>
  <c r="CH23" i="14"/>
  <c r="CO23" i="14"/>
  <c r="CS23" i="14"/>
  <c r="CD24" i="14"/>
  <c r="CH24" i="14"/>
  <c r="CO24" i="14"/>
  <c r="CS24" i="14"/>
  <c r="CD25" i="14"/>
  <c r="CH25" i="14"/>
  <c r="CO25" i="14"/>
  <c r="CS25" i="14"/>
  <c r="CD26" i="14"/>
  <c r="CH26" i="14"/>
  <c r="CO26" i="14"/>
  <c r="CS26" i="14"/>
  <c r="CD27" i="14"/>
  <c r="CH27" i="14"/>
  <c r="CO27" i="14"/>
  <c r="CS27" i="14"/>
  <c r="CD28" i="14"/>
  <c r="CH28" i="14"/>
  <c r="CO28" i="14"/>
  <c r="CS28" i="14"/>
  <c r="CD29" i="14"/>
  <c r="CH29" i="14"/>
  <c r="CO29" i="14"/>
  <c r="CS29" i="14"/>
  <c r="CD30" i="14"/>
  <c r="CH30" i="14"/>
  <c r="CO30" i="14"/>
  <c r="CS30" i="14"/>
  <c r="CD31" i="14"/>
  <c r="CH31" i="14"/>
  <c r="CO31" i="14"/>
  <c r="CS31" i="14"/>
  <c r="CD32" i="14"/>
  <c r="CH32" i="14"/>
  <c r="CO32" i="14"/>
  <c r="CS32" i="14"/>
  <c r="CD33" i="14"/>
  <c r="CH33" i="14"/>
  <c r="CO33" i="14"/>
  <c r="CS33" i="14"/>
  <c r="CD34" i="14"/>
  <c r="CH34" i="14"/>
  <c r="CO34" i="14"/>
  <c r="CS34" i="14"/>
  <c r="CD35" i="14"/>
  <c r="CH35" i="14"/>
  <c r="CO35" i="14"/>
  <c r="CS35" i="14"/>
  <c r="CD36" i="14"/>
  <c r="CH36" i="14"/>
  <c r="CO36" i="14"/>
  <c r="CS36" i="14"/>
  <c r="CD37" i="14"/>
  <c r="CH37" i="14"/>
  <c r="CO37" i="14"/>
  <c r="CS37" i="14"/>
  <c r="CD38" i="14"/>
  <c r="CH38" i="14"/>
  <c r="CO38" i="14"/>
  <c r="CS38" i="14"/>
  <c r="CD39" i="14"/>
  <c r="CH39" i="14"/>
  <c r="CO39" i="14"/>
  <c r="CS39" i="14"/>
  <c r="CD40" i="14"/>
  <c r="CH40" i="14"/>
  <c r="CO40" i="14"/>
  <c r="CS40" i="14"/>
  <c r="CD41" i="14"/>
  <c r="CH41" i="14"/>
  <c r="CO41" i="14"/>
  <c r="CS41" i="14"/>
  <c r="CD42" i="14"/>
  <c r="CH42" i="14"/>
  <c r="CO42" i="14"/>
  <c r="CS42" i="14"/>
  <c r="CD43" i="14"/>
  <c r="CH43" i="14"/>
  <c r="CO43" i="14"/>
  <c r="CS43" i="14"/>
  <c r="CD44" i="14"/>
  <c r="CH44" i="14"/>
  <c r="CO44" i="14"/>
  <c r="CS44" i="14"/>
  <c r="CD45" i="14"/>
  <c r="CH45" i="14"/>
  <c r="CO45" i="14"/>
  <c r="CS45" i="14"/>
  <c r="CD46" i="14"/>
  <c r="CH46" i="14"/>
  <c r="CO46" i="14"/>
  <c r="CS46" i="14"/>
  <c r="CD47" i="14"/>
  <c r="CH47" i="14"/>
  <c r="CO47" i="14"/>
  <c r="CS47" i="14"/>
  <c r="CD48" i="14"/>
  <c r="CH48" i="14"/>
  <c r="CO48" i="14"/>
  <c r="CS48" i="14"/>
  <c r="CD49" i="14"/>
  <c r="CH49" i="14"/>
  <c r="CO49" i="14"/>
  <c r="CS49" i="14"/>
  <c r="CD50" i="14"/>
  <c r="CH50" i="14"/>
  <c r="CO50" i="14"/>
  <c r="CS50" i="14"/>
  <c r="CD51" i="14"/>
  <c r="CH51" i="14"/>
  <c r="CO51" i="14"/>
  <c r="CS51" i="14"/>
  <c r="CD53" i="14"/>
  <c r="CH53" i="14"/>
  <c r="CO53" i="14"/>
  <c r="CS53" i="14"/>
  <c r="CD54" i="14"/>
  <c r="CH54" i="14"/>
  <c r="CO54" i="14"/>
  <c r="CS54" i="14"/>
  <c r="CD55" i="14"/>
  <c r="CH55" i="14"/>
  <c r="CO55" i="14"/>
  <c r="CS55" i="14"/>
  <c r="CD56" i="14"/>
  <c r="CH56" i="14"/>
  <c r="CO56" i="14"/>
  <c r="CS56" i="14"/>
  <c r="CD57" i="14"/>
  <c r="CH57" i="14"/>
  <c r="CO57" i="14"/>
  <c r="CS57" i="14"/>
  <c r="CC62" i="14"/>
  <c r="X62" i="14" s="1"/>
  <c r="CG62" i="14"/>
  <c r="CP62" i="14"/>
  <c r="CD65" i="14"/>
  <c r="CQ65" i="14"/>
  <c r="CC66" i="14"/>
  <c r="X66" i="14" s="1"/>
  <c r="CG66" i="14"/>
  <c r="CP66" i="14"/>
  <c r="CD69" i="14"/>
  <c r="CQ69" i="14"/>
  <c r="CC70" i="14"/>
  <c r="X70" i="14" s="1"/>
  <c r="CG70" i="14"/>
  <c r="CP70" i="14"/>
  <c r="CD73" i="14"/>
  <c r="CQ73" i="14"/>
  <c r="CF88" i="14"/>
  <c r="CO88" i="14"/>
  <c r="CS88" i="14"/>
  <c r="CF89" i="14"/>
  <c r="CO89" i="14"/>
  <c r="CS89" i="14"/>
  <c r="CF90" i="14"/>
  <c r="CO90" i="14"/>
  <c r="CS90" i="14"/>
  <c r="CF91" i="14"/>
  <c r="CO91" i="14"/>
  <c r="CS91" i="14"/>
  <c r="CD97" i="14"/>
  <c r="CQ97" i="14"/>
  <c r="CC98" i="14"/>
  <c r="U98" i="14" s="1"/>
  <c r="CG98" i="14"/>
  <c r="CP98" i="14"/>
  <c r="CF99" i="14"/>
  <c r="CO99" i="14"/>
  <c r="CS99" i="14"/>
  <c r="CE100" i="14"/>
  <c r="CR100" i="14"/>
  <c r="CD101" i="14"/>
  <c r="CQ101" i="14"/>
  <c r="CC102" i="14"/>
  <c r="U102" i="14" s="1"/>
  <c r="CG102" i="14"/>
  <c r="CP102" i="14"/>
  <c r="CF103" i="14"/>
  <c r="CO103" i="14"/>
  <c r="CS103" i="14"/>
  <c r="CE104" i="14"/>
  <c r="CR104" i="14"/>
  <c r="CD105" i="14"/>
  <c r="CQ105" i="14"/>
  <c r="CC106" i="14"/>
  <c r="U106" i="14" s="1"/>
  <c r="CG106" i="14"/>
  <c r="CP106" i="14"/>
  <c r="CF107" i="14"/>
  <c r="CO107" i="14"/>
  <c r="CS107" i="14"/>
  <c r="CR108" i="14"/>
  <c r="CC113" i="14"/>
  <c r="CG113" i="14"/>
  <c r="CP113" i="14"/>
  <c r="CD114" i="14"/>
  <c r="CQ114" i="14"/>
  <c r="CE115" i="14"/>
  <c r="CR115" i="14"/>
  <c r="CF116" i="14"/>
  <c r="CO116" i="14"/>
  <c r="CS116" i="14"/>
  <c r="CC117" i="14"/>
  <c r="CG117" i="14"/>
  <c r="CP117" i="14"/>
  <c r="CD118" i="14"/>
  <c r="CQ118" i="14"/>
  <c r="CE119" i="14"/>
  <c r="CR119" i="14"/>
  <c r="CF120" i="14"/>
  <c r="CO120" i="14"/>
  <c r="CS120" i="14"/>
  <c r="CC121" i="14"/>
  <c r="CG121" i="14"/>
  <c r="CP121" i="14"/>
  <c r="CD122" i="14"/>
  <c r="CQ122" i="14"/>
  <c r="C123" i="14"/>
  <c r="A200" i="14"/>
  <c r="E17" i="29" s="1"/>
  <c r="A3" i="30"/>
  <c r="C2" i="29"/>
  <c r="CB11" i="2"/>
  <c r="CG11" i="2"/>
  <c r="DB11" i="2"/>
  <c r="DF11" i="2"/>
  <c r="CB12" i="2"/>
  <c r="CG12" i="2"/>
  <c r="DB12" i="2"/>
  <c r="DF12" i="2"/>
  <c r="CB13" i="2"/>
  <c r="CH13" i="2"/>
  <c r="CU13" i="2"/>
  <c r="DA13" i="2"/>
  <c r="DF13" i="2"/>
  <c r="CB14" i="2"/>
  <c r="CH14" i="2"/>
  <c r="CU14" i="2"/>
  <c r="DA14" i="2"/>
  <c r="DF14" i="2"/>
  <c r="CB15" i="2"/>
  <c r="CH15" i="2"/>
  <c r="CU15" i="2"/>
  <c r="DA15" i="2"/>
  <c r="DF15" i="2"/>
  <c r="CB16" i="2"/>
  <c r="CH16" i="2"/>
  <c r="CU16" i="2"/>
  <c r="DA16" i="2"/>
  <c r="DF16" i="2"/>
  <c r="CB17" i="2"/>
  <c r="CH17" i="2"/>
  <c r="CU17" i="2"/>
  <c r="DA17" i="2"/>
  <c r="DF17" i="2"/>
  <c r="CB18" i="2"/>
  <c r="CH18" i="2"/>
  <c r="CU18" i="2"/>
  <c r="DA18" i="2"/>
  <c r="DF18" i="2"/>
  <c r="CB19" i="2"/>
  <c r="CG19" i="2"/>
  <c r="CL19" i="2"/>
  <c r="CY19" i="2"/>
  <c r="DC19" i="2"/>
  <c r="CE20" i="2"/>
  <c r="CI20" i="2"/>
  <c r="CV20" i="2"/>
  <c r="DA20" i="2"/>
  <c r="DF20" i="2"/>
  <c r="CB21" i="2"/>
  <c r="CG21" i="2"/>
  <c r="CL21" i="2"/>
  <c r="CY21" i="2"/>
  <c r="DC21" i="2"/>
  <c r="CE22" i="2"/>
  <c r="CI22" i="2"/>
  <c r="CV22" i="2"/>
  <c r="DA22" i="2"/>
  <c r="DF22" i="2"/>
  <c r="CC23" i="2"/>
  <c r="CH23" i="2"/>
  <c r="CY23" i="2"/>
  <c r="DC23" i="2"/>
  <c r="CC24" i="2"/>
  <c r="CH24" i="2"/>
  <c r="CY24" i="2"/>
  <c r="DC24" i="2"/>
  <c r="CC25" i="2"/>
  <c r="CH25" i="2"/>
  <c r="CY25" i="2"/>
  <c r="DC25" i="2"/>
  <c r="CC26" i="2"/>
  <c r="CH26" i="2"/>
  <c r="CY26" i="2"/>
  <c r="DC26" i="2"/>
  <c r="CH27" i="2"/>
  <c r="CU27" i="2"/>
  <c r="DA27" i="2"/>
  <c r="DF27" i="2"/>
  <c r="CH28" i="2"/>
  <c r="CU28" i="2"/>
  <c r="DA28" i="2"/>
  <c r="DF28" i="2"/>
  <c r="CG29" i="2"/>
  <c r="CL29" i="2"/>
  <c r="DC29" i="2"/>
  <c r="CI30" i="2"/>
  <c r="DA30" i="2"/>
  <c r="DF30" i="2"/>
  <c r="CB31" i="2"/>
  <c r="CG31" i="2"/>
  <c r="CV31" i="2"/>
  <c r="DA31" i="2"/>
  <c r="CE32" i="2"/>
  <c r="CI32" i="2"/>
  <c r="CM32" i="2"/>
  <c r="CY32" i="2"/>
  <c r="DC32" i="2"/>
  <c r="DG32" i="2"/>
  <c r="CF36" i="2"/>
  <c r="CZ36" i="2"/>
  <c r="CD37" i="2"/>
  <c r="AO37" i="2" s="1"/>
  <c r="CH37" i="2"/>
  <c r="CX37" i="2"/>
  <c r="DB37" i="2"/>
  <c r="CG38" i="2"/>
  <c r="CX38" i="2"/>
  <c r="DB38" i="2"/>
  <c r="CG39" i="2"/>
  <c r="CX39" i="2"/>
  <c r="DB39" i="2"/>
  <c r="CV44" i="2"/>
  <c r="CV45" i="2"/>
  <c r="CV46" i="2"/>
  <c r="CV47" i="2"/>
  <c r="CV48" i="2"/>
  <c r="CV49" i="2"/>
  <c r="CV50" i="2"/>
  <c r="CV51" i="2"/>
  <c r="CV52" i="2"/>
  <c r="CV53" i="2"/>
  <c r="CV54" i="2"/>
  <c r="CV55" i="2"/>
  <c r="CV56" i="2"/>
  <c r="CV57" i="2"/>
  <c r="CV58" i="2"/>
  <c r="CV59" i="2"/>
  <c r="CV60" i="2"/>
  <c r="CV61" i="2"/>
  <c r="CV62" i="2"/>
  <c r="CV63" i="2"/>
  <c r="CV64" i="2"/>
  <c r="CV65" i="2"/>
  <c r="CV66" i="2"/>
  <c r="CA70" i="2"/>
  <c r="CU70" i="2"/>
  <c r="CB71" i="2"/>
  <c r="CV71" i="2"/>
  <c r="CC72" i="2"/>
  <c r="CW72" i="2"/>
  <c r="CD73" i="2"/>
  <c r="CD78" i="2"/>
  <c r="CX78" i="2"/>
  <c r="CB79" i="2"/>
  <c r="CV79" i="2"/>
  <c r="CD80" i="2"/>
  <c r="CX80" i="2"/>
  <c r="CB81" i="2"/>
  <c r="CV81" i="2"/>
  <c r="CD82" i="2"/>
  <c r="CX82" i="2"/>
  <c r="CV88" i="2"/>
  <c r="CV89" i="2"/>
  <c r="CV90" i="2"/>
  <c r="CV91" i="2"/>
  <c r="CV92" i="2"/>
  <c r="CV93" i="2"/>
  <c r="B11" i="3"/>
  <c r="CG12" i="3"/>
  <c r="CG13" i="3"/>
  <c r="CG14" i="3"/>
  <c r="CG15" i="3"/>
  <c r="CG16" i="3"/>
  <c r="CG17" i="3"/>
  <c r="CL61" i="4"/>
  <c r="CB62" i="4"/>
  <c r="CL63" i="4"/>
  <c r="CB64" i="4"/>
  <c r="CL65" i="4"/>
  <c r="CB66" i="4"/>
  <c r="CL67" i="4"/>
  <c r="CL72" i="4"/>
  <c r="CL73" i="4"/>
  <c r="CL74" i="4"/>
  <c r="CK134" i="4"/>
  <c r="CK135" i="4"/>
  <c r="CK136" i="4"/>
  <c r="CK137" i="4"/>
  <c r="CK138" i="4"/>
  <c r="CK139" i="4"/>
  <c r="CK140" i="4"/>
  <c r="CK141" i="4"/>
  <c r="CK142" i="4"/>
  <c r="CK143" i="4"/>
  <c r="CK144" i="4"/>
  <c r="CK145" i="4"/>
  <c r="CK146" i="4"/>
  <c r="CK147" i="4"/>
  <c r="CK148" i="4"/>
  <c r="CK149" i="4"/>
  <c r="CK150" i="4"/>
  <c r="CK151" i="4"/>
  <c r="C206" i="4"/>
  <c r="A278" i="4" s="1"/>
  <c r="E7" i="29" s="1"/>
  <c r="CA206" i="4"/>
  <c r="CM206" i="4"/>
  <c r="C207" i="4"/>
  <c r="CA207" i="4"/>
  <c r="CM207" i="4"/>
  <c r="CL213" i="4"/>
  <c r="CL214" i="4"/>
  <c r="CA260" i="4"/>
  <c r="Q260" i="4" s="1"/>
  <c r="CA261" i="4"/>
  <c r="Q261" i="4" s="1"/>
  <c r="CA262" i="4"/>
  <c r="Q262" i="4" s="1"/>
  <c r="CE271" i="4"/>
  <c r="CG272" i="4"/>
  <c r="CA273" i="4"/>
  <c r="BW19" i="5"/>
  <c r="BQ19" i="5"/>
  <c r="BU19" i="5"/>
  <c r="BO19" i="5"/>
  <c r="BR19" i="5"/>
  <c r="BO20" i="5"/>
  <c r="AT20" i="5" s="1"/>
  <c r="BU32" i="5"/>
  <c r="BO33" i="5"/>
  <c r="AT33" i="5" s="1"/>
  <c r="BX33" i="5"/>
  <c r="BO34" i="5"/>
  <c r="BO35" i="5"/>
  <c r="BO36" i="5"/>
  <c r="BO37" i="5"/>
  <c r="BP38" i="5"/>
  <c r="BP39" i="5"/>
  <c r="BP40" i="5"/>
  <c r="BP41" i="5"/>
  <c r="BP42" i="5"/>
  <c r="BP43" i="5"/>
  <c r="BP44" i="5"/>
  <c r="BP45" i="5"/>
  <c r="BP46" i="5"/>
  <c r="BP47" i="5"/>
  <c r="BP48" i="5"/>
  <c r="BP60" i="5"/>
  <c r="BU60" i="5"/>
  <c r="B59" i="5"/>
  <c r="BU80" i="5"/>
  <c r="BP80" i="5"/>
  <c r="BV80" i="5"/>
  <c r="BU81" i="5"/>
  <c r="BP81" i="5"/>
  <c r="BV81" i="5"/>
  <c r="BU82" i="5"/>
  <c r="BP82" i="5"/>
  <c r="AO82" i="5" s="1"/>
  <c r="BV82" i="5"/>
  <c r="BU83" i="5"/>
  <c r="BP83" i="5"/>
  <c r="BV83" i="5"/>
  <c r="BW135" i="5"/>
  <c r="BQ135" i="5"/>
  <c r="BU135" i="5"/>
  <c r="BO135" i="5"/>
  <c r="AS135" i="5" s="1"/>
  <c r="BR135" i="5"/>
  <c r="BO147" i="5"/>
  <c r="L147" i="5" s="1"/>
  <c r="BO148" i="5"/>
  <c r="L148" i="5" s="1"/>
  <c r="BO149" i="5"/>
  <c r="L149" i="5" s="1"/>
  <c r="G18" i="6"/>
  <c r="G26" i="6"/>
  <c r="CA36" i="6"/>
  <c r="CG36" i="6"/>
  <c r="CY36" i="6"/>
  <c r="CA38" i="6"/>
  <c r="AB38" i="6" s="1"/>
  <c r="CG38" i="6"/>
  <c r="CY38" i="6"/>
  <c r="CA40" i="6"/>
  <c r="CG40" i="6"/>
  <c r="CY40" i="6"/>
  <c r="CA42" i="6"/>
  <c r="AB42" i="6" s="1"/>
  <c r="CG42" i="6"/>
  <c r="CY42" i="6"/>
  <c r="CX44" i="6"/>
  <c r="CT44" i="6"/>
  <c r="CO44" i="6"/>
  <c r="CH44" i="6"/>
  <c r="CV44" i="6"/>
  <c r="CJ44" i="6"/>
  <c r="AB44" i="6" s="1"/>
  <c r="CF44" i="6"/>
  <c r="CB44" i="6"/>
  <c r="CQ44" i="6"/>
  <c r="CW44" i="6"/>
  <c r="CV46" i="6"/>
  <c r="CJ46" i="6"/>
  <c r="CF46" i="6"/>
  <c r="CB46" i="6"/>
  <c r="CX46" i="6"/>
  <c r="CT46" i="6"/>
  <c r="CO46" i="6"/>
  <c r="CH46" i="6"/>
  <c r="CQ46" i="6"/>
  <c r="CW46" i="6"/>
  <c r="CK48" i="6"/>
  <c r="CK50" i="6"/>
  <c r="CO55" i="6"/>
  <c r="CV57" i="6"/>
  <c r="CH57" i="6"/>
  <c r="CT57" i="6"/>
  <c r="CP57" i="6"/>
  <c r="CF57" i="6"/>
  <c r="CB57" i="6"/>
  <c r="CE57" i="6"/>
  <c r="CA58" i="6"/>
  <c r="CG58" i="6"/>
  <c r="CS58" i="6"/>
  <c r="CO59" i="6"/>
  <c r="CP65" i="6"/>
  <c r="CB65" i="6"/>
  <c r="CA66" i="6"/>
  <c r="S66" i="6" s="1"/>
  <c r="CP69" i="6"/>
  <c r="CB69" i="6"/>
  <c r="CA70" i="6"/>
  <c r="S70" i="6" s="1"/>
  <c r="CP73" i="6"/>
  <c r="CB73" i="6"/>
  <c r="S73" i="6" s="1"/>
  <c r="CA74" i="6"/>
  <c r="S74" i="6" s="1"/>
  <c r="CP77" i="6"/>
  <c r="CB77" i="6"/>
  <c r="CA78" i="6"/>
  <c r="S78" i="6" s="1"/>
  <c r="CP81" i="6"/>
  <c r="CB81" i="6"/>
  <c r="CA82" i="6"/>
  <c r="S82" i="6" s="1"/>
  <c r="CQ96" i="6"/>
  <c r="CB96" i="6"/>
  <c r="AX96" i="6" s="1"/>
  <c r="CO96" i="6"/>
  <c r="CC96" i="6"/>
  <c r="CQ103" i="6"/>
  <c r="CQ105" i="6"/>
  <c r="CO119" i="6"/>
  <c r="CA119" i="6"/>
  <c r="AJ119" i="6" s="1"/>
  <c r="CP119" i="6"/>
  <c r="CO123" i="6"/>
  <c r="CA123" i="6"/>
  <c r="AJ123" i="6" s="1"/>
  <c r="CP123" i="6"/>
  <c r="CO127" i="6"/>
  <c r="CA127" i="6"/>
  <c r="AJ127" i="6" s="1"/>
  <c r="CP127" i="6"/>
  <c r="CP134" i="6"/>
  <c r="CA134" i="6"/>
  <c r="CC134" i="6"/>
  <c r="AN134" i="6" s="1"/>
  <c r="CO134" i="6"/>
  <c r="CP136" i="6"/>
  <c r="CA136" i="6"/>
  <c r="CC136" i="6"/>
  <c r="AN136" i="6" s="1"/>
  <c r="CO136" i="6"/>
  <c r="CQ138" i="6"/>
  <c r="CB138" i="6"/>
  <c r="CO138" i="6"/>
  <c r="CP138" i="6"/>
  <c r="C154" i="6"/>
  <c r="CA159" i="6"/>
  <c r="P159" i="6" s="1"/>
  <c r="CO159" i="6"/>
  <c r="CP159" i="6"/>
  <c r="D170" i="6"/>
  <c r="D176" i="6" s="1"/>
  <c r="CP173" i="6"/>
  <c r="CO173" i="6"/>
  <c r="CA173" i="6"/>
  <c r="S173" i="6" s="1"/>
  <c r="CP174" i="6"/>
  <c r="CO174" i="6"/>
  <c r="CA174" i="6"/>
  <c r="CP181" i="6"/>
  <c r="CO181" i="6"/>
  <c r="CA181" i="6"/>
  <c r="CA184" i="6"/>
  <c r="R184" i="6" s="1"/>
  <c r="CP184" i="6"/>
  <c r="CB184" i="6"/>
  <c r="CP193" i="6"/>
  <c r="CI193" i="6"/>
  <c r="CA193" i="6"/>
  <c r="C193" i="6"/>
  <c r="CW193" i="6"/>
  <c r="CO193" i="6"/>
  <c r="CH193" i="6"/>
  <c r="CD193" i="6"/>
  <c r="CB193" i="6"/>
  <c r="CR193" i="6"/>
  <c r="CT195" i="6"/>
  <c r="CV196" i="6"/>
  <c r="CK202" i="6"/>
  <c r="CY202" i="6"/>
  <c r="CF202" i="6"/>
  <c r="CS202" i="6"/>
  <c r="CP203" i="6"/>
  <c r="CI203" i="6"/>
  <c r="CA203" i="6"/>
  <c r="C203" i="6"/>
  <c r="CW203" i="6"/>
  <c r="CO203" i="6"/>
  <c r="CH203" i="6"/>
  <c r="CD203" i="6"/>
  <c r="CB203" i="6"/>
  <c r="CR203" i="6"/>
  <c r="CE204" i="6"/>
  <c r="CT204" i="6"/>
  <c r="CV205" i="6"/>
  <c r="CN136" i="7"/>
  <c r="CE136" i="7"/>
  <c r="CA136" i="7"/>
  <c r="CM136" i="7"/>
  <c r="CD136" i="7"/>
  <c r="CL136" i="7"/>
  <c r="CC136" i="7"/>
  <c r="CO136" i="7"/>
  <c r="CK136" i="7"/>
  <c r="CB136" i="7"/>
  <c r="CB167" i="7"/>
  <c r="CC167" i="7"/>
  <c r="CC12" i="14"/>
  <c r="S12" i="14" s="1"/>
  <c r="CG12" i="14"/>
  <c r="CR12" i="14"/>
  <c r="CC13" i="14"/>
  <c r="S13" i="14" s="1"/>
  <c r="CG13" i="14"/>
  <c r="CG14" i="14"/>
  <c r="CR14" i="14"/>
  <c r="CC15" i="14"/>
  <c r="S15" i="14" s="1"/>
  <c r="CG15" i="14"/>
  <c r="CG16" i="14"/>
  <c r="CG17" i="14"/>
  <c r="CR19" i="14"/>
  <c r="CC20" i="14"/>
  <c r="S20" i="14" s="1"/>
  <c r="CG22" i="14"/>
  <c r="CG25" i="14"/>
  <c r="CR25" i="14"/>
  <c r="CC26" i="14"/>
  <c r="CC29" i="14"/>
  <c r="CG29" i="14"/>
  <c r="CG30" i="14"/>
  <c r="CR30" i="14"/>
  <c r="CC32" i="14"/>
  <c r="CG32" i="14"/>
  <c r="CG33" i="14"/>
  <c r="CR33" i="14"/>
  <c r="CC34" i="14"/>
  <c r="CG36" i="14"/>
  <c r="CG39" i="14"/>
  <c r="CG41" i="14"/>
  <c r="CR41" i="14"/>
  <c r="CG42" i="14"/>
  <c r="CR43" i="14"/>
  <c r="CC44" i="14"/>
  <c r="CG44" i="14"/>
  <c r="CR45" i="14"/>
  <c r="CC46" i="14"/>
  <c r="CR46" i="14"/>
  <c r="CC47" i="14"/>
  <c r="CG47" i="14"/>
  <c r="CG53" i="14"/>
  <c r="CR54" i="14"/>
  <c r="CC55" i="14"/>
  <c r="CG57" i="14"/>
  <c r="CR57" i="14"/>
  <c r="CG65" i="14"/>
  <c r="CP65" i="14"/>
  <c r="CC69" i="14"/>
  <c r="CC73" i="14"/>
  <c r="CP73" i="14"/>
  <c r="CC97" i="14"/>
  <c r="U97" i="14" s="1"/>
  <c r="CG97" i="14"/>
  <c r="CP97" i="14"/>
  <c r="CC101" i="14"/>
  <c r="U101" i="14" s="1"/>
  <c r="CG101" i="14"/>
  <c r="CP101" i="14"/>
  <c r="CC105" i="14"/>
  <c r="U105" i="14" s="1"/>
  <c r="CP105" i="14"/>
  <c r="K109" i="14"/>
  <c r="CQ119" i="14"/>
  <c r="CE12" i="14"/>
  <c r="CP12" i="14"/>
  <c r="CT12" i="14"/>
  <c r="CE13" i="14"/>
  <c r="CP13" i="14"/>
  <c r="CT13" i="14"/>
  <c r="CE14" i="14"/>
  <c r="CP14" i="14"/>
  <c r="CT14" i="14"/>
  <c r="CE15" i="14"/>
  <c r="CP15" i="14"/>
  <c r="CT15" i="14"/>
  <c r="CE16" i="14"/>
  <c r="CP16" i="14"/>
  <c r="CT16" i="14"/>
  <c r="CE17" i="14"/>
  <c r="CP17" i="14"/>
  <c r="CT17" i="14"/>
  <c r="CE18" i="14"/>
  <c r="CP18" i="14"/>
  <c r="CT18" i="14"/>
  <c r="CE19" i="14"/>
  <c r="CP19" i="14"/>
  <c r="CT19" i="14"/>
  <c r="CE20" i="14"/>
  <c r="CP20" i="14"/>
  <c r="CT20" i="14"/>
  <c r="CE21" i="14"/>
  <c r="CP21" i="14"/>
  <c r="CT21" i="14"/>
  <c r="CE22" i="14"/>
  <c r="CP22" i="14"/>
  <c r="CT22" i="14"/>
  <c r="CE23" i="14"/>
  <c r="CP23" i="14"/>
  <c r="CT23" i="14"/>
  <c r="CE24" i="14"/>
  <c r="CP24" i="14"/>
  <c r="CT24" i="14"/>
  <c r="CE25" i="14"/>
  <c r="CP25" i="14"/>
  <c r="CT25" i="14"/>
  <c r="CE26" i="14"/>
  <c r="CP26" i="14"/>
  <c r="CT26" i="14"/>
  <c r="CE27" i="14"/>
  <c r="CP27" i="14"/>
  <c r="CT27" i="14"/>
  <c r="CE28" i="14"/>
  <c r="CP28" i="14"/>
  <c r="CT28" i="14"/>
  <c r="CE29" i="14"/>
  <c r="CP29" i="14"/>
  <c r="CT29" i="14"/>
  <c r="CE30" i="14"/>
  <c r="CP30" i="14"/>
  <c r="CT30" i="14"/>
  <c r="CE31" i="14"/>
  <c r="CP31" i="14"/>
  <c r="CT31" i="14"/>
  <c r="CE32" i="14"/>
  <c r="CP32" i="14"/>
  <c r="CT32" i="14"/>
  <c r="CE33" i="14"/>
  <c r="CP33" i="14"/>
  <c r="CT33" i="14"/>
  <c r="CE34" i="14"/>
  <c r="CP34" i="14"/>
  <c r="CT34" i="14"/>
  <c r="CE35" i="14"/>
  <c r="CP35" i="14"/>
  <c r="CT35" i="14"/>
  <c r="CE36" i="14"/>
  <c r="CP36" i="14"/>
  <c r="CT36" i="14"/>
  <c r="CE37" i="14"/>
  <c r="CP37" i="14"/>
  <c r="CT37" i="14"/>
  <c r="CE38" i="14"/>
  <c r="CP38" i="14"/>
  <c r="CT38" i="14"/>
  <c r="CE39" i="14"/>
  <c r="CP39" i="14"/>
  <c r="CT39" i="14"/>
  <c r="CE40" i="14"/>
  <c r="CP40" i="14"/>
  <c r="CT40" i="14"/>
  <c r="CE41" i="14"/>
  <c r="CP41" i="14"/>
  <c r="CT41" i="14"/>
  <c r="CE42" i="14"/>
  <c r="CP42" i="14"/>
  <c r="CT42" i="14"/>
  <c r="CE43" i="14"/>
  <c r="CP43" i="14"/>
  <c r="CT43" i="14"/>
  <c r="CE44" i="14"/>
  <c r="CP44" i="14"/>
  <c r="CT44" i="14"/>
  <c r="CE45" i="14"/>
  <c r="CP45" i="14"/>
  <c r="CT45" i="14"/>
  <c r="CE46" i="14"/>
  <c r="CP46" i="14"/>
  <c r="CT46" i="14"/>
  <c r="CE47" i="14"/>
  <c r="CP47" i="14"/>
  <c r="CT47" i="14"/>
  <c r="CE48" i="14"/>
  <c r="CP48" i="14"/>
  <c r="CT48" i="14"/>
  <c r="CE49" i="14"/>
  <c r="CP49" i="14"/>
  <c r="CT49" i="14"/>
  <c r="CE50" i="14"/>
  <c r="CP50" i="14"/>
  <c r="CT50" i="14"/>
  <c r="CE51" i="14"/>
  <c r="CP51" i="14"/>
  <c r="CT51" i="14"/>
  <c r="CE53" i="14"/>
  <c r="CP53" i="14"/>
  <c r="CT53" i="14"/>
  <c r="CE54" i="14"/>
  <c r="CP54" i="14"/>
  <c r="CT54" i="14"/>
  <c r="CE55" i="14"/>
  <c r="CP55" i="14"/>
  <c r="CT55" i="14"/>
  <c r="CE56" i="14"/>
  <c r="CP56" i="14"/>
  <c r="CT56" i="14"/>
  <c r="CE57" i="14"/>
  <c r="CP57" i="14"/>
  <c r="CT57" i="14"/>
  <c r="CD62" i="14"/>
  <c r="CQ62" i="14"/>
  <c r="CC63" i="14"/>
  <c r="X63" i="14" s="1"/>
  <c r="CG63" i="14"/>
  <c r="CP63" i="14"/>
  <c r="CE65" i="14"/>
  <c r="CR65" i="14"/>
  <c r="CD66" i="14"/>
  <c r="CQ66" i="14"/>
  <c r="CC67" i="14"/>
  <c r="X67" i="14" s="1"/>
  <c r="CG67" i="14"/>
  <c r="CP67" i="14"/>
  <c r="CE69" i="14"/>
  <c r="CR69" i="14"/>
  <c r="CD70" i="14"/>
  <c r="CQ70" i="14"/>
  <c r="CC71" i="14"/>
  <c r="X71" i="14" s="1"/>
  <c r="CG71" i="14"/>
  <c r="CP71" i="14"/>
  <c r="CE73" i="14"/>
  <c r="CR73" i="14"/>
  <c r="CC78" i="14"/>
  <c r="S78" i="14" s="1"/>
  <c r="CG78" i="14"/>
  <c r="CP78" i="14"/>
  <c r="CC79" i="14"/>
  <c r="S79" i="14" s="1"/>
  <c r="CG79" i="14"/>
  <c r="CP79" i="14"/>
  <c r="CC80" i="14"/>
  <c r="S80" i="14" s="1"/>
  <c r="CG80" i="14"/>
  <c r="CP80" i="14"/>
  <c r="CC81" i="14"/>
  <c r="S81" i="14" s="1"/>
  <c r="CG81" i="14"/>
  <c r="CP81" i="14"/>
  <c r="CC82" i="14"/>
  <c r="S82" i="14" s="1"/>
  <c r="CG82" i="14"/>
  <c r="CP82" i="14"/>
  <c r="CC83" i="14"/>
  <c r="S83" i="14" s="1"/>
  <c r="CG83" i="14"/>
  <c r="CP83" i="14"/>
  <c r="CC84" i="14"/>
  <c r="S84" i="14" s="1"/>
  <c r="CG84" i="14"/>
  <c r="CP84" i="14"/>
  <c r="CC85" i="14"/>
  <c r="S85" i="14" s="1"/>
  <c r="CG85" i="14"/>
  <c r="CP85" i="14"/>
  <c r="CC86" i="14"/>
  <c r="S86" i="14" s="1"/>
  <c r="CG86" i="14"/>
  <c r="CP86" i="14"/>
  <c r="CC87" i="14"/>
  <c r="S87" i="14" s="1"/>
  <c r="CG87" i="14"/>
  <c r="CP87" i="14"/>
  <c r="CC88" i="14"/>
  <c r="S88" i="14" s="1"/>
  <c r="CG88" i="14"/>
  <c r="CP88" i="14"/>
  <c r="CC89" i="14"/>
  <c r="S89" i="14" s="1"/>
  <c r="CG89" i="14"/>
  <c r="CP89" i="14"/>
  <c r="CC90" i="14"/>
  <c r="S90" i="14" s="1"/>
  <c r="CG90" i="14"/>
  <c r="CP90" i="14"/>
  <c r="CC91" i="14"/>
  <c r="S91" i="14" s="1"/>
  <c r="CG91" i="14"/>
  <c r="CP91" i="14"/>
  <c r="CE97" i="14"/>
  <c r="CR97" i="14"/>
  <c r="CC99" i="14"/>
  <c r="U99" i="14" s="1"/>
  <c r="CG99" i="14"/>
  <c r="CP99" i="14"/>
  <c r="CE101" i="14"/>
  <c r="CR101" i="14"/>
  <c r="CC103" i="14"/>
  <c r="U103" i="14" s="1"/>
  <c r="CG103" i="14"/>
  <c r="CP103" i="14"/>
  <c r="CE105" i="14"/>
  <c r="CR105" i="14"/>
  <c r="CC107" i="14"/>
  <c r="U107" i="14" s="1"/>
  <c r="CG107" i="14"/>
  <c r="CP107" i="14"/>
  <c r="CD113" i="14"/>
  <c r="CQ113" i="14"/>
  <c r="CF115" i="14"/>
  <c r="CO115" i="14"/>
  <c r="CS115" i="14"/>
  <c r="CD117" i="14"/>
  <c r="CQ117" i="14"/>
  <c r="CF119" i="14"/>
  <c r="CO119" i="14"/>
  <c r="CS119" i="14"/>
  <c r="CD121" i="14"/>
  <c r="CQ121" i="14"/>
  <c r="CH11" i="2"/>
  <c r="CL11" i="2"/>
  <c r="CY11" i="2"/>
  <c r="DC11" i="2"/>
  <c r="CH12" i="2"/>
  <c r="CL12" i="2"/>
  <c r="CY12" i="2"/>
  <c r="DC12" i="2"/>
  <c r="CE13" i="2"/>
  <c r="CI13" i="2"/>
  <c r="CV13" i="2"/>
  <c r="DB13" i="2"/>
  <c r="CE14" i="2"/>
  <c r="CI14" i="2"/>
  <c r="CV14" i="2"/>
  <c r="DB14" i="2"/>
  <c r="CE15" i="2"/>
  <c r="CI15" i="2"/>
  <c r="CV15" i="2"/>
  <c r="DB15" i="2"/>
  <c r="CE16" i="2"/>
  <c r="CI16" i="2"/>
  <c r="CV16" i="2"/>
  <c r="DB16" i="2"/>
  <c r="CE17" i="2"/>
  <c r="CI17" i="2"/>
  <c r="CV17" i="2"/>
  <c r="DB17" i="2"/>
  <c r="CE18" i="2"/>
  <c r="CI18" i="2"/>
  <c r="CV18" i="2"/>
  <c r="DB18" i="2"/>
  <c r="CC19" i="2"/>
  <c r="CH19" i="2"/>
  <c r="CU19" i="2"/>
  <c r="CZ19" i="2"/>
  <c r="CC21" i="2"/>
  <c r="CH21" i="2"/>
  <c r="CU21" i="2"/>
  <c r="CZ21" i="2"/>
  <c r="CE23" i="2"/>
  <c r="CI23" i="2"/>
  <c r="CZ23" i="2"/>
  <c r="CE24" i="2"/>
  <c r="CI24" i="2"/>
  <c r="CZ24" i="2"/>
  <c r="CE25" i="2"/>
  <c r="CI25" i="2"/>
  <c r="CZ25" i="2"/>
  <c r="CE26" i="2"/>
  <c r="CI26" i="2"/>
  <c r="CZ26" i="2"/>
  <c r="CE27" i="2"/>
  <c r="CI27" i="2"/>
  <c r="DB27" i="2"/>
  <c r="CE28" i="2"/>
  <c r="CI28" i="2"/>
  <c r="DB28" i="2"/>
  <c r="CH29" i="2"/>
  <c r="CU29" i="2"/>
  <c r="CH31" i="2"/>
  <c r="CL31" i="2"/>
  <c r="DB31" i="2"/>
  <c r="DF31" i="2"/>
  <c r="CG36" i="2"/>
  <c r="DA36" i="2"/>
  <c r="CD38" i="2"/>
  <c r="CH38" i="2"/>
  <c r="CY38" i="2"/>
  <c r="CD39" i="2"/>
  <c r="CH39" i="2"/>
  <c r="CY39" i="2"/>
  <c r="CA44" i="2"/>
  <c r="AQ44" i="2" s="1"/>
  <c r="CA45" i="2"/>
  <c r="AQ45" i="2" s="1"/>
  <c r="CA46" i="2"/>
  <c r="AQ46" i="2" s="1"/>
  <c r="CA47" i="2"/>
  <c r="AQ47" i="2" s="1"/>
  <c r="CA48" i="2"/>
  <c r="AQ48" i="2" s="1"/>
  <c r="CA49" i="2"/>
  <c r="AQ49" i="2" s="1"/>
  <c r="CA50" i="2"/>
  <c r="AQ50" i="2" s="1"/>
  <c r="CA51" i="2"/>
  <c r="AQ51" i="2" s="1"/>
  <c r="CA52" i="2"/>
  <c r="AQ52" i="2" s="1"/>
  <c r="CA53" i="2"/>
  <c r="AQ53" i="2" s="1"/>
  <c r="CA54" i="2"/>
  <c r="AQ54" i="2" s="1"/>
  <c r="CA55" i="2"/>
  <c r="AQ55" i="2" s="1"/>
  <c r="CA56" i="2"/>
  <c r="AQ56" i="2" s="1"/>
  <c r="CA57" i="2"/>
  <c r="AQ57" i="2" s="1"/>
  <c r="CA58" i="2"/>
  <c r="AQ58" i="2" s="1"/>
  <c r="CA59" i="2"/>
  <c r="AQ59" i="2" s="1"/>
  <c r="CA60" i="2"/>
  <c r="AQ60" i="2" s="1"/>
  <c r="CA61" i="2"/>
  <c r="AQ61" i="2" s="1"/>
  <c r="CA62" i="2"/>
  <c r="AQ62" i="2" s="1"/>
  <c r="CA63" i="2"/>
  <c r="AQ63" i="2" s="1"/>
  <c r="CA64" i="2"/>
  <c r="AQ64" i="2" s="1"/>
  <c r="CA65" i="2"/>
  <c r="AQ65" i="2" s="1"/>
  <c r="CA66" i="2"/>
  <c r="AQ66" i="2" s="1"/>
  <c r="CB70" i="2"/>
  <c r="CV70" i="2"/>
  <c r="CC71" i="2"/>
  <c r="C74" i="2"/>
  <c r="CC79" i="2"/>
  <c r="CW79" i="2"/>
  <c r="CC81" i="2"/>
  <c r="CW81" i="2"/>
  <c r="CA88" i="2"/>
  <c r="AI88" i="2" s="1"/>
  <c r="CA89" i="2"/>
  <c r="AI89" i="2" s="1"/>
  <c r="CA90" i="2"/>
  <c r="AI90" i="2" s="1"/>
  <c r="CA91" i="2"/>
  <c r="AI91" i="2" s="1"/>
  <c r="CA92" i="2"/>
  <c r="AI92" i="2" s="1"/>
  <c r="CA93" i="2"/>
  <c r="AI93" i="2" s="1"/>
  <c r="CA12" i="3"/>
  <c r="AI12" i="3" s="1"/>
  <c r="CA13" i="3"/>
  <c r="AI13" i="3" s="1"/>
  <c r="CA14" i="3"/>
  <c r="AI14" i="3" s="1"/>
  <c r="CA15" i="3"/>
  <c r="AI15" i="3" s="1"/>
  <c r="CA16" i="3"/>
  <c r="AI16" i="3" s="1"/>
  <c r="CA17" i="3"/>
  <c r="AI17" i="3" s="1"/>
  <c r="CK62" i="4"/>
  <c r="CK64" i="4"/>
  <c r="CK66" i="4"/>
  <c r="CA72" i="4"/>
  <c r="K72" i="4" s="1"/>
  <c r="CA73" i="4"/>
  <c r="K73" i="4" s="1"/>
  <c r="CA74" i="4"/>
  <c r="K74" i="4" s="1"/>
  <c r="D208" i="4"/>
  <c r="C208" i="4" s="1"/>
  <c r="CA213" i="4"/>
  <c r="AG213" i="4" s="1"/>
  <c r="CA214" i="4"/>
  <c r="AG214" i="4" s="1"/>
  <c r="CK215" i="4"/>
  <c r="CA215" i="4"/>
  <c r="AG215" i="4" s="1"/>
  <c r="CL215" i="4"/>
  <c r="CR273" i="4"/>
  <c r="CN273" i="4"/>
  <c r="CH273" i="4"/>
  <c r="CD273" i="4"/>
  <c r="CL273" i="4"/>
  <c r="CB273" i="4"/>
  <c r="CC273" i="4"/>
  <c r="CM273" i="4"/>
  <c r="BX24" i="5"/>
  <c r="BR24" i="5"/>
  <c r="BV24" i="5"/>
  <c r="BP24" i="5"/>
  <c r="AT24" i="5" s="1"/>
  <c r="BQ24" i="5"/>
  <c r="BY34" i="5"/>
  <c r="BU34" i="5"/>
  <c r="BP34" i="5"/>
  <c r="BW34" i="5"/>
  <c r="BR34" i="5"/>
  <c r="BQ34" i="5"/>
  <c r="BW35" i="5"/>
  <c r="BR35" i="5"/>
  <c r="BY35" i="5"/>
  <c r="BU35" i="5"/>
  <c r="BP35" i="5"/>
  <c r="BQ35" i="5"/>
  <c r="BY36" i="5"/>
  <c r="BU36" i="5"/>
  <c r="BP36" i="5"/>
  <c r="BW36" i="5"/>
  <c r="BR36" i="5"/>
  <c r="BQ36" i="5"/>
  <c r="BW37" i="5"/>
  <c r="BR37" i="5"/>
  <c r="BY37" i="5"/>
  <c r="BU37" i="5"/>
  <c r="BP37" i="5"/>
  <c r="BQ37" i="5"/>
  <c r="BV38" i="5"/>
  <c r="BQ38" i="5"/>
  <c r="BX38" i="5"/>
  <c r="BS38" i="5"/>
  <c r="BO38" i="5"/>
  <c r="BR38" i="5"/>
  <c r="BX39" i="5"/>
  <c r="BS39" i="5"/>
  <c r="BO39" i="5"/>
  <c r="BV39" i="5"/>
  <c r="BQ39" i="5"/>
  <c r="BR39" i="5"/>
  <c r="BV40" i="5"/>
  <c r="BQ40" i="5"/>
  <c r="BX40" i="5"/>
  <c r="BS40" i="5"/>
  <c r="BO40" i="5"/>
  <c r="BR40" i="5"/>
  <c r="BX41" i="5"/>
  <c r="BS41" i="5"/>
  <c r="BO41" i="5"/>
  <c r="BV41" i="5"/>
  <c r="BQ41" i="5"/>
  <c r="BR41" i="5"/>
  <c r="BV42" i="5"/>
  <c r="BQ42" i="5"/>
  <c r="BX42" i="5"/>
  <c r="BS42" i="5"/>
  <c r="BO42" i="5"/>
  <c r="BR42" i="5"/>
  <c r="BX43" i="5"/>
  <c r="BS43" i="5"/>
  <c r="BO43" i="5"/>
  <c r="BV43" i="5"/>
  <c r="BQ43" i="5"/>
  <c r="BR43" i="5"/>
  <c r="BV44" i="5"/>
  <c r="BQ44" i="5"/>
  <c r="BX44" i="5"/>
  <c r="BS44" i="5"/>
  <c r="BO44" i="5"/>
  <c r="BR44" i="5"/>
  <c r="BX45" i="5"/>
  <c r="BS45" i="5"/>
  <c r="BO45" i="5"/>
  <c r="BV45" i="5"/>
  <c r="BQ45" i="5"/>
  <c r="BR45" i="5"/>
  <c r="BV46" i="5"/>
  <c r="BQ46" i="5"/>
  <c r="BX46" i="5"/>
  <c r="BS46" i="5"/>
  <c r="BO46" i="5"/>
  <c r="BR46" i="5"/>
  <c r="BX47" i="5"/>
  <c r="BS47" i="5"/>
  <c r="BO47" i="5"/>
  <c r="BV47" i="5"/>
  <c r="BQ47" i="5"/>
  <c r="BR47" i="5"/>
  <c r="BV48" i="5"/>
  <c r="BQ48" i="5"/>
  <c r="BX48" i="5"/>
  <c r="BS48" i="5"/>
  <c r="BO48" i="5"/>
  <c r="BR48" i="5"/>
  <c r="BW53" i="5"/>
  <c r="BP53" i="5"/>
  <c r="BU53" i="5"/>
  <c r="BV54" i="5"/>
  <c r="BO54" i="5"/>
  <c r="BQ54" i="5"/>
  <c r="BW54" i="5"/>
  <c r="Y60" i="5"/>
  <c r="BP61" i="5"/>
  <c r="BU61" i="5"/>
  <c r="BP156" i="5"/>
  <c r="AP156" i="5" s="1"/>
  <c r="BV156" i="5"/>
  <c r="BU156" i="5"/>
  <c r="BP160" i="5"/>
  <c r="AP160" i="5" s="1"/>
  <c r="BV160" i="5"/>
  <c r="BU160" i="5"/>
  <c r="AP161" i="5"/>
  <c r="BP164" i="5"/>
  <c r="AP164" i="5" s="1"/>
  <c r="BV164" i="5"/>
  <c r="BU164" i="5"/>
  <c r="AB46" i="6"/>
  <c r="CX48" i="6"/>
  <c r="CT48" i="6"/>
  <c r="CO48" i="6"/>
  <c r="CH48" i="6"/>
  <c r="CV48" i="6"/>
  <c r="CJ48" i="6"/>
  <c r="CF48" i="6"/>
  <c r="CB48" i="6"/>
  <c r="CQ48" i="6"/>
  <c r="CW48" i="6"/>
  <c r="CV50" i="6"/>
  <c r="CJ50" i="6"/>
  <c r="CF50" i="6"/>
  <c r="CB50" i="6"/>
  <c r="CX50" i="6"/>
  <c r="CT50" i="6"/>
  <c r="CO50" i="6"/>
  <c r="CH50" i="6"/>
  <c r="CQ50" i="6"/>
  <c r="CW50" i="6"/>
  <c r="CT56" i="6"/>
  <c r="CP56" i="6"/>
  <c r="CF56" i="6"/>
  <c r="CB56" i="6"/>
  <c r="CV56" i="6"/>
  <c r="CH56" i="6"/>
  <c r="CE56" i="6"/>
  <c r="Y57" i="6"/>
  <c r="CB64" i="6"/>
  <c r="CP64" i="6"/>
  <c r="S65" i="6"/>
  <c r="CB68" i="6"/>
  <c r="CP68" i="6"/>
  <c r="S69" i="6"/>
  <c r="CB72" i="6"/>
  <c r="CP72" i="6"/>
  <c r="CB76" i="6"/>
  <c r="CP76" i="6"/>
  <c r="S77" i="6"/>
  <c r="CB80" i="6"/>
  <c r="CP80" i="6"/>
  <c r="S81" i="6"/>
  <c r="CP95" i="6"/>
  <c r="CA95" i="6"/>
  <c r="CC95" i="6"/>
  <c r="CB95" i="6"/>
  <c r="CP98" i="6"/>
  <c r="CA98" i="6"/>
  <c r="CC98" i="6"/>
  <c r="CO98" i="6"/>
  <c r="CP104" i="6"/>
  <c r="CA104" i="6"/>
  <c r="AM104" i="6" s="1"/>
  <c r="CC104" i="6"/>
  <c r="CO104" i="6"/>
  <c r="CP106" i="6"/>
  <c r="CA106" i="6"/>
  <c r="AM106" i="6" s="1"/>
  <c r="CC106" i="6"/>
  <c r="CO106" i="6"/>
  <c r="CO120" i="6"/>
  <c r="CA120" i="6"/>
  <c r="AJ120" i="6" s="1"/>
  <c r="CP120" i="6"/>
  <c r="CO124" i="6"/>
  <c r="CA124" i="6"/>
  <c r="AJ124" i="6" s="1"/>
  <c r="CP124" i="6"/>
  <c r="CO128" i="6"/>
  <c r="CA128" i="6"/>
  <c r="AJ128" i="6" s="1"/>
  <c r="CP128" i="6"/>
  <c r="CO139" i="6"/>
  <c r="CQ139" i="6"/>
  <c r="CB139" i="6"/>
  <c r="CC139" i="6"/>
  <c r="CO141" i="6"/>
  <c r="CQ141" i="6"/>
  <c r="CB141" i="6"/>
  <c r="CC141" i="6"/>
  <c r="CC148" i="6"/>
  <c r="AS148" i="6" s="1"/>
  <c r="CQ148" i="6"/>
  <c r="CP148" i="6"/>
  <c r="D163" i="6"/>
  <c r="CB155" i="6"/>
  <c r="P155" i="6" s="1"/>
  <c r="CP155" i="6"/>
  <c r="CO155" i="6"/>
  <c r="CA160" i="6"/>
  <c r="P160" i="6" s="1"/>
  <c r="CO160" i="6"/>
  <c r="CP160" i="6"/>
  <c r="CO167" i="6"/>
  <c r="C170" i="6"/>
  <c r="C176" i="6" s="1"/>
  <c r="CA167" i="6"/>
  <c r="S167" i="6" s="1"/>
  <c r="CP167" i="6"/>
  <c r="CP180" i="6"/>
  <c r="CO180" i="6"/>
  <c r="C183" i="6"/>
  <c r="CA180" i="6"/>
  <c r="R180" i="6" s="1"/>
  <c r="CA187" i="6"/>
  <c r="R187" i="6" s="1"/>
  <c r="CP187" i="6"/>
  <c r="CB187" i="6"/>
  <c r="CK199" i="6"/>
  <c r="CY199" i="6"/>
  <c r="CF199" i="6"/>
  <c r="CS199" i="6"/>
  <c r="CP200" i="6"/>
  <c r="CI200" i="6"/>
  <c r="CA200" i="6"/>
  <c r="C200" i="6"/>
  <c r="CW200" i="6"/>
  <c r="CO200" i="6"/>
  <c r="CH200" i="6"/>
  <c r="CD200" i="6"/>
  <c r="CB200" i="6"/>
  <c r="CR200" i="6"/>
  <c r="CF208" i="6"/>
  <c r="CT208" i="6"/>
  <c r="CK208" i="6"/>
  <c r="CE208" i="6"/>
  <c r="AY208" i="6" s="1"/>
  <c r="CY208" i="6"/>
  <c r="CS208" i="6"/>
  <c r="CU245" i="6"/>
  <c r="CG245" i="6"/>
  <c r="CT245" i="6"/>
  <c r="CF245" i="6"/>
  <c r="CW245" i="6"/>
  <c r="CI245" i="6"/>
  <c r="CV245" i="6"/>
  <c r="CH245" i="6"/>
  <c r="CO357" i="6"/>
  <c r="CB357" i="6"/>
  <c r="CA357" i="6"/>
  <c r="CP357" i="6"/>
  <c r="CO359" i="6"/>
  <c r="CB359" i="6"/>
  <c r="CA359" i="6"/>
  <c r="CP359" i="6"/>
  <c r="CO361" i="6"/>
  <c r="CB361" i="6"/>
  <c r="CA361" i="6"/>
  <c r="CP361" i="6"/>
  <c r="CO363" i="6"/>
  <c r="CB363" i="6"/>
  <c r="CA363" i="6"/>
  <c r="CP363" i="6"/>
  <c r="CO365" i="6"/>
  <c r="CB365" i="6"/>
  <c r="CA365" i="6"/>
  <c r="CP365" i="6"/>
  <c r="CO372" i="6"/>
  <c r="CB372" i="6"/>
  <c r="CA372" i="6"/>
  <c r="CP372" i="6"/>
  <c r="CO375" i="6"/>
  <c r="CB375" i="6"/>
  <c r="CA375" i="6"/>
  <c r="CP375" i="6"/>
  <c r="CO378" i="6"/>
  <c r="CB378" i="6"/>
  <c r="CA378" i="6"/>
  <c r="CP378" i="6"/>
  <c r="CO380" i="6"/>
  <c r="CB380" i="6"/>
  <c r="CA380" i="6"/>
  <c r="CP380" i="6"/>
  <c r="CO382" i="6"/>
  <c r="CB382" i="6"/>
  <c r="CA382" i="6"/>
  <c r="CP382" i="6"/>
  <c r="CO385" i="6"/>
  <c r="CB385" i="6"/>
  <c r="CA385" i="6"/>
  <c r="CP385" i="6"/>
  <c r="CO387" i="6"/>
  <c r="CB387" i="6"/>
  <c r="CA387" i="6"/>
  <c r="CP387" i="6"/>
  <c r="CO389" i="6"/>
  <c r="CB389" i="6"/>
  <c r="CA389" i="6"/>
  <c r="CP389" i="6"/>
  <c r="C22" i="7"/>
  <c r="CC22" i="7" s="1"/>
  <c r="CK56" i="7"/>
  <c r="CB56" i="7"/>
  <c r="CA56" i="7"/>
  <c r="AN56" i="7" s="1"/>
  <c r="CL56" i="7"/>
  <c r="CK58" i="7"/>
  <c r="CB58" i="7"/>
  <c r="CA58" i="7"/>
  <c r="AN58" i="7" s="1"/>
  <c r="CL58" i="7"/>
  <c r="CK60" i="7"/>
  <c r="CB60" i="7"/>
  <c r="CA60" i="7"/>
  <c r="AN60" i="7" s="1"/>
  <c r="CL60" i="7"/>
  <c r="CK62" i="7"/>
  <c r="CB62" i="7"/>
  <c r="CA62" i="7"/>
  <c r="AN62" i="7" s="1"/>
  <c r="CL62" i="7"/>
  <c r="CK64" i="7"/>
  <c r="CB64" i="7"/>
  <c r="CA64" i="7"/>
  <c r="AN64" i="7" s="1"/>
  <c r="CL64" i="7"/>
  <c r="CK66" i="7"/>
  <c r="CB66" i="7"/>
  <c r="CA66" i="7"/>
  <c r="AN66" i="7" s="1"/>
  <c r="CL66" i="7"/>
  <c r="CK68" i="7"/>
  <c r="CB68" i="7"/>
  <c r="CA68" i="7"/>
  <c r="AN68" i="7" s="1"/>
  <c r="CL68" i="7"/>
  <c r="CK70" i="7"/>
  <c r="CB70" i="7"/>
  <c r="CA70" i="7"/>
  <c r="AN70" i="7" s="1"/>
  <c r="CL70" i="7"/>
  <c r="CK72" i="7"/>
  <c r="CB72" i="7"/>
  <c r="CA72" i="7"/>
  <c r="AN72" i="7" s="1"/>
  <c r="CL72" i="7"/>
  <c r="CK74" i="7"/>
  <c r="CB74" i="7"/>
  <c r="CA74" i="7"/>
  <c r="AN74" i="7" s="1"/>
  <c r="CL74" i="7"/>
  <c r="CA115" i="7"/>
  <c r="Q115" i="7" s="1"/>
  <c r="CL115" i="7"/>
  <c r="CK115" i="7"/>
  <c r="CB115" i="7"/>
  <c r="CR13" i="14"/>
  <c r="CC14" i="14"/>
  <c r="S14" i="14" s="1"/>
  <c r="CR15" i="14"/>
  <c r="CC16" i="14"/>
  <c r="S16" i="14" s="1"/>
  <c r="CR17" i="14"/>
  <c r="CC18" i="14"/>
  <c r="S18" i="14" s="1"/>
  <c r="CR18" i="14"/>
  <c r="CC19" i="14"/>
  <c r="S19" i="14" s="1"/>
  <c r="CG21" i="14"/>
  <c r="CR22" i="14"/>
  <c r="CC23" i="14"/>
  <c r="CG23" i="14"/>
  <c r="CC24" i="14"/>
  <c r="CG24" i="14"/>
  <c r="CR24" i="14"/>
  <c r="CC25" i="14"/>
  <c r="S25" i="14" s="1"/>
  <c r="CG27" i="14"/>
  <c r="CG28" i="14"/>
  <c r="CR29" i="14"/>
  <c r="CC30" i="14"/>
  <c r="S30" i="14" s="1"/>
  <c r="CG31" i="14"/>
  <c r="CR32" i="14"/>
  <c r="CC33" i="14"/>
  <c r="CG35" i="14"/>
  <c r="CG37" i="14"/>
  <c r="CG38" i="14"/>
  <c r="CR39" i="14"/>
  <c r="CC40" i="14"/>
  <c r="S40" i="14" s="1"/>
  <c r="CG40" i="14"/>
  <c r="CR40" i="14"/>
  <c r="CC41" i="14"/>
  <c r="CG43" i="14"/>
  <c r="CC45" i="14"/>
  <c r="CG45" i="14"/>
  <c r="CG46" i="14"/>
  <c r="CR47" i="14"/>
  <c r="CC48" i="14"/>
  <c r="CG48" i="14"/>
  <c r="CR48" i="14"/>
  <c r="CC49" i="14"/>
  <c r="S49" i="14" s="1"/>
  <c r="CG49" i="14"/>
  <c r="CR49" i="14"/>
  <c r="CC50" i="14"/>
  <c r="CG50" i="14"/>
  <c r="CR50" i="14"/>
  <c r="CC51" i="14"/>
  <c r="CG51" i="14"/>
  <c r="CR53" i="14"/>
  <c r="CC54" i="14"/>
  <c r="CG54" i="14"/>
  <c r="CG55" i="14"/>
  <c r="CC56" i="14"/>
  <c r="CR56" i="14"/>
  <c r="CC65" i="14"/>
  <c r="CG69" i="14"/>
  <c r="CQ115" i="14"/>
  <c r="CF12" i="14"/>
  <c r="CF13" i="14"/>
  <c r="CF14" i="14"/>
  <c r="CF15" i="14"/>
  <c r="CF16" i="14"/>
  <c r="CF17" i="14"/>
  <c r="CF18" i="14"/>
  <c r="CF19" i="14"/>
  <c r="CF20" i="14"/>
  <c r="CF21" i="14"/>
  <c r="CF22" i="14"/>
  <c r="CF23" i="14"/>
  <c r="CF24" i="14"/>
  <c r="CF25" i="14"/>
  <c r="CF26" i="14"/>
  <c r="CF27" i="14"/>
  <c r="CF28" i="14"/>
  <c r="CF29" i="14"/>
  <c r="CF30" i="14"/>
  <c r="CF31" i="14"/>
  <c r="CF32" i="14"/>
  <c r="CF33" i="14"/>
  <c r="CF34" i="14"/>
  <c r="CF35" i="14"/>
  <c r="CF36" i="14"/>
  <c r="CF37" i="14"/>
  <c r="CF38" i="14"/>
  <c r="CF39" i="14"/>
  <c r="CF40" i="14"/>
  <c r="CF41" i="14"/>
  <c r="CF42" i="14"/>
  <c r="CF43" i="14"/>
  <c r="CF44" i="14"/>
  <c r="CF45" i="14"/>
  <c r="CF46" i="14"/>
  <c r="CF47" i="14"/>
  <c r="CF48" i="14"/>
  <c r="CF49" i="14"/>
  <c r="CF50" i="14"/>
  <c r="CF51" i="14"/>
  <c r="CF53" i="14"/>
  <c r="CF54" i="14"/>
  <c r="CF55" i="14"/>
  <c r="CF56" i="14"/>
  <c r="CF57" i="14"/>
  <c r="CE62" i="14"/>
  <c r="CD63" i="14"/>
  <c r="CC64" i="14"/>
  <c r="X64" i="14" s="1"/>
  <c r="CG64" i="14"/>
  <c r="CF65" i="14"/>
  <c r="CO65" i="14"/>
  <c r="CE66" i="14"/>
  <c r="CD67" i="14"/>
  <c r="CC68" i="14"/>
  <c r="X68" i="14" s="1"/>
  <c r="CG68" i="14"/>
  <c r="CF69" i="14"/>
  <c r="CO69" i="14"/>
  <c r="CE70" i="14"/>
  <c r="CD71" i="14"/>
  <c r="CC72" i="14"/>
  <c r="X72" i="14" s="1"/>
  <c r="CG72" i="14"/>
  <c r="CF73" i="14"/>
  <c r="CO73" i="14"/>
  <c r="CD78" i="14"/>
  <c r="CQ78" i="14"/>
  <c r="CD79" i="14"/>
  <c r="CD80" i="14"/>
  <c r="CD81" i="14"/>
  <c r="CD82" i="14"/>
  <c r="CD83" i="14"/>
  <c r="CD84" i="14"/>
  <c r="CD85" i="14"/>
  <c r="CD86" i="14"/>
  <c r="CD87" i="14"/>
  <c r="CD88" i="14"/>
  <c r="CD89" i="14"/>
  <c r="CD90" i="14"/>
  <c r="CD91" i="14"/>
  <c r="CF97" i="14"/>
  <c r="CO97" i="14"/>
  <c r="CD99" i="14"/>
  <c r="CC100" i="14"/>
  <c r="U100" i="14" s="1"/>
  <c r="CG100" i="14"/>
  <c r="CF101" i="14"/>
  <c r="CO101" i="14"/>
  <c r="CD103" i="14"/>
  <c r="CC104" i="14"/>
  <c r="CG104" i="14"/>
  <c r="CF105" i="14"/>
  <c r="CO105" i="14"/>
  <c r="CE106" i="14"/>
  <c r="CD107" i="14"/>
  <c r="CC108" i="14"/>
  <c r="CG108" i="14"/>
  <c r="CE113" i="14"/>
  <c r="CF114" i="14"/>
  <c r="CO114" i="14"/>
  <c r="CC115" i="14"/>
  <c r="CG115" i="14"/>
  <c r="CD116" i="14"/>
  <c r="CE117" i="14"/>
  <c r="CF118" i="14"/>
  <c r="CO118" i="14"/>
  <c r="CC119" i="14"/>
  <c r="CG119" i="14"/>
  <c r="CD120" i="14"/>
  <c r="CE121" i="14"/>
  <c r="CF122" i="14"/>
  <c r="CO122" i="14"/>
  <c r="CE11" i="2"/>
  <c r="CI11" i="2"/>
  <c r="CU11" i="2"/>
  <c r="CZ11" i="2"/>
  <c r="CE12" i="2"/>
  <c r="CI12" i="2"/>
  <c r="CU12" i="2"/>
  <c r="CF13" i="2"/>
  <c r="CY13" i="2"/>
  <c r="CF14" i="2"/>
  <c r="CY14" i="2"/>
  <c r="CF15" i="2"/>
  <c r="CY15" i="2"/>
  <c r="CF16" i="2"/>
  <c r="CY16" i="2"/>
  <c r="CF17" i="2"/>
  <c r="CY17" i="2"/>
  <c r="CF18" i="2"/>
  <c r="CY18" i="2"/>
  <c r="CE19" i="2"/>
  <c r="CI19" i="2"/>
  <c r="CV19" i="2"/>
  <c r="DA19" i="2"/>
  <c r="CB20" i="2"/>
  <c r="AI20" i="2" s="1"/>
  <c r="CG20" i="2"/>
  <c r="CL20" i="2"/>
  <c r="CY20" i="2"/>
  <c r="CE21" i="2"/>
  <c r="CI21" i="2"/>
  <c r="CV21" i="2"/>
  <c r="DA21" i="2"/>
  <c r="CB22" i="2"/>
  <c r="AI22" i="2" s="1"/>
  <c r="CG22" i="2"/>
  <c r="CL22" i="2"/>
  <c r="CY22" i="2"/>
  <c r="CF23" i="2"/>
  <c r="CU23" i="2"/>
  <c r="CF24" i="2"/>
  <c r="CU24" i="2"/>
  <c r="CF25" i="2"/>
  <c r="CU25" i="2"/>
  <c r="CF26" i="2"/>
  <c r="CU26" i="2"/>
  <c r="CF27" i="2"/>
  <c r="CY27" i="2"/>
  <c r="CF28" i="2"/>
  <c r="CY28" i="2"/>
  <c r="CI29" i="2"/>
  <c r="DA29" i="2"/>
  <c r="CG30" i="2"/>
  <c r="AI30" i="2" s="1"/>
  <c r="CL30" i="2"/>
  <c r="CE31" i="2"/>
  <c r="CI31" i="2"/>
  <c r="CM31" i="2"/>
  <c r="CY31" i="2"/>
  <c r="DC31" i="2"/>
  <c r="CB32" i="2"/>
  <c r="AI32" i="2" s="1"/>
  <c r="CG32" i="2"/>
  <c r="CV32" i="2"/>
  <c r="CD36" i="2"/>
  <c r="CH36" i="2"/>
  <c r="CX36" i="2"/>
  <c r="CF37" i="2"/>
  <c r="CE38" i="2"/>
  <c r="CU38" i="2"/>
  <c r="CE39" i="2"/>
  <c r="CU39" i="2"/>
  <c r="CC70" i="2"/>
  <c r="CD71" i="2"/>
  <c r="CA72" i="2"/>
  <c r="M72" i="2" s="1"/>
  <c r="CB73" i="2"/>
  <c r="M73" i="2" s="1"/>
  <c r="CB78" i="2"/>
  <c r="N78" i="2" s="1"/>
  <c r="CD79" i="2"/>
  <c r="CB80" i="2"/>
  <c r="N80" i="2" s="1"/>
  <c r="CD81" i="2"/>
  <c r="CB82" i="2"/>
  <c r="N82" i="2" s="1"/>
  <c r="CC206" i="4"/>
  <c r="CC207" i="4"/>
  <c r="CR272" i="4"/>
  <c r="CN272" i="4"/>
  <c r="CH272" i="4"/>
  <c r="CD272" i="4"/>
  <c r="CL272" i="4"/>
  <c r="CB272" i="4"/>
  <c r="AD272" i="4" s="1"/>
  <c r="CC272" i="4"/>
  <c r="CM272" i="4"/>
  <c r="BX23" i="5"/>
  <c r="BR23" i="5"/>
  <c r="BV23" i="5"/>
  <c r="BP23" i="5"/>
  <c r="AT23" i="5" s="1"/>
  <c r="BQ23" i="5"/>
  <c r="BU24" i="5"/>
  <c r="BS34" i="5"/>
  <c r="BS35" i="5"/>
  <c r="BS36" i="5"/>
  <c r="BS37" i="5"/>
  <c r="BU38" i="5"/>
  <c r="BU39" i="5"/>
  <c r="BU40" i="5"/>
  <c r="BU41" i="5"/>
  <c r="BU42" i="5"/>
  <c r="BU43" i="5"/>
  <c r="BU44" i="5"/>
  <c r="BU45" i="5"/>
  <c r="BU46" i="5"/>
  <c r="BU47" i="5"/>
  <c r="BU48" i="5"/>
  <c r="BO53" i="5"/>
  <c r="BO61" i="5"/>
  <c r="Y61" i="5" s="1"/>
  <c r="BY80" i="5"/>
  <c r="BW80" i="5"/>
  <c r="BR80" i="5"/>
  <c r="BQ80" i="5"/>
  <c r="AO80" i="5" s="1"/>
  <c r="BW81" i="5"/>
  <c r="BR81" i="5"/>
  <c r="BY81" i="5"/>
  <c r="BQ81" i="5"/>
  <c r="AO81" i="5" s="1"/>
  <c r="BY82" i="5"/>
  <c r="BW82" i="5"/>
  <c r="BR82" i="5"/>
  <c r="BQ82" i="5"/>
  <c r="BW83" i="5"/>
  <c r="BR83" i="5"/>
  <c r="BY83" i="5"/>
  <c r="BQ83" i="5"/>
  <c r="AO83" i="5" s="1"/>
  <c r="BW137" i="5"/>
  <c r="BQ137" i="5"/>
  <c r="BU137" i="5"/>
  <c r="BO137" i="5"/>
  <c r="BR137" i="5"/>
  <c r="BP157" i="5"/>
  <c r="AP157" i="5" s="1"/>
  <c r="BV157" i="5"/>
  <c r="BU157" i="5"/>
  <c r="BP161" i="5"/>
  <c r="BV161" i="5"/>
  <c r="BU161" i="5"/>
  <c r="BP165" i="5"/>
  <c r="AP165" i="5" s="1"/>
  <c r="BV165" i="5"/>
  <c r="BU165" i="5"/>
  <c r="B176" i="5"/>
  <c r="CA48" i="6"/>
  <c r="AB48" i="6" s="1"/>
  <c r="CG48" i="6"/>
  <c r="CY48" i="6"/>
  <c r="CA50" i="6"/>
  <c r="CG50" i="6"/>
  <c r="CY50" i="6"/>
  <c r="CV55" i="6"/>
  <c r="CH55" i="6"/>
  <c r="CT55" i="6"/>
  <c r="CP55" i="6"/>
  <c r="CF55" i="6"/>
  <c r="CB55" i="6"/>
  <c r="CE55" i="6"/>
  <c r="CA56" i="6"/>
  <c r="CG56" i="6"/>
  <c r="CS56" i="6"/>
  <c r="CV59" i="6"/>
  <c r="CH59" i="6"/>
  <c r="CT59" i="6"/>
  <c r="CP59" i="6"/>
  <c r="CF59" i="6"/>
  <c r="CB59" i="6"/>
  <c r="CE59" i="6"/>
  <c r="CA64" i="6"/>
  <c r="S64" i="6" s="1"/>
  <c r="CP67" i="6"/>
  <c r="CB67" i="6"/>
  <c r="CA68" i="6"/>
  <c r="S68" i="6" s="1"/>
  <c r="CP71" i="6"/>
  <c r="CB71" i="6"/>
  <c r="CA72" i="6"/>
  <c r="S72" i="6" s="1"/>
  <c r="CP75" i="6"/>
  <c r="CB75" i="6"/>
  <c r="CA76" i="6"/>
  <c r="S76" i="6" s="1"/>
  <c r="CP79" i="6"/>
  <c r="CB79" i="6"/>
  <c r="CA80" i="6"/>
  <c r="S80" i="6" s="1"/>
  <c r="CP83" i="6"/>
  <c r="CB83" i="6"/>
  <c r="CO95" i="6"/>
  <c r="CC97" i="6"/>
  <c r="CP97" i="6"/>
  <c r="CA97" i="6"/>
  <c r="CB97" i="6"/>
  <c r="CQ98" i="6"/>
  <c r="CQ104" i="6"/>
  <c r="CQ106" i="6"/>
  <c r="CO121" i="6"/>
  <c r="CA121" i="6"/>
  <c r="AJ121" i="6" s="1"/>
  <c r="CP121" i="6"/>
  <c r="CO125" i="6"/>
  <c r="CA125" i="6"/>
  <c r="AJ125" i="6" s="1"/>
  <c r="CP125" i="6"/>
  <c r="CC133" i="6"/>
  <c r="AN133" i="6" s="1"/>
  <c r="CP133" i="6"/>
  <c r="CA133" i="6"/>
  <c r="CO133" i="6"/>
  <c r="CC135" i="6"/>
  <c r="AN135" i="6" s="1"/>
  <c r="CP135" i="6"/>
  <c r="CA135" i="6"/>
  <c r="CO135" i="6"/>
  <c r="CC137" i="6"/>
  <c r="AN137" i="6" s="1"/>
  <c r="CP137" i="6"/>
  <c r="CA137" i="6"/>
  <c r="CO137" i="6"/>
  <c r="CA138" i="6"/>
  <c r="CP139" i="6"/>
  <c r="CP141" i="6"/>
  <c r="CC149" i="6"/>
  <c r="AS149" i="6" s="1"/>
  <c r="CQ149" i="6"/>
  <c r="CP149" i="6"/>
  <c r="CB156" i="6"/>
  <c r="P156" i="6" s="1"/>
  <c r="CP156" i="6"/>
  <c r="CO156" i="6"/>
  <c r="CA161" i="6"/>
  <c r="P161" i="6" s="1"/>
  <c r="CO161" i="6"/>
  <c r="CP161" i="6"/>
  <c r="CO168" i="6"/>
  <c r="CA168" i="6"/>
  <c r="S168" i="6" s="1"/>
  <c r="CP168" i="6"/>
  <c r="CB169" i="6"/>
  <c r="CO171" i="6"/>
  <c r="C175" i="6"/>
  <c r="CA171" i="6"/>
  <c r="S171" i="6" s="1"/>
  <c r="CP171" i="6"/>
  <c r="CB172" i="6"/>
  <c r="CB174" i="6"/>
  <c r="CB181" i="6"/>
  <c r="D183" i="6"/>
  <c r="CA186" i="6"/>
  <c r="CP186" i="6"/>
  <c r="CB186" i="6"/>
  <c r="CO187" i="6"/>
  <c r="CK197" i="6"/>
  <c r="CY197" i="6"/>
  <c r="CF197" i="6"/>
  <c r="CS197" i="6"/>
  <c r="CP198" i="6"/>
  <c r="CI198" i="6"/>
  <c r="CA198" i="6"/>
  <c r="C198" i="6"/>
  <c r="CW198" i="6"/>
  <c r="CO198" i="6"/>
  <c r="CH198" i="6"/>
  <c r="CD198" i="6"/>
  <c r="CB198" i="6"/>
  <c r="CR198" i="6"/>
  <c r="CE199" i="6"/>
  <c r="CT199" i="6"/>
  <c r="CV200" i="6"/>
  <c r="CK206" i="6"/>
  <c r="CY206" i="6"/>
  <c r="CF206" i="6"/>
  <c r="CS206" i="6"/>
  <c r="CP207" i="6"/>
  <c r="CI207" i="6"/>
  <c r="CA207" i="6"/>
  <c r="C207" i="6"/>
  <c r="CW207" i="6"/>
  <c r="CO207" i="6"/>
  <c r="CH207" i="6"/>
  <c r="CD207" i="6"/>
  <c r="CB207" i="6"/>
  <c r="CR207" i="6"/>
  <c r="CC49" i="7"/>
  <c r="CM49" i="7"/>
  <c r="CB49" i="7"/>
  <c r="CL49" i="7"/>
  <c r="CA49" i="7"/>
  <c r="AO49" i="7" s="1"/>
  <c r="CK49" i="7"/>
  <c r="CF271" i="4"/>
  <c r="CF272" i="4"/>
  <c r="CF273" i="4"/>
  <c r="CF274" i="4"/>
  <c r="BO63" i="5"/>
  <c r="Y63" i="5" s="1"/>
  <c r="BO64" i="5"/>
  <c r="Y64" i="5" s="1"/>
  <c r="BP142" i="5"/>
  <c r="L142" i="5" s="1"/>
  <c r="BO144" i="5"/>
  <c r="L144" i="5" s="1"/>
  <c r="BV144" i="5"/>
  <c r="BP145" i="5"/>
  <c r="L145" i="5" s="1"/>
  <c r="BQ146" i="5"/>
  <c r="L146" i="5" s="1"/>
  <c r="BO193" i="5"/>
  <c r="I193" i="5" s="1"/>
  <c r="BV193" i="5"/>
  <c r="BO194" i="5"/>
  <c r="I194" i="5" s="1"/>
  <c r="BV194" i="5"/>
  <c r="BO195" i="5"/>
  <c r="I195" i="5" s="1"/>
  <c r="BV195" i="5"/>
  <c r="BO196" i="5"/>
  <c r="I196" i="5" s="1"/>
  <c r="BV196" i="5"/>
  <c r="BO197" i="5"/>
  <c r="I197" i="5" s="1"/>
  <c r="BV197" i="5"/>
  <c r="BO198" i="5"/>
  <c r="I198" i="5" s="1"/>
  <c r="BV198" i="5"/>
  <c r="CD11" i="6"/>
  <c r="Y11" i="6" s="1"/>
  <c r="CH11" i="6"/>
  <c r="CP11" i="6"/>
  <c r="CU11" i="6"/>
  <c r="CD12" i="6"/>
  <c r="CH12" i="6"/>
  <c r="CP12" i="6"/>
  <c r="CU12" i="6"/>
  <c r="CC13" i="6"/>
  <c r="CG13" i="6"/>
  <c r="CO13" i="6"/>
  <c r="CS13" i="6"/>
  <c r="CC37" i="6"/>
  <c r="CG37" i="6"/>
  <c r="CK37" i="6"/>
  <c r="CW37" i="6"/>
  <c r="CA39" i="6"/>
  <c r="CI39" i="6"/>
  <c r="CQ39" i="6"/>
  <c r="CU39" i="6"/>
  <c r="CY39" i="6"/>
  <c r="CC41" i="6"/>
  <c r="CG41" i="6"/>
  <c r="CK41" i="6"/>
  <c r="CW41" i="6"/>
  <c r="CI43" i="6"/>
  <c r="CQ43" i="6"/>
  <c r="CU43" i="6"/>
  <c r="CY43" i="6"/>
  <c r="CC45" i="6"/>
  <c r="CG45" i="6"/>
  <c r="CK45" i="6"/>
  <c r="CW45" i="6"/>
  <c r="CI47" i="6"/>
  <c r="CQ47" i="6"/>
  <c r="CU47" i="6"/>
  <c r="CY47" i="6"/>
  <c r="CC49" i="6"/>
  <c r="CG49" i="6"/>
  <c r="CK49" i="6"/>
  <c r="CW49" i="6"/>
  <c r="CI51" i="6"/>
  <c r="CQ51" i="6"/>
  <c r="CU51" i="6"/>
  <c r="CY51" i="6"/>
  <c r="CP89" i="6"/>
  <c r="CJ193" i="6"/>
  <c r="CQ193" i="6"/>
  <c r="CD195" i="6"/>
  <c r="CH195" i="6"/>
  <c r="CO195" i="6"/>
  <c r="CW195" i="6"/>
  <c r="CJ196" i="6"/>
  <c r="CQ196" i="6"/>
  <c r="CD197" i="6"/>
  <c r="CH197" i="6"/>
  <c r="CO197" i="6"/>
  <c r="CW197" i="6"/>
  <c r="CJ198" i="6"/>
  <c r="CQ198" i="6"/>
  <c r="CD199" i="6"/>
  <c r="CH199" i="6"/>
  <c r="CO199" i="6"/>
  <c r="CW199" i="6"/>
  <c r="CJ200" i="6"/>
  <c r="CQ200" i="6"/>
  <c r="CD202" i="6"/>
  <c r="CH202" i="6"/>
  <c r="CO202" i="6"/>
  <c r="CW202" i="6"/>
  <c r="CJ203" i="6"/>
  <c r="CQ203" i="6"/>
  <c r="CD204" i="6"/>
  <c r="CH204" i="6"/>
  <c r="CO204" i="6"/>
  <c r="CW204" i="6"/>
  <c r="CJ205" i="6"/>
  <c r="CQ205" i="6"/>
  <c r="CD206" i="6"/>
  <c r="CH206" i="6"/>
  <c r="CO206" i="6"/>
  <c r="CW206" i="6"/>
  <c r="CJ207" i="6"/>
  <c r="CQ207" i="6"/>
  <c r="CC209" i="6"/>
  <c r="CG209" i="6"/>
  <c r="CR209" i="6"/>
  <c r="CV209" i="6"/>
  <c r="C210" i="6"/>
  <c r="CX210" i="6"/>
  <c r="CC211" i="6"/>
  <c r="CG211" i="6"/>
  <c r="CR211" i="6"/>
  <c r="CV211" i="6"/>
  <c r="C212" i="6"/>
  <c r="CX212" i="6"/>
  <c r="CC213" i="6"/>
  <c r="CG213" i="6"/>
  <c r="CR213" i="6"/>
  <c r="CV213" i="6"/>
  <c r="C214" i="6"/>
  <c r="CX214" i="6"/>
  <c r="CC215" i="6"/>
  <c r="CG215" i="6"/>
  <c r="CR215" i="6"/>
  <c r="CV215" i="6"/>
  <c r="C216" i="6"/>
  <c r="CX216" i="6"/>
  <c r="CC217" i="6"/>
  <c r="CG217" i="6"/>
  <c r="CR217" i="6"/>
  <c r="CV217" i="6"/>
  <c r="C218" i="6"/>
  <c r="CJ218" i="6"/>
  <c r="C219" i="6"/>
  <c r="CJ219" i="6"/>
  <c r="C220" i="6"/>
  <c r="CJ220" i="6"/>
  <c r="C221" i="6"/>
  <c r="CJ221" i="6"/>
  <c r="C222" i="6"/>
  <c r="CX222" i="6"/>
  <c r="CC223" i="6"/>
  <c r="CG223" i="6"/>
  <c r="CR223" i="6"/>
  <c r="CV223" i="6"/>
  <c r="C224" i="6"/>
  <c r="CX224" i="6"/>
  <c r="CC225" i="6"/>
  <c r="CG225" i="6"/>
  <c r="CR225" i="6"/>
  <c r="CV225" i="6"/>
  <c r="C226" i="6"/>
  <c r="CX226" i="6"/>
  <c r="CG227" i="6"/>
  <c r="CQ227" i="6"/>
  <c r="CW227" i="6"/>
  <c r="CG228" i="6"/>
  <c r="CQ228" i="6"/>
  <c r="CW228" i="6"/>
  <c r="CG229" i="6"/>
  <c r="CQ229" i="6"/>
  <c r="CW229" i="6"/>
  <c r="CC230" i="6"/>
  <c r="CG230" i="6"/>
  <c r="CR230" i="6"/>
  <c r="CV230" i="6"/>
  <c r="C231" i="6"/>
  <c r="CX231" i="6"/>
  <c r="CC232" i="6"/>
  <c r="CG232" i="6"/>
  <c r="CR232" i="6"/>
  <c r="CV232" i="6"/>
  <c r="C233" i="6"/>
  <c r="CX233" i="6"/>
  <c r="CC234" i="6"/>
  <c r="CG234" i="6"/>
  <c r="CR234" i="6"/>
  <c r="CV234" i="6"/>
  <c r="C235" i="6"/>
  <c r="CX235" i="6"/>
  <c r="CC236" i="6"/>
  <c r="CG236" i="6"/>
  <c r="CR236" i="6"/>
  <c r="CV236" i="6"/>
  <c r="C237" i="6"/>
  <c r="CX237" i="6"/>
  <c r="CC238" i="6"/>
  <c r="CG238" i="6"/>
  <c r="CR238" i="6"/>
  <c r="CV238" i="6"/>
  <c r="C239" i="6"/>
  <c r="CX239" i="6"/>
  <c r="CC240" i="6"/>
  <c r="CG240" i="6"/>
  <c r="CR240" i="6"/>
  <c r="CV240" i="6"/>
  <c r="C241" i="6"/>
  <c r="CX241" i="6"/>
  <c r="CD245" i="6"/>
  <c r="CR245" i="6"/>
  <c r="CC247" i="6"/>
  <c r="CQ247" i="6"/>
  <c r="CC248" i="6"/>
  <c r="CQ248" i="6"/>
  <c r="CC249" i="6"/>
  <c r="CQ249" i="6"/>
  <c r="CC250" i="6"/>
  <c r="CQ250" i="6"/>
  <c r="CC251" i="6"/>
  <c r="CQ251" i="6"/>
  <c r="CC252" i="6"/>
  <c r="CQ252" i="6"/>
  <c r="CC254" i="6"/>
  <c r="CQ254" i="6"/>
  <c r="CC255" i="6"/>
  <c r="CQ255" i="6"/>
  <c r="CC256" i="6"/>
  <c r="CQ256" i="6"/>
  <c r="CC257" i="6"/>
  <c r="CQ257" i="6"/>
  <c r="CC258" i="6"/>
  <c r="CQ258" i="6"/>
  <c r="CC259" i="6"/>
  <c r="CQ259" i="6"/>
  <c r="CF260" i="6"/>
  <c r="CQ260" i="6"/>
  <c r="CU260" i="6"/>
  <c r="CC261" i="6"/>
  <c r="CQ261" i="6"/>
  <c r="CC262" i="6"/>
  <c r="CQ262" i="6"/>
  <c r="CC263" i="6"/>
  <c r="CQ263" i="6"/>
  <c r="CC264" i="6"/>
  <c r="CQ264" i="6"/>
  <c r="CC265" i="6"/>
  <c r="CQ265" i="6"/>
  <c r="CC266" i="6"/>
  <c r="CQ266" i="6"/>
  <c r="CC267" i="6"/>
  <c r="CQ267" i="6"/>
  <c r="CC268" i="6"/>
  <c r="CQ268" i="6"/>
  <c r="CC269" i="6"/>
  <c r="AY269" i="6" s="1"/>
  <c r="CG269" i="6"/>
  <c r="CQ269" i="6"/>
  <c r="CU269" i="6"/>
  <c r="CH270" i="6"/>
  <c r="CS270" i="6"/>
  <c r="CW270" i="6"/>
  <c r="CP271" i="6"/>
  <c r="CH272" i="6"/>
  <c r="CS272" i="6"/>
  <c r="CW272" i="6"/>
  <c r="CP273" i="6"/>
  <c r="CC274" i="6"/>
  <c r="AY274" i="6" s="1"/>
  <c r="CG274" i="6"/>
  <c r="CQ274" i="6"/>
  <c r="CU274" i="6"/>
  <c r="CC275" i="6"/>
  <c r="AY275" i="6" s="1"/>
  <c r="CG275" i="6"/>
  <c r="CQ275" i="6"/>
  <c r="CU275" i="6"/>
  <c r="CC276" i="6"/>
  <c r="AY276" i="6" s="1"/>
  <c r="CG276" i="6"/>
  <c r="CQ276" i="6"/>
  <c r="CU276" i="6"/>
  <c r="CC277" i="6"/>
  <c r="AY277" i="6" s="1"/>
  <c r="CG277" i="6"/>
  <c r="CQ277" i="6"/>
  <c r="CU277" i="6"/>
  <c r="CC278" i="6"/>
  <c r="AY278" i="6" s="1"/>
  <c r="CG278" i="6"/>
  <c r="CQ278" i="6"/>
  <c r="CU278" i="6"/>
  <c r="CE279" i="6"/>
  <c r="AY279" i="6" s="1"/>
  <c r="CE280" i="6"/>
  <c r="AY280" i="6" s="1"/>
  <c r="CE281" i="6"/>
  <c r="AY281" i="6" s="1"/>
  <c r="CC282" i="6"/>
  <c r="AY282" i="6" s="1"/>
  <c r="CG282" i="6"/>
  <c r="CQ282" i="6"/>
  <c r="CU282" i="6"/>
  <c r="CC283" i="6"/>
  <c r="AY283" i="6" s="1"/>
  <c r="CG283" i="6"/>
  <c r="CQ283" i="6"/>
  <c r="CU283" i="6"/>
  <c r="CC284" i="6"/>
  <c r="AY284" i="6" s="1"/>
  <c r="CG284" i="6"/>
  <c r="CQ284" i="6"/>
  <c r="CU284" i="6"/>
  <c r="CC285" i="6"/>
  <c r="AY285" i="6" s="1"/>
  <c r="CG285" i="6"/>
  <c r="CQ285" i="6"/>
  <c r="CU285" i="6"/>
  <c r="CC286" i="6"/>
  <c r="AY286" i="6" s="1"/>
  <c r="CG286" i="6"/>
  <c r="CQ286" i="6"/>
  <c r="CU286" i="6"/>
  <c r="CC287" i="6"/>
  <c r="AY287" i="6" s="1"/>
  <c r="CG287" i="6"/>
  <c r="CQ287" i="6"/>
  <c r="CU287" i="6"/>
  <c r="CC288" i="6"/>
  <c r="AY288" i="6" s="1"/>
  <c r="CG288" i="6"/>
  <c r="CQ288" i="6"/>
  <c r="CU288" i="6"/>
  <c r="CC289" i="6"/>
  <c r="CG289" i="6"/>
  <c r="CQ289" i="6"/>
  <c r="CU289" i="6"/>
  <c r="CC290" i="6"/>
  <c r="AY290" i="6" s="1"/>
  <c r="CG290" i="6"/>
  <c r="CQ290" i="6"/>
  <c r="CU290" i="6"/>
  <c r="CC291" i="6"/>
  <c r="AY291" i="6" s="1"/>
  <c r="CG291" i="6"/>
  <c r="CQ291" i="6"/>
  <c r="CU291" i="6"/>
  <c r="CC292" i="6"/>
  <c r="AY292" i="6" s="1"/>
  <c r="CG292" i="6"/>
  <c r="CQ292" i="6"/>
  <c r="CU292" i="6"/>
  <c r="CC293" i="6"/>
  <c r="AY293" i="6" s="1"/>
  <c r="CG293" i="6"/>
  <c r="CQ293" i="6"/>
  <c r="CU293" i="6"/>
  <c r="CB298" i="6"/>
  <c r="CP298" i="6"/>
  <c r="CB299" i="6"/>
  <c r="CP299" i="6"/>
  <c r="CB300" i="6"/>
  <c r="CP300" i="6"/>
  <c r="CB301" i="6"/>
  <c r="CP301" i="6"/>
  <c r="CF307" i="6"/>
  <c r="CR307" i="6"/>
  <c r="C308" i="6"/>
  <c r="CB308" i="6"/>
  <c r="CD309" i="6"/>
  <c r="AW309" i="6" s="1"/>
  <c r="CT309" i="6"/>
  <c r="CP310" i="6"/>
  <c r="CF311" i="6"/>
  <c r="CR311" i="6"/>
  <c r="C312" i="6"/>
  <c r="CB312" i="6"/>
  <c r="CD313" i="6"/>
  <c r="AW313" i="6" s="1"/>
  <c r="CT313" i="6"/>
  <c r="CP314" i="6"/>
  <c r="CF315" i="6"/>
  <c r="CR315" i="6"/>
  <c r="C316" i="6"/>
  <c r="CC317" i="6"/>
  <c r="C318" i="6"/>
  <c r="CC319" i="6"/>
  <c r="C320" i="6"/>
  <c r="CC321" i="6"/>
  <c r="C322" i="6"/>
  <c r="CC323" i="6"/>
  <c r="C324" i="6"/>
  <c r="CF330" i="6"/>
  <c r="CR330" i="6"/>
  <c r="CF331" i="6"/>
  <c r="CR331" i="6"/>
  <c r="CF332" i="6"/>
  <c r="CR332" i="6"/>
  <c r="CF333" i="6"/>
  <c r="CR333" i="6"/>
  <c r="CD334" i="6"/>
  <c r="CR334" i="6"/>
  <c r="CF335" i="6"/>
  <c r="CR335" i="6"/>
  <c r="CF336" i="6"/>
  <c r="CR336" i="6"/>
  <c r="CF337" i="6"/>
  <c r="CR337" i="6"/>
  <c r="CF338" i="6"/>
  <c r="CR338" i="6"/>
  <c r="CF339" i="6"/>
  <c r="CR339" i="6"/>
  <c r="CB344" i="6"/>
  <c r="AL344" i="6" s="1"/>
  <c r="CB345" i="6"/>
  <c r="AL345" i="6" s="1"/>
  <c r="CB346" i="6"/>
  <c r="AL346" i="6" s="1"/>
  <c r="CE351" i="6"/>
  <c r="CS351" i="6"/>
  <c r="CB352" i="6"/>
  <c r="CQ352" i="6"/>
  <c r="CB394" i="6"/>
  <c r="V394" i="6" s="1"/>
  <c r="CA396" i="6"/>
  <c r="V396" i="6" s="1"/>
  <c r="CA398" i="6"/>
  <c r="V398" i="6" s="1"/>
  <c r="CA401" i="6"/>
  <c r="V401" i="6" s="1"/>
  <c r="CA403" i="6"/>
  <c r="V403" i="6" s="1"/>
  <c r="CA409" i="6"/>
  <c r="G409" i="6" s="1"/>
  <c r="CO409" i="6"/>
  <c r="CC410" i="6"/>
  <c r="CA411" i="6"/>
  <c r="G411" i="6" s="1"/>
  <c r="CO411" i="6"/>
  <c r="C13" i="7"/>
  <c r="C15" i="7"/>
  <c r="C17" i="7"/>
  <c r="C19" i="7"/>
  <c r="C21" i="7"/>
  <c r="CQ23" i="7"/>
  <c r="CB24" i="7"/>
  <c r="CF24" i="7"/>
  <c r="CK24" i="7"/>
  <c r="CO24" i="7"/>
  <c r="CS24" i="7"/>
  <c r="CQ25" i="7"/>
  <c r="CB26" i="7"/>
  <c r="CF26" i="7"/>
  <c r="CK26" i="7"/>
  <c r="CO26" i="7"/>
  <c r="CS26" i="7"/>
  <c r="CB31" i="7"/>
  <c r="CF31" i="7"/>
  <c r="CN31" i="7"/>
  <c r="CB50" i="7"/>
  <c r="CM50" i="7"/>
  <c r="CL75" i="7"/>
  <c r="CL76" i="7"/>
  <c r="CD135" i="7"/>
  <c r="CM135" i="7"/>
  <c r="CD137" i="7"/>
  <c r="CM137" i="7"/>
  <c r="CD160" i="7"/>
  <c r="CK160" i="7"/>
  <c r="CO160" i="7"/>
  <c r="CF161" i="7"/>
  <c r="CD162" i="7"/>
  <c r="CK162" i="7"/>
  <c r="CO162" i="7"/>
  <c r="D163" i="7"/>
  <c r="CF164" i="7"/>
  <c r="CD165" i="7"/>
  <c r="CK165" i="7"/>
  <c r="CO165" i="7"/>
  <c r="CF166" i="7"/>
  <c r="CD168" i="7"/>
  <c r="CK168" i="7"/>
  <c r="CO168" i="7"/>
  <c r="B67" i="8"/>
  <c r="CB12" i="8"/>
  <c r="AH12" i="8" s="1"/>
  <c r="CN12" i="8"/>
  <c r="CD13" i="8"/>
  <c r="CB14" i="8"/>
  <c r="AH14" i="8" s="1"/>
  <c r="CD15" i="8"/>
  <c r="CB16" i="8"/>
  <c r="AH16" i="8" s="1"/>
  <c r="CD17" i="8"/>
  <c r="CB18" i="8"/>
  <c r="AH18" i="8" s="1"/>
  <c r="CD19" i="8"/>
  <c r="CB20" i="8"/>
  <c r="AH20" i="8" s="1"/>
  <c r="CD21" i="8"/>
  <c r="CB22" i="8"/>
  <c r="AH22" i="8" s="1"/>
  <c r="CD23" i="8"/>
  <c r="CB24" i="8"/>
  <c r="AH24" i="8" s="1"/>
  <c r="CD25" i="8"/>
  <c r="CB26" i="8"/>
  <c r="AH26" i="8" s="1"/>
  <c r="CD27" i="8"/>
  <c r="CB28" i="8"/>
  <c r="AH28" i="8" s="1"/>
  <c r="CD29" i="8"/>
  <c r="CB30" i="8"/>
  <c r="AH30" i="8" s="1"/>
  <c r="CD31" i="8"/>
  <c r="CB32" i="8"/>
  <c r="AH32" i="8" s="1"/>
  <c r="CD33" i="8"/>
  <c r="CB34" i="8"/>
  <c r="AH34" i="8" s="1"/>
  <c r="CD35" i="8"/>
  <c r="CB36" i="8"/>
  <c r="AH36" i="8" s="1"/>
  <c r="CD37" i="8"/>
  <c r="CB38" i="8"/>
  <c r="AH38" i="8" s="1"/>
  <c r="CD39" i="8"/>
  <c r="CB40" i="8"/>
  <c r="AH40" i="8" s="1"/>
  <c r="CD41" i="8"/>
  <c r="CB42" i="8"/>
  <c r="AH42" i="8" s="1"/>
  <c r="CD43" i="8"/>
  <c r="CB44" i="8"/>
  <c r="AH44" i="8" s="1"/>
  <c r="CD45" i="8"/>
  <c r="CB46" i="8"/>
  <c r="AH46" i="8" s="1"/>
  <c r="CD47" i="8"/>
  <c r="CB48" i="8"/>
  <c r="AH48" i="8" s="1"/>
  <c r="CD49" i="8"/>
  <c r="CB50" i="8"/>
  <c r="AH50" i="8" s="1"/>
  <c r="CD51" i="8"/>
  <c r="CB52" i="8"/>
  <c r="AH52" i="8" s="1"/>
  <c r="CD53" i="8"/>
  <c r="CB54" i="8"/>
  <c r="AH54" i="8" s="1"/>
  <c r="CD55" i="8"/>
  <c r="CB56" i="8"/>
  <c r="AH56" i="8" s="1"/>
  <c r="CD57" i="8"/>
  <c r="CB58" i="8"/>
  <c r="AH58" i="8" s="1"/>
  <c r="CD59" i="8"/>
  <c r="CB60" i="8"/>
  <c r="AH60" i="8" s="1"/>
  <c r="CD61" i="8"/>
  <c r="CB62" i="8"/>
  <c r="AH62" i="8" s="1"/>
  <c r="CO65" i="8"/>
  <c r="CD66" i="8"/>
  <c r="D162" i="8"/>
  <c r="CQ153" i="8"/>
  <c r="CF153" i="8"/>
  <c r="CB153" i="8"/>
  <c r="CP153" i="8"/>
  <c r="CE153" i="8"/>
  <c r="CO153" i="8"/>
  <c r="CD153" i="8"/>
  <c r="CR153" i="8"/>
  <c r="CO157" i="8"/>
  <c r="CF157" i="8"/>
  <c r="CB157" i="8"/>
  <c r="CR157" i="8"/>
  <c r="CN157" i="8"/>
  <c r="CE157" i="8"/>
  <c r="CQ157" i="8"/>
  <c r="CD157" i="8"/>
  <c r="CO158" i="8"/>
  <c r="CD158" i="8"/>
  <c r="CR158" i="8"/>
  <c r="CN158" i="8"/>
  <c r="CC158" i="8"/>
  <c r="CQ158" i="8"/>
  <c r="CF158" i="8"/>
  <c r="CB158" i="8"/>
  <c r="CP158" i="8"/>
  <c r="CE160" i="8"/>
  <c r="CC183" i="8"/>
  <c r="CB183" i="8"/>
  <c r="AS183" i="8" s="1"/>
  <c r="CO183" i="8"/>
  <c r="CN183" i="8"/>
  <c r="CC185" i="8"/>
  <c r="CB185" i="8"/>
  <c r="AS185" i="8" s="1"/>
  <c r="CO185" i="8"/>
  <c r="CN185" i="8"/>
  <c r="CO21" i="9"/>
  <c r="CE21" i="9"/>
  <c r="CA21" i="9"/>
  <c r="CR21" i="9"/>
  <c r="CN21" i="9"/>
  <c r="CD21" i="9"/>
  <c r="CQ21" i="9"/>
  <c r="CM21" i="9"/>
  <c r="CC21" i="9"/>
  <c r="CP21" i="9"/>
  <c r="CF21" i="9"/>
  <c r="CB21" i="9"/>
  <c r="CA54" i="9"/>
  <c r="AP54" i="9" s="1"/>
  <c r="CN54" i="9"/>
  <c r="CM54" i="9"/>
  <c r="CB54" i="9"/>
  <c r="CA56" i="9"/>
  <c r="AP56" i="9" s="1"/>
  <c r="CN56" i="9"/>
  <c r="CM56" i="9"/>
  <c r="CB56" i="9"/>
  <c r="CA62" i="9"/>
  <c r="AO62" i="9" s="1"/>
  <c r="CN62" i="9"/>
  <c r="CM62" i="9"/>
  <c r="CB62" i="9"/>
  <c r="CA64" i="9"/>
  <c r="AO64" i="9" s="1"/>
  <c r="CN64" i="9"/>
  <c r="CM64" i="9"/>
  <c r="CB64" i="9"/>
  <c r="B210" i="9"/>
  <c r="CN215" i="9"/>
  <c r="CB215" i="9"/>
  <c r="CM215" i="9"/>
  <c r="CA215" i="9"/>
  <c r="CP215" i="9"/>
  <c r="CD215" i="9"/>
  <c r="CO215" i="9"/>
  <c r="CC215" i="9"/>
  <c r="CU66" i="10"/>
  <c r="CF66" i="10"/>
  <c r="CT66" i="10"/>
  <c r="CE66" i="10"/>
  <c r="CS66" i="10"/>
  <c r="CH66" i="10"/>
  <c r="CD66" i="10"/>
  <c r="CV66" i="10"/>
  <c r="CR66" i="10"/>
  <c r="CG66" i="10"/>
  <c r="CT114" i="10"/>
  <c r="CG114" i="10"/>
  <c r="CC114" i="10"/>
  <c r="CU114" i="10"/>
  <c r="CQ114" i="10"/>
  <c r="CH114" i="10"/>
  <c r="CW114" i="10"/>
  <c r="CO114" i="10"/>
  <c r="CV114" i="10"/>
  <c r="CI114" i="10"/>
  <c r="CS114" i="10"/>
  <c r="CF114" i="10"/>
  <c r="CE114" i="10"/>
  <c r="CJ210" i="6"/>
  <c r="CQ210" i="6"/>
  <c r="CU210" i="6"/>
  <c r="CJ212" i="6"/>
  <c r="CQ212" i="6"/>
  <c r="CU212" i="6"/>
  <c r="CJ214" i="6"/>
  <c r="CQ214" i="6"/>
  <c r="CU214" i="6"/>
  <c r="CJ216" i="6"/>
  <c r="CQ216" i="6"/>
  <c r="CU216" i="6"/>
  <c r="CC218" i="6"/>
  <c r="CG218" i="6"/>
  <c r="CC219" i="6"/>
  <c r="CG219" i="6"/>
  <c r="CC220" i="6"/>
  <c r="CG220" i="6"/>
  <c r="CC221" i="6"/>
  <c r="CG221" i="6"/>
  <c r="CJ222" i="6"/>
  <c r="CQ222" i="6"/>
  <c r="CU222" i="6"/>
  <c r="CJ224" i="6"/>
  <c r="CQ224" i="6"/>
  <c r="CU224" i="6"/>
  <c r="CJ226" i="6"/>
  <c r="CQ226" i="6"/>
  <c r="CU226" i="6"/>
  <c r="CJ231" i="6"/>
  <c r="CQ231" i="6"/>
  <c r="CU231" i="6"/>
  <c r="CJ233" i="6"/>
  <c r="CQ233" i="6"/>
  <c r="CU233" i="6"/>
  <c r="CJ235" i="6"/>
  <c r="CQ235" i="6"/>
  <c r="CU235" i="6"/>
  <c r="CJ237" i="6"/>
  <c r="CQ237" i="6"/>
  <c r="CU237" i="6"/>
  <c r="CJ239" i="6"/>
  <c r="CQ239" i="6"/>
  <c r="CU239" i="6"/>
  <c r="CJ241" i="6"/>
  <c r="CQ241" i="6"/>
  <c r="CU241" i="6"/>
  <c r="CH269" i="6"/>
  <c r="CV269" i="6"/>
  <c r="CE270" i="6"/>
  <c r="AY270" i="6" s="1"/>
  <c r="CI270" i="6"/>
  <c r="CT270" i="6"/>
  <c r="C271" i="6"/>
  <c r="CB271" i="6"/>
  <c r="CE272" i="6"/>
  <c r="AY272" i="6" s="1"/>
  <c r="CI272" i="6"/>
  <c r="CT272" i="6"/>
  <c r="C273" i="6"/>
  <c r="CB273" i="6"/>
  <c r="CH274" i="6"/>
  <c r="CV274" i="6"/>
  <c r="CH275" i="6"/>
  <c r="CV275" i="6"/>
  <c r="CH276" i="6"/>
  <c r="CV276" i="6"/>
  <c r="CH277" i="6"/>
  <c r="CV277" i="6"/>
  <c r="CH278" i="6"/>
  <c r="CV278" i="6"/>
  <c r="CH279" i="6"/>
  <c r="CV279" i="6"/>
  <c r="CH280" i="6"/>
  <c r="CV280" i="6"/>
  <c r="CH281" i="6"/>
  <c r="CV281" i="6"/>
  <c r="CH282" i="6"/>
  <c r="CV282" i="6"/>
  <c r="CH283" i="6"/>
  <c r="CV283" i="6"/>
  <c r="CH284" i="6"/>
  <c r="CV284" i="6"/>
  <c r="CH285" i="6"/>
  <c r="CV285" i="6"/>
  <c r="CH286" i="6"/>
  <c r="CV286" i="6"/>
  <c r="CH287" i="6"/>
  <c r="CV287" i="6"/>
  <c r="CH288" i="6"/>
  <c r="CV288" i="6"/>
  <c r="CH289" i="6"/>
  <c r="CV289" i="6"/>
  <c r="CH290" i="6"/>
  <c r="CV290" i="6"/>
  <c r="CH291" i="6"/>
  <c r="CV291" i="6"/>
  <c r="CH292" i="6"/>
  <c r="CV292" i="6"/>
  <c r="CH293" i="6"/>
  <c r="CV293" i="6"/>
  <c r="CC298" i="6"/>
  <c r="CQ298" i="6"/>
  <c r="CC299" i="6"/>
  <c r="CQ299" i="6"/>
  <c r="CC300" i="6"/>
  <c r="CQ300" i="6"/>
  <c r="CC301" i="6"/>
  <c r="CQ301" i="6"/>
  <c r="CG307" i="6"/>
  <c r="CS307" i="6"/>
  <c r="CE309" i="6"/>
  <c r="CU309" i="6"/>
  <c r="CG311" i="6"/>
  <c r="CS311" i="6"/>
  <c r="CE313" i="6"/>
  <c r="CU313" i="6"/>
  <c r="CG315" i="6"/>
  <c r="CS315" i="6"/>
  <c r="CQ316" i="6"/>
  <c r="CQ318" i="6"/>
  <c r="CQ320" i="6"/>
  <c r="CQ322" i="6"/>
  <c r="CQ324" i="6"/>
  <c r="CA329" i="6"/>
  <c r="CC330" i="6"/>
  <c r="AX330" i="6" s="1"/>
  <c r="CS330" i="6"/>
  <c r="CC331" i="6"/>
  <c r="AX331" i="6" s="1"/>
  <c r="CS331" i="6"/>
  <c r="CC332" i="6"/>
  <c r="AX332" i="6" s="1"/>
  <c r="CS332" i="6"/>
  <c r="CC333" i="6"/>
  <c r="AX333" i="6" s="1"/>
  <c r="CS333" i="6"/>
  <c r="CE334" i="6"/>
  <c r="CS334" i="6"/>
  <c r="CC335" i="6"/>
  <c r="AX335" i="6" s="1"/>
  <c r="CS335" i="6"/>
  <c r="CC336" i="6"/>
  <c r="AX336" i="6" s="1"/>
  <c r="CS336" i="6"/>
  <c r="CC337" i="6"/>
  <c r="AX337" i="6" s="1"/>
  <c r="CS337" i="6"/>
  <c r="CC338" i="6"/>
  <c r="AX338" i="6" s="1"/>
  <c r="CS338" i="6"/>
  <c r="CC339" i="6"/>
  <c r="AX339" i="6" s="1"/>
  <c r="CS339" i="6"/>
  <c r="CC344" i="6"/>
  <c r="CQ344" i="6"/>
  <c r="CC345" i="6"/>
  <c r="CQ345" i="6"/>
  <c r="CC346" i="6"/>
  <c r="CQ346" i="6"/>
  <c r="CF351" i="6"/>
  <c r="CC352" i="6"/>
  <c r="CR352" i="6"/>
  <c r="CO394" i="6"/>
  <c r="CH12" i="7"/>
  <c r="CH14" i="7"/>
  <c r="CH16" i="7"/>
  <c r="CH18" i="7"/>
  <c r="CH20" i="7"/>
  <c r="C23" i="7"/>
  <c r="CC24" i="7"/>
  <c r="CG24" i="7"/>
  <c r="CL24" i="7"/>
  <c r="CP24" i="7"/>
  <c r="C25" i="7"/>
  <c r="CC26" i="7"/>
  <c r="CG26" i="7"/>
  <c r="CL26" i="7"/>
  <c r="CP26" i="7"/>
  <c r="CC31" i="7"/>
  <c r="CK31" i="7"/>
  <c r="CO31" i="7"/>
  <c r="CC50" i="7"/>
  <c r="CA75" i="7"/>
  <c r="CA76" i="7"/>
  <c r="CA135" i="7"/>
  <c r="CE135" i="7"/>
  <c r="CN135" i="7"/>
  <c r="CA137" i="7"/>
  <c r="CE137" i="7"/>
  <c r="CN137" i="7"/>
  <c r="CA160" i="7"/>
  <c r="CE160" i="7"/>
  <c r="CL160" i="7"/>
  <c r="CA162" i="7"/>
  <c r="CE162" i="7"/>
  <c r="CL162" i="7"/>
  <c r="E163" i="7"/>
  <c r="CA165" i="7"/>
  <c r="CE165" i="7"/>
  <c r="CL165" i="7"/>
  <c r="CA168" i="7"/>
  <c r="CE168" i="7"/>
  <c r="CL168" i="7"/>
  <c r="CO12" i="8"/>
  <c r="CO14" i="8"/>
  <c r="CO16" i="8"/>
  <c r="CO18" i="8"/>
  <c r="CO20" i="8"/>
  <c r="CO22" i="8"/>
  <c r="CO24" i="8"/>
  <c r="CO26" i="8"/>
  <c r="CO28" i="8"/>
  <c r="CO30" i="8"/>
  <c r="CO32" i="8"/>
  <c r="CO34" i="8"/>
  <c r="CO36" i="8"/>
  <c r="CO38" i="8"/>
  <c r="CO40" i="8"/>
  <c r="CO42" i="8"/>
  <c r="CO44" i="8"/>
  <c r="CO46" i="8"/>
  <c r="CO48" i="8"/>
  <c r="CO50" i="8"/>
  <c r="CO52" i="8"/>
  <c r="CO54" i="8"/>
  <c r="CO56" i="8"/>
  <c r="CO58" i="8"/>
  <c r="CO60" i="8"/>
  <c r="CO62" i="8"/>
  <c r="X67" i="8"/>
  <c r="CO129" i="8"/>
  <c r="CC129" i="8"/>
  <c r="CN129" i="8"/>
  <c r="CB129" i="8"/>
  <c r="CM129" i="8"/>
  <c r="CO131" i="8"/>
  <c r="CC131" i="8"/>
  <c r="CN131" i="8"/>
  <c r="CB131" i="8"/>
  <c r="CM131" i="8"/>
  <c r="CO133" i="8"/>
  <c r="CC133" i="8"/>
  <c r="CN133" i="8"/>
  <c r="CB133" i="8"/>
  <c r="CM133" i="8"/>
  <c r="CO135" i="8"/>
  <c r="CC135" i="8"/>
  <c r="CN135" i="8"/>
  <c r="CB135" i="8"/>
  <c r="CM135" i="8"/>
  <c r="CO137" i="8"/>
  <c r="CC137" i="8"/>
  <c r="CN137" i="8"/>
  <c r="CB137" i="8"/>
  <c r="CM137" i="8"/>
  <c r="CO139" i="8"/>
  <c r="CC139" i="8"/>
  <c r="CN139" i="8"/>
  <c r="CB139" i="8"/>
  <c r="CM139" i="8"/>
  <c r="CO141" i="8"/>
  <c r="CC141" i="8"/>
  <c r="CN141" i="8"/>
  <c r="CB141" i="8"/>
  <c r="CM141" i="8"/>
  <c r="CO143" i="8"/>
  <c r="CC143" i="8"/>
  <c r="CN143" i="8"/>
  <c r="CB143" i="8"/>
  <c r="CM143" i="8"/>
  <c r="CO145" i="8"/>
  <c r="CC145" i="8"/>
  <c r="CN145" i="8"/>
  <c r="CB145" i="8"/>
  <c r="CM145" i="8"/>
  <c r="CR152" i="8"/>
  <c r="CN152" i="8"/>
  <c r="CC152" i="8"/>
  <c r="CQ152" i="8"/>
  <c r="CF152" i="8"/>
  <c r="CB152" i="8"/>
  <c r="CP152" i="8"/>
  <c r="CE152" i="8"/>
  <c r="CO154" i="8"/>
  <c r="CD154" i="8"/>
  <c r="CR154" i="8"/>
  <c r="CN154" i="8"/>
  <c r="CC154" i="8"/>
  <c r="CQ154" i="8"/>
  <c r="CF154" i="8"/>
  <c r="CB154" i="8"/>
  <c r="AX154" i="8" s="1"/>
  <c r="CP154" i="8"/>
  <c r="CO159" i="8"/>
  <c r="CF159" i="8"/>
  <c r="CB159" i="8"/>
  <c r="AX159" i="8" s="1"/>
  <c r="CR159" i="8"/>
  <c r="CN159" i="8"/>
  <c r="CE159" i="8"/>
  <c r="CQ159" i="8"/>
  <c r="CD159" i="8"/>
  <c r="CQ160" i="8"/>
  <c r="CD160" i="8"/>
  <c r="CP160" i="8"/>
  <c r="CC160" i="8"/>
  <c r="CO160" i="8"/>
  <c r="CF160" i="8"/>
  <c r="CB160" i="8"/>
  <c r="AX160" i="8" s="1"/>
  <c r="CC187" i="8"/>
  <c r="CB187" i="8"/>
  <c r="AS187" i="8" s="1"/>
  <c r="CO187" i="8"/>
  <c r="CN187" i="8"/>
  <c r="CC189" i="8"/>
  <c r="CB189" i="8"/>
  <c r="AS189" i="8" s="1"/>
  <c r="CO189" i="8"/>
  <c r="CN189" i="8"/>
  <c r="CC191" i="8"/>
  <c r="CB191" i="8"/>
  <c r="AS191" i="8" s="1"/>
  <c r="CO191" i="8"/>
  <c r="CN191" i="8"/>
  <c r="CS13" i="9"/>
  <c r="CO13" i="9"/>
  <c r="CF13" i="9"/>
  <c r="CB13" i="9"/>
  <c r="CR13" i="9"/>
  <c r="CN13" i="9"/>
  <c r="CE13" i="9"/>
  <c r="CA13" i="9"/>
  <c r="CQ13" i="9"/>
  <c r="CM13" i="9"/>
  <c r="CD13" i="9"/>
  <c r="CP13" i="9"/>
  <c r="CG13" i="9"/>
  <c r="CC13" i="9"/>
  <c r="CO23" i="9"/>
  <c r="CE23" i="9"/>
  <c r="CA23" i="9"/>
  <c r="CR23" i="9"/>
  <c r="CN23" i="9"/>
  <c r="CD23" i="9"/>
  <c r="CQ23" i="9"/>
  <c r="CM23" i="9"/>
  <c r="CC23" i="9"/>
  <c r="CP23" i="9"/>
  <c r="CF23" i="9"/>
  <c r="CB23" i="9"/>
  <c r="CM25" i="9"/>
  <c r="CA25" i="9"/>
  <c r="CR25" i="9"/>
  <c r="CF25" i="9"/>
  <c r="CQ25" i="9"/>
  <c r="CE25" i="9"/>
  <c r="CN25" i="9"/>
  <c r="CB25" i="9"/>
  <c r="CA31" i="9"/>
  <c r="CN31" i="9"/>
  <c r="CM31" i="9"/>
  <c r="CB31" i="9"/>
  <c r="CM33" i="9"/>
  <c r="CA33" i="9"/>
  <c r="AO33" i="9" s="1"/>
  <c r="CM35" i="9"/>
  <c r="CA35" i="9"/>
  <c r="AO35" i="9" s="1"/>
  <c r="CM41" i="9"/>
  <c r="CB41" i="9"/>
  <c r="CA41" i="9"/>
  <c r="CN41" i="9"/>
  <c r="CM43" i="9"/>
  <c r="CB43" i="9"/>
  <c r="CA43" i="9"/>
  <c r="CN43" i="9"/>
  <c r="CM45" i="9"/>
  <c r="CB45" i="9"/>
  <c r="CA45" i="9"/>
  <c r="CN45" i="9"/>
  <c r="CC51" i="9"/>
  <c r="CO51" i="9"/>
  <c r="CB51" i="9"/>
  <c r="CN51" i="9"/>
  <c r="CA51" i="9"/>
  <c r="AP51" i="9" s="1"/>
  <c r="CM51" i="9"/>
  <c r="CA108" i="9"/>
  <c r="CN108" i="9"/>
  <c r="CM108" i="9"/>
  <c r="CB108" i="9"/>
  <c r="CA110" i="9"/>
  <c r="AP110" i="9" s="1"/>
  <c r="CM110" i="9"/>
  <c r="CA112" i="9"/>
  <c r="AP112" i="9" s="1"/>
  <c r="CM112" i="9"/>
  <c r="CA123" i="9"/>
  <c r="AO123" i="9" s="1"/>
  <c r="CM123" i="9"/>
  <c r="CA125" i="9"/>
  <c r="AO125" i="9" s="1"/>
  <c r="CM125" i="9"/>
  <c r="CQ131" i="9"/>
  <c r="CM131" i="9"/>
  <c r="CC131" i="9"/>
  <c r="CP131" i="9"/>
  <c r="CF131" i="9"/>
  <c r="CB131" i="9"/>
  <c r="CO131" i="9"/>
  <c r="CE131" i="9"/>
  <c r="CA131" i="9"/>
  <c r="CR131" i="9"/>
  <c r="CN131" i="9"/>
  <c r="CQ195" i="9"/>
  <c r="CM195" i="9"/>
  <c r="CB195" i="9"/>
  <c r="CP195" i="9"/>
  <c r="CE195" i="9"/>
  <c r="CA195" i="9"/>
  <c r="CO195" i="9"/>
  <c r="CD195" i="9"/>
  <c r="CN195" i="9"/>
  <c r="CC195" i="9"/>
  <c r="CN212" i="9"/>
  <c r="CB212" i="9"/>
  <c r="CM212" i="9"/>
  <c r="CA212" i="9"/>
  <c r="CP212" i="9"/>
  <c r="CD212" i="9"/>
  <c r="CO212" i="9"/>
  <c r="CC212" i="9"/>
  <c r="CN214" i="9"/>
  <c r="CB214" i="9"/>
  <c r="CM214" i="9"/>
  <c r="CA214" i="9"/>
  <c r="CP214" i="9"/>
  <c r="CD214" i="9"/>
  <c r="CO214" i="9"/>
  <c r="CC214" i="9"/>
  <c r="CT23" i="10"/>
  <c r="CF23" i="10"/>
  <c r="CS23" i="10"/>
  <c r="CE23" i="10"/>
  <c r="CV23" i="10"/>
  <c r="CR23" i="10"/>
  <c r="CH23" i="10"/>
  <c r="CD23" i="10"/>
  <c r="CU23" i="10"/>
  <c r="CG23" i="10"/>
  <c r="CT25" i="10"/>
  <c r="CF25" i="10"/>
  <c r="CS25" i="10"/>
  <c r="CE25" i="10"/>
  <c r="CV25" i="10"/>
  <c r="CR25" i="10"/>
  <c r="CH25" i="10"/>
  <c r="CD25" i="10"/>
  <c r="CU25" i="10"/>
  <c r="CG25" i="10"/>
  <c r="CT27" i="10"/>
  <c r="CF27" i="10"/>
  <c r="CS27" i="10"/>
  <c r="CE27" i="10"/>
  <c r="CV27" i="10"/>
  <c r="CR27" i="10"/>
  <c r="CH27" i="10"/>
  <c r="CD27" i="10"/>
  <c r="CU27" i="10"/>
  <c r="CG27" i="10"/>
  <c r="CT29" i="10"/>
  <c r="CF29" i="10"/>
  <c r="CS29" i="10"/>
  <c r="CE29" i="10"/>
  <c r="CV29" i="10"/>
  <c r="CR29" i="10"/>
  <c r="CH29" i="10"/>
  <c r="CD29" i="10"/>
  <c r="CU29" i="10"/>
  <c r="CG29" i="10"/>
  <c r="CT31" i="10"/>
  <c r="CF31" i="10"/>
  <c r="CS31" i="10"/>
  <c r="CE31" i="10"/>
  <c r="CV31" i="10"/>
  <c r="CR31" i="10"/>
  <c r="CH31" i="10"/>
  <c r="CD31" i="10"/>
  <c r="CU31" i="10"/>
  <c r="CG31" i="10"/>
  <c r="CT33" i="10"/>
  <c r="CF33" i="10"/>
  <c r="CS33" i="10"/>
  <c r="CE33" i="10"/>
  <c r="CV33" i="10"/>
  <c r="CR33" i="10"/>
  <c r="CH33" i="10"/>
  <c r="CD33" i="10"/>
  <c r="CU33" i="10"/>
  <c r="CG33" i="10"/>
  <c r="CT35" i="10"/>
  <c r="CF35" i="10"/>
  <c r="CS35" i="10"/>
  <c r="CE35" i="10"/>
  <c r="CV35" i="10"/>
  <c r="CR35" i="10"/>
  <c r="CH35" i="10"/>
  <c r="CD35" i="10"/>
  <c r="CU35" i="10"/>
  <c r="CG35" i="10"/>
  <c r="CT37" i="10"/>
  <c r="CF37" i="10"/>
  <c r="CS37" i="10"/>
  <c r="CE37" i="10"/>
  <c r="CV37" i="10"/>
  <c r="CR37" i="10"/>
  <c r="CH37" i="10"/>
  <c r="CD37" i="10"/>
  <c r="CU37" i="10"/>
  <c r="CG37" i="10"/>
  <c r="CU55" i="10"/>
  <c r="CG55" i="10"/>
  <c r="CT55" i="10"/>
  <c r="CF55" i="10"/>
  <c r="CS55" i="10"/>
  <c r="CE55" i="10"/>
  <c r="CV55" i="10"/>
  <c r="CR55" i="10"/>
  <c r="CH55" i="10"/>
  <c r="CD55" i="10"/>
  <c r="AY66" i="10"/>
  <c r="CW94" i="10"/>
  <c r="CS94" i="10"/>
  <c r="CO94" i="10"/>
  <c r="CF94" i="10"/>
  <c r="CV94" i="10"/>
  <c r="CI94" i="10"/>
  <c r="CE94" i="10"/>
  <c r="CU94" i="10"/>
  <c r="CQ94" i="10"/>
  <c r="CH94" i="10"/>
  <c r="CT94" i="10"/>
  <c r="CG94" i="10"/>
  <c r="CC94" i="10"/>
  <c r="CW96" i="10"/>
  <c r="CS96" i="10"/>
  <c r="CO96" i="10"/>
  <c r="CF96" i="10"/>
  <c r="CV96" i="10"/>
  <c r="CI96" i="10"/>
  <c r="CE96" i="10"/>
  <c r="CU96" i="10"/>
  <c r="CQ96" i="10"/>
  <c r="CH96" i="10"/>
  <c r="CT96" i="10"/>
  <c r="CG96" i="10"/>
  <c r="CC96" i="10"/>
  <c r="CW98" i="10"/>
  <c r="CS98" i="10"/>
  <c r="CO98" i="10"/>
  <c r="CF98" i="10"/>
  <c r="CV98" i="10"/>
  <c r="CI98" i="10"/>
  <c r="CE98" i="10"/>
  <c r="CU98" i="10"/>
  <c r="CQ98" i="10"/>
  <c r="CH98" i="10"/>
  <c r="CT98" i="10"/>
  <c r="CG98" i="10"/>
  <c r="CC98" i="10"/>
  <c r="CW100" i="10"/>
  <c r="CS100" i="10"/>
  <c r="CO100" i="10"/>
  <c r="CF100" i="10"/>
  <c r="CV100" i="10"/>
  <c r="CI100" i="10"/>
  <c r="CE100" i="10"/>
  <c r="CU100" i="10"/>
  <c r="CQ100" i="10"/>
  <c r="CH100" i="10"/>
  <c r="CT100" i="10"/>
  <c r="CG100" i="10"/>
  <c r="CC100" i="10"/>
  <c r="CW102" i="10"/>
  <c r="CS102" i="10"/>
  <c r="CO102" i="10"/>
  <c r="CF102" i="10"/>
  <c r="CV102" i="10"/>
  <c r="CI102" i="10"/>
  <c r="CE102" i="10"/>
  <c r="CU102" i="10"/>
  <c r="CQ102" i="10"/>
  <c r="CH102" i="10"/>
  <c r="CT102" i="10"/>
  <c r="CG102" i="10"/>
  <c r="CC102" i="10"/>
  <c r="CX104" i="10"/>
  <c r="CT104" i="10"/>
  <c r="CG104" i="10"/>
  <c r="CC104" i="10"/>
  <c r="CW104" i="10"/>
  <c r="CS104" i="10"/>
  <c r="CJ104" i="10"/>
  <c r="CF104" i="10"/>
  <c r="CV104" i="10"/>
  <c r="CI104" i="10"/>
  <c r="CE104" i="10"/>
  <c r="CU104" i="10"/>
  <c r="CQ104" i="10"/>
  <c r="CH104" i="10"/>
  <c r="CU123" i="10"/>
  <c r="CQ123" i="10"/>
  <c r="CH123" i="10"/>
  <c r="CV123" i="10"/>
  <c r="CI123" i="10"/>
  <c r="CE123" i="10"/>
  <c r="CT123" i="10"/>
  <c r="CJ123" i="10"/>
  <c r="CC123" i="10"/>
  <c r="CS123" i="10"/>
  <c r="CG123" i="10"/>
  <c r="CX123" i="10"/>
  <c r="CF123" i="10"/>
  <c r="CW123" i="10"/>
  <c r="CT136" i="10"/>
  <c r="CG136" i="10"/>
  <c r="CC136" i="10"/>
  <c r="CU136" i="10"/>
  <c r="CQ136" i="10"/>
  <c r="CH136" i="10"/>
  <c r="CW136" i="10"/>
  <c r="CO136" i="10"/>
  <c r="CV136" i="10"/>
  <c r="CI136" i="10"/>
  <c r="CS136" i="10"/>
  <c r="CF136" i="10"/>
  <c r="CE136" i="10"/>
  <c r="CW138" i="10"/>
  <c r="CS138" i="10"/>
  <c r="CO138" i="10"/>
  <c r="CG138" i="10"/>
  <c r="CC138" i="10"/>
  <c r="CX138" i="10"/>
  <c r="CT138" i="10"/>
  <c r="CH138" i="10"/>
  <c r="CQ138" i="10"/>
  <c r="CE138" i="10"/>
  <c r="CV138" i="10"/>
  <c r="CJ138" i="10"/>
  <c r="CU138" i="10"/>
  <c r="CI138" i="10"/>
  <c r="CF138" i="10"/>
  <c r="CT140" i="10"/>
  <c r="CG140" i="10"/>
  <c r="CC140" i="10"/>
  <c r="CU140" i="10"/>
  <c r="CQ140" i="10"/>
  <c r="CH140" i="10"/>
  <c r="CE140" i="10"/>
  <c r="CW140" i="10"/>
  <c r="CO140" i="10"/>
  <c r="CV140" i="10"/>
  <c r="CI140" i="10"/>
  <c r="CS140" i="10"/>
  <c r="CF140" i="10"/>
  <c r="CA12" i="6"/>
  <c r="Y12" i="6" s="1"/>
  <c r="CF12" i="6"/>
  <c r="CA13" i="6"/>
  <c r="Y13" i="6" s="1"/>
  <c r="CE13" i="6"/>
  <c r="CQ13" i="6"/>
  <c r="CD14" i="6"/>
  <c r="CH14" i="6"/>
  <c r="CP14" i="6"/>
  <c r="CA37" i="6"/>
  <c r="AB37" i="6" s="1"/>
  <c r="CI37" i="6"/>
  <c r="CQ37" i="6"/>
  <c r="CU37" i="6"/>
  <c r="CC39" i="6"/>
  <c r="CG39" i="6"/>
  <c r="CK39" i="6"/>
  <c r="CA41" i="6"/>
  <c r="CI41" i="6"/>
  <c r="CQ41" i="6"/>
  <c r="CU41" i="6"/>
  <c r="CC43" i="6"/>
  <c r="CG43" i="6"/>
  <c r="CK43" i="6"/>
  <c r="CA45" i="6"/>
  <c r="AB45" i="6" s="1"/>
  <c r="CI45" i="6"/>
  <c r="CQ45" i="6"/>
  <c r="CU45" i="6"/>
  <c r="CC47" i="6"/>
  <c r="AB47" i="6" s="1"/>
  <c r="CG47" i="6"/>
  <c r="CK47" i="6"/>
  <c r="CA49" i="6"/>
  <c r="CI49" i="6"/>
  <c r="CQ49" i="6"/>
  <c r="CU49" i="6"/>
  <c r="CC51" i="6"/>
  <c r="AB51" i="6" s="1"/>
  <c r="CG51" i="6"/>
  <c r="CK51" i="6"/>
  <c r="CB195" i="6"/>
  <c r="AY195" i="6" s="1"/>
  <c r="CJ195" i="6"/>
  <c r="CQ195" i="6"/>
  <c r="CB197" i="6"/>
  <c r="AY197" i="6" s="1"/>
  <c r="CJ197" i="6"/>
  <c r="CQ197" i="6"/>
  <c r="CB199" i="6"/>
  <c r="AY199" i="6" s="1"/>
  <c r="CJ199" i="6"/>
  <c r="CQ199" i="6"/>
  <c r="CB202" i="6"/>
  <c r="AY202" i="6" s="1"/>
  <c r="CJ202" i="6"/>
  <c r="CQ202" i="6"/>
  <c r="CB204" i="6"/>
  <c r="AY204" i="6" s="1"/>
  <c r="CJ204" i="6"/>
  <c r="CQ204" i="6"/>
  <c r="CB206" i="6"/>
  <c r="AY206" i="6" s="1"/>
  <c r="CJ206" i="6"/>
  <c r="CQ206" i="6"/>
  <c r="C209" i="6"/>
  <c r="CA209" i="6"/>
  <c r="CI209" i="6"/>
  <c r="CX209" i="6"/>
  <c r="CC210" i="6"/>
  <c r="CR210" i="6"/>
  <c r="C211" i="6"/>
  <c r="CA211" i="6"/>
  <c r="CI211" i="6"/>
  <c r="CX211" i="6"/>
  <c r="CC212" i="6"/>
  <c r="CR212" i="6"/>
  <c r="C213" i="6"/>
  <c r="CA213" i="6"/>
  <c r="CI213" i="6"/>
  <c r="CX213" i="6"/>
  <c r="CC214" i="6"/>
  <c r="CR214" i="6"/>
  <c r="C215" i="6"/>
  <c r="CA215" i="6"/>
  <c r="CI215" i="6"/>
  <c r="CX215" i="6"/>
  <c r="CC216" i="6"/>
  <c r="CR216" i="6"/>
  <c r="C217" i="6"/>
  <c r="CA217" i="6"/>
  <c r="CI217" i="6"/>
  <c r="CX217" i="6"/>
  <c r="CD218" i="6"/>
  <c r="CH218" i="6"/>
  <c r="CX218" i="6"/>
  <c r="CD219" i="6"/>
  <c r="CH219" i="6"/>
  <c r="CX219" i="6"/>
  <c r="CD220" i="6"/>
  <c r="CH220" i="6"/>
  <c r="CX220" i="6"/>
  <c r="CD221" i="6"/>
  <c r="CH221" i="6"/>
  <c r="CX221" i="6"/>
  <c r="CC222" i="6"/>
  <c r="CR222" i="6"/>
  <c r="C223" i="6"/>
  <c r="CA223" i="6"/>
  <c r="CI223" i="6"/>
  <c r="CX223" i="6"/>
  <c r="CC224" i="6"/>
  <c r="CR224" i="6"/>
  <c r="C225" i="6"/>
  <c r="CA225" i="6"/>
  <c r="CI225" i="6"/>
  <c r="CX225" i="6"/>
  <c r="CC226" i="6"/>
  <c r="CR226" i="6"/>
  <c r="C227" i="6"/>
  <c r="CC227" i="6"/>
  <c r="AY227" i="6" s="1"/>
  <c r="CU227" i="6"/>
  <c r="C228" i="6"/>
  <c r="CC228" i="6"/>
  <c r="AY228" i="6" s="1"/>
  <c r="CU228" i="6"/>
  <c r="C229" i="6"/>
  <c r="CC229" i="6"/>
  <c r="AY229" i="6" s="1"/>
  <c r="CU229" i="6"/>
  <c r="C230" i="6"/>
  <c r="CA230" i="6"/>
  <c r="CI230" i="6"/>
  <c r="CX230" i="6"/>
  <c r="CC231" i="6"/>
  <c r="CR231" i="6"/>
  <c r="C232" i="6"/>
  <c r="CA232" i="6"/>
  <c r="CI232" i="6"/>
  <c r="CX232" i="6"/>
  <c r="CC233" i="6"/>
  <c r="CR233" i="6"/>
  <c r="C234" i="6"/>
  <c r="CA234" i="6"/>
  <c r="CI234" i="6"/>
  <c r="CX234" i="6"/>
  <c r="CC235" i="6"/>
  <c r="CR235" i="6"/>
  <c r="C236" i="6"/>
  <c r="CA236" i="6"/>
  <c r="CI236" i="6"/>
  <c r="CX236" i="6"/>
  <c r="CC237" i="6"/>
  <c r="CR237" i="6"/>
  <c r="C238" i="6"/>
  <c r="CA238" i="6"/>
  <c r="CI238" i="6"/>
  <c r="CX238" i="6"/>
  <c r="CC239" i="6"/>
  <c r="CR239" i="6"/>
  <c r="C240" i="6"/>
  <c r="CA240" i="6"/>
  <c r="CI240" i="6"/>
  <c r="CX240" i="6"/>
  <c r="CC241" i="6"/>
  <c r="CR241" i="6"/>
  <c r="CB245" i="6"/>
  <c r="AY245" i="6" s="1"/>
  <c r="CE247" i="6"/>
  <c r="CS247" i="6"/>
  <c r="CE248" i="6"/>
  <c r="CS248" i="6"/>
  <c r="CE249" i="6"/>
  <c r="CS249" i="6"/>
  <c r="CE250" i="6"/>
  <c r="CS250" i="6"/>
  <c r="CE251" i="6"/>
  <c r="CS251" i="6"/>
  <c r="CE252" i="6"/>
  <c r="CS252" i="6"/>
  <c r="CE254" i="6"/>
  <c r="CS254" i="6"/>
  <c r="CE255" i="6"/>
  <c r="CS255" i="6"/>
  <c r="CE256" i="6"/>
  <c r="CS256" i="6"/>
  <c r="CE257" i="6"/>
  <c r="CS257" i="6"/>
  <c r="CE258" i="6"/>
  <c r="CS258" i="6"/>
  <c r="CE259" i="6"/>
  <c r="CS259" i="6"/>
  <c r="CC260" i="6"/>
  <c r="CH260" i="6"/>
  <c r="CW260" i="6"/>
  <c r="CE261" i="6"/>
  <c r="CS261" i="6"/>
  <c r="CE262" i="6"/>
  <c r="CS262" i="6"/>
  <c r="CE263" i="6"/>
  <c r="CS263" i="6"/>
  <c r="CE264" i="6"/>
  <c r="CS264" i="6"/>
  <c r="CE265" i="6"/>
  <c r="CS265" i="6"/>
  <c r="CE266" i="6"/>
  <c r="CS266" i="6"/>
  <c r="CE267" i="6"/>
  <c r="CS267" i="6"/>
  <c r="CE268" i="6"/>
  <c r="CS268" i="6"/>
  <c r="CE269" i="6"/>
  <c r="CI269" i="6"/>
  <c r="CS269" i="6"/>
  <c r="CW269" i="6"/>
  <c r="CF270" i="6"/>
  <c r="CU270" i="6"/>
  <c r="CS271" i="6"/>
  <c r="CF272" i="6"/>
  <c r="CU272" i="6"/>
  <c r="CS273" i="6"/>
  <c r="CE274" i="6"/>
  <c r="CI274" i="6"/>
  <c r="CW274" i="6"/>
  <c r="CE275" i="6"/>
  <c r="CI275" i="6"/>
  <c r="CW275" i="6"/>
  <c r="CE276" i="6"/>
  <c r="CI276" i="6"/>
  <c r="CW276" i="6"/>
  <c r="CE277" i="6"/>
  <c r="CI277" i="6"/>
  <c r="CW277" i="6"/>
  <c r="CE278" i="6"/>
  <c r="CI278" i="6"/>
  <c r="CW278" i="6"/>
  <c r="CI279" i="6"/>
  <c r="CI280" i="6"/>
  <c r="CI281" i="6"/>
  <c r="CE282" i="6"/>
  <c r="CI282" i="6"/>
  <c r="CW282" i="6"/>
  <c r="CE283" i="6"/>
  <c r="CI283" i="6"/>
  <c r="CW283" i="6"/>
  <c r="CE284" i="6"/>
  <c r="CI284" i="6"/>
  <c r="CW284" i="6"/>
  <c r="CE285" i="6"/>
  <c r="CI285" i="6"/>
  <c r="CW285" i="6"/>
  <c r="CE286" i="6"/>
  <c r="CI286" i="6"/>
  <c r="CW286" i="6"/>
  <c r="CE287" i="6"/>
  <c r="CI287" i="6"/>
  <c r="CW287" i="6"/>
  <c r="CE288" i="6"/>
  <c r="CI288" i="6"/>
  <c r="CW288" i="6"/>
  <c r="CE289" i="6"/>
  <c r="AY289" i="6" s="1"/>
  <c r="CI289" i="6"/>
  <c r="CW289" i="6"/>
  <c r="CE290" i="6"/>
  <c r="CI290" i="6"/>
  <c r="CW290" i="6"/>
  <c r="CE291" i="6"/>
  <c r="CI291" i="6"/>
  <c r="CW291" i="6"/>
  <c r="CE292" i="6"/>
  <c r="CI292" i="6"/>
  <c r="CW292" i="6"/>
  <c r="CE293" i="6"/>
  <c r="CI293" i="6"/>
  <c r="CW293" i="6"/>
  <c r="CD298" i="6"/>
  <c r="CR298" i="6"/>
  <c r="CD299" i="6"/>
  <c r="CR299" i="6"/>
  <c r="CD300" i="6"/>
  <c r="CR300" i="6"/>
  <c r="CD301" i="6"/>
  <c r="CR301" i="6"/>
  <c r="CD307" i="6"/>
  <c r="AW307" i="6" s="1"/>
  <c r="CF309" i="6"/>
  <c r="CR309" i="6"/>
  <c r="C310" i="6"/>
  <c r="CD311" i="6"/>
  <c r="AW311" i="6" s="1"/>
  <c r="CF313" i="6"/>
  <c r="CR313" i="6"/>
  <c r="C314" i="6"/>
  <c r="CD315" i="6"/>
  <c r="AW315" i="6" s="1"/>
  <c r="C317" i="6"/>
  <c r="C319" i="6"/>
  <c r="C321" i="6"/>
  <c r="C323" i="6"/>
  <c r="C329" i="6"/>
  <c r="CD330" i="6"/>
  <c r="CT330" i="6"/>
  <c r="CD331" i="6"/>
  <c r="CT331" i="6"/>
  <c r="CD332" i="6"/>
  <c r="CT332" i="6"/>
  <c r="CD333" i="6"/>
  <c r="CT333" i="6"/>
  <c r="CF334" i="6"/>
  <c r="CT334" i="6"/>
  <c r="CD335" i="6"/>
  <c r="CT335" i="6"/>
  <c r="CD336" i="6"/>
  <c r="CT336" i="6"/>
  <c r="CD337" i="6"/>
  <c r="CT337" i="6"/>
  <c r="CD338" i="6"/>
  <c r="CT338" i="6"/>
  <c r="CD339" i="6"/>
  <c r="CT339" i="6"/>
  <c r="CD344" i="6"/>
  <c r="CD345" i="6"/>
  <c r="CD346" i="6"/>
  <c r="CD352" i="6"/>
  <c r="CO352" i="6"/>
  <c r="CS352" i="6"/>
  <c r="CC409" i="6"/>
  <c r="CC411" i="6"/>
  <c r="C12" i="7"/>
  <c r="C14" i="7"/>
  <c r="C16" i="7"/>
  <c r="C18" i="7"/>
  <c r="C20" i="7"/>
  <c r="CD24" i="7"/>
  <c r="CM24" i="7"/>
  <c r="CD26" i="7"/>
  <c r="CM26" i="7"/>
  <c r="E30" i="7"/>
  <c r="CD31" i="7"/>
  <c r="CL31" i="7"/>
  <c r="CP31" i="7"/>
  <c r="CK50" i="7"/>
  <c r="CB75" i="7"/>
  <c r="CB76" i="7"/>
  <c r="CB135" i="7"/>
  <c r="CK135" i="7"/>
  <c r="CO135" i="7"/>
  <c r="CB137" i="7"/>
  <c r="CK137" i="7"/>
  <c r="CO137" i="7"/>
  <c r="CB160" i="7"/>
  <c r="CM160" i="7"/>
  <c r="CB162" i="7"/>
  <c r="CM162" i="7"/>
  <c r="CB165" i="7"/>
  <c r="CM165" i="7"/>
  <c r="CB168" i="7"/>
  <c r="CM168" i="7"/>
  <c r="CB13" i="8"/>
  <c r="AH13" i="8" s="1"/>
  <c r="CB15" i="8"/>
  <c r="AH15" i="8" s="1"/>
  <c r="CB17" i="8"/>
  <c r="AH17" i="8" s="1"/>
  <c r="CB19" i="8"/>
  <c r="AH19" i="8" s="1"/>
  <c r="CB21" i="8"/>
  <c r="AH21" i="8" s="1"/>
  <c r="CB23" i="8"/>
  <c r="AH23" i="8" s="1"/>
  <c r="CB25" i="8"/>
  <c r="AH25" i="8" s="1"/>
  <c r="CB27" i="8"/>
  <c r="AH27" i="8" s="1"/>
  <c r="CB29" i="8"/>
  <c r="AH29" i="8" s="1"/>
  <c r="CB31" i="8"/>
  <c r="AH31" i="8" s="1"/>
  <c r="CB33" i="8"/>
  <c r="AH33" i="8" s="1"/>
  <c r="CB35" i="8"/>
  <c r="AH35" i="8" s="1"/>
  <c r="CB37" i="8"/>
  <c r="AH37" i="8" s="1"/>
  <c r="CB39" i="8"/>
  <c r="AH39" i="8" s="1"/>
  <c r="CB41" i="8"/>
  <c r="AH41" i="8" s="1"/>
  <c r="CB43" i="8"/>
  <c r="AH43" i="8" s="1"/>
  <c r="CB45" i="8"/>
  <c r="AH45" i="8" s="1"/>
  <c r="CB47" i="8"/>
  <c r="AH47" i="8" s="1"/>
  <c r="CB49" i="8"/>
  <c r="AH49" i="8" s="1"/>
  <c r="CB51" i="8"/>
  <c r="AH51" i="8" s="1"/>
  <c r="CB53" i="8"/>
  <c r="AH53" i="8" s="1"/>
  <c r="CB55" i="8"/>
  <c r="AH55" i="8" s="1"/>
  <c r="CB57" i="8"/>
  <c r="AH57" i="8" s="1"/>
  <c r="CB59" i="8"/>
  <c r="AH59" i="8" s="1"/>
  <c r="CB61" i="8"/>
  <c r="AH61" i="8" s="1"/>
  <c r="CC63" i="8"/>
  <c r="CN63" i="8"/>
  <c r="CB63" i="8"/>
  <c r="CM63" i="8"/>
  <c r="CM64" i="8"/>
  <c r="CC64" i="8"/>
  <c r="AH64" i="8" s="1"/>
  <c r="CN64" i="8"/>
  <c r="CD129" i="8"/>
  <c r="CD131" i="8"/>
  <c r="CD133" i="8"/>
  <c r="CD135" i="8"/>
  <c r="CD137" i="8"/>
  <c r="CD139" i="8"/>
  <c r="CD141" i="8"/>
  <c r="CD143" i="8"/>
  <c r="CD145" i="8"/>
  <c r="CD152" i="8"/>
  <c r="CQ155" i="8"/>
  <c r="CF155" i="8"/>
  <c r="CB155" i="8"/>
  <c r="CP155" i="8"/>
  <c r="CE155" i="8"/>
  <c r="CO155" i="8"/>
  <c r="CD155" i="8"/>
  <c r="CR155" i="8"/>
  <c r="CP159" i="8"/>
  <c r="CC182" i="8"/>
  <c r="CB182" i="8"/>
  <c r="CO182" i="8"/>
  <c r="CN182" i="8"/>
  <c r="CC184" i="8"/>
  <c r="CB184" i="8"/>
  <c r="CO184" i="8"/>
  <c r="CN184" i="8"/>
  <c r="CS15" i="9"/>
  <c r="CO15" i="9"/>
  <c r="CF15" i="9"/>
  <c r="CB15" i="9"/>
  <c r="CR15" i="9"/>
  <c r="CN15" i="9"/>
  <c r="CE15" i="9"/>
  <c r="CA15" i="9"/>
  <c r="CQ15" i="9"/>
  <c r="CM15" i="9"/>
  <c r="CD15" i="9"/>
  <c r="CP15" i="9"/>
  <c r="CG15" i="9"/>
  <c r="CC15" i="9"/>
  <c r="CA55" i="9"/>
  <c r="CN55" i="9"/>
  <c r="CM55" i="9"/>
  <c r="CB55" i="9"/>
  <c r="CA63" i="9"/>
  <c r="CN63" i="9"/>
  <c r="CM63" i="9"/>
  <c r="CB63" i="9"/>
  <c r="CA65" i="9"/>
  <c r="CN65" i="9"/>
  <c r="CM65" i="9"/>
  <c r="CB65" i="9"/>
  <c r="CQ130" i="9"/>
  <c r="CM130" i="9"/>
  <c r="CC130" i="9"/>
  <c r="CP130" i="9"/>
  <c r="CF130" i="9"/>
  <c r="CB130" i="9"/>
  <c r="CO130" i="9"/>
  <c r="CE130" i="9"/>
  <c r="CA130" i="9"/>
  <c r="CR130" i="9"/>
  <c r="CN130" i="9"/>
  <c r="AY94" i="10"/>
  <c r="AY96" i="10"/>
  <c r="AY98" i="10"/>
  <c r="AY100" i="10"/>
  <c r="AY102" i="10"/>
  <c r="CW107" i="10"/>
  <c r="CS107" i="10"/>
  <c r="CO107" i="10"/>
  <c r="CF107" i="10"/>
  <c r="CV107" i="10"/>
  <c r="CI107" i="10"/>
  <c r="CE107" i="10"/>
  <c r="CU107" i="10"/>
  <c r="CQ107" i="10"/>
  <c r="CH107" i="10"/>
  <c r="CT107" i="10"/>
  <c r="CG107" i="10"/>
  <c r="CC107" i="10"/>
  <c r="CT117" i="10"/>
  <c r="CG117" i="10"/>
  <c r="CC117" i="10"/>
  <c r="CU117" i="10"/>
  <c r="CQ117" i="10"/>
  <c r="CH117" i="10"/>
  <c r="CV117" i="10"/>
  <c r="CI117" i="10"/>
  <c r="CS117" i="10"/>
  <c r="CF117" i="10"/>
  <c r="CE117" i="10"/>
  <c r="CW117" i="10"/>
  <c r="CO117" i="10"/>
  <c r="CT119" i="10"/>
  <c r="CG119" i="10"/>
  <c r="CC119" i="10"/>
  <c r="CU119" i="10"/>
  <c r="CQ119" i="10"/>
  <c r="CH119" i="10"/>
  <c r="CW119" i="10"/>
  <c r="CO119" i="10"/>
  <c r="CV119" i="10"/>
  <c r="CI119" i="10"/>
  <c r="CS119" i="10"/>
  <c r="CF119" i="10"/>
  <c r="CE119" i="10"/>
  <c r="CT134" i="10"/>
  <c r="CG134" i="10"/>
  <c r="CC134" i="10"/>
  <c r="CU134" i="10"/>
  <c r="CQ134" i="10"/>
  <c r="CH134" i="10"/>
  <c r="CV134" i="10"/>
  <c r="CI134" i="10"/>
  <c r="CS134" i="10"/>
  <c r="CF134" i="10"/>
  <c r="CE134" i="10"/>
  <c r="CW134" i="10"/>
  <c r="CO134" i="10"/>
  <c r="CR195" i="6"/>
  <c r="CR197" i="6"/>
  <c r="CR199" i="6"/>
  <c r="CR202" i="6"/>
  <c r="CR204" i="6"/>
  <c r="CR206" i="6"/>
  <c r="CJ209" i="6"/>
  <c r="CQ209" i="6"/>
  <c r="CJ211" i="6"/>
  <c r="CQ211" i="6"/>
  <c r="CJ213" i="6"/>
  <c r="CQ213" i="6"/>
  <c r="CJ215" i="6"/>
  <c r="CQ215" i="6"/>
  <c r="CJ217" i="6"/>
  <c r="CQ217" i="6"/>
  <c r="CQ218" i="6"/>
  <c r="CQ219" i="6"/>
  <c r="CQ220" i="6"/>
  <c r="CQ221" i="6"/>
  <c r="CJ223" i="6"/>
  <c r="CQ223" i="6"/>
  <c r="CJ225" i="6"/>
  <c r="CQ225" i="6"/>
  <c r="CJ230" i="6"/>
  <c r="CQ230" i="6"/>
  <c r="CJ232" i="6"/>
  <c r="CQ232" i="6"/>
  <c r="CJ234" i="6"/>
  <c r="CQ234" i="6"/>
  <c r="CJ236" i="6"/>
  <c r="CQ236" i="6"/>
  <c r="CJ238" i="6"/>
  <c r="CQ238" i="6"/>
  <c r="CJ240" i="6"/>
  <c r="CQ240" i="6"/>
  <c r="C247" i="6"/>
  <c r="CB247" i="6"/>
  <c r="C248" i="6"/>
  <c r="CB248" i="6"/>
  <c r="C249" i="6"/>
  <c r="CB249" i="6"/>
  <c r="C250" i="6"/>
  <c r="CB250" i="6"/>
  <c r="C251" i="6"/>
  <c r="CB251" i="6"/>
  <c r="C252" i="6"/>
  <c r="CB252" i="6"/>
  <c r="C254" i="6"/>
  <c r="CB254" i="6"/>
  <c r="C255" i="6"/>
  <c r="CB255" i="6"/>
  <c r="C256" i="6"/>
  <c r="CB256" i="6"/>
  <c r="C257" i="6"/>
  <c r="CB257" i="6"/>
  <c r="C258" i="6"/>
  <c r="CB258" i="6"/>
  <c r="C259" i="6"/>
  <c r="CB259" i="6"/>
  <c r="CI260" i="6"/>
  <c r="C261" i="6"/>
  <c r="CB261" i="6"/>
  <c r="C262" i="6"/>
  <c r="CB262" i="6"/>
  <c r="C263" i="6"/>
  <c r="CB263" i="6"/>
  <c r="C264" i="6"/>
  <c r="CB264" i="6"/>
  <c r="C265" i="6"/>
  <c r="CB265" i="6"/>
  <c r="C266" i="6"/>
  <c r="CB266" i="6"/>
  <c r="C267" i="6"/>
  <c r="CB267" i="6"/>
  <c r="C268" i="6"/>
  <c r="CB268" i="6"/>
  <c r="CF269" i="6"/>
  <c r="CG270" i="6"/>
  <c r="CG272" i="6"/>
  <c r="CF274" i="6"/>
  <c r="CF275" i="6"/>
  <c r="CF276" i="6"/>
  <c r="CF277" i="6"/>
  <c r="CF278" i="6"/>
  <c r="CF282" i="6"/>
  <c r="CF283" i="6"/>
  <c r="CF284" i="6"/>
  <c r="CF285" i="6"/>
  <c r="CF286" i="6"/>
  <c r="CF287" i="6"/>
  <c r="CF288" i="6"/>
  <c r="CF289" i="6"/>
  <c r="CF290" i="6"/>
  <c r="CF291" i="6"/>
  <c r="CF292" i="6"/>
  <c r="CF293" i="6"/>
  <c r="CA298" i="6"/>
  <c r="AP298" i="6" s="1"/>
  <c r="CA299" i="6"/>
  <c r="AP299" i="6" s="1"/>
  <c r="CA300" i="6"/>
  <c r="AP300" i="6" s="1"/>
  <c r="CA301" i="6"/>
  <c r="AP301" i="6" s="1"/>
  <c r="CG309" i="6"/>
  <c r="CG313" i="6"/>
  <c r="CE330" i="6"/>
  <c r="CE331" i="6"/>
  <c r="CE332" i="6"/>
  <c r="CE333" i="6"/>
  <c r="CC334" i="6"/>
  <c r="AX334" i="6" s="1"/>
  <c r="CE335" i="6"/>
  <c r="CE336" i="6"/>
  <c r="CE337" i="6"/>
  <c r="CE338" i="6"/>
  <c r="CE339" i="6"/>
  <c r="CD351" i="6"/>
  <c r="V351" i="6" s="1"/>
  <c r="CA352" i="6"/>
  <c r="V352" i="6" s="1"/>
  <c r="CE352" i="6"/>
  <c r="CA24" i="7"/>
  <c r="CE24" i="7"/>
  <c r="CI24" i="7"/>
  <c r="CA26" i="7"/>
  <c r="CE26" i="7"/>
  <c r="CI26" i="7"/>
  <c r="CA31" i="7"/>
  <c r="AV31" i="7" s="1"/>
  <c r="CE31" i="7"/>
  <c r="CA50" i="7"/>
  <c r="AO50" i="7" s="1"/>
  <c r="CC135" i="7"/>
  <c r="CC137" i="7"/>
  <c r="CC160" i="7"/>
  <c r="CN160" i="7"/>
  <c r="C161" i="7"/>
  <c r="CC162" i="7"/>
  <c r="C164" i="7"/>
  <c r="CC165" i="7"/>
  <c r="C166" i="7"/>
  <c r="CC168" i="7"/>
  <c r="B179" i="7"/>
  <c r="B181" i="7" s="1"/>
  <c r="CM66" i="8"/>
  <c r="CC66" i="8"/>
  <c r="AH66" i="8" s="1"/>
  <c r="CN66" i="8"/>
  <c r="CO130" i="8"/>
  <c r="CC130" i="8"/>
  <c r="CN130" i="8"/>
  <c r="CB130" i="8"/>
  <c r="W130" i="8" s="1"/>
  <c r="CM130" i="8"/>
  <c r="CO132" i="8"/>
  <c r="CC132" i="8"/>
  <c r="CN132" i="8"/>
  <c r="CB132" i="8"/>
  <c r="W132" i="8" s="1"/>
  <c r="CM132" i="8"/>
  <c r="CO134" i="8"/>
  <c r="CC134" i="8"/>
  <c r="CN134" i="8"/>
  <c r="CB134" i="8"/>
  <c r="CM134" i="8"/>
  <c r="CO136" i="8"/>
  <c r="CC136" i="8"/>
  <c r="CN136" i="8"/>
  <c r="CB136" i="8"/>
  <c r="CM136" i="8"/>
  <c r="CO138" i="8"/>
  <c r="CC138" i="8"/>
  <c r="CN138" i="8"/>
  <c r="CB138" i="8"/>
  <c r="W138" i="8" s="1"/>
  <c r="CM138" i="8"/>
  <c r="CO140" i="8"/>
  <c r="CC140" i="8"/>
  <c r="CN140" i="8"/>
  <c r="CB140" i="8"/>
  <c r="W140" i="8" s="1"/>
  <c r="CM140" i="8"/>
  <c r="CO142" i="8"/>
  <c r="CC142" i="8"/>
  <c r="CN142" i="8"/>
  <c r="CB142" i="8"/>
  <c r="CM142" i="8"/>
  <c r="CO144" i="8"/>
  <c r="CC144" i="8"/>
  <c r="CN144" i="8"/>
  <c r="CB144" i="8"/>
  <c r="CM144" i="8"/>
  <c r="B146" i="8"/>
  <c r="CO156" i="8"/>
  <c r="CD156" i="8"/>
  <c r="CR156" i="8"/>
  <c r="CN156" i="8"/>
  <c r="CC156" i="8"/>
  <c r="CQ156" i="8"/>
  <c r="CF156" i="8"/>
  <c r="CB156" i="8"/>
  <c r="AX156" i="8" s="1"/>
  <c r="CP156" i="8"/>
  <c r="CO161" i="8"/>
  <c r="CF161" i="8"/>
  <c r="CB161" i="8"/>
  <c r="AX161" i="8" s="1"/>
  <c r="CR161" i="8"/>
  <c r="CN161" i="8"/>
  <c r="CE161" i="8"/>
  <c r="CQ161" i="8"/>
  <c r="CD161" i="8"/>
  <c r="CP161" i="8"/>
  <c r="CC161" i="8"/>
  <c r="CC186" i="8"/>
  <c r="CB186" i="8"/>
  <c r="CO186" i="8"/>
  <c r="CN186" i="8"/>
  <c r="CC188" i="8"/>
  <c r="CB188" i="8"/>
  <c r="CO188" i="8"/>
  <c r="CN188" i="8"/>
  <c r="CC190" i="8"/>
  <c r="CB190" i="8"/>
  <c r="CO190" i="8"/>
  <c r="CN190" i="8"/>
  <c r="CM24" i="9"/>
  <c r="CA24" i="9"/>
  <c r="CR24" i="9"/>
  <c r="CF24" i="9"/>
  <c r="CQ24" i="9"/>
  <c r="CE24" i="9"/>
  <c r="CN24" i="9"/>
  <c r="CB24" i="9"/>
  <c r="CM26" i="9"/>
  <c r="CA26" i="9"/>
  <c r="CR26" i="9"/>
  <c r="CF26" i="9"/>
  <c r="CQ26" i="9"/>
  <c r="CE26" i="9"/>
  <c r="CN26" i="9"/>
  <c r="CB26" i="9"/>
  <c r="CA32" i="9"/>
  <c r="AO32" i="9" s="1"/>
  <c r="CM32" i="9"/>
  <c r="CA34" i="9"/>
  <c r="AO34" i="9" s="1"/>
  <c r="CM34" i="9"/>
  <c r="CA36" i="9"/>
  <c r="AO36" i="9" s="1"/>
  <c r="CM36" i="9"/>
  <c r="CM42" i="9"/>
  <c r="CB42" i="9"/>
  <c r="CA42" i="9"/>
  <c r="AO42" i="9" s="1"/>
  <c r="CN42" i="9"/>
  <c r="CM44" i="9"/>
  <c r="CB44" i="9"/>
  <c r="CA44" i="9"/>
  <c r="AO44" i="9" s="1"/>
  <c r="CN44" i="9"/>
  <c r="CM46" i="9"/>
  <c r="CB46" i="9"/>
  <c r="CA46" i="9"/>
  <c r="AO46" i="9" s="1"/>
  <c r="CN46" i="9"/>
  <c r="CA52" i="9"/>
  <c r="AP52" i="9" s="1"/>
  <c r="CN52" i="9"/>
  <c r="CM52" i="9"/>
  <c r="CB52" i="9"/>
  <c r="B78" i="9"/>
  <c r="CA107" i="9"/>
  <c r="CN107" i="9"/>
  <c r="CM107" i="9"/>
  <c r="CB107" i="9"/>
  <c r="C106" i="9"/>
  <c r="CA109" i="9"/>
  <c r="AP109" i="9" s="1"/>
  <c r="CN109" i="9"/>
  <c r="CM109" i="9"/>
  <c r="CB109" i="9"/>
  <c r="CM111" i="9"/>
  <c r="CA111" i="9"/>
  <c r="AP111" i="9" s="1"/>
  <c r="CM113" i="9"/>
  <c r="CA113" i="9"/>
  <c r="AP113" i="9" s="1"/>
  <c r="CM124" i="9"/>
  <c r="CA124" i="9"/>
  <c r="AO124" i="9" s="1"/>
  <c r="CQ129" i="9"/>
  <c r="CM129" i="9"/>
  <c r="CC129" i="9"/>
  <c r="CP129" i="9"/>
  <c r="CF129" i="9"/>
  <c r="CB129" i="9"/>
  <c r="CO129" i="9"/>
  <c r="CE129" i="9"/>
  <c r="CA129" i="9"/>
  <c r="AL129" i="9" s="1"/>
  <c r="CR129" i="9"/>
  <c r="CN129" i="9"/>
  <c r="CN211" i="9"/>
  <c r="CB211" i="9"/>
  <c r="CM211" i="9"/>
  <c r="CA211" i="9"/>
  <c r="CP211" i="9"/>
  <c r="CD211" i="9"/>
  <c r="CO211" i="9"/>
  <c r="CC211" i="9"/>
  <c r="CN213" i="9"/>
  <c r="CB213" i="9"/>
  <c r="CM213" i="9"/>
  <c r="CA213" i="9"/>
  <c r="CP213" i="9"/>
  <c r="CD213" i="9"/>
  <c r="CO213" i="9"/>
  <c r="CC213" i="9"/>
  <c r="CT17" i="10"/>
  <c r="CF17" i="10"/>
  <c r="CS17" i="10"/>
  <c r="CE17" i="10"/>
  <c r="CV17" i="10"/>
  <c r="CR17" i="10"/>
  <c r="CH17" i="10"/>
  <c r="CD17" i="10"/>
  <c r="CU17" i="10"/>
  <c r="CG17" i="10"/>
  <c r="CT22" i="10"/>
  <c r="CF22" i="10"/>
  <c r="CS22" i="10"/>
  <c r="CE22" i="10"/>
  <c r="CV22" i="10"/>
  <c r="CR22" i="10"/>
  <c r="CH22" i="10"/>
  <c r="CD22" i="10"/>
  <c r="CU22" i="10"/>
  <c r="CG22" i="10"/>
  <c r="CT24" i="10"/>
  <c r="CF24" i="10"/>
  <c r="CS24" i="10"/>
  <c r="CE24" i="10"/>
  <c r="CV24" i="10"/>
  <c r="CR24" i="10"/>
  <c r="CH24" i="10"/>
  <c r="CD24" i="10"/>
  <c r="CU24" i="10"/>
  <c r="CG24" i="10"/>
  <c r="CT26" i="10"/>
  <c r="CF26" i="10"/>
  <c r="CS26" i="10"/>
  <c r="CE26" i="10"/>
  <c r="CV26" i="10"/>
  <c r="CR26" i="10"/>
  <c r="CH26" i="10"/>
  <c r="CD26" i="10"/>
  <c r="CU26" i="10"/>
  <c r="CG26" i="10"/>
  <c r="CT28" i="10"/>
  <c r="CF28" i="10"/>
  <c r="CS28" i="10"/>
  <c r="CE28" i="10"/>
  <c r="CV28" i="10"/>
  <c r="CR28" i="10"/>
  <c r="CH28" i="10"/>
  <c r="CD28" i="10"/>
  <c r="CU28" i="10"/>
  <c r="CG28" i="10"/>
  <c r="CT30" i="10"/>
  <c r="CF30" i="10"/>
  <c r="CS30" i="10"/>
  <c r="CE30" i="10"/>
  <c r="CV30" i="10"/>
  <c r="CR30" i="10"/>
  <c r="CH30" i="10"/>
  <c r="CD30" i="10"/>
  <c r="CU30" i="10"/>
  <c r="CG30" i="10"/>
  <c r="CT32" i="10"/>
  <c r="CF32" i="10"/>
  <c r="CS32" i="10"/>
  <c r="CE32" i="10"/>
  <c r="CV32" i="10"/>
  <c r="CR32" i="10"/>
  <c r="CH32" i="10"/>
  <c r="CD32" i="10"/>
  <c r="CU32" i="10"/>
  <c r="CG32" i="10"/>
  <c r="CT34" i="10"/>
  <c r="CF34" i="10"/>
  <c r="CS34" i="10"/>
  <c r="CE34" i="10"/>
  <c r="CV34" i="10"/>
  <c r="CR34" i="10"/>
  <c r="CH34" i="10"/>
  <c r="CD34" i="10"/>
  <c r="CU34" i="10"/>
  <c r="CG34" i="10"/>
  <c r="CT36" i="10"/>
  <c r="CF36" i="10"/>
  <c r="CS36" i="10"/>
  <c r="CE36" i="10"/>
  <c r="CV36" i="10"/>
  <c r="CR36" i="10"/>
  <c r="CH36" i="10"/>
  <c r="CD36" i="10"/>
  <c r="CU36" i="10"/>
  <c r="CG36" i="10"/>
  <c r="CT38" i="10"/>
  <c r="CF38" i="10"/>
  <c r="CS38" i="10"/>
  <c r="CE38" i="10"/>
  <c r="CV38" i="10"/>
  <c r="CR38" i="10"/>
  <c r="CH38" i="10"/>
  <c r="CD38" i="10"/>
  <c r="CU38" i="10"/>
  <c r="CG38" i="10"/>
  <c r="CU46" i="10"/>
  <c r="CF46" i="10"/>
  <c r="CT46" i="10"/>
  <c r="CE46" i="10"/>
  <c r="CS46" i="10"/>
  <c r="CH46" i="10"/>
  <c r="CD46" i="10"/>
  <c r="AY46" i="10" s="1"/>
  <c r="CV46" i="10"/>
  <c r="CR46" i="10"/>
  <c r="CG46" i="10"/>
  <c r="CU56" i="10"/>
  <c r="CG56" i="10"/>
  <c r="CT56" i="10"/>
  <c r="CF56" i="10"/>
  <c r="CS56" i="10"/>
  <c r="CE56" i="10"/>
  <c r="CV56" i="10"/>
  <c r="CR56" i="10"/>
  <c r="CH56" i="10"/>
  <c r="CD56" i="10"/>
  <c r="CU64" i="10"/>
  <c r="CF64" i="10"/>
  <c r="CT64" i="10"/>
  <c r="CE64" i="10"/>
  <c r="D67" i="10"/>
  <c r="CS64" i="10"/>
  <c r="CH64" i="10"/>
  <c r="CD64" i="10"/>
  <c r="CV64" i="10"/>
  <c r="CR64" i="10"/>
  <c r="CG64" i="10"/>
  <c r="AY107" i="10"/>
  <c r="CT128" i="10"/>
  <c r="CG128" i="10"/>
  <c r="CC128" i="10"/>
  <c r="AY128" i="10" s="1"/>
  <c r="CU128" i="10"/>
  <c r="CQ128" i="10"/>
  <c r="CH128" i="10"/>
  <c r="CW128" i="10"/>
  <c r="CO128" i="10"/>
  <c r="CV128" i="10"/>
  <c r="CI128" i="10"/>
  <c r="CS128" i="10"/>
  <c r="CF128" i="10"/>
  <c r="CE128" i="10"/>
  <c r="CW139" i="10"/>
  <c r="CS139" i="10"/>
  <c r="CO139" i="10"/>
  <c r="CG139" i="10"/>
  <c r="CC139" i="10"/>
  <c r="CX139" i="10"/>
  <c r="CT139" i="10"/>
  <c r="CH139" i="10"/>
  <c r="CU139" i="10"/>
  <c r="CI139" i="10"/>
  <c r="CF139" i="10"/>
  <c r="CQ139" i="10"/>
  <c r="CE139" i="10"/>
  <c r="CV139" i="10"/>
  <c r="CJ139" i="10"/>
  <c r="CB167" i="8"/>
  <c r="CF167" i="8"/>
  <c r="CS167" i="8"/>
  <c r="CB169" i="8"/>
  <c r="CF169" i="8"/>
  <c r="CS169" i="8"/>
  <c r="CB171" i="8"/>
  <c r="CF171" i="8"/>
  <c r="CS171" i="8"/>
  <c r="CB173" i="8"/>
  <c r="CF173" i="8"/>
  <c r="CS173" i="8"/>
  <c r="CB175" i="8"/>
  <c r="CF175" i="8"/>
  <c r="CS175" i="8"/>
  <c r="CB177" i="8"/>
  <c r="CF177" i="8"/>
  <c r="CS177" i="8"/>
  <c r="CH196" i="8"/>
  <c r="CT196" i="8"/>
  <c r="CG198" i="8"/>
  <c r="CP198" i="8"/>
  <c r="CG200" i="8"/>
  <c r="CP200" i="8"/>
  <c r="CG202" i="8"/>
  <c r="CP202" i="8"/>
  <c r="CD213" i="8"/>
  <c r="CP213" i="8"/>
  <c r="CD215" i="8"/>
  <c r="CP215" i="8"/>
  <c r="CA12" i="9"/>
  <c r="CE12" i="9"/>
  <c r="CN12" i="9"/>
  <c r="CR12" i="9"/>
  <c r="CA14" i="9"/>
  <c r="AT14" i="9" s="1"/>
  <c r="CD20" i="9"/>
  <c r="CM20" i="9"/>
  <c r="CQ20" i="9"/>
  <c r="C78" i="9"/>
  <c r="CA196" i="9"/>
  <c r="CE196" i="9"/>
  <c r="CP196" i="9"/>
  <c r="F39" i="10"/>
  <c r="F63" i="10"/>
  <c r="CE91" i="10"/>
  <c r="CI91" i="10"/>
  <c r="CV91" i="10"/>
  <c r="CP92" i="10"/>
  <c r="CE93" i="10"/>
  <c r="CI93" i="10"/>
  <c r="CV93" i="10"/>
  <c r="CP94" i="10"/>
  <c r="CE95" i="10"/>
  <c r="CI95" i="10"/>
  <c r="CV95" i="10"/>
  <c r="CP96" i="10"/>
  <c r="CE97" i="10"/>
  <c r="CI97" i="10"/>
  <c r="CV97" i="10"/>
  <c r="CP98" i="10"/>
  <c r="CE99" i="10"/>
  <c r="CI99" i="10"/>
  <c r="CV99" i="10"/>
  <c r="CP100" i="10"/>
  <c r="CE101" i="10"/>
  <c r="CI101" i="10"/>
  <c r="CV101" i="10"/>
  <c r="CP102" i="10"/>
  <c r="CE103" i="10"/>
  <c r="CI103" i="10"/>
  <c r="CV103" i="10"/>
  <c r="CF105" i="10"/>
  <c r="CO105" i="10"/>
  <c r="CT105" i="10"/>
  <c r="CE106" i="10"/>
  <c r="CI106" i="10"/>
  <c r="CV106" i="10"/>
  <c r="CP107" i="10"/>
  <c r="CW108" i="10"/>
  <c r="CS108" i="10"/>
  <c r="CO108" i="10"/>
  <c r="CF108" i="10"/>
  <c r="CT108" i="10"/>
  <c r="CG108" i="10"/>
  <c r="CQ108" i="10"/>
  <c r="CU109" i="10"/>
  <c r="CQ109" i="10"/>
  <c r="CH109" i="10"/>
  <c r="CV109" i="10"/>
  <c r="CI109" i="10"/>
  <c r="CE109" i="10"/>
  <c r="CC109" i="10"/>
  <c r="CO109" i="10"/>
  <c r="CT109" i="10"/>
  <c r="CP111" i="10"/>
  <c r="CW122" i="10"/>
  <c r="CS122" i="10"/>
  <c r="CJ122" i="10"/>
  <c r="CF122" i="10"/>
  <c r="CX122" i="10"/>
  <c r="CT122" i="10"/>
  <c r="CG122" i="10"/>
  <c r="CC122" i="10"/>
  <c r="CE122" i="10"/>
  <c r="CU126" i="10"/>
  <c r="CQ126" i="10"/>
  <c r="CI126" i="10"/>
  <c r="CE126" i="10"/>
  <c r="CV126" i="10"/>
  <c r="CJ126" i="10"/>
  <c r="CF126" i="10"/>
  <c r="CC126" i="10"/>
  <c r="AY126" i="10" s="1"/>
  <c r="CO126" i="10"/>
  <c r="CT126" i="10"/>
  <c r="CB127" i="10"/>
  <c r="CP127" i="10"/>
  <c r="D131" i="10"/>
  <c r="CB131" i="10"/>
  <c r="CT132" i="10"/>
  <c r="CG132" i="10"/>
  <c r="CC132" i="10"/>
  <c r="CU132" i="10"/>
  <c r="CQ132" i="10"/>
  <c r="CH132" i="10"/>
  <c r="CI132" i="10"/>
  <c r="CV132" i="10"/>
  <c r="AY138" i="10"/>
  <c r="AY140" i="10"/>
  <c r="CP141" i="10"/>
  <c r="CF163" i="10"/>
  <c r="CF164" i="10"/>
  <c r="CF165" i="10"/>
  <c r="CF166" i="10"/>
  <c r="CF167" i="10"/>
  <c r="CF168" i="10"/>
  <c r="CF169" i="10"/>
  <c r="CF170" i="10"/>
  <c r="CF171" i="10"/>
  <c r="CF172" i="10"/>
  <c r="CF173" i="10"/>
  <c r="F174" i="10"/>
  <c r="CS182" i="10"/>
  <c r="CO182" i="10"/>
  <c r="CD182" i="10"/>
  <c r="CR182" i="10"/>
  <c r="CH182" i="10"/>
  <c r="CC182" i="10"/>
  <c r="CV182" i="10"/>
  <c r="CQ182" i="10"/>
  <c r="CG182" i="10"/>
  <c r="CB182" i="10"/>
  <c r="CU182" i="10"/>
  <c r="CP182" i="10"/>
  <c r="CE182" i="10"/>
  <c r="CA182" i="10"/>
  <c r="AY182" i="10" s="1"/>
  <c r="CV184" i="10"/>
  <c r="CR184" i="10"/>
  <c r="CH184" i="10"/>
  <c r="CD184" i="10"/>
  <c r="CU184" i="10"/>
  <c r="CQ184" i="10"/>
  <c r="CG184" i="10"/>
  <c r="CC184" i="10"/>
  <c r="CT184" i="10"/>
  <c r="CP184" i="10"/>
  <c r="CF184" i="10"/>
  <c r="CB184" i="10"/>
  <c r="CS184" i="10"/>
  <c r="CO184" i="10"/>
  <c r="CE184" i="10"/>
  <c r="CA184" i="10"/>
  <c r="AY184" i="10" s="1"/>
  <c r="D201" i="10"/>
  <c r="CV212" i="10"/>
  <c r="CP212" i="10"/>
  <c r="CF212" i="10"/>
  <c r="CU212" i="10"/>
  <c r="CO212" i="10"/>
  <c r="CE212" i="10"/>
  <c r="CT212" i="10"/>
  <c r="CH212" i="10"/>
  <c r="CB212" i="10"/>
  <c r="CS212" i="10"/>
  <c r="CG212" i="10"/>
  <c r="CA212" i="10"/>
  <c r="CS214" i="10"/>
  <c r="CG214" i="10"/>
  <c r="CP214" i="10"/>
  <c r="CE214" i="10"/>
  <c r="CV214" i="10"/>
  <c r="CO214" i="10"/>
  <c r="CB214" i="10"/>
  <c r="CU214" i="10"/>
  <c r="CH214" i="10"/>
  <c r="CA214" i="10"/>
  <c r="CV217" i="10"/>
  <c r="CR217" i="10"/>
  <c r="CH217" i="10"/>
  <c r="CD217" i="10"/>
  <c r="CU217" i="10"/>
  <c r="CQ217" i="10"/>
  <c r="CG217" i="10"/>
  <c r="CC217" i="10"/>
  <c r="CT217" i="10"/>
  <c r="CP217" i="10"/>
  <c r="CF217" i="10"/>
  <c r="CB217" i="10"/>
  <c r="CS217" i="10"/>
  <c r="CO217" i="10"/>
  <c r="CE217" i="10"/>
  <c r="CA217" i="10"/>
  <c r="CV219" i="10"/>
  <c r="CR219" i="10"/>
  <c r="CH219" i="10"/>
  <c r="CD219" i="10"/>
  <c r="CU219" i="10"/>
  <c r="CQ219" i="10"/>
  <c r="CG219" i="10"/>
  <c r="CC219" i="10"/>
  <c r="CT219" i="10"/>
  <c r="CP219" i="10"/>
  <c r="CF219" i="10"/>
  <c r="CB219" i="10"/>
  <c r="CS219" i="10"/>
  <c r="CO219" i="10"/>
  <c r="CE219" i="10"/>
  <c r="CA219" i="10"/>
  <c r="CZ253" i="10"/>
  <c r="CT253" i="10"/>
  <c r="CI253" i="10"/>
  <c r="CD253" i="10"/>
  <c r="CY253" i="10"/>
  <c r="CS253" i="10"/>
  <c r="CH253" i="10"/>
  <c r="CC253" i="10"/>
  <c r="CW253" i="10"/>
  <c r="CR253" i="10"/>
  <c r="CL253" i="10"/>
  <c r="CF253" i="10"/>
  <c r="CV253" i="10"/>
  <c r="CQ253" i="10"/>
  <c r="CK253" i="10"/>
  <c r="CE253" i="10"/>
  <c r="CZ254" i="10"/>
  <c r="CT254" i="10"/>
  <c r="CL254" i="10"/>
  <c r="CF254" i="10"/>
  <c r="CY254" i="10"/>
  <c r="CS254" i="10"/>
  <c r="CK254" i="10"/>
  <c r="CE254" i="10"/>
  <c r="CW254" i="10"/>
  <c r="CI254" i="10"/>
  <c r="CV254" i="10"/>
  <c r="CH254" i="10"/>
  <c r="CW255" i="10"/>
  <c r="CH255" i="10"/>
  <c r="CV255" i="10"/>
  <c r="CL255" i="10"/>
  <c r="CF255" i="10"/>
  <c r="CZ255" i="10"/>
  <c r="CT255" i="10"/>
  <c r="CK255" i="10"/>
  <c r="CY255" i="10"/>
  <c r="CI255" i="10"/>
  <c r="CZ274" i="10"/>
  <c r="CV274" i="10"/>
  <c r="CJ274" i="10"/>
  <c r="CY274" i="10"/>
  <c r="CT274" i="10"/>
  <c r="CI274" i="10"/>
  <c r="CX274" i="10"/>
  <c r="CL274" i="10"/>
  <c r="CH274" i="10"/>
  <c r="CW274" i="10"/>
  <c r="CK274" i="10"/>
  <c r="CF274" i="10"/>
  <c r="CZ279" i="10"/>
  <c r="CU279" i="10"/>
  <c r="CI279" i="10"/>
  <c r="CY279" i="10"/>
  <c r="CT279" i="10"/>
  <c r="CH279" i="10"/>
  <c r="CW279" i="10"/>
  <c r="CL279" i="10"/>
  <c r="CG279" i="10"/>
  <c r="CV279" i="10"/>
  <c r="CK279" i="10"/>
  <c r="CF279" i="10"/>
  <c r="CW306" i="10"/>
  <c r="CH306" i="10"/>
  <c r="CV306" i="10"/>
  <c r="CL306" i="10"/>
  <c r="CF306" i="10"/>
  <c r="CZ306" i="10"/>
  <c r="CT306" i="10"/>
  <c r="CK306" i="10"/>
  <c r="CY306" i="10"/>
  <c r="CI306" i="10"/>
  <c r="CZ310" i="10"/>
  <c r="CV310" i="10"/>
  <c r="CL310" i="10"/>
  <c r="CH310" i="10"/>
  <c r="CY310" i="10"/>
  <c r="CT310" i="10"/>
  <c r="CK310" i="10"/>
  <c r="CF310" i="10"/>
  <c r="CX310" i="10"/>
  <c r="CJ310" i="10"/>
  <c r="CW310" i="10"/>
  <c r="CI310" i="10"/>
  <c r="CV311" i="10"/>
  <c r="CL311" i="10"/>
  <c r="CF311" i="10"/>
  <c r="CT311" i="10"/>
  <c r="CI311" i="10"/>
  <c r="CZ311" i="10"/>
  <c r="CH311" i="10"/>
  <c r="CY311" i="10"/>
  <c r="CW311" i="10"/>
  <c r="CK311" i="10"/>
  <c r="CY326" i="10"/>
  <c r="CS326" i="10"/>
  <c r="CH326" i="10"/>
  <c r="CC326" i="10"/>
  <c r="CZ326" i="10"/>
  <c r="CT326" i="10"/>
  <c r="CI326" i="10"/>
  <c r="CD326" i="10"/>
  <c r="CV326" i="10"/>
  <c r="CL326" i="10"/>
  <c r="CR326" i="10"/>
  <c r="CK326" i="10"/>
  <c r="CQ326" i="10"/>
  <c r="CF326" i="10"/>
  <c r="CW326" i="10"/>
  <c r="CE326" i="10"/>
  <c r="CO64" i="8"/>
  <c r="CM65" i="8"/>
  <c r="CO66" i="8"/>
  <c r="C151" i="8"/>
  <c r="A239" i="8" s="1"/>
  <c r="E11" i="29" s="1"/>
  <c r="CG167" i="8"/>
  <c r="CT167" i="8"/>
  <c r="CG169" i="8"/>
  <c r="CT169" i="8"/>
  <c r="CG171" i="8"/>
  <c r="CT171" i="8"/>
  <c r="CG173" i="8"/>
  <c r="CT173" i="8"/>
  <c r="CG175" i="8"/>
  <c r="CT175" i="8"/>
  <c r="CG177" i="8"/>
  <c r="CT177" i="8"/>
  <c r="CI196" i="8"/>
  <c r="CO197" i="8"/>
  <c r="CD198" i="8"/>
  <c r="AB198" i="8" s="1"/>
  <c r="CH198" i="8"/>
  <c r="CQ198" i="8"/>
  <c r="CO199" i="8"/>
  <c r="CD200" i="8"/>
  <c r="AB200" i="8" s="1"/>
  <c r="CH200" i="8"/>
  <c r="CQ200" i="8"/>
  <c r="CO201" i="8"/>
  <c r="CD202" i="8"/>
  <c r="AB202" i="8" s="1"/>
  <c r="CH202" i="8"/>
  <c r="CQ202" i="8"/>
  <c r="CE213" i="8"/>
  <c r="CQ213" i="8"/>
  <c r="CC214" i="8"/>
  <c r="N214" i="8" s="1"/>
  <c r="CO214" i="8"/>
  <c r="CE215" i="8"/>
  <c r="CQ215" i="8"/>
  <c r="CB12" i="9"/>
  <c r="CF12" i="9"/>
  <c r="CO12" i="9"/>
  <c r="CS12" i="9"/>
  <c r="CA20" i="9"/>
  <c r="CE20" i="9"/>
  <c r="CN20" i="9"/>
  <c r="CR20" i="9"/>
  <c r="D106" i="9"/>
  <c r="CB196" i="9"/>
  <c r="CM196" i="9"/>
  <c r="CQ196" i="9"/>
  <c r="CB205" i="9"/>
  <c r="AO205" i="9" s="1"/>
  <c r="D44" i="10"/>
  <c r="D45" i="10"/>
  <c r="CP45" i="10"/>
  <c r="D47" i="10"/>
  <c r="D48" i="10"/>
  <c r="D49" i="10"/>
  <c r="D50" i="10"/>
  <c r="D51" i="10"/>
  <c r="D52" i="10"/>
  <c r="D53" i="10"/>
  <c r="D54" i="10"/>
  <c r="CF65" i="10"/>
  <c r="CU65" i="10"/>
  <c r="CF91" i="10"/>
  <c r="CO91" i="10"/>
  <c r="CS91" i="10"/>
  <c r="CW91" i="10"/>
  <c r="CF93" i="10"/>
  <c r="CO93" i="10"/>
  <c r="CS93" i="10"/>
  <c r="CW93" i="10"/>
  <c r="CF95" i="10"/>
  <c r="CO95" i="10"/>
  <c r="CS95" i="10"/>
  <c r="CW95" i="10"/>
  <c r="CF97" i="10"/>
  <c r="CO97" i="10"/>
  <c r="CS97" i="10"/>
  <c r="CW97" i="10"/>
  <c r="CF99" i="10"/>
  <c r="CO99" i="10"/>
  <c r="CS99" i="10"/>
  <c r="CW99" i="10"/>
  <c r="CF101" i="10"/>
  <c r="CO101" i="10"/>
  <c r="CS101" i="10"/>
  <c r="CW101" i="10"/>
  <c r="CF103" i="10"/>
  <c r="CO103" i="10"/>
  <c r="CS103" i="10"/>
  <c r="CW103" i="10"/>
  <c r="CG105" i="10"/>
  <c r="CU105" i="10"/>
  <c r="CF106" i="10"/>
  <c r="CO106" i="10"/>
  <c r="CS106" i="10"/>
  <c r="CW106" i="10"/>
  <c r="CC108" i="10"/>
  <c r="AY108" i="10" s="1"/>
  <c r="CH108" i="10"/>
  <c r="CW109" i="10"/>
  <c r="CW112" i="10"/>
  <c r="CS112" i="10"/>
  <c r="CO112" i="10"/>
  <c r="CF112" i="10"/>
  <c r="CT112" i="10"/>
  <c r="CG112" i="10"/>
  <c r="CC112" i="10"/>
  <c r="CI112" i="10"/>
  <c r="CV112" i="10"/>
  <c r="CB113" i="10"/>
  <c r="AY114" i="10"/>
  <c r="D115" i="10"/>
  <c r="CB115" i="10"/>
  <c r="CW116" i="10"/>
  <c r="CS116" i="10"/>
  <c r="CO116" i="10"/>
  <c r="CG116" i="10"/>
  <c r="CC116" i="10"/>
  <c r="AY116" i="10" s="1"/>
  <c r="CX116" i="10"/>
  <c r="CT116" i="10"/>
  <c r="CH116" i="10"/>
  <c r="CI116" i="10"/>
  <c r="CU116" i="10"/>
  <c r="AY119" i="10"/>
  <c r="D120" i="10"/>
  <c r="CB120" i="10"/>
  <c r="CU121" i="10"/>
  <c r="CQ121" i="10"/>
  <c r="CH121" i="10"/>
  <c r="CV121" i="10"/>
  <c r="CI121" i="10"/>
  <c r="CE121" i="10"/>
  <c r="AY121" i="10" s="1"/>
  <c r="CC121" i="10"/>
  <c r="CJ121" i="10"/>
  <c r="CT121" i="10"/>
  <c r="CB122" i="10"/>
  <c r="CP122" i="10"/>
  <c r="CH122" i="10"/>
  <c r="CU122" i="10"/>
  <c r="CU125" i="10"/>
  <c r="CQ125" i="10"/>
  <c r="CH125" i="10"/>
  <c r="CV125" i="10"/>
  <c r="CI125" i="10"/>
  <c r="CE125" i="10"/>
  <c r="CC125" i="10"/>
  <c r="AY125" i="10" s="1"/>
  <c r="CJ125" i="10"/>
  <c r="CT125" i="10"/>
  <c r="CP126" i="10"/>
  <c r="CW126" i="10"/>
  <c r="D129" i="10"/>
  <c r="CB129" i="10"/>
  <c r="CT130" i="10"/>
  <c r="CG130" i="10"/>
  <c r="CC130" i="10"/>
  <c r="AY130" i="10" s="1"/>
  <c r="CU130" i="10"/>
  <c r="CQ130" i="10"/>
  <c r="CH130" i="10"/>
  <c r="CI130" i="10"/>
  <c r="CV130" i="10"/>
  <c r="CO132" i="10"/>
  <c r="CW132" i="10"/>
  <c r="AY136" i="10"/>
  <c r="D137" i="10"/>
  <c r="CB137" i="10"/>
  <c r="CG163" i="10"/>
  <c r="CT163" i="10"/>
  <c r="CG164" i="10"/>
  <c r="CT164" i="10"/>
  <c r="CG165" i="10"/>
  <c r="CT165" i="10"/>
  <c r="CG166" i="10"/>
  <c r="CT166" i="10"/>
  <c r="CG167" i="10"/>
  <c r="CT167" i="10"/>
  <c r="CG168" i="10"/>
  <c r="CT168" i="10"/>
  <c r="CG169" i="10"/>
  <c r="CT169" i="10"/>
  <c r="CG170" i="10"/>
  <c r="CT170" i="10"/>
  <c r="CG171" i="10"/>
  <c r="CT171" i="10"/>
  <c r="CG172" i="10"/>
  <c r="CT172" i="10"/>
  <c r="CG173" i="10"/>
  <c r="CT173" i="10"/>
  <c r="CS185" i="10"/>
  <c r="CO185" i="10"/>
  <c r="CE185" i="10"/>
  <c r="CA185" i="10"/>
  <c r="CV185" i="10"/>
  <c r="CR185" i="10"/>
  <c r="CH185" i="10"/>
  <c r="CD185" i="10"/>
  <c r="CU185" i="10"/>
  <c r="CQ185" i="10"/>
  <c r="CG185" i="10"/>
  <c r="CC185" i="10"/>
  <c r="CT185" i="10"/>
  <c r="CP185" i="10"/>
  <c r="CF185" i="10"/>
  <c r="CB185" i="10"/>
  <c r="CV188" i="10"/>
  <c r="CR188" i="10"/>
  <c r="CH188" i="10"/>
  <c r="CD188" i="10"/>
  <c r="CU188" i="10"/>
  <c r="CQ188" i="10"/>
  <c r="CG188" i="10"/>
  <c r="CC188" i="10"/>
  <c r="CT188" i="10"/>
  <c r="CP188" i="10"/>
  <c r="CF188" i="10"/>
  <c r="CB188" i="10"/>
  <c r="CS188" i="10"/>
  <c r="CO188" i="10"/>
  <c r="CE188" i="10"/>
  <c r="CA188" i="10"/>
  <c r="CV197" i="10"/>
  <c r="CR197" i="10"/>
  <c r="CH197" i="10"/>
  <c r="CD197" i="10"/>
  <c r="CU197" i="10"/>
  <c r="CQ197" i="10"/>
  <c r="CG197" i="10"/>
  <c r="CC197" i="10"/>
  <c r="CT197" i="10"/>
  <c r="CP197" i="10"/>
  <c r="CF197" i="10"/>
  <c r="CB197" i="10"/>
  <c r="CS197" i="10"/>
  <c r="CO197" i="10"/>
  <c r="CE197" i="10"/>
  <c r="CA197" i="10"/>
  <c r="CS206" i="10"/>
  <c r="CO206" i="10"/>
  <c r="CD206" i="10"/>
  <c r="CR206" i="10"/>
  <c r="CH206" i="10"/>
  <c r="CC206" i="10"/>
  <c r="CV206" i="10"/>
  <c r="CQ206" i="10"/>
  <c r="CG206" i="10"/>
  <c r="CB206" i="10"/>
  <c r="CU206" i="10"/>
  <c r="CP206" i="10"/>
  <c r="CE206" i="10"/>
  <c r="CA206" i="10"/>
  <c r="CV209" i="10"/>
  <c r="CR209" i="10"/>
  <c r="CH209" i="10"/>
  <c r="CD209" i="10"/>
  <c r="CU209" i="10"/>
  <c r="CQ209" i="10"/>
  <c r="CG209" i="10"/>
  <c r="CC209" i="10"/>
  <c r="CT209" i="10"/>
  <c r="CP209" i="10"/>
  <c r="CF209" i="10"/>
  <c r="CB209" i="10"/>
  <c r="CS209" i="10"/>
  <c r="CO209" i="10"/>
  <c r="CE209" i="10"/>
  <c r="CA209" i="10"/>
  <c r="CS223" i="10"/>
  <c r="CO223" i="10"/>
  <c r="CD223" i="10"/>
  <c r="CR223" i="10"/>
  <c r="CH223" i="10"/>
  <c r="CC223" i="10"/>
  <c r="CV223" i="10"/>
  <c r="CQ223" i="10"/>
  <c r="CG223" i="10"/>
  <c r="CB223" i="10"/>
  <c r="CU223" i="10"/>
  <c r="CP223" i="10"/>
  <c r="CE223" i="10"/>
  <c r="CA223" i="10"/>
  <c r="CS226" i="10"/>
  <c r="CO226" i="10"/>
  <c r="CD226" i="10"/>
  <c r="CR226" i="10"/>
  <c r="CH226" i="10"/>
  <c r="CC226" i="10"/>
  <c r="CV226" i="10"/>
  <c r="CQ226" i="10"/>
  <c r="CG226" i="10"/>
  <c r="CB226" i="10"/>
  <c r="CU226" i="10"/>
  <c r="CP226" i="10"/>
  <c r="CE226" i="10"/>
  <c r="CA226" i="10"/>
  <c r="CR232" i="10"/>
  <c r="CD232" i="10"/>
  <c r="CQ232" i="10"/>
  <c r="CC232" i="10"/>
  <c r="CO232" i="10"/>
  <c r="CA232" i="10"/>
  <c r="CW251" i="10"/>
  <c r="CH251" i="10"/>
  <c r="CV251" i="10"/>
  <c r="CL251" i="10"/>
  <c r="CF251" i="10"/>
  <c r="CZ251" i="10"/>
  <c r="CT251" i="10"/>
  <c r="CK251" i="10"/>
  <c r="CY251" i="10"/>
  <c r="CI251" i="10"/>
  <c r="CZ265" i="10"/>
  <c r="CU265" i="10"/>
  <c r="CQ265" i="10"/>
  <c r="CI265" i="10"/>
  <c r="CE265" i="10"/>
  <c r="CY265" i="10"/>
  <c r="CT265" i="10"/>
  <c r="CH265" i="10"/>
  <c r="CD265" i="10"/>
  <c r="CW265" i="10"/>
  <c r="CS265" i="10"/>
  <c r="CL265" i="10"/>
  <c r="CG265" i="10"/>
  <c r="CC265" i="10"/>
  <c r="CV265" i="10"/>
  <c r="CR265" i="10"/>
  <c r="CK265" i="10"/>
  <c r="CF265" i="10"/>
  <c r="CW267" i="10"/>
  <c r="CH267" i="10"/>
  <c r="CV267" i="10"/>
  <c r="CL267" i="10"/>
  <c r="CG267" i="10"/>
  <c r="CZ267" i="10"/>
  <c r="CU267" i="10"/>
  <c r="CK267" i="10"/>
  <c r="CF267" i="10"/>
  <c r="CY267" i="10"/>
  <c r="CT267" i="10"/>
  <c r="CI267" i="10"/>
  <c r="CW270" i="10"/>
  <c r="CH270" i="10"/>
  <c r="CV270" i="10"/>
  <c r="CL270" i="10"/>
  <c r="CG270" i="10"/>
  <c r="CZ270" i="10"/>
  <c r="CU270" i="10"/>
  <c r="CK270" i="10"/>
  <c r="CF270" i="10"/>
  <c r="CY270" i="10"/>
  <c r="CT270" i="10"/>
  <c r="CI270" i="10"/>
  <c r="CZ289" i="10"/>
  <c r="CT289" i="10"/>
  <c r="CI289" i="10"/>
  <c r="CD289" i="10"/>
  <c r="CY289" i="10"/>
  <c r="CS289" i="10"/>
  <c r="CH289" i="10"/>
  <c r="CC289" i="10"/>
  <c r="CW289" i="10"/>
  <c r="CR289" i="10"/>
  <c r="CL289" i="10"/>
  <c r="CF289" i="10"/>
  <c r="CV289" i="10"/>
  <c r="CQ289" i="10"/>
  <c r="CK289" i="10"/>
  <c r="CE289" i="10"/>
  <c r="CZ290" i="10"/>
  <c r="CT290" i="10"/>
  <c r="CL290" i="10"/>
  <c r="CF290" i="10"/>
  <c r="CY290" i="10"/>
  <c r="CS290" i="10"/>
  <c r="CK290" i="10"/>
  <c r="CE290" i="10"/>
  <c r="CW290" i="10"/>
  <c r="CI290" i="10"/>
  <c r="CV290" i="10"/>
  <c r="CH290" i="10"/>
  <c r="CW291" i="10"/>
  <c r="CH291" i="10"/>
  <c r="CV291" i="10"/>
  <c r="CL291" i="10"/>
  <c r="CF291" i="10"/>
  <c r="CZ291" i="10"/>
  <c r="CT291" i="10"/>
  <c r="CK291" i="10"/>
  <c r="CY291" i="10"/>
  <c r="CI291" i="10"/>
  <c r="CV323" i="10"/>
  <c r="CL323" i="10"/>
  <c r="CF323" i="10"/>
  <c r="CW323" i="10"/>
  <c r="CH323" i="10"/>
  <c r="CT323" i="10"/>
  <c r="CZ323" i="10"/>
  <c r="CK323" i="10"/>
  <c r="CY323" i="10"/>
  <c r="CI323" i="10"/>
  <c r="CY327" i="10"/>
  <c r="CS327" i="10"/>
  <c r="CH327" i="10"/>
  <c r="CC327" i="10"/>
  <c r="CZ327" i="10"/>
  <c r="CT327" i="10"/>
  <c r="CI327" i="10"/>
  <c r="CD327" i="10"/>
  <c r="CQ327" i="10"/>
  <c r="CF327" i="10"/>
  <c r="CW327" i="10"/>
  <c r="CE327" i="10"/>
  <c r="CV327" i="10"/>
  <c r="CL327" i="10"/>
  <c r="CR327" i="10"/>
  <c r="CK327" i="10"/>
  <c r="CB65" i="8"/>
  <c r="AH65" i="8" s="1"/>
  <c r="CN65" i="8"/>
  <c r="CH167" i="8"/>
  <c r="CQ167" i="8"/>
  <c r="C168" i="8"/>
  <c r="CO168" i="8"/>
  <c r="CH169" i="8"/>
  <c r="CQ169" i="8"/>
  <c r="C170" i="8"/>
  <c r="CO170" i="8"/>
  <c r="CH171" i="8"/>
  <c r="CQ171" i="8"/>
  <c r="C172" i="8"/>
  <c r="CO172" i="8"/>
  <c r="CH173" i="8"/>
  <c r="CQ173" i="8"/>
  <c r="C174" i="8"/>
  <c r="CO174" i="8"/>
  <c r="CH175" i="8"/>
  <c r="CQ175" i="8"/>
  <c r="C176" i="8"/>
  <c r="CO176" i="8"/>
  <c r="CH177" i="8"/>
  <c r="CQ177" i="8"/>
  <c r="C196" i="8"/>
  <c r="C197" i="8"/>
  <c r="CC197" i="8"/>
  <c r="CT197" i="8"/>
  <c r="CE198" i="8"/>
  <c r="CR198" i="8"/>
  <c r="C199" i="8"/>
  <c r="CC199" i="8"/>
  <c r="CT199" i="8"/>
  <c r="CE200" i="8"/>
  <c r="CR200" i="8"/>
  <c r="C201" i="8"/>
  <c r="CC201" i="8"/>
  <c r="CT201" i="8"/>
  <c r="CE202" i="8"/>
  <c r="CR202" i="8"/>
  <c r="CB213" i="8"/>
  <c r="N213" i="8" s="1"/>
  <c r="CN213" i="8"/>
  <c r="CD214" i="8"/>
  <c r="CP214" i="8"/>
  <c r="CB215" i="8"/>
  <c r="N215" i="8" s="1"/>
  <c r="CN215" i="8"/>
  <c r="CC12" i="9"/>
  <c r="CG12" i="9"/>
  <c r="CP12" i="9"/>
  <c r="CB20" i="9"/>
  <c r="CF20" i="9"/>
  <c r="CO20" i="9"/>
  <c r="CC196" i="9"/>
  <c r="CN196" i="9"/>
  <c r="CC205" i="9"/>
  <c r="CO205" i="9"/>
  <c r="D12" i="10"/>
  <c r="D13" i="10"/>
  <c r="D14" i="10"/>
  <c r="D15" i="10"/>
  <c r="D16" i="10"/>
  <c r="D21" i="10"/>
  <c r="CB44" i="10"/>
  <c r="CB47" i="10"/>
  <c r="CB48" i="10"/>
  <c r="CB49" i="10"/>
  <c r="CB50" i="10"/>
  <c r="CB51" i="10"/>
  <c r="CP51" i="10"/>
  <c r="CB52" i="10"/>
  <c r="CB53" i="10"/>
  <c r="CB54" i="10"/>
  <c r="CB55" i="10"/>
  <c r="AY55" i="10" s="1"/>
  <c r="CB56" i="10"/>
  <c r="AY56" i="10" s="1"/>
  <c r="D58" i="10"/>
  <c r="D59" i="10"/>
  <c r="D60" i="10"/>
  <c r="D61" i="10"/>
  <c r="D62" i="10"/>
  <c r="CP64" i="10"/>
  <c r="CG65" i="10"/>
  <c r="CR65" i="10"/>
  <c r="CV65" i="10"/>
  <c r="CP66" i="10"/>
  <c r="E67" i="10"/>
  <c r="CA71" i="10"/>
  <c r="O71" i="10" s="1"/>
  <c r="CA75" i="10"/>
  <c r="O75" i="10" s="1"/>
  <c r="CA79" i="10"/>
  <c r="O79" i="10" s="1"/>
  <c r="CC91" i="10"/>
  <c r="AY91" i="10" s="1"/>
  <c r="CG91" i="10"/>
  <c r="CT91" i="10"/>
  <c r="D92" i="10"/>
  <c r="CC93" i="10"/>
  <c r="AY93" i="10" s="1"/>
  <c r="CG93" i="10"/>
  <c r="CT93" i="10"/>
  <c r="CC95" i="10"/>
  <c r="AY95" i="10" s="1"/>
  <c r="CG95" i="10"/>
  <c r="CT95" i="10"/>
  <c r="CC97" i="10"/>
  <c r="AY97" i="10" s="1"/>
  <c r="CG97" i="10"/>
  <c r="CT97" i="10"/>
  <c r="CC99" i="10"/>
  <c r="AY99" i="10" s="1"/>
  <c r="CG99" i="10"/>
  <c r="CT99" i="10"/>
  <c r="CC101" i="10"/>
  <c r="AY101" i="10" s="1"/>
  <c r="CG101" i="10"/>
  <c r="CT101" i="10"/>
  <c r="CC103" i="10"/>
  <c r="AY103" i="10" s="1"/>
  <c r="CG103" i="10"/>
  <c r="CT103" i="10"/>
  <c r="CB104" i="10"/>
  <c r="AY104" i="10" s="1"/>
  <c r="CC105" i="10"/>
  <c r="AY105" i="10" s="1"/>
  <c r="CH105" i="10"/>
  <c r="CQ105" i="10"/>
  <c r="CV105" i="10"/>
  <c r="CC106" i="10"/>
  <c r="AY106" i="10" s="1"/>
  <c r="CG106" i="10"/>
  <c r="CT106" i="10"/>
  <c r="CI108" i="10"/>
  <c r="CU108" i="10"/>
  <c r="AY109" i="10"/>
  <c r="CF109" i="10"/>
  <c r="CW110" i="10"/>
  <c r="CS110" i="10"/>
  <c r="CO110" i="10"/>
  <c r="CF110" i="10"/>
  <c r="CT110" i="10"/>
  <c r="CG110" i="10"/>
  <c r="CC110" i="10"/>
  <c r="AY110" i="10" s="1"/>
  <c r="CI110" i="10"/>
  <c r="CV110" i="10"/>
  <c r="CQ112" i="10"/>
  <c r="D113" i="10"/>
  <c r="CJ116" i="10"/>
  <c r="CV116" i="10"/>
  <c r="AY117" i="10"/>
  <c r="D118" i="10"/>
  <c r="CB118" i="10"/>
  <c r="CW121" i="10"/>
  <c r="CI122" i="10"/>
  <c r="CV122" i="10"/>
  <c r="AY123" i="10"/>
  <c r="D124" i="10"/>
  <c r="CW125" i="10"/>
  <c r="CG126" i="10"/>
  <c r="CX126" i="10"/>
  <c r="CO130" i="10"/>
  <c r="CW130" i="10"/>
  <c r="CE132" i="10"/>
  <c r="AY132" i="10" s="1"/>
  <c r="AY134" i="10"/>
  <c r="D135" i="10"/>
  <c r="CB135" i="10"/>
  <c r="AY139" i="10"/>
  <c r="D142" i="10"/>
  <c r="CB173" i="10"/>
  <c r="AY173" i="10" s="1"/>
  <c r="CA183" i="10"/>
  <c r="CC183" i="10"/>
  <c r="CT186" i="10"/>
  <c r="CP186" i="10"/>
  <c r="CF186" i="10"/>
  <c r="CB186" i="10"/>
  <c r="CS186" i="10"/>
  <c r="CO186" i="10"/>
  <c r="CE186" i="10"/>
  <c r="CA186" i="10"/>
  <c r="CV186" i="10"/>
  <c r="CR186" i="10"/>
  <c r="CH186" i="10"/>
  <c r="CD186" i="10"/>
  <c r="CU186" i="10"/>
  <c r="CQ186" i="10"/>
  <c r="CG186" i="10"/>
  <c r="CC186" i="10"/>
  <c r="CS189" i="10"/>
  <c r="CO189" i="10"/>
  <c r="CE189" i="10"/>
  <c r="CA189" i="10"/>
  <c r="CV189" i="10"/>
  <c r="CR189" i="10"/>
  <c r="CH189" i="10"/>
  <c r="CD189" i="10"/>
  <c r="CU189" i="10"/>
  <c r="CQ189" i="10"/>
  <c r="CG189" i="10"/>
  <c r="CC189" i="10"/>
  <c r="CT189" i="10"/>
  <c r="CP189" i="10"/>
  <c r="CF189" i="10"/>
  <c r="CB189" i="10"/>
  <c r="CU196" i="10"/>
  <c r="CQ196" i="10"/>
  <c r="CG196" i="10"/>
  <c r="CC196" i="10"/>
  <c r="CT196" i="10"/>
  <c r="CP196" i="10"/>
  <c r="CF196" i="10"/>
  <c r="CB196" i="10"/>
  <c r="CS196" i="10"/>
  <c r="CO196" i="10"/>
  <c r="CE196" i="10"/>
  <c r="CA196" i="10"/>
  <c r="CV196" i="10"/>
  <c r="CR196" i="10"/>
  <c r="CH196" i="10"/>
  <c r="CD196" i="10"/>
  <c r="CS198" i="10"/>
  <c r="CO198" i="10"/>
  <c r="CE198" i="10"/>
  <c r="CA198" i="10"/>
  <c r="CV198" i="10"/>
  <c r="CR198" i="10"/>
  <c r="CH198" i="10"/>
  <c r="CD198" i="10"/>
  <c r="CU198" i="10"/>
  <c r="CQ198" i="10"/>
  <c r="CG198" i="10"/>
  <c r="CC198" i="10"/>
  <c r="CT198" i="10"/>
  <c r="CP198" i="10"/>
  <c r="CF198" i="10"/>
  <c r="CB198" i="10"/>
  <c r="CV213" i="10"/>
  <c r="CP213" i="10"/>
  <c r="CF213" i="10"/>
  <c r="CU213" i="10"/>
  <c r="CO213" i="10"/>
  <c r="CE213" i="10"/>
  <c r="CT213" i="10"/>
  <c r="CH213" i="10"/>
  <c r="CB213" i="10"/>
  <c r="CS213" i="10"/>
  <c r="CG213" i="10"/>
  <c r="CA213" i="10"/>
  <c r="AY213" i="10" s="1"/>
  <c r="CV218" i="10"/>
  <c r="CR218" i="10"/>
  <c r="CH218" i="10"/>
  <c r="CD218" i="10"/>
  <c r="CU218" i="10"/>
  <c r="CQ218" i="10"/>
  <c r="CG218" i="10"/>
  <c r="CC218" i="10"/>
  <c r="CT218" i="10"/>
  <c r="CP218" i="10"/>
  <c r="CF218" i="10"/>
  <c r="CB218" i="10"/>
  <c r="CS218" i="10"/>
  <c r="CO218" i="10"/>
  <c r="CE218" i="10"/>
  <c r="CA218" i="10"/>
  <c r="AY218" i="10" s="1"/>
  <c r="CS220" i="10"/>
  <c r="CO220" i="10"/>
  <c r="CD220" i="10"/>
  <c r="CR220" i="10"/>
  <c r="CH220" i="10"/>
  <c r="CC220" i="10"/>
  <c r="CV220" i="10"/>
  <c r="CQ220" i="10"/>
  <c r="CG220" i="10"/>
  <c r="CB220" i="10"/>
  <c r="CU220" i="10"/>
  <c r="CP220" i="10"/>
  <c r="CE220" i="10"/>
  <c r="CA220" i="10"/>
  <c r="AY220" i="10" s="1"/>
  <c r="CP234" i="10"/>
  <c r="CB234" i="10"/>
  <c r="CO234" i="10"/>
  <c r="CA234" i="10"/>
  <c r="CR234" i="10"/>
  <c r="CD234" i="10"/>
  <c r="CQ234" i="10"/>
  <c r="CC234" i="10"/>
  <c r="CW258" i="10"/>
  <c r="CH258" i="10"/>
  <c r="CV258" i="10"/>
  <c r="CL258" i="10"/>
  <c r="CF258" i="10"/>
  <c r="CZ258" i="10"/>
  <c r="CT258" i="10"/>
  <c r="CK258" i="10"/>
  <c r="CY258" i="10"/>
  <c r="CI258" i="10"/>
  <c r="CZ262" i="10"/>
  <c r="CV262" i="10"/>
  <c r="CL262" i="10"/>
  <c r="CH262" i="10"/>
  <c r="CY262" i="10"/>
  <c r="CT262" i="10"/>
  <c r="CK262" i="10"/>
  <c r="CF262" i="10"/>
  <c r="CX262" i="10"/>
  <c r="CJ262" i="10"/>
  <c r="CW262" i="10"/>
  <c r="CI262" i="10"/>
  <c r="CW263" i="10"/>
  <c r="CH263" i="10"/>
  <c r="CV263" i="10"/>
  <c r="CL263" i="10"/>
  <c r="CF263" i="10"/>
  <c r="CZ263" i="10"/>
  <c r="CT263" i="10"/>
  <c r="CK263" i="10"/>
  <c r="CY263" i="10"/>
  <c r="CI263" i="10"/>
  <c r="CW275" i="10"/>
  <c r="CK275" i="10"/>
  <c r="CV275" i="10"/>
  <c r="CI275" i="10"/>
  <c r="CZ275" i="10"/>
  <c r="CT275" i="10"/>
  <c r="CH275" i="10"/>
  <c r="CY275" i="10"/>
  <c r="CL275" i="10"/>
  <c r="CF275" i="10"/>
  <c r="CX280" i="10"/>
  <c r="CT280" i="10"/>
  <c r="CI280" i="10"/>
  <c r="CW280" i="10"/>
  <c r="CL280" i="10"/>
  <c r="CH280" i="10"/>
  <c r="CZ280" i="10"/>
  <c r="CV280" i="10"/>
  <c r="CK280" i="10"/>
  <c r="CG280" i="10"/>
  <c r="CY280" i="10"/>
  <c r="CU280" i="10"/>
  <c r="CJ280" i="10"/>
  <c r="CF280" i="10"/>
  <c r="CZ286" i="10"/>
  <c r="CV286" i="10"/>
  <c r="CL286" i="10"/>
  <c r="CH286" i="10"/>
  <c r="CY286" i="10"/>
  <c r="CT286" i="10"/>
  <c r="CK286" i="10"/>
  <c r="CF286" i="10"/>
  <c r="CX286" i="10"/>
  <c r="CJ286" i="10"/>
  <c r="CW286" i="10"/>
  <c r="CI286" i="10"/>
  <c r="CW287" i="10"/>
  <c r="CH287" i="10"/>
  <c r="CV287" i="10"/>
  <c r="CL287" i="10"/>
  <c r="CF287" i="10"/>
  <c r="CZ287" i="10"/>
  <c r="CT287" i="10"/>
  <c r="CK287" i="10"/>
  <c r="CY287" i="10"/>
  <c r="CI287" i="10"/>
  <c r="CZ301" i="10"/>
  <c r="CT301" i="10"/>
  <c r="CI301" i="10"/>
  <c r="CD301" i="10"/>
  <c r="CY301" i="10"/>
  <c r="CS301" i="10"/>
  <c r="CH301" i="10"/>
  <c r="CC301" i="10"/>
  <c r="CW301" i="10"/>
  <c r="CR301" i="10"/>
  <c r="CL301" i="10"/>
  <c r="CF301" i="10"/>
  <c r="CV301" i="10"/>
  <c r="CQ301" i="10"/>
  <c r="CK301" i="10"/>
  <c r="CE301" i="10"/>
  <c r="CZ302" i="10"/>
  <c r="CT302" i="10"/>
  <c r="CL302" i="10"/>
  <c r="CF302" i="10"/>
  <c r="CY302" i="10"/>
  <c r="CS302" i="10"/>
  <c r="CK302" i="10"/>
  <c r="CE302" i="10"/>
  <c r="CW302" i="10"/>
  <c r="CI302" i="10"/>
  <c r="CV302" i="10"/>
  <c r="CH302" i="10"/>
  <c r="CW303" i="10"/>
  <c r="CH303" i="10"/>
  <c r="CV303" i="10"/>
  <c r="CL303" i="10"/>
  <c r="CF303" i="10"/>
  <c r="CZ303" i="10"/>
  <c r="CT303" i="10"/>
  <c r="CK303" i="10"/>
  <c r="CY303" i="10"/>
  <c r="CI303" i="10"/>
  <c r="CW328" i="10"/>
  <c r="CR328" i="10"/>
  <c r="CL328" i="10"/>
  <c r="CH328" i="10"/>
  <c r="CC328" i="10"/>
  <c r="CX328" i="10"/>
  <c r="CS328" i="10"/>
  <c r="CI328" i="10"/>
  <c r="CD328" i="10"/>
  <c r="CT328" i="10"/>
  <c r="CK328" i="10"/>
  <c r="CZ328" i="10"/>
  <c r="CQ328" i="10"/>
  <c r="CJ328" i="10"/>
  <c r="CY328" i="10"/>
  <c r="CF328" i="10"/>
  <c r="CV328" i="10"/>
  <c r="CE328" i="10"/>
  <c r="CE167" i="8"/>
  <c r="CN167" i="8"/>
  <c r="CE169" i="8"/>
  <c r="CN169" i="8"/>
  <c r="CE171" i="8"/>
  <c r="CN171" i="8"/>
  <c r="CE173" i="8"/>
  <c r="CN173" i="8"/>
  <c r="CE175" i="8"/>
  <c r="CN175" i="8"/>
  <c r="CE177" i="8"/>
  <c r="CN177" i="8"/>
  <c r="CC196" i="8"/>
  <c r="CF198" i="8"/>
  <c r="CF200" i="8"/>
  <c r="CF202" i="8"/>
  <c r="CC213" i="8"/>
  <c r="CE214" i="8"/>
  <c r="CC215" i="8"/>
  <c r="CD12" i="9"/>
  <c r="CM12" i="9"/>
  <c r="CC20" i="9"/>
  <c r="B61" i="9"/>
  <c r="CD196" i="9"/>
  <c r="CD205" i="9"/>
  <c r="CB12" i="10"/>
  <c r="CB13" i="10"/>
  <c r="CB14" i="10"/>
  <c r="CB15" i="10"/>
  <c r="CB16" i="10"/>
  <c r="CB17" i="10"/>
  <c r="AY17" i="10" s="1"/>
  <c r="CB21" i="10"/>
  <c r="CB22" i="10"/>
  <c r="AY22" i="10" s="1"/>
  <c r="CB23" i="10"/>
  <c r="AY23" i="10" s="1"/>
  <c r="CB24" i="10"/>
  <c r="AY24" i="10" s="1"/>
  <c r="CB25" i="10"/>
  <c r="AY25" i="10" s="1"/>
  <c r="CB26" i="10"/>
  <c r="AY26" i="10" s="1"/>
  <c r="CB27" i="10"/>
  <c r="AY27" i="10" s="1"/>
  <c r="CB28" i="10"/>
  <c r="AY28" i="10" s="1"/>
  <c r="CB29" i="10"/>
  <c r="AY29" i="10" s="1"/>
  <c r="CB30" i="10"/>
  <c r="AY30" i="10" s="1"/>
  <c r="CB31" i="10"/>
  <c r="AY31" i="10" s="1"/>
  <c r="CB32" i="10"/>
  <c r="AY32" i="10" s="1"/>
  <c r="CB33" i="10"/>
  <c r="AY33" i="10" s="1"/>
  <c r="CB34" i="10"/>
  <c r="AY34" i="10" s="1"/>
  <c r="CB35" i="10"/>
  <c r="AY35" i="10" s="1"/>
  <c r="CB36" i="10"/>
  <c r="AY36" i="10" s="1"/>
  <c r="CB37" i="10"/>
  <c r="AY37" i="10" s="1"/>
  <c r="CB38" i="10"/>
  <c r="AY38" i="10" s="1"/>
  <c r="CB58" i="10"/>
  <c r="CB59" i="10"/>
  <c r="CB60" i="10"/>
  <c r="CB61" i="10"/>
  <c r="CB62" i="10"/>
  <c r="CB64" i="10"/>
  <c r="AY64" i="10" s="1"/>
  <c r="CD65" i="10"/>
  <c r="AY65" i="10" s="1"/>
  <c r="CH65" i="10"/>
  <c r="CH91" i="10"/>
  <c r="CQ91" i="10"/>
  <c r="CH93" i="10"/>
  <c r="CQ93" i="10"/>
  <c r="CH95" i="10"/>
  <c r="CQ95" i="10"/>
  <c r="CH97" i="10"/>
  <c r="CQ97" i="10"/>
  <c r="CH99" i="10"/>
  <c r="CQ99" i="10"/>
  <c r="CH101" i="10"/>
  <c r="CQ101" i="10"/>
  <c r="CH103" i="10"/>
  <c r="CQ103" i="10"/>
  <c r="CE105" i="10"/>
  <c r="CI105" i="10"/>
  <c r="CS105" i="10"/>
  <c r="CH106" i="10"/>
  <c r="CQ106" i="10"/>
  <c r="CE108" i="10"/>
  <c r="CV108" i="10"/>
  <c r="CG109" i="10"/>
  <c r="CS109" i="10"/>
  <c r="D111" i="10"/>
  <c r="CQ122" i="10"/>
  <c r="CB124" i="10"/>
  <c r="CP124" i="10"/>
  <c r="CH126" i="10"/>
  <c r="CS126" i="10"/>
  <c r="D127" i="10"/>
  <c r="CP131" i="10"/>
  <c r="CF132" i="10"/>
  <c r="CS132" i="10"/>
  <c r="D133" i="10"/>
  <c r="CB133" i="10"/>
  <c r="D141" i="10"/>
  <c r="CP142" i="10"/>
  <c r="CV163" i="10"/>
  <c r="CR163" i="10"/>
  <c r="CH163" i="10"/>
  <c r="CD163" i="10"/>
  <c r="AY163" i="10" s="1"/>
  <c r="D174" i="10"/>
  <c r="CS163" i="10"/>
  <c r="CE163" i="10"/>
  <c r="CV164" i="10"/>
  <c r="CR164" i="10"/>
  <c r="CH164" i="10"/>
  <c r="CD164" i="10"/>
  <c r="AY164" i="10" s="1"/>
  <c r="CS164" i="10"/>
  <c r="CE164" i="10"/>
  <c r="CV165" i="10"/>
  <c r="CR165" i="10"/>
  <c r="CH165" i="10"/>
  <c r="CD165" i="10"/>
  <c r="AY165" i="10" s="1"/>
  <c r="CS165" i="10"/>
  <c r="CE165" i="10"/>
  <c r="CV166" i="10"/>
  <c r="CR166" i="10"/>
  <c r="CH166" i="10"/>
  <c r="CD166" i="10"/>
  <c r="AY166" i="10" s="1"/>
  <c r="CS166" i="10"/>
  <c r="CE166" i="10"/>
  <c r="CV167" i="10"/>
  <c r="CR167" i="10"/>
  <c r="CH167" i="10"/>
  <c r="CD167" i="10"/>
  <c r="AY167" i="10" s="1"/>
  <c r="CS167" i="10"/>
  <c r="CE167" i="10"/>
  <c r="CV168" i="10"/>
  <c r="CR168" i="10"/>
  <c r="CH168" i="10"/>
  <c r="CD168" i="10"/>
  <c r="AY168" i="10" s="1"/>
  <c r="CS168" i="10"/>
  <c r="CE168" i="10"/>
  <c r="CV169" i="10"/>
  <c r="CR169" i="10"/>
  <c r="CH169" i="10"/>
  <c r="CD169" i="10"/>
  <c r="AY169" i="10" s="1"/>
  <c r="CS169" i="10"/>
  <c r="CE169" i="10"/>
  <c r="CV170" i="10"/>
  <c r="CR170" i="10"/>
  <c r="CH170" i="10"/>
  <c r="CD170" i="10"/>
  <c r="AY170" i="10" s="1"/>
  <c r="CS170" i="10"/>
  <c r="CE170" i="10"/>
  <c r="CV171" i="10"/>
  <c r="CR171" i="10"/>
  <c r="CH171" i="10"/>
  <c r="CD171" i="10"/>
  <c r="AY171" i="10" s="1"/>
  <c r="CS171" i="10"/>
  <c r="CE171" i="10"/>
  <c r="CV172" i="10"/>
  <c r="CR172" i="10"/>
  <c r="CH172" i="10"/>
  <c r="CD172" i="10"/>
  <c r="AY172" i="10" s="1"/>
  <c r="CS172" i="10"/>
  <c r="CE172" i="10"/>
  <c r="CV173" i="10"/>
  <c r="CR173" i="10"/>
  <c r="CH173" i="10"/>
  <c r="CD173" i="10"/>
  <c r="CS173" i="10"/>
  <c r="CE173" i="10"/>
  <c r="E174" i="10"/>
  <c r="CS210" i="10"/>
  <c r="CO210" i="10"/>
  <c r="CD210" i="10"/>
  <c r="CR210" i="10"/>
  <c r="CH210" i="10"/>
  <c r="CC210" i="10"/>
  <c r="CV210" i="10"/>
  <c r="CQ210" i="10"/>
  <c r="CG210" i="10"/>
  <c r="CB210" i="10"/>
  <c r="CU210" i="10"/>
  <c r="CP210" i="10"/>
  <c r="CE210" i="10"/>
  <c r="CA210" i="10"/>
  <c r="CV222" i="10"/>
  <c r="CR222" i="10"/>
  <c r="CH222" i="10"/>
  <c r="CD222" i="10"/>
  <c r="CU222" i="10"/>
  <c r="CQ222" i="10"/>
  <c r="CG222" i="10"/>
  <c r="CC222" i="10"/>
  <c r="CT222" i="10"/>
  <c r="CP222" i="10"/>
  <c r="CF222" i="10"/>
  <c r="CB222" i="10"/>
  <c r="CS222" i="10"/>
  <c r="CO222" i="10"/>
  <c r="CE222" i="10"/>
  <c r="CA222" i="10"/>
  <c r="CQ233" i="10"/>
  <c r="CC233" i="10"/>
  <c r="CP233" i="10"/>
  <c r="CB233" i="10"/>
  <c r="CO233" i="10"/>
  <c r="CA233" i="10"/>
  <c r="CR233" i="10"/>
  <c r="CD233" i="10"/>
  <c r="CZ266" i="10"/>
  <c r="CU266" i="10"/>
  <c r="CL266" i="10"/>
  <c r="CG266" i="10"/>
  <c r="CY266" i="10"/>
  <c r="CT266" i="10"/>
  <c r="CK266" i="10"/>
  <c r="CF266" i="10"/>
  <c r="CW266" i="10"/>
  <c r="CS266" i="10"/>
  <c r="CI266" i="10"/>
  <c r="CE266" i="10"/>
  <c r="CV266" i="10"/>
  <c r="CH266" i="10"/>
  <c r="CW277" i="10"/>
  <c r="CS277" i="10"/>
  <c r="CK277" i="10"/>
  <c r="CF277" i="10"/>
  <c r="CV277" i="10"/>
  <c r="CR277" i="10"/>
  <c r="CI277" i="10"/>
  <c r="CE277" i="10"/>
  <c r="CZ277" i="10"/>
  <c r="CU277" i="10"/>
  <c r="CQ277" i="10"/>
  <c r="CH277" i="10"/>
  <c r="CD277" i="10"/>
  <c r="CY277" i="10"/>
  <c r="CT277" i="10"/>
  <c r="CL277" i="10"/>
  <c r="CG277" i="10"/>
  <c r="CC277" i="10"/>
  <c r="CW294" i="10"/>
  <c r="CH294" i="10"/>
  <c r="CV294" i="10"/>
  <c r="CL294" i="10"/>
  <c r="CF294" i="10"/>
  <c r="CZ294" i="10"/>
  <c r="CT294" i="10"/>
  <c r="CK294" i="10"/>
  <c r="CY294" i="10"/>
  <c r="CI294" i="10"/>
  <c r="CZ298" i="10"/>
  <c r="CV298" i="10"/>
  <c r="CL298" i="10"/>
  <c r="CH298" i="10"/>
  <c r="CY298" i="10"/>
  <c r="CT298" i="10"/>
  <c r="CK298" i="10"/>
  <c r="CF298" i="10"/>
  <c r="CX298" i="10"/>
  <c r="CJ298" i="10"/>
  <c r="CW298" i="10"/>
  <c r="CI298" i="10"/>
  <c r="CW299" i="10"/>
  <c r="CH299" i="10"/>
  <c r="CV299" i="10"/>
  <c r="CL299" i="10"/>
  <c r="CF299" i="10"/>
  <c r="CZ299" i="10"/>
  <c r="CT299" i="10"/>
  <c r="CK299" i="10"/>
  <c r="CY299" i="10"/>
  <c r="CI299" i="10"/>
  <c r="AY311" i="10"/>
  <c r="CY313" i="10"/>
  <c r="CS313" i="10"/>
  <c r="CH313" i="10"/>
  <c r="CC313" i="10"/>
  <c r="AY313" i="10" s="1"/>
  <c r="CZ313" i="10"/>
  <c r="CR313" i="10"/>
  <c r="CK313" i="10"/>
  <c r="CD313" i="10"/>
  <c r="CW313" i="10"/>
  <c r="CQ313" i="10"/>
  <c r="CI313" i="10"/>
  <c r="CV313" i="10"/>
  <c r="CF313" i="10"/>
  <c r="CT313" i="10"/>
  <c r="CL313" i="10"/>
  <c r="CE313" i="10"/>
  <c r="CY322" i="10"/>
  <c r="CT322" i="10"/>
  <c r="CK322" i="10"/>
  <c r="CF322" i="10"/>
  <c r="CZ322" i="10"/>
  <c r="CV322" i="10"/>
  <c r="CL322" i="10"/>
  <c r="CH322" i="10"/>
  <c r="CX322" i="10"/>
  <c r="CJ322" i="10"/>
  <c r="CW322" i="10"/>
  <c r="CI322" i="10"/>
  <c r="CY325" i="10"/>
  <c r="CS325" i="10"/>
  <c r="CH325" i="10"/>
  <c r="CC325" i="10"/>
  <c r="CZ325" i="10"/>
  <c r="CT325" i="10"/>
  <c r="CI325" i="10"/>
  <c r="CD325" i="10"/>
  <c r="CQ325" i="10"/>
  <c r="CF325" i="10"/>
  <c r="CW325" i="10"/>
  <c r="CE325" i="10"/>
  <c r="CV325" i="10"/>
  <c r="CL325" i="10"/>
  <c r="CR325" i="10"/>
  <c r="CK325" i="10"/>
  <c r="CP110" i="10"/>
  <c r="CP112" i="10"/>
  <c r="CD187" i="10"/>
  <c r="CH187" i="10"/>
  <c r="CR187" i="10"/>
  <c r="CV187" i="10"/>
  <c r="CD195" i="10"/>
  <c r="CO195" i="10"/>
  <c r="CS195" i="10"/>
  <c r="CC202" i="10"/>
  <c r="CG202" i="10"/>
  <c r="CQ202" i="10"/>
  <c r="CU202" i="10"/>
  <c r="CC203" i="10"/>
  <c r="CG203" i="10"/>
  <c r="CQ203" i="10"/>
  <c r="CU203" i="10"/>
  <c r="CC204" i="10"/>
  <c r="CG204" i="10"/>
  <c r="CQ204" i="10"/>
  <c r="CU204" i="10"/>
  <c r="CC205" i="10"/>
  <c r="CH205" i="10"/>
  <c r="CR205" i="10"/>
  <c r="CC207" i="10"/>
  <c r="CG207" i="10"/>
  <c r="CQ207" i="10"/>
  <c r="CU207" i="10"/>
  <c r="CC208" i="10"/>
  <c r="CH208" i="10"/>
  <c r="CR208" i="10"/>
  <c r="CC211" i="10"/>
  <c r="CH211" i="10"/>
  <c r="CR211" i="10"/>
  <c r="CE215" i="10"/>
  <c r="CO215" i="10"/>
  <c r="CU215" i="10"/>
  <c r="CE216" i="10"/>
  <c r="CP216" i="10"/>
  <c r="CC221" i="10"/>
  <c r="CH221" i="10"/>
  <c r="CR221" i="10"/>
  <c r="CC224" i="10"/>
  <c r="CG224" i="10"/>
  <c r="CQ224" i="10"/>
  <c r="CU224" i="10"/>
  <c r="CC225" i="10"/>
  <c r="CH225" i="10"/>
  <c r="CR225" i="10"/>
  <c r="CB235" i="10"/>
  <c r="CD242" i="10"/>
  <c r="CQ242" i="10"/>
  <c r="CD243" i="10"/>
  <c r="CQ243" i="10"/>
  <c r="CD244" i="10"/>
  <c r="CQ244" i="10"/>
  <c r="CD245" i="10"/>
  <c r="CQ245" i="10"/>
  <c r="CD246" i="10"/>
  <c r="CQ246" i="10"/>
  <c r="CA251" i="10"/>
  <c r="AY251" i="10" s="1"/>
  <c r="CF252" i="10"/>
  <c r="AY252" i="10" s="1"/>
  <c r="CL252" i="10"/>
  <c r="CV252" i="10"/>
  <c r="CA253" i="10"/>
  <c r="AY253" i="10" s="1"/>
  <c r="CA254" i="10"/>
  <c r="AY254" i="10" s="1"/>
  <c r="CA255" i="10"/>
  <c r="AY255" i="10" s="1"/>
  <c r="CF256" i="10"/>
  <c r="AY256" i="10" s="1"/>
  <c r="CK256" i="10"/>
  <c r="CT256" i="10"/>
  <c r="CY256" i="10"/>
  <c r="CF257" i="10"/>
  <c r="AY257" i="10" s="1"/>
  <c r="CL257" i="10"/>
  <c r="CV257" i="10"/>
  <c r="CA258" i="10"/>
  <c r="AY258" i="10" s="1"/>
  <c r="CC259" i="10"/>
  <c r="AY259" i="10" s="1"/>
  <c r="CH259" i="10"/>
  <c r="CS259" i="10"/>
  <c r="CY259" i="10"/>
  <c r="CE260" i="10"/>
  <c r="CK260" i="10"/>
  <c r="CS260" i="10"/>
  <c r="CY260" i="10"/>
  <c r="CF261" i="10"/>
  <c r="AY261" i="10" s="1"/>
  <c r="CL261" i="10"/>
  <c r="CV261" i="10"/>
  <c r="CA262" i="10"/>
  <c r="AY262" i="10" s="1"/>
  <c r="CA263" i="10"/>
  <c r="AY263" i="10" s="1"/>
  <c r="CF264" i="10"/>
  <c r="AY264" i="10" s="1"/>
  <c r="CL264" i="10"/>
  <c r="CV264" i="10"/>
  <c r="CA265" i="10"/>
  <c r="AY265" i="10" s="1"/>
  <c r="CA266" i="10"/>
  <c r="AY266" i="10" s="1"/>
  <c r="CA267" i="10"/>
  <c r="AY267" i="10" s="1"/>
  <c r="CG268" i="10"/>
  <c r="CK268" i="10"/>
  <c r="CU268" i="10"/>
  <c r="CY268" i="10"/>
  <c r="CG269" i="10"/>
  <c r="CL269" i="10"/>
  <c r="CV269" i="10"/>
  <c r="CA270" i="10"/>
  <c r="AY270" i="10" s="1"/>
  <c r="CE271" i="10"/>
  <c r="CK271" i="10"/>
  <c r="CS271" i="10"/>
  <c r="CY271" i="10"/>
  <c r="CH272" i="10"/>
  <c r="CS272" i="10"/>
  <c r="CY272" i="10"/>
  <c r="CI273" i="10"/>
  <c r="CV273" i="10"/>
  <c r="CI276" i="10"/>
  <c r="CV276" i="10"/>
  <c r="CG278" i="10"/>
  <c r="CL278" i="10"/>
  <c r="CV278" i="10"/>
  <c r="CH281" i="10"/>
  <c r="CT281" i="10"/>
  <c r="CY281" i="10"/>
  <c r="CH282" i="10"/>
  <c r="CT282" i="10"/>
  <c r="CY282" i="10"/>
  <c r="CC283" i="10"/>
  <c r="AY283" i="10" s="1"/>
  <c r="CH283" i="10"/>
  <c r="CS283" i="10"/>
  <c r="CY283" i="10"/>
  <c r="CE284" i="10"/>
  <c r="AY284" i="10" s="1"/>
  <c r="CK284" i="10"/>
  <c r="CS284" i="10"/>
  <c r="CY284" i="10"/>
  <c r="CF285" i="10"/>
  <c r="AY285" i="10" s="1"/>
  <c r="CL285" i="10"/>
  <c r="CV285" i="10"/>
  <c r="CA286" i="10"/>
  <c r="AY286" i="10" s="1"/>
  <c r="CA287" i="10"/>
  <c r="AY287" i="10" s="1"/>
  <c r="CF288" i="10"/>
  <c r="AY288" i="10" s="1"/>
  <c r="CL288" i="10"/>
  <c r="CV288" i="10"/>
  <c r="CA289" i="10"/>
  <c r="AY289" i="10" s="1"/>
  <c r="CA290" i="10"/>
  <c r="AY290" i="10" s="1"/>
  <c r="CA291" i="10"/>
  <c r="AY291" i="10" s="1"/>
  <c r="CF292" i="10"/>
  <c r="AY292" i="10" s="1"/>
  <c r="CK292" i="10"/>
  <c r="CT292" i="10"/>
  <c r="CY292" i="10"/>
  <c r="CF293" i="10"/>
  <c r="AY293" i="10" s="1"/>
  <c r="CL293" i="10"/>
  <c r="CV293" i="10"/>
  <c r="CA294" i="10"/>
  <c r="AY294" i="10" s="1"/>
  <c r="CC295" i="10"/>
  <c r="AY295" i="10" s="1"/>
  <c r="CH295" i="10"/>
  <c r="CS295" i="10"/>
  <c r="CY295" i="10"/>
  <c r="CE296" i="10"/>
  <c r="AY296" i="10" s="1"/>
  <c r="CK296" i="10"/>
  <c r="CS296" i="10"/>
  <c r="CY296" i="10"/>
  <c r="CF297" i="10"/>
  <c r="CL297" i="10"/>
  <c r="CV297" i="10"/>
  <c r="CA298" i="10"/>
  <c r="AY298" i="10" s="1"/>
  <c r="CA299" i="10"/>
  <c r="CF300" i="10"/>
  <c r="AY300" i="10" s="1"/>
  <c r="CL300" i="10"/>
  <c r="CV300" i="10"/>
  <c r="CA301" i="10"/>
  <c r="AY301" i="10" s="1"/>
  <c r="CA302" i="10"/>
  <c r="AY302" i="10" s="1"/>
  <c r="CA303" i="10"/>
  <c r="AY303" i="10" s="1"/>
  <c r="CF304" i="10"/>
  <c r="AY304" i="10" s="1"/>
  <c r="CK304" i="10"/>
  <c r="CT304" i="10"/>
  <c r="CY304" i="10"/>
  <c r="CF305" i="10"/>
  <c r="AY305" i="10" s="1"/>
  <c r="CL305" i="10"/>
  <c r="CV305" i="10"/>
  <c r="CA306" i="10"/>
  <c r="AY306" i="10" s="1"/>
  <c r="CC307" i="10"/>
  <c r="AY307" i="10" s="1"/>
  <c r="CH307" i="10"/>
  <c r="CS307" i="10"/>
  <c r="CY307" i="10"/>
  <c r="CE308" i="10"/>
  <c r="AY308" i="10" s="1"/>
  <c r="CK308" i="10"/>
  <c r="CS308" i="10"/>
  <c r="CY308" i="10"/>
  <c r="CF309" i="10"/>
  <c r="AY309" i="10" s="1"/>
  <c r="CL309" i="10"/>
  <c r="CV309" i="10"/>
  <c r="CA310" i="10"/>
  <c r="AY310" i="10" s="1"/>
  <c r="CH312" i="10"/>
  <c r="CH314" i="10"/>
  <c r="CK315" i="10"/>
  <c r="CY315" i="10"/>
  <c r="CK316" i="10"/>
  <c r="CV316" i="10"/>
  <c r="CH317" i="10"/>
  <c r="CK318" i="10"/>
  <c r="CY318" i="10"/>
  <c r="CH319" i="10"/>
  <c r="CS319" i="10"/>
  <c r="D320" i="10"/>
  <c r="CO321" i="10"/>
  <c r="CL324" i="10"/>
  <c r="AY325" i="10"/>
  <c r="AY327" i="10"/>
  <c r="D334" i="10"/>
  <c r="CC18" i="11"/>
  <c r="CB19" i="11"/>
  <c r="DF27" i="11"/>
  <c r="CC27" i="11"/>
  <c r="AX27" i="11" s="1"/>
  <c r="DG27" i="11"/>
  <c r="CD27" i="11"/>
  <c r="CA187" i="10"/>
  <c r="CE187" i="10"/>
  <c r="CO187" i="10"/>
  <c r="CS187" i="10"/>
  <c r="CA195" i="10"/>
  <c r="CE195" i="10"/>
  <c r="CP195" i="10"/>
  <c r="CU195" i="10"/>
  <c r="CD202" i="10"/>
  <c r="CH202" i="10"/>
  <c r="CR202" i="10"/>
  <c r="CV202" i="10"/>
  <c r="CD203" i="10"/>
  <c r="CH203" i="10"/>
  <c r="CR203" i="10"/>
  <c r="CV203" i="10"/>
  <c r="CD204" i="10"/>
  <c r="CH204" i="10"/>
  <c r="CR204" i="10"/>
  <c r="CV204" i="10"/>
  <c r="CD205" i="10"/>
  <c r="CO205" i="10"/>
  <c r="CS205" i="10"/>
  <c r="CD207" i="10"/>
  <c r="CH207" i="10"/>
  <c r="CR207" i="10"/>
  <c r="CV207" i="10"/>
  <c r="CD208" i="10"/>
  <c r="CO208" i="10"/>
  <c r="CS208" i="10"/>
  <c r="CD211" i="10"/>
  <c r="CO211" i="10"/>
  <c r="CS211" i="10"/>
  <c r="CF215" i="10"/>
  <c r="CP215" i="10"/>
  <c r="CV215" i="10"/>
  <c r="CG216" i="10"/>
  <c r="CS216" i="10"/>
  <c r="CD221" i="10"/>
  <c r="CO221" i="10"/>
  <c r="CS221" i="10"/>
  <c r="CD224" i="10"/>
  <c r="CH224" i="10"/>
  <c r="CR224" i="10"/>
  <c r="CV224" i="10"/>
  <c r="CD225" i="10"/>
  <c r="CO225" i="10"/>
  <c r="CS225" i="10"/>
  <c r="CB232" i="10"/>
  <c r="CC235" i="10"/>
  <c r="CQ235" i="10"/>
  <c r="CH252" i="10"/>
  <c r="CW252" i="10"/>
  <c r="CH256" i="10"/>
  <c r="CL256" i="10"/>
  <c r="CV256" i="10"/>
  <c r="CZ256" i="10"/>
  <c r="CH257" i="10"/>
  <c r="CW257" i="10"/>
  <c r="CD259" i="10"/>
  <c r="CI259" i="10"/>
  <c r="CT259" i="10"/>
  <c r="CZ259" i="10"/>
  <c r="CF260" i="10"/>
  <c r="AY260" i="10" s="1"/>
  <c r="CL260" i="10"/>
  <c r="CT260" i="10"/>
  <c r="CZ260" i="10"/>
  <c r="CH261" i="10"/>
  <c r="CW261" i="10"/>
  <c r="CH264" i="10"/>
  <c r="CW264" i="10"/>
  <c r="CH268" i="10"/>
  <c r="CL268" i="10"/>
  <c r="CV268" i="10"/>
  <c r="CZ268" i="10"/>
  <c r="CH269" i="10"/>
  <c r="CW269" i="10"/>
  <c r="CF271" i="10"/>
  <c r="CL271" i="10"/>
  <c r="CT271" i="10"/>
  <c r="CZ271" i="10"/>
  <c r="CI272" i="10"/>
  <c r="CT272" i="10"/>
  <c r="CZ272" i="10"/>
  <c r="CK273" i="10"/>
  <c r="CW273" i="10"/>
  <c r="CK276" i="10"/>
  <c r="CW276" i="10"/>
  <c r="CH278" i="10"/>
  <c r="CS278" i="10"/>
  <c r="CW278" i="10"/>
  <c r="CI281" i="10"/>
  <c r="CU281" i="10"/>
  <c r="CZ281" i="10"/>
  <c r="CI282" i="10"/>
  <c r="CU282" i="10"/>
  <c r="CZ282" i="10"/>
  <c r="CD283" i="10"/>
  <c r="CI283" i="10"/>
  <c r="CT283" i="10"/>
  <c r="CZ283" i="10"/>
  <c r="CF284" i="10"/>
  <c r="CL284" i="10"/>
  <c r="CT284" i="10"/>
  <c r="CZ284" i="10"/>
  <c r="CH285" i="10"/>
  <c r="CW285" i="10"/>
  <c r="CH288" i="10"/>
  <c r="CW288" i="10"/>
  <c r="CH292" i="10"/>
  <c r="CL292" i="10"/>
  <c r="CV292" i="10"/>
  <c r="CZ292" i="10"/>
  <c r="CH293" i="10"/>
  <c r="CW293" i="10"/>
  <c r="CD295" i="10"/>
  <c r="CI295" i="10"/>
  <c r="CT295" i="10"/>
  <c r="CZ295" i="10"/>
  <c r="CF296" i="10"/>
  <c r="CL296" i="10"/>
  <c r="CT296" i="10"/>
  <c r="CZ296" i="10"/>
  <c r="CH297" i="10"/>
  <c r="AY297" i="10" s="1"/>
  <c r="CW297" i="10"/>
  <c r="CH300" i="10"/>
  <c r="CW300" i="10"/>
  <c r="CH304" i="10"/>
  <c r="CL304" i="10"/>
  <c r="CV304" i="10"/>
  <c r="CZ304" i="10"/>
  <c r="CH305" i="10"/>
  <c r="CW305" i="10"/>
  <c r="CD307" i="10"/>
  <c r="CI307" i="10"/>
  <c r="CT307" i="10"/>
  <c r="CZ307" i="10"/>
  <c r="CF308" i="10"/>
  <c r="CL308" i="10"/>
  <c r="CT308" i="10"/>
  <c r="CZ308" i="10"/>
  <c r="CH309" i="10"/>
  <c r="CW309" i="10"/>
  <c r="CL316" i="10"/>
  <c r="CI319" i="10"/>
  <c r="CO320" i="10"/>
  <c r="CA320" i="10"/>
  <c r="D321" i="10"/>
  <c r="D330" i="10"/>
  <c r="CO330" i="10"/>
  <c r="DF18" i="11"/>
  <c r="CD18" i="11"/>
  <c r="DG18" i="11"/>
  <c r="CA18" i="11"/>
  <c r="DI18" i="11"/>
  <c r="DI19" i="11"/>
  <c r="CC19" i="11"/>
  <c r="DF19" i="11"/>
  <c r="CD19" i="11"/>
  <c r="DH19" i="11"/>
  <c r="CB187" i="10"/>
  <c r="CF187" i="10"/>
  <c r="CP187" i="10"/>
  <c r="CT187" i="10"/>
  <c r="CB195" i="10"/>
  <c r="CG195" i="10"/>
  <c r="CQ195" i="10"/>
  <c r="CV195" i="10"/>
  <c r="CA202" i="10"/>
  <c r="CE202" i="10"/>
  <c r="CO202" i="10"/>
  <c r="CS202" i="10"/>
  <c r="CA203" i="10"/>
  <c r="CE203" i="10"/>
  <c r="CO203" i="10"/>
  <c r="CS203" i="10"/>
  <c r="CA204" i="10"/>
  <c r="CE204" i="10"/>
  <c r="CO204" i="10"/>
  <c r="CS204" i="10"/>
  <c r="CA205" i="10"/>
  <c r="CE205" i="10"/>
  <c r="CP205" i="10"/>
  <c r="CU205" i="10"/>
  <c r="CA207" i="10"/>
  <c r="CE207" i="10"/>
  <c r="CO207" i="10"/>
  <c r="CS207" i="10"/>
  <c r="CA208" i="10"/>
  <c r="CE208" i="10"/>
  <c r="CP208" i="10"/>
  <c r="CU208" i="10"/>
  <c r="CA211" i="10"/>
  <c r="CE211" i="10"/>
  <c r="CP211" i="10"/>
  <c r="CU211" i="10"/>
  <c r="CA215" i="10"/>
  <c r="CG215" i="10"/>
  <c r="CS215" i="10"/>
  <c r="CA216" i="10"/>
  <c r="AY216" i="10" s="1"/>
  <c r="CH216" i="10"/>
  <c r="CU216" i="10"/>
  <c r="CA221" i="10"/>
  <c r="CE221" i="10"/>
  <c r="CP221" i="10"/>
  <c r="CU221" i="10"/>
  <c r="CA224" i="10"/>
  <c r="CE224" i="10"/>
  <c r="CO224" i="10"/>
  <c r="CS224" i="10"/>
  <c r="CA225" i="10"/>
  <c r="CE225" i="10"/>
  <c r="CP225" i="10"/>
  <c r="CU225" i="10"/>
  <c r="CD235" i="10"/>
  <c r="CR235" i="10"/>
  <c r="CI252" i="10"/>
  <c r="CY252" i="10"/>
  <c r="CI256" i="10"/>
  <c r="CW256" i="10"/>
  <c r="CI257" i="10"/>
  <c r="CY257" i="10"/>
  <c r="CE259" i="10"/>
  <c r="CK259" i="10"/>
  <c r="CQ259" i="10"/>
  <c r="CV259" i="10"/>
  <c r="CH260" i="10"/>
  <c r="CV260" i="10"/>
  <c r="CI261" i="10"/>
  <c r="CY261" i="10"/>
  <c r="CI264" i="10"/>
  <c r="CY264" i="10"/>
  <c r="CI268" i="10"/>
  <c r="CW268" i="10"/>
  <c r="CI269" i="10"/>
  <c r="CT269" i="10"/>
  <c r="CY269" i="10"/>
  <c r="CC271" i="10"/>
  <c r="CH271" i="10"/>
  <c r="CQ271" i="10"/>
  <c r="CV271" i="10"/>
  <c r="CE272" i="10"/>
  <c r="CK272" i="10"/>
  <c r="CV272" i="10"/>
  <c r="CF273" i="10"/>
  <c r="CL273" i="10"/>
  <c r="CY273" i="10"/>
  <c r="CF276" i="10"/>
  <c r="CL276" i="10"/>
  <c r="CY276" i="10"/>
  <c r="CE278" i="10"/>
  <c r="CI278" i="10"/>
  <c r="CT278" i="10"/>
  <c r="CY278" i="10"/>
  <c r="CF281" i="10"/>
  <c r="CK281" i="10"/>
  <c r="CV281" i="10"/>
  <c r="CF282" i="10"/>
  <c r="CK282" i="10"/>
  <c r="CV282" i="10"/>
  <c r="CE283" i="10"/>
  <c r="CK283" i="10"/>
  <c r="CQ283" i="10"/>
  <c r="CV283" i="10"/>
  <c r="CH284" i="10"/>
  <c r="CV284" i="10"/>
  <c r="CI285" i="10"/>
  <c r="CY285" i="10"/>
  <c r="CI288" i="10"/>
  <c r="CY288" i="10"/>
  <c r="CI292" i="10"/>
  <c r="CW292" i="10"/>
  <c r="CI293" i="10"/>
  <c r="CY293" i="10"/>
  <c r="CE295" i="10"/>
  <c r="CK295" i="10"/>
  <c r="CQ295" i="10"/>
  <c r="CV295" i="10"/>
  <c r="CH296" i="10"/>
  <c r="CV296" i="10"/>
  <c r="CI297" i="10"/>
  <c r="CY297" i="10"/>
  <c r="CI300" i="10"/>
  <c r="CY300" i="10"/>
  <c r="CI304" i="10"/>
  <c r="CW304" i="10"/>
  <c r="CI305" i="10"/>
  <c r="CY305" i="10"/>
  <c r="CE307" i="10"/>
  <c r="CK307" i="10"/>
  <c r="CQ307" i="10"/>
  <c r="CV307" i="10"/>
  <c r="CH308" i="10"/>
  <c r="CV308" i="10"/>
  <c r="CI309" i="10"/>
  <c r="CY309" i="10"/>
  <c r="CV315" i="10"/>
  <c r="CL315" i="10"/>
  <c r="CF315" i="10"/>
  <c r="AY315" i="10" s="1"/>
  <c r="CW315" i="10"/>
  <c r="CH315" i="10"/>
  <c r="CW316" i="10"/>
  <c r="CI316" i="10"/>
  <c r="CX316" i="10"/>
  <c r="CJ316" i="10"/>
  <c r="CF316" i="10"/>
  <c r="CZ316" i="10"/>
  <c r="CV318" i="10"/>
  <c r="CL318" i="10"/>
  <c r="AY318" i="10" s="1"/>
  <c r="CF318" i="10"/>
  <c r="CW318" i="10"/>
  <c r="CH318" i="10"/>
  <c r="CV319" i="10"/>
  <c r="CQ319" i="10"/>
  <c r="CK319" i="10"/>
  <c r="CE319" i="10"/>
  <c r="CW319" i="10"/>
  <c r="CR319" i="10"/>
  <c r="CL319" i="10"/>
  <c r="CF319" i="10"/>
  <c r="CC319" i="10"/>
  <c r="AY319" i="10" s="1"/>
  <c r="CY319" i="10"/>
  <c r="AY323" i="10"/>
  <c r="CY324" i="10"/>
  <c r="CI324" i="10"/>
  <c r="CZ324" i="10"/>
  <c r="CT324" i="10"/>
  <c r="CK324" i="10"/>
  <c r="CF324" i="10"/>
  <c r="AY326" i="10"/>
  <c r="AY328" i="10"/>
  <c r="D336" i="10"/>
  <c r="CC187" i="10"/>
  <c r="CG187" i="10"/>
  <c r="CQ187" i="10"/>
  <c r="CC195" i="10"/>
  <c r="CH195" i="10"/>
  <c r="CB202" i="10"/>
  <c r="CF202" i="10"/>
  <c r="CP202" i="10"/>
  <c r="CB203" i="10"/>
  <c r="CF203" i="10"/>
  <c r="CP203" i="10"/>
  <c r="CB204" i="10"/>
  <c r="CF204" i="10"/>
  <c r="CP204" i="10"/>
  <c r="CB205" i="10"/>
  <c r="CG205" i="10"/>
  <c r="CQ205" i="10"/>
  <c r="CB207" i="10"/>
  <c r="CF207" i="10"/>
  <c r="CP207" i="10"/>
  <c r="CB208" i="10"/>
  <c r="CG208" i="10"/>
  <c r="CQ208" i="10"/>
  <c r="CB211" i="10"/>
  <c r="CG211" i="10"/>
  <c r="CQ211" i="10"/>
  <c r="CB215" i="10"/>
  <c r="CH215" i="10"/>
  <c r="CB216" i="10"/>
  <c r="CO216" i="10"/>
  <c r="CB221" i="10"/>
  <c r="CG221" i="10"/>
  <c r="CQ221" i="10"/>
  <c r="CB224" i="10"/>
  <c r="CF224" i="10"/>
  <c r="CP224" i="10"/>
  <c r="CB225" i="10"/>
  <c r="CG225" i="10"/>
  <c r="CQ225" i="10"/>
  <c r="CA235" i="10"/>
  <c r="AJ235" i="10" s="1"/>
  <c r="CC242" i="10"/>
  <c r="L242" i="10" s="1"/>
  <c r="CC243" i="10"/>
  <c r="L243" i="10" s="1"/>
  <c r="CC244" i="10"/>
  <c r="L244" i="10" s="1"/>
  <c r="CC245" i="10"/>
  <c r="L245" i="10" s="1"/>
  <c r="CC246" i="10"/>
  <c r="L246" i="10" s="1"/>
  <c r="CK252" i="10"/>
  <c r="CT252" i="10"/>
  <c r="CJ256" i="10"/>
  <c r="CK257" i="10"/>
  <c r="CT257" i="10"/>
  <c r="CF259" i="10"/>
  <c r="CL259" i="10"/>
  <c r="CR259" i="10"/>
  <c r="CI260" i="10"/>
  <c r="CK261" i="10"/>
  <c r="CT261" i="10"/>
  <c r="CK264" i="10"/>
  <c r="CT264" i="10"/>
  <c r="CF268" i="10"/>
  <c r="AY268" i="10" s="1"/>
  <c r="CJ268" i="10"/>
  <c r="CT268" i="10"/>
  <c r="CF269" i="10"/>
  <c r="AY269" i="10" s="1"/>
  <c r="CK269" i="10"/>
  <c r="CU269" i="10"/>
  <c r="CD271" i="10"/>
  <c r="CI271" i="10"/>
  <c r="CR271" i="10"/>
  <c r="CF272" i="10"/>
  <c r="CL272" i="10"/>
  <c r="CH273" i="10"/>
  <c r="CT273" i="10"/>
  <c r="CH276" i="10"/>
  <c r="CT276" i="10"/>
  <c r="CF278" i="10"/>
  <c r="CK278" i="10"/>
  <c r="CU278" i="10"/>
  <c r="CG281" i="10"/>
  <c r="CL281" i="10"/>
  <c r="CG282" i="10"/>
  <c r="CL282" i="10"/>
  <c r="CF283" i="10"/>
  <c r="CL283" i="10"/>
  <c r="CR283" i="10"/>
  <c r="CI284" i="10"/>
  <c r="CK285" i="10"/>
  <c r="CT285" i="10"/>
  <c r="CK288" i="10"/>
  <c r="CT288" i="10"/>
  <c r="CJ292" i="10"/>
  <c r="CK293" i="10"/>
  <c r="CT293" i="10"/>
  <c r="CF295" i="10"/>
  <c r="CL295" i="10"/>
  <c r="CR295" i="10"/>
  <c r="CI296" i="10"/>
  <c r="CK297" i="10"/>
  <c r="CT297" i="10"/>
  <c r="CK300" i="10"/>
  <c r="CT300" i="10"/>
  <c r="CJ304" i="10"/>
  <c r="CK305" i="10"/>
  <c r="CT305" i="10"/>
  <c r="CF307" i="10"/>
  <c r="CL307" i="10"/>
  <c r="CR307" i="10"/>
  <c r="CI308" i="10"/>
  <c r="CK309" i="10"/>
  <c r="CT309" i="10"/>
  <c r="CY312" i="10"/>
  <c r="CI312" i="10"/>
  <c r="CF312" i="10"/>
  <c r="AY312" i="10" s="1"/>
  <c r="CW312" i="10"/>
  <c r="CY314" i="10"/>
  <c r="CS314" i="10"/>
  <c r="CK314" i="10"/>
  <c r="CE314" i="10"/>
  <c r="AY314" i="10" s="1"/>
  <c r="CZ314" i="10"/>
  <c r="CT314" i="10"/>
  <c r="CL314" i="10"/>
  <c r="CF314" i="10"/>
  <c r="CI315" i="10"/>
  <c r="CT315" i="10"/>
  <c r="CO316" i="10"/>
  <c r="CA316" i="10"/>
  <c r="AY316" i="10" s="1"/>
  <c r="CH316" i="10"/>
  <c r="CT316" i="10"/>
  <c r="CY317" i="10"/>
  <c r="CI317" i="10"/>
  <c r="CZ317" i="10"/>
  <c r="CT317" i="10"/>
  <c r="CK317" i="10"/>
  <c r="CF317" i="10"/>
  <c r="AY317" i="10" s="1"/>
  <c r="CI318" i="10"/>
  <c r="CT318" i="10"/>
  <c r="CD319" i="10"/>
  <c r="CZ319" i="10"/>
  <c r="AY322" i="10"/>
  <c r="CH324" i="10"/>
  <c r="CV324" i="10"/>
  <c r="D329" i="10"/>
  <c r="CO329" i="10"/>
  <c r="DF14" i="11"/>
  <c r="CD14" i="11"/>
  <c r="DG14" i="11"/>
  <c r="CA14" i="11"/>
  <c r="AX14" i="11" s="1"/>
  <c r="DI14" i="11"/>
  <c r="DI15" i="11"/>
  <c r="CC15" i="11"/>
  <c r="AX15" i="11" s="1"/>
  <c r="DF15" i="11"/>
  <c r="CD15" i="11"/>
  <c r="DH15" i="11"/>
  <c r="CB18" i="11"/>
  <c r="CA19" i="11"/>
  <c r="DI27" i="11"/>
  <c r="DI35" i="11"/>
  <c r="CC35" i="11"/>
  <c r="DG35" i="11"/>
  <c r="CA35" i="11"/>
  <c r="DF35" i="11"/>
  <c r="CD35" i="11"/>
  <c r="A311" i="11"/>
  <c r="E14" i="29" s="1"/>
  <c r="CB13" i="11"/>
  <c r="DH13" i="11"/>
  <c r="CC16" i="11"/>
  <c r="DI16" i="11"/>
  <c r="CB17" i="11"/>
  <c r="DH17" i="11"/>
  <c r="CC20" i="11"/>
  <c r="DI20" i="11"/>
  <c r="CB21" i="11"/>
  <c r="DG21" i="11"/>
  <c r="CC22" i="11"/>
  <c r="DI22" i="11"/>
  <c r="CB23" i="11"/>
  <c r="DI23" i="11"/>
  <c r="CC24" i="11"/>
  <c r="DI24" i="11"/>
  <c r="CB25" i="11"/>
  <c r="DG25" i="11"/>
  <c r="CC26" i="11"/>
  <c r="DF26" i="11"/>
  <c r="CA28" i="11"/>
  <c r="DF28" i="11"/>
  <c r="CB29" i="11"/>
  <c r="DG29" i="11"/>
  <c r="CC30" i="11"/>
  <c r="DH30" i="11"/>
  <c r="CC36" i="11"/>
  <c r="DI36" i="11"/>
  <c r="CB37" i="11"/>
  <c r="DH37" i="11"/>
  <c r="CA38" i="11"/>
  <c r="DG38" i="11"/>
  <c r="CD39" i="11"/>
  <c r="DF39" i="11"/>
  <c r="CC40" i="11"/>
  <c r="DI40" i="11"/>
  <c r="CB41" i="11"/>
  <c r="DH41" i="11"/>
  <c r="CA42" i="11"/>
  <c r="DG42" i="11"/>
  <c r="CD43" i="11"/>
  <c r="DI43" i="11"/>
  <c r="CA44" i="11"/>
  <c r="DG44" i="11"/>
  <c r="CD45" i="11"/>
  <c r="DG45" i="11"/>
  <c r="CA46" i="11"/>
  <c r="DG46" i="11"/>
  <c r="CD47" i="11"/>
  <c r="DI47" i="11"/>
  <c r="CA48" i="11"/>
  <c r="DH48" i="11"/>
  <c r="CB49" i="11"/>
  <c r="DI49" i="11"/>
  <c r="CD51" i="11"/>
  <c r="DI51" i="11"/>
  <c r="CA52" i="11"/>
  <c r="DF52" i="11"/>
  <c r="CB57" i="11"/>
  <c r="DH57" i="11"/>
  <c r="CA58" i="11"/>
  <c r="DG58" i="11"/>
  <c r="CD59" i="11"/>
  <c r="DF59" i="11"/>
  <c r="CB61" i="11"/>
  <c r="DH61" i="11"/>
  <c r="CA62" i="11"/>
  <c r="DG62" i="11"/>
  <c r="CD63" i="11"/>
  <c r="DF63" i="11"/>
  <c r="CB65" i="11"/>
  <c r="DG65" i="11"/>
  <c r="CB67" i="11"/>
  <c r="DI67" i="11"/>
  <c r="CB69" i="11"/>
  <c r="DG69" i="11"/>
  <c r="CD71" i="11"/>
  <c r="DG71" i="11"/>
  <c r="CA72" i="11"/>
  <c r="DF72" i="11"/>
  <c r="CB73" i="11"/>
  <c r="DG73" i="11"/>
  <c r="CD79" i="11"/>
  <c r="DF79" i="11"/>
  <c r="DI80" i="11"/>
  <c r="CB81" i="11"/>
  <c r="DH81" i="11"/>
  <c r="CA82" i="11"/>
  <c r="DG82" i="11"/>
  <c r="CD83" i="11"/>
  <c r="DF83" i="11"/>
  <c r="CC84" i="11"/>
  <c r="DI84" i="11"/>
  <c r="CB85" i="11"/>
  <c r="DH85" i="11"/>
  <c r="CA86" i="11"/>
  <c r="DG86" i="11"/>
  <c r="CD87" i="11"/>
  <c r="DI87" i="11"/>
  <c r="CA88" i="11"/>
  <c r="DG88" i="11"/>
  <c r="CD89" i="11"/>
  <c r="DG89" i="11"/>
  <c r="CA90" i="11"/>
  <c r="DG90" i="11"/>
  <c r="CD91" i="11"/>
  <c r="DI91" i="11"/>
  <c r="CA92" i="11"/>
  <c r="DH92" i="11"/>
  <c r="CB93" i="11"/>
  <c r="AX93" i="11" s="1"/>
  <c r="DI93" i="11"/>
  <c r="CC94" i="11"/>
  <c r="DH94" i="11"/>
  <c r="CD95" i="11"/>
  <c r="DI95" i="11"/>
  <c r="CA96" i="11"/>
  <c r="DF96" i="11"/>
  <c r="CB101" i="11"/>
  <c r="DH101" i="11"/>
  <c r="CA102" i="11"/>
  <c r="DG102" i="11"/>
  <c r="CD103" i="11"/>
  <c r="DF103" i="11"/>
  <c r="CC104" i="11"/>
  <c r="DI104" i="11"/>
  <c r="CB105" i="11"/>
  <c r="DH105" i="11"/>
  <c r="CA106" i="11"/>
  <c r="DG106" i="11"/>
  <c r="CD107" i="11"/>
  <c r="DF107" i="11"/>
  <c r="CC108" i="11"/>
  <c r="DI108" i="11"/>
  <c r="CB109" i="11"/>
  <c r="DG109" i="11"/>
  <c r="DI110" i="11"/>
  <c r="CB111" i="11"/>
  <c r="DI111" i="11"/>
  <c r="CC112" i="11"/>
  <c r="DI112" i="11"/>
  <c r="CB113" i="11"/>
  <c r="DG113" i="11"/>
  <c r="CC114" i="11"/>
  <c r="DF114" i="11"/>
  <c r="CD115" i="11"/>
  <c r="DG115" i="11"/>
  <c r="CA116" i="11"/>
  <c r="DF116" i="11"/>
  <c r="CB117" i="11"/>
  <c r="DG117" i="11"/>
  <c r="CC118" i="11"/>
  <c r="DH118" i="11"/>
  <c r="CD123" i="11"/>
  <c r="DF123" i="11"/>
  <c r="CC124" i="11"/>
  <c r="DI124" i="11"/>
  <c r="CB125" i="11"/>
  <c r="DH125" i="11"/>
  <c r="CA126" i="11"/>
  <c r="DG126" i="11"/>
  <c r="CD127" i="11"/>
  <c r="DF127" i="11"/>
  <c r="CC128" i="11"/>
  <c r="DI128" i="11"/>
  <c r="CB129" i="11"/>
  <c r="DH129" i="11"/>
  <c r="CA130" i="11"/>
  <c r="DG130" i="11"/>
  <c r="CD131" i="11"/>
  <c r="DI131" i="11"/>
  <c r="CA132" i="11"/>
  <c r="DG132" i="11"/>
  <c r="CD133" i="11"/>
  <c r="DG133" i="11"/>
  <c r="CA134" i="11"/>
  <c r="DG134" i="11"/>
  <c r="CD135" i="11"/>
  <c r="DI135" i="11"/>
  <c r="CA136" i="11"/>
  <c r="DH136" i="11"/>
  <c r="CB137" i="11"/>
  <c r="DI137" i="11"/>
  <c r="CC138" i="11"/>
  <c r="DH138" i="11"/>
  <c r="CD139" i="11"/>
  <c r="DI139" i="11"/>
  <c r="CA140" i="11"/>
  <c r="DF140" i="11"/>
  <c r="CM161" i="11"/>
  <c r="DP161" i="11"/>
  <c r="DV162" i="11"/>
  <c r="CQ162" i="11"/>
  <c r="CO162" i="11"/>
  <c r="DF162" i="11"/>
  <c r="DQ162" i="11"/>
  <c r="CM164" i="11"/>
  <c r="DT166" i="11"/>
  <c r="DF166" i="11"/>
  <c r="CP166" i="11"/>
  <c r="AY166" i="11" s="1"/>
  <c r="CL166" i="11"/>
  <c r="DV166" i="11"/>
  <c r="CO166" i="11"/>
  <c r="CN167" i="11"/>
  <c r="DF167" i="11"/>
  <c r="CO168" i="11"/>
  <c r="CM169" i="11"/>
  <c r="DS169" i="11"/>
  <c r="DN169" i="11"/>
  <c r="CK169" i="11"/>
  <c r="CA169" i="11"/>
  <c r="DF169" i="11"/>
  <c r="DR169" i="11"/>
  <c r="CI171" i="11"/>
  <c r="DF171" i="11"/>
  <c r="DR171" i="11"/>
  <c r="DT172" i="11"/>
  <c r="DF172" i="11"/>
  <c r="DV172" i="11"/>
  <c r="CP172" i="11"/>
  <c r="CL172" i="11"/>
  <c r="DT174" i="11"/>
  <c r="DF174" i="11"/>
  <c r="CP174" i="11"/>
  <c r="CL174" i="11"/>
  <c r="DV174" i="11"/>
  <c r="CO174" i="11"/>
  <c r="CN175" i="11"/>
  <c r="DF175" i="11"/>
  <c r="CM177" i="11"/>
  <c r="DS177" i="11"/>
  <c r="DN177" i="11"/>
  <c r="CK177" i="11"/>
  <c r="CA177" i="11"/>
  <c r="DF177" i="11"/>
  <c r="DR177" i="11"/>
  <c r="CI179" i="11"/>
  <c r="DV180" i="11"/>
  <c r="DU180" i="11"/>
  <c r="DQ180" i="11"/>
  <c r="DT180" i="11"/>
  <c r="DF180" i="11"/>
  <c r="CP180" i="11"/>
  <c r="CL180" i="11"/>
  <c r="DT182" i="11"/>
  <c r="DF182" i="11"/>
  <c r="CP182" i="11"/>
  <c r="CL182" i="11"/>
  <c r="CO182" i="11"/>
  <c r="CA182" i="11"/>
  <c r="AY182" i="11" s="1"/>
  <c r="DV182" i="11"/>
  <c r="DU182" i="11"/>
  <c r="CB28" i="11"/>
  <c r="DG28" i="11"/>
  <c r="CB38" i="11"/>
  <c r="DH38" i="11"/>
  <c r="CA39" i="11"/>
  <c r="DG39" i="11"/>
  <c r="CB42" i="11"/>
  <c r="DH42" i="11"/>
  <c r="CA43" i="11"/>
  <c r="DF43" i="11"/>
  <c r="CB44" i="11"/>
  <c r="DH44" i="11"/>
  <c r="CA45" i="11"/>
  <c r="DH45" i="11"/>
  <c r="CB46" i="11"/>
  <c r="DH46" i="11"/>
  <c r="CA47" i="11"/>
  <c r="DF47" i="11"/>
  <c r="CB48" i="11"/>
  <c r="DI48" i="11"/>
  <c r="CA51" i="11"/>
  <c r="DF51" i="11"/>
  <c r="CB52" i="11"/>
  <c r="DG52" i="11"/>
  <c r="CB58" i="11"/>
  <c r="DH58" i="11"/>
  <c r="CA59" i="11"/>
  <c r="DG59" i="11"/>
  <c r="CB62" i="11"/>
  <c r="DH62" i="11"/>
  <c r="CA63" i="11"/>
  <c r="DG63" i="11"/>
  <c r="CA71" i="11"/>
  <c r="DH71" i="11"/>
  <c r="CB72" i="11"/>
  <c r="DG72" i="11"/>
  <c r="CA79" i="11"/>
  <c r="DG79" i="11"/>
  <c r="CB82" i="11"/>
  <c r="DH82" i="11"/>
  <c r="CA83" i="11"/>
  <c r="DG83" i="11"/>
  <c r="CB86" i="11"/>
  <c r="DH86" i="11"/>
  <c r="CA87" i="11"/>
  <c r="DF87" i="11"/>
  <c r="CB88" i="11"/>
  <c r="DH88" i="11"/>
  <c r="CA89" i="11"/>
  <c r="DH89" i="11"/>
  <c r="CB90" i="11"/>
  <c r="DH90" i="11"/>
  <c r="CA91" i="11"/>
  <c r="DF91" i="11"/>
  <c r="CB92" i="11"/>
  <c r="DI92" i="11"/>
  <c r="CA95" i="11"/>
  <c r="DF95" i="11"/>
  <c r="CB96" i="11"/>
  <c r="DG96" i="11"/>
  <c r="CB102" i="11"/>
  <c r="DH102" i="11"/>
  <c r="CA103" i="11"/>
  <c r="DG103" i="11"/>
  <c r="CB106" i="11"/>
  <c r="DH106" i="11"/>
  <c r="CA107" i="11"/>
  <c r="DG107" i="11"/>
  <c r="CA115" i="11"/>
  <c r="DH115" i="11"/>
  <c r="CB116" i="11"/>
  <c r="DG116" i="11"/>
  <c r="CA123" i="11"/>
  <c r="DG123" i="11"/>
  <c r="CB126" i="11"/>
  <c r="DH126" i="11"/>
  <c r="CA127" i="11"/>
  <c r="DG127" i="11"/>
  <c r="CB130" i="11"/>
  <c r="DH130" i="11"/>
  <c r="CA131" i="11"/>
  <c r="DF131" i="11"/>
  <c r="CB132" i="11"/>
  <c r="DH132" i="11"/>
  <c r="CA133" i="11"/>
  <c r="DH133" i="11"/>
  <c r="CB134" i="11"/>
  <c r="DH134" i="11"/>
  <c r="CA135" i="11"/>
  <c r="DF135" i="11"/>
  <c r="CB136" i="11"/>
  <c r="DI136" i="11"/>
  <c r="CA139" i="11"/>
  <c r="DF139" i="11"/>
  <c r="CB140" i="11"/>
  <c r="DG140" i="11"/>
  <c r="CN161" i="11"/>
  <c r="DR161" i="11"/>
  <c r="CA163" i="11"/>
  <c r="CM163" i="11"/>
  <c r="DR164" i="11"/>
  <c r="CN164" i="11"/>
  <c r="CI164" i="11"/>
  <c r="CO164" i="11"/>
  <c r="DN164" i="11"/>
  <c r="DT164" i="11"/>
  <c r="CM165" i="11"/>
  <c r="DS165" i="11"/>
  <c r="DN165" i="11"/>
  <c r="CK165" i="11"/>
  <c r="CN165" i="11"/>
  <c r="DP165" i="11"/>
  <c r="DS167" i="11"/>
  <c r="DN167" i="11"/>
  <c r="CK167" i="11"/>
  <c r="CM167" i="11"/>
  <c r="CQ168" i="11"/>
  <c r="CA172" i="11"/>
  <c r="DU172" i="11"/>
  <c r="CN173" i="11"/>
  <c r="CA174" i="11"/>
  <c r="AY174" i="11" s="1"/>
  <c r="CQ174" i="11"/>
  <c r="DS175" i="11"/>
  <c r="DN175" i="11"/>
  <c r="CK175" i="11"/>
  <c r="CM175" i="11"/>
  <c r="CQ176" i="11"/>
  <c r="CI177" i="11"/>
  <c r="DP179" i="11"/>
  <c r="CA180" i="11"/>
  <c r="DQ182" i="11"/>
  <c r="CB39" i="11"/>
  <c r="DH39" i="11"/>
  <c r="CB43" i="11"/>
  <c r="DG43" i="11"/>
  <c r="CB45" i="11"/>
  <c r="DI45" i="11"/>
  <c r="CB47" i="11"/>
  <c r="DG47" i="11"/>
  <c r="CB51" i="11"/>
  <c r="DG51" i="11"/>
  <c r="CB59" i="11"/>
  <c r="DH59" i="11"/>
  <c r="CB63" i="11"/>
  <c r="DH63" i="11"/>
  <c r="CB71" i="11"/>
  <c r="DI71" i="11"/>
  <c r="CB79" i="11"/>
  <c r="DH79" i="11"/>
  <c r="CB83" i="11"/>
  <c r="DH83" i="11"/>
  <c r="CB87" i="11"/>
  <c r="DG87" i="11"/>
  <c r="CB89" i="11"/>
  <c r="DI89" i="11"/>
  <c r="CB91" i="11"/>
  <c r="DG91" i="11"/>
  <c r="CB95" i="11"/>
  <c r="DG95" i="11"/>
  <c r="CB103" i="11"/>
  <c r="DH103" i="11"/>
  <c r="CB107" i="11"/>
  <c r="DH107" i="11"/>
  <c r="CB115" i="11"/>
  <c r="DI115" i="11"/>
  <c r="CB123" i="11"/>
  <c r="DH123" i="11"/>
  <c r="CB127" i="11"/>
  <c r="DH127" i="11"/>
  <c r="CB131" i="11"/>
  <c r="DG131" i="11"/>
  <c r="CB133" i="11"/>
  <c r="DI133" i="11"/>
  <c r="CB135" i="11"/>
  <c r="DG135" i="11"/>
  <c r="CB139" i="11"/>
  <c r="DG139" i="11"/>
  <c r="CI161" i="11"/>
  <c r="DS161" i="11"/>
  <c r="DS163" i="11"/>
  <c r="DN163" i="11"/>
  <c r="CN163" i="11"/>
  <c r="CI163" i="11"/>
  <c r="CP164" i="11"/>
  <c r="DF164" i="11"/>
  <c r="DU164" i="11"/>
  <c r="DV168" i="11"/>
  <c r="DT168" i="11"/>
  <c r="DF168" i="11"/>
  <c r="CP168" i="11"/>
  <c r="CL168" i="11"/>
  <c r="DV170" i="11"/>
  <c r="CP170" i="11"/>
  <c r="CL170" i="11"/>
  <c r="DT170" i="11"/>
  <c r="DF170" i="11"/>
  <c r="CO170" i="11"/>
  <c r="DU170" i="11"/>
  <c r="CO172" i="11"/>
  <c r="CM173" i="11"/>
  <c r="DS173" i="11"/>
  <c r="DN173" i="11"/>
  <c r="CK173" i="11"/>
  <c r="CA173" i="11"/>
  <c r="DF173" i="11"/>
  <c r="DR173" i="11"/>
  <c r="DU174" i="11"/>
  <c r="CI175" i="11"/>
  <c r="DV176" i="11"/>
  <c r="DT176" i="11"/>
  <c r="DF176" i="11"/>
  <c r="CP176" i="11"/>
  <c r="CL176" i="11"/>
  <c r="DT178" i="11"/>
  <c r="DF178" i="11"/>
  <c r="CP178" i="11"/>
  <c r="CL178" i="11"/>
  <c r="AY178" i="11" s="1"/>
  <c r="DV178" i="11"/>
  <c r="CO178" i="11"/>
  <c r="CN179" i="11"/>
  <c r="DF179" i="11"/>
  <c r="CO180" i="11"/>
  <c r="CA13" i="11"/>
  <c r="AX13" i="11" s="1"/>
  <c r="DG13" i="11"/>
  <c r="B311" i="11" s="1"/>
  <c r="D14" i="29" s="1"/>
  <c r="CB16" i="11"/>
  <c r="AX16" i="11" s="1"/>
  <c r="CA17" i="11"/>
  <c r="AX17" i="11" s="1"/>
  <c r="CB20" i="11"/>
  <c r="AX20" i="11" s="1"/>
  <c r="CA21" i="11"/>
  <c r="AX21" i="11" s="1"/>
  <c r="CB22" i="11"/>
  <c r="AX22" i="11" s="1"/>
  <c r="CA23" i="11"/>
  <c r="AX23" i="11" s="1"/>
  <c r="CB24" i="11"/>
  <c r="AX24" i="11" s="1"/>
  <c r="CA25" i="11"/>
  <c r="AX25" i="11" s="1"/>
  <c r="CB26" i="11"/>
  <c r="AX26" i="11" s="1"/>
  <c r="CD28" i="11"/>
  <c r="CA29" i="11"/>
  <c r="AX29" i="11" s="1"/>
  <c r="CB30" i="11"/>
  <c r="AX30" i="11" s="1"/>
  <c r="CB36" i="11"/>
  <c r="AX36" i="11" s="1"/>
  <c r="CA37" i="11"/>
  <c r="AX37" i="11" s="1"/>
  <c r="CD38" i="11"/>
  <c r="CC39" i="11"/>
  <c r="CB40" i="11"/>
  <c r="AX40" i="11" s="1"/>
  <c r="CA41" i="11"/>
  <c r="AX41" i="11" s="1"/>
  <c r="CD42" i="11"/>
  <c r="CC43" i="11"/>
  <c r="CD44" i="11"/>
  <c r="CC45" i="11"/>
  <c r="CD46" i="11"/>
  <c r="CC47" i="11"/>
  <c r="CD48" i="11"/>
  <c r="CA49" i="11"/>
  <c r="AX49" i="11" s="1"/>
  <c r="CB50" i="11"/>
  <c r="AX50" i="11" s="1"/>
  <c r="CC51" i="11"/>
  <c r="CD52" i="11"/>
  <c r="CA57" i="11"/>
  <c r="AX57" i="11" s="1"/>
  <c r="CD58" i="11"/>
  <c r="CC59" i="11"/>
  <c r="CB60" i="11"/>
  <c r="AX60" i="11" s="1"/>
  <c r="CA61" i="11"/>
  <c r="AX61" i="11" s="1"/>
  <c r="CD62" i="11"/>
  <c r="CC63" i="11"/>
  <c r="CB64" i="11"/>
  <c r="AX64" i="11" s="1"/>
  <c r="CA65" i="11"/>
  <c r="AX65" i="11" s="1"/>
  <c r="CB66" i="11"/>
  <c r="AX66" i="11" s="1"/>
  <c r="CA67" i="11"/>
  <c r="AX67" i="11" s="1"/>
  <c r="CB68" i="11"/>
  <c r="AX68" i="11" s="1"/>
  <c r="CA69" i="11"/>
  <c r="AX69" i="11" s="1"/>
  <c r="CB70" i="11"/>
  <c r="AX70" i="11" s="1"/>
  <c r="CC71" i="11"/>
  <c r="CD72" i="11"/>
  <c r="CA73" i="11"/>
  <c r="AX73" i="11" s="1"/>
  <c r="CB74" i="11"/>
  <c r="AX74" i="11" s="1"/>
  <c r="CC79" i="11"/>
  <c r="CB80" i="11"/>
  <c r="AX80" i="11" s="1"/>
  <c r="CA81" i="11"/>
  <c r="AX81" i="11" s="1"/>
  <c r="CD82" i="11"/>
  <c r="CC83" i="11"/>
  <c r="CB84" i="11"/>
  <c r="AX84" i="11" s="1"/>
  <c r="CA85" i="11"/>
  <c r="AX85" i="11" s="1"/>
  <c r="CD86" i="11"/>
  <c r="CC87" i="11"/>
  <c r="CD88" i="11"/>
  <c r="CC89" i="11"/>
  <c r="CD90" i="11"/>
  <c r="CC91" i="11"/>
  <c r="CD92" i="11"/>
  <c r="CB94" i="11"/>
  <c r="AX94" i="11" s="1"/>
  <c r="CC95" i="11"/>
  <c r="CD96" i="11"/>
  <c r="CA101" i="11"/>
  <c r="AX101" i="11" s="1"/>
  <c r="CD102" i="11"/>
  <c r="CC103" i="11"/>
  <c r="CB104" i="11"/>
  <c r="AX104" i="11" s="1"/>
  <c r="CA105" i="11"/>
  <c r="AX105" i="11" s="1"/>
  <c r="CD106" i="11"/>
  <c r="CC107" i="11"/>
  <c r="CB108" i="11"/>
  <c r="AX108" i="11" s="1"/>
  <c r="CA109" i="11"/>
  <c r="AX109" i="11" s="1"/>
  <c r="CB110" i="11"/>
  <c r="AX110" i="11" s="1"/>
  <c r="CA111" i="11"/>
  <c r="AX111" i="11" s="1"/>
  <c r="CB112" i="11"/>
  <c r="AX112" i="11" s="1"/>
  <c r="CA113" i="11"/>
  <c r="AX113" i="11" s="1"/>
  <c r="CB114" i="11"/>
  <c r="AX114" i="11" s="1"/>
  <c r="CC115" i="11"/>
  <c r="CD116" i="11"/>
  <c r="CA117" i="11"/>
  <c r="AX117" i="11" s="1"/>
  <c r="CB118" i="11"/>
  <c r="AX118" i="11" s="1"/>
  <c r="CC123" i="11"/>
  <c r="CB124" i="11"/>
  <c r="AX124" i="11" s="1"/>
  <c r="CA125" i="11"/>
  <c r="AX125" i="11" s="1"/>
  <c r="CD126" i="11"/>
  <c r="CC127" i="11"/>
  <c r="CB128" i="11"/>
  <c r="AX128" i="11" s="1"/>
  <c r="CA129" i="11"/>
  <c r="AX129" i="11" s="1"/>
  <c r="CD130" i="11"/>
  <c r="CC131" i="11"/>
  <c r="CD132" i="11"/>
  <c r="CC133" i="11"/>
  <c r="CD134" i="11"/>
  <c r="CC135" i="11"/>
  <c r="CD136" i="11"/>
  <c r="CA137" i="11"/>
  <c r="AX137" i="11" s="1"/>
  <c r="CB138" i="11"/>
  <c r="AX138" i="11" s="1"/>
  <c r="CC139" i="11"/>
  <c r="CD140" i="11"/>
  <c r="DU161" i="11"/>
  <c r="DQ161" i="11"/>
  <c r="DF161" i="11"/>
  <c r="CP161" i="11"/>
  <c r="CL161" i="11"/>
  <c r="CA161" i="11"/>
  <c r="AY161" i="11" s="1"/>
  <c r="CK161" i="11"/>
  <c r="CQ161" i="11"/>
  <c r="DT161" i="11"/>
  <c r="DU162" i="11"/>
  <c r="CK163" i="11"/>
  <c r="DF163" i="11"/>
  <c r="DR163" i="11"/>
  <c r="CA164" i="11"/>
  <c r="AY164" i="11" s="1"/>
  <c r="CL164" i="11"/>
  <c r="CQ164" i="11"/>
  <c r="DQ164" i="11"/>
  <c r="CI165" i="11"/>
  <c r="AY165" i="11" s="1"/>
  <c r="DQ166" i="11"/>
  <c r="DP167" i="11"/>
  <c r="CA168" i="11"/>
  <c r="DQ168" i="11"/>
  <c r="CN169" i="11"/>
  <c r="DP169" i="11"/>
  <c r="CA170" i="11"/>
  <c r="CQ170" i="11"/>
  <c r="CK171" i="11"/>
  <c r="DS171" i="11"/>
  <c r="DN171" i="11"/>
  <c r="CM171" i="11"/>
  <c r="DP171" i="11"/>
  <c r="CQ172" i="11"/>
  <c r="DQ172" i="11"/>
  <c r="DQ174" i="11"/>
  <c r="DP175" i="11"/>
  <c r="CN177" i="11"/>
  <c r="DP177" i="11"/>
  <c r="DS179" i="11"/>
  <c r="DN179" i="11"/>
  <c r="CK179" i="11"/>
  <c r="CM179" i="11"/>
  <c r="DS183" i="11"/>
  <c r="DN183" i="11"/>
  <c r="CK183" i="11"/>
  <c r="DR183" i="11"/>
  <c r="CN183" i="11"/>
  <c r="CI183" i="11"/>
  <c r="CM183" i="11"/>
  <c r="DF183" i="11"/>
  <c r="CQ167" i="11"/>
  <c r="DQ167" i="11"/>
  <c r="DU167" i="11"/>
  <c r="DP168" i="11"/>
  <c r="CQ171" i="11"/>
  <c r="DR172" i="11"/>
  <c r="CQ175" i="11"/>
  <c r="DQ175" i="11"/>
  <c r="DU175" i="11"/>
  <c r="DP176" i="11"/>
  <c r="CQ179" i="11"/>
  <c r="DQ179" i="11"/>
  <c r="DU179" i="11"/>
  <c r="DP180" i="11"/>
  <c r="CA181" i="11"/>
  <c r="CK181" i="11"/>
  <c r="DN181" i="11"/>
  <c r="DS181" i="11"/>
  <c r="CQ183" i="11"/>
  <c r="DQ183" i="11"/>
  <c r="DU183" i="11"/>
  <c r="CM188" i="11"/>
  <c r="CQ188" i="11"/>
  <c r="DR188" i="11"/>
  <c r="DV188" i="11"/>
  <c r="CI189" i="11"/>
  <c r="CN189" i="11"/>
  <c r="DN189" i="11"/>
  <c r="DS189" i="11"/>
  <c r="CP190" i="11"/>
  <c r="DF190" i="11"/>
  <c r="CL191" i="11"/>
  <c r="CQ191" i="11"/>
  <c r="CA192" i="11"/>
  <c r="CL192" i="11"/>
  <c r="CQ192" i="11"/>
  <c r="DQ192" i="11"/>
  <c r="DT194" i="11"/>
  <c r="DF194" i="11"/>
  <c r="CP194" i="11"/>
  <c r="CL194" i="11"/>
  <c r="DQ194" i="11"/>
  <c r="DV194" i="11"/>
  <c r="CO195" i="11"/>
  <c r="CA195" i="11"/>
  <c r="CI195" i="11"/>
  <c r="CP195" i="11"/>
  <c r="DF195" i="11"/>
  <c r="DQ195" i="11"/>
  <c r="DV195" i="11"/>
  <c r="CK196" i="11"/>
  <c r="DV198" i="11"/>
  <c r="CP198" i="11"/>
  <c r="CL198" i="11"/>
  <c r="DU198" i="11"/>
  <c r="DQ198" i="11"/>
  <c r="CO198" i="11"/>
  <c r="CA198" i="11"/>
  <c r="AY198" i="11" s="1"/>
  <c r="CQ198" i="11"/>
  <c r="CK199" i="11"/>
  <c r="DP199" i="11"/>
  <c r="CN199" i="11"/>
  <c r="CI199" i="11"/>
  <c r="DS199" i="11"/>
  <c r="CO203" i="11"/>
  <c r="CA203" i="11"/>
  <c r="DV203" i="11"/>
  <c r="CM203" i="11"/>
  <c r="DP203" i="11"/>
  <c r="CO207" i="11"/>
  <c r="CA207" i="11"/>
  <c r="DV207" i="11"/>
  <c r="CM207" i="11"/>
  <c r="DP207" i="11"/>
  <c r="CA215" i="11"/>
  <c r="DG215" i="11"/>
  <c r="CA219" i="11"/>
  <c r="DG219" i="11"/>
  <c r="CA227" i="11"/>
  <c r="DG227" i="11"/>
  <c r="CA231" i="11"/>
  <c r="DG231" i="11"/>
  <c r="DT245" i="11"/>
  <c r="DF245" i="11"/>
  <c r="CP245" i="11"/>
  <c r="CL245" i="11"/>
  <c r="CO245" i="11"/>
  <c r="CA245" i="11"/>
  <c r="DV245" i="11"/>
  <c r="CQ245" i="11"/>
  <c r="DS248" i="11"/>
  <c r="DN248" i="11"/>
  <c r="CK248" i="11"/>
  <c r="CA248" i="11"/>
  <c r="DR248" i="11"/>
  <c r="CN248" i="11"/>
  <c r="CI248" i="11"/>
  <c r="CM248" i="11"/>
  <c r="DP248" i="11"/>
  <c r="DQ249" i="11"/>
  <c r="DG264" i="11"/>
  <c r="DF264" i="11"/>
  <c r="CB264" i="11"/>
  <c r="DG265" i="11"/>
  <c r="DF265" i="11"/>
  <c r="CB265" i="11"/>
  <c r="CG16" i="12"/>
  <c r="N29" i="12"/>
  <c r="E53" i="12"/>
  <c r="CG101" i="12"/>
  <c r="CB101" i="12"/>
  <c r="CA101" i="12"/>
  <c r="CN20" i="13"/>
  <c r="CJ20" i="13"/>
  <c r="CD20" i="13"/>
  <c r="CM20" i="13"/>
  <c r="CH20" i="13"/>
  <c r="CQ20" i="13"/>
  <c r="CG20" i="13"/>
  <c r="CE20" i="13"/>
  <c r="CB27" i="13"/>
  <c r="CK27" i="13"/>
  <c r="CN34" i="13"/>
  <c r="CJ34" i="13"/>
  <c r="CD34" i="13"/>
  <c r="CM34" i="13"/>
  <c r="CH34" i="13"/>
  <c r="CQ34" i="13"/>
  <c r="CG34" i="13"/>
  <c r="CP34" i="13"/>
  <c r="CA34" i="13"/>
  <c r="CE34" i="13"/>
  <c r="CB49" i="13"/>
  <c r="CK49" i="13"/>
  <c r="CN52" i="13"/>
  <c r="CJ52" i="13"/>
  <c r="CD52" i="13"/>
  <c r="CM52" i="13"/>
  <c r="CH52" i="13"/>
  <c r="CQ52" i="13"/>
  <c r="CG52" i="13"/>
  <c r="CE52" i="13"/>
  <c r="CJ129" i="13"/>
  <c r="CA129" i="13"/>
  <c r="P129" i="13" s="1"/>
  <c r="CJ137" i="13"/>
  <c r="CA137" i="13"/>
  <c r="P137" i="13" s="1"/>
  <c r="CJ145" i="13"/>
  <c r="CA145" i="13"/>
  <c r="P145" i="13" s="1"/>
  <c r="B179" i="13"/>
  <c r="D181" i="13"/>
  <c r="C29" i="16"/>
  <c r="E41" i="16"/>
  <c r="CH37" i="16"/>
  <c r="CB37" i="16"/>
  <c r="CG37" i="16"/>
  <c r="CA37" i="16"/>
  <c r="CF37" i="16"/>
  <c r="CC37" i="16"/>
  <c r="D66" i="16"/>
  <c r="B63" i="16"/>
  <c r="DF181" i="11"/>
  <c r="DP181" i="11"/>
  <c r="CK189" i="11"/>
  <c r="DP189" i="11"/>
  <c r="CA190" i="11"/>
  <c r="CL190" i="11"/>
  <c r="CQ190" i="11"/>
  <c r="DT191" i="11"/>
  <c r="DR195" i="11"/>
  <c r="CA196" i="11"/>
  <c r="DN196" i="11"/>
  <c r="DU199" i="11"/>
  <c r="DQ199" i="11"/>
  <c r="CO199" i="11"/>
  <c r="CA199" i="11"/>
  <c r="DT199" i="11"/>
  <c r="DF199" i="11"/>
  <c r="DV199" i="11"/>
  <c r="CB215" i="11"/>
  <c r="DJ215" i="11"/>
  <c r="CB219" i="11"/>
  <c r="DJ219" i="11"/>
  <c r="CB227" i="11"/>
  <c r="DJ227" i="11"/>
  <c r="CB231" i="11"/>
  <c r="DJ231" i="11"/>
  <c r="DV239" i="11"/>
  <c r="CQ239" i="11"/>
  <c r="DU239" i="11"/>
  <c r="DQ239" i="11"/>
  <c r="DF239" i="11"/>
  <c r="CP239" i="11"/>
  <c r="CL239" i="11"/>
  <c r="CA239" i="11"/>
  <c r="DT239" i="11"/>
  <c r="CO239" i="11"/>
  <c r="DT241" i="11"/>
  <c r="DF241" i="11"/>
  <c r="CP241" i="11"/>
  <c r="CL241" i="11"/>
  <c r="CO241" i="11"/>
  <c r="CA241" i="11"/>
  <c r="DV241" i="11"/>
  <c r="CQ241" i="11"/>
  <c r="DS244" i="11"/>
  <c r="DN244" i="11"/>
  <c r="CK244" i="11"/>
  <c r="CA244" i="11"/>
  <c r="DR244" i="11"/>
  <c r="CN244" i="11"/>
  <c r="CI244" i="11"/>
  <c r="CM244" i="11"/>
  <c r="DP244" i="11"/>
  <c r="DT257" i="11"/>
  <c r="DF257" i="11"/>
  <c r="CP257" i="11"/>
  <c r="CL257" i="11"/>
  <c r="CO257" i="11"/>
  <c r="CA257" i="11"/>
  <c r="DV257" i="11"/>
  <c r="CQ257" i="11"/>
  <c r="CH101" i="12"/>
  <c r="CP14" i="13"/>
  <c r="CP16" i="13"/>
  <c r="CB19" i="13"/>
  <c r="CK19" i="13"/>
  <c r="CN26" i="13"/>
  <c r="CJ26" i="13"/>
  <c r="CD26" i="13"/>
  <c r="CM26" i="13"/>
  <c r="CH26" i="13"/>
  <c r="CQ26" i="13"/>
  <c r="CG26" i="13"/>
  <c r="CP26" i="13"/>
  <c r="CA26" i="13"/>
  <c r="CE26" i="13"/>
  <c r="CP28" i="13"/>
  <c r="CB41" i="13"/>
  <c r="CK41" i="13"/>
  <c r="CN44" i="13"/>
  <c r="CJ44" i="13"/>
  <c r="CD44" i="13"/>
  <c r="AV44" i="13" s="1"/>
  <c r="CM44" i="13"/>
  <c r="CH44" i="13"/>
  <c r="CQ44" i="13"/>
  <c r="CG44" i="13"/>
  <c r="CE44" i="13"/>
  <c r="CB51" i="13"/>
  <c r="CK51" i="13"/>
  <c r="CK58" i="13"/>
  <c r="CB58" i="13"/>
  <c r="CK60" i="13"/>
  <c r="CB60" i="13"/>
  <c r="CK62" i="13"/>
  <c r="CB62" i="13"/>
  <c r="CK64" i="13"/>
  <c r="CB64" i="13"/>
  <c r="CK66" i="13"/>
  <c r="CB66" i="13"/>
  <c r="CK68" i="13"/>
  <c r="CB68" i="13"/>
  <c r="CK70" i="13"/>
  <c r="CB70" i="13"/>
  <c r="CK72" i="13"/>
  <c r="CB72" i="13"/>
  <c r="CB75" i="13"/>
  <c r="C75" i="13"/>
  <c r="CK75" i="13"/>
  <c r="CK96" i="13"/>
  <c r="CB96" i="13"/>
  <c r="C96" i="13"/>
  <c r="CK100" i="13"/>
  <c r="CB100" i="13"/>
  <c r="C100" i="13"/>
  <c r="CK104" i="13"/>
  <c r="CB104" i="13"/>
  <c r="C104" i="13"/>
  <c r="CL124" i="13"/>
  <c r="CC124" i="13"/>
  <c r="CJ135" i="13"/>
  <c r="CA135" i="13"/>
  <c r="P135" i="13" s="1"/>
  <c r="CJ143" i="13"/>
  <c r="CA143" i="13"/>
  <c r="P143" i="13" s="1"/>
  <c r="CM162" i="11"/>
  <c r="AY162" i="11" s="1"/>
  <c r="CQ165" i="11"/>
  <c r="DQ165" i="11"/>
  <c r="CA167" i="11"/>
  <c r="AY167" i="11" s="1"/>
  <c r="CI168" i="11"/>
  <c r="CN168" i="11"/>
  <c r="CQ169" i="11"/>
  <c r="DQ169" i="11"/>
  <c r="CA171" i="11"/>
  <c r="CO171" i="11"/>
  <c r="DQ171" i="11"/>
  <c r="CI172" i="11"/>
  <c r="CN172" i="11"/>
  <c r="CQ173" i="11"/>
  <c r="DQ173" i="11"/>
  <c r="CA175" i="11"/>
  <c r="AY175" i="11" s="1"/>
  <c r="CI176" i="11"/>
  <c r="AY176" i="11" s="1"/>
  <c r="CN176" i="11"/>
  <c r="CQ177" i="11"/>
  <c r="DQ177" i="11"/>
  <c r="CA179" i="11"/>
  <c r="AY179" i="11" s="1"/>
  <c r="CI180" i="11"/>
  <c r="CN180" i="11"/>
  <c r="CQ181" i="11"/>
  <c r="DQ181" i="11"/>
  <c r="CA183" i="11"/>
  <c r="AY183" i="11" s="1"/>
  <c r="CK188" i="11"/>
  <c r="AY188" i="11" s="1"/>
  <c r="CO188" i="11"/>
  <c r="CA189" i="11"/>
  <c r="CL189" i="11"/>
  <c r="CP189" i="11"/>
  <c r="DF189" i="11"/>
  <c r="DQ189" i="11"/>
  <c r="CM190" i="11"/>
  <c r="DN190" i="11"/>
  <c r="DS191" i="11"/>
  <c r="DN191" i="11"/>
  <c r="CK191" i="11"/>
  <c r="CN191" i="11"/>
  <c r="DP191" i="11"/>
  <c r="DR192" i="11"/>
  <c r="CN192" i="11"/>
  <c r="CI192" i="11"/>
  <c r="CO192" i="11"/>
  <c r="DN192" i="11"/>
  <c r="DT192" i="11"/>
  <c r="DS193" i="11"/>
  <c r="CA194" i="11"/>
  <c r="AY194" i="11" s="1"/>
  <c r="CQ194" i="11"/>
  <c r="DT195" i="11"/>
  <c r="DF196" i="11"/>
  <c r="CP199" i="11"/>
  <c r="DN199" i="11"/>
  <c r="DR200" i="11"/>
  <c r="CN200" i="11"/>
  <c r="CI200" i="11"/>
  <c r="AY200" i="11" s="1"/>
  <c r="CM200" i="11"/>
  <c r="DS200" i="11"/>
  <c r="DT202" i="11"/>
  <c r="DF202" i="11"/>
  <c r="CP202" i="11"/>
  <c r="CL202" i="11"/>
  <c r="CO202" i="11"/>
  <c r="CA202" i="11"/>
  <c r="AY202" i="11" s="1"/>
  <c r="CQ202" i="11"/>
  <c r="CQ203" i="11"/>
  <c r="DT203" i="11"/>
  <c r="DR204" i="11"/>
  <c r="CN204" i="11"/>
  <c r="CI204" i="11"/>
  <c r="AY204" i="11" s="1"/>
  <c r="CM204" i="11"/>
  <c r="DS204" i="11"/>
  <c r="DT206" i="11"/>
  <c r="DF206" i="11"/>
  <c r="CP206" i="11"/>
  <c r="CL206" i="11"/>
  <c r="CO206" i="11"/>
  <c r="CA206" i="11"/>
  <c r="CQ206" i="11"/>
  <c r="CQ207" i="11"/>
  <c r="DT207" i="11"/>
  <c r="DR208" i="11"/>
  <c r="CN208" i="11"/>
  <c r="CI208" i="11"/>
  <c r="AY208" i="11" s="1"/>
  <c r="CM208" i="11"/>
  <c r="DS208" i="11"/>
  <c r="DT210" i="11"/>
  <c r="DF210" i="11"/>
  <c r="CP210" i="11"/>
  <c r="CL210" i="11"/>
  <c r="CO210" i="11"/>
  <c r="CA210" i="11"/>
  <c r="AY210" i="11" s="1"/>
  <c r="CQ210" i="11"/>
  <c r="DH216" i="11"/>
  <c r="CD216" i="11"/>
  <c r="DG216" i="11"/>
  <c r="CC216" i="11"/>
  <c r="AR216" i="11" s="1"/>
  <c r="CE216" i="11"/>
  <c r="DH220" i="11"/>
  <c r="CD220" i="11"/>
  <c r="DG220" i="11"/>
  <c r="CC220" i="11"/>
  <c r="AR220" i="11" s="1"/>
  <c r="CE220" i="11"/>
  <c r="DH228" i="11"/>
  <c r="CD228" i="11"/>
  <c r="DG228" i="11"/>
  <c r="CC228" i="11"/>
  <c r="AR228" i="11" s="1"/>
  <c r="CE228" i="11"/>
  <c r="DH232" i="11"/>
  <c r="CD232" i="11"/>
  <c r="DG232" i="11"/>
  <c r="CC232" i="11"/>
  <c r="AR232" i="11" s="1"/>
  <c r="CE232" i="11"/>
  <c r="DV238" i="11"/>
  <c r="CQ238" i="11"/>
  <c r="DU238" i="11"/>
  <c r="DQ238" i="11"/>
  <c r="DF238" i="11"/>
  <c r="CP238" i="11"/>
  <c r="CL238" i="11"/>
  <c r="CA238" i="11"/>
  <c r="DS240" i="11"/>
  <c r="DN240" i="11"/>
  <c r="CK240" i="11"/>
  <c r="CA240" i="11"/>
  <c r="DR240" i="11"/>
  <c r="CN240" i="11"/>
  <c r="CI240" i="11"/>
  <c r="CM240" i="11"/>
  <c r="DP240" i="11"/>
  <c r="DQ241" i="11"/>
  <c r="DF244" i="11"/>
  <c r="DU245" i="11"/>
  <c r="DT253" i="11"/>
  <c r="DF253" i="11"/>
  <c r="CP253" i="11"/>
  <c r="CL253" i="11"/>
  <c r="CO253" i="11"/>
  <c r="CA253" i="11"/>
  <c r="DV253" i="11"/>
  <c r="CQ253" i="11"/>
  <c r="DS256" i="11"/>
  <c r="DN256" i="11"/>
  <c r="CK256" i="11"/>
  <c r="CA256" i="11"/>
  <c r="DR256" i="11"/>
  <c r="CN256" i="11"/>
  <c r="CI256" i="11"/>
  <c r="CM256" i="11"/>
  <c r="DP256" i="11"/>
  <c r="DQ257" i="11"/>
  <c r="CA272" i="11"/>
  <c r="AM272" i="11" s="1"/>
  <c r="DG272" i="11"/>
  <c r="DF272" i="11"/>
  <c r="N12" i="12"/>
  <c r="N19" i="12"/>
  <c r="N27" i="12"/>
  <c r="N31" i="12"/>
  <c r="E96" i="12"/>
  <c r="CG112" i="12"/>
  <c r="CB112" i="12"/>
  <c r="CA112" i="12"/>
  <c r="CN18" i="13"/>
  <c r="CJ18" i="13"/>
  <c r="CD18" i="13"/>
  <c r="AV18" i="13" s="1"/>
  <c r="CM18" i="13"/>
  <c r="CH18" i="13"/>
  <c r="CQ18" i="13"/>
  <c r="CG18" i="13"/>
  <c r="CP18" i="13"/>
  <c r="CE18" i="13"/>
  <c r="CP20" i="13"/>
  <c r="CB33" i="13"/>
  <c r="CK33" i="13"/>
  <c r="CN36" i="13"/>
  <c r="CJ36" i="13"/>
  <c r="CD36" i="13"/>
  <c r="AV36" i="13" s="1"/>
  <c r="CM36" i="13"/>
  <c r="CH36" i="13"/>
  <c r="CQ36" i="13"/>
  <c r="CG36" i="13"/>
  <c r="CE36" i="13"/>
  <c r="CB43" i="13"/>
  <c r="CK43" i="13"/>
  <c r="CN50" i="13"/>
  <c r="CJ50" i="13"/>
  <c r="CD50" i="13"/>
  <c r="CM50" i="13"/>
  <c r="CH50" i="13"/>
  <c r="CQ50" i="13"/>
  <c r="CG50" i="13"/>
  <c r="CP50" i="13"/>
  <c r="CA50" i="13"/>
  <c r="CE50" i="13"/>
  <c r="CP52" i="13"/>
  <c r="CM189" i="11"/>
  <c r="DT190" i="11"/>
  <c r="CO190" i="11"/>
  <c r="DQ190" i="11"/>
  <c r="DV190" i="11"/>
  <c r="CO191" i="11"/>
  <c r="CA191" i="11"/>
  <c r="AY191" i="11" s="1"/>
  <c r="CP191" i="11"/>
  <c r="DF191" i="11"/>
  <c r="DQ191" i="11"/>
  <c r="DV191" i="11"/>
  <c r="CP192" i="11"/>
  <c r="DF192" i="11"/>
  <c r="DU192" i="11"/>
  <c r="DS195" i="11"/>
  <c r="DN195" i="11"/>
  <c r="CK195" i="11"/>
  <c r="CN195" i="11"/>
  <c r="DP195" i="11"/>
  <c r="DR196" i="11"/>
  <c r="CN196" i="11"/>
  <c r="CI196" i="11"/>
  <c r="CM196" i="11"/>
  <c r="DS196" i="11"/>
  <c r="DS203" i="11"/>
  <c r="DN203" i="11"/>
  <c r="CK203" i="11"/>
  <c r="DR203" i="11"/>
  <c r="CN203" i="11"/>
  <c r="CI203" i="11"/>
  <c r="DS207" i="11"/>
  <c r="DN207" i="11"/>
  <c r="CK207" i="11"/>
  <c r="DR207" i="11"/>
  <c r="CN207" i="11"/>
  <c r="CI207" i="11"/>
  <c r="DI215" i="11"/>
  <c r="CE215" i="11"/>
  <c r="DH215" i="11"/>
  <c r="CD215" i="11"/>
  <c r="DF215" i="11"/>
  <c r="DF218" i="11"/>
  <c r="CA218" i="11"/>
  <c r="DI219" i="11"/>
  <c r="CE219" i="11"/>
  <c r="DH219" i="11"/>
  <c r="CD219" i="11"/>
  <c r="DF219" i="11"/>
  <c r="DF226" i="11"/>
  <c r="CA226" i="11"/>
  <c r="DI227" i="11"/>
  <c r="CE227" i="11"/>
  <c r="DH227" i="11"/>
  <c r="CD227" i="11"/>
  <c r="DF227" i="11"/>
  <c r="DF230" i="11"/>
  <c r="CA230" i="11"/>
  <c r="DI231" i="11"/>
  <c r="CE231" i="11"/>
  <c r="DH231" i="11"/>
  <c r="CD231" i="11"/>
  <c r="DF231" i="11"/>
  <c r="DT249" i="11"/>
  <c r="DF249" i="11"/>
  <c r="CP249" i="11"/>
  <c r="CL249" i="11"/>
  <c r="CO249" i="11"/>
  <c r="CA249" i="11"/>
  <c r="DV249" i="11"/>
  <c r="CQ249" i="11"/>
  <c r="DS252" i="11"/>
  <c r="DN252" i="11"/>
  <c r="CK252" i="11"/>
  <c r="CA252" i="11"/>
  <c r="DR252" i="11"/>
  <c r="CN252" i="11"/>
  <c r="CI252" i="11"/>
  <c r="CM252" i="11"/>
  <c r="DP252" i="11"/>
  <c r="AE264" i="11"/>
  <c r="AE265" i="11"/>
  <c r="CA271" i="11"/>
  <c r="AM271" i="11" s="1"/>
  <c r="DG271" i="11"/>
  <c r="DF271" i="11"/>
  <c r="CB16" i="12"/>
  <c r="CA16" i="12"/>
  <c r="CH16" i="12"/>
  <c r="CG105" i="12"/>
  <c r="CB105" i="12"/>
  <c r="CA105" i="12"/>
  <c r="CB13" i="13"/>
  <c r="CK13" i="13"/>
  <c r="CN14" i="13"/>
  <c r="CJ14" i="13"/>
  <c r="CD14" i="13"/>
  <c r="AV14" i="13" s="1"/>
  <c r="CM14" i="13"/>
  <c r="CH14" i="13"/>
  <c r="CQ14" i="13"/>
  <c r="CG14" i="13"/>
  <c r="CE14" i="13"/>
  <c r="CB15" i="13"/>
  <c r="CK15" i="13"/>
  <c r="CN16" i="13"/>
  <c r="CJ16" i="13"/>
  <c r="CD16" i="13"/>
  <c r="AV16" i="13" s="1"/>
  <c r="CM16" i="13"/>
  <c r="CH16" i="13"/>
  <c r="CQ16" i="13"/>
  <c r="CG16" i="13"/>
  <c r="CE16" i="13"/>
  <c r="CB17" i="13"/>
  <c r="CK17" i="13"/>
  <c r="AV20" i="13"/>
  <c r="CB25" i="13"/>
  <c r="CK25" i="13"/>
  <c r="CN28" i="13"/>
  <c r="CJ28" i="13"/>
  <c r="CD28" i="13"/>
  <c r="AV28" i="13" s="1"/>
  <c r="CM28" i="13"/>
  <c r="CH28" i="13"/>
  <c r="CQ28" i="13"/>
  <c r="CG28" i="13"/>
  <c r="CE28" i="13"/>
  <c r="CB35" i="13"/>
  <c r="CK35" i="13"/>
  <c r="CN42" i="13"/>
  <c r="CJ42" i="13"/>
  <c r="CD42" i="13"/>
  <c r="CM42" i="13"/>
  <c r="CH42" i="13"/>
  <c r="CQ42" i="13"/>
  <c r="CG42" i="13"/>
  <c r="CP42" i="13"/>
  <c r="CA42" i="13"/>
  <c r="CE42" i="13"/>
  <c r="AV52" i="13"/>
  <c r="CK57" i="13"/>
  <c r="CB57" i="13"/>
  <c r="CK59" i="13"/>
  <c r="CB59" i="13"/>
  <c r="CK61" i="13"/>
  <c r="CB61" i="13"/>
  <c r="CK63" i="13"/>
  <c r="CB63" i="13"/>
  <c r="CK65" i="13"/>
  <c r="CB65" i="13"/>
  <c r="CK67" i="13"/>
  <c r="CB67" i="13"/>
  <c r="CK69" i="13"/>
  <c r="CB69" i="13"/>
  <c r="CK71" i="13"/>
  <c r="CB71" i="13"/>
  <c r="CK73" i="13"/>
  <c r="CB73" i="13"/>
  <c r="C79" i="13"/>
  <c r="CL79" i="13"/>
  <c r="CC79" i="13"/>
  <c r="CQ81" i="13"/>
  <c r="CM81" i="13"/>
  <c r="CH81" i="13"/>
  <c r="CD81" i="13"/>
  <c r="CA81" i="13"/>
  <c r="CP81" i="13"/>
  <c r="CE81" i="13"/>
  <c r="CJ81" i="13"/>
  <c r="CG81" i="13"/>
  <c r="CK94" i="13"/>
  <c r="CB94" i="13"/>
  <c r="C94" i="13"/>
  <c r="CK98" i="13"/>
  <c r="CB98" i="13"/>
  <c r="C98" i="13"/>
  <c r="CK102" i="13"/>
  <c r="CB102" i="13"/>
  <c r="C102" i="13"/>
  <c r="CH35" i="16"/>
  <c r="CB35" i="16"/>
  <c r="CG35" i="16"/>
  <c r="CA35" i="16"/>
  <c r="CF35" i="16"/>
  <c r="CC35" i="16"/>
  <c r="CB23" i="13"/>
  <c r="CK23" i="13"/>
  <c r="CN24" i="13"/>
  <c r="CJ24" i="13"/>
  <c r="CD24" i="13"/>
  <c r="CM24" i="13"/>
  <c r="CH24" i="13"/>
  <c r="CQ24" i="13"/>
  <c r="CG24" i="13"/>
  <c r="CB31" i="13"/>
  <c r="CK31" i="13"/>
  <c r="CN32" i="13"/>
  <c r="CJ32" i="13"/>
  <c r="CD32" i="13"/>
  <c r="CM32" i="13"/>
  <c r="CH32" i="13"/>
  <c r="CQ32" i="13"/>
  <c r="CG32" i="13"/>
  <c r="CB39" i="13"/>
  <c r="CK39" i="13"/>
  <c r="CN40" i="13"/>
  <c r="CJ40" i="13"/>
  <c r="CD40" i="13"/>
  <c r="CM40" i="13"/>
  <c r="CH40" i="13"/>
  <c r="CQ40" i="13"/>
  <c r="CG40" i="13"/>
  <c r="CB47" i="13"/>
  <c r="CK47" i="13"/>
  <c r="CN48" i="13"/>
  <c r="CJ48" i="13"/>
  <c r="CD48" i="13"/>
  <c r="CM48" i="13"/>
  <c r="CH48" i="13"/>
  <c r="CQ48" i="13"/>
  <c r="CG48" i="13"/>
  <c r="CB55" i="13"/>
  <c r="CK55" i="13"/>
  <c r="CN56" i="13"/>
  <c r="CJ56" i="13"/>
  <c r="CD56" i="13"/>
  <c r="CM56" i="13"/>
  <c r="CH56" i="13"/>
  <c r="CQ56" i="13"/>
  <c r="CG56" i="13"/>
  <c r="C57" i="13"/>
  <c r="C58" i="13"/>
  <c r="C59" i="13"/>
  <c r="C60" i="13"/>
  <c r="C61" i="13"/>
  <c r="C62" i="13"/>
  <c r="C63" i="13"/>
  <c r="C64" i="13"/>
  <c r="C65" i="13"/>
  <c r="C66" i="13"/>
  <c r="C67" i="13"/>
  <c r="C68" i="13"/>
  <c r="C69" i="13"/>
  <c r="C70" i="13"/>
  <c r="C71" i="13"/>
  <c r="C72" i="13"/>
  <c r="C73" i="13"/>
  <c r="CP76" i="13"/>
  <c r="CA76" i="13"/>
  <c r="CJ76" i="13"/>
  <c r="CE76" i="13"/>
  <c r="CN76" i="13"/>
  <c r="CH76" i="13"/>
  <c r="CD76" i="13"/>
  <c r="CG76" i="13"/>
  <c r="CQ76" i="13"/>
  <c r="C86" i="13"/>
  <c r="CL86" i="13"/>
  <c r="CQ89" i="13"/>
  <c r="CM89" i="13"/>
  <c r="CH89" i="13"/>
  <c r="CD89" i="13"/>
  <c r="CA89" i="13"/>
  <c r="CP89" i="13"/>
  <c r="CE89" i="13"/>
  <c r="CJ89" i="13"/>
  <c r="CL122" i="13"/>
  <c r="CC122" i="13"/>
  <c r="CJ131" i="13"/>
  <c r="CA131" i="13"/>
  <c r="P131" i="13" s="1"/>
  <c r="CJ139" i="13"/>
  <c r="CA139" i="13"/>
  <c r="P139" i="13" s="1"/>
  <c r="CJ147" i="13"/>
  <c r="CA147" i="13"/>
  <c r="P147" i="13" s="1"/>
  <c r="CH33" i="16"/>
  <c r="CB33" i="16"/>
  <c r="CG33" i="16"/>
  <c r="CA33" i="16"/>
  <c r="CF33" i="16"/>
  <c r="CC33" i="16"/>
  <c r="D24" i="18"/>
  <c r="E28" i="18"/>
  <c r="CD31" i="19"/>
  <c r="BZ31" i="19"/>
  <c r="BT31" i="19"/>
  <c r="CG31" i="19"/>
  <c r="CA31" i="19"/>
  <c r="BS31" i="19"/>
  <c r="CF31" i="19"/>
  <c r="BX31" i="19"/>
  <c r="BR31" i="19"/>
  <c r="CC31" i="19"/>
  <c r="BW31" i="19"/>
  <c r="BQ31" i="19"/>
  <c r="CB31" i="19"/>
  <c r="BU31" i="19"/>
  <c r="BZ96" i="19"/>
  <c r="BQ96" i="19"/>
  <c r="V96" i="19" s="1"/>
  <c r="BZ100" i="19"/>
  <c r="BQ100" i="19"/>
  <c r="V100" i="19" s="1"/>
  <c r="BZ104" i="19"/>
  <c r="BQ104" i="19"/>
  <c r="V104" i="19" s="1"/>
  <c r="BZ108" i="19"/>
  <c r="BQ108" i="19"/>
  <c r="V108" i="19" s="1"/>
  <c r="CB21" i="13"/>
  <c r="CK21" i="13"/>
  <c r="CN22" i="13"/>
  <c r="CJ22" i="13"/>
  <c r="CD22" i="13"/>
  <c r="AV22" i="13" s="1"/>
  <c r="CM22" i="13"/>
  <c r="CH22" i="13"/>
  <c r="CQ22" i="13"/>
  <c r="CG22" i="13"/>
  <c r="CA24" i="13"/>
  <c r="AV24" i="13" s="1"/>
  <c r="CP24" i="13"/>
  <c r="CB29" i="13"/>
  <c r="CK29" i="13"/>
  <c r="CN30" i="13"/>
  <c r="CJ30" i="13"/>
  <c r="CD30" i="13"/>
  <c r="AV30" i="13" s="1"/>
  <c r="CM30" i="13"/>
  <c r="CH30" i="13"/>
  <c r="CQ30" i="13"/>
  <c r="CG30" i="13"/>
  <c r="CA32" i="13"/>
  <c r="CP32" i="13"/>
  <c r="CB37" i="13"/>
  <c r="CK37" i="13"/>
  <c r="CN38" i="13"/>
  <c r="CJ38" i="13"/>
  <c r="CD38" i="13"/>
  <c r="AV38" i="13" s="1"/>
  <c r="CM38" i="13"/>
  <c r="CH38" i="13"/>
  <c r="CQ38" i="13"/>
  <c r="CG38" i="13"/>
  <c r="CA40" i="13"/>
  <c r="AV40" i="13" s="1"/>
  <c r="CP40" i="13"/>
  <c r="CB45" i="13"/>
  <c r="CK45" i="13"/>
  <c r="CN46" i="13"/>
  <c r="CJ46" i="13"/>
  <c r="CD46" i="13"/>
  <c r="AV46" i="13" s="1"/>
  <c r="CM46" i="13"/>
  <c r="CH46" i="13"/>
  <c r="CQ46" i="13"/>
  <c r="CG46" i="13"/>
  <c r="CA48" i="13"/>
  <c r="AV48" i="13" s="1"/>
  <c r="CP48" i="13"/>
  <c r="CB53" i="13"/>
  <c r="CK53" i="13"/>
  <c r="CN54" i="13"/>
  <c r="CJ54" i="13"/>
  <c r="CD54" i="13"/>
  <c r="AV54" i="13" s="1"/>
  <c r="CM54" i="13"/>
  <c r="CH54" i="13"/>
  <c r="CQ54" i="13"/>
  <c r="CG54" i="13"/>
  <c r="CA56" i="13"/>
  <c r="AV56" i="13" s="1"/>
  <c r="CP56" i="13"/>
  <c r="C82" i="13"/>
  <c r="CL82" i="13"/>
  <c r="CQ85" i="13"/>
  <c r="CM85" i="13"/>
  <c r="CH85" i="13"/>
  <c r="CD85" i="13"/>
  <c r="CA85" i="13"/>
  <c r="CP85" i="13"/>
  <c r="CE85" i="13"/>
  <c r="CJ85" i="13"/>
  <c r="CK95" i="13"/>
  <c r="CB95" i="13"/>
  <c r="C95" i="13"/>
  <c r="CK97" i="13"/>
  <c r="CB97" i="13"/>
  <c r="C97" i="13"/>
  <c r="CK99" i="13"/>
  <c r="CB99" i="13"/>
  <c r="C99" i="13"/>
  <c r="CK101" i="13"/>
  <c r="CB101" i="13"/>
  <c r="C101" i="13"/>
  <c r="CK103" i="13"/>
  <c r="CB103" i="13"/>
  <c r="C103" i="13"/>
  <c r="CL123" i="13"/>
  <c r="CC123" i="13"/>
  <c r="CJ133" i="13"/>
  <c r="CA133" i="13"/>
  <c r="P133" i="13" s="1"/>
  <c r="CJ141" i="13"/>
  <c r="CA141" i="13"/>
  <c r="P141" i="13" s="1"/>
  <c r="CH31" i="16"/>
  <c r="CB31" i="16"/>
  <c r="CG31" i="16"/>
  <c r="CA31" i="16"/>
  <c r="AS31" i="16" s="1"/>
  <c r="CF31" i="16"/>
  <c r="CC31" i="16"/>
  <c r="CH39" i="16"/>
  <c r="CB39" i="16"/>
  <c r="CG39" i="16"/>
  <c r="CA39" i="16"/>
  <c r="CF39" i="16"/>
  <c r="CC39" i="16"/>
  <c r="CA127" i="16"/>
  <c r="AP127" i="16" s="1"/>
  <c r="CF127" i="16"/>
  <c r="CI29" i="28"/>
  <c r="CA29" i="28"/>
  <c r="AK29" i="28" s="1"/>
  <c r="CI57" i="28"/>
  <c r="CA57" i="28"/>
  <c r="AJ57" i="28" s="1"/>
  <c r="CI88" i="28"/>
  <c r="CA88" i="28"/>
  <c r="W88" i="28" s="1"/>
  <c r="CI94" i="28"/>
  <c r="CA94" i="28"/>
  <c r="W94" i="28" s="1"/>
  <c r="CQ196" i="11"/>
  <c r="DQ196" i="11"/>
  <c r="DU196" i="11"/>
  <c r="DR197" i="11"/>
  <c r="CQ200" i="11"/>
  <c r="DQ200" i="11"/>
  <c r="DU200" i="11"/>
  <c r="DF201" i="11"/>
  <c r="DP201" i="11"/>
  <c r="CQ204" i="11"/>
  <c r="DQ204" i="11"/>
  <c r="DU204" i="11"/>
  <c r="DF205" i="11"/>
  <c r="DP205" i="11"/>
  <c r="CQ208" i="11"/>
  <c r="DQ208" i="11"/>
  <c r="DU208" i="11"/>
  <c r="DF209" i="11"/>
  <c r="DP209" i="11"/>
  <c r="CB217" i="11"/>
  <c r="AR217" i="11" s="1"/>
  <c r="DF217" i="11"/>
  <c r="DJ217" i="11"/>
  <c r="CB221" i="11"/>
  <c r="AR221" i="11" s="1"/>
  <c r="DF221" i="11"/>
  <c r="DJ221" i="11"/>
  <c r="CB229" i="11"/>
  <c r="AR229" i="11" s="1"/>
  <c r="DF229" i="11"/>
  <c r="DJ229" i="11"/>
  <c r="CM237" i="11"/>
  <c r="DR237" i="11"/>
  <c r="CK239" i="11"/>
  <c r="DP239" i="11"/>
  <c r="CQ240" i="11"/>
  <c r="DQ240" i="11"/>
  <c r="DU240" i="11"/>
  <c r="CI241" i="11"/>
  <c r="CN241" i="11"/>
  <c r="DR241" i="11"/>
  <c r="CA242" i="11"/>
  <c r="CO242" i="11"/>
  <c r="DF243" i="11"/>
  <c r="DP243" i="11"/>
  <c r="CQ244" i="11"/>
  <c r="DQ244" i="11"/>
  <c r="DU244" i="11"/>
  <c r="CI245" i="11"/>
  <c r="CN245" i="11"/>
  <c r="DR245" i="11"/>
  <c r="CA246" i="11"/>
  <c r="CO246" i="11"/>
  <c r="DF247" i="11"/>
  <c r="DP247" i="11"/>
  <c r="CQ248" i="11"/>
  <c r="DQ248" i="11"/>
  <c r="DU248" i="11"/>
  <c r="CI249" i="11"/>
  <c r="CN249" i="11"/>
  <c r="DR249" i="11"/>
  <c r="CA250" i="11"/>
  <c r="CO250" i="11"/>
  <c r="DF251" i="11"/>
  <c r="DP251" i="11"/>
  <c r="CQ252" i="11"/>
  <c r="DQ252" i="11"/>
  <c r="DU252" i="11"/>
  <c r="CI253" i="11"/>
  <c r="CN253" i="11"/>
  <c r="DR253" i="11"/>
  <c r="CA254" i="11"/>
  <c r="CO254" i="11"/>
  <c r="DF255" i="11"/>
  <c r="DP255" i="11"/>
  <c r="CQ256" i="11"/>
  <c r="DQ256" i="11"/>
  <c r="DU256" i="11"/>
  <c r="CI257" i="11"/>
  <c r="CN257" i="11"/>
  <c r="DR257" i="11"/>
  <c r="CA258" i="11"/>
  <c r="CO258" i="11"/>
  <c r="DF259" i="11"/>
  <c r="DP259" i="11"/>
  <c r="DT259" i="11"/>
  <c r="CG12" i="12"/>
  <c r="CA13" i="12"/>
  <c r="CB15" i="12"/>
  <c r="N15" i="12" s="1"/>
  <c r="CA18" i="12"/>
  <c r="CG19" i="12"/>
  <c r="CG27" i="12"/>
  <c r="CA28" i="12"/>
  <c r="CG29" i="12"/>
  <c r="CA30" i="12"/>
  <c r="CG31" i="12"/>
  <c r="CA32" i="12"/>
  <c r="CA40" i="12"/>
  <c r="CG41" i="12"/>
  <c r="CA42" i="12"/>
  <c r="CG43" i="12"/>
  <c r="CA44" i="12"/>
  <c r="CG45" i="12"/>
  <c r="CA46" i="12"/>
  <c r="N46" i="12" s="1"/>
  <c r="CG47" i="12"/>
  <c r="CA64" i="12"/>
  <c r="CG65" i="12"/>
  <c r="CA67" i="12"/>
  <c r="N67" i="12" s="1"/>
  <c r="CG68" i="12"/>
  <c r="CA70" i="12"/>
  <c r="CG71" i="12"/>
  <c r="CA73" i="12"/>
  <c r="N73" i="12" s="1"/>
  <c r="CG78" i="12"/>
  <c r="CA79" i="12"/>
  <c r="CG80" i="12"/>
  <c r="CA82" i="12"/>
  <c r="N82" i="12" s="1"/>
  <c r="CG83" i="12"/>
  <c r="CA84" i="12"/>
  <c r="CG86" i="12"/>
  <c r="CA87" i="12"/>
  <c r="N87" i="12" s="1"/>
  <c r="CG88" i="12"/>
  <c r="CB100" i="12"/>
  <c r="CG103" i="12"/>
  <c r="CB104" i="12"/>
  <c r="CG110" i="12"/>
  <c r="CB111" i="12"/>
  <c r="CL14" i="13"/>
  <c r="CL16" i="13"/>
  <c r="CL18" i="13"/>
  <c r="CL20" i="13"/>
  <c r="CL22" i="13"/>
  <c r="CL24" i="13"/>
  <c r="CK74" i="13"/>
  <c r="C77" i="13"/>
  <c r="CK78" i="13"/>
  <c r="C80" i="13"/>
  <c r="CB80" i="13"/>
  <c r="CL83" i="13"/>
  <c r="C84" i="13"/>
  <c r="CB84" i="13"/>
  <c r="CL87" i="13"/>
  <c r="C88" i="13"/>
  <c r="CB88" i="13"/>
  <c r="B69" i="15"/>
  <c r="A204" i="15" s="1"/>
  <c r="E18" i="29" s="1"/>
  <c r="AT139" i="15"/>
  <c r="CF12" i="16"/>
  <c r="B23" i="16"/>
  <c r="A215" i="16" s="1"/>
  <c r="E19" i="29" s="1"/>
  <c r="CC12" i="16"/>
  <c r="CH12" i="16"/>
  <c r="CB12" i="16"/>
  <c r="AR12" i="16" s="1"/>
  <c r="CG12" i="16"/>
  <c r="CF14" i="16"/>
  <c r="CC14" i="16"/>
  <c r="CH14" i="16"/>
  <c r="CB14" i="16"/>
  <c r="AR14" i="16" s="1"/>
  <c r="CG14" i="16"/>
  <c r="CF16" i="16"/>
  <c r="CC16" i="16"/>
  <c r="CH16" i="16"/>
  <c r="CB16" i="16"/>
  <c r="AR16" i="16" s="1"/>
  <c r="CG16" i="16"/>
  <c r="CF18" i="16"/>
  <c r="CC18" i="16"/>
  <c r="CH18" i="16"/>
  <c r="CB18" i="16"/>
  <c r="AR18" i="16" s="1"/>
  <c r="CG18" i="16"/>
  <c r="CF20" i="16"/>
  <c r="CC20" i="16"/>
  <c r="CH20" i="16"/>
  <c r="CB20" i="16"/>
  <c r="AR20" i="16" s="1"/>
  <c r="CG20" i="16"/>
  <c r="CF22" i="16"/>
  <c r="CC22" i="16"/>
  <c r="CH22" i="16"/>
  <c r="CB22" i="16"/>
  <c r="AR22" i="16" s="1"/>
  <c r="CG22" i="16"/>
  <c r="CH47" i="16"/>
  <c r="CB47" i="16"/>
  <c r="CG47" i="16"/>
  <c r="CA47" i="16"/>
  <c r="AS47" i="16" s="1"/>
  <c r="CF47" i="16"/>
  <c r="CH49" i="16"/>
  <c r="CB49" i="16"/>
  <c r="CG49" i="16"/>
  <c r="CA49" i="16"/>
  <c r="AS49" i="16" s="1"/>
  <c r="CF49" i="16"/>
  <c r="CH51" i="16"/>
  <c r="CB51" i="16"/>
  <c r="CG51" i="16"/>
  <c r="CA51" i="16"/>
  <c r="CF51" i="16"/>
  <c r="CH53" i="16"/>
  <c r="CB53" i="16"/>
  <c r="CG53" i="16"/>
  <c r="CA53" i="16"/>
  <c r="AS53" i="16" s="1"/>
  <c r="CF53" i="16"/>
  <c r="B73" i="16"/>
  <c r="CF71" i="16"/>
  <c r="CF126" i="16"/>
  <c r="CA126" i="16"/>
  <c r="AP126" i="16" s="1"/>
  <c r="CG23" i="19"/>
  <c r="CC23" i="19"/>
  <c r="BX23" i="19"/>
  <c r="BT23" i="19"/>
  <c r="CE23" i="19"/>
  <c r="BZ23" i="19"/>
  <c r="BS23" i="19"/>
  <c r="CD23" i="19"/>
  <c r="BW23" i="19"/>
  <c r="BR23" i="19"/>
  <c r="CB23" i="19"/>
  <c r="BV23" i="19"/>
  <c r="BQ23" i="19"/>
  <c r="CD30" i="19"/>
  <c r="BZ30" i="19"/>
  <c r="BT30" i="19"/>
  <c r="CG30" i="19"/>
  <c r="CA30" i="19"/>
  <c r="BS30" i="19"/>
  <c r="CF30" i="19"/>
  <c r="BX30" i="19"/>
  <c r="BR30" i="19"/>
  <c r="CC30" i="19"/>
  <c r="BW30" i="19"/>
  <c r="BQ30" i="19"/>
  <c r="CP14" i="21"/>
  <c r="CD14" i="21"/>
  <c r="CN14" i="21"/>
  <c r="CB14" i="21"/>
  <c r="CC14" i="21"/>
  <c r="CA14" i="21"/>
  <c r="CO14" i="21"/>
  <c r="CM14" i="21"/>
  <c r="CQ193" i="11"/>
  <c r="AY193" i="11" s="1"/>
  <c r="DQ193" i="11"/>
  <c r="CM197" i="11"/>
  <c r="AY197" i="11" s="1"/>
  <c r="DN197" i="11"/>
  <c r="CQ201" i="11"/>
  <c r="AY201" i="11" s="1"/>
  <c r="DQ201" i="11"/>
  <c r="CQ205" i="11"/>
  <c r="AY205" i="11" s="1"/>
  <c r="DQ205" i="11"/>
  <c r="CQ209" i="11"/>
  <c r="AY209" i="11" s="1"/>
  <c r="DQ209" i="11"/>
  <c r="CC217" i="11"/>
  <c r="CB218" i="11"/>
  <c r="CC221" i="11"/>
  <c r="CB226" i="11"/>
  <c r="CC229" i="11"/>
  <c r="CB230" i="11"/>
  <c r="CI237" i="11"/>
  <c r="AY237" i="11" s="1"/>
  <c r="CN237" i="11"/>
  <c r="DN237" i="11"/>
  <c r="CM238" i="11"/>
  <c r="CK241" i="11"/>
  <c r="DN241" i="11"/>
  <c r="DS241" i="11"/>
  <c r="CL242" i="11"/>
  <c r="CP242" i="11"/>
  <c r="DF242" i="11"/>
  <c r="DT242" i="11"/>
  <c r="CQ243" i="11"/>
  <c r="AY243" i="11" s="1"/>
  <c r="DQ243" i="11"/>
  <c r="CK245" i="11"/>
  <c r="DN245" i="11"/>
  <c r="DS245" i="11"/>
  <c r="CL246" i="11"/>
  <c r="CP246" i="11"/>
  <c r="DF246" i="11"/>
  <c r="DT246" i="11"/>
  <c r="CQ247" i="11"/>
  <c r="AY247" i="11" s="1"/>
  <c r="DQ247" i="11"/>
  <c r="CK249" i="11"/>
  <c r="DN249" i="11"/>
  <c r="DS249" i="11"/>
  <c r="CL250" i="11"/>
  <c r="CP250" i="11"/>
  <c r="DF250" i="11"/>
  <c r="DT250" i="11"/>
  <c r="CQ251" i="11"/>
  <c r="AY251" i="11" s="1"/>
  <c r="DQ251" i="11"/>
  <c r="CK253" i="11"/>
  <c r="DN253" i="11"/>
  <c r="DS253" i="11"/>
  <c r="CL254" i="11"/>
  <c r="CP254" i="11"/>
  <c r="DF254" i="11"/>
  <c r="DT254" i="11"/>
  <c r="CQ255" i="11"/>
  <c r="AY255" i="11" s="1"/>
  <c r="DQ255" i="11"/>
  <c r="CK257" i="11"/>
  <c r="DN257" i="11"/>
  <c r="DS257" i="11"/>
  <c r="CL258" i="11"/>
  <c r="CP258" i="11"/>
  <c r="DF258" i="11"/>
  <c r="DT258" i="11"/>
  <c r="CQ259" i="11"/>
  <c r="AY259" i="11" s="1"/>
  <c r="DQ259" i="11"/>
  <c r="CB13" i="12"/>
  <c r="CB18" i="12"/>
  <c r="CB28" i="12"/>
  <c r="CB30" i="12"/>
  <c r="CB32" i="12"/>
  <c r="CB40" i="12"/>
  <c r="CB42" i="12"/>
  <c r="CB44" i="12"/>
  <c r="CB46" i="12"/>
  <c r="CB64" i="12"/>
  <c r="CB67" i="12"/>
  <c r="CB70" i="12"/>
  <c r="CB73" i="12"/>
  <c r="CB79" i="12"/>
  <c r="CB82" i="12"/>
  <c r="CB84" i="12"/>
  <c r="CB87" i="12"/>
  <c r="CG100" i="12"/>
  <c r="CG104" i="12"/>
  <c r="CG111" i="12"/>
  <c r="C13" i="13"/>
  <c r="C15" i="13"/>
  <c r="C17" i="13"/>
  <c r="C19" i="13"/>
  <c r="C21" i="13"/>
  <c r="C23" i="13"/>
  <c r="C25" i="13"/>
  <c r="C27" i="13"/>
  <c r="C29" i="13"/>
  <c r="C31" i="13"/>
  <c r="C33" i="13"/>
  <c r="C35" i="13"/>
  <c r="C37" i="13"/>
  <c r="C39" i="13"/>
  <c r="C41" i="13"/>
  <c r="C43" i="13"/>
  <c r="C45" i="13"/>
  <c r="C47" i="13"/>
  <c r="C49" i="13"/>
  <c r="C51" i="13"/>
  <c r="C53" i="13"/>
  <c r="C55" i="13"/>
  <c r="C74" i="13"/>
  <c r="C78" i="13"/>
  <c r="C83" i="13"/>
  <c r="C87" i="13"/>
  <c r="I123" i="15"/>
  <c r="J129" i="15"/>
  <c r="D23" i="16"/>
  <c r="CF28" i="16"/>
  <c r="C41" i="16"/>
  <c r="CC28" i="16"/>
  <c r="CH28" i="16"/>
  <c r="CB28" i="16"/>
  <c r="AS28" i="16" s="1"/>
  <c r="CG28" i="16"/>
  <c r="CF30" i="16"/>
  <c r="CC30" i="16"/>
  <c r="CH30" i="16"/>
  <c r="CB30" i="16"/>
  <c r="AS30" i="16" s="1"/>
  <c r="CG30" i="16"/>
  <c r="CF32" i="16"/>
  <c r="CC32" i="16"/>
  <c r="CH32" i="16"/>
  <c r="CB32" i="16"/>
  <c r="AS32" i="16" s="1"/>
  <c r="CG32" i="16"/>
  <c r="CF34" i="16"/>
  <c r="CC34" i="16"/>
  <c r="CH34" i="16"/>
  <c r="CB34" i="16"/>
  <c r="AS34" i="16" s="1"/>
  <c r="CG34" i="16"/>
  <c r="CF36" i="16"/>
  <c r="CC36" i="16"/>
  <c r="CH36" i="16"/>
  <c r="CB36" i="16"/>
  <c r="AS36" i="16" s="1"/>
  <c r="CG36" i="16"/>
  <c r="CF38" i="16"/>
  <c r="CC38" i="16"/>
  <c r="CH38" i="16"/>
  <c r="CB38" i="16"/>
  <c r="AS38" i="16" s="1"/>
  <c r="CG38" i="16"/>
  <c r="CF40" i="16"/>
  <c r="CC40" i="16"/>
  <c r="CH40" i="16"/>
  <c r="CB40" i="16"/>
  <c r="AS40" i="16" s="1"/>
  <c r="CG40" i="16"/>
  <c r="CA58" i="16"/>
  <c r="AP58" i="16" s="1"/>
  <c r="CF65" i="16"/>
  <c r="CA65" i="16"/>
  <c r="AP65" i="16" s="1"/>
  <c r="CB72" i="16"/>
  <c r="CA72" i="16"/>
  <c r="AQ72" i="16" s="1"/>
  <c r="CG72" i="16"/>
  <c r="B142" i="16"/>
  <c r="AG15" i="17"/>
  <c r="F185" i="18"/>
  <c r="CD26" i="19"/>
  <c r="BX26" i="19"/>
  <c r="BS26" i="19"/>
  <c r="CB26" i="19"/>
  <c r="BT26" i="19"/>
  <c r="CG26" i="19"/>
  <c r="BZ26" i="19"/>
  <c r="BQ26" i="19"/>
  <c r="CF26" i="19"/>
  <c r="BW26" i="19"/>
  <c r="CD29" i="19"/>
  <c r="BZ29" i="19"/>
  <c r="BT29" i="19"/>
  <c r="CG29" i="19"/>
  <c r="CA29" i="19"/>
  <c r="BS29" i="19"/>
  <c r="CF29" i="19"/>
  <c r="BX29" i="19"/>
  <c r="BR29" i="19"/>
  <c r="CC29" i="19"/>
  <c r="BW29" i="19"/>
  <c r="BQ29" i="19"/>
  <c r="BU30" i="19"/>
  <c r="BZ56" i="19"/>
  <c r="BQ56" i="19"/>
  <c r="CC56" i="19"/>
  <c r="BT56" i="19"/>
  <c r="CA56" i="19"/>
  <c r="BS56" i="19"/>
  <c r="BR56" i="19"/>
  <c r="BZ98" i="19"/>
  <c r="BQ98" i="19"/>
  <c r="V98" i="19" s="1"/>
  <c r="BZ102" i="19"/>
  <c r="BQ102" i="19"/>
  <c r="V102" i="19" s="1"/>
  <c r="BZ106" i="19"/>
  <c r="BQ106" i="19"/>
  <c r="V106" i="19" s="1"/>
  <c r="CK165" i="20"/>
  <c r="CL165" i="20"/>
  <c r="CB165" i="20"/>
  <c r="S165" i="20" s="1"/>
  <c r="CM239" i="11"/>
  <c r="CQ242" i="11"/>
  <c r="DQ242" i="11"/>
  <c r="CQ246" i="11"/>
  <c r="DQ246" i="11"/>
  <c r="CQ250" i="11"/>
  <c r="DQ250" i="11"/>
  <c r="CQ254" i="11"/>
  <c r="DQ254" i="11"/>
  <c r="CQ258" i="11"/>
  <c r="DQ258" i="11"/>
  <c r="CM105" i="13"/>
  <c r="CF105" i="13"/>
  <c r="CO105" i="13"/>
  <c r="CD105" i="13"/>
  <c r="AT105" i="13" s="1"/>
  <c r="CC105" i="13"/>
  <c r="CN105" i="13"/>
  <c r="AM122" i="13"/>
  <c r="AM123" i="13"/>
  <c r="AM124" i="13"/>
  <c r="C181" i="13"/>
  <c r="B176" i="13"/>
  <c r="B181" i="13" s="1"/>
  <c r="BF114" i="15"/>
  <c r="CH13" i="16"/>
  <c r="CB13" i="16"/>
  <c r="CG13" i="16"/>
  <c r="CA13" i="16"/>
  <c r="AR13" i="16" s="1"/>
  <c r="CF13" i="16"/>
  <c r="CH15" i="16"/>
  <c r="CB15" i="16"/>
  <c r="CG15" i="16"/>
  <c r="CA15" i="16"/>
  <c r="AR15" i="16" s="1"/>
  <c r="CF15" i="16"/>
  <c r="CH17" i="16"/>
  <c r="CB17" i="16"/>
  <c r="CG17" i="16"/>
  <c r="CA17" i="16"/>
  <c r="CF17" i="16"/>
  <c r="CH19" i="16"/>
  <c r="CB19" i="16"/>
  <c r="CG19" i="16"/>
  <c r="CA19" i="16"/>
  <c r="CF19" i="16"/>
  <c r="CH21" i="16"/>
  <c r="CB21" i="16"/>
  <c r="CG21" i="16"/>
  <c r="CA21" i="16"/>
  <c r="AR21" i="16" s="1"/>
  <c r="CF21" i="16"/>
  <c r="CF46" i="16"/>
  <c r="CC46" i="16"/>
  <c r="CH46" i="16"/>
  <c r="CB46" i="16"/>
  <c r="AS46" i="16" s="1"/>
  <c r="CG46" i="16"/>
  <c r="CF48" i="16"/>
  <c r="CC48" i="16"/>
  <c r="CH48" i="16"/>
  <c r="CB48" i="16"/>
  <c r="AS48" i="16" s="1"/>
  <c r="CG48" i="16"/>
  <c r="CF50" i="16"/>
  <c r="CC50" i="16"/>
  <c r="CH50" i="16"/>
  <c r="CB50" i="16"/>
  <c r="AS50" i="16" s="1"/>
  <c r="CG50" i="16"/>
  <c r="CF52" i="16"/>
  <c r="CC52" i="16"/>
  <c r="CH52" i="16"/>
  <c r="CB52" i="16"/>
  <c r="AS52" i="16" s="1"/>
  <c r="CG52" i="16"/>
  <c r="B78" i="16"/>
  <c r="B84" i="16" s="1"/>
  <c r="C84" i="16"/>
  <c r="C130" i="16"/>
  <c r="CF128" i="16"/>
  <c r="CA128" i="16"/>
  <c r="AP128" i="16" s="1"/>
  <c r="D28" i="18"/>
  <c r="A319" i="18" s="1"/>
  <c r="E21" i="29" s="1"/>
  <c r="CG32" i="19"/>
  <c r="CB32" i="19"/>
  <c r="BU32" i="19"/>
  <c r="CC32" i="19"/>
  <c r="BT32" i="19"/>
  <c r="BZ32" i="19"/>
  <c r="BS32" i="19"/>
  <c r="CF32" i="19"/>
  <c r="BX32" i="19"/>
  <c r="BQ32" i="19"/>
  <c r="T32" i="19" s="1"/>
  <c r="CA96" i="20"/>
  <c r="J96" i="20" s="1"/>
  <c r="CK96" i="20"/>
  <c r="CP22" i="21"/>
  <c r="CD22" i="21"/>
  <c r="CO22" i="21"/>
  <c r="CC22" i="21"/>
  <c r="CN22" i="21"/>
  <c r="CB22" i="21"/>
  <c r="CM22" i="21"/>
  <c r="CA22" i="21"/>
  <c r="AT22" i="21" s="1"/>
  <c r="CA160" i="21"/>
  <c r="AP160" i="21" s="1"/>
  <c r="CM160" i="21"/>
  <c r="CA176" i="21"/>
  <c r="AP176" i="21" s="1"/>
  <c r="CM176" i="21"/>
  <c r="CE12" i="22"/>
  <c r="CF12" i="22"/>
  <c r="CB12" i="22"/>
  <c r="CA12" i="22"/>
  <c r="U12" i="22" s="1"/>
  <c r="CE21" i="22"/>
  <c r="CF21" i="22"/>
  <c r="CB21" i="22"/>
  <c r="CA21" i="22"/>
  <c r="U21" i="22" s="1"/>
  <c r="CB41" i="22"/>
  <c r="CE41" i="22"/>
  <c r="CA41" i="22"/>
  <c r="CF41" i="22"/>
  <c r="CK105" i="13"/>
  <c r="AY31" i="15"/>
  <c r="P31" i="15" s="1"/>
  <c r="BC31" i="15"/>
  <c r="BH31" i="15"/>
  <c r="B124" i="16"/>
  <c r="CB144" i="17"/>
  <c r="O144" i="17" s="1"/>
  <c r="BT11" i="19"/>
  <c r="BZ11" i="19"/>
  <c r="CF11" i="19"/>
  <c r="BT13" i="19"/>
  <c r="BZ13" i="19"/>
  <c r="CF13" i="19"/>
  <c r="BT15" i="19"/>
  <c r="BZ15" i="19"/>
  <c r="CF15" i="19"/>
  <c r="BT17" i="19"/>
  <c r="BZ17" i="19"/>
  <c r="CF17" i="19"/>
  <c r="CD22" i="19"/>
  <c r="BX22" i="19"/>
  <c r="BS22" i="19"/>
  <c r="BU22" i="19"/>
  <c r="CC22" i="19"/>
  <c r="CE24" i="19"/>
  <c r="CA24" i="19"/>
  <c r="BV24" i="19"/>
  <c r="BR24" i="19"/>
  <c r="BT24" i="19"/>
  <c r="BZ24" i="19"/>
  <c r="CF24" i="19"/>
  <c r="CD28" i="19"/>
  <c r="BX28" i="19"/>
  <c r="BS28" i="19"/>
  <c r="BU28" i="19"/>
  <c r="CC28" i="19"/>
  <c r="BT33" i="19"/>
  <c r="CD34" i="19"/>
  <c r="BZ34" i="19"/>
  <c r="BT34" i="19"/>
  <c r="BU34" i="19"/>
  <c r="CB34" i="19"/>
  <c r="CD35" i="19"/>
  <c r="BZ35" i="19"/>
  <c r="BT35" i="19"/>
  <c r="BU35" i="19"/>
  <c r="CB35" i="19"/>
  <c r="O44" i="19"/>
  <c r="BZ54" i="19"/>
  <c r="BQ54" i="19"/>
  <c r="N54" i="19" s="1"/>
  <c r="CC54" i="19"/>
  <c r="BT54" i="19"/>
  <c r="CB54" i="19"/>
  <c r="V66" i="19"/>
  <c r="C117" i="19"/>
  <c r="A249" i="20"/>
  <c r="E23" i="29" s="1"/>
  <c r="CR26" i="20"/>
  <c r="CN26" i="20"/>
  <c r="CG26" i="20"/>
  <c r="CC26" i="20"/>
  <c r="CQ26" i="20"/>
  <c r="CM26" i="20"/>
  <c r="CF26" i="20"/>
  <c r="CB26" i="20"/>
  <c r="CP26" i="20"/>
  <c r="CL26" i="20"/>
  <c r="CE26" i="20"/>
  <c r="CP27" i="20"/>
  <c r="CH27" i="20"/>
  <c r="CC27" i="20"/>
  <c r="CN27" i="20"/>
  <c r="CG27" i="20"/>
  <c r="CB27" i="20"/>
  <c r="CR27" i="20"/>
  <c r="CM27" i="20"/>
  <c r="CF27" i="20"/>
  <c r="CA92" i="20"/>
  <c r="J92" i="20" s="1"/>
  <c r="CK92" i="20"/>
  <c r="CK208" i="20"/>
  <c r="CA208" i="20"/>
  <c r="AI208" i="20" s="1"/>
  <c r="CK210" i="20"/>
  <c r="CA210" i="20"/>
  <c r="AI210" i="20" s="1"/>
  <c r="CK212" i="20"/>
  <c r="CA212" i="20"/>
  <c r="AI212" i="20" s="1"/>
  <c r="CK214" i="20"/>
  <c r="CA214" i="20"/>
  <c r="AI214" i="20" s="1"/>
  <c r="CP23" i="21"/>
  <c r="CD23" i="21"/>
  <c r="CO23" i="21"/>
  <c r="CC23" i="21"/>
  <c r="CN23" i="21"/>
  <c r="CB23" i="21"/>
  <c r="CA23" i="21"/>
  <c r="AT23" i="21" s="1"/>
  <c r="CM30" i="21"/>
  <c r="CB30" i="21" s="1"/>
  <c r="AQ30" i="21" s="1"/>
  <c r="CM28" i="21"/>
  <c r="CA29" i="21" s="1"/>
  <c r="AQ29" i="21" s="1"/>
  <c r="CA164" i="21"/>
  <c r="AP164" i="21" s="1"/>
  <c r="CM164" i="21"/>
  <c r="B179" i="21"/>
  <c r="C178" i="21"/>
  <c r="CB66" i="22"/>
  <c r="CE66" i="22"/>
  <c r="CA66" i="22"/>
  <c r="R66" i="22" s="1"/>
  <c r="CF66" i="22"/>
  <c r="CC144" i="17"/>
  <c r="CD33" i="19"/>
  <c r="BX33" i="19"/>
  <c r="BS33" i="19"/>
  <c r="T33" i="19" s="1"/>
  <c r="BU33" i="19"/>
  <c r="CC33" i="19"/>
  <c r="O39" i="19"/>
  <c r="BZ52" i="19"/>
  <c r="BQ52" i="19"/>
  <c r="CC52" i="19"/>
  <c r="BT52" i="19"/>
  <c r="CB52" i="19"/>
  <c r="BZ95" i="19"/>
  <c r="BQ95" i="19"/>
  <c r="V95" i="19" s="1"/>
  <c r="BZ97" i="19"/>
  <c r="BQ97" i="19"/>
  <c r="V97" i="19" s="1"/>
  <c r="BZ99" i="19"/>
  <c r="BQ99" i="19"/>
  <c r="V99" i="19" s="1"/>
  <c r="BZ101" i="19"/>
  <c r="BQ101" i="19"/>
  <c r="V101" i="19" s="1"/>
  <c r="BZ103" i="19"/>
  <c r="BQ103" i="19"/>
  <c r="V103" i="19" s="1"/>
  <c r="BZ105" i="19"/>
  <c r="BQ105" i="19"/>
  <c r="V105" i="19" s="1"/>
  <c r="BZ107" i="19"/>
  <c r="BQ107" i="19"/>
  <c r="V107" i="19" s="1"/>
  <c r="BZ109" i="19"/>
  <c r="BQ109" i="19"/>
  <c r="V109" i="19" s="1"/>
  <c r="E120" i="19"/>
  <c r="CP24" i="20"/>
  <c r="CH24" i="20"/>
  <c r="CC24" i="20"/>
  <c r="CN24" i="20"/>
  <c r="CG24" i="20"/>
  <c r="CB24" i="20"/>
  <c r="CR24" i="20"/>
  <c r="CM24" i="20"/>
  <c r="CF24" i="20"/>
  <c r="CA88" i="20"/>
  <c r="J88" i="20" s="1"/>
  <c r="CK88" i="20"/>
  <c r="CP17" i="21"/>
  <c r="CD17" i="21"/>
  <c r="CN17" i="21"/>
  <c r="CB17" i="21"/>
  <c r="CA17" i="21"/>
  <c r="CO17" i="21"/>
  <c r="CM17" i="21"/>
  <c r="CA152" i="21"/>
  <c r="AP152" i="21" s="1"/>
  <c r="CM152" i="21"/>
  <c r="CA168" i="21"/>
  <c r="AP168" i="21" s="1"/>
  <c r="CM168" i="21"/>
  <c r="CA183" i="21"/>
  <c r="AP183" i="21" s="1"/>
  <c r="CM183" i="21"/>
  <c r="CF48" i="22"/>
  <c r="CE48" i="22"/>
  <c r="CB48" i="22"/>
  <c r="CA48" i="22"/>
  <c r="CJ72" i="25"/>
  <c r="CC72" i="25"/>
  <c r="CI72" i="25"/>
  <c r="CA72" i="25"/>
  <c r="CH72" i="25"/>
  <c r="CD72" i="25"/>
  <c r="CK72" i="25"/>
  <c r="CB72" i="25"/>
  <c r="CJ74" i="25"/>
  <c r="CC74" i="25"/>
  <c r="CI74" i="25"/>
  <c r="CA74" i="25"/>
  <c r="CH74" i="25"/>
  <c r="CD74" i="25"/>
  <c r="CK74" i="25"/>
  <c r="CB74" i="25"/>
  <c r="CJ76" i="25"/>
  <c r="CC76" i="25"/>
  <c r="CI76" i="25"/>
  <c r="CA76" i="25"/>
  <c r="CH76" i="25"/>
  <c r="CD76" i="25"/>
  <c r="CK76" i="25"/>
  <c r="CB76" i="25"/>
  <c r="CJ78" i="25"/>
  <c r="CC78" i="25"/>
  <c r="CI78" i="25"/>
  <c r="CA78" i="25"/>
  <c r="CH78" i="25"/>
  <c r="CD78" i="25"/>
  <c r="CK78" i="25"/>
  <c r="CB78" i="25"/>
  <c r="CJ80" i="25"/>
  <c r="CC80" i="25"/>
  <c r="CI80" i="25"/>
  <c r="CA80" i="25"/>
  <c r="CH80" i="25"/>
  <c r="CD80" i="25"/>
  <c r="CK80" i="25"/>
  <c r="CB80" i="25"/>
  <c r="CJ82" i="25"/>
  <c r="CC82" i="25"/>
  <c r="CI82" i="25"/>
  <c r="CA82" i="25"/>
  <c r="CH82" i="25"/>
  <c r="CD82" i="25"/>
  <c r="CK82" i="25"/>
  <c r="CB82" i="25"/>
  <c r="CJ84" i="25"/>
  <c r="CC84" i="25"/>
  <c r="CI84" i="25"/>
  <c r="CA84" i="25"/>
  <c r="CH84" i="25"/>
  <c r="CD84" i="25"/>
  <c r="CK84" i="25"/>
  <c r="CB84" i="25"/>
  <c r="CQ97" i="26"/>
  <c r="CM97" i="26"/>
  <c r="CF97" i="26"/>
  <c r="CB97" i="26"/>
  <c r="CN97" i="26"/>
  <c r="CE97" i="26"/>
  <c r="CK97" i="26"/>
  <c r="CA97" i="26"/>
  <c r="CP97" i="26"/>
  <c r="CG97" i="26"/>
  <c r="CO97" i="26"/>
  <c r="CD97" i="26"/>
  <c r="CC97" i="26"/>
  <c r="CL97" i="26"/>
  <c r="BT10" i="19"/>
  <c r="T10" i="19" s="1"/>
  <c r="BZ10" i="19"/>
  <c r="CF10" i="19"/>
  <c r="BQ11" i="19"/>
  <c r="BW11" i="19"/>
  <c r="BT12" i="19"/>
  <c r="T12" i="19" s="1"/>
  <c r="BZ12" i="19"/>
  <c r="BQ13" i="19"/>
  <c r="BW13" i="19"/>
  <c r="BT14" i="19"/>
  <c r="T14" i="19" s="1"/>
  <c r="BZ14" i="19"/>
  <c r="BQ15" i="19"/>
  <c r="BW15" i="19"/>
  <c r="BT16" i="19"/>
  <c r="T16" i="19" s="1"/>
  <c r="BZ16" i="19"/>
  <c r="BQ17" i="19"/>
  <c r="BW17" i="19"/>
  <c r="CD18" i="19"/>
  <c r="BZ18" i="19"/>
  <c r="BT18" i="19"/>
  <c r="T18" i="19" s="1"/>
  <c r="BU18" i="19"/>
  <c r="CB18" i="19"/>
  <c r="CD19" i="19"/>
  <c r="BZ19" i="19"/>
  <c r="BT19" i="19"/>
  <c r="T19" i="19" s="1"/>
  <c r="BU19" i="19"/>
  <c r="CB19" i="19"/>
  <c r="CD20" i="19"/>
  <c r="BZ20" i="19"/>
  <c r="BT20" i="19"/>
  <c r="T20" i="19" s="1"/>
  <c r="BU20" i="19"/>
  <c r="CB20" i="19"/>
  <c r="CG21" i="19"/>
  <c r="CB21" i="19"/>
  <c r="BU21" i="19"/>
  <c r="T21" i="19" s="1"/>
  <c r="BW21" i="19"/>
  <c r="CD21" i="19"/>
  <c r="BQ22" i="19"/>
  <c r="BZ22" i="19"/>
  <c r="CG22" i="19"/>
  <c r="BQ24" i="19"/>
  <c r="T24" i="19" s="1"/>
  <c r="BW24" i="19"/>
  <c r="CC24" i="19"/>
  <c r="CG25" i="19"/>
  <c r="CC25" i="19"/>
  <c r="BX25" i="19"/>
  <c r="BT25" i="19"/>
  <c r="T25" i="19" s="1"/>
  <c r="BU25" i="19"/>
  <c r="CA25" i="19"/>
  <c r="CF25" i="19"/>
  <c r="CG27" i="19"/>
  <c r="CB27" i="19"/>
  <c r="BU27" i="19"/>
  <c r="T27" i="19" s="1"/>
  <c r="BW27" i="19"/>
  <c r="CD27" i="19"/>
  <c r="BQ28" i="19"/>
  <c r="BZ28" i="19"/>
  <c r="CG28" i="19"/>
  <c r="BW33" i="19"/>
  <c r="CF33" i="19"/>
  <c r="BR34" i="19"/>
  <c r="T34" i="19" s="1"/>
  <c r="BX34" i="19"/>
  <c r="CF34" i="19"/>
  <c r="BR35" i="19"/>
  <c r="BX35" i="19"/>
  <c r="T35" i="19" s="1"/>
  <c r="CF35" i="19"/>
  <c r="C59" i="19"/>
  <c r="BZ50" i="19"/>
  <c r="BQ50" i="19"/>
  <c r="CC50" i="19"/>
  <c r="BT50" i="19"/>
  <c r="CB50" i="19"/>
  <c r="BR52" i="19"/>
  <c r="BS54" i="19"/>
  <c r="BZ58" i="19"/>
  <c r="BQ58" i="19"/>
  <c r="CC58" i="19"/>
  <c r="BT58" i="19"/>
  <c r="CB58" i="19"/>
  <c r="V68" i="19"/>
  <c r="C116" i="19"/>
  <c r="A150" i="19" s="1"/>
  <c r="E22" i="29" s="1"/>
  <c r="CD24" i="20"/>
  <c r="CH26" i="20"/>
  <c r="CL27" i="20"/>
  <c r="CP52" i="20"/>
  <c r="CH52" i="20"/>
  <c r="CD52" i="20"/>
  <c r="CO52" i="20"/>
  <c r="CG52" i="20"/>
  <c r="CC52" i="20"/>
  <c r="AJ52" i="20" s="1"/>
  <c r="CR52" i="20"/>
  <c r="CN52" i="20"/>
  <c r="CF52" i="20"/>
  <c r="CA84" i="20"/>
  <c r="J84" i="20" s="1"/>
  <c r="CK84" i="20"/>
  <c r="CK209" i="20"/>
  <c r="CA209" i="20"/>
  <c r="AI209" i="20" s="1"/>
  <c r="CK211" i="20"/>
  <c r="CA211" i="20"/>
  <c r="AI211" i="20" s="1"/>
  <c r="CK213" i="20"/>
  <c r="CA213" i="20"/>
  <c r="AI213" i="20" s="1"/>
  <c r="CK215" i="20"/>
  <c r="CA215" i="20"/>
  <c r="AI215" i="20" s="1"/>
  <c r="A351" i="21"/>
  <c r="E24" i="29" s="1"/>
  <c r="CP13" i="21"/>
  <c r="CD13" i="21"/>
  <c r="CN13" i="21"/>
  <c r="CB13" i="21"/>
  <c r="CA13" i="21"/>
  <c r="CO13" i="21"/>
  <c r="CM13" i="21"/>
  <c r="CP15" i="21"/>
  <c r="CD15" i="21"/>
  <c r="CN15" i="21"/>
  <c r="CB15" i="21"/>
  <c r="CM15" i="21"/>
  <c r="CC15" i="21"/>
  <c r="CA15" i="21"/>
  <c r="AT15" i="21" s="1"/>
  <c r="CP18" i="21"/>
  <c r="CD18" i="21"/>
  <c r="CN18" i="21"/>
  <c r="CB18" i="21"/>
  <c r="CC18" i="21"/>
  <c r="CA18" i="21"/>
  <c r="AT18" i="21" s="1"/>
  <c r="CO18" i="21"/>
  <c r="CP21" i="21"/>
  <c r="CD21" i="21"/>
  <c r="CN21" i="21"/>
  <c r="CB21" i="21"/>
  <c r="CA21" i="21"/>
  <c r="AT21" i="21" s="1"/>
  <c r="CO21" i="21"/>
  <c r="CM21" i="21"/>
  <c r="CA156" i="21"/>
  <c r="AP156" i="21" s="1"/>
  <c r="CM156" i="21"/>
  <c r="CA172" i="21"/>
  <c r="AP172" i="21" s="1"/>
  <c r="CM172" i="21"/>
  <c r="CE13" i="22"/>
  <c r="CA13" i="22"/>
  <c r="CF13" i="22"/>
  <c r="CB13" i="22"/>
  <c r="CE22" i="22"/>
  <c r="CA22" i="22"/>
  <c r="CF22" i="22"/>
  <c r="CB22" i="22"/>
  <c r="CP16" i="21"/>
  <c r="CD16" i="21"/>
  <c r="CN16" i="21"/>
  <c r="CB16" i="21"/>
  <c r="AT16" i="21" s="1"/>
  <c r="CC16" i="21"/>
  <c r="CP20" i="21"/>
  <c r="CD20" i="21"/>
  <c r="CN20" i="21"/>
  <c r="CB20" i="21"/>
  <c r="AT20" i="21" s="1"/>
  <c r="CC20" i="21"/>
  <c r="CP24" i="21"/>
  <c r="CD24" i="21"/>
  <c r="CO24" i="21"/>
  <c r="CC24" i="21"/>
  <c r="CN24" i="21"/>
  <c r="CB24" i="21"/>
  <c r="AT24" i="21" s="1"/>
  <c r="CM24" i="21"/>
  <c r="CO56" i="21"/>
  <c r="CB56" i="21"/>
  <c r="CN56" i="21"/>
  <c r="CA56" i="21"/>
  <c r="CM56" i="21"/>
  <c r="CO58" i="21"/>
  <c r="CB58" i="21"/>
  <c r="CN58" i="21"/>
  <c r="CA58" i="21"/>
  <c r="CM58" i="21"/>
  <c r="CO60" i="21"/>
  <c r="CB60" i="21"/>
  <c r="CN60" i="21"/>
  <c r="CA60" i="21"/>
  <c r="I60" i="21" s="1"/>
  <c r="CM60" i="21"/>
  <c r="CM151" i="21"/>
  <c r="CA151" i="21"/>
  <c r="AP151" i="21" s="1"/>
  <c r="CM155" i="21"/>
  <c r="CA155" i="21"/>
  <c r="AP155" i="21" s="1"/>
  <c r="CM159" i="21"/>
  <c r="CA159" i="21"/>
  <c r="AP159" i="21" s="1"/>
  <c r="CM163" i="21"/>
  <c r="CA163" i="21"/>
  <c r="AP163" i="21" s="1"/>
  <c r="CM167" i="21"/>
  <c r="CA167" i="21"/>
  <c r="AP167" i="21" s="1"/>
  <c r="CM171" i="21"/>
  <c r="CA171" i="21"/>
  <c r="AP171" i="21" s="1"/>
  <c r="CM175" i="21"/>
  <c r="CA175" i="21"/>
  <c r="AP175" i="21" s="1"/>
  <c r="CM182" i="21"/>
  <c r="CA182" i="21"/>
  <c r="AP182" i="21" s="1"/>
  <c r="CA200" i="21"/>
  <c r="Y200" i="21" s="1"/>
  <c r="B206" i="21"/>
  <c r="CM200" i="21"/>
  <c r="CA204" i="21"/>
  <c r="Y204" i="21" s="1"/>
  <c r="CM204" i="21"/>
  <c r="CM212" i="21"/>
  <c r="CA212" i="21"/>
  <c r="Y212" i="21" s="1"/>
  <c r="CE20" i="22"/>
  <c r="CF20" i="22"/>
  <c r="CB20" i="22"/>
  <c r="CA20" i="22"/>
  <c r="U27" i="22"/>
  <c r="CB49" i="22"/>
  <c r="CE49" i="22"/>
  <c r="CA49" i="22"/>
  <c r="R49" i="22" s="1"/>
  <c r="CI13" i="25"/>
  <c r="CB13" i="25"/>
  <c r="AX13" i="25" s="1"/>
  <c r="CH13" i="25"/>
  <c r="CD13" i="25"/>
  <c r="CK13" i="25"/>
  <c r="CC13" i="25"/>
  <c r="CJ13" i="25"/>
  <c r="CI15" i="25"/>
  <c r="CB15" i="25"/>
  <c r="AX15" i="25" s="1"/>
  <c r="CH15" i="25"/>
  <c r="CD15" i="25"/>
  <c r="CK15" i="25"/>
  <c r="CC15" i="25"/>
  <c r="CJ15" i="25"/>
  <c r="CI17" i="25"/>
  <c r="CB17" i="25"/>
  <c r="AX17" i="25" s="1"/>
  <c r="CH17" i="25"/>
  <c r="CD17" i="25"/>
  <c r="CK17" i="25"/>
  <c r="CC17" i="25"/>
  <c r="CJ17" i="25"/>
  <c r="CI27" i="25"/>
  <c r="CB27" i="25"/>
  <c r="CK27" i="25"/>
  <c r="CC27" i="25"/>
  <c r="CH27" i="25"/>
  <c r="CJ27" i="25"/>
  <c r="CD27" i="25"/>
  <c r="CA27" i="25"/>
  <c r="AX27" i="25" s="1"/>
  <c r="CL51" i="26"/>
  <c r="CB51" i="26"/>
  <c r="CL59" i="26"/>
  <c r="CB59" i="26"/>
  <c r="CL67" i="26"/>
  <c r="CB67" i="26"/>
  <c r="CL75" i="26"/>
  <c r="CB75" i="26"/>
  <c r="CL83" i="26"/>
  <c r="CB83" i="26"/>
  <c r="CQ101" i="26"/>
  <c r="CM101" i="26"/>
  <c r="CF101" i="26"/>
  <c r="CB101" i="26"/>
  <c r="CN101" i="26"/>
  <c r="CE101" i="26"/>
  <c r="CK101" i="26"/>
  <c r="CA101" i="26"/>
  <c r="CP101" i="26"/>
  <c r="CG101" i="26"/>
  <c r="CO101" i="26"/>
  <c r="CD101" i="26"/>
  <c r="CC101" i="26"/>
  <c r="BR51" i="19"/>
  <c r="N51" i="19" s="1"/>
  <c r="CA51" i="19"/>
  <c r="BR53" i="19"/>
  <c r="CA53" i="19"/>
  <c r="BR55" i="19"/>
  <c r="N55" i="19" s="1"/>
  <c r="CA55" i="19"/>
  <c r="BR57" i="19"/>
  <c r="CA57" i="19"/>
  <c r="BS64" i="19"/>
  <c r="V64" i="19" s="1"/>
  <c r="BS65" i="19"/>
  <c r="BS66" i="19"/>
  <c r="BS67" i="19"/>
  <c r="BS68" i="19"/>
  <c r="BS69" i="19"/>
  <c r="CF11" i="20"/>
  <c r="AJ11" i="20" s="1"/>
  <c r="CN11" i="20"/>
  <c r="B249" i="20" s="1"/>
  <c r="D23" i="29" s="1"/>
  <c r="CD12" i="20"/>
  <c r="AJ12" i="20" s="1"/>
  <c r="CH12" i="20"/>
  <c r="CO12" i="20"/>
  <c r="CD13" i="20"/>
  <c r="AJ13" i="20" s="1"/>
  <c r="CH13" i="20"/>
  <c r="CO13" i="20"/>
  <c r="CD14" i="20"/>
  <c r="CH14" i="20"/>
  <c r="CO14" i="20"/>
  <c r="CD15" i="20"/>
  <c r="AJ15" i="20" s="1"/>
  <c r="CH15" i="20"/>
  <c r="CO15" i="20"/>
  <c r="CD16" i="20"/>
  <c r="AJ16" i="20" s="1"/>
  <c r="CH16" i="20"/>
  <c r="CO16" i="20"/>
  <c r="CD17" i="20"/>
  <c r="AJ17" i="20" s="1"/>
  <c r="CH17" i="20"/>
  <c r="CO17" i="20"/>
  <c r="CD18" i="20"/>
  <c r="AJ18" i="20" s="1"/>
  <c r="CH18" i="20"/>
  <c r="CO18" i="20"/>
  <c r="CD19" i="20"/>
  <c r="AJ19" i="20" s="1"/>
  <c r="CH19" i="20"/>
  <c r="CO19" i="20"/>
  <c r="CD20" i="20"/>
  <c r="AJ20" i="20" s="1"/>
  <c r="CH20" i="20"/>
  <c r="CO20" i="20"/>
  <c r="CD21" i="20"/>
  <c r="AJ21" i="20" s="1"/>
  <c r="CH21" i="20"/>
  <c r="CO21" i="20"/>
  <c r="CD22" i="20"/>
  <c r="AJ22" i="20" s="1"/>
  <c r="CH22" i="20"/>
  <c r="CO22" i="20"/>
  <c r="CD23" i="20"/>
  <c r="AJ23" i="20" s="1"/>
  <c r="CL23" i="20"/>
  <c r="CQ23" i="20"/>
  <c r="CD25" i="20"/>
  <c r="CL25" i="20"/>
  <c r="CQ25" i="20"/>
  <c r="CD28" i="20"/>
  <c r="AJ28" i="20" s="1"/>
  <c r="CH28" i="20"/>
  <c r="CO28" i="20"/>
  <c r="CD29" i="20"/>
  <c r="AJ29" i="20" s="1"/>
  <c r="CH29" i="20"/>
  <c r="CO29" i="20"/>
  <c r="CD30" i="20"/>
  <c r="AJ30" i="20" s="1"/>
  <c r="CH30" i="20"/>
  <c r="CO30" i="20"/>
  <c r="CD31" i="20"/>
  <c r="AJ31" i="20" s="1"/>
  <c r="CH31" i="20"/>
  <c r="CO31" i="20"/>
  <c r="CD32" i="20"/>
  <c r="AJ32" i="20" s="1"/>
  <c r="CH32" i="20"/>
  <c r="CO32" i="20"/>
  <c r="CD33" i="20"/>
  <c r="CH33" i="20"/>
  <c r="CO33" i="20"/>
  <c r="CD34" i="20"/>
  <c r="AJ34" i="20" s="1"/>
  <c r="CH34" i="20"/>
  <c r="CO34" i="20"/>
  <c r="CD35" i="20"/>
  <c r="AJ35" i="20" s="1"/>
  <c r="CH35" i="20"/>
  <c r="CO35" i="20"/>
  <c r="CD36" i="20"/>
  <c r="AJ36" i="20" s="1"/>
  <c r="CH36" i="20"/>
  <c r="CO36" i="20"/>
  <c r="CD37" i="20"/>
  <c r="AJ37" i="20" s="1"/>
  <c r="CH37" i="20"/>
  <c r="CO37" i="20"/>
  <c r="CD38" i="20"/>
  <c r="AJ38" i="20" s="1"/>
  <c r="CH38" i="20"/>
  <c r="CO38" i="20"/>
  <c r="CD39" i="20"/>
  <c r="AJ39" i="20" s="1"/>
  <c r="CH39" i="20"/>
  <c r="CO39" i="20"/>
  <c r="CD40" i="20"/>
  <c r="AJ40" i="20" s="1"/>
  <c r="CH40" i="20"/>
  <c r="CO40" i="20"/>
  <c r="CD41" i="20"/>
  <c r="AJ41" i="20" s="1"/>
  <c r="CH41" i="20"/>
  <c r="CO41" i="20"/>
  <c r="CD42" i="20"/>
  <c r="AJ42" i="20" s="1"/>
  <c r="CH42" i="20"/>
  <c r="CO42" i="20"/>
  <c r="CD43" i="20"/>
  <c r="AJ43" i="20" s="1"/>
  <c r="CH43" i="20"/>
  <c r="CO43" i="20"/>
  <c r="CD44" i="20"/>
  <c r="AJ44" i="20" s="1"/>
  <c r="CH44" i="20"/>
  <c r="CO44" i="20"/>
  <c r="CD45" i="20"/>
  <c r="AJ45" i="20" s="1"/>
  <c r="CH45" i="20"/>
  <c r="CO45" i="20"/>
  <c r="CD46" i="20"/>
  <c r="AJ46" i="20" s="1"/>
  <c r="CH46" i="20"/>
  <c r="CO46" i="20"/>
  <c r="CD47" i="20"/>
  <c r="AJ47" i="20" s="1"/>
  <c r="CH47" i="20"/>
  <c r="CO47" i="20"/>
  <c r="CD48" i="20"/>
  <c r="AJ48" i="20" s="1"/>
  <c r="CH48" i="20"/>
  <c r="CO48" i="20"/>
  <c r="CD49" i="20"/>
  <c r="AJ49" i="20" s="1"/>
  <c r="CH49" i="20"/>
  <c r="CO49" i="20"/>
  <c r="CD50" i="20"/>
  <c r="AJ50" i="20" s="1"/>
  <c r="CH50" i="20"/>
  <c r="CO50" i="20"/>
  <c r="CE51" i="20"/>
  <c r="AJ51" i="20" s="1"/>
  <c r="CM51" i="20"/>
  <c r="CQ51" i="20"/>
  <c r="CB159" i="20"/>
  <c r="S159" i="20" s="1"/>
  <c r="CA171" i="20"/>
  <c r="J171" i="20" s="1"/>
  <c r="CA173" i="20"/>
  <c r="J173" i="20" s="1"/>
  <c r="CA175" i="20"/>
  <c r="J175" i="20" s="1"/>
  <c r="CA177" i="20"/>
  <c r="J177" i="20" s="1"/>
  <c r="CA179" i="20"/>
  <c r="J179" i="20" s="1"/>
  <c r="CA181" i="20"/>
  <c r="J181" i="20" s="1"/>
  <c r="CA183" i="20"/>
  <c r="J183" i="20" s="1"/>
  <c r="CA185" i="20"/>
  <c r="J185" i="20" s="1"/>
  <c r="CA187" i="20"/>
  <c r="J187" i="20" s="1"/>
  <c r="CA189" i="20"/>
  <c r="J189" i="20" s="1"/>
  <c r="CA191" i="20"/>
  <c r="J191" i="20" s="1"/>
  <c r="CA193" i="20"/>
  <c r="J193" i="20" s="1"/>
  <c r="CA195" i="20"/>
  <c r="J195" i="20" s="1"/>
  <c r="CA197" i="20"/>
  <c r="J197" i="20" s="1"/>
  <c r="CA199" i="20"/>
  <c r="J199" i="20" s="1"/>
  <c r="CA201" i="20"/>
  <c r="J201" i="20" s="1"/>
  <c r="CC56" i="21"/>
  <c r="CC58" i="21"/>
  <c r="CC60" i="21"/>
  <c r="CB73" i="21"/>
  <c r="CA73" i="21"/>
  <c r="CN73" i="21"/>
  <c r="CB75" i="21"/>
  <c r="CA75" i="21"/>
  <c r="AA75" i="21" s="1"/>
  <c r="CN75" i="21"/>
  <c r="B77" i="21"/>
  <c r="CE17" i="22"/>
  <c r="CF17" i="22"/>
  <c r="CB17" i="22"/>
  <c r="U17" i="22" s="1"/>
  <c r="CE18" i="22"/>
  <c r="CA18" i="22"/>
  <c r="U18" i="22" s="1"/>
  <c r="CF18" i="22"/>
  <c r="CE27" i="22"/>
  <c r="CF27" i="22"/>
  <c r="CB27" i="22"/>
  <c r="CE28" i="22"/>
  <c r="CA28" i="22"/>
  <c r="U28" i="22" s="1"/>
  <c r="CF28" i="22"/>
  <c r="CF49" i="22"/>
  <c r="CF56" i="22"/>
  <c r="CE56" i="22"/>
  <c r="CB56" i="22"/>
  <c r="CA56" i="22"/>
  <c r="R56" i="22" s="1"/>
  <c r="D32" i="24"/>
  <c r="A138" i="24" s="1"/>
  <c r="E27" i="29" s="1"/>
  <c r="CJ71" i="25"/>
  <c r="CC71" i="25"/>
  <c r="CD71" i="25"/>
  <c r="CK71" i="25"/>
  <c r="CB71" i="25"/>
  <c r="CI71" i="25"/>
  <c r="CA71" i="25"/>
  <c r="U71" i="25" s="1"/>
  <c r="CH71" i="25"/>
  <c r="CJ73" i="25"/>
  <c r="CC73" i="25"/>
  <c r="CD73" i="25"/>
  <c r="CK73" i="25"/>
  <c r="CB73" i="25"/>
  <c r="CI73" i="25"/>
  <c r="CA73" i="25"/>
  <c r="U73" i="25" s="1"/>
  <c r="CH73" i="25"/>
  <c r="CJ75" i="25"/>
  <c r="CC75" i="25"/>
  <c r="CD75" i="25"/>
  <c r="CK75" i="25"/>
  <c r="CB75" i="25"/>
  <c r="CI75" i="25"/>
  <c r="CA75" i="25"/>
  <c r="U75" i="25" s="1"/>
  <c r="CH75" i="25"/>
  <c r="CJ77" i="25"/>
  <c r="CC77" i="25"/>
  <c r="CD77" i="25"/>
  <c r="CK77" i="25"/>
  <c r="CB77" i="25"/>
  <c r="CI77" i="25"/>
  <c r="CA77" i="25"/>
  <c r="U77" i="25" s="1"/>
  <c r="CH77" i="25"/>
  <c r="CJ79" i="25"/>
  <c r="CC79" i="25"/>
  <c r="CD79" i="25"/>
  <c r="CK79" i="25"/>
  <c r="CB79" i="25"/>
  <c r="CI79" i="25"/>
  <c r="CA79" i="25"/>
  <c r="U79" i="25" s="1"/>
  <c r="CH79" i="25"/>
  <c r="CJ81" i="25"/>
  <c r="CC81" i="25"/>
  <c r="CD81" i="25"/>
  <c r="CK81" i="25"/>
  <c r="CB81" i="25"/>
  <c r="CI81" i="25"/>
  <c r="CA81" i="25"/>
  <c r="U81" i="25" s="1"/>
  <c r="CH81" i="25"/>
  <c r="CJ83" i="25"/>
  <c r="CC83" i="25"/>
  <c r="CD83" i="25"/>
  <c r="CK83" i="25"/>
  <c r="CB83" i="25"/>
  <c r="CI83" i="25"/>
  <c r="CA83" i="25"/>
  <c r="U83" i="25" s="1"/>
  <c r="CH83" i="25"/>
  <c r="CO133" i="26"/>
  <c r="CF133" i="26"/>
  <c r="CB133" i="26"/>
  <c r="CP133" i="26"/>
  <c r="CE133" i="26"/>
  <c r="CQ133" i="26"/>
  <c r="CD133" i="26"/>
  <c r="CN133" i="26"/>
  <c r="CC133" i="26"/>
  <c r="CM133" i="26"/>
  <c r="CL133" i="26"/>
  <c r="CA133" i="26"/>
  <c r="BS51" i="19"/>
  <c r="BS53" i="19"/>
  <c r="BS55" i="19"/>
  <c r="BS57" i="19"/>
  <c r="CG11" i="20"/>
  <c r="CP11" i="20"/>
  <c r="CE12" i="20"/>
  <c r="CL12" i="20"/>
  <c r="CE13" i="20"/>
  <c r="CL13" i="20"/>
  <c r="CE14" i="20"/>
  <c r="AJ14" i="20" s="1"/>
  <c r="CL14" i="20"/>
  <c r="CE15" i="20"/>
  <c r="CL15" i="20"/>
  <c r="CE16" i="20"/>
  <c r="CL16" i="20"/>
  <c r="CE17" i="20"/>
  <c r="CL17" i="20"/>
  <c r="CE18" i="20"/>
  <c r="CL18" i="20"/>
  <c r="CE19" i="20"/>
  <c r="CL19" i="20"/>
  <c r="CE20" i="20"/>
  <c r="CL20" i="20"/>
  <c r="CE21" i="20"/>
  <c r="CL21" i="20"/>
  <c r="CE22" i="20"/>
  <c r="CL22" i="20"/>
  <c r="CF23" i="20"/>
  <c r="CM23" i="20"/>
  <c r="CF25" i="20"/>
  <c r="AJ25" i="20" s="1"/>
  <c r="CM25" i="20"/>
  <c r="CE28" i="20"/>
  <c r="CL28" i="20"/>
  <c r="CE29" i="20"/>
  <c r="CL29" i="20"/>
  <c r="CE30" i="20"/>
  <c r="CL30" i="20"/>
  <c r="CE31" i="20"/>
  <c r="CL31" i="20"/>
  <c r="CE32" i="20"/>
  <c r="CL32" i="20"/>
  <c r="CE33" i="20"/>
  <c r="AJ33" i="20" s="1"/>
  <c r="CL33" i="20"/>
  <c r="CE34" i="20"/>
  <c r="CL34" i="20"/>
  <c r="CE35" i="20"/>
  <c r="CL35" i="20"/>
  <c r="CE36" i="20"/>
  <c r="CL36" i="20"/>
  <c r="CE37" i="20"/>
  <c r="CL37" i="20"/>
  <c r="CE38" i="20"/>
  <c r="CL38" i="20"/>
  <c r="CE39" i="20"/>
  <c r="CL39" i="20"/>
  <c r="CE40" i="20"/>
  <c r="CL40" i="20"/>
  <c r="CE41" i="20"/>
  <c r="CL41" i="20"/>
  <c r="CE42" i="20"/>
  <c r="CL42" i="20"/>
  <c r="CE43" i="20"/>
  <c r="CL43" i="20"/>
  <c r="CE44" i="20"/>
  <c r="CL44" i="20"/>
  <c r="CE45" i="20"/>
  <c r="CL45" i="20"/>
  <c r="CE46" i="20"/>
  <c r="CL46" i="20"/>
  <c r="CE47" i="20"/>
  <c r="CL47" i="20"/>
  <c r="CE48" i="20"/>
  <c r="CL48" i="20"/>
  <c r="CE49" i="20"/>
  <c r="CL49" i="20"/>
  <c r="CE50" i="20"/>
  <c r="CL50" i="20"/>
  <c r="CF51" i="20"/>
  <c r="CN51" i="20"/>
  <c r="CK83" i="20"/>
  <c r="CK87" i="20"/>
  <c r="CK91" i="20"/>
  <c r="CK95" i="20"/>
  <c r="CL156" i="20"/>
  <c r="CB156" i="20"/>
  <c r="S156" i="20" s="1"/>
  <c r="CB157" i="20"/>
  <c r="S157" i="20" s="1"/>
  <c r="CL159" i="20"/>
  <c r="CB163" i="20"/>
  <c r="S163" i="20" s="1"/>
  <c r="CO16" i="21"/>
  <c r="CO20" i="21"/>
  <c r="CO57" i="21"/>
  <c r="CB57" i="21"/>
  <c r="CN57" i="21"/>
  <c r="CA57" i="21"/>
  <c r="I57" i="21" s="1"/>
  <c r="CM57" i="21"/>
  <c r="CO59" i="21"/>
  <c r="CB59" i="21"/>
  <c r="CN59" i="21"/>
  <c r="CA59" i="21"/>
  <c r="CM59" i="21"/>
  <c r="B61" i="21"/>
  <c r="CM73" i="21"/>
  <c r="CM75" i="21"/>
  <c r="I118" i="21"/>
  <c r="CM149" i="21"/>
  <c r="CA149" i="21"/>
  <c r="AP149" i="21" s="1"/>
  <c r="CM153" i="21"/>
  <c r="CA153" i="21"/>
  <c r="AP153" i="21" s="1"/>
  <c r="CM157" i="21"/>
  <c r="CA157" i="21"/>
  <c r="AP157" i="21" s="1"/>
  <c r="CM161" i="21"/>
  <c r="CA161" i="21"/>
  <c r="AP161" i="21" s="1"/>
  <c r="CM165" i="21"/>
  <c r="CA165" i="21"/>
  <c r="AP165" i="21" s="1"/>
  <c r="CM169" i="21"/>
  <c r="CA169" i="21"/>
  <c r="AP169" i="21" s="1"/>
  <c r="CM173" i="21"/>
  <c r="CA173" i="21"/>
  <c r="AP173" i="21" s="1"/>
  <c r="CM177" i="21"/>
  <c r="CA177" i="21"/>
  <c r="AP177" i="21" s="1"/>
  <c r="CM180" i="21"/>
  <c r="CA180" i="21"/>
  <c r="AP180" i="21" s="1"/>
  <c r="CE15" i="22"/>
  <c r="CF15" i="22"/>
  <c r="CB15" i="22"/>
  <c r="CA15" i="22"/>
  <c r="U15" i="22" s="1"/>
  <c r="CE25" i="22"/>
  <c r="CF25" i="22"/>
  <c r="CB25" i="22"/>
  <c r="CA25" i="22"/>
  <c r="U25" i="22" s="1"/>
  <c r="CF40" i="22"/>
  <c r="CE40" i="22"/>
  <c r="CB40" i="22"/>
  <c r="CA40" i="22"/>
  <c r="R40" i="22" s="1"/>
  <c r="CB57" i="22"/>
  <c r="CE57" i="22"/>
  <c r="CA57" i="22"/>
  <c r="R57" i="22" s="1"/>
  <c r="CF65" i="22"/>
  <c r="CE65" i="22"/>
  <c r="CB65" i="22"/>
  <c r="CA65" i="22"/>
  <c r="R65" i="22" s="1"/>
  <c r="CI12" i="25"/>
  <c r="CB12" i="25"/>
  <c r="CK12" i="25"/>
  <c r="CC12" i="25"/>
  <c r="CJ12" i="25"/>
  <c r="CA12" i="25"/>
  <c r="CH12" i="25"/>
  <c r="CI14" i="25"/>
  <c r="CB14" i="25"/>
  <c r="CK14" i="25"/>
  <c r="CC14" i="25"/>
  <c r="CJ14" i="25"/>
  <c r="CA14" i="25"/>
  <c r="CH14" i="25"/>
  <c r="CI16" i="25"/>
  <c r="CB16" i="25"/>
  <c r="CK16" i="25"/>
  <c r="CC16" i="25"/>
  <c r="CJ16" i="25"/>
  <c r="CA16" i="25"/>
  <c r="AX16" i="25" s="1"/>
  <c r="CH16" i="25"/>
  <c r="CI18" i="25"/>
  <c r="CB18" i="25"/>
  <c r="CH18" i="25"/>
  <c r="CC18" i="25"/>
  <c r="CK18" i="25"/>
  <c r="CA18" i="25"/>
  <c r="AX18" i="25" s="1"/>
  <c r="CJ18" i="25"/>
  <c r="CB160" i="20"/>
  <c r="S160" i="20" s="1"/>
  <c r="CB164" i="20"/>
  <c r="S164" i="20" s="1"/>
  <c r="CB168" i="20"/>
  <c r="S168" i="20" s="1"/>
  <c r="CA65" i="21"/>
  <c r="AA65" i="21" s="1"/>
  <c r="CA67" i="21"/>
  <c r="AA67" i="21" s="1"/>
  <c r="CB74" i="21"/>
  <c r="AA74" i="21" s="1"/>
  <c r="CB76" i="21"/>
  <c r="AA76" i="21" s="1"/>
  <c r="CM201" i="21"/>
  <c r="CM205" i="21"/>
  <c r="CA213" i="21"/>
  <c r="Y213" i="21" s="1"/>
  <c r="B215" i="21"/>
  <c r="CE32" i="22"/>
  <c r="CF35" i="22"/>
  <c r="CE36" i="22"/>
  <c r="CE37" i="22"/>
  <c r="CB38" i="22"/>
  <c r="R38" i="22" s="1"/>
  <c r="CA39" i="22"/>
  <c r="R39" i="22" s="1"/>
  <c r="CF43" i="22"/>
  <c r="CE44" i="22"/>
  <c r="CE45" i="22"/>
  <c r="CB46" i="22"/>
  <c r="R46" i="22" s="1"/>
  <c r="CA47" i="22"/>
  <c r="R47" i="22" s="1"/>
  <c r="CF51" i="22"/>
  <c r="CE52" i="22"/>
  <c r="CE53" i="22"/>
  <c r="CB54" i="22"/>
  <c r="R54" i="22" s="1"/>
  <c r="CF61" i="22"/>
  <c r="CE62" i="22"/>
  <c r="CF68" i="22"/>
  <c r="CE69" i="22"/>
  <c r="CE70" i="22"/>
  <c r="CM13" i="26"/>
  <c r="CE13" i="26"/>
  <c r="CA13" i="26"/>
  <c r="CL13" i="26"/>
  <c r="CC13" i="26"/>
  <c r="CP13" i="26"/>
  <c r="CK13" i="26"/>
  <c r="CB13" i="26"/>
  <c r="CO13" i="26"/>
  <c r="CF13" i="26"/>
  <c r="CL29" i="26"/>
  <c r="CA29" i="26"/>
  <c r="CC29" i="26"/>
  <c r="CB29" i="26"/>
  <c r="CM29" i="26"/>
  <c r="AE90" i="26"/>
  <c r="C95" i="26"/>
  <c r="D104" i="26"/>
  <c r="CO134" i="26"/>
  <c r="CF134" i="26"/>
  <c r="CB134" i="26"/>
  <c r="CN134" i="26"/>
  <c r="CD134" i="26"/>
  <c r="CL134" i="26"/>
  <c r="CQ134" i="26"/>
  <c r="CE134" i="26"/>
  <c r="CA134" i="26"/>
  <c r="CP134" i="26"/>
  <c r="CM134" i="26"/>
  <c r="CJ21" i="27"/>
  <c r="CD21" i="27"/>
  <c r="CK21" i="27"/>
  <c r="CM21" i="27"/>
  <c r="CA21" i="27"/>
  <c r="CL21" i="27"/>
  <c r="CB21" i="27"/>
  <c r="CM74" i="21"/>
  <c r="CM76" i="21"/>
  <c r="CA14" i="22"/>
  <c r="CA19" i="22"/>
  <c r="CA24" i="22"/>
  <c r="CF32" i="22"/>
  <c r="CF37" i="22"/>
  <c r="CF45" i="22"/>
  <c r="CF53" i="22"/>
  <c r="R67" i="22"/>
  <c r="CF70" i="22"/>
  <c r="B66" i="25"/>
  <c r="A130" i="25" s="1"/>
  <c r="E28" i="29" s="1"/>
  <c r="CL55" i="26"/>
  <c r="CB55" i="26"/>
  <c r="CL63" i="26"/>
  <c r="CB63" i="26"/>
  <c r="CL71" i="26"/>
  <c r="CB71" i="26"/>
  <c r="CL79" i="26"/>
  <c r="CB79" i="26"/>
  <c r="CL87" i="26"/>
  <c r="CB87" i="26"/>
  <c r="CO98" i="26"/>
  <c r="CK98" i="26"/>
  <c r="CD98" i="26"/>
  <c r="CQ98" i="26"/>
  <c r="CL98" i="26"/>
  <c r="CC98" i="26"/>
  <c r="CM98" i="26"/>
  <c r="CB98" i="26"/>
  <c r="CG98" i="26"/>
  <c r="CA98" i="26"/>
  <c r="CP98" i="26"/>
  <c r="CF98" i="26"/>
  <c r="CQ99" i="26"/>
  <c r="CM99" i="26"/>
  <c r="CF99" i="26"/>
  <c r="CB99" i="26"/>
  <c r="CN99" i="26"/>
  <c r="CE99" i="26"/>
  <c r="CO99" i="26"/>
  <c r="CD99" i="26"/>
  <c r="CL99" i="26"/>
  <c r="CC99" i="26"/>
  <c r="CK99" i="26"/>
  <c r="CA99" i="26"/>
  <c r="CO102" i="26"/>
  <c r="CK102" i="26"/>
  <c r="CD102" i="26"/>
  <c r="CQ102" i="26"/>
  <c r="CL102" i="26"/>
  <c r="CC102" i="26"/>
  <c r="CM102" i="26"/>
  <c r="CB102" i="26"/>
  <c r="CG102" i="26"/>
  <c r="CA102" i="26"/>
  <c r="CP102" i="26"/>
  <c r="CF102" i="26"/>
  <c r="CQ103" i="26"/>
  <c r="CM103" i="26"/>
  <c r="CF103" i="26"/>
  <c r="CB103" i="26"/>
  <c r="CN103" i="26"/>
  <c r="CE103" i="26"/>
  <c r="CO103" i="26"/>
  <c r="CD103" i="26"/>
  <c r="CL103" i="26"/>
  <c r="CC103" i="26"/>
  <c r="CK103" i="26"/>
  <c r="CA103" i="26"/>
  <c r="CP116" i="26"/>
  <c r="CF116" i="26"/>
  <c r="B118" i="26"/>
  <c r="CO116" i="26"/>
  <c r="CK116" i="26"/>
  <c r="CD116" i="26"/>
  <c r="CR116" i="26"/>
  <c r="CC116" i="26"/>
  <c r="CQ116" i="26"/>
  <c r="CH116" i="26"/>
  <c r="CN116" i="26"/>
  <c r="CG116" i="26"/>
  <c r="CA116" i="26"/>
  <c r="U116" i="26" s="1"/>
  <c r="CM116" i="26"/>
  <c r="CO135" i="26"/>
  <c r="CF135" i="26"/>
  <c r="CB135" i="26"/>
  <c r="CM135" i="26"/>
  <c r="CC135" i="26"/>
  <c r="CN135" i="26"/>
  <c r="CA135" i="26"/>
  <c r="CL135" i="26"/>
  <c r="CP135" i="26"/>
  <c r="CE135" i="26"/>
  <c r="CD135" i="26"/>
  <c r="CL157" i="26"/>
  <c r="CM157" i="26"/>
  <c r="CA157" i="26"/>
  <c r="CB157" i="26"/>
  <c r="CM18" i="27"/>
  <c r="CD18" i="27"/>
  <c r="CC18" i="27"/>
  <c r="CB18" i="27"/>
  <c r="CL18" i="27"/>
  <c r="CA18" i="27"/>
  <c r="AS18" i="27" s="1"/>
  <c r="CK18" i="27"/>
  <c r="CJ18" i="27"/>
  <c r="CA43" i="27" a="1"/>
  <c r="CA43" i="27" s="1"/>
  <c r="AX43" i="27" s="1"/>
  <c r="CK43" i="27"/>
  <c r="CB43" i="27"/>
  <c r="CJ43" i="27" a="1"/>
  <c r="CJ43" i="27" s="1"/>
  <c r="BU43" i="27" s="1"/>
  <c r="CM65" i="21"/>
  <c r="CB14" i="22"/>
  <c r="CB19" i="22"/>
  <c r="CB24" i="22"/>
  <c r="C33" i="22"/>
  <c r="A205" i="22" s="1"/>
  <c r="E25" i="29" s="1"/>
  <c r="CA36" i="22"/>
  <c r="R36" i="22" s="1"/>
  <c r="CF39" i="22"/>
  <c r="CA44" i="22"/>
  <c r="R44" i="22" s="1"/>
  <c r="CF47" i="22"/>
  <c r="CA52" i="22"/>
  <c r="R52" i="22" s="1"/>
  <c r="CF55" i="22"/>
  <c r="CB58" i="22"/>
  <c r="R58" i="22" s="1"/>
  <c r="CA61" i="22"/>
  <c r="R61" i="22" s="1"/>
  <c r="CA62" i="22"/>
  <c r="R62" i="22" s="1"/>
  <c r="CB67" i="22"/>
  <c r="CA68" i="22"/>
  <c r="R68" i="22" s="1"/>
  <c r="CA69" i="22"/>
  <c r="R69" i="22" s="1"/>
  <c r="CI19" i="25"/>
  <c r="CB19" i="25"/>
  <c r="CK19" i="25"/>
  <c r="CC19" i="25"/>
  <c r="CA19" i="25"/>
  <c r="AX19" i="25" s="1"/>
  <c r="CI20" i="25"/>
  <c r="CB20" i="25"/>
  <c r="AX20" i="25" s="1"/>
  <c r="CH20" i="25"/>
  <c r="CC20" i="25"/>
  <c r="CI21" i="25"/>
  <c r="CB21" i="25"/>
  <c r="CK21" i="25"/>
  <c r="CC21" i="25"/>
  <c r="CA21" i="25"/>
  <c r="CI22" i="25"/>
  <c r="CB22" i="25"/>
  <c r="AX22" i="25" s="1"/>
  <c r="CH22" i="25"/>
  <c r="CC22" i="25"/>
  <c r="CI23" i="25"/>
  <c r="CB23" i="25"/>
  <c r="CK23" i="25"/>
  <c r="CC23" i="25"/>
  <c r="CA23" i="25"/>
  <c r="AX23" i="25" s="1"/>
  <c r="CI24" i="25"/>
  <c r="CB24" i="25"/>
  <c r="AX24" i="25" s="1"/>
  <c r="CH24" i="25"/>
  <c r="CC24" i="25"/>
  <c r="CI25" i="25"/>
  <c r="CB25" i="25"/>
  <c r="CK25" i="25"/>
  <c r="CC25" i="25"/>
  <c r="CA25" i="25"/>
  <c r="CI26" i="25"/>
  <c r="CB26" i="25"/>
  <c r="AX26" i="25" s="1"/>
  <c r="CH26" i="25"/>
  <c r="CK26" i="25"/>
  <c r="CC26" i="25"/>
  <c r="CE98" i="26"/>
  <c r="CG99" i="26"/>
  <c r="CE102" i="26"/>
  <c r="CG103" i="26"/>
  <c r="CR117" i="26"/>
  <c r="CN117" i="26"/>
  <c r="CH117" i="26"/>
  <c r="CD117" i="26"/>
  <c r="CM117" i="26"/>
  <c r="CF117" i="26"/>
  <c r="CA117" i="26"/>
  <c r="CQ117" i="26"/>
  <c r="CO117" i="26"/>
  <c r="CE117" i="26"/>
  <c r="CC117" i="26"/>
  <c r="CK117" i="26"/>
  <c r="CP117" i="26"/>
  <c r="E140" i="26"/>
  <c r="C140" i="26" s="1"/>
  <c r="CA140" i="26" s="1"/>
  <c r="C131" i="26"/>
  <c r="CQ135" i="26"/>
  <c r="CL160" i="26"/>
  <c r="CB160" i="26"/>
  <c r="CA160" i="26"/>
  <c r="AJ160" i="26" s="1"/>
  <c r="CA206" i="26"/>
  <c r="M206" i="26" s="1"/>
  <c r="CK206" i="26"/>
  <c r="CB206" i="26"/>
  <c r="CL206" i="26"/>
  <c r="CC11" i="26"/>
  <c r="CC15" i="26"/>
  <c r="B16" i="26"/>
  <c r="CE35" i="26"/>
  <c r="CE36" i="26"/>
  <c r="CL36" i="26"/>
  <c r="CE37" i="26"/>
  <c r="CL37" i="26"/>
  <c r="CE38" i="26"/>
  <c r="CL38" i="26"/>
  <c r="CE39" i="26"/>
  <c r="CL39" i="26"/>
  <c r="CE40" i="26"/>
  <c r="CL40" i="26"/>
  <c r="CE41" i="26"/>
  <c r="CL41" i="26"/>
  <c r="CE42" i="26"/>
  <c r="CL42" i="26"/>
  <c r="CE43" i="26"/>
  <c r="CL43" i="26"/>
  <c r="CE44" i="26"/>
  <c r="CL44" i="26"/>
  <c r="CE45" i="26"/>
  <c r="CL45" i="26"/>
  <c r="CE46" i="26"/>
  <c r="CL46" i="26"/>
  <c r="CE47" i="26"/>
  <c r="CL49" i="26"/>
  <c r="CL53" i="26"/>
  <c r="CL57" i="26"/>
  <c r="CL61" i="26"/>
  <c r="CL65" i="26"/>
  <c r="CL69" i="26"/>
  <c r="CL73" i="26"/>
  <c r="CL77" i="26"/>
  <c r="CL81" i="26"/>
  <c r="CL85" i="26"/>
  <c r="CL89" i="26"/>
  <c r="CO100" i="26"/>
  <c r="CK100" i="26"/>
  <c r="CD100" i="26"/>
  <c r="CQ100" i="26"/>
  <c r="CL100" i="26"/>
  <c r="CC100" i="26"/>
  <c r="CB100" i="26"/>
  <c r="AV100" i="26" s="1"/>
  <c r="CM100" i="26"/>
  <c r="CO139" i="26"/>
  <c r="CF139" i="26"/>
  <c r="CB139" i="26"/>
  <c r="CM139" i="26"/>
  <c r="CC139" i="26"/>
  <c r="CL139" i="26"/>
  <c r="CQ139" i="26"/>
  <c r="CE139" i="26"/>
  <c r="AU139" i="26" s="1"/>
  <c r="CD139" i="26"/>
  <c r="CO141" i="26"/>
  <c r="CF141" i="26"/>
  <c r="CB141" i="26"/>
  <c r="CM141" i="26"/>
  <c r="CC141" i="26"/>
  <c r="CQ141" i="26"/>
  <c r="CE141" i="26"/>
  <c r="CP141" i="26"/>
  <c r="CD141" i="26"/>
  <c r="CA141" i="26"/>
  <c r="CO142" i="26"/>
  <c r="CF142" i="26"/>
  <c r="CB142" i="26"/>
  <c r="CQ142" i="26"/>
  <c r="CL142" i="26"/>
  <c r="CA142" i="26"/>
  <c r="CN142" i="26"/>
  <c r="CC142" i="26"/>
  <c r="CM142" i="26"/>
  <c r="CO143" i="26"/>
  <c r="CF143" i="26"/>
  <c r="CB143" i="26"/>
  <c r="CP143" i="26"/>
  <c r="CE143" i="26"/>
  <c r="CL143" i="26"/>
  <c r="CQ143" i="26"/>
  <c r="CD143" i="26"/>
  <c r="CC143" i="26"/>
  <c r="AU143" i="26" s="1"/>
  <c r="CO145" i="26"/>
  <c r="CF145" i="26"/>
  <c r="CB145" i="26"/>
  <c r="CM145" i="26"/>
  <c r="CC145" i="26"/>
  <c r="CP145" i="26"/>
  <c r="CD145" i="26"/>
  <c r="CN145" i="26"/>
  <c r="CA145" i="26"/>
  <c r="CQ145" i="26"/>
  <c r="CO147" i="26"/>
  <c r="CF147" i="26"/>
  <c r="CB147" i="26"/>
  <c r="CP147" i="26"/>
  <c r="CE147" i="26"/>
  <c r="CQ147" i="26"/>
  <c r="CD147" i="26"/>
  <c r="CN147" i="26"/>
  <c r="CC147" i="26"/>
  <c r="AU147" i="26" s="1"/>
  <c r="CO148" i="26"/>
  <c r="CF148" i="26"/>
  <c r="CB148" i="26"/>
  <c r="CN148" i="26"/>
  <c r="CD148" i="26"/>
  <c r="CL148" i="26"/>
  <c r="CQ148" i="26"/>
  <c r="CE148" i="26"/>
  <c r="CC148" i="26"/>
  <c r="AU148" i="26" s="1"/>
  <c r="CO149" i="26"/>
  <c r="CF149" i="26"/>
  <c r="CB149" i="26"/>
  <c r="CM149" i="26"/>
  <c r="CC149" i="26"/>
  <c r="CN149" i="26"/>
  <c r="CA149" i="26"/>
  <c r="CL149" i="26"/>
  <c r="CQ149" i="26"/>
  <c r="CL162" i="26"/>
  <c r="CA162" i="26"/>
  <c r="AJ162" i="26" s="1"/>
  <c r="CM162" i="26"/>
  <c r="CA201" i="26"/>
  <c r="V201" i="26" s="1"/>
  <c r="CL201" i="26"/>
  <c r="CK201" i="26"/>
  <c r="CK45" i="27"/>
  <c r="CJ45" i="27" a="1"/>
  <c r="CJ45" i="27" s="1"/>
  <c r="BU45" i="27" s="1"/>
  <c r="CB45" i="27"/>
  <c r="CA45" i="27" a="1"/>
  <c r="CA45" i="27" s="1"/>
  <c r="AX45" i="27" s="1"/>
  <c r="D85" i="25"/>
  <c r="C85" i="25" s="1"/>
  <c r="A236" i="26"/>
  <c r="E29" i="29" s="1"/>
  <c r="CM11" i="26"/>
  <c r="CE11" i="26"/>
  <c r="CA11" i="26"/>
  <c r="CD11" i="26"/>
  <c r="CN11" i="26"/>
  <c r="CM15" i="26"/>
  <c r="CE15" i="26"/>
  <c r="CA15" i="26"/>
  <c r="CD15" i="26"/>
  <c r="CN15" i="26"/>
  <c r="CL28" i="26"/>
  <c r="CA28" i="26"/>
  <c r="Z28" i="26" s="1"/>
  <c r="CK28" i="26"/>
  <c r="CQ35" i="26"/>
  <c r="CM35" i="26"/>
  <c r="CG35" i="26"/>
  <c r="CC35" i="26"/>
  <c r="CA35" i="26"/>
  <c r="CF35" i="26"/>
  <c r="CN35" i="26"/>
  <c r="CQ36" i="26"/>
  <c r="CM36" i="26"/>
  <c r="CG36" i="26"/>
  <c r="CC36" i="26"/>
  <c r="CA36" i="26"/>
  <c r="AT36" i="26" s="1"/>
  <c r="CF36" i="26"/>
  <c r="CN36" i="26"/>
  <c r="CQ37" i="26"/>
  <c r="CM37" i="26"/>
  <c r="CG37" i="26"/>
  <c r="CC37" i="26"/>
  <c r="CA37" i="26"/>
  <c r="CF37" i="26"/>
  <c r="CN37" i="26"/>
  <c r="CQ38" i="26"/>
  <c r="CM38" i="26"/>
  <c r="CG38" i="26"/>
  <c r="CC38" i="26"/>
  <c r="CA38" i="26"/>
  <c r="CF38" i="26"/>
  <c r="CN38" i="26"/>
  <c r="CQ39" i="26"/>
  <c r="CM39" i="26"/>
  <c r="CG39" i="26"/>
  <c r="CC39" i="26"/>
  <c r="CA39" i="26"/>
  <c r="CF39" i="26"/>
  <c r="CN39" i="26"/>
  <c r="CQ40" i="26"/>
  <c r="CM40" i="26"/>
  <c r="CG40" i="26"/>
  <c r="CC40" i="26"/>
  <c r="CA40" i="26"/>
  <c r="AT40" i="26" s="1"/>
  <c r="CF40" i="26"/>
  <c r="CN40" i="26"/>
  <c r="CQ41" i="26"/>
  <c r="CM41" i="26"/>
  <c r="CG41" i="26"/>
  <c r="CC41" i="26"/>
  <c r="CA41" i="26"/>
  <c r="CF41" i="26"/>
  <c r="CN41" i="26"/>
  <c r="CQ42" i="26"/>
  <c r="CM42" i="26"/>
  <c r="CG42" i="26"/>
  <c r="CC42" i="26"/>
  <c r="CA42" i="26"/>
  <c r="CF42" i="26"/>
  <c r="CN42" i="26"/>
  <c r="CQ43" i="26"/>
  <c r="CM43" i="26"/>
  <c r="CG43" i="26"/>
  <c r="CC43" i="26"/>
  <c r="CA43" i="26"/>
  <c r="CF43" i="26"/>
  <c r="CN43" i="26"/>
  <c r="CQ44" i="26"/>
  <c r="CM44" i="26"/>
  <c r="CG44" i="26"/>
  <c r="CC44" i="26"/>
  <c r="CA44" i="26"/>
  <c r="AT44" i="26" s="1"/>
  <c r="CF44" i="26"/>
  <c r="CN44" i="26"/>
  <c r="CQ45" i="26"/>
  <c r="CM45" i="26"/>
  <c r="CG45" i="26"/>
  <c r="CC45" i="26"/>
  <c r="CA45" i="26"/>
  <c r="CF45" i="26"/>
  <c r="CN45" i="26"/>
  <c r="CQ46" i="26"/>
  <c r="CM46" i="26"/>
  <c r="CG46" i="26"/>
  <c r="CC46" i="26"/>
  <c r="CA46" i="26"/>
  <c r="CF46" i="26"/>
  <c r="CN46" i="26"/>
  <c r="CO47" i="26"/>
  <c r="CR47" i="26"/>
  <c r="CM47" i="26"/>
  <c r="CG47" i="26"/>
  <c r="CC47" i="26"/>
  <c r="CA47" i="26"/>
  <c r="CF47" i="26"/>
  <c r="CN47" i="26"/>
  <c r="CO137" i="26"/>
  <c r="CF137" i="26"/>
  <c r="CB137" i="26"/>
  <c r="CP137" i="26"/>
  <c r="CE137" i="26"/>
  <c r="CN137" i="26"/>
  <c r="CC137" i="26"/>
  <c r="CM137" i="26"/>
  <c r="CA137" i="26"/>
  <c r="CO138" i="26"/>
  <c r="CF138" i="26"/>
  <c r="CB138" i="26"/>
  <c r="CN138" i="26"/>
  <c r="CD138" i="26"/>
  <c r="CQ138" i="26"/>
  <c r="CE138" i="26"/>
  <c r="CP138" i="26"/>
  <c r="CC138" i="26"/>
  <c r="CA138" i="26"/>
  <c r="CN139" i="26"/>
  <c r="E151" i="26"/>
  <c r="C151" i="26" s="1"/>
  <c r="CL169" i="26"/>
  <c r="CM169" i="26"/>
  <c r="CB169" i="26"/>
  <c r="CA169" i="26"/>
  <c r="CM14" i="27"/>
  <c r="CD14" i="27"/>
  <c r="CC14" i="27"/>
  <c r="CJ14" i="27"/>
  <c r="CB14" i="27"/>
  <c r="CM16" i="27"/>
  <c r="CD16" i="27"/>
  <c r="CK16" i="27"/>
  <c r="CA16" i="27"/>
  <c r="CB16" i="27"/>
  <c r="CL16" i="27"/>
  <c r="CJ16" i="27"/>
  <c r="CJ29" i="27"/>
  <c r="CA29" i="27"/>
  <c r="AS29" i="27" s="1"/>
  <c r="CD29" i="27"/>
  <c r="CM29" i="27"/>
  <c r="CB29" i="27"/>
  <c r="CL29" i="27"/>
  <c r="C39" i="27"/>
  <c r="CC39" i="27"/>
  <c r="CL39" i="27"/>
  <c r="CJ44" i="27" a="1"/>
  <c r="CJ44" i="27" s="1"/>
  <c r="BU44" i="27" s="1"/>
  <c r="CB44" i="27"/>
  <c r="CK44" i="27"/>
  <c r="CA44" i="27" a="1"/>
  <c r="CA44" i="27" s="1"/>
  <c r="CF11" i="26"/>
  <c r="CO11" i="26"/>
  <c r="CF15" i="26"/>
  <c r="CO15" i="26"/>
  <c r="CM28" i="26"/>
  <c r="Z90" i="26"/>
  <c r="CB35" i="26"/>
  <c r="CH35" i="26"/>
  <c r="CO35" i="26"/>
  <c r="CH36" i="26"/>
  <c r="CO36" i="26"/>
  <c r="CH37" i="26"/>
  <c r="CO37" i="26"/>
  <c r="CH38" i="26"/>
  <c r="CO38" i="26"/>
  <c r="CH39" i="26"/>
  <c r="CO39" i="26"/>
  <c r="CH40" i="26"/>
  <c r="CO40" i="26"/>
  <c r="CH41" i="26"/>
  <c r="CO41" i="26"/>
  <c r="CH42" i="26"/>
  <c r="CO42" i="26"/>
  <c r="CH43" i="26"/>
  <c r="CO43" i="26"/>
  <c r="CH44" i="26"/>
  <c r="CO44" i="26"/>
  <c r="CH45" i="26"/>
  <c r="CO45" i="26"/>
  <c r="CH46" i="26"/>
  <c r="CO46" i="26"/>
  <c r="CH47" i="26"/>
  <c r="CP47" i="26"/>
  <c r="B90" i="26"/>
  <c r="CO96" i="26"/>
  <c r="CK96" i="26"/>
  <c r="CD96" i="26"/>
  <c r="CQ96" i="26"/>
  <c r="CL96" i="26"/>
  <c r="CC96" i="26"/>
  <c r="AV96" i="26" s="1"/>
  <c r="CF96" i="26"/>
  <c r="CP96" i="26"/>
  <c r="CF100" i="26"/>
  <c r="CP100" i="26"/>
  <c r="CD137" i="26"/>
  <c r="CL138" i="26"/>
  <c r="CP139" i="26"/>
  <c r="CN141" i="26"/>
  <c r="CE142" i="26"/>
  <c r="CN143" i="26"/>
  <c r="CE145" i="26"/>
  <c r="CL147" i="26"/>
  <c r="CP148" i="26"/>
  <c r="CE149" i="26"/>
  <c r="CL156" i="26"/>
  <c r="CB156" i="26"/>
  <c r="CM156" i="26"/>
  <c r="CA156" i="26"/>
  <c r="AJ156" i="26" s="1"/>
  <c r="CL158" i="26"/>
  <c r="CM158" i="26"/>
  <c r="CB158" i="26"/>
  <c r="AJ158" i="26" s="1"/>
  <c r="CL170" i="26"/>
  <c r="CB170" i="26"/>
  <c r="CA170" i="26"/>
  <c r="D12" i="27"/>
  <c r="CA14" i="27"/>
  <c r="CM17" i="27"/>
  <c r="CD17" i="27"/>
  <c r="CJ17" i="27"/>
  <c r="CB17" i="27"/>
  <c r="CL17" i="27"/>
  <c r="CA17" i="27"/>
  <c r="CM20" i="27"/>
  <c r="CD20" i="27"/>
  <c r="CK20" i="27"/>
  <c r="CA20" i="27"/>
  <c r="CL20" i="27"/>
  <c r="CJ20" i="27"/>
  <c r="CC20" i="27"/>
  <c r="D28" i="27"/>
  <c r="CJ33" i="27"/>
  <c r="CA33" i="27"/>
  <c r="CD33" i="27"/>
  <c r="CL33" i="27"/>
  <c r="CB33" i="27"/>
  <c r="CM33" i="27"/>
  <c r="CD39" i="27"/>
  <c r="CM39" i="27"/>
  <c r="CA46" i="27" a="1"/>
  <c r="CA46" i="27" s="1"/>
  <c r="CK46" i="27"/>
  <c r="CB46" i="27"/>
  <c r="CJ46" i="27" a="1"/>
  <c r="CJ46" i="27" s="1"/>
  <c r="BU46" i="27" s="1"/>
  <c r="CK49" i="27"/>
  <c r="CJ49" i="27" a="1"/>
  <c r="CJ49" i="27" s="1"/>
  <c r="BU49" i="27" s="1"/>
  <c r="CB49" i="27"/>
  <c r="CA49" i="27" a="1"/>
  <c r="CA49" i="27" s="1"/>
  <c r="CC41" i="27"/>
  <c r="C41" i="27"/>
  <c r="CI48" i="28"/>
  <c r="CA48" i="28"/>
  <c r="AK48" i="28" s="1"/>
  <c r="CI64" i="28"/>
  <c r="CA64" i="28"/>
  <c r="AK64" i="28" s="1"/>
  <c r="CI67" i="28"/>
  <c r="CA67" i="28"/>
  <c r="AK67" i="28" s="1"/>
  <c r="CI87" i="28"/>
  <c r="CA87" i="28"/>
  <c r="W87" i="28" s="1"/>
  <c r="CO125" i="26"/>
  <c r="CK125" i="26"/>
  <c r="CD125" i="26"/>
  <c r="CP125" i="26"/>
  <c r="CG125" i="26"/>
  <c r="CB125" i="26"/>
  <c r="CF125" i="26"/>
  <c r="CQ125" i="26"/>
  <c r="CO132" i="26"/>
  <c r="CF132" i="26"/>
  <c r="CB132" i="26"/>
  <c r="CQ132" i="26"/>
  <c r="CL132" i="26"/>
  <c r="CA132" i="26"/>
  <c r="CE132" i="26"/>
  <c r="CO146" i="26"/>
  <c r="CF146" i="26"/>
  <c r="CB146" i="26"/>
  <c r="CQ146" i="26"/>
  <c r="CL146" i="26"/>
  <c r="CA146" i="26"/>
  <c r="AU146" i="26" s="1"/>
  <c r="CE146" i="26"/>
  <c r="CL161" i="26"/>
  <c r="CM161" i="26"/>
  <c r="CA161" i="26"/>
  <c r="AJ161" i="26" s="1"/>
  <c r="CL163" i="26"/>
  <c r="CA163" i="26"/>
  <c r="AJ163" i="26" s="1"/>
  <c r="CM163" i="26"/>
  <c r="CM13" i="27"/>
  <c r="CD13" i="27"/>
  <c r="CJ13" i="27"/>
  <c r="CB13" i="27"/>
  <c r="AS13" i="27" s="1"/>
  <c r="CM15" i="27"/>
  <c r="CD15" i="27"/>
  <c r="CL15" i="27"/>
  <c r="CB15" i="27"/>
  <c r="AS15" i="27" s="1"/>
  <c r="CJ15" i="27"/>
  <c r="CJ23" i="27"/>
  <c r="CA23" i="27"/>
  <c r="CL23" i="27"/>
  <c r="CB23" i="27"/>
  <c r="CM23" i="27"/>
  <c r="CK23" i="27"/>
  <c r="CJ27" i="27"/>
  <c r="CA27" i="27"/>
  <c r="CL27" i="27"/>
  <c r="CB27" i="27"/>
  <c r="CK27" i="27"/>
  <c r="CD27" i="27"/>
  <c r="CL41" i="27"/>
  <c r="CJ42" i="27" a="1"/>
  <c r="CJ42" i="27" s="1"/>
  <c r="BU42" i="27" s="1"/>
  <c r="CB42" i="27"/>
  <c r="CK42" i="27"/>
  <c r="CA42" i="27" a="1"/>
  <c r="CA42" i="27" s="1"/>
  <c r="CA50" i="27" a="1"/>
  <c r="CA50" i="27" s="1"/>
  <c r="CJ50" i="27" a="1"/>
  <c r="CJ50" i="27" s="1"/>
  <c r="BU50" i="27" s="1"/>
  <c r="CB50" i="27"/>
  <c r="CK50" i="27"/>
  <c r="CC12" i="26"/>
  <c r="AA12" i="26" s="1"/>
  <c r="CK12" i="26"/>
  <c r="CC14" i="26"/>
  <c r="AA14" i="26" s="1"/>
  <c r="CK14" i="26"/>
  <c r="CA125" i="26"/>
  <c r="AB125" i="26" s="1"/>
  <c r="CL125" i="26"/>
  <c r="CO130" i="26"/>
  <c r="CF130" i="26"/>
  <c r="CB130" i="26"/>
  <c r="CN130" i="26"/>
  <c r="CD130" i="26"/>
  <c r="CA130" i="26"/>
  <c r="CM130" i="26"/>
  <c r="CM132" i="26"/>
  <c r="CO136" i="26"/>
  <c r="CF136" i="26"/>
  <c r="CB136" i="26"/>
  <c r="CQ136" i="26"/>
  <c r="CL136" i="26"/>
  <c r="CA136" i="26"/>
  <c r="CE136" i="26"/>
  <c r="CO144" i="26"/>
  <c r="CF144" i="26"/>
  <c r="CB144" i="26"/>
  <c r="CN144" i="26"/>
  <c r="CD144" i="26"/>
  <c r="CA144" i="26"/>
  <c r="AU144" i="26" s="1"/>
  <c r="CM144" i="26"/>
  <c r="CM146" i="26"/>
  <c r="CO150" i="26"/>
  <c r="CF150" i="26"/>
  <c r="CB150" i="26"/>
  <c r="CQ150" i="26"/>
  <c r="CL150" i="26"/>
  <c r="CA150" i="26"/>
  <c r="AU150" i="26" s="1"/>
  <c r="CE150" i="26"/>
  <c r="CL159" i="26"/>
  <c r="CA159" i="26"/>
  <c r="AJ159" i="26" s="1"/>
  <c r="CM159" i="26"/>
  <c r="CB161" i="26"/>
  <c r="CL168" i="26"/>
  <c r="CB168" i="26"/>
  <c r="CA168" i="26"/>
  <c r="AJ168" i="26" s="1"/>
  <c r="CC13" i="27"/>
  <c r="CK15" i="27"/>
  <c r="D19" i="27"/>
  <c r="D24" i="27"/>
  <c r="CM27" i="27"/>
  <c r="CJ32" i="27"/>
  <c r="CA32" i="27"/>
  <c r="CK32" i="27"/>
  <c r="CL32" i="27"/>
  <c r="CD32" i="27"/>
  <c r="CA48" i="26"/>
  <c r="CE48" i="26"/>
  <c r="CK48" i="26"/>
  <c r="CA49" i="26"/>
  <c r="AT49" i="26" s="1"/>
  <c r="CE49" i="26"/>
  <c r="CK49" i="26"/>
  <c r="CA50" i="26"/>
  <c r="CE50" i="26"/>
  <c r="CK50" i="26"/>
  <c r="CA51" i="26"/>
  <c r="AT51" i="26" s="1"/>
  <c r="CE51" i="26"/>
  <c r="CK51" i="26"/>
  <c r="CA52" i="26"/>
  <c r="CE52" i="26"/>
  <c r="CK52" i="26"/>
  <c r="CA53" i="26"/>
  <c r="AT53" i="26" s="1"/>
  <c r="CE53" i="26"/>
  <c r="CK53" i="26"/>
  <c r="CA54" i="26"/>
  <c r="CE54" i="26"/>
  <c r="CK54" i="26"/>
  <c r="CA55" i="26"/>
  <c r="AT55" i="26" s="1"/>
  <c r="CE55" i="26"/>
  <c r="CK55" i="26"/>
  <c r="CA56" i="26"/>
  <c r="CE56" i="26"/>
  <c r="CK56" i="26"/>
  <c r="CA57" i="26"/>
  <c r="AT57" i="26" s="1"/>
  <c r="CE57" i="26"/>
  <c r="CK57" i="26"/>
  <c r="CA58" i="26"/>
  <c r="CE58" i="26"/>
  <c r="CK58" i="26"/>
  <c r="CA59" i="26"/>
  <c r="AT59" i="26" s="1"/>
  <c r="CE59" i="26"/>
  <c r="CK59" i="26"/>
  <c r="CA60" i="26"/>
  <c r="CE60" i="26"/>
  <c r="CK60" i="26"/>
  <c r="CA61" i="26"/>
  <c r="AT61" i="26" s="1"/>
  <c r="CE61" i="26"/>
  <c r="CK61" i="26"/>
  <c r="CA62" i="26"/>
  <c r="CE62" i="26"/>
  <c r="CK62" i="26"/>
  <c r="CA63" i="26"/>
  <c r="AT63" i="26" s="1"/>
  <c r="CE63" i="26"/>
  <c r="CK63" i="26"/>
  <c r="CA64" i="26"/>
  <c r="CE64" i="26"/>
  <c r="CK64" i="26"/>
  <c r="CA65" i="26"/>
  <c r="AT65" i="26" s="1"/>
  <c r="CE65" i="26"/>
  <c r="CK65" i="26"/>
  <c r="CA66" i="26"/>
  <c r="CE66" i="26"/>
  <c r="CK66" i="26"/>
  <c r="CA67" i="26"/>
  <c r="AT67" i="26" s="1"/>
  <c r="CE67" i="26"/>
  <c r="CK67" i="26"/>
  <c r="CA68" i="26"/>
  <c r="CE68" i="26"/>
  <c r="CK68" i="26"/>
  <c r="CA69" i="26"/>
  <c r="AT69" i="26" s="1"/>
  <c r="CE69" i="26"/>
  <c r="CK69" i="26"/>
  <c r="CA70" i="26"/>
  <c r="CE70" i="26"/>
  <c r="CK70" i="26"/>
  <c r="CA71" i="26"/>
  <c r="AT71" i="26" s="1"/>
  <c r="CE71" i="26"/>
  <c r="CK71" i="26"/>
  <c r="CA72" i="26"/>
  <c r="CE72" i="26"/>
  <c r="CK72" i="26"/>
  <c r="CA73" i="26"/>
  <c r="AT73" i="26" s="1"/>
  <c r="CE73" i="26"/>
  <c r="CK73" i="26"/>
  <c r="CA74" i="26"/>
  <c r="CE74" i="26"/>
  <c r="CK74" i="26"/>
  <c r="CA75" i="26"/>
  <c r="AT75" i="26" s="1"/>
  <c r="CE75" i="26"/>
  <c r="CK75" i="26"/>
  <c r="CA76" i="26"/>
  <c r="CE76" i="26"/>
  <c r="CK76" i="26"/>
  <c r="CA77" i="26"/>
  <c r="AT77" i="26" s="1"/>
  <c r="CE77" i="26"/>
  <c r="CK77" i="26"/>
  <c r="CA78" i="26"/>
  <c r="CE78" i="26"/>
  <c r="CK78" i="26"/>
  <c r="CA79" i="26"/>
  <c r="AT79" i="26" s="1"/>
  <c r="CE79" i="26"/>
  <c r="CK79" i="26"/>
  <c r="CA80" i="26"/>
  <c r="CE80" i="26"/>
  <c r="CK80" i="26"/>
  <c r="CA81" i="26"/>
  <c r="AT81" i="26" s="1"/>
  <c r="CE81" i="26"/>
  <c r="CK81" i="26"/>
  <c r="CA82" i="26"/>
  <c r="CE82" i="26"/>
  <c r="CK82" i="26"/>
  <c r="CA83" i="26"/>
  <c r="AT83" i="26" s="1"/>
  <c r="CE83" i="26"/>
  <c r="CK83" i="26"/>
  <c r="CA84" i="26"/>
  <c r="CE84" i="26"/>
  <c r="CK84" i="26"/>
  <c r="CA85" i="26"/>
  <c r="AT85" i="26" s="1"/>
  <c r="CE85" i="26"/>
  <c r="CK85" i="26"/>
  <c r="CA86" i="26"/>
  <c r="CE86" i="26"/>
  <c r="CK86" i="26"/>
  <c r="CA87" i="26"/>
  <c r="AT87" i="26" s="1"/>
  <c r="CE87" i="26"/>
  <c r="CK87" i="26"/>
  <c r="CA88" i="26"/>
  <c r="CE88" i="26"/>
  <c r="CK88" i="26"/>
  <c r="CA89" i="26"/>
  <c r="AT89" i="26" s="1"/>
  <c r="CE89" i="26"/>
  <c r="CK89" i="26"/>
  <c r="CC123" i="26"/>
  <c r="AB123" i="26" s="1"/>
  <c r="CG123" i="26"/>
  <c r="CO124" i="26"/>
  <c r="CK124" i="26"/>
  <c r="CC124" i="26"/>
  <c r="CG124" i="26"/>
  <c r="CP124" i="26"/>
  <c r="CJ25" i="27"/>
  <c r="CA25" i="27"/>
  <c r="CD25" i="27"/>
  <c r="CC25" i="27"/>
  <c r="D31" i="27"/>
  <c r="CK40" i="27"/>
  <c r="CA40" i="27" a="1"/>
  <c r="CA40" i="27" s="1"/>
  <c r="AX40" i="27" s="1"/>
  <c r="CB40" i="27"/>
  <c r="CJ47" i="27" a="1"/>
  <c r="CJ47" i="27" s="1"/>
  <c r="CB47" i="27"/>
  <c r="AX47" i="27" s="1"/>
  <c r="CI47" i="28"/>
  <c r="CA47" i="28"/>
  <c r="AK47" i="28" s="1"/>
  <c r="CM41" i="27"/>
  <c r="CD41" i="27"/>
  <c r="C48" i="27"/>
  <c r="CI32" i="28"/>
  <c r="CA32" i="28"/>
  <c r="AK32" i="28" s="1"/>
  <c r="C49" i="28"/>
  <c r="CI55" i="28"/>
  <c r="CA55" i="28"/>
  <c r="AJ55" i="28" s="1"/>
  <c r="CI70" i="28"/>
  <c r="CA70" i="28"/>
  <c r="AK70" i="28" s="1"/>
  <c r="CI90" i="28"/>
  <c r="CA90" i="28"/>
  <c r="W90" i="28" s="1"/>
  <c r="CI93" i="28"/>
  <c r="CA93" i="28"/>
  <c r="W93" i="28" s="1"/>
  <c r="CI66" i="28"/>
  <c r="CA66" i="28"/>
  <c r="AK66" i="28" s="1"/>
  <c r="CI86" i="28"/>
  <c r="CA86" i="28"/>
  <c r="W86" i="28" s="1"/>
  <c r="CI89" i="28"/>
  <c r="CA89" i="28"/>
  <c r="W89" i="28" s="1"/>
  <c r="D22" i="27"/>
  <c r="D26" i="27"/>
  <c r="D30" i="27"/>
  <c r="D34" i="27"/>
  <c r="C51" i="27"/>
  <c r="CI13" i="28"/>
  <c r="CI14" i="28"/>
  <c r="CA14" i="28"/>
  <c r="AO14" i="28" s="1"/>
  <c r="CA15" i="28"/>
  <c r="AO15" i="28" s="1"/>
  <c r="C30" i="28"/>
  <c r="CI33" i="28"/>
  <c r="CA33" i="28"/>
  <c r="AK33" i="28" s="1"/>
  <c r="C37" i="28"/>
  <c r="C44" i="28"/>
  <c r="C68" i="28"/>
  <c r="CI71" i="28"/>
  <c r="CA71" i="28"/>
  <c r="AK71" i="28" s="1"/>
  <c r="CI92" i="28"/>
  <c r="CA92" i="28"/>
  <c r="W92" i="28" s="1"/>
  <c r="C35" i="28"/>
  <c r="C39" i="28"/>
  <c r="C42" i="28"/>
  <c r="C46" i="28"/>
  <c r="B56" i="28"/>
  <c r="X33" i="1" l="1"/>
  <c r="W33" i="1"/>
  <c r="Z33" i="1"/>
  <c r="V33" i="1"/>
  <c r="Y33" i="1"/>
  <c r="CI68" i="28"/>
  <c r="CA68" i="28"/>
  <c r="AK68" i="28" s="1"/>
  <c r="CI42" i="28"/>
  <c r="CA42" i="28"/>
  <c r="AK42" i="28" s="1"/>
  <c r="CI44" i="28"/>
  <c r="CA44" i="28"/>
  <c r="AK44" i="28" s="1"/>
  <c r="CI30" i="28"/>
  <c r="B150" i="28" s="1"/>
  <c r="D31" i="29" s="1"/>
  <c r="CA30" i="28"/>
  <c r="AK30" i="28" s="1"/>
  <c r="CJ30" i="27"/>
  <c r="CA30" i="27"/>
  <c r="AS30" i="27" s="1"/>
  <c r="CM30" i="27"/>
  <c r="CC30" i="27"/>
  <c r="CB30" i="27"/>
  <c r="CK30" i="27"/>
  <c r="CD30" i="27"/>
  <c r="CL30" i="27"/>
  <c r="CK48" i="27"/>
  <c r="CJ48" i="27" a="1"/>
  <c r="CJ48" i="27" s="1"/>
  <c r="BU48" i="27" s="1"/>
  <c r="CB48" i="27"/>
  <c r="CA48" i="27" a="1"/>
  <c r="CA48" i="27" s="1"/>
  <c r="AX48" i="27" s="1"/>
  <c r="AT88" i="26"/>
  <c r="AT84" i="26"/>
  <c r="AT80" i="26"/>
  <c r="AT76" i="26"/>
  <c r="AT72" i="26"/>
  <c r="AT68" i="26"/>
  <c r="AT64" i="26"/>
  <c r="AT60" i="26"/>
  <c r="AT56" i="26"/>
  <c r="AT52" i="26"/>
  <c r="AT48" i="26"/>
  <c r="AS32" i="27"/>
  <c r="CM19" i="27"/>
  <c r="CD19" i="27"/>
  <c r="CL19" i="27"/>
  <c r="CB19" i="27"/>
  <c r="CJ19" i="27"/>
  <c r="CC19" i="27"/>
  <c r="CK19" i="27"/>
  <c r="CA19" i="27"/>
  <c r="CK41" i="27"/>
  <c r="CJ41" i="27" a="1"/>
  <c r="CJ41" i="27" s="1"/>
  <c r="BU41" i="27" s="1"/>
  <c r="CA41" i="27" a="1"/>
  <c r="CA41" i="27" s="1"/>
  <c r="CB41" i="27"/>
  <c r="AS33" i="27"/>
  <c r="AS14" i="27"/>
  <c r="CJ39" i="27" a="1"/>
  <c r="CJ39" i="27" s="1"/>
  <c r="CA39" i="27" a="1"/>
  <c r="CA39" i="27" s="1"/>
  <c r="CK39" i="27"/>
  <c r="CB39" i="27"/>
  <c r="AJ169" i="26"/>
  <c r="AU138" i="26"/>
  <c r="AT45" i="26"/>
  <c r="AT41" i="26"/>
  <c r="AT37" i="26"/>
  <c r="AA15" i="26"/>
  <c r="AU141" i="26"/>
  <c r="U117" i="26"/>
  <c r="AX25" i="25"/>
  <c r="AV102" i="26"/>
  <c r="AV98" i="26"/>
  <c r="AS21" i="27"/>
  <c r="CP95" i="26"/>
  <c r="CL95" i="26"/>
  <c r="CE95" i="26"/>
  <c r="CA95" i="26"/>
  <c r="CM95" i="26"/>
  <c r="CD95" i="26"/>
  <c r="CK95" i="26"/>
  <c r="B236" i="26" s="1"/>
  <c r="D29" i="29" s="1"/>
  <c r="CB95" i="26"/>
  <c r="CQ95" i="26"/>
  <c r="CG95" i="26"/>
  <c r="C104" i="26"/>
  <c r="CO95" i="26"/>
  <c r="CF95" i="26"/>
  <c r="CC95" i="26"/>
  <c r="CN95" i="26"/>
  <c r="AX12" i="25"/>
  <c r="N57" i="19"/>
  <c r="N53" i="19"/>
  <c r="AV101" i="26"/>
  <c r="U20" i="22"/>
  <c r="I58" i="21"/>
  <c r="T22" i="19"/>
  <c r="B150" i="19"/>
  <c r="D22" i="29" s="1"/>
  <c r="AV97" i="26"/>
  <c r="U84" i="25"/>
  <c r="U82" i="25"/>
  <c r="U80" i="25"/>
  <c r="U78" i="25"/>
  <c r="U76" i="25"/>
  <c r="U74" i="25"/>
  <c r="U72" i="25"/>
  <c r="R48" i="22"/>
  <c r="AT17" i="21"/>
  <c r="AJ24" i="20"/>
  <c r="CA179" i="21"/>
  <c r="AP179" i="21" s="1"/>
  <c r="B178" i="21"/>
  <c r="CM179" i="21"/>
  <c r="B351" i="21" s="1"/>
  <c r="D24" i="29" s="1"/>
  <c r="AJ27" i="20"/>
  <c r="CF124" i="16"/>
  <c r="B130" i="16"/>
  <c r="CA124" i="16"/>
  <c r="AP124" i="16" s="1"/>
  <c r="AR19" i="16"/>
  <c r="CQ83" i="13"/>
  <c r="CM83" i="13"/>
  <c r="CH83" i="13"/>
  <c r="CD83" i="13"/>
  <c r="CJ83" i="13"/>
  <c r="CN83" i="13"/>
  <c r="CG83" i="13"/>
  <c r="CA83" i="13"/>
  <c r="AV83" i="13" s="1"/>
  <c r="CP83" i="13"/>
  <c r="CE83" i="13"/>
  <c r="CQ53" i="13"/>
  <c r="CG53" i="13"/>
  <c r="CP53" i="13"/>
  <c r="CE53" i="13"/>
  <c r="CA53" i="13"/>
  <c r="CN53" i="13"/>
  <c r="CJ53" i="13"/>
  <c r="CD53" i="13"/>
  <c r="CM53" i="13"/>
  <c r="CH53" i="13"/>
  <c r="CQ45" i="13"/>
  <c r="CG45" i="13"/>
  <c r="CP45" i="13"/>
  <c r="CE45" i="13"/>
  <c r="CA45" i="13"/>
  <c r="CN45" i="13"/>
  <c r="CJ45" i="13"/>
  <c r="CD45" i="13"/>
  <c r="CH45" i="13"/>
  <c r="CM45" i="13"/>
  <c r="CQ37" i="13"/>
  <c r="CG37" i="13"/>
  <c r="CP37" i="13"/>
  <c r="CE37" i="13"/>
  <c r="CA37" i="13"/>
  <c r="CN37" i="13"/>
  <c r="CJ37" i="13"/>
  <c r="CD37" i="13"/>
  <c r="CM37" i="13"/>
  <c r="CH37" i="13"/>
  <c r="CQ29" i="13"/>
  <c r="CG29" i="13"/>
  <c r="CP29" i="13"/>
  <c r="CE29" i="13"/>
  <c r="CA29" i="13"/>
  <c r="AV29" i="13" s="1"/>
  <c r="CN29" i="13"/>
  <c r="CJ29" i="13"/>
  <c r="CD29" i="13"/>
  <c r="CM29" i="13"/>
  <c r="CH29" i="13"/>
  <c r="CQ21" i="13"/>
  <c r="CG21" i="13"/>
  <c r="CP21" i="13"/>
  <c r="CE21" i="13"/>
  <c r="CA21" i="13"/>
  <c r="CN21" i="13"/>
  <c r="CJ21" i="13"/>
  <c r="CD21" i="13"/>
  <c r="CM21" i="13"/>
  <c r="CH21" i="13"/>
  <c r="A203" i="13"/>
  <c r="E16" i="29" s="1"/>
  <c r="CQ13" i="13"/>
  <c r="CG13" i="13"/>
  <c r="CP13" i="13"/>
  <c r="CE13" i="13"/>
  <c r="CA13" i="13"/>
  <c r="CN13" i="13"/>
  <c r="CJ13" i="13"/>
  <c r="CD13" i="13"/>
  <c r="CM13" i="13"/>
  <c r="CH13" i="13"/>
  <c r="T23" i="19"/>
  <c r="N32" i="12"/>
  <c r="N28" i="12"/>
  <c r="AS39" i="16"/>
  <c r="CO99" i="13"/>
  <c r="CD99" i="13"/>
  <c r="CN99" i="13"/>
  <c r="CF99" i="13"/>
  <c r="CM99" i="13"/>
  <c r="CE99" i="13"/>
  <c r="CL99" i="13"/>
  <c r="CC99" i="13"/>
  <c r="AV85" i="13"/>
  <c r="AS33" i="16"/>
  <c r="CN70" i="13"/>
  <c r="CJ70" i="13"/>
  <c r="CE70" i="13"/>
  <c r="CA70" i="13"/>
  <c r="CQ70" i="13"/>
  <c r="CM70" i="13"/>
  <c r="CH70" i="13"/>
  <c r="CD70" i="13"/>
  <c r="CP70" i="13"/>
  <c r="CG70" i="13"/>
  <c r="CN66" i="13"/>
  <c r="CJ66" i="13"/>
  <c r="CE66" i="13"/>
  <c r="CA66" i="13"/>
  <c r="CQ66" i="13"/>
  <c r="CM66" i="13"/>
  <c r="CH66" i="13"/>
  <c r="CD66" i="13"/>
  <c r="CP66" i="13"/>
  <c r="CG66" i="13"/>
  <c r="CN62" i="13"/>
  <c r="CJ62" i="13"/>
  <c r="CE62" i="13"/>
  <c r="CA62" i="13"/>
  <c r="CQ62" i="13"/>
  <c r="CM62" i="13"/>
  <c r="CH62" i="13"/>
  <c r="CD62" i="13"/>
  <c r="CP62" i="13"/>
  <c r="CG62" i="13"/>
  <c r="CN58" i="13"/>
  <c r="CJ58" i="13"/>
  <c r="CE58" i="13"/>
  <c r="CA58" i="13"/>
  <c r="CQ58" i="13"/>
  <c r="CM58" i="13"/>
  <c r="CH58" i="13"/>
  <c r="CD58" i="13"/>
  <c r="CP58" i="13"/>
  <c r="CG58" i="13"/>
  <c r="AV81" i="13"/>
  <c r="AR226" i="11"/>
  <c r="AV50" i="13"/>
  <c r="CO100" i="13"/>
  <c r="CD100" i="13"/>
  <c r="CN100" i="13"/>
  <c r="CF100" i="13"/>
  <c r="CM100" i="13"/>
  <c r="CE100" i="13"/>
  <c r="CC100" i="13"/>
  <c r="AT100" i="13" s="1"/>
  <c r="CL100" i="13"/>
  <c r="AY199" i="11"/>
  <c r="AV34" i="13"/>
  <c r="AY245" i="11"/>
  <c r="AR231" i="11"/>
  <c r="AY203" i="11"/>
  <c r="AY181" i="11"/>
  <c r="AY170" i="11"/>
  <c r="AY168" i="11"/>
  <c r="AX139" i="11"/>
  <c r="AX135" i="11"/>
  <c r="AX133" i="11"/>
  <c r="AX131" i="11"/>
  <c r="AX127" i="11"/>
  <c r="AX123" i="11"/>
  <c r="AX115" i="11"/>
  <c r="AX95" i="11"/>
  <c r="AX91" i="11"/>
  <c r="AX89" i="11"/>
  <c r="AX87" i="11"/>
  <c r="AX83" i="11"/>
  <c r="AX79" i="11"/>
  <c r="AX71" i="11"/>
  <c r="AX51" i="11"/>
  <c r="AX47" i="11"/>
  <c r="AX45" i="11"/>
  <c r="AX43" i="11"/>
  <c r="AX39" i="11"/>
  <c r="AY169" i="11"/>
  <c r="AX19" i="11"/>
  <c r="AY281" i="10"/>
  <c r="AY278" i="10"/>
  <c r="AY225" i="10"/>
  <c r="AY224" i="10"/>
  <c r="AY221" i="10"/>
  <c r="CV330" i="10"/>
  <c r="CQ330" i="10"/>
  <c r="CK330" i="10"/>
  <c r="CE330" i="10"/>
  <c r="CW330" i="10"/>
  <c r="CR330" i="10"/>
  <c r="CL330" i="10"/>
  <c r="CF330" i="10"/>
  <c r="CS330" i="10"/>
  <c r="CH330" i="10"/>
  <c r="CZ330" i="10"/>
  <c r="CD330" i="10"/>
  <c r="CY330" i="10"/>
  <c r="CC330" i="10"/>
  <c r="CT330" i="10"/>
  <c r="CI330" i="10"/>
  <c r="CV320" i="10"/>
  <c r="CH320" i="10"/>
  <c r="CW320" i="10"/>
  <c r="CI320" i="10"/>
  <c r="CY320" i="10"/>
  <c r="CL320" i="10"/>
  <c r="CT320" i="10"/>
  <c r="CK320" i="10"/>
  <c r="CS320" i="10"/>
  <c r="CF320" i="10"/>
  <c r="CZ320" i="10"/>
  <c r="CE320" i="10"/>
  <c r="AJ233" i="10"/>
  <c r="CW127" i="10"/>
  <c r="CS127" i="10"/>
  <c r="CJ127" i="10"/>
  <c r="CF127" i="10"/>
  <c r="CX127" i="10"/>
  <c r="CT127" i="10"/>
  <c r="CG127" i="10"/>
  <c r="CC127" i="10"/>
  <c r="CE127" i="10"/>
  <c r="CQ127" i="10"/>
  <c r="CV127" i="10"/>
  <c r="CI127" i="10"/>
  <c r="CU127" i="10"/>
  <c r="CH127" i="10"/>
  <c r="AY127" i="10" s="1"/>
  <c r="CA61" i="9"/>
  <c r="B67" i="9"/>
  <c r="A232" i="9" s="1"/>
  <c r="CN61" i="9"/>
  <c r="CM61" i="9"/>
  <c r="CB61" i="9"/>
  <c r="AY280" i="10"/>
  <c r="CW92" i="10"/>
  <c r="CS92" i="10"/>
  <c r="CO92" i="10"/>
  <c r="CF92" i="10"/>
  <c r="CV92" i="10"/>
  <c r="CI92" i="10"/>
  <c r="CE92" i="10"/>
  <c r="CU92" i="10"/>
  <c r="CQ92" i="10"/>
  <c r="CH92" i="10"/>
  <c r="CT92" i="10"/>
  <c r="CG92" i="10"/>
  <c r="CC92" i="10"/>
  <c r="CT59" i="10"/>
  <c r="CF59" i="10"/>
  <c r="CS59" i="10"/>
  <c r="CE59" i="10"/>
  <c r="CV59" i="10"/>
  <c r="CR59" i="10"/>
  <c r="CH59" i="10"/>
  <c r="CD59" i="10"/>
  <c r="AY59" i="10" s="1"/>
  <c r="CU59" i="10"/>
  <c r="CG59" i="10"/>
  <c r="CT15" i="10"/>
  <c r="CF15" i="10"/>
  <c r="CS15" i="10"/>
  <c r="CE15" i="10"/>
  <c r="CV15" i="10"/>
  <c r="CR15" i="10"/>
  <c r="CH15" i="10"/>
  <c r="CD15" i="10"/>
  <c r="AY15" i="10" s="1"/>
  <c r="CU15" i="10"/>
  <c r="CG15" i="10"/>
  <c r="CT12" i="10"/>
  <c r="CF12" i="10"/>
  <c r="CS12" i="10"/>
  <c r="CE12" i="10"/>
  <c r="CV12" i="10"/>
  <c r="CR12" i="10"/>
  <c r="CH12" i="10"/>
  <c r="CD12" i="10"/>
  <c r="AY12" i="10" s="1"/>
  <c r="CU12" i="10"/>
  <c r="CG12" i="10"/>
  <c r="CQ197" i="8"/>
  <c r="CD197" i="8"/>
  <c r="CP197" i="8"/>
  <c r="CG197" i="8"/>
  <c r="CS197" i="8"/>
  <c r="CF197" i="8"/>
  <c r="CR197" i="8"/>
  <c r="CE197" i="8"/>
  <c r="AJ232" i="10"/>
  <c r="AY223" i="10"/>
  <c r="AY197" i="10"/>
  <c r="AY188" i="10"/>
  <c r="AY185" i="10"/>
  <c r="AY112" i="10"/>
  <c r="CU53" i="10"/>
  <c r="CG53" i="10"/>
  <c r="CT53" i="10"/>
  <c r="CF53" i="10"/>
  <c r="CS53" i="10"/>
  <c r="CE53" i="10"/>
  <c r="CV53" i="10"/>
  <c r="CR53" i="10"/>
  <c r="CH53" i="10"/>
  <c r="CD53" i="10"/>
  <c r="CU49" i="10"/>
  <c r="CG49" i="10"/>
  <c r="CT49" i="10"/>
  <c r="CF49" i="10"/>
  <c r="CS49" i="10"/>
  <c r="CE49" i="10"/>
  <c r="CV49" i="10"/>
  <c r="CR49" i="10"/>
  <c r="CH49" i="10"/>
  <c r="CD49" i="10"/>
  <c r="CS45" i="10"/>
  <c r="CH45" i="10"/>
  <c r="CD45" i="10"/>
  <c r="AY45" i="10" s="1"/>
  <c r="CV45" i="10"/>
  <c r="CR45" i="10"/>
  <c r="CG45" i="10"/>
  <c r="CU45" i="10"/>
  <c r="CF45" i="10"/>
  <c r="CT45" i="10"/>
  <c r="CE45" i="10"/>
  <c r="AY279" i="10"/>
  <c r="AY274" i="10"/>
  <c r="AY219" i="10"/>
  <c r="AY217" i="10"/>
  <c r="AY214" i="10"/>
  <c r="AN196" i="9"/>
  <c r="AW177" i="8"/>
  <c r="AW169" i="8"/>
  <c r="AP107" i="9"/>
  <c r="AS190" i="8"/>
  <c r="AS188" i="8"/>
  <c r="AS186" i="8"/>
  <c r="W142" i="8"/>
  <c r="W134" i="8"/>
  <c r="CL166" i="7"/>
  <c r="CE166" i="7"/>
  <c r="CA166" i="7"/>
  <c r="CO166" i="7"/>
  <c r="CK166" i="7"/>
  <c r="CD166" i="7"/>
  <c r="CN166" i="7"/>
  <c r="CC166" i="7"/>
  <c r="CM166" i="7"/>
  <c r="CB166" i="7"/>
  <c r="CL161" i="7"/>
  <c r="CE161" i="7"/>
  <c r="CA161" i="7"/>
  <c r="Y161" i="7" s="1"/>
  <c r="CO161" i="7"/>
  <c r="CK161" i="7"/>
  <c r="CD161" i="7"/>
  <c r="CN161" i="7"/>
  <c r="CC161" i="7"/>
  <c r="CM161" i="7"/>
  <c r="CB161" i="7"/>
  <c r="CT267" i="6"/>
  <c r="CF267" i="6"/>
  <c r="CW267" i="6"/>
  <c r="CI267" i="6"/>
  <c r="CV267" i="6"/>
  <c r="CH267" i="6"/>
  <c r="CU267" i="6"/>
  <c r="CG267" i="6"/>
  <c r="CT265" i="6"/>
  <c r="CF265" i="6"/>
  <c r="CW265" i="6"/>
  <c r="CI265" i="6"/>
  <c r="CV265" i="6"/>
  <c r="CH265" i="6"/>
  <c r="CU265" i="6"/>
  <c r="CG265" i="6"/>
  <c r="CT263" i="6"/>
  <c r="CF263" i="6"/>
  <c r="CW263" i="6"/>
  <c r="CI263" i="6"/>
  <c r="CV263" i="6"/>
  <c r="CH263" i="6"/>
  <c r="CU263" i="6"/>
  <c r="CG263" i="6"/>
  <c r="CT261" i="6"/>
  <c r="CF261" i="6"/>
  <c r="CW261" i="6"/>
  <c r="CI261" i="6"/>
  <c r="CV261" i="6"/>
  <c r="CH261" i="6"/>
  <c r="CU261" i="6"/>
  <c r="CG261" i="6"/>
  <c r="AS184" i="8"/>
  <c r="AS182" i="8"/>
  <c r="AX155" i="8"/>
  <c r="CS16" i="7"/>
  <c r="CO16" i="7"/>
  <c r="CK16" i="7"/>
  <c r="CF16" i="7"/>
  <c r="CB16" i="7"/>
  <c r="CN16" i="7"/>
  <c r="CI16" i="7"/>
  <c r="CE16" i="7"/>
  <c r="CA16" i="7"/>
  <c r="CM16" i="7"/>
  <c r="CD16" i="7"/>
  <c r="CP16" i="7"/>
  <c r="CL16" i="7"/>
  <c r="CC16" i="7"/>
  <c r="CU323" i="6"/>
  <c r="CF323" i="6"/>
  <c r="CT323" i="6"/>
  <c r="CE323" i="6"/>
  <c r="CS323" i="6"/>
  <c r="CD323" i="6"/>
  <c r="AW323" i="6" s="1"/>
  <c r="CR323" i="6"/>
  <c r="CG323" i="6"/>
  <c r="CY238" i="6"/>
  <c r="CF238" i="6"/>
  <c r="CT238" i="6"/>
  <c r="CE238" i="6"/>
  <c r="CS238" i="6"/>
  <c r="CK238" i="6"/>
  <c r="CY234" i="6"/>
  <c r="CF234" i="6"/>
  <c r="CT234" i="6"/>
  <c r="CE234" i="6"/>
  <c r="CS234" i="6"/>
  <c r="CK234" i="6"/>
  <c r="CY230" i="6"/>
  <c r="CF230" i="6"/>
  <c r="CT230" i="6"/>
  <c r="CE230" i="6"/>
  <c r="CS230" i="6"/>
  <c r="CK230" i="6"/>
  <c r="AB49" i="6"/>
  <c r="Y14" i="6"/>
  <c r="P214" i="9"/>
  <c r="P212" i="9"/>
  <c r="AN195" i="9"/>
  <c r="AL131" i="9"/>
  <c r="AP108" i="9"/>
  <c r="AO45" i="9"/>
  <c r="AO43" i="9"/>
  <c r="AO41" i="9"/>
  <c r="AY23" i="9"/>
  <c r="W141" i="8"/>
  <c r="W133" i="8"/>
  <c r="Y168" i="7"/>
  <c r="AS135" i="7"/>
  <c r="CP23" i="7"/>
  <c r="CL23" i="7"/>
  <c r="CC23" i="7"/>
  <c r="CS23" i="7"/>
  <c r="CO23" i="7"/>
  <c r="CK23" i="7"/>
  <c r="CF23" i="7"/>
  <c r="CB23" i="7"/>
  <c r="CN23" i="7"/>
  <c r="CI23" i="7"/>
  <c r="CE23" i="7"/>
  <c r="CA23" i="7"/>
  <c r="CM23" i="7"/>
  <c r="CD23" i="7"/>
  <c r="CM15" i="7"/>
  <c r="CD15" i="7"/>
  <c r="CP15" i="7"/>
  <c r="CL15" i="7"/>
  <c r="CC15" i="7"/>
  <c r="CS15" i="7"/>
  <c r="CO15" i="7"/>
  <c r="CK15" i="7"/>
  <c r="CF15" i="7"/>
  <c r="CB15" i="7"/>
  <c r="CN15" i="7"/>
  <c r="CI15" i="7"/>
  <c r="CE15" i="7"/>
  <c r="CA15" i="7"/>
  <c r="CS324" i="6"/>
  <c r="CD324" i="6"/>
  <c r="CR324" i="6"/>
  <c r="CG324" i="6"/>
  <c r="CU324" i="6"/>
  <c r="CF324" i="6"/>
  <c r="CT324" i="6"/>
  <c r="CE324" i="6"/>
  <c r="CS320" i="6"/>
  <c r="CD320" i="6"/>
  <c r="CR320" i="6"/>
  <c r="CG320" i="6"/>
  <c r="CU320" i="6"/>
  <c r="CF320" i="6"/>
  <c r="CT320" i="6"/>
  <c r="CE320" i="6"/>
  <c r="CS316" i="6"/>
  <c r="CD316" i="6"/>
  <c r="CR316" i="6"/>
  <c r="CG316" i="6"/>
  <c r="CU316" i="6"/>
  <c r="CF316" i="6"/>
  <c r="CT316" i="6"/>
  <c r="CE316" i="6"/>
  <c r="CS239" i="6"/>
  <c r="CK239" i="6"/>
  <c r="CY239" i="6"/>
  <c r="CF239" i="6"/>
  <c r="CT239" i="6"/>
  <c r="CE239" i="6"/>
  <c r="AY239" i="6" s="1"/>
  <c r="CS235" i="6"/>
  <c r="CK235" i="6"/>
  <c r="CY235" i="6"/>
  <c r="CF235" i="6"/>
  <c r="CT235" i="6"/>
  <c r="CE235" i="6"/>
  <c r="AY235" i="6" s="1"/>
  <c r="CS231" i="6"/>
  <c r="CK231" i="6"/>
  <c r="CY231" i="6"/>
  <c r="CF231" i="6"/>
  <c r="CT231" i="6"/>
  <c r="CE231" i="6"/>
  <c r="AY231" i="6" s="1"/>
  <c r="AX97" i="6"/>
  <c r="AZ97" i="6"/>
  <c r="Y56" i="6"/>
  <c r="U104" i="14"/>
  <c r="S50" i="14"/>
  <c r="S41" i="14"/>
  <c r="S33" i="14"/>
  <c r="S23" i="14"/>
  <c r="AX98" i="6"/>
  <c r="AX95" i="6"/>
  <c r="AZ95" i="6"/>
  <c r="AD54" i="5"/>
  <c r="S44" i="14"/>
  <c r="S26" i="14"/>
  <c r="CT193" i="6"/>
  <c r="CE193" i="6"/>
  <c r="CS193" i="6"/>
  <c r="CY193" i="6"/>
  <c r="CF193" i="6"/>
  <c r="CK193" i="6"/>
  <c r="CB154" i="6"/>
  <c r="CP154" i="6"/>
  <c r="CO154" i="6"/>
  <c r="B437" i="6" s="1"/>
  <c r="D9" i="29" s="1"/>
  <c r="C157" i="6"/>
  <c r="CA154" i="6"/>
  <c r="P154" i="6" s="1"/>
  <c r="AB36" i="6"/>
  <c r="AT34" i="5"/>
  <c r="CO207" i="4"/>
  <c r="CF207" i="4"/>
  <c r="CE207" i="4"/>
  <c r="CP207" i="4"/>
  <c r="S38" i="14"/>
  <c r="S36" i="14"/>
  <c r="S28" i="14"/>
  <c r="CT205" i="6"/>
  <c r="CE205" i="6"/>
  <c r="CS205" i="6"/>
  <c r="CY205" i="6"/>
  <c r="CF205" i="6"/>
  <c r="CK205" i="6"/>
  <c r="CT196" i="6"/>
  <c r="CE196" i="6"/>
  <c r="CS196" i="6"/>
  <c r="CY196" i="6"/>
  <c r="CF196" i="6"/>
  <c r="CK196" i="6"/>
  <c r="S172" i="6"/>
  <c r="S79" i="6"/>
  <c r="AS136" i="5"/>
  <c r="CR271" i="4"/>
  <c r="CN271" i="4"/>
  <c r="CH271" i="4"/>
  <c r="CD271" i="4"/>
  <c r="CL271" i="4"/>
  <c r="CB271" i="4"/>
  <c r="CK271" i="4"/>
  <c r="CA271" i="4"/>
  <c r="CQ271" i="4"/>
  <c r="CG271" i="4"/>
  <c r="CM271" i="4"/>
  <c r="CC271" i="4"/>
  <c r="CG22" i="3"/>
  <c r="CF22" i="3"/>
  <c r="B21" i="3"/>
  <c r="CB22" i="3"/>
  <c r="CA22" i="3"/>
  <c r="AI22" i="3" s="1"/>
  <c r="AP167" i="5"/>
  <c r="AT31" i="5"/>
  <c r="AD274" i="4"/>
  <c r="T199" i="4"/>
  <c r="I6" i="1"/>
  <c r="A4" i="7"/>
  <c r="A4" i="9"/>
  <c r="A4" i="19"/>
  <c r="A4" i="17"/>
  <c r="A4" i="24"/>
  <c r="A4" i="26"/>
  <c r="AZ96" i="6"/>
  <c r="AT16" i="5"/>
  <c r="S48" i="4"/>
  <c r="S46" i="4"/>
  <c r="T40" i="4"/>
  <c r="T38" i="4"/>
  <c r="T36" i="4"/>
  <c r="T34" i="4"/>
  <c r="T32" i="4"/>
  <c r="T30" i="4"/>
  <c r="T28" i="4"/>
  <c r="T26" i="4"/>
  <c r="T24" i="4"/>
  <c r="T22" i="4"/>
  <c r="T20" i="4"/>
  <c r="AS146" i="6"/>
  <c r="T200" i="4"/>
  <c r="BP177" i="5"/>
  <c r="BV177" i="5"/>
  <c r="BO177" i="5"/>
  <c r="AF177" i="5" s="1"/>
  <c r="BU177" i="5"/>
  <c r="CI39" i="28"/>
  <c r="CA39" i="28"/>
  <c r="AK39" i="28" s="1"/>
  <c r="CI37" i="28"/>
  <c r="CA37" i="28"/>
  <c r="AK37" i="28" s="1"/>
  <c r="CI49" i="28"/>
  <c r="CA49" i="28"/>
  <c r="AK49" i="28" s="1"/>
  <c r="AX50" i="27"/>
  <c r="AS23" i="27"/>
  <c r="AX46" i="27"/>
  <c r="A101" i="27"/>
  <c r="E30" i="29" s="1"/>
  <c r="CM12" i="27"/>
  <c r="CD12" i="27"/>
  <c r="CK12" i="27"/>
  <c r="CA12" i="27"/>
  <c r="CC12" i="27"/>
  <c r="CB12" i="27"/>
  <c r="CL12" i="27"/>
  <c r="CJ12" i="27"/>
  <c r="AT47" i="26"/>
  <c r="AT46" i="26"/>
  <c r="AT42" i="26"/>
  <c r="AT38" i="26"/>
  <c r="AA11" i="26"/>
  <c r="AU145" i="26"/>
  <c r="AU135" i="26"/>
  <c r="U24" i="22"/>
  <c r="Z29" i="26"/>
  <c r="AX14" i="25"/>
  <c r="I56" i="21"/>
  <c r="U22" i="22"/>
  <c r="U13" i="22"/>
  <c r="N50" i="19"/>
  <c r="AJ26" i="20"/>
  <c r="B205" i="22"/>
  <c r="D25" i="29" s="1"/>
  <c r="AR17" i="16"/>
  <c r="C120" i="19"/>
  <c r="N56" i="19"/>
  <c r="T26" i="19"/>
  <c r="CN78" i="13"/>
  <c r="CH78" i="13"/>
  <c r="CD78" i="13"/>
  <c r="CQ78" i="13"/>
  <c r="CM78" i="13"/>
  <c r="CG78" i="13"/>
  <c r="CP78" i="13"/>
  <c r="CA78" i="13"/>
  <c r="CJ78" i="13"/>
  <c r="CE78" i="13"/>
  <c r="CQ51" i="13"/>
  <c r="CG51" i="13"/>
  <c r="CP51" i="13"/>
  <c r="CE51" i="13"/>
  <c r="CA51" i="13"/>
  <c r="CN51" i="13"/>
  <c r="CJ51" i="13"/>
  <c r="CD51" i="13"/>
  <c r="CH51" i="13"/>
  <c r="CM51" i="13"/>
  <c r="CQ43" i="13"/>
  <c r="CG43" i="13"/>
  <c r="CP43" i="13"/>
  <c r="CE43" i="13"/>
  <c r="CA43" i="13"/>
  <c r="CN43" i="13"/>
  <c r="CJ43" i="13"/>
  <c r="CD43" i="13"/>
  <c r="CH43" i="13"/>
  <c r="CM43" i="13"/>
  <c r="CQ35" i="13"/>
  <c r="CG35" i="13"/>
  <c r="CP35" i="13"/>
  <c r="CE35" i="13"/>
  <c r="CA35" i="13"/>
  <c r="CN35" i="13"/>
  <c r="CJ35" i="13"/>
  <c r="CD35" i="13"/>
  <c r="CH35" i="13"/>
  <c r="CM35" i="13"/>
  <c r="CQ27" i="13"/>
  <c r="CG27" i="13"/>
  <c r="CP27" i="13"/>
  <c r="CE27" i="13"/>
  <c r="CA27" i="13"/>
  <c r="CN27" i="13"/>
  <c r="CJ27" i="13"/>
  <c r="CD27" i="13"/>
  <c r="CH27" i="13"/>
  <c r="CM27" i="13"/>
  <c r="CQ19" i="13"/>
  <c r="CG19" i="13"/>
  <c r="CP19" i="13"/>
  <c r="CE19" i="13"/>
  <c r="CA19" i="13"/>
  <c r="CN19" i="13"/>
  <c r="CJ19" i="13"/>
  <c r="CD19" i="13"/>
  <c r="CH19" i="13"/>
  <c r="CM19" i="13"/>
  <c r="AT14" i="21"/>
  <c r="AS51" i="16"/>
  <c r="CQ80" i="13"/>
  <c r="CM80" i="13"/>
  <c r="CH80" i="13"/>
  <c r="CD80" i="13"/>
  <c r="CP80" i="13"/>
  <c r="CE80" i="13"/>
  <c r="CJ80" i="13"/>
  <c r="CN80" i="13"/>
  <c r="CG80" i="13"/>
  <c r="CA80" i="13"/>
  <c r="N42" i="12"/>
  <c r="N13" i="12"/>
  <c r="AY254" i="11"/>
  <c r="AY246" i="11"/>
  <c r="CO101" i="13"/>
  <c r="CD101" i="13"/>
  <c r="CN101" i="13"/>
  <c r="CF101" i="13"/>
  <c r="CM101" i="13"/>
  <c r="CE101" i="13"/>
  <c r="CL101" i="13"/>
  <c r="CC101" i="13"/>
  <c r="AT101" i="13" s="1"/>
  <c r="AV32" i="13"/>
  <c r="T31" i="19"/>
  <c r="AV89" i="13"/>
  <c r="CN73" i="13"/>
  <c r="CJ73" i="13"/>
  <c r="CE73" i="13"/>
  <c r="CA73" i="13"/>
  <c r="CQ73" i="13"/>
  <c r="CM73" i="13"/>
  <c r="CH73" i="13"/>
  <c r="CD73" i="13"/>
  <c r="CP73" i="13"/>
  <c r="CG73" i="13"/>
  <c r="CN69" i="13"/>
  <c r="CJ69" i="13"/>
  <c r="CE69" i="13"/>
  <c r="CA69" i="13"/>
  <c r="CQ69" i="13"/>
  <c r="CM69" i="13"/>
  <c r="CH69" i="13"/>
  <c r="CD69" i="13"/>
  <c r="CP69" i="13"/>
  <c r="CG69" i="13"/>
  <c r="CN65" i="13"/>
  <c r="CJ65" i="13"/>
  <c r="CE65" i="13"/>
  <c r="CA65" i="13"/>
  <c r="CQ65" i="13"/>
  <c r="CM65" i="13"/>
  <c r="CH65" i="13"/>
  <c r="CD65" i="13"/>
  <c r="CP65" i="13"/>
  <c r="CG65" i="13"/>
  <c r="CN61" i="13"/>
  <c r="CJ61" i="13"/>
  <c r="CE61" i="13"/>
  <c r="CA61" i="13"/>
  <c r="CQ61" i="13"/>
  <c r="CM61" i="13"/>
  <c r="CH61" i="13"/>
  <c r="CD61" i="13"/>
  <c r="CP61" i="13"/>
  <c r="CG61" i="13"/>
  <c r="CN57" i="13"/>
  <c r="CJ57" i="13"/>
  <c r="CE57" i="13"/>
  <c r="CA57" i="13"/>
  <c r="CQ57" i="13"/>
  <c r="CM57" i="13"/>
  <c r="CH57" i="13"/>
  <c r="CD57" i="13"/>
  <c r="CP57" i="13"/>
  <c r="CG57" i="13"/>
  <c r="AS35" i="16"/>
  <c r="CO94" i="13"/>
  <c r="CD94" i="13"/>
  <c r="CN94" i="13"/>
  <c r="CF94" i="13"/>
  <c r="CM94" i="13"/>
  <c r="CE94" i="13"/>
  <c r="CC94" i="13"/>
  <c r="AT94" i="13" s="1"/>
  <c r="CL94" i="13"/>
  <c r="AV42" i="13"/>
  <c r="AY249" i="11"/>
  <c r="AR230" i="11"/>
  <c r="AY256" i="11"/>
  <c r="AY206" i="11"/>
  <c r="CO104" i="13"/>
  <c r="CD104" i="13"/>
  <c r="CN104" i="13"/>
  <c r="CF104" i="13"/>
  <c r="CM104" i="13"/>
  <c r="CE104" i="13"/>
  <c r="CC104" i="13"/>
  <c r="CL104" i="13"/>
  <c r="AV26" i="13"/>
  <c r="AY241" i="11"/>
  <c r="AY239" i="11"/>
  <c r="AY196" i="11"/>
  <c r="AS37" i="16"/>
  <c r="AR215" i="11"/>
  <c r="AY192" i="11"/>
  <c r="AY177" i="11"/>
  <c r="AX58" i="11"/>
  <c r="AX52" i="11"/>
  <c r="AX28" i="11"/>
  <c r="CV329" i="10"/>
  <c r="CQ329" i="10"/>
  <c r="CK329" i="10"/>
  <c r="CE329" i="10"/>
  <c r="CW329" i="10"/>
  <c r="CR329" i="10"/>
  <c r="CL329" i="10"/>
  <c r="CF329" i="10"/>
  <c r="CY329" i="10"/>
  <c r="CC329" i="10"/>
  <c r="CT329" i="10"/>
  <c r="CI329" i="10"/>
  <c r="CS329" i="10"/>
  <c r="CH329" i="10"/>
  <c r="CZ329" i="10"/>
  <c r="CD329" i="10"/>
  <c r="AY324" i="10"/>
  <c r="AY282" i="10"/>
  <c r="AY272" i="10"/>
  <c r="AY271" i="10"/>
  <c r="CY321" i="10"/>
  <c r="CI321" i="10"/>
  <c r="CZ321" i="10"/>
  <c r="CT321" i="10"/>
  <c r="CK321" i="10"/>
  <c r="CW321" i="10"/>
  <c r="CL321" i="10"/>
  <c r="CV321" i="10"/>
  <c r="CH321" i="10"/>
  <c r="CF321" i="10"/>
  <c r="CU141" i="10"/>
  <c r="CQ141" i="10"/>
  <c r="CI141" i="10"/>
  <c r="CE141" i="10"/>
  <c r="CV141" i="10"/>
  <c r="CJ141" i="10"/>
  <c r="CF141" i="10"/>
  <c r="CT141" i="10"/>
  <c r="CO141" i="10"/>
  <c r="CC141" i="10"/>
  <c r="CS141" i="10"/>
  <c r="CH141" i="10"/>
  <c r="CX141" i="10"/>
  <c r="CG141" i="10"/>
  <c r="CW141" i="10"/>
  <c r="AJ234" i="10"/>
  <c r="CV135" i="10"/>
  <c r="CI135" i="10"/>
  <c r="CE135" i="10"/>
  <c r="CW135" i="10"/>
  <c r="CS135" i="10"/>
  <c r="CO135" i="10"/>
  <c r="CF135" i="10"/>
  <c r="CG135" i="10"/>
  <c r="CQ135" i="10"/>
  <c r="CU135" i="10"/>
  <c r="CC135" i="10"/>
  <c r="AY135" i="10" s="1"/>
  <c r="CT135" i="10"/>
  <c r="CH135" i="10"/>
  <c r="CW124" i="10"/>
  <c r="CS124" i="10"/>
  <c r="CJ124" i="10"/>
  <c r="CF124" i="10"/>
  <c r="CX124" i="10"/>
  <c r="CT124" i="10"/>
  <c r="CG124" i="10"/>
  <c r="CC124" i="10"/>
  <c r="AY124" i="10" s="1"/>
  <c r="CU124" i="10"/>
  <c r="CH124" i="10"/>
  <c r="CE124" i="10"/>
  <c r="CQ124" i="10"/>
  <c r="CV124" i="10"/>
  <c r="CI124" i="10"/>
  <c r="CT62" i="10"/>
  <c r="CF62" i="10"/>
  <c r="CS62" i="10"/>
  <c r="CE62" i="10"/>
  <c r="CV62" i="10"/>
  <c r="CR62" i="10"/>
  <c r="CH62" i="10"/>
  <c r="CD62" i="10"/>
  <c r="AY62" i="10" s="1"/>
  <c r="CU62" i="10"/>
  <c r="CG62" i="10"/>
  <c r="CT58" i="10"/>
  <c r="CF58" i="10"/>
  <c r="D63" i="10"/>
  <c r="CS58" i="10"/>
  <c r="CE58" i="10"/>
  <c r="CV58" i="10"/>
  <c r="CR58" i="10"/>
  <c r="CH58" i="10"/>
  <c r="CD58" i="10"/>
  <c r="AY58" i="10" s="1"/>
  <c r="CU58" i="10"/>
  <c r="CG58" i="10"/>
  <c r="AY53" i="10"/>
  <c r="CT14" i="10"/>
  <c r="CF14" i="10"/>
  <c r="CS14" i="10"/>
  <c r="CE14" i="10"/>
  <c r="CV14" i="10"/>
  <c r="CR14" i="10"/>
  <c r="CH14" i="10"/>
  <c r="CD14" i="10"/>
  <c r="AY14" i="10" s="1"/>
  <c r="CU14" i="10"/>
  <c r="CG14" i="10"/>
  <c r="CS196" i="8"/>
  <c r="CG196" i="8"/>
  <c r="CR196" i="8"/>
  <c r="CN196" i="8"/>
  <c r="CF196" i="8"/>
  <c r="CB196" i="8"/>
  <c r="CQ196" i="8"/>
  <c r="CE196" i="8"/>
  <c r="CP196" i="8"/>
  <c r="CD196" i="8"/>
  <c r="CT176" i="8"/>
  <c r="CG176" i="8"/>
  <c r="CS176" i="8"/>
  <c r="CF176" i="8"/>
  <c r="CB176" i="8"/>
  <c r="CR176" i="8"/>
  <c r="CN176" i="8"/>
  <c r="CE176" i="8"/>
  <c r="CQ176" i="8"/>
  <c r="CH176" i="8"/>
  <c r="CT174" i="8"/>
  <c r="CG174" i="8"/>
  <c r="CS174" i="8"/>
  <c r="CF174" i="8"/>
  <c r="CB174" i="8"/>
  <c r="CR174" i="8"/>
  <c r="CN174" i="8"/>
  <c r="CE174" i="8"/>
  <c r="CQ174" i="8"/>
  <c r="CH174" i="8"/>
  <c r="CT172" i="8"/>
  <c r="CG172" i="8"/>
  <c r="CS172" i="8"/>
  <c r="CF172" i="8"/>
  <c r="CB172" i="8"/>
  <c r="CR172" i="8"/>
  <c r="CN172" i="8"/>
  <c r="CE172" i="8"/>
  <c r="CQ172" i="8"/>
  <c r="CH172" i="8"/>
  <c r="CT170" i="8"/>
  <c r="CG170" i="8"/>
  <c r="CS170" i="8"/>
  <c r="CF170" i="8"/>
  <c r="CB170" i="8"/>
  <c r="CR170" i="8"/>
  <c r="CN170" i="8"/>
  <c r="CE170" i="8"/>
  <c r="CQ170" i="8"/>
  <c r="CH170" i="8"/>
  <c r="CT168" i="8"/>
  <c r="CG168" i="8"/>
  <c r="CS168" i="8"/>
  <c r="CF168" i="8"/>
  <c r="CB168" i="8"/>
  <c r="CR168" i="8"/>
  <c r="CN168" i="8"/>
  <c r="CE168" i="8"/>
  <c r="CQ168" i="8"/>
  <c r="CH168" i="8"/>
  <c r="CU52" i="10"/>
  <c r="CG52" i="10"/>
  <c r="CT52" i="10"/>
  <c r="CF52" i="10"/>
  <c r="CS52" i="10"/>
  <c r="CE52" i="10"/>
  <c r="CV52" i="10"/>
  <c r="CR52" i="10"/>
  <c r="CH52" i="10"/>
  <c r="CD52" i="10"/>
  <c r="CU48" i="10"/>
  <c r="CG48" i="10"/>
  <c r="CT48" i="10"/>
  <c r="CF48" i="10"/>
  <c r="CS48" i="10"/>
  <c r="CE48" i="10"/>
  <c r="CV48" i="10"/>
  <c r="CR48" i="10"/>
  <c r="CH48" i="10"/>
  <c r="CD48" i="10"/>
  <c r="CU44" i="10"/>
  <c r="CG44" i="10"/>
  <c r="CT44" i="10"/>
  <c r="CF44" i="10"/>
  <c r="CS44" i="10"/>
  <c r="CE44" i="10"/>
  <c r="CV44" i="10"/>
  <c r="CR44" i="10"/>
  <c r="CH44" i="10"/>
  <c r="CD44" i="10"/>
  <c r="AY44" i="10" s="1"/>
  <c r="CV131" i="10"/>
  <c r="CI131" i="10"/>
  <c r="CE131" i="10"/>
  <c r="CW131" i="10"/>
  <c r="CS131" i="10"/>
  <c r="CO131" i="10"/>
  <c r="CF131" i="10"/>
  <c r="CU131" i="10"/>
  <c r="CC131" i="10"/>
  <c r="AY131" i="10" s="1"/>
  <c r="CT131" i="10"/>
  <c r="CH131" i="10"/>
  <c r="CG131" i="10"/>
  <c r="CQ131" i="10"/>
  <c r="A248" i="9"/>
  <c r="E12" i="29" s="1"/>
  <c r="AT12" i="9"/>
  <c r="AW171" i="8"/>
  <c r="AW24" i="7"/>
  <c r="CT258" i="6"/>
  <c r="CF258" i="6"/>
  <c r="AY258" i="6" s="1"/>
  <c r="CW258" i="6"/>
  <c r="CI258" i="6"/>
  <c r="CV258" i="6"/>
  <c r="CH258" i="6"/>
  <c r="CU258" i="6"/>
  <c r="CG258" i="6"/>
  <c r="CT256" i="6"/>
  <c r="CF256" i="6"/>
  <c r="AY256" i="6" s="1"/>
  <c r="CW256" i="6"/>
  <c r="CI256" i="6"/>
  <c r="CV256" i="6"/>
  <c r="CH256" i="6"/>
  <c r="CU256" i="6"/>
  <c r="CG256" i="6"/>
  <c r="CT254" i="6"/>
  <c r="CF254" i="6"/>
  <c r="AY254" i="6" s="1"/>
  <c r="CW254" i="6"/>
  <c r="CI254" i="6"/>
  <c r="CV254" i="6"/>
  <c r="CH254" i="6"/>
  <c r="CU254" i="6"/>
  <c r="CG254" i="6"/>
  <c r="CT251" i="6"/>
  <c r="CF251" i="6"/>
  <c r="AY251" i="6" s="1"/>
  <c r="CW251" i="6"/>
  <c r="CI251" i="6"/>
  <c r="CV251" i="6"/>
  <c r="CH251" i="6"/>
  <c r="CU251" i="6"/>
  <c r="CG251" i="6"/>
  <c r="CT249" i="6"/>
  <c r="CF249" i="6"/>
  <c r="AY249" i="6" s="1"/>
  <c r="CW249" i="6"/>
  <c r="CI249" i="6"/>
  <c r="CV249" i="6"/>
  <c r="CH249" i="6"/>
  <c r="CU249" i="6"/>
  <c r="CG249" i="6"/>
  <c r="CT247" i="6"/>
  <c r="CF247" i="6"/>
  <c r="AY247" i="6" s="1"/>
  <c r="CW247" i="6"/>
  <c r="CI247" i="6"/>
  <c r="CV247" i="6"/>
  <c r="CH247" i="6"/>
  <c r="CU247" i="6"/>
  <c r="CG247" i="6"/>
  <c r="AT15" i="9"/>
  <c r="AH63" i="8"/>
  <c r="CN30" i="7"/>
  <c r="CF30" i="7"/>
  <c r="CB30" i="7"/>
  <c r="E32" i="7"/>
  <c r="CM30" i="7"/>
  <c r="CE30" i="7"/>
  <c r="CA30" i="7"/>
  <c r="AV30" i="7" s="1"/>
  <c r="CP30" i="7"/>
  <c r="CL30" i="7"/>
  <c r="CD30" i="7"/>
  <c r="CO30" i="7"/>
  <c r="CK30" i="7"/>
  <c r="CC30" i="7"/>
  <c r="CS14" i="7"/>
  <c r="CO14" i="7"/>
  <c r="CK14" i="7"/>
  <c r="CF14" i="7"/>
  <c r="CB14" i="7"/>
  <c r="CN14" i="7"/>
  <c r="CI14" i="7"/>
  <c r="CE14" i="7"/>
  <c r="CA14" i="7"/>
  <c r="CM14" i="7"/>
  <c r="CD14" i="7"/>
  <c r="CP14" i="7"/>
  <c r="CL14" i="7"/>
  <c r="CC14" i="7"/>
  <c r="CU321" i="6"/>
  <c r="CF321" i="6"/>
  <c r="CT321" i="6"/>
  <c r="CE321" i="6"/>
  <c r="CS321" i="6"/>
  <c r="CD321" i="6"/>
  <c r="AW321" i="6" s="1"/>
  <c r="CR321" i="6"/>
  <c r="CG321" i="6"/>
  <c r="CT314" i="6"/>
  <c r="CD314" i="6"/>
  <c r="CS314" i="6"/>
  <c r="CG314" i="6"/>
  <c r="CR314" i="6"/>
  <c r="CF314" i="6"/>
  <c r="CU314" i="6"/>
  <c r="CE314" i="6"/>
  <c r="CT310" i="6"/>
  <c r="CD310" i="6"/>
  <c r="CS310" i="6"/>
  <c r="CG310" i="6"/>
  <c r="CR310" i="6"/>
  <c r="CF310" i="6"/>
  <c r="CU310" i="6"/>
  <c r="CE310" i="6"/>
  <c r="CY223" i="6"/>
  <c r="CF223" i="6"/>
  <c r="CT223" i="6"/>
  <c r="CE223" i="6"/>
  <c r="AY223" i="6" s="1"/>
  <c r="CS223" i="6"/>
  <c r="CK223" i="6"/>
  <c r="CY215" i="6"/>
  <c r="CF215" i="6"/>
  <c r="CT215" i="6"/>
  <c r="CE215" i="6"/>
  <c r="AY215" i="6" s="1"/>
  <c r="CS215" i="6"/>
  <c r="CK215" i="6"/>
  <c r="CY211" i="6"/>
  <c r="CF211" i="6"/>
  <c r="CT211" i="6"/>
  <c r="CE211" i="6"/>
  <c r="AY211" i="6" s="1"/>
  <c r="CS211" i="6"/>
  <c r="CK211" i="6"/>
  <c r="AY25" i="9"/>
  <c r="AT13" i="9"/>
  <c r="W139" i="8"/>
  <c r="W131" i="8"/>
  <c r="AS137" i="7"/>
  <c r="AN76" i="7"/>
  <c r="CT273" i="6"/>
  <c r="CI273" i="6"/>
  <c r="CW273" i="6"/>
  <c r="CH273" i="6"/>
  <c r="CV273" i="6"/>
  <c r="CG273" i="6"/>
  <c r="CU273" i="6"/>
  <c r="CF273" i="6"/>
  <c r="AY273" i="6" s="1"/>
  <c r="P215" i="9"/>
  <c r="AX158" i="8"/>
  <c r="CM21" i="7"/>
  <c r="CD21" i="7"/>
  <c r="CP21" i="7"/>
  <c r="CL21" i="7"/>
  <c r="CC21" i="7"/>
  <c r="CS21" i="7"/>
  <c r="CO21" i="7"/>
  <c r="CK21" i="7"/>
  <c r="CF21" i="7"/>
  <c r="CB21" i="7"/>
  <c r="CN21" i="7"/>
  <c r="CI21" i="7"/>
  <c r="CE21" i="7"/>
  <c r="CA21" i="7"/>
  <c r="AW21" i="7" s="1"/>
  <c r="CM13" i="7"/>
  <c r="CD13" i="7"/>
  <c r="CP13" i="7"/>
  <c r="CL13" i="7"/>
  <c r="CC13" i="7"/>
  <c r="CS13" i="7"/>
  <c r="CO13" i="7"/>
  <c r="CK13" i="7"/>
  <c r="CF13" i="7"/>
  <c r="CB13" i="7"/>
  <c r="CN13" i="7"/>
  <c r="CI13" i="7"/>
  <c r="CE13" i="7"/>
  <c r="CA13" i="7"/>
  <c r="CS224" i="6"/>
  <c r="CK224" i="6"/>
  <c r="CY224" i="6"/>
  <c r="CF224" i="6"/>
  <c r="CT224" i="6"/>
  <c r="CE224" i="6"/>
  <c r="AY224" i="6" s="1"/>
  <c r="CY221" i="6"/>
  <c r="CE221" i="6"/>
  <c r="AY221" i="6" s="1"/>
  <c r="CT221" i="6"/>
  <c r="CS221" i="6"/>
  <c r="CK221" i="6"/>
  <c r="CF221" i="6"/>
  <c r="CY219" i="6"/>
  <c r="CE219" i="6"/>
  <c r="AY219" i="6" s="1"/>
  <c r="CT219" i="6"/>
  <c r="CS219" i="6"/>
  <c r="CK219" i="6"/>
  <c r="CF219" i="6"/>
  <c r="CS216" i="6"/>
  <c r="CK216" i="6"/>
  <c r="CY216" i="6"/>
  <c r="CF216" i="6"/>
  <c r="CT216" i="6"/>
  <c r="CE216" i="6"/>
  <c r="AY216" i="6" s="1"/>
  <c r="CS212" i="6"/>
  <c r="CK212" i="6"/>
  <c r="CY212" i="6"/>
  <c r="CF212" i="6"/>
  <c r="CT212" i="6"/>
  <c r="CE212" i="6"/>
  <c r="AY212" i="6" s="1"/>
  <c r="CT198" i="6"/>
  <c r="CE198" i="6"/>
  <c r="CS198" i="6"/>
  <c r="CY198" i="6"/>
  <c r="CF198" i="6"/>
  <c r="CK198" i="6"/>
  <c r="R186" i="6"/>
  <c r="AS137" i="5"/>
  <c r="X65" i="14"/>
  <c r="S51" i="14"/>
  <c r="CT200" i="6"/>
  <c r="CE200" i="6"/>
  <c r="CS200" i="6"/>
  <c r="CY200" i="6"/>
  <c r="CF200" i="6"/>
  <c r="CK200" i="6"/>
  <c r="X73" i="14"/>
  <c r="S46" i="14"/>
  <c r="AY193" i="6"/>
  <c r="AT37" i="5"/>
  <c r="M70" i="2"/>
  <c r="S53" i="14"/>
  <c r="S42" i="14"/>
  <c r="AY205" i="6"/>
  <c r="AY196" i="6"/>
  <c r="S83" i="6"/>
  <c r="S67" i="6"/>
  <c r="Y55" i="6"/>
  <c r="M66" i="4"/>
  <c r="M62" i="4"/>
  <c r="AO38" i="2"/>
  <c r="A4" i="2"/>
  <c r="W6" i="1"/>
  <c r="A32" i="1" s="1"/>
  <c r="D4" i="29" s="1"/>
  <c r="A4" i="6"/>
  <c r="A4" i="11"/>
  <c r="A4" i="25"/>
  <c r="A4" i="18"/>
  <c r="A4" i="23"/>
  <c r="A4" i="28"/>
  <c r="T25" i="4"/>
  <c r="T23" i="4"/>
  <c r="T21" i="4"/>
  <c r="A150" i="28"/>
  <c r="E31" i="29" s="1"/>
  <c r="CJ26" i="27"/>
  <c r="CA26" i="27"/>
  <c r="CM26" i="27"/>
  <c r="CC26" i="27"/>
  <c r="CD26" i="27"/>
  <c r="CB26" i="27"/>
  <c r="CL26" i="27"/>
  <c r="CK26" i="27"/>
  <c r="CI56" i="28"/>
  <c r="CA56" i="28"/>
  <c r="AJ56" i="28" s="1"/>
  <c r="CI35" i="28"/>
  <c r="CA35" i="28"/>
  <c r="AK35" i="28" s="1"/>
  <c r="C40" i="28"/>
  <c r="CJ51" i="27" a="1"/>
  <c r="CJ51" i="27" s="1"/>
  <c r="BU51" i="27" s="1"/>
  <c r="CB51" i="27"/>
  <c r="CK51" i="27"/>
  <c r="CA51" i="27" a="1"/>
  <c r="CA51" i="27" s="1"/>
  <c r="AX51" i="27" s="1"/>
  <c r="CJ22" i="27"/>
  <c r="CA22" i="27"/>
  <c r="CM22" i="27"/>
  <c r="CC22" i="27"/>
  <c r="CK22" i="27"/>
  <c r="CB22" i="27"/>
  <c r="CD22" i="27"/>
  <c r="CL22" i="27"/>
  <c r="AS25" i="27"/>
  <c r="AB124" i="26"/>
  <c r="AT86" i="26"/>
  <c r="AT82" i="26"/>
  <c r="AT78" i="26"/>
  <c r="AT74" i="26"/>
  <c r="AT70" i="26"/>
  <c r="AT66" i="26"/>
  <c r="AT62" i="26"/>
  <c r="AT58" i="26"/>
  <c r="AT54" i="26"/>
  <c r="AT50" i="26"/>
  <c r="AU136" i="26"/>
  <c r="AT130" i="26"/>
  <c r="AX42" i="27"/>
  <c r="AU132" i="26"/>
  <c r="AX49" i="27"/>
  <c r="CJ28" i="27"/>
  <c r="CA28" i="27"/>
  <c r="CK28" i="27"/>
  <c r="CM28" i="27"/>
  <c r="CB28" i="27"/>
  <c r="CD28" i="27"/>
  <c r="CC28" i="27"/>
  <c r="CL28" i="27"/>
  <c r="AS20" i="27"/>
  <c r="AS17" i="27"/>
  <c r="AJ170" i="26"/>
  <c r="AX44" i="27"/>
  <c r="AS16" i="27"/>
  <c r="AU137" i="26"/>
  <c r="AT43" i="26"/>
  <c r="AT39" i="26"/>
  <c r="AT35" i="26"/>
  <c r="AU142" i="26"/>
  <c r="CO131" i="26"/>
  <c r="CF131" i="26"/>
  <c r="CB131" i="26"/>
  <c r="CM131" i="26"/>
  <c r="CC131" i="26"/>
  <c r="CP131" i="26"/>
  <c r="CD131" i="26"/>
  <c r="CN131" i="26"/>
  <c r="CA131" i="26"/>
  <c r="AU131" i="26" s="1"/>
  <c r="CL131" i="26"/>
  <c r="CE131" i="26"/>
  <c r="CQ131" i="26"/>
  <c r="AX21" i="25"/>
  <c r="AJ157" i="26"/>
  <c r="AV103" i="26"/>
  <c r="AV99" i="26"/>
  <c r="U19" i="22"/>
  <c r="AU134" i="26"/>
  <c r="AA13" i="26"/>
  <c r="I59" i="21"/>
  <c r="AU133" i="26"/>
  <c r="AA73" i="21"/>
  <c r="AT13" i="21"/>
  <c r="N58" i="19"/>
  <c r="T28" i="19"/>
  <c r="T17" i="19"/>
  <c r="T15" i="19"/>
  <c r="T13" i="19"/>
  <c r="T11" i="19"/>
  <c r="N52" i="19"/>
  <c r="B139" i="19"/>
  <c r="B204" i="15"/>
  <c r="D18" i="29" s="1"/>
  <c r="R41" i="22"/>
  <c r="T29" i="19"/>
  <c r="CN74" i="13"/>
  <c r="CH74" i="13"/>
  <c r="CD74" i="13"/>
  <c r="CQ74" i="13"/>
  <c r="CM74" i="13"/>
  <c r="CG74" i="13"/>
  <c r="CP74" i="13"/>
  <c r="CA74" i="13"/>
  <c r="CJ74" i="13"/>
  <c r="CE74" i="13"/>
  <c r="CQ49" i="13"/>
  <c r="CG49" i="13"/>
  <c r="CP49" i="13"/>
  <c r="CE49" i="13"/>
  <c r="CA49" i="13"/>
  <c r="CN49" i="13"/>
  <c r="CJ49" i="13"/>
  <c r="CD49" i="13"/>
  <c r="CH49" i="13"/>
  <c r="CM49" i="13"/>
  <c r="CQ41" i="13"/>
  <c r="CG41" i="13"/>
  <c r="CP41" i="13"/>
  <c r="CE41" i="13"/>
  <c r="CA41" i="13"/>
  <c r="CN41" i="13"/>
  <c r="CJ41" i="13"/>
  <c r="CD41" i="13"/>
  <c r="CH41" i="13"/>
  <c r="CM41" i="13"/>
  <c r="CQ33" i="13"/>
  <c r="CG33" i="13"/>
  <c r="CP33" i="13"/>
  <c r="CE33" i="13"/>
  <c r="CA33" i="13"/>
  <c r="CN33" i="13"/>
  <c r="CJ33" i="13"/>
  <c r="CD33" i="13"/>
  <c r="CH33" i="13"/>
  <c r="CM33" i="13"/>
  <c r="CQ25" i="13"/>
  <c r="CG25" i="13"/>
  <c r="CP25" i="13"/>
  <c r="CE25" i="13"/>
  <c r="CA25" i="13"/>
  <c r="CN25" i="13"/>
  <c r="CJ25" i="13"/>
  <c r="CD25" i="13"/>
  <c r="CH25" i="13"/>
  <c r="CM25" i="13"/>
  <c r="CQ17" i="13"/>
  <c r="CG17" i="13"/>
  <c r="CP17" i="13"/>
  <c r="CE17" i="13"/>
  <c r="CA17" i="13"/>
  <c r="CN17" i="13"/>
  <c r="CJ17" i="13"/>
  <c r="CD17" i="13"/>
  <c r="CH17" i="13"/>
  <c r="CM17" i="13"/>
  <c r="CQ84" i="13"/>
  <c r="CM84" i="13"/>
  <c r="CH84" i="13"/>
  <c r="CD84" i="13"/>
  <c r="CP84" i="13"/>
  <c r="CE84" i="13"/>
  <c r="CJ84" i="13"/>
  <c r="CN84" i="13"/>
  <c r="CG84" i="13"/>
  <c r="CA84" i="13"/>
  <c r="AV84" i="13" s="1"/>
  <c r="N30" i="12"/>
  <c r="B150" i="12"/>
  <c r="D15" i="29" s="1"/>
  <c r="C34" i="28"/>
  <c r="CO103" i="13"/>
  <c r="CD103" i="13"/>
  <c r="CN103" i="13"/>
  <c r="CF103" i="13"/>
  <c r="CM103" i="13"/>
  <c r="CE103" i="13"/>
  <c r="CL103" i="13"/>
  <c r="CC103" i="13"/>
  <c r="AT103" i="13" s="1"/>
  <c r="CO95" i="13"/>
  <c r="CD95" i="13"/>
  <c r="CN95" i="13"/>
  <c r="CF95" i="13"/>
  <c r="CM95" i="13"/>
  <c r="CE95" i="13"/>
  <c r="CL95" i="13"/>
  <c r="CC95" i="13"/>
  <c r="AT95" i="13" s="1"/>
  <c r="CQ82" i="13"/>
  <c r="CM82" i="13"/>
  <c r="CH82" i="13"/>
  <c r="CD82" i="13"/>
  <c r="CN82" i="13"/>
  <c r="CG82" i="13"/>
  <c r="CA82" i="13"/>
  <c r="CP82" i="13"/>
  <c r="CE82" i="13"/>
  <c r="CJ82" i="13"/>
  <c r="CN72" i="13"/>
  <c r="CJ72" i="13"/>
  <c r="CE72" i="13"/>
  <c r="CA72" i="13"/>
  <c r="CQ72" i="13"/>
  <c r="CM72" i="13"/>
  <c r="CH72" i="13"/>
  <c r="CD72" i="13"/>
  <c r="CP72" i="13"/>
  <c r="CG72" i="13"/>
  <c r="CN68" i="13"/>
  <c r="CJ68" i="13"/>
  <c r="CE68" i="13"/>
  <c r="CA68" i="13"/>
  <c r="CQ68" i="13"/>
  <c r="CM68" i="13"/>
  <c r="CH68" i="13"/>
  <c r="CD68" i="13"/>
  <c r="CP68" i="13"/>
  <c r="CG68" i="13"/>
  <c r="CN64" i="13"/>
  <c r="CJ64" i="13"/>
  <c r="CE64" i="13"/>
  <c r="CA64" i="13"/>
  <c r="CQ64" i="13"/>
  <c r="CM64" i="13"/>
  <c r="CH64" i="13"/>
  <c r="CD64" i="13"/>
  <c r="CP64" i="13"/>
  <c r="CG64" i="13"/>
  <c r="CN60" i="13"/>
  <c r="CJ60" i="13"/>
  <c r="CE60" i="13"/>
  <c r="CA60" i="13"/>
  <c r="CQ60" i="13"/>
  <c r="CM60" i="13"/>
  <c r="CH60" i="13"/>
  <c r="CD60" i="13"/>
  <c r="CP60" i="13"/>
  <c r="CG60" i="13"/>
  <c r="CO98" i="13"/>
  <c r="CD98" i="13"/>
  <c r="CN98" i="13"/>
  <c r="CF98" i="13"/>
  <c r="CM98" i="13"/>
  <c r="CE98" i="13"/>
  <c r="CC98" i="13"/>
  <c r="AT98" i="13" s="1"/>
  <c r="CL98" i="13"/>
  <c r="N16" i="12"/>
  <c r="AY240" i="11"/>
  <c r="AY238" i="11"/>
  <c r="AY189" i="11"/>
  <c r="AY171" i="11"/>
  <c r="AY190" i="11"/>
  <c r="AY248" i="11"/>
  <c r="AR219" i="11"/>
  <c r="AY207" i="11"/>
  <c r="AY195" i="11"/>
  <c r="AY173" i="11"/>
  <c r="AY180" i="11"/>
  <c r="AY172" i="11"/>
  <c r="AY163" i="11"/>
  <c r="AX107" i="11"/>
  <c r="AX103" i="11"/>
  <c r="AX63" i="11"/>
  <c r="AX59" i="11"/>
  <c r="AX106" i="11"/>
  <c r="AX102" i="11"/>
  <c r="AX96" i="11"/>
  <c r="AX92" i="11"/>
  <c r="AX90" i="11"/>
  <c r="AX88" i="11"/>
  <c r="AX86" i="11"/>
  <c r="AX82" i="11"/>
  <c r="AX35" i="11"/>
  <c r="AY273" i="10"/>
  <c r="AY215" i="10"/>
  <c r="AY211" i="10"/>
  <c r="AY208" i="10"/>
  <c r="AY207" i="10"/>
  <c r="AY205" i="10"/>
  <c r="AY204" i="10"/>
  <c r="AY203" i="10"/>
  <c r="AY202" i="10"/>
  <c r="AX18" i="11"/>
  <c r="AY320" i="10"/>
  <c r="AY195" i="10"/>
  <c r="AY187" i="10"/>
  <c r="AY299" i="10"/>
  <c r="AY277" i="10"/>
  <c r="AY222" i="10"/>
  <c r="AY210" i="10"/>
  <c r="CU111" i="10"/>
  <c r="CQ111" i="10"/>
  <c r="CH111" i="10"/>
  <c r="CV111" i="10"/>
  <c r="CI111" i="10"/>
  <c r="CE111" i="10"/>
  <c r="CT111" i="10"/>
  <c r="CO111" i="10"/>
  <c r="CC111" i="10"/>
  <c r="CS111" i="10"/>
  <c r="CG111" i="10"/>
  <c r="CF111" i="10"/>
  <c r="CW111" i="10"/>
  <c r="B248" i="9"/>
  <c r="D12" i="29" s="1"/>
  <c r="AY275" i="10"/>
  <c r="CU142" i="10"/>
  <c r="CQ142" i="10"/>
  <c r="CI142" i="10"/>
  <c r="CE142" i="10"/>
  <c r="CV142" i="10"/>
  <c r="CJ142" i="10"/>
  <c r="CF142" i="10"/>
  <c r="CW142" i="10"/>
  <c r="CT142" i="10"/>
  <c r="CO142" i="10"/>
  <c r="CC142" i="10"/>
  <c r="CS142" i="10"/>
  <c r="CH142" i="10"/>
  <c r="CX142" i="10"/>
  <c r="CG142" i="10"/>
  <c r="CT61" i="10"/>
  <c r="CF61" i="10"/>
  <c r="AY61" i="10" s="1"/>
  <c r="CS61" i="10"/>
  <c r="CE61" i="10"/>
  <c r="CV61" i="10"/>
  <c r="CR61" i="10"/>
  <c r="CH61" i="10"/>
  <c r="CD61" i="10"/>
  <c r="CU61" i="10"/>
  <c r="CG61" i="10"/>
  <c r="AY52" i="10"/>
  <c r="AY49" i="10"/>
  <c r="CT21" i="10"/>
  <c r="CF21" i="10"/>
  <c r="D39" i="10"/>
  <c r="CS21" i="10"/>
  <c r="CE21" i="10"/>
  <c r="CV21" i="10"/>
  <c r="CR21" i="10"/>
  <c r="CH21" i="10"/>
  <c r="CD21" i="10"/>
  <c r="AY21" i="10" s="1"/>
  <c r="CU21" i="10"/>
  <c r="CG21" i="10"/>
  <c r="CT13" i="10"/>
  <c r="CF13" i="10"/>
  <c r="CS13" i="10"/>
  <c r="CE13" i="10"/>
  <c r="CV13" i="10"/>
  <c r="CR13" i="10"/>
  <c r="CH13" i="10"/>
  <c r="CD13" i="10"/>
  <c r="AY13" i="10" s="1"/>
  <c r="CU13" i="10"/>
  <c r="CG13" i="10"/>
  <c r="CQ201" i="8"/>
  <c r="CD201" i="8"/>
  <c r="AB201" i="8" s="1"/>
  <c r="CP201" i="8"/>
  <c r="CG201" i="8"/>
  <c r="CS201" i="8"/>
  <c r="CF201" i="8"/>
  <c r="CR201" i="8"/>
  <c r="CE201" i="8"/>
  <c r="AY226" i="10"/>
  <c r="AY209" i="10"/>
  <c r="AY206" i="10"/>
  <c r="CV137" i="10"/>
  <c r="CI137" i="10"/>
  <c r="CE137" i="10"/>
  <c r="CW137" i="10"/>
  <c r="CS137" i="10"/>
  <c r="CO137" i="10"/>
  <c r="CF137" i="10"/>
  <c r="CT137" i="10"/>
  <c r="CH137" i="10"/>
  <c r="CG137" i="10"/>
  <c r="CQ137" i="10"/>
  <c r="CU137" i="10"/>
  <c r="CC137" i="10"/>
  <c r="AY137" i="10" s="1"/>
  <c r="CV120" i="10"/>
  <c r="CI120" i="10"/>
  <c r="CE120" i="10"/>
  <c r="CW120" i="10"/>
  <c r="CS120" i="10"/>
  <c r="CO120" i="10"/>
  <c r="CF120" i="10"/>
  <c r="CT120" i="10"/>
  <c r="CH120" i="10"/>
  <c r="CG120" i="10"/>
  <c r="CQ120" i="10"/>
  <c r="CU120" i="10"/>
  <c r="CC120" i="10"/>
  <c r="AY120" i="10" s="1"/>
  <c r="CU51" i="10"/>
  <c r="CG51" i="10"/>
  <c r="CT51" i="10"/>
  <c r="CF51" i="10"/>
  <c r="D57" i="10"/>
  <c r="CE57" i="10" s="1"/>
  <c r="AY57" i="10" s="1"/>
  <c r="CS51" i="10"/>
  <c r="CE51" i="10"/>
  <c r="CV51" i="10"/>
  <c r="CR51" i="10"/>
  <c r="CH51" i="10"/>
  <c r="CD51" i="10"/>
  <c r="AY51" i="10" s="1"/>
  <c r="CU47" i="10"/>
  <c r="CG47" i="10"/>
  <c r="CT47" i="10"/>
  <c r="CF47" i="10"/>
  <c r="CS47" i="10"/>
  <c r="CE47" i="10"/>
  <c r="CV47" i="10"/>
  <c r="CR47" i="10"/>
  <c r="CH47" i="10"/>
  <c r="CD47" i="10"/>
  <c r="AY47" i="10" s="1"/>
  <c r="AY20" i="9"/>
  <c r="CO151" i="8"/>
  <c r="CD151" i="8"/>
  <c r="CR151" i="8"/>
  <c r="CN151" i="8"/>
  <c r="B239" i="8" s="1"/>
  <c r="D11" i="29" s="1"/>
  <c r="CC151" i="8"/>
  <c r="C162" i="8"/>
  <c r="CQ151" i="8"/>
  <c r="CF151" i="8"/>
  <c r="CB151" i="8"/>
  <c r="CE151" i="8"/>
  <c r="CP151" i="8"/>
  <c r="AY212" i="10"/>
  <c r="CC201" i="10"/>
  <c r="CA201" i="10"/>
  <c r="AW173" i="8"/>
  <c r="AY26" i="9"/>
  <c r="AY24" i="9"/>
  <c r="CL164" i="7"/>
  <c r="CE164" i="7"/>
  <c r="CA164" i="7"/>
  <c r="Y164" i="7" s="1"/>
  <c r="CO164" i="7"/>
  <c r="CK164" i="7"/>
  <c r="CD164" i="7"/>
  <c r="CN164" i="7"/>
  <c r="CC164" i="7"/>
  <c r="CM164" i="7"/>
  <c r="CB164" i="7"/>
  <c r="AW26" i="7"/>
  <c r="CT268" i="6"/>
  <c r="CF268" i="6"/>
  <c r="AY268" i="6" s="1"/>
  <c r="CW268" i="6"/>
  <c r="CI268" i="6"/>
  <c r="CV268" i="6"/>
  <c r="CH268" i="6"/>
  <c r="CU268" i="6"/>
  <c r="CG268" i="6"/>
  <c r="CT266" i="6"/>
  <c r="CF266" i="6"/>
  <c r="AY266" i="6" s="1"/>
  <c r="CW266" i="6"/>
  <c r="CI266" i="6"/>
  <c r="CV266" i="6"/>
  <c r="CH266" i="6"/>
  <c r="CU266" i="6"/>
  <c r="CG266" i="6"/>
  <c r="CT264" i="6"/>
  <c r="CF264" i="6"/>
  <c r="AY264" i="6" s="1"/>
  <c r="CW264" i="6"/>
  <c r="CI264" i="6"/>
  <c r="CV264" i="6"/>
  <c r="CH264" i="6"/>
  <c r="CU264" i="6"/>
  <c r="CG264" i="6"/>
  <c r="CT262" i="6"/>
  <c r="CF262" i="6"/>
  <c r="AY262" i="6" s="1"/>
  <c r="CW262" i="6"/>
  <c r="CI262" i="6"/>
  <c r="CV262" i="6"/>
  <c r="CH262" i="6"/>
  <c r="CU262" i="6"/>
  <c r="CG262" i="6"/>
  <c r="AL130" i="9"/>
  <c r="AO65" i="9"/>
  <c r="AO63" i="9"/>
  <c r="AP55" i="9"/>
  <c r="CS20" i="7"/>
  <c r="CO20" i="7"/>
  <c r="CK20" i="7"/>
  <c r="CF20" i="7"/>
  <c r="CB20" i="7"/>
  <c r="CN20" i="7"/>
  <c r="CI20" i="7"/>
  <c r="CE20" i="7"/>
  <c r="CA20" i="7"/>
  <c r="CM20" i="7"/>
  <c r="CD20" i="7"/>
  <c r="CP20" i="7"/>
  <c r="CL20" i="7"/>
  <c r="CC20" i="7"/>
  <c r="CS12" i="7"/>
  <c r="CO12" i="7"/>
  <c r="CK12" i="7"/>
  <c r="CF12" i="7"/>
  <c r="CB12" i="7"/>
  <c r="CN12" i="7"/>
  <c r="CI12" i="7"/>
  <c r="CE12" i="7"/>
  <c r="CA12" i="7"/>
  <c r="CM12" i="7"/>
  <c r="CD12" i="7"/>
  <c r="CP12" i="7"/>
  <c r="CL12" i="7"/>
  <c r="CC12" i="7"/>
  <c r="CU319" i="6"/>
  <c r="CF319" i="6"/>
  <c r="CT319" i="6"/>
  <c r="CE319" i="6"/>
  <c r="CS319" i="6"/>
  <c r="CD319" i="6"/>
  <c r="AW319" i="6" s="1"/>
  <c r="CR319" i="6"/>
  <c r="CG319" i="6"/>
  <c r="CY240" i="6"/>
  <c r="CF240" i="6"/>
  <c r="CT240" i="6"/>
  <c r="CE240" i="6"/>
  <c r="AY240" i="6" s="1"/>
  <c r="CS240" i="6"/>
  <c r="CK240" i="6"/>
  <c r="CY236" i="6"/>
  <c r="CF236" i="6"/>
  <c r="CT236" i="6"/>
  <c r="CE236" i="6"/>
  <c r="AY236" i="6" s="1"/>
  <c r="CS236" i="6"/>
  <c r="CK236" i="6"/>
  <c r="CY232" i="6"/>
  <c r="CF232" i="6"/>
  <c r="CT232" i="6"/>
  <c r="CE232" i="6"/>
  <c r="AY232" i="6" s="1"/>
  <c r="CS232" i="6"/>
  <c r="CK232" i="6"/>
  <c r="AB43" i="6"/>
  <c r="AB41" i="6"/>
  <c r="AO31" i="9"/>
  <c r="W145" i="8"/>
  <c r="W137" i="8"/>
  <c r="W129" i="8"/>
  <c r="Y160" i="7"/>
  <c r="AN75" i="7"/>
  <c r="CT271" i="6"/>
  <c r="CI271" i="6"/>
  <c r="CW271" i="6"/>
  <c r="CH271" i="6"/>
  <c r="CV271" i="6"/>
  <c r="CG271" i="6"/>
  <c r="CU271" i="6"/>
  <c r="CF271" i="6"/>
  <c r="AY271" i="6" s="1"/>
  <c r="AX157" i="8"/>
  <c r="AX153" i="8"/>
  <c r="CM19" i="7"/>
  <c r="CD19" i="7"/>
  <c r="CP19" i="7"/>
  <c r="CL19" i="7"/>
  <c r="CC19" i="7"/>
  <c r="CS19" i="7"/>
  <c r="CO19" i="7"/>
  <c r="CK19" i="7"/>
  <c r="CF19" i="7"/>
  <c r="CB19" i="7"/>
  <c r="CN19" i="7"/>
  <c r="CI19" i="7"/>
  <c r="CE19" i="7"/>
  <c r="CA19" i="7"/>
  <c r="AW19" i="7" s="1"/>
  <c r="CS322" i="6"/>
  <c r="CD322" i="6"/>
  <c r="CR322" i="6"/>
  <c r="CG322" i="6"/>
  <c r="CU322" i="6"/>
  <c r="CF322" i="6"/>
  <c r="CT322" i="6"/>
  <c r="CE322" i="6"/>
  <c r="CS318" i="6"/>
  <c r="CD318" i="6"/>
  <c r="CR318" i="6"/>
  <c r="CG318" i="6"/>
  <c r="CU318" i="6"/>
  <c r="CF318" i="6"/>
  <c r="CT318" i="6"/>
  <c r="CE318" i="6"/>
  <c r="CR308" i="6"/>
  <c r="CF308" i="6"/>
  <c r="CU308" i="6"/>
  <c r="CE308" i="6"/>
  <c r="CT308" i="6"/>
  <c r="CD308" i="6"/>
  <c r="AW308" i="6" s="1"/>
  <c r="CS308" i="6"/>
  <c r="CG308" i="6"/>
  <c r="CS241" i="6"/>
  <c r="CK241" i="6"/>
  <c r="CY241" i="6"/>
  <c r="CF241" i="6"/>
  <c r="CT241" i="6"/>
  <c r="CE241" i="6"/>
  <c r="AY241" i="6" s="1"/>
  <c r="CS237" i="6"/>
  <c r="CK237" i="6"/>
  <c r="CY237" i="6"/>
  <c r="CF237" i="6"/>
  <c r="CT237" i="6"/>
  <c r="CE237" i="6"/>
  <c r="AY237" i="6" s="1"/>
  <c r="CS233" i="6"/>
  <c r="CK233" i="6"/>
  <c r="CY233" i="6"/>
  <c r="CF233" i="6"/>
  <c r="CT233" i="6"/>
  <c r="CE233" i="6"/>
  <c r="AY233" i="6" s="1"/>
  <c r="AY198" i="6"/>
  <c r="AB50" i="6"/>
  <c r="BP176" i="5"/>
  <c r="BV176" i="5"/>
  <c r="BO176" i="5"/>
  <c r="BU176" i="5"/>
  <c r="AD53" i="5"/>
  <c r="U108" i="14"/>
  <c r="S54" i="14"/>
  <c r="S48" i="14"/>
  <c r="S45" i="14"/>
  <c r="S24" i="14"/>
  <c r="AT389" i="6"/>
  <c r="AT387" i="6"/>
  <c r="AT385" i="6"/>
  <c r="AT382" i="6"/>
  <c r="AT380" i="6"/>
  <c r="AT378" i="6"/>
  <c r="AT375" i="6"/>
  <c r="AT372" i="6"/>
  <c r="AN365" i="6"/>
  <c r="AN363" i="6"/>
  <c r="AN361" i="6"/>
  <c r="AN359" i="6"/>
  <c r="AN357" i="6"/>
  <c r="AY200" i="6"/>
  <c r="AN141" i="6"/>
  <c r="AN139" i="6"/>
  <c r="AT48" i="5"/>
  <c r="AT47" i="5"/>
  <c r="AT46" i="5"/>
  <c r="AT45" i="5"/>
  <c r="AT44" i="5"/>
  <c r="AT43" i="5"/>
  <c r="AT42" i="5"/>
  <c r="AT41" i="5"/>
  <c r="AT40" i="5"/>
  <c r="AT39" i="5"/>
  <c r="AT38" i="5"/>
  <c r="X69" i="14"/>
  <c r="AS136" i="7"/>
  <c r="S174" i="6"/>
  <c r="Y58" i="6"/>
  <c r="AB40" i="6"/>
  <c r="AT36" i="5"/>
  <c r="AT19" i="5"/>
  <c r="AD273" i="4"/>
  <c r="S57" i="14"/>
  <c r="S39" i="14"/>
  <c r="S37" i="14"/>
  <c r="S35" i="14"/>
  <c r="S31" i="14"/>
  <c r="S27" i="14"/>
  <c r="S22" i="14"/>
  <c r="AT388" i="6"/>
  <c r="AT386" i="6"/>
  <c r="AT384" i="6"/>
  <c r="AT381" i="6"/>
  <c r="AT379" i="6"/>
  <c r="AT376" i="6"/>
  <c r="AT373" i="6"/>
  <c r="AN366" i="6"/>
  <c r="AN364" i="6"/>
  <c r="AN362" i="6"/>
  <c r="AN360" i="6"/>
  <c r="AN358" i="6"/>
  <c r="R185" i="6"/>
  <c r="S71" i="6"/>
  <c r="Y59" i="6"/>
  <c r="AT32" i="5"/>
  <c r="B51" i="3"/>
  <c r="D6" i="29" s="1"/>
  <c r="N81" i="2"/>
  <c r="N79" i="2"/>
  <c r="M71" i="2"/>
  <c r="AO39" i="2"/>
  <c r="AF179" i="5"/>
  <c r="A4" i="4"/>
  <c r="A4" i="3"/>
  <c r="A4" i="8"/>
  <c r="A4" i="13"/>
  <c r="A4" i="16"/>
  <c r="A4" i="20"/>
  <c r="A4" i="27"/>
  <c r="AP155" i="5"/>
  <c r="AT18" i="5"/>
  <c r="AT14" i="5"/>
  <c r="AP159" i="5"/>
  <c r="X116" i="4"/>
  <c r="X114" i="4"/>
  <c r="X112" i="4"/>
  <c r="AI21" i="3"/>
  <c r="CJ34" i="27"/>
  <c r="CA34" i="27"/>
  <c r="AS34" i="27" s="1"/>
  <c r="CM34" i="27"/>
  <c r="CC34" i="27"/>
  <c r="CL34" i="27"/>
  <c r="CK34" i="27"/>
  <c r="CD34" i="27"/>
  <c r="CB34" i="27"/>
  <c r="C50" i="28"/>
  <c r="CJ31" i="27"/>
  <c r="CA31" i="27"/>
  <c r="CL31" i="27"/>
  <c r="CB31" i="27"/>
  <c r="CD31" i="27"/>
  <c r="CM31" i="27"/>
  <c r="CK31" i="27"/>
  <c r="CC31" i="27"/>
  <c r="CJ24" i="27"/>
  <c r="CA24" i="27"/>
  <c r="CK24" i="27"/>
  <c r="CC24" i="27"/>
  <c r="CL24" i="27"/>
  <c r="CD24" i="27"/>
  <c r="CB24" i="27"/>
  <c r="CM24" i="27"/>
  <c r="AS27" i="27"/>
  <c r="AU149" i="26"/>
  <c r="U14" i="22"/>
  <c r="B130" i="25"/>
  <c r="D28" i="29" s="1"/>
  <c r="CQ87" i="13"/>
  <c r="CM87" i="13"/>
  <c r="CH87" i="13"/>
  <c r="CD87" i="13"/>
  <c r="CJ87" i="13"/>
  <c r="CN87" i="13"/>
  <c r="CG87" i="13"/>
  <c r="CA87" i="13"/>
  <c r="AV87" i="13" s="1"/>
  <c r="CP87" i="13"/>
  <c r="CE87" i="13"/>
  <c r="CQ55" i="13"/>
  <c r="CG55" i="13"/>
  <c r="CP55" i="13"/>
  <c r="CE55" i="13"/>
  <c r="CA55" i="13"/>
  <c r="CN55" i="13"/>
  <c r="CJ55" i="13"/>
  <c r="CD55" i="13"/>
  <c r="CM55" i="13"/>
  <c r="CH55" i="13"/>
  <c r="CQ47" i="13"/>
  <c r="CG47" i="13"/>
  <c r="CP47" i="13"/>
  <c r="CE47" i="13"/>
  <c r="CA47" i="13"/>
  <c r="AV47" i="13" s="1"/>
  <c r="CN47" i="13"/>
  <c r="CJ47" i="13"/>
  <c r="CD47" i="13"/>
  <c r="CM47" i="13"/>
  <c r="CH47" i="13"/>
  <c r="CQ39" i="13"/>
  <c r="CG39" i="13"/>
  <c r="CP39" i="13"/>
  <c r="CE39" i="13"/>
  <c r="CA39" i="13"/>
  <c r="CN39" i="13"/>
  <c r="CJ39" i="13"/>
  <c r="CD39" i="13"/>
  <c r="CM39" i="13"/>
  <c r="CH39" i="13"/>
  <c r="CQ31" i="13"/>
  <c r="CG31" i="13"/>
  <c r="CP31" i="13"/>
  <c r="CE31" i="13"/>
  <c r="CA31" i="13"/>
  <c r="AV31" i="13" s="1"/>
  <c r="CN31" i="13"/>
  <c r="CJ31" i="13"/>
  <c r="CD31" i="13"/>
  <c r="CM31" i="13"/>
  <c r="CH31" i="13"/>
  <c r="CQ23" i="13"/>
  <c r="CG23" i="13"/>
  <c r="CP23" i="13"/>
  <c r="CE23" i="13"/>
  <c r="CA23" i="13"/>
  <c r="CN23" i="13"/>
  <c r="CJ23" i="13"/>
  <c r="CD23" i="13"/>
  <c r="CM23" i="13"/>
  <c r="CH23" i="13"/>
  <c r="CQ15" i="13"/>
  <c r="CG15" i="13"/>
  <c r="CP15" i="13"/>
  <c r="CE15" i="13"/>
  <c r="CA15" i="13"/>
  <c r="AV15" i="13" s="1"/>
  <c r="CN15" i="13"/>
  <c r="CJ15" i="13"/>
  <c r="CD15" i="13"/>
  <c r="CM15" i="13"/>
  <c r="CH15" i="13"/>
  <c r="T30" i="19"/>
  <c r="CQ88" i="13"/>
  <c r="CM88" i="13"/>
  <c r="CH88" i="13"/>
  <c r="CD88" i="13"/>
  <c r="CP88" i="13"/>
  <c r="CE88" i="13"/>
  <c r="CJ88" i="13"/>
  <c r="CN88" i="13"/>
  <c r="CG88" i="13"/>
  <c r="CA88" i="13"/>
  <c r="AV88" i="13" s="1"/>
  <c r="CJ77" i="13"/>
  <c r="CE77" i="13"/>
  <c r="CN77" i="13"/>
  <c r="CH77" i="13"/>
  <c r="CD77" i="13"/>
  <c r="CQ77" i="13"/>
  <c r="CM77" i="13"/>
  <c r="CG77" i="13"/>
  <c r="CP77" i="13"/>
  <c r="CA77" i="13"/>
  <c r="N84" i="12"/>
  <c r="N79" i="12"/>
  <c r="N70" i="12"/>
  <c r="N64" i="12"/>
  <c r="N44" i="12"/>
  <c r="N40" i="12"/>
  <c r="N18" i="12"/>
  <c r="AY258" i="11"/>
  <c r="AY250" i="11"/>
  <c r="AY242" i="11"/>
  <c r="CO97" i="13"/>
  <c r="CD97" i="13"/>
  <c r="CN97" i="13"/>
  <c r="CF97" i="13"/>
  <c r="CM97" i="13"/>
  <c r="CE97" i="13"/>
  <c r="CL97" i="13"/>
  <c r="CC97" i="13"/>
  <c r="AT97" i="13" s="1"/>
  <c r="CQ86" i="13"/>
  <c r="CM86" i="13"/>
  <c r="CH86" i="13"/>
  <c r="CD86" i="13"/>
  <c r="CN86" i="13"/>
  <c r="CG86" i="13"/>
  <c r="CA86" i="13"/>
  <c r="CP86" i="13"/>
  <c r="CE86" i="13"/>
  <c r="CJ86" i="13"/>
  <c r="AV76" i="13"/>
  <c r="CN71" i="13"/>
  <c r="CJ71" i="13"/>
  <c r="CE71" i="13"/>
  <c r="CA71" i="13"/>
  <c r="CQ71" i="13"/>
  <c r="CM71" i="13"/>
  <c r="CH71" i="13"/>
  <c r="CD71" i="13"/>
  <c r="CP71" i="13"/>
  <c r="CG71" i="13"/>
  <c r="CN67" i="13"/>
  <c r="CJ67" i="13"/>
  <c r="CE67" i="13"/>
  <c r="CA67" i="13"/>
  <c r="CQ67" i="13"/>
  <c r="CM67" i="13"/>
  <c r="CH67" i="13"/>
  <c r="CD67" i="13"/>
  <c r="CP67" i="13"/>
  <c r="CG67" i="13"/>
  <c r="CN63" i="13"/>
  <c r="CJ63" i="13"/>
  <c r="CE63" i="13"/>
  <c r="CA63" i="13"/>
  <c r="CQ63" i="13"/>
  <c r="CM63" i="13"/>
  <c r="CH63" i="13"/>
  <c r="CD63" i="13"/>
  <c r="CP63" i="13"/>
  <c r="CG63" i="13"/>
  <c r="CN59" i="13"/>
  <c r="CJ59" i="13"/>
  <c r="CE59" i="13"/>
  <c r="CA59" i="13"/>
  <c r="CQ59" i="13"/>
  <c r="CM59" i="13"/>
  <c r="CH59" i="13"/>
  <c r="CD59" i="13"/>
  <c r="CP59" i="13"/>
  <c r="CG59" i="13"/>
  <c r="CO102" i="13"/>
  <c r="CD102" i="13"/>
  <c r="CN102" i="13"/>
  <c r="CF102" i="13"/>
  <c r="CM102" i="13"/>
  <c r="CE102" i="13"/>
  <c r="CC102" i="13"/>
  <c r="CL102" i="13"/>
  <c r="CQ79" i="13"/>
  <c r="CM79" i="13"/>
  <c r="CJ79" i="13"/>
  <c r="CE79" i="13"/>
  <c r="CA79" i="13"/>
  <c r="CN79" i="13"/>
  <c r="CH79" i="13"/>
  <c r="CD79" i="13"/>
  <c r="CG79" i="13"/>
  <c r="CP79" i="13"/>
  <c r="AY252" i="11"/>
  <c r="AR218" i="11"/>
  <c r="AY253" i="11"/>
  <c r="CO96" i="13"/>
  <c r="CD96" i="13"/>
  <c r="CN96" i="13"/>
  <c r="CF96" i="13"/>
  <c r="CM96" i="13"/>
  <c r="CE96" i="13"/>
  <c r="CC96" i="13"/>
  <c r="CL96" i="13"/>
  <c r="CQ75" i="13"/>
  <c r="CM75" i="13"/>
  <c r="CG75" i="13"/>
  <c r="CP75" i="13"/>
  <c r="CA75" i="13"/>
  <c r="CJ75" i="13"/>
  <c r="CE75" i="13"/>
  <c r="CD75" i="13"/>
  <c r="CH75" i="13"/>
  <c r="CN75" i="13"/>
  <c r="AY257" i="11"/>
  <c r="AY244" i="11"/>
  <c r="CF63" i="16"/>
  <c r="CA63" i="16"/>
  <c r="AP63" i="16" s="1"/>
  <c r="B66" i="16"/>
  <c r="CH29" i="16"/>
  <c r="CB29" i="16"/>
  <c r="CG29" i="16"/>
  <c r="CA29" i="16"/>
  <c r="AS29" i="16" s="1"/>
  <c r="CF29" i="16"/>
  <c r="B215" i="16" s="1"/>
  <c r="D19" i="29" s="1"/>
  <c r="CC29" i="16"/>
  <c r="AR227" i="11"/>
  <c r="AX140" i="11"/>
  <c r="AX136" i="11"/>
  <c r="AX134" i="11"/>
  <c r="AX132" i="11"/>
  <c r="AX130" i="11"/>
  <c r="AX126" i="11"/>
  <c r="AX116" i="11"/>
  <c r="AX72" i="11"/>
  <c r="AX62" i="11"/>
  <c r="AX48" i="11"/>
  <c r="AX46" i="11"/>
  <c r="AX44" i="11"/>
  <c r="AX42" i="11"/>
  <c r="AX38" i="11"/>
  <c r="AY276" i="10"/>
  <c r="CV133" i="10"/>
  <c r="CI133" i="10"/>
  <c r="CE133" i="10"/>
  <c r="CW133" i="10"/>
  <c r="CS133" i="10"/>
  <c r="CO133" i="10"/>
  <c r="CF133" i="10"/>
  <c r="CQ133" i="10"/>
  <c r="CU133" i="10"/>
  <c r="CC133" i="10"/>
  <c r="AY133" i="10" s="1"/>
  <c r="CT133" i="10"/>
  <c r="CH133" i="10"/>
  <c r="CG133" i="10"/>
  <c r="AY198" i="10"/>
  <c r="AY196" i="10"/>
  <c r="AY189" i="10"/>
  <c r="AY186" i="10"/>
  <c r="CV118" i="10"/>
  <c r="CI118" i="10"/>
  <c r="CE118" i="10"/>
  <c r="CW118" i="10"/>
  <c r="CS118" i="10"/>
  <c r="CO118" i="10"/>
  <c r="CF118" i="10"/>
  <c r="CG118" i="10"/>
  <c r="CQ118" i="10"/>
  <c r="CU118" i="10"/>
  <c r="CC118" i="10"/>
  <c r="AY118" i="10" s="1"/>
  <c r="CT118" i="10"/>
  <c r="CH118" i="10"/>
  <c r="CV113" i="10"/>
  <c r="CI113" i="10"/>
  <c r="CE113" i="10"/>
  <c r="CW113" i="10"/>
  <c r="CS113" i="10"/>
  <c r="CO113" i="10"/>
  <c r="CF113" i="10"/>
  <c r="CG113" i="10"/>
  <c r="CQ113" i="10"/>
  <c r="CC113" i="10"/>
  <c r="AY113" i="10" s="1"/>
  <c r="CU113" i="10"/>
  <c r="CT113" i="10"/>
  <c r="CH113" i="10"/>
  <c r="CT60" i="10"/>
  <c r="CF60" i="10"/>
  <c r="CS60" i="10"/>
  <c r="CE60" i="10"/>
  <c r="CV60" i="10"/>
  <c r="CR60" i="10"/>
  <c r="CH60" i="10"/>
  <c r="CD60" i="10"/>
  <c r="AY60" i="10" s="1"/>
  <c r="CU60" i="10"/>
  <c r="CG60" i="10"/>
  <c r="AY48" i="10"/>
  <c r="CT16" i="10"/>
  <c r="CF16" i="10"/>
  <c r="CS16" i="10"/>
  <c r="CE16" i="10"/>
  <c r="CV16" i="10"/>
  <c r="CR16" i="10"/>
  <c r="CH16" i="10"/>
  <c r="CD16" i="10"/>
  <c r="AY16" i="10" s="1"/>
  <c r="CU16" i="10"/>
  <c r="CG16" i="10"/>
  <c r="CQ199" i="8"/>
  <c r="CD199" i="8"/>
  <c r="AB199" i="8" s="1"/>
  <c r="CP199" i="8"/>
  <c r="CG199" i="8"/>
  <c r="CS199" i="8"/>
  <c r="CF199" i="8"/>
  <c r="CR199" i="8"/>
  <c r="CE199" i="8"/>
  <c r="AB197" i="8"/>
  <c r="CV129" i="10"/>
  <c r="CI129" i="10"/>
  <c r="CE129" i="10"/>
  <c r="CW129" i="10"/>
  <c r="CS129" i="10"/>
  <c r="CO129" i="10"/>
  <c r="CF129" i="10"/>
  <c r="CT129" i="10"/>
  <c r="CH129" i="10"/>
  <c r="CG129" i="10"/>
  <c r="CQ129" i="10"/>
  <c r="CU129" i="10"/>
  <c r="CC129" i="10"/>
  <c r="AY129" i="10" s="1"/>
  <c r="AY122" i="10"/>
  <c r="CV115" i="10"/>
  <c r="CI115" i="10"/>
  <c r="CE115" i="10"/>
  <c r="CW115" i="10"/>
  <c r="CS115" i="10"/>
  <c r="CO115" i="10"/>
  <c r="CF115" i="10"/>
  <c r="CT115" i="10"/>
  <c r="CH115" i="10"/>
  <c r="CG115" i="10"/>
  <c r="CQ115" i="10"/>
  <c r="CU115" i="10"/>
  <c r="CC115" i="10"/>
  <c r="AY115" i="10" s="1"/>
  <c r="CU54" i="10"/>
  <c r="CG54" i="10"/>
  <c r="CT54" i="10"/>
  <c r="CF54" i="10"/>
  <c r="CS54" i="10"/>
  <c r="CE54" i="10"/>
  <c r="CV54" i="10"/>
  <c r="CR54" i="10"/>
  <c r="CH54" i="10"/>
  <c r="CD54" i="10"/>
  <c r="AY54" i="10" s="1"/>
  <c r="CU50" i="10"/>
  <c r="CG50" i="10"/>
  <c r="CT50" i="10"/>
  <c r="CF50" i="10"/>
  <c r="CS50" i="10"/>
  <c r="CE50" i="10"/>
  <c r="CV50" i="10"/>
  <c r="CR50" i="10"/>
  <c r="CH50" i="10"/>
  <c r="CD50" i="10"/>
  <c r="AY50" i="10" s="1"/>
  <c r="AW175" i="8"/>
  <c r="AW167" i="8"/>
  <c r="P213" i="9"/>
  <c r="P211" i="9"/>
  <c r="W144" i="8"/>
  <c r="W136" i="8"/>
  <c r="AY267" i="6"/>
  <c r="AY265" i="6"/>
  <c r="AY263" i="6"/>
  <c r="AY261" i="6"/>
  <c r="CT259" i="6"/>
  <c r="CF259" i="6"/>
  <c r="AY259" i="6" s="1"/>
  <c r="CW259" i="6"/>
  <c r="CI259" i="6"/>
  <c r="CV259" i="6"/>
  <c r="CH259" i="6"/>
  <c r="CU259" i="6"/>
  <c r="CG259" i="6"/>
  <c r="CT257" i="6"/>
  <c r="CF257" i="6"/>
  <c r="AY257" i="6" s="1"/>
  <c r="CW257" i="6"/>
  <c r="CI257" i="6"/>
  <c r="CV257" i="6"/>
  <c r="CH257" i="6"/>
  <c r="CU257" i="6"/>
  <c r="CG257" i="6"/>
  <c r="CT255" i="6"/>
  <c r="CF255" i="6"/>
  <c r="AY255" i="6" s="1"/>
  <c r="CW255" i="6"/>
  <c r="CI255" i="6"/>
  <c r="CV255" i="6"/>
  <c r="CH255" i="6"/>
  <c r="CU255" i="6"/>
  <c r="CG255" i="6"/>
  <c r="CT252" i="6"/>
  <c r="CF252" i="6"/>
  <c r="AY252" i="6" s="1"/>
  <c r="CW252" i="6"/>
  <c r="CI252" i="6"/>
  <c r="CV252" i="6"/>
  <c r="CH252" i="6"/>
  <c r="CU252" i="6"/>
  <c r="CG252" i="6"/>
  <c r="CT250" i="6"/>
  <c r="CF250" i="6"/>
  <c r="AY250" i="6" s="1"/>
  <c r="CW250" i="6"/>
  <c r="CI250" i="6"/>
  <c r="CV250" i="6"/>
  <c r="CH250" i="6"/>
  <c r="CU250" i="6"/>
  <c r="CG250" i="6"/>
  <c r="CT248" i="6"/>
  <c r="CF248" i="6"/>
  <c r="AY248" i="6" s="1"/>
  <c r="CW248" i="6"/>
  <c r="CI248" i="6"/>
  <c r="CV248" i="6"/>
  <c r="CH248" i="6"/>
  <c r="CU248" i="6"/>
  <c r="CG248" i="6"/>
  <c r="CS18" i="7"/>
  <c r="CO18" i="7"/>
  <c r="CK18" i="7"/>
  <c r="CF18" i="7"/>
  <c r="CB18" i="7"/>
  <c r="CN18" i="7"/>
  <c r="CI18" i="7"/>
  <c r="CE18" i="7"/>
  <c r="CA18" i="7"/>
  <c r="AW18" i="7" s="1"/>
  <c r="CM18" i="7"/>
  <c r="CD18" i="7"/>
  <c r="CP18" i="7"/>
  <c r="CL18" i="7"/>
  <c r="CC18" i="7"/>
  <c r="CQ329" i="6"/>
  <c r="CD329" i="6"/>
  <c r="CT329" i="6"/>
  <c r="CC329" i="6"/>
  <c r="AX329" i="6" s="1"/>
  <c r="CS329" i="6"/>
  <c r="CF329" i="6"/>
  <c r="CR329" i="6"/>
  <c r="CE329" i="6"/>
  <c r="CU317" i="6"/>
  <c r="CF317" i="6"/>
  <c r="CT317" i="6"/>
  <c r="CE317" i="6"/>
  <c r="CS317" i="6"/>
  <c r="CD317" i="6"/>
  <c r="AW317" i="6" s="1"/>
  <c r="CR317" i="6"/>
  <c r="CG317" i="6"/>
  <c r="AY260" i="6"/>
  <c r="AY238" i="6"/>
  <c r="AY234" i="6"/>
  <c r="AY230" i="6"/>
  <c r="CY225" i="6"/>
  <c r="CF225" i="6"/>
  <c r="CT225" i="6"/>
  <c r="CE225" i="6"/>
  <c r="AY225" i="6" s="1"/>
  <c r="CS225" i="6"/>
  <c r="CK225" i="6"/>
  <c r="CY217" i="6"/>
  <c r="CF217" i="6"/>
  <c r="CT217" i="6"/>
  <c r="CE217" i="6"/>
  <c r="AY217" i="6" s="1"/>
  <c r="CS217" i="6"/>
  <c r="CK217" i="6"/>
  <c r="CY213" i="6"/>
  <c r="CF213" i="6"/>
  <c r="CT213" i="6"/>
  <c r="CE213" i="6"/>
  <c r="AY213" i="6" s="1"/>
  <c r="CS213" i="6"/>
  <c r="CK213" i="6"/>
  <c r="CY209" i="6"/>
  <c r="CF209" i="6"/>
  <c r="CT209" i="6"/>
  <c r="CE209" i="6"/>
  <c r="AY209" i="6" s="1"/>
  <c r="CS209" i="6"/>
  <c r="CK209" i="6"/>
  <c r="AX152" i="8"/>
  <c r="W143" i="8"/>
  <c r="W135" i="8"/>
  <c r="Y165" i="7"/>
  <c r="Y162" i="7"/>
  <c r="CP25" i="7"/>
  <c r="CL25" i="7"/>
  <c r="CC25" i="7"/>
  <c r="CS25" i="7"/>
  <c r="CO25" i="7"/>
  <c r="CK25" i="7"/>
  <c r="CF25" i="7"/>
  <c r="CB25" i="7"/>
  <c r="CN25" i="7"/>
  <c r="CI25" i="7"/>
  <c r="CE25" i="7"/>
  <c r="CA25" i="7"/>
  <c r="CM25" i="7"/>
  <c r="CD25" i="7"/>
  <c r="AY21" i="9"/>
  <c r="CM17" i="7"/>
  <c r="CD17" i="7"/>
  <c r="CP17" i="7"/>
  <c r="CL17" i="7"/>
  <c r="CC17" i="7"/>
  <c r="CS17" i="7"/>
  <c r="CO17" i="7"/>
  <c r="CK17" i="7"/>
  <c r="CF17" i="7"/>
  <c r="CB17" i="7"/>
  <c r="CN17" i="7"/>
  <c r="CI17" i="7"/>
  <c r="CE17" i="7"/>
  <c r="CA17" i="7"/>
  <c r="CR312" i="6"/>
  <c r="CF312" i="6"/>
  <c r="CU312" i="6"/>
  <c r="CE312" i="6"/>
  <c r="CT312" i="6"/>
  <c r="CD312" i="6"/>
  <c r="AW312" i="6" s="1"/>
  <c r="CS312" i="6"/>
  <c r="CG312" i="6"/>
  <c r="CS226" i="6"/>
  <c r="CK226" i="6"/>
  <c r="CY226" i="6"/>
  <c r="CF226" i="6"/>
  <c r="CT226" i="6"/>
  <c r="CE226" i="6"/>
  <c r="AY226" i="6" s="1"/>
  <c r="CS222" i="6"/>
  <c r="CK222" i="6"/>
  <c r="CY222" i="6"/>
  <c r="CF222" i="6"/>
  <c r="CT222" i="6"/>
  <c r="CE222" i="6"/>
  <c r="AY222" i="6" s="1"/>
  <c r="CY220" i="6"/>
  <c r="CE220" i="6"/>
  <c r="AY220" i="6" s="1"/>
  <c r="CT220" i="6"/>
  <c r="CS220" i="6"/>
  <c r="CK220" i="6"/>
  <c r="CF220" i="6"/>
  <c r="CY218" i="6"/>
  <c r="CE218" i="6"/>
  <c r="AY218" i="6" s="1"/>
  <c r="CT218" i="6"/>
  <c r="CS218" i="6"/>
  <c r="CK218" i="6"/>
  <c r="CF218" i="6"/>
  <c r="CS214" i="6"/>
  <c r="CK214" i="6"/>
  <c r="CY214" i="6"/>
  <c r="CF214" i="6"/>
  <c r="CT214" i="6"/>
  <c r="CE214" i="6"/>
  <c r="AY214" i="6" s="1"/>
  <c r="CS210" i="6"/>
  <c r="CK210" i="6"/>
  <c r="CY210" i="6"/>
  <c r="CF210" i="6"/>
  <c r="CT210" i="6"/>
  <c r="CE210" i="6"/>
  <c r="AY210" i="6" s="1"/>
  <c r="AB39" i="6"/>
  <c r="CT207" i="6"/>
  <c r="CE207" i="6"/>
  <c r="AY207" i="6" s="1"/>
  <c r="CS207" i="6"/>
  <c r="CY207" i="6"/>
  <c r="CF207" i="6"/>
  <c r="CK207" i="6"/>
  <c r="B258" i="2"/>
  <c r="D5" i="29" s="1"/>
  <c r="S56" i="14"/>
  <c r="C163" i="7"/>
  <c r="S55" i="14"/>
  <c r="S47" i="14"/>
  <c r="S34" i="14"/>
  <c r="S32" i="14"/>
  <c r="S29" i="14"/>
  <c r="CT203" i="6"/>
  <c r="CE203" i="6"/>
  <c r="AY203" i="6" s="1"/>
  <c r="CS203" i="6"/>
  <c r="CY203" i="6"/>
  <c r="CF203" i="6"/>
  <c r="CK203" i="6"/>
  <c r="R181" i="6"/>
  <c r="AT35" i="5"/>
  <c r="AJ207" i="4"/>
  <c r="CO206" i="4"/>
  <c r="B278" i="4" s="1"/>
  <c r="D7" i="29" s="1"/>
  <c r="CF206" i="4"/>
  <c r="CE206" i="4"/>
  <c r="AJ206" i="4" s="1"/>
  <c r="CP206" i="4"/>
  <c r="S43" i="14"/>
  <c r="S169" i="6"/>
  <c r="S75" i="6"/>
  <c r="BX22" i="5"/>
  <c r="BR22" i="5"/>
  <c r="BV22" i="5"/>
  <c r="BP22" i="5"/>
  <c r="BO22" i="5"/>
  <c r="BW22" i="5"/>
  <c r="BU22" i="5"/>
  <c r="A240" i="5" s="1"/>
  <c r="D8" i="29" s="1"/>
  <c r="BQ22" i="5"/>
  <c r="M64" i="4"/>
  <c r="AO36" i="2"/>
  <c r="AI31" i="2"/>
  <c r="AI29" i="2"/>
  <c r="AI28" i="2"/>
  <c r="AI27" i="2"/>
  <c r="AI26" i="2"/>
  <c r="AI25" i="2"/>
  <c r="AI24" i="2"/>
  <c r="AI23" i="2"/>
  <c r="AI21" i="2"/>
  <c r="AI19" i="2"/>
  <c r="AI18" i="2"/>
  <c r="AI17" i="2"/>
  <c r="AI16" i="2"/>
  <c r="AI15" i="2"/>
  <c r="AI14" i="2"/>
  <c r="AI13" i="2"/>
  <c r="AI12" i="2"/>
  <c r="AI11" i="2"/>
  <c r="AF183" i="5"/>
  <c r="AF182" i="5"/>
  <c r="AT25" i="5"/>
  <c r="A4" i="14"/>
  <c r="A4" i="5"/>
  <c r="A4" i="10"/>
  <c r="A4" i="12"/>
  <c r="A4" i="15"/>
  <c r="A4" i="21"/>
  <c r="AS150" i="6"/>
  <c r="AN140" i="6"/>
  <c r="BU178" i="5"/>
  <c r="BO178" i="5"/>
  <c r="BV178" i="5"/>
  <c r="BP178" i="5"/>
  <c r="AT15" i="5"/>
  <c r="B12" i="5"/>
  <c r="A239" i="5" s="1"/>
  <c r="E8" i="29" s="1"/>
  <c r="AF178" i="5" l="1"/>
  <c r="AT22" i="5"/>
  <c r="AW17" i="7"/>
  <c r="AT96" i="13"/>
  <c r="AV63" i="13"/>
  <c r="AV71" i="13"/>
  <c r="AV86" i="13"/>
  <c r="AY142" i="10"/>
  <c r="AV64" i="13"/>
  <c r="AV72" i="13"/>
  <c r="AV17" i="13"/>
  <c r="AV33" i="13"/>
  <c r="AV49" i="13"/>
  <c r="AB196" i="8"/>
  <c r="CF63" i="10"/>
  <c r="CE63" i="10"/>
  <c r="AV61" i="13"/>
  <c r="AV69" i="13"/>
  <c r="AW316" i="6"/>
  <c r="AW320" i="6"/>
  <c r="AW324" i="6"/>
  <c r="AV62" i="13"/>
  <c r="AV70" i="13"/>
  <c r="AV45" i="13"/>
  <c r="AV95" i="26"/>
  <c r="AW25" i="7"/>
  <c r="AT102" i="13"/>
  <c r="AV77" i="13"/>
  <c r="AV23" i="13"/>
  <c r="AV39" i="13"/>
  <c r="AV55" i="13"/>
  <c r="B205" i="7"/>
  <c r="D10" i="29" s="1"/>
  <c r="AW20" i="7"/>
  <c r="AS28" i="27"/>
  <c r="AW14" i="7"/>
  <c r="AW170" i="8"/>
  <c r="AW174" i="8"/>
  <c r="AY321" i="10"/>
  <c r="AY329" i="10"/>
  <c r="AV80" i="13"/>
  <c r="AV27" i="13"/>
  <c r="AV43" i="13"/>
  <c r="AD271" i="4"/>
  <c r="B385" i="10"/>
  <c r="D13" i="29" s="1"/>
  <c r="D32" i="29" s="1"/>
  <c r="B7" i="30" s="1"/>
  <c r="AY330" i="10"/>
  <c r="B203" i="13"/>
  <c r="D16" i="29" s="1"/>
  <c r="CC163" i="7"/>
  <c r="CB163" i="7"/>
  <c r="AV75" i="13"/>
  <c r="AV59" i="13"/>
  <c r="AV67" i="13"/>
  <c r="AS24" i="27"/>
  <c r="AS31" i="27"/>
  <c r="AF176" i="5"/>
  <c r="AW12" i="7"/>
  <c r="A205" i="7"/>
  <c r="E10" i="29" s="1"/>
  <c r="AY111" i="10"/>
  <c r="AV60" i="13"/>
  <c r="AV68" i="13"/>
  <c r="AV25" i="13"/>
  <c r="AV41" i="13"/>
  <c r="AS22" i="27"/>
  <c r="AW13" i="7"/>
  <c r="AW310" i="6"/>
  <c r="AW314" i="6"/>
  <c r="AV57" i="13"/>
  <c r="AV65" i="13"/>
  <c r="AV73" i="13"/>
  <c r="AV78" i="13"/>
  <c r="B101" i="27"/>
  <c r="D30" i="29" s="1"/>
  <c r="AS12" i="27"/>
  <c r="C163" i="6"/>
  <c r="A437" i="6" s="1"/>
  <c r="E9" i="29" s="1"/>
  <c r="AW15" i="7"/>
  <c r="AW23" i="7"/>
  <c r="Y166" i="7"/>
  <c r="AO61" i="9"/>
  <c r="AV58" i="13"/>
  <c r="AV66" i="13"/>
  <c r="AT99" i="13"/>
  <c r="AV21" i="13"/>
  <c r="AV37" i="13"/>
  <c r="AV53" i="13"/>
  <c r="AX39" i="27"/>
  <c r="AS19" i="27"/>
  <c r="AV79" i="13"/>
  <c r="AW318" i="6"/>
  <c r="AW322" i="6"/>
  <c r="AX151" i="8"/>
  <c r="AV82" i="13"/>
  <c r="AV74" i="13"/>
  <c r="AS26" i="27"/>
  <c r="AW168" i="8"/>
  <c r="AW172" i="8"/>
  <c r="AW176" i="8"/>
  <c r="AY141" i="10"/>
  <c r="AT104" i="13"/>
  <c r="AV19" i="13"/>
  <c r="AV35" i="13"/>
  <c r="AV51" i="13"/>
  <c r="AW16" i="7"/>
  <c r="A385" i="10"/>
  <c r="E13" i="29" s="1"/>
  <c r="AY92" i="10"/>
  <c r="AV13" i="13"/>
  <c r="AX41" i="27"/>
</calcChain>
</file>

<file path=xl/sharedStrings.xml><?xml version="1.0" encoding="utf-8"?>
<sst xmlns="http://schemas.openxmlformats.org/spreadsheetml/2006/main" count="15283" uniqueCount="4454">
  <si>
    <t>DATOS DEL ESTABLECIMIENTO</t>
  </si>
  <si>
    <t>CÓDIGOS</t>
  </si>
  <si>
    <t>NOMBRE DE COMUNA</t>
  </si>
  <si>
    <t>MAIPU</t>
  </si>
  <si>
    <t>NOMBRE ESTABLECIMIENTO/ESTRATEGIA</t>
  </si>
  <si>
    <t>CESFAM DR. CARLOS GODOY</t>
  </si>
  <si>
    <t>MES:</t>
  </si>
  <si>
    <t>MARZO</t>
  </si>
  <si>
    <t>AÑO:</t>
  </si>
  <si>
    <t>Versión 1.2: Febrero 2026</t>
  </si>
  <si>
    <t>Director/a Servicio de Salud o Director/a Establecimiento</t>
  </si>
  <si>
    <t>Tomás López Rojas</t>
  </si>
  <si>
    <t>ENERO</t>
  </si>
  <si>
    <t>Jefe/a de Estadísticas</t>
  </si>
  <si>
    <t xml:space="preserve">Claudio Adaros Gonzalez </t>
  </si>
  <si>
    <t>FEBRERO</t>
  </si>
  <si>
    <t xml:space="preserve"> </t>
  </si>
  <si>
    <t>ABRIL</t>
  </si>
  <si>
    <t>MINSAL - DEIS</t>
  </si>
  <si>
    <t>MAYO</t>
  </si>
  <si>
    <t>JUNIO</t>
  </si>
  <si>
    <t>SERIE A</t>
  </si>
  <si>
    <t>JULIO</t>
  </si>
  <si>
    <t>AGOSTO</t>
  </si>
  <si>
    <t>SEPTIEMBRE</t>
  </si>
  <si>
    <t>OCTUBRE</t>
  </si>
  <si>
    <t>NOVIEMBRE</t>
  </si>
  <si>
    <t>DICIEMBRE</t>
  </si>
  <si>
    <t>Filtro</t>
  </si>
  <si>
    <t>URL + Encoding</t>
  </si>
  <si>
    <t>https://datos.gob.cl/api/3/action/datastore_search?resource_id=2c44d782-3365-44e3-aefb-2c8b8363a1bc&amp;limit=1&amp;filters=</t>
  </si>
  <si>
    <t>ServicioWeb</t>
  </si>
  <si>
    <t>Hay Registros</t>
  </si>
  <si>
    <t>Establecimiento</t>
  </si>
  <si>
    <t>Comuna</t>
  </si>
  <si>
    <t>Comuna Glosa</t>
  </si>
  <si>
    <t>Comuna Dividida por Celdas en sgte linea:</t>
  </si>
  <si>
    <t>SERVICIO DE SALUD</t>
  </si>
  <si>
    <t>REM-A01.   CONTROLES DE SALUD</t>
  </si>
  <si>
    <t>SECCIÓN A: CONTROLES DE SALUD SEXUAL Y REPRODUCTIVA</t>
  </si>
  <si>
    <t>TIPO DE CONTROL</t>
  </si>
  <si>
    <t>PROFESIONAL</t>
  </si>
  <si>
    <t xml:space="preserve">TOTAL      </t>
  </si>
  <si>
    <t>RANGO ETARIO</t>
  </si>
  <si>
    <t>Sexo</t>
  </si>
  <si>
    <t>Control con pareja, familiar u otro</t>
  </si>
  <si>
    <t>Control de diada con presencia del padre</t>
  </si>
  <si>
    <t>Espacios Amigables/ Adolescentes</t>
  </si>
  <si>
    <t xml:space="preserve">SENAME/ Servicio Nacional de Reinserción social Juvenil </t>
  </si>
  <si>
    <t>Servicio Nacional Protección Especializada a la Niñez y Adolescencia</t>
  </si>
  <si>
    <t>Pueblos Originarios</t>
  </si>
  <si>
    <t>Migrantes</t>
  </si>
  <si>
    <t>Personas con discapacidad</t>
  </si>
  <si>
    <t>Identificación de género</t>
  </si>
  <si>
    <t>Adolescente acude a control MAC con pareja</t>
  </si>
  <si>
    <t>Menos de 4 años</t>
  </si>
  <si>
    <t xml:space="preserve"> 5  -  9 años</t>
  </si>
  <si>
    <t xml:space="preserve"> 10 - 14 años</t>
  </si>
  <si>
    <t>15 - 19 años</t>
  </si>
  <si>
    <t>20 - 24 años</t>
  </si>
  <si>
    <t>25 - 29 años</t>
  </si>
  <si>
    <t>30 - 34 años</t>
  </si>
  <si>
    <t>35 - 39 años</t>
  </si>
  <si>
    <t>40 - 44 años</t>
  </si>
  <si>
    <t>45 - 49 años</t>
  </si>
  <si>
    <t>50 - 54 años</t>
  </si>
  <si>
    <t>55 - 59 años</t>
  </si>
  <si>
    <t>60 - 64 años</t>
  </si>
  <si>
    <t>65 - 69 años</t>
  </si>
  <si>
    <t>70 - 74 años</t>
  </si>
  <si>
    <t>75 - 79 años</t>
  </si>
  <si>
    <t>80 y más años</t>
  </si>
  <si>
    <t>Hombres</t>
  </si>
  <si>
    <t>Mujeres</t>
  </si>
  <si>
    <t>Trans masculino</t>
  </si>
  <si>
    <t>Trans femenina</t>
  </si>
  <si>
    <t>No binarie</t>
  </si>
  <si>
    <t>Preconcepcional</t>
  </si>
  <si>
    <t>Médico/a</t>
  </si>
  <si>
    <t>Matrona/ón</t>
  </si>
  <si>
    <t>Prenatal</t>
  </si>
  <si>
    <t>Post Parto</t>
  </si>
  <si>
    <t>Post Aborto</t>
  </si>
  <si>
    <t xml:space="preserve">Puérpera con recién nacido hasta 10 días de vida </t>
  </si>
  <si>
    <t xml:space="preserve">Puérpera con recién nacido entre 11 y 28 días </t>
  </si>
  <si>
    <t xml:space="preserve">Recién nacido hasta 10 días de vida </t>
  </si>
  <si>
    <t xml:space="preserve">Recién nacido entre 11 y 28 días </t>
  </si>
  <si>
    <t>Ginecológico</t>
  </si>
  <si>
    <t>Climaterio</t>
  </si>
  <si>
    <t>Regulación de Fecundidad</t>
  </si>
  <si>
    <t>SECCIÓN B: CONTROLES DE SALUD SEGÚN CICLO VITAL</t>
  </si>
  <si>
    <t>TOTAL</t>
  </si>
  <si>
    <t>Control con Presencia del Padre</t>
  </si>
  <si>
    <t>Ambos Sexos</t>
  </si>
  <si>
    <t>Menos de 1 mes</t>
  </si>
  <si>
    <t>1 mes</t>
  </si>
  <si>
    <t>2 meses</t>
  </si>
  <si>
    <t>3 meses</t>
  </si>
  <si>
    <t>4 meses</t>
  </si>
  <si>
    <t xml:space="preserve"> 5 meses</t>
  </si>
  <si>
    <t>6 meses</t>
  </si>
  <si>
    <t xml:space="preserve"> 7  -  11 meses</t>
  </si>
  <si>
    <t>12 - 17 meses</t>
  </si>
  <si>
    <t>18  - 23  meses</t>
  </si>
  <si>
    <t>24  - 47  meses</t>
  </si>
  <si>
    <t>48  - 59  meses</t>
  </si>
  <si>
    <t>60  - 71  meses</t>
  </si>
  <si>
    <t>6 - 9 años</t>
  </si>
  <si>
    <t>10 - 14 años</t>
  </si>
  <si>
    <t>Menor 1 año</t>
  </si>
  <si>
    <t>1 año a 3 años 11 meses 29 días</t>
  </si>
  <si>
    <t xml:space="preserve">De salud </t>
  </si>
  <si>
    <t>Enfermera/o</t>
  </si>
  <si>
    <t>Técnico en Enfermería</t>
  </si>
  <si>
    <t>SECCIÓN C: CONTROLES SEGÚN PROBLEMA DE SALUD</t>
  </si>
  <si>
    <t>RANGO ETARIO Y SEXO</t>
  </si>
  <si>
    <t>Extensión Horaria (PRAPS)</t>
  </si>
  <si>
    <t xml:space="preserve"> 0  -  4 años</t>
  </si>
  <si>
    <t>De Salud Cardiovascular</t>
  </si>
  <si>
    <t>Nutricionista</t>
  </si>
  <si>
    <t xml:space="preserve">Seguimiento Autovalente con riesgo </t>
  </si>
  <si>
    <t xml:space="preserve">Otros Profesionales debidamente capacitados </t>
  </si>
  <si>
    <t xml:space="preserve">Seguimiento riesgo dependencia </t>
  </si>
  <si>
    <t xml:space="preserve">De Infección Transmisión Sexual </t>
  </si>
  <si>
    <t xml:space="preserve">Otros problemas de salud </t>
  </si>
  <si>
    <t xml:space="preserve">Niños/as con necesidades especiales </t>
  </si>
  <si>
    <t>SECCIÓN D: CONTROL DE SALUD INTEGRAL DE ADOLESCENTES (incluidos en sección B)</t>
  </si>
  <si>
    <t>LUGAR DEL CONTROL, SEGÚN EDAD</t>
  </si>
  <si>
    <t>En Espacio Amigable</t>
  </si>
  <si>
    <t xml:space="preserve">En otros espacios del Establecimiento de Salud </t>
  </si>
  <si>
    <t xml:space="preserve">En Establecimientos Educacionales </t>
  </si>
  <si>
    <t xml:space="preserve">En otros lugares fuera del Establecimiento de Salud </t>
  </si>
  <si>
    <t>SECCIÓN E: CONTROLES INDIVIDUALES DE SALUD EN ESTABLECIMIENTOS EDUCACIONALES</t>
  </si>
  <si>
    <t>CURSO</t>
  </si>
  <si>
    <t xml:space="preserve">Gestión de casos </t>
  </si>
  <si>
    <t>Planificación Intervención educativa</t>
  </si>
  <si>
    <t>Total casos gestionados</t>
  </si>
  <si>
    <t xml:space="preserve">Casos pesquisados con riesgo </t>
  </si>
  <si>
    <t>Diagnóstico participativo</t>
  </si>
  <si>
    <t>Número de problemáticas intervenidas</t>
  </si>
  <si>
    <t>Intervenciones educativas finalizadas</t>
  </si>
  <si>
    <t>Kínder</t>
  </si>
  <si>
    <t xml:space="preserve">Primero básico </t>
  </si>
  <si>
    <t>Segundo básico</t>
  </si>
  <si>
    <t>Tercero básico</t>
  </si>
  <si>
    <t>Cuarto básico</t>
  </si>
  <si>
    <t>Total de Establecimientos Educacionales</t>
  </si>
  <si>
    <t>SECCIÓN F: CONTROLES INTEGRALES DE PERSONAS CON CONDICIONES CRÓNICAS (incluidos en Secciones B y C)</t>
  </si>
  <si>
    <t>Control integral con riesgo leve (G1)</t>
  </si>
  <si>
    <t>Control integral con riesgo moderado (G2)</t>
  </si>
  <si>
    <t>Control integral con riesgo alto (G3)</t>
  </si>
  <si>
    <t>Seguimiento a distancia con riesgo leve (G1)</t>
  </si>
  <si>
    <t>Seguimiento a distancia con riesgo moderado (G2)</t>
  </si>
  <si>
    <t>Seguimiento a distancia con riesgo alto (G3)</t>
  </si>
  <si>
    <t>SECCIÓN G. PROGRAMA DE CANCER DE CUELLO UTERINO: PAP TOMADOS E INFORMADOS SEGÚN RESULTADOS Y GRUPOS DE EDAD (Exámenes tomados en establecimientos de atención primaria que realizan tamizaje, uso APS)</t>
  </si>
  <si>
    <t>RANGO ETARIO 
(en años)</t>
  </si>
  <si>
    <t>PAP TOMADOS E INFORMADOS SEGÚN RESULTADO</t>
  </si>
  <si>
    <t xml:space="preserve">Total PAP informados en trans masculino </t>
  </si>
  <si>
    <t>Normales</t>
  </si>
  <si>
    <t>Inadecuados y atípicos</t>
  </si>
  <si>
    <t>Positivos</t>
  </si>
  <si>
    <t>Inadecuados</t>
  </si>
  <si>
    <t>Atípicos</t>
  </si>
  <si>
    <t xml:space="preserve"> HPV</t>
  </si>
  <si>
    <t>NIE I</t>
  </si>
  <si>
    <t>NIE II</t>
  </si>
  <si>
    <t xml:space="preserve"> NIE III</t>
  </si>
  <si>
    <t>Ca. Inv. (Epidermoide)</t>
  </si>
  <si>
    <t>Ca. Inv. (Adenocarcinoma)</t>
  </si>
  <si>
    <t>Menor de 25 años</t>
  </si>
  <si>
    <t xml:space="preserve">25 a 29 años </t>
  </si>
  <si>
    <t>30 a 34 años</t>
  </si>
  <si>
    <t>35 a 39 años</t>
  </si>
  <si>
    <t>40 a 44 años</t>
  </si>
  <si>
    <t>45 a 49 años</t>
  </si>
  <si>
    <t>50 a 54 años</t>
  </si>
  <si>
    <t>55 a 59 años</t>
  </si>
  <si>
    <t>60 a 64 años</t>
  </si>
  <si>
    <t>65 a 69 años</t>
  </si>
  <si>
    <t>70 a 74 años</t>
  </si>
  <si>
    <t>75 a 79 años</t>
  </si>
  <si>
    <t>(*) Fuente de información: Citoweb u otro sistema de registro informático.</t>
  </si>
  <si>
    <t>SECCIÓN G.1 PROGRAMA DE CANCER DE CUELLO UTERINO: RESULTADOS DE PAP INFORMADOS SEGÚN GRUPOS DE EDAD (Exámenes analizados en los laboratorios de la red pública, uso exclusivo laboratorios que procesan)</t>
  </si>
  <si>
    <t>RESULTADOS DE PAP INFORMADOS</t>
  </si>
  <si>
    <t>SECCIÓN G.2 PROGRAMA DE CANCER DE CUELLO UTERINO: RESULTADOS DE PAP INFORMADOS SEGÚN GRUPOS DE EDAD (Exámenes analizados en laboratorios de extrasistema, uso mandante)</t>
  </si>
  <si>
    <t>(*) FUENTE DE INFORMACIÓN: CITOWEB U OTRO SISTEMA DE REGISTRO INFORMÁTICO</t>
  </si>
  <si>
    <t>SECCIÓN H. PROGRAMA DE CANCER DE CUELLO UTERINO: VPH TOMADOS E INFORMADOS SEGÚN RESULTADOS Y GRUPOS DE EDAD (Exámenes tomados en establecimientos de atención primaria que realizan tamizaje, uso APS)</t>
  </si>
  <si>
    <t>RANGO ETARIO
(en años)</t>
  </si>
  <si>
    <t>TOTAL EXAMEN VPH CONVENCIONAL</t>
  </si>
  <si>
    <t>RESULTADOS DE VPH CONVENCIONAL INFORMADOS</t>
  </si>
  <si>
    <t xml:space="preserve">Total VPH informados en trans masculino </t>
  </si>
  <si>
    <t xml:space="preserve">Total Exámen Autotoma de VPH </t>
  </si>
  <si>
    <t>RESULTADOS DE AUTOTOMA DE VPH INFORMADOS</t>
  </si>
  <si>
    <t xml:space="preserve">Total VPH autotoma en trans masculino informados </t>
  </si>
  <si>
    <t xml:space="preserve">Total de examenes tamizaje priorizado  </t>
  </si>
  <si>
    <t>VPH (-)</t>
  </si>
  <si>
    <t>VPH 16 (+)</t>
  </si>
  <si>
    <t>VPH 18 (+)</t>
  </si>
  <si>
    <t xml:space="preserve">VPH AR* (+) </t>
  </si>
  <si>
    <t>SECCIÓN H.1 PROGRAMA DE CANCER DE CUELLO UTERINO:  VPH INFORMADOS, SEGÚN GRUPOS DE EDAD (Exámenes analizados en los laboratorios de la red pública, uso exclusivo laboratorios que procesan)</t>
  </si>
  <si>
    <t>TOTAL DE EXAMENES PROCESADOS</t>
  </si>
  <si>
    <t>RESULTADOS DE VPH INFORMADOS</t>
  </si>
  <si>
    <t>Total examen VPH autotoma informado</t>
  </si>
  <si>
    <t>Total de examenes tamizaje priorizado</t>
  </si>
  <si>
    <t>* Agrupados Alto Riesgo</t>
  </si>
  <si>
    <t>SECCIÓN H.2 PROGRAMA DE CANCER DE CUELLO UTERINO:  VPH INFORMADOS SEGÚN GRUPOS DE EDAD (Exámenes analizados  extrasistema, uso del mandante)</t>
  </si>
  <si>
    <t xml:space="preserve">VPH AR (+) </t>
  </si>
  <si>
    <t>REM-A02.   EXAMEN DE MEDICINA PREVENTIVA EN MAYORES DE 15 AÑOS</t>
  </si>
  <si>
    <t>SECCIÓN A: EMP REALIZADO POR PROFESIONAL</t>
  </si>
  <si>
    <t xml:space="preserve">TOTAL </t>
  </si>
  <si>
    <t>Otro profesional (capacitados en EMP Y EMPAM)</t>
  </si>
  <si>
    <t xml:space="preserve">Técnico en Enfermería </t>
  </si>
  <si>
    <t>SECCIÓN B: EMP SEGÚN RESULTADO DEL ESTADO NUTRICIONAL</t>
  </si>
  <si>
    <t>ESTADO NUTRICIONAL</t>
  </si>
  <si>
    <t>Normal</t>
  </si>
  <si>
    <t>Bajo Peso</t>
  </si>
  <si>
    <t>Sobrepeso</t>
  </si>
  <si>
    <t>Obesos</t>
  </si>
  <si>
    <t>SECCIÓN C: RESULTADOS DE EMP SEGÚN ESTADO DE SALUD</t>
  </si>
  <si>
    <t>ESTADO DE SALUD</t>
  </si>
  <si>
    <t>Tabaquismo</t>
  </si>
  <si>
    <t>Presión arterial elevada (= &gt;140/90 mmHg)</t>
  </si>
  <si>
    <t>SECCIÓN D: RESULTADOS DE EMP SEGÚN ESTADO DE SALUD (EXÁMENES DE LABORATORIO)</t>
  </si>
  <si>
    <t>Glicemia alterada (= &gt; a 100 mg/dl)</t>
  </si>
  <si>
    <t>Colesterol elevado (= &gt; 200 mg/dl)</t>
  </si>
  <si>
    <t xml:space="preserve">REM-A03.   APLICACIÓN Y RESULTADOS DE ESCALAS DE EVALUACIÓN </t>
  </si>
  <si>
    <t>SECCIÓN A: APLICACIÓN DE INSTRUMENTO Y RESULTADO EN EL NIÑO (A)</t>
  </si>
  <si>
    <t>SECCIÓN A.1: APLICACIÓN Y RESULTADOS DE PAUTA BREVE</t>
  </si>
  <si>
    <t>EVALUACIONES POR EDAD DEL NIÑO</t>
  </si>
  <si>
    <t xml:space="preserve">TOTAL  </t>
  </si>
  <si>
    <t xml:space="preserve"> 7 - 11 meses</t>
  </si>
  <si>
    <t>18 - 24 meses</t>
  </si>
  <si>
    <t xml:space="preserve">Aplicación Pauta Breve </t>
  </si>
  <si>
    <t>Resultados</t>
  </si>
  <si>
    <t>Alterado</t>
  </si>
  <si>
    <t>SECCIÓN A.2: RESULTADOS DE LA APLICACIÓN DE ESCALA DE EVALUACIÓN DEL DESARROLLO PSICOMOTOR</t>
  </si>
  <si>
    <t>ACTIVIDAD</t>
  </si>
  <si>
    <t>RESULTADO</t>
  </si>
  <si>
    <t xml:space="preserve">TOTAL    </t>
  </si>
  <si>
    <t>Menos de 7 meses</t>
  </si>
  <si>
    <t>7 - 11 meses</t>
  </si>
  <si>
    <t>18 - 23 meses</t>
  </si>
  <si>
    <t>24 - 47 meses</t>
  </si>
  <si>
    <t>48 - 59 meses</t>
  </si>
  <si>
    <t xml:space="preserve">Aplicación test de Desarrollo Psicomotor </t>
  </si>
  <si>
    <t xml:space="preserve">Primera Evaluación </t>
  </si>
  <si>
    <t>Normal con Rezago</t>
  </si>
  <si>
    <t>Riesgo</t>
  </si>
  <si>
    <t>Retraso</t>
  </si>
  <si>
    <t>Reevaluación</t>
  </si>
  <si>
    <t>Normal (desde normal con rezago)</t>
  </si>
  <si>
    <t>Normal (desde riesgo)</t>
  </si>
  <si>
    <t>Normal (desde retraso)</t>
  </si>
  <si>
    <t>Normal Rezago (desde riesgo)</t>
  </si>
  <si>
    <t>Normal con Rezago (desde retraso)</t>
  </si>
  <si>
    <t>Riesgo (desde retraso)</t>
  </si>
  <si>
    <t>Normal con Rezago (desde normal con rezago)</t>
  </si>
  <si>
    <t>Riesgo (desde riesgo)</t>
  </si>
  <si>
    <t>Riesgo (desde normal con rezago)</t>
  </si>
  <si>
    <t>Retraso (desde retraso)</t>
  </si>
  <si>
    <t>Retraso (desde riesgo)</t>
  </si>
  <si>
    <t>Retraso (desde normal con rezago)</t>
  </si>
  <si>
    <t>Derivados a Especialidad</t>
  </si>
  <si>
    <t>Traslado de Establecimiento</t>
  </si>
  <si>
    <t>SECCIÓN A.3: NIÑOS Y NIÑAS CON REZAGO, DÉFICIT O RIESGO BIOPSICOSOCIAL  DERIVADOS A ALGUNA MODALIDAD DE ESTIMULACIÓN EN LA PRIMERA EVALUACIÓN</t>
  </si>
  <si>
    <t>NIÑO / A</t>
  </si>
  <si>
    <t>Normal con Riesgo Biopsicosocial</t>
  </si>
  <si>
    <t>SECCIÓN A.4: RESULTADOS DE LA APLICACIÓN DE PROTOCOLO NEUROSENSORIAL</t>
  </si>
  <si>
    <t>RESULTADOS</t>
  </si>
  <si>
    <t>Aplicación de Protocolo Neurosensorial (1-2 meses)</t>
  </si>
  <si>
    <t>Anormal</t>
  </si>
  <si>
    <t>Muy Anormal</t>
  </si>
  <si>
    <t>SECCIÓN A.5: TIPO DE ALIMENTACIÓN NIÑOS Y NIÑAS CONTROLADOS</t>
  </si>
  <si>
    <t>TIPO DE ALIMENTACIÓN</t>
  </si>
  <si>
    <t xml:space="preserve">SEGÚN CONTROL PROGRAMÁTICO  </t>
  </si>
  <si>
    <t>Diada hasta 10 días de vida</t>
  </si>
  <si>
    <t>Diada entre 11 y 28 días de vida</t>
  </si>
  <si>
    <t>Del 1° mes</t>
  </si>
  <si>
    <t>Del 3° mes</t>
  </si>
  <si>
    <t>Del 6° mes</t>
  </si>
  <si>
    <t>Del 12° mes</t>
  </si>
  <si>
    <t>Del 24° mes</t>
  </si>
  <si>
    <t>Lactancia Materna exclusiva (LME)</t>
  </si>
  <si>
    <t>Lactancia Materna más Formula Láctea (LM/FL)</t>
  </si>
  <si>
    <t>Formula Láctea (FL)</t>
  </si>
  <si>
    <t>Lactancia Materna más Alimentación Complementaria  (LM/AC)</t>
  </si>
  <si>
    <t>Lactancia Materna más Fórmula Láctea más Alimentación Complementaria (LM/FL/AC)</t>
  </si>
  <si>
    <t>Fórmula Láctea más Alimentación Complementaria (FL/AC)</t>
  </si>
  <si>
    <t xml:space="preserve">Total de niños y niñas controlados </t>
  </si>
  <si>
    <t>SECCIÓN A.6:  RESULTADOS RADIOGRAFÍA DE PELVIS (CADERA)</t>
  </si>
  <si>
    <t>Inmadura</t>
  </si>
  <si>
    <t>SECCION B: EVALUACIÓN, APLICACIÓN Y RESULTADOS DE ESCALAS EN  LA MUJER</t>
  </si>
  <si>
    <t>SECCIÓN B.1: EVALUACIÓN DEL ESTADO NUTRICIONAL A PERSONAS CONTROLADAS AL OCTAVO MES POST PARTO</t>
  </si>
  <si>
    <t>Obesa</t>
  </si>
  <si>
    <t>Bajo peso</t>
  </si>
  <si>
    <t>SECCIÓN B.2: APLICACIÓN DE ESCALA SEGÚN EVALUACIÓN DE RIESGO PSICOSOCIAL ABREVIADA A GESTANTES</t>
  </si>
  <si>
    <t>TIPO</t>
  </si>
  <si>
    <t xml:space="preserve">Total de Aplicaciones </t>
  </si>
  <si>
    <t>Con riesgo psicosocial</t>
  </si>
  <si>
    <t>Violencia de Género</t>
  </si>
  <si>
    <t>3 o más riesgos psicosociales</t>
  </si>
  <si>
    <t>Plan de equipo de cabecera en gestantes con 3 o más riesgos psicosociales</t>
  </si>
  <si>
    <t xml:space="preserve">Evaluación al ingreso </t>
  </si>
  <si>
    <t xml:space="preserve">Evaluación al tercer trimestre </t>
  </si>
  <si>
    <t>SECCIÓN B.3: APLICACIÓN DE ESCALA DE EDIMBURGO A GESTANTES Y MUJERES POST PARTO</t>
  </si>
  <si>
    <t>CONCEPTO</t>
  </si>
  <si>
    <t>Total de Aplicaciones</t>
  </si>
  <si>
    <t>Resultados  
10 o más puntos (Puérperas)</t>
  </si>
  <si>
    <t>Resultado distinto de 0 en pregunta 10 (Puérperas)</t>
  </si>
  <si>
    <t>Resultados  
13 o más puntos (Gestantes)</t>
  </si>
  <si>
    <t>Resultado distinto de 0 en pregunta 10 (Gestantes)</t>
  </si>
  <si>
    <t xml:space="preserve">Casos alterados derivados a Salud Mental </t>
  </si>
  <si>
    <t>Evaluación a Gestantes</t>
  </si>
  <si>
    <t>Primera evaluación (2º control prenatal)</t>
  </si>
  <si>
    <t>Reevaluación (con puntaje elevado en la primera evaluación)</t>
  </si>
  <si>
    <t>Evaluación a mujeres/personas post parto síntomas de depresión</t>
  </si>
  <si>
    <t>A los 2 meses</t>
  </si>
  <si>
    <t>A los 6 meses</t>
  </si>
  <si>
    <t>SECCIÓN C: RESULTADOS DE LA EVALUACIÓN DEL ESTADO NUTRICIONAL DEL ADOLESCENTE CON CONTROL SALUD INTEGRAL</t>
  </si>
  <si>
    <t>Obesos severos</t>
  </si>
  <si>
    <t>SECCIÓN D: OTRAS EVALUACIONES, APLICACIONES Y RESULTADOS DE ESCALAS EN TODAS LAS EDADES</t>
  </si>
  <si>
    <t>SECCIÓN D.1: APLICACIÓN DE TAMIZAJE PARA EVALUAR EL NIVEL DE RIESGO DE CONSUMO DE  ALCOHOL, TABACO Y OTRAS DROGAS</t>
  </si>
  <si>
    <t>COMPONENTE</t>
  </si>
  <si>
    <t xml:space="preserve">TOTAL              </t>
  </si>
  <si>
    <t>10-14 años</t>
  </si>
  <si>
    <t>15-19 años</t>
  </si>
  <si>
    <t>20-24 años</t>
  </si>
  <si>
    <t>25-44 años</t>
  </si>
  <si>
    <t>45-64 años</t>
  </si>
  <si>
    <t>65-69 años</t>
  </si>
  <si>
    <t>70-79 años</t>
  </si>
  <si>
    <t>Nº de Audit (EMP/EMPAM)</t>
  </si>
  <si>
    <t xml:space="preserve">Nº de Audit aplicado </t>
  </si>
  <si>
    <t>Nº de Assist (EMP/EMPAM)</t>
  </si>
  <si>
    <t xml:space="preserve">N° de Assist aplicado </t>
  </si>
  <si>
    <t xml:space="preserve">N° de Craff en control de Salud Integral del Adolescente </t>
  </si>
  <si>
    <t>N° de Craff aplicado (EMP)</t>
  </si>
  <si>
    <t>N° de Craff aplicado</t>
  </si>
  <si>
    <t xml:space="preserve">Resultados de evaluación </t>
  </si>
  <si>
    <t>Bajo riesgo</t>
  </si>
  <si>
    <t xml:space="preserve">Consumo riesgoso/intermedio </t>
  </si>
  <si>
    <t xml:space="preserve">Posible consumo perjudicial o dependencia </t>
  </si>
  <si>
    <t>SECCIÓN D.2: RESULTADOS DE LA APLICACIÓN DE INSTRUMENTO DE VALORACIÓN DE DESEMPEÑO EN COMUNIDAD (IVADEC-CIF)</t>
  </si>
  <si>
    <t>Pueblos originarios</t>
  </si>
  <si>
    <t>6 -11 meses</t>
  </si>
  <si>
    <t>12 - 23 meses</t>
  </si>
  <si>
    <t>2 - 4 años</t>
  </si>
  <si>
    <t>5 - 9 años</t>
  </si>
  <si>
    <t>25 - 64 años</t>
  </si>
  <si>
    <t>70 - 79 años</t>
  </si>
  <si>
    <t>Origen físico</t>
  </si>
  <si>
    <t>Sin Discapacidad</t>
  </si>
  <si>
    <t>Discapacidad Leve</t>
  </si>
  <si>
    <t>Discapacidad Moderada</t>
  </si>
  <si>
    <t>Discapacidad Severa</t>
  </si>
  <si>
    <t>Discapacidad Profunda</t>
  </si>
  <si>
    <t>Origen sensorial visual</t>
  </si>
  <si>
    <t>Origen sensorial auditivo</t>
  </si>
  <si>
    <t xml:space="preserve">Origen mental psíquico </t>
  </si>
  <si>
    <t xml:space="preserve">Origen mental intelectual </t>
  </si>
  <si>
    <t xml:space="preserve">Origen múltiple </t>
  </si>
  <si>
    <t>TOTAL DE EVALUACIONES</t>
  </si>
  <si>
    <t>Evaluaciones para calificación de discapacidad</t>
  </si>
  <si>
    <t>SECCION D.3: APLICACIÓN Y RESULTADO DE PAUTA DE EVALUACIÓN Y SALUD MENTAL</t>
  </si>
  <si>
    <t>0 - 4 años</t>
  </si>
  <si>
    <t>Evaluación al ingreso</t>
  </si>
  <si>
    <t>Bajo</t>
  </si>
  <si>
    <t>Medio</t>
  </si>
  <si>
    <t>Alto</t>
  </si>
  <si>
    <t>Evaluación al egreso</t>
  </si>
  <si>
    <t>SECCIÓN D.4: RESULTADO DE APLICACIÓN DE CONDICIÓN DE FUNCIONALIDAD AL EGRESO PROGRAMA "MÁS ADULTOS MAYORES AUTOVALENTES"</t>
  </si>
  <si>
    <t>Timed up and Go</t>
  </si>
  <si>
    <t>Mejora</t>
  </si>
  <si>
    <t xml:space="preserve">Mantiene </t>
  </si>
  <si>
    <t>Disminuye</t>
  </si>
  <si>
    <t>Cuestionario</t>
  </si>
  <si>
    <t>SECCIÓN D.5: VARIACIÓN  DE RESULTADO DE APLICACIÓN DEL ÍNDICE DE BARTHEL ENTRE EL INGRESO Y EGRESO HOSPITALARIO</t>
  </si>
  <si>
    <t>ÍNDICE DE BARTHEL</t>
  </si>
  <si>
    <t>80 - 84 años</t>
  </si>
  <si>
    <t>85 - 89 años</t>
  </si>
  <si>
    <t>90 y más años</t>
  </si>
  <si>
    <t xml:space="preserve">Mejora puntuación índice de Barthel </t>
  </si>
  <si>
    <t xml:space="preserve">Mantiene puntuación índice de Barthel </t>
  </si>
  <si>
    <t xml:space="preserve">Disminuye puntuación índice de Barthel </t>
  </si>
  <si>
    <t>*** El resultado que se consigna es la comparación del índice de Barthel aplicado al Egreso de la Hospitalización</t>
  </si>
  <si>
    <t>SECCIÓN D.6: APLICACIÓN DE ESCALA ZARIT ABREVIADO EN CUIDADORES</t>
  </si>
  <si>
    <t>ESCALA DE SOBRECARGA DEL CUIDADOR "ZARIT ABREVIADO"</t>
  </si>
  <si>
    <t>25 - 44 años</t>
  </si>
  <si>
    <t>45 - 64 años</t>
  </si>
  <si>
    <t>65 o más años</t>
  </si>
  <si>
    <t xml:space="preserve">Cuidador/a paciente con dependencia severa con sobrecarga intensa </t>
  </si>
  <si>
    <t xml:space="preserve">Cuidador/a paciente con dependencia severa sin sobrecarga intensa </t>
  </si>
  <si>
    <t>Total cuidadores evaluados</t>
  </si>
  <si>
    <t>SECCIÓN D.6.1: APLICACIÓN DE ESCALA ZARIT ABREVIADO EN CUIDADORES DE NANEAS</t>
  </si>
  <si>
    <t xml:space="preserve">RANGO ETARIO NANEAS </t>
  </si>
  <si>
    <t xml:space="preserve">Cuidador/a NANEAS con dependencia severa con sobrecarga intensa </t>
  </si>
  <si>
    <t xml:space="preserve">Cuidador/a NANEAS con dependencia severa sin sobrecarga intensa </t>
  </si>
  <si>
    <t xml:space="preserve">TOTAL CUIDADORES EVALUADOS </t>
  </si>
  <si>
    <t>SECCIÓN D.7: APLICACIÓN Y RESULTADOS DE PAUTA DE EVALUACIÓN CON ENFOQUE DE RIESGO ODONTOLÓGICO (CERO)</t>
  </si>
  <si>
    <t xml:space="preserve">PAUTA CERO </t>
  </si>
  <si>
    <t>&lt;1 año</t>
  </si>
  <si>
    <t>1 año</t>
  </si>
  <si>
    <t>2 años</t>
  </si>
  <si>
    <t xml:space="preserve">3 años </t>
  </si>
  <si>
    <t>4 años</t>
  </si>
  <si>
    <t>5 años</t>
  </si>
  <si>
    <t>6 años</t>
  </si>
  <si>
    <t>7 años</t>
  </si>
  <si>
    <t>8 años</t>
  </si>
  <si>
    <t>9 años</t>
  </si>
  <si>
    <t>Ambos sexos</t>
  </si>
  <si>
    <t xml:space="preserve">Evaluación de riesgo </t>
  </si>
  <si>
    <t>Alto riesgo</t>
  </si>
  <si>
    <t>SECCION E: APLICACIÓN DE PAUTA DETECCIÓN DE FACTORES DE RIESGO BIOPSICOSOCIAL INFANTIL</t>
  </si>
  <si>
    <t>EVALUACIÓN</t>
  </si>
  <si>
    <t>Derivación</t>
  </si>
  <si>
    <t xml:space="preserve">CONTROL DE APLICACIÓN DE LA PAUTA </t>
  </si>
  <si>
    <t xml:space="preserve">PLANES DE EQUIPO DE CABECERA REALIZADOS </t>
  </si>
  <si>
    <t>Menor 7 meses</t>
  </si>
  <si>
    <t>24- 48 meses</t>
  </si>
  <si>
    <t xml:space="preserve">5 - 9 años </t>
  </si>
  <si>
    <t>Derivadas a equipos de cabecera</t>
  </si>
  <si>
    <t>Derivada a MADI  0 a  4 años</t>
  </si>
  <si>
    <t>Derivado a Salud Mental 5 a 9 años</t>
  </si>
  <si>
    <t>Diada</t>
  </si>
  <si>
    <t>12 meses</t>
  </si>
  <si>
    <t>24 meses</t>
  </si>
  <si>
    <t>36 meses</t>
  </si>
  <si>
    <t>48 meses</t>
  </si>
  <si>
    <t>Total de Aplicaciones Pauta de Riesgo Biopsicosocial en Control de Salud Infantil</t>
  </si>
  <si>
    <t>Con riesgo</t>
  </si>
  <si>
    <t>Sin riesgo</t>
  </si>
  <si>
    <t>SECCIÓN F: TAMIZAJE TRASTORNO ESPECTRO AUTISTA (M-CHAT R/F) 16 A 30 MESES</t>
  </si>
  <si>
    <t>MOTIVO DE APLICACIÓN DE M-CHAT</t>
  </si>
  <si>
    <t>ATENCIÓN EN QUE SE APLICA M-CHAT-R/F</t>
  </si>
  <si>
    <t>Control de Salud de los 18 meses</t>
  </si>
  <si>
    <t>Otros controles o consultas de salud</t>
  </si>
  <si>
    <t>Niños y niñas con EEDP alterado en área Lenguaje y/o Social</t>
  </si>
  <si>
    <t>Niños y niñas con factor de riesgo y/o señales de alerta para TEA detectados en la Supervisión de salud</t>
  </si>
  <si>
    <t>Niños y niñas con EEDP alterado en área Lenguaje y/o Social y con factor de riesgo y/o señales de alerta para TEA detectados en la Supervisión de salud</t>
  </si>
  <si>
    <t>Resultado aplicación M-CHAT R/F</t>
  </si>
  <si>
    <t>Riego Bajo</t>
  </si>
  <si>
    <t>Riesgo medio</t>
  </si>
  <si>
    <t>No requiere derivación a evaluación diagnóstica</t>
  </si>
  <si>
    <t>Requiere derivación a evaluación diagnóstica</t>
  </si>
  <si>
    <t>Riesgo Alto</t>
  </si>
  <si>
    <t>SECCIÓN F.1: SOSPECHA DE TRASTORNO ESPECTRO AUTISTA EN NIÑOS Y NIÑAS DE 30 A 59 MESES</t>
  </si>
  <si>
    <t>Sospecha de TEA por señales de alerta y/o factores de riesgo</t>
  </si>
  <si>
    <t>SECCIÓN G: APLICACIÓN ESCALA MRS EN MUJERES EN EDAD DE CLIMATERIO</t>
  </si>
  <si>
    <t xml:space="preserve">
TOTAL DE APLICACIONES SEGÚN AREA DE AFECTACIÓN 
</t>
  </si>
  <si>
    <t xml:space="preserve">MOMENTO Y CONDICIONES DE APLICACIÓN </t>
  </si>
  <si>
    <t xml:space="preserve">Ingreso </t>
  </si>
  <si>
    <t>MRS Control</t>
  </si>
  <si>
    <t>Control sin THM</t>
  </si>
  <si>
    <t>Control con THM</t>
  </si>
  <si>
    <t>Total aplicaciones</t>
  </si>
  <si>
    <t xml:space="preserve">Total MRS alto </t>
  </si>
  <si>
    <t xml:space="preserve">Afectación predominio somático </t>
  </si>
  <si>
    <t xml:space="preserve">Afectación predominio psicológico </t>
  </si>
  <si>
    <t xml:space="preserve">Afectación predominio urogenital </t>
  </si>
  <si>
    <t>SECCIÓN H: APLICACIÓN DE TAMIZAJE PARA EVALUAR RIESGO DE TRASTORNOS O PROBLEMAS DE SALUD MENTAL EN APS</t>
  </si>
  <si>
    <t>30 - 44 años</t>
  </si>
  <si>
    <t>45 - 59 años</t>
  </si>
  <si>
    <t>Nº de cuestionario PSC-17</t>
  </si>
  <si>
    <t>Nº de cuestionario PSC-y-17</t>
  </si>
  <si>
    <t xml:space="preserve">N° de cuestionario PHQ-9 modificado para adolescentes </t>
  </si>
  <si>
    <t xml:space="preserve">N° de cuestionario PHQ-9 para adultos </t>
  </si>
  <si>
    <t>N° de escala CAPE-P15</t>
  </si>
  <si>
    <t xml:space="preserve">Escala de Columbia </t>
  </si>
  <si>
    <t>N° de escala de depresión geriátrica de Yesavage GDS-15</t>
  </si>
  <si>
    <t>SECCIÓN I: APLICACIÓN Y RESULTADO DE PAUTA EVALUACIÓN PROGRAMA ACOMPAÑAMIENTO PSICOSOCIAL EN APS</t>
  </si>
  <si>
    <t xml:space="preserve">Derivación efectiva </t>
  </si>
  <si>
    <t xml:space="preserve">Bajo </t>
  </si>
  <si>
    <t xml:space="preserve">SECCIÓN J: CATEGORIZACIÓN AL PROGRAMA DE SALUD MENTAL EN APS SEGÚN CATEGORIA DE RIESGO </t>
  </si>
  <si>
    <t>RIESGO</t>
  </si>
  <si>
    <t xml:space="preserve">TOTAL               </t>
  </si>
  <si>
    <t>Gestantes</t>
  </si>
  <si>
    <t xml:space="preserve">Madre de hijo menor de 5 años </t>
  </si>
  <si>
    <t>TRANS</t>
  </si>
  <si>
    <t>0 - 9 años</t>
  </si>
  <si>
    <t>10 - 19 años</t>
  </si>
  <si>
    <t>65 - 79 años</t>
  </si>
  <si>
    <t xml:space="preserve">Hombres </t>
  </si>
  <si>
    <t>Masculino</t>
  </si>
  <si>
    <t>Femenino</t>
  </si>
  <si>
    <t>Categorización de los ingresos según nivel de riesgo en salud mental</t>
  </si>
  <si>
    <t>Nivel de riesgo bajo, no requiere ingreso a tratamiento (N0)</t>
  </si>
  <si>
    <t>Riesgo Leve (N1)</t>
  </si>
  <si>
    <t>Riesgo Moderado (N2)</t>
  </si>
  <si>
    <t>Riesgo Alto (N3)</t>
  </si>
  <si>
    <t>Riesgo Alto y Severidad Alta (N4)</t>
  </si>
  <si>
    <t>REM-A04.   CONSULTAS Y OTRAS ATENCIONES EN LA RED</t>
  </si>
  <si>
    <t xml:space="preserve">SECCIÓN A: CONSULTAS MÉDICAS </t>
  </si>
  <si>
    <t>TIPO DE CONSULTA</t>
  </si>
  <si>
    <t>Por Campaña de Invierno</t>
  </si>
  <si>
    <t>Menos de 1 año</t>
  </si>
  <si>
    <t>1 - 4 años</t>
  </si>
  <si>
    <t>80 y mas años</t>
  </si>
  <si>
    <t>IRA Alta</t>
  </si>
  <si>
    <t xml:space="preserve">Síndrome Bronquial Obstructivo </t>
  </si>
  <si>
    <t xml:space="preserve">Neumonía </t>
  </si>
  <si>
    <t xml:space="preserve">Exacerbación Asma </t>
  </si>
  <si>
    <t xml:space="preserve">Enfermedad Pulmonar Obstructiva Crónica </t>
  </si>
  <si>
    <t xml:space="preserve">Otras respiratorias </t>
  </si>
  <si>
    <t xml:space="preserve">Obstétrica </t>
  </si>
  <si>
    <t xml:space="preserve">Ginecológica </t>
  </si>
  <si>
    <t xml:space="preserve">Ginecológica por Infertilidad </t>
  </si>
  <si>
    <t xml:space="preserve">Infección Transmisión Sexual </t>
  </si>
  <si>
    <t>VIH-SIDA</t>
  </si>
  <si>
    <t>Salud Mental</t>
  </si>
  <si>
    <t>Cardiovascular</t>
  </si>
  <si>
    <t>Otras Morbilidades</t>
  </si>
  <si>
    <t xml:space="preserve">SECCIÓN B: CONSULTAS DE PROFESIONALES NO MÉDICOS </t>
  </si>
  <si>
    <t>Espacios Amigables</t>
  </si>
  <si>
    <t>SENAME/ Servicio Nacional de Reinserción social Juvenil</t>
  </si>
  <si>
    <t>Matrona/ón (Morb. Ginecológica)</t>
  </si>
  <si>
    <t>Matrona/ón (Morb. Obstétrica)</t>
  </si>
  <si>
    <t>Matrona/ón (ITS)</t>
  </si>
  <si>
    <t xml:space="preserve">Matrona/ón (Infertilidad) </t>
  </si>
  <si>
    <t xml:space="preserve">Matrona/ón (Otras consultas) </t>
  </si>
  <si>
    <t xml:space="preserve">Matrona/ón (Salud sexual) </t>
  </si>
  <si>
    <t xml:space="preserve">Matrona/ón (Piso pélvico) </t>
  </si>
  <si>
    <t xml:space="preserve">Nutricionista (Otras consultas) </t>
  </si>
  <si>
    <t xml:space="preserve">Nutricionista malnutrición por exceso </t>
  </si>
  <si>
    <t xml:space="preserve">Nutricionista malnutrición por déficit </t>
  </si>
  <si>
    <t xml:space="preserve">Psicólogo/a </t>
  </si>
  <si>
    <t>Fonoaudiólogo/a</t>
  </si>
  <si>
    <t xml:space="preserve">Terapeuta Ocupacional </t>
  </si>
  <si>
    <t>Tecnólogo/a Médico/a  (Excluye UAPO)</t>
  </si>
  <si>
    <t xml:space="preserve">Trabajador/a Social (Excluye Salud Mental) </t>
  </si>
  <si>
    <t>Educadora de Párvulos</t>
  </si>
  <si>
    <t>Kinesiólogo</t>
  </si>
  <si>
    <t>SECCIÓN C: CONSULTAS ANTICONCEPCIÓN DE EMERGENCIA (Incluidas en Sección A o B, respectivamente.)</t>
  </si>
  <si>
    <t>Con entrega anticoncepción emergencia</t>
  </si>
  <si>
    <t>Sin entrega anticoncepción emergencia</t>
  </si>
  <si>
    <t>Identidad de género</t>
  </si>
  <si>
    <t>25 y más años</t>
  </si>
  <si>
    <t>SECCIÓN D: CONSULTAS EN HORARIO CONTINUADO (Incluidas en las consultas de morbilidad de sección A o B)</t>
  </si>
  <si>
    <t>TIPO JORNADA</t>
  </si>
  <si>
    <t xml:space="preserve">Horario continuado </t>
  </si>
  <si>
    <t xml:space="preserve">Otros Profesionales </t>
  </si>
  <si>
    <t xml:space="preserve">Sábado, Domingo o festivo </t>
  </si>
  <si>
    <t>SECCIÓN E: CONSULTA  ABREVIADA</t>
  </si>
  <si>
    <t>SECCIÓN F: ATENCIONES DE SANADORES INDÍGENA</t>
  </si>
  <si>
    <t>Hombre</t>
  </si>
  <si>
    <t xml:space="preserve">Mujer </t>
  </si>
  <si>
    <t>5 - 9  años</t>
  </si>
  <si>
    <t xml:space="preserve">Atenciones por sanadores/terapeutas de Medicina Indígena </t>
  </si>
  <si>
    <t>Pueblos no originarios</t>
  </si>
  <si>
    <t>SECCIÓN G: INTERVENCIÓN INDIVIDUAL DEL USUARIO EN PROGRAMA ELIGE VIDA SANA</t>
  </si>
  <si>
    <t>PRESTACIÓN</t>
  </si>
  <si>
    <t>Menos de 2 años</t>
  </si>
  <si>
    <t>15 - 18 años</t>
  </si>
  <si>
    <t>19 años</t>
  </si>
  <si>
    <t xml:space="preserve">Profesional de la actividad física </t>
  </si>
  <si>
    <t xml:space="preserve">Evaluación </t>
  </si>
  <si>
    <t xml:space="preserve">Nutricionista </t>
  </si>
  <si>
    <t xml:space="preserve">Consulta Nutricional </t>
  </si>
  <si>
    <t xml:space="preserve">Consulta Nutricional de seguimiento </t>
  </si>
  <si>
    <t xml:space="preserve">Consulta </t>
  </si>
  <si>
    <t xml:space="preserve">SECCIÓN H.1 : SERVICIOS FARMACÉUTICOS  EN ATENCIÓN PRIMARIA </t>
  </si>
  <si>
    <t>Atención abierta</t>
  </si>
  <si>
    <t>Atención cerrada</t>
  </si>
  <si>
    <t xml:space="preserve">Servicios Farmacéuticos realizados en establecimientos de salud </t>
  </si>
  <si>
    <t xml:space="preserve">Servicios Farmacéuticos realizados en domicilio </t>
  </si>
  <si>
    <t xml:space="preserve">Atención Farmacéutica </t>
  </si>
  <si>
    <t xml:space="preserve">Revisión de la medicación sin entrevista </t>
  </si>
  <si>
    <t xml:space="preserve">Revisión de la mediación con entrevista </t>
  </si>
  <si>
    <t xml:space="preserve">Conciliación farmacéutica </t>
  </si>
  <si>
    <t xml:space="preserve">Educación farmacéutica </t>
  </si>
  <si>
    <t xml:space="preserve">Seguimiento Farmacoterapéutico </t>
  </si>
  <si>
    <t xml:space="preserve">Farmacovigilancia </t>
  </si>
  <si>
    <t xml:space="preserve">Reporte reacción adversa a medicamentos </t>
  </si>
  <si>
    <t xml:space="preserve">Reporte falla de calidad </t>
  </si>
  <si>
    <t xml:space="preserve">Reporte de eventos adversos asociados a medicamentos </t>
  </si>
  <si>
    <t>SECCIÓN H.2 : SERVICIOS FARMACÉUTICOS EN ATENCIÓN HOSPITALARIA</t>
  </si>
  <si>
    <t>Urgencia</t>
  </si>
  <si>
    <t>SECCIÓN I.1 : DESPACHO DE RECETAS DE PACIENTES AMBULATORIOS EN ATENCIÓN PRIMARIA</t>
  </si>
  <si>
    <t>TIPO DE RECETA</t>
  </si>
  <si>
    <t>RECETAS DESPACHADAS</t>
  </si>
  <si>
    <t>LUGAR DE ENTREGA</t>
  </si>
  <si>
    <t>PRESCRIPCIONES</t>
  </si>
  <si>
    <t xml:space="preserve">COORDINACIÓN TERRITORIAL  </t>
  </si>
  <si>
    <t>Recetas despachadas con oportunidad (Entregado el mismo día)</t>
  </si>
  <si>
    <t xml:space="preserve">RECETAS DESPACHADAS A PACIENTES DEL PROGRAMA DE SALUD CARDIOVASCULAR </t>
  </si>
  <si>
    <t xml:space="preserve">PRESCRIPCIONES A PACIENTES DEL PROGRAMA DE SALUD CARDIOVASCULAR </t>
  </si>
  <si>
    <t xml:space="preserve">UNIDAD DE URGENCIA/EMERGENCIA </t>
  </si>
  <si>
    <t>DESPACHO TOTAL</t>
  </si>
  <si>
    <t>Despacho Completo</t>
  </si>
  <si>
    <t xml:space="preserve">Despacho Parcial </t>
  </si>
  <si>
    <t>En Centro de Salud</t>
  </si>
  <si>
    <t>En Domicilio</t>
  </si>
  <si>
    <t>Emitidas</t>
  </si>
  <si>
    <t>Rechazadas</t>
  </si>
  <si>
    <t>Despacho Completo y Oportuno</t>
  </si>
  <si>
    <t>Despacho
Parcial</t>
  </si>
  <si>
    <t>Recetas despachadas</t>
  </si>
  <si>
    <t>Prescripciones despachadas</t>
  </si>
  <si>
    <t>Crónica</t>
  </si>
  <si>
    <t>Morbilidad</t>
  </si>
  <si>
    <t>Bajo control legal</t>
  </si>
  <si>
    <t>SECCIÓN I.2: DESPACHO DE RECETAS EN ATENCIÓN HOSPITALARIA Y ESPECIALIDAD (INCLUYE COSAM)</t>
  </si>
  <si>
    <t>Recetas despachadas con oportunidad (Entregado el mismo día/ ventanilla)</t>
  </si>
  <si>
    <t>BAJO CONTROL LEGAL</t>
  </si>
  <si>
    <t>Enviadas a otros Establecimientos para gestionar entrega al paciente</t>
  </si>
  <si>
    <t>Recibido de otro Esteblacimientos para entrega a paciente</t>
  </si>
  <si>
    <t>Receta cheque</t>
  </si>
  <si>
    <t>Receta médica retenida</t>
  </si>
  <si>
    <t>Atención Cerrada</t>
  </si>
  <si>
    <t>Atención Abierta</t>
  </si>
  <si>
    <t>SECCIÓN J: RONDAS POR TIPO Y PROFESIONAL</t>
  </si>
  <si>
    <t>TIPO DE RONDA</t>
  </si>
  <si>
    <t>Nº Rondas</t>
  </si>
  <si>
    <t xml:space="preserve">TOTAL DE PROFESIONALES QUE PARTICIPARON EN RONDAS, SEGÚN TIPO DE PROFESIONAL  </t>
  </si>
  <si>
    <t>Compra de Servicio - Nº Traslados profesionales en Ronda</t>
  </si>
  <si>
    <t>Odontólogo</t>
  </si>
  <si>
    <t>Trabajador Social</t>
  </si>
  <si>
    <t>Psicólogo</t>
  </si>
  <si>
    <t>Químico Farmacéutico</t>
  </si>
  <si>
    <t>Otros</t>
  </si>
  <si>
    <t>Terrestre</t>
  </si>
  <si>
    <t>Aérea</t>
  </si>
  <si>
    <t>Marítima</t>
  </si>
  <si>
    <t>SECCIÓN K CLASIFICACIÓN DE CONSULTA NUTRICIONAL POR GRUPO DE EDAD (Incluidas en sección B)</t>
  </si>
  <si>
    <t>CLASIFICACIÓN</t>
  </si>
  <si>
    <t>Beneficiarios</t>
  </si>
  <si>
    <t xml:space="preserve">Mal nutrición por riesgo a desnutrir/riesgo bajo peso </t>
  </si>
  <si>
    <t xml:space="preserve">Mal nutrición por riesgo obesidad sobrepeso </t>
  </si>
  <si>
    <t xml:space="preserve">Estado nutricional normal </t>
  </si>
  <si>
    <t>SECCIÓN L: CONSULTA DE LACTANCIA EN NIÑOS Y NIÑAS CONTROLADOS</t>
  </si>
  <si>
    <t>TIPOS DE CONSULTA</t>
  </si>
  <si>
    <t xml:space="preserve"> De 0 a 29 días</t>
  </si>
  <si>
    <t>De 1 mes a 2 meses 29 días</t>
  </si>
  <si>
    <t>De 3 meses a 5 meses 29 días</t>
  </si>
  <si>
    <t>De 6 meses a 11 meses 29 días</t>
  </si>
  <si>
    <t>De 1 a 2 años</t>
  </si>
  <si>
    <t>Consulta de Lactancia</t>
  </si>
  <si>
    <t xml:space="preserve">Consulta Lactancia Materna de alerta </t>
  </si>
  <si>
    <t xml:space="preserve">Consulta de Lactancia Materna de seguimiento </t>
  </si>
  <si>
    <t xml:space="preserve">Otras consultas de Lactancia Materna </t>
  </si>
  <si>
    <t>Consejería de Lactancia</t>
  </si>
  <si>
    <t xml:space="preserve">Consejería prenatal en Lactancia Materna </t>
  </si>
  <si>
    <t xml:space="preserve">Consejería posnatal en Lactancia Materna </t>
  </si>
  <si>
    <t xml:space="preserve">Consulta de Lactancia por profesional </t>
  </si>
  <si>
    <t>SECCION M: ATENCIONES AMBULATORIAS POR  EL PROGRAMA TUBERCULOSIS</t>
  </si>
  <si>
    <t>TIPOS DE ATENCION</t>
  </si>
  <si>
    <t>Ingreso tratamiento</t>
  </si>
  <si>
    <t xml:space="preserve">Ingreso Quimioprofilaxis </t>
  </si>
  <si>
    <t>Control mensual</t>
  </si>
  <si>
    <t>Control de seguimiento</t>
  </si>
  <si>
    <t xml:space="preserve">Consultas espontáneas </t>
  </si>
  <si>
    <t>Rescate</t>
  </si>
  <si>
    <t>Control de los contactos</t>
  </si>
  <si>
    <t>Atención domiciliaria</t>
  </si>
  <si>
    <t>SECCION N: EXÁMENES BACTERIOLOGICOS PROCESADOS</t>
  </si>
  <si>
    <t>TIPO DE MUESTRA</t>
  </si>
  <si>
    <t>30-34 años</t>
  </si>
  <si>
    <t>40-44 años</t>
  </si>
  <si>
    <t xml:space="preserve">50-54 años </t>
  </si>
  <si>
    <t xml:space="preserve">Muestras procesadas para diagnóstico de Tuberculosis Pulmonar mediante bacteriología </t>
  </si>
  <si>
    <t>SECCION O: ATENCIONES EN MODALIDADES DE APOYO AL DESARROLLO INFANTIL (MADIS) EN APS</t>
  </si>
  <si>
    <t xml:space="preserve"> Total de atenciones niños(as) en modalidades de apoyo</t>
  </si>
  <si>
    <t>Sala Estimulación</t>
  </si>
  <si>
    <t>Atención Domiciliaria</t>
  </si>
  <si>
    <t>Servicio Itinerante</t>
  </si>
  <si>
    <t>0-11 meses</t>
  </si>
  <si>
    <t>12-23 meses</t>
  </si>
  <si>
    <t>24-59 meses</t>
  </si>
  <si>
    <t xml:space="preserve">Ambos Sexos </t>
  </si>
  <si>
    <t xml:space="preserve">Atenciones individuales de seguimiento a niñas/os categorizados Normal con Rezago </t>
  </si>
  <si>
    <t xml:space="preserve">Atenciones grupales de seguimiento a niñas/os categorizados Normal con Rezago </t>
  </si>
  <si>
    <t xml:space="preserve">Atenciones individuales de seguimiento a niñas/os categorizados con Riesgo </t>
  </si>
  <si>
    <t xml:space="preserve">Atenciones grupales de seguimiento a niñas/os categorizados con Riesgo </t>
  </si>
  <si>
    <t xml:space="preserve">Atenciones individuales de seguimiento a niñas/os categorizados con Retraso </t>
  </si>
  <si>
    <t xml:space="preserve">Atenciones grupales de seguimiento a niñas/os categorizados con Retraso </t>
  </si>
  <si>
    <t>Atenciones individuales de seguimiento a niñas/os categorizados Normal con Riesgo Biopsicosocial</t>
  </si>
  <si>
    <t xml:space="preserve">Atenciones grupales de seguimiento a niñas/os categorizados Normal con Riesgo Biopsicosocial </t>
  </si>
  <si>
    <t>SECCIÓN P: ENCUESTA EPIDEMIOLOGICA</t>
  </si>
  <si>
    <t>CONCEPTOS</t>
  </si>
  <si>
    <t>Un Profesional / Técnico</t>
  </si>
  <si>
    <t>Dos o Más 
Profesionales / Técnico</t>
  </si>
  <si>
    <t>Encuesta epidemiológica</t>
  </si>
  <si>
    <t xml:space="preserve">A lugar de trabajo </t>
  </si>
  <si>
    <t xml:space="preserve">A colegio, salas cuna, jardín infantil </t>
  </si>
  <si>
    <t>A grupo comunitario</t>
  </si>
  <si>
    <t>SECCIÓN Q: ENTREGA DE QUIMIOPROFILAXIS PARA BLOQUEO EPIDEMIOLÓGICO</t>
  </si>
  <si>
    <t>Lugar de trabajo</t>
  </si>
  <si>
    <t>Institución (ELEAM, cárceles,colegios, sala cuna y jardines infantiles)</t>
  </si>
  <si>
    <t>Grupos comunitarios</t>
  </si>
  <si>
    <t>Menor de 18 años</t>
  </si>
  <si>
    <t>18 a 64 años</t>
  </si>
  <si>
    <t>65 y más años</t>
  </si>
  <si>
    <t>Vacunas</t>
  </si>
  <si>
    <t>Inmunoglobulinas</t>
  </si>
  <si>
    <t>Medicamentos antibioticos</t>
  </si>
  <si>
    <t>Medicamentos antivirales</t>
  </si>
  <si>
    <t>Medicamentos antiparasitarios</t>
  </si>
  <si>
    <t>otros medicamentos</t>
  </si>
  <si>
    <t>SECCIÓN R: TOMA DE MUESTRAS PARA VIGILANCIA EPIDEMIOLÓGICA</t>
  </si>
  <si>
    <t>N° muestras de sangre tomadas</t>
  </si>
  <si>
    <t>N° muestras de coprocultivo tomadas</t>
  </si>
  <si>
    <t>N° muestras de frotis hisopado nasofaríngeo</t>
  </si>
  <si>
    <t>N° muestras de aspirado tomadas</t>
  </si>
  <si>
    <t>N° muestras de hisopado de lesión cutáneas tomadas</t>
  </si>
  <si>
    <t>SECCIÓN S: SEGUIMIENTO DE CASOS Y CONTACTOS/EXPUESTOS VIA TELEFONICA Y VISITAS DE SEGUIMIENTO DE CASOS  Y CONTACTOS/EXPUESTOS EN DOMICILIO</t>
  </si>
  <si>
    <t>Llamadas</t>
  </si>
  <si>
    <t>N° de llamadas a casos</t>
  </si>
  <si>
    <t>N° de llamadas a contactos/expuestos</t>
  </si>
  <si>
    <t>Seguimiento</t>
  </si>
  <si>
    <t>N° de Visitas de seguimiento a casos</t>
  </si>
  <si>
    <t>N° de Visitas de seguimiento a contactos/ expuestos</t>
  </si>
  <si>
    <t>SECCIÓN T: BUSQUEDA ACTIVA INSTITUCIONAL (BAI) DE CASOS</t>
  </si>
  <si>
    <t>REGISTROS REVISADOS</t>
  </si>
  <si>
    <t>Menor de 100</t>
  </si>
  <si>
    <t>100 a 250 registros</t>
  </si>
  <si>
    <t>Mayor de 250</t>
  </si>
  <si>
    <t>BAI sarampión rubéola</t>
  </si>
  <si>
    <t>BAI febriles</t>
  </si>
  <si>
    <t xml:space="preserve">BAI otros eventos epidemiologicos </t>
  </si>
  <si>
    <t>SECCIÓN U: BUSQUEDA ACTIVA COMUNITARIA (BAC) DE CASOS</t>
  </si>
  <si>
    <t>TOTAL DE UNIDADES REVISADAS</t>
  </si>
  <si>
    <t>BAC febriles</t>
  </si>
  <si>
    <t xml:space="preserve">BAC otros eventos epidemiológicos </t>
  </si>
  <si>
    <t>REM-A05.   INGRESOS Y EGRESOS POR CONDICIÓN Y PROBLEMAS DE SALUD</t>
  </si>
  <si>
    <t>SECCIÓN A: INGRESOS DE GESTANTES A PROGRAMA PRENATAL</t>
  </si>
  <si>
    <t>CONDICIÓN</t>
  </si>
  <si>
    <t>Víctima de Violencia de Género</t>
  </si>
  <si>
    <t>Ingresos por Traslado</t>
  </si>
  <si>
    <t>Ingresos con Control Precoz Extrasistema</t>
  </si>
  <si>
    <t>Derivación por IVE causal 3 &lt;14 años</t>
  </si>
  <si>
    <t>Menor
de 14 años</t>
  </si>
  <si>
    <t>14 años</t>
  </si>
  <si>
    <t>55 y más años</t>
  </si>
  <si>
    <t>Menor de 20 años</t>
  </si>
  <si>
    <t>20 y más años</t>
  </si>
  <si>
    <t>Gestantes Ingresadas</t>
  </si>
  <si>
    <t>Primigestas Ingresadas</t>
  </si>
  <si>
    <t>Gestantes Ingresadas antes de las 14 Semanas</t>
  </si>
  <si>
    <t>Gestantes con Embarazo no Planificado</t>
  </si>
  <si>
    <t>SECCIÓN B: INGRESO DE GESTANTES CON PATOLOGÍA DE ALTO RIESGO OBSTÉTRICO A LA UNIDAD DE ARO  (Nivel Secundario)</t>
  </si>
  <si>
    <t>PATOLOGÍA</t>
  </si>
  <si>
    <t>Nº de Ingreso a ARO</t>
  </si>
  <si>
    <t>Víctima de violencia de género</t>
  </si>
  <si>
    <t>Nº de Gestantes Ingresadas</t>
  </si>
  <si>
    <t>Preeclampsia (PE)</t>
  </si>
  <si>
    <t>Síndrome Hipertensivo del Embarazo (SHE)</t>
  </si>
  <si>
    <t>Factores de Riesgo y Condicionantes de Parto Prematuro</t>
  </si>
  <si>
    <t>Retardo Crecimiento Intrauterino (RCIU)</t>
  </si>
  <si>
    <t>SÍFILIS</t>
  </si>
  <si>
    <t>VIH</t>
  </si>
  <si>
    <t>Diabetes</t>
  </si>
  <si>
    <t>Cesárea Anterior</t>
  </si>
  <si>
    <t>Malformación Congénita</t>
  </si>
  <si>
    <t>Hipotiroidismo</t>
  </si>
  <si>
    <t>Diabetes Gestacional</t>
  </si>
  <si>
    <t>Hipertensión Crónica</t>
  </si>
  <si>
    <t>Otras Patologías del Embarazo</t>
  </si>
  <si>
    <t xml:space="preserve">SECCIÓN C: INGRESOS A PROGRAMA DE REGULACIÓN DE FERTILIDAD </t>
  </si>
  <si>
    <t>MÉTODOS</t>
  </si>
  <si>
    <t>Ingreso por cambio de Método Anticonceptivo</t>
  </si>
  <si>
    <t>Inicio precoz de MAC nivel secundario y terciario</t>
  </si>
  <si>
    <t>Ingreso a Anticoncepción post aborto</t>
  </si>
  <si>
    <t>Identidad de Género</t>
  </si>
  <si>
    <t>Personas con Discpacidad</t>
  </si>
  <si>
    <t>Menos
de 15 años</t>
  </si>
  <si>
    <t>70 y más años</t>
  </si>
  <si>
    <t>Trans femenino</t>
  </si>
  <si>
    <t>TOTAL REGULACIÓN DE FERTILIDAD</t>
  </si>
  <si>
    <t>D.I.U. T con Cobre</t>
  </si>
  <si>
    <t>D.I.U. con Levonorgestrel</t>
  </si>
  <si>
    <t>Hormonal</t>
  </si>
  <si>
    <t>Oral Combinado</t>
  </si>
  <si>
    <t>Oral Progestágeno</t>
  </si>
  <si>
    <t>Inyectable Combinado</t>
  </si>
  <si>
    <t>Inyectable Progestágeno</t>
  </si>
  <si>
    <t>Implante Etonogestrel (3 años)</t>
  </si>
  <si>
    <t>Implante Levonorgestrel (5 años)</t>
  </si>
  <si>
    <t>Anillo Vaginal</t>
  </si>
  <si>
    <t xml:space="preserve"> Sólo preservativo MAC                                                                                                                                                                                                                                             </t>
  </si>
  <si>
    <t>Mujer</t>
  </si>
  <si>
    <t>Esterilización Quirúrgica</t>
  </si>
  <si>
    <t>Método de Regulación de Fertilidad más Preservativos</t>
  </si>
  <si>
    <t>Gestantes que reciben preservativo</t>
  </si>
  <si>
    <t>SECCIÓN C1: INGRESOS A SALUD SEXUAL</t>
  </si>
  <si>
    <t>Preservativo/Practica Sexual Segura</t>
  </si>
  <si>
    <t>Lubricantes</t>
  </si>
  <si>
    <t>Condón Femenino</t>
  </si>
  <si>
    <t>SECCIÓN C2: EGRESOS DE PROGRAMA DE REGULACIÓN DE FERTILIDAD Y SALUD SEXUAL</t>
  </si>
  <si>
    <t xml:space="preserve">SECCIÓN D: INGRESOS A PROGRAMA CONTROL DE CLIMATERIO </t>
  </si>
  <si>
    <t>Ingresos</t>
  </si>
  <si>
    <t>SECCIÓN E:  INGRESOS  A CONTROL DE SALUD DE RECIÉN NACIDOS</t>
  </si>
  <si>
    <t>EDAD</t>
  </si>
  <si>
    <t>Niños</t>
  </si>
  <si>
    <t>Niñas</t>
  </si>
  <si>
    <t xml:space="preserve">Menor o igual a 28 días </t>
  </si>
  <si>
    <t xml:space="preserve">SECCIÓN F:  INGRESOS Y EGRESOS A SALA DE ESTIMULACIÓN, SERVICIO ITINERANTE Y ATENCIÓN DOMICILIARIA </t>
  </si>
  <si>
    <t xml:space="preserve">NIÑO / A (CON) </t>
  </si>
  <si>
    <t>INGRESOS</t>
  </si>
  <si>
    <t>Egresos</t>
  </si>
  <si>
    <t>Sala de Estimulación</t>
  </si>
  <si>
    <t>Servicio Itinerante en Centro de Salud</t>
  </si>
  <si>
    <t xml:space="preserve">Cumplimiento de tratamiento Sala de Estimulación </t>
  </si>
  <si>
    <t>Derivación a Especialidad</t>
  </si>
  <si>
    <t>Inasistente</t>
  </si>
  <si>
    <t>SECCIÓN F.1: REINGRESOS Y EGRESOS POR SEGUNDA VEZ A SALA DE ESTIMULACIÓN, SERVICIO ITINERANTE Y ATENCIÓN DOMICILIARIA</t>
  </si>
  <si>
    <t>SALA DE ESTIMULACIÓN</t>
  </si>
  <si>
    <t>SERVICIO ITINERANTE</t>
  </si>
  <si>
    <t>ATENCIÓN DOMICILIARIA</t>
  </si>
  <si>
    <t xml:space="preserve">EGRESOS POR SEGUNDA VEZ Y RESULTADOS DE REEVALUACIÓN POST EGRESO </t>
  </si>
  <si>
    <t>24- 59 meses</t>
  </si>
  <si>
    <t>Motivo Egreso</t>
  </si>
  <si>
    <t>Resultado de Reevaluación</t>
  </si>
  <si>
    <t>Cumplimiento de tratamiento</t>
  </si>
  <si>
    <t>Recuperado</t>
  </si>
  <si>
    <t>No Recuperado</t>
  </si>
  <si>
    <t>SECCIÓN G: INGRESO DE NIÑOS, NIÑAS Y ADOLESCENTES CON NECESIDADES ESPECIALES  A CONTROL DE SALUD EN APS</t>
  </si>
  <si>
    <t>NANEAS</t>
  </si>
  <si>
    <t xml:space="preserve"> 0 - 4 años</t>
  </si>
  <si>
    <t xml:space="preserve"> 5 - 9 años</t>
  </si>
  <si>
    <t xml:space="preserve"> 10 -14 años</t>
  </si>
  <si>
    <t>Total Ingresos</t>
  </si>
  <si>
    <t>Baja Complejidad</t>
  </si>
  <si>
    <t>Mediana Complejidad</t>
  </si>
  <si>
    <t>Alta Complejidad</t>
  </si>
  <si>
    <t>SECCIÓN H: INGRESOS AL PROGRAMA DE SALUD CARDIOVASCULAR (PSCV)</t>
  </si>
  <si>
    <t>Ingresos al PSCV</t>
  </si>
  <si>
    <t>Programa de Salud Cardiovascular</t>
  </si>
  <si>
    <t>Hipertensión Arterial</t>
  </si>
  <si>
    <t>Diabetes Mellitus</t>
  </si>
  <si>
    <t>Dislipidemia</t>
  </si>
  <si>
    <t>Antecedentes de Infarto Agudo al Miocardio (IAM)</t>
  </si>
  <si>
    <t>Antecedentes de otras enfermedades cardiovasculares (se excluye IAM y ACV)</t>
  </si>
  <si>
    <t>Antecedentes Enf. Cerebrovascular (ACV)</t>
  </si>
  <si>
    <t>Enfermedad Renal Crónica</t>
  </si>
  <si>
    <t>Tabaquismo ≥ 55 años</t>
  </si>
  <si>
    <t>Protocolo HEARTS</t>
  </si>
  <si>
    <t>SECCIÓN I: EGRESOS  DEL PROGAMA DE SALUD CARDIOVASCULAR (PSCV)</t>
  </si>
  <si>
    <t>CAUSAL DE EGRESO</t>
  </si>
  <si>
    <t>Abandono</t>
  </si>
  <si>
    <t>Traslado</t>
  </si>
  <si>
    <t>Fallecimiento</t>
  </si>
  <si>
    <t>No cumple criterio de inclusión</t>
  </si>
  <si>
    <t>Egresos del PSCV</t>
  </si>
  <si>
    <t>Antecedentes Infarto Agudo al Miocardio (IAM)</t>
  </si>
  <si>
    <t xml:space="preserve">SECCIÓN J: INGRESOS Y EGRESOS AL PROGRAMA DE PACIENTES CON DEPENDENCIA LEVE, MODERADA Y SEVERA </t>
  </si>
  <si>
    <t>TOTAL INGRESOS</t>
  </si>
  <si>
    <t>Altas</t>
  </si>
  <si>
    <t>Abandono/
Traslado</t>
  </si>
  <si>
    <t>Dependencia Leve</t>
  </si>
  <si>
    <t>Dependencia Moderada</t>
  </si>
  <si>
    <t xml:space="preserve">Dependencia Severa  </t>
  </si>
  <si>
    <t>Oncológico</t>
  </si>
  <si>
    <t>No Oncológico</t>
  </si>
  <si>
    <t>Dependencia severa (lesiones por presión)</t>
  </si>
  <si>
    <t>SECCIÓN K: INGRESOS AL PROGRAMA DEL ADULTO MAYOR SEGÚN CONDICIÓN DE FUNCIONALIDAD Y DEPENDENCIA</t>
  </si>
  <si>
    <t>EMPAM</t>
  </si>
  <si>
    <t>Autovalente sin Riesgo</t>
  </si>
  <si>
    <t>Autovalente con Riesgo</t>
  </si>
  <si>
    <t>Riesgo de Dependencia</t>
  </si>
  <si>
    <t>SUBTOTAL</t>
  </si>
  <si>
    <t>BARTHEL</t>
  </si>
  <si>
    <t>Dependiente Leve</t>
  </si>
  <si>
    <t>Dependiente Moderado</t>
  </si>
  <si>
    <t>Dependiente Grave</t>
  </si>
  <si>
    <t>Dependiente Total</t>
  </si>
  <si>
    <t>SECCIÓN L: EGRESOS DEL PROGRAMA DEL ADULTO MAYOR SEGÚN CONDICIÓN DE FUNCIONALIDAD Y DEPENDENCIA</t>
  </si>
  <si>
    <t>SECCIÓN M: INGRESOS Y EGRESOS DEL PROGRAMA MÁS ADULTOS MAYORES AUTOVALENTES</t>
  </si>
  <si>
    <t>Ingreso</t>
  </si>
  <si>
    <t>Egreso</t>
  </si>
  <si>
    <t>Completa Ciclo</t>
  </si>
  <si>
    <t>* Los pacientes de 60 a 64 años, no debe desagregarse por condición de funcionalidad, por ello sólo se registran en la primera fila (Autovalente sin riesgo).</t>
  </si>
  <si>
    <t>** Para la desagregación por funcionalidad se contabiliza desde 65 y mas años. Sólo para el cálculo del total de los ingresos se contabiliza el rango de 60 - 64 años.</t>
  </si>
  <si>
    <t>SECCIÓN N: INGRESOS AL PROGRAMA DE SALUD MENTAL EN APS /ESPECIALIDAD</t>
  </si>
  <si>
    <t>MOTIVO DE INGRESO</t>
  </si>
  <si>
    <t>TRANS Femenino/
Masculino</t>
  </si>
  <si>
    <t>Adolescentes derivados de Espacios Amigables</t>
  </si>
  <si>
    <t>INGRESOS AL PROGRAMA</t>
  </si>
  <si>
    <t>FACTORES DE RIESGO Y CONDICIONANTES DE LA SALUD MENTAL</t>
  </si>
  <si>
    <t>Violencia Física</t>
  </si>
  <si>
    <t>Victima</t>
  </si>
  <si>
    <t>Agresor/a</t>
  </si>
  <si>
    <t>Violencia Sexual</t>
  </si>
  <si>
    <t>Violencia Psicológica</t>
  </si>
  <si>
    <t>Abuso sexual</t>
  </si>
  <si>
    <t>Suicidio</t>
  </si>
  <si>
    <t>Ideación</t>
  </si>
  <si>
    <t>Intento</t>
  </si>
  <si>
    <t xml:space="preserve">PERSONAS CON DIAGNÓSTICOS DE TRASTORNOS MENTALES </t>
  </si>
  <si>
    <t>Trastornos del Humor
(Afectivos)</t>
  </si>
  <si>
    <t>Depresión Leve</t>
  </si>
  <si>
    <t>Depresión Moderada</t>
  </si>
  <si>
    <t>Depresión Grave</t>
  </si>
  <si>
    <t>Depresión Post Parto</t>
  </si>
  <si>
    <t>Trastorno Bipolar</t>
  </si>
  <si>
    <t>Depresión Refractaria</t>
  </si>
  <si>
    <t>Depresión Grave Con Psicosis</t>
  </si>
  <si>
    <t>Depresión con Alto Riesgo Suicida</t>
  </si>
  <si>
    <t>Trastornos Mentales y del Comportamiento Debido a Consumo Sustancias Psicotrópicas</t>
  </si>
  <si>
    <t>Consumo Perjudicial de Alcohol</t>
  </si>
  <si>
    <t>Consumo Dependiente del Alcohol</t>
  </si>
  <si>
    <t>Consumo Perjudicial de Drogas</t>
  </si>
  <si>
    <t>Consumo Dependiente de Drogas</t>
  </si>
  <si>
    <t>Consumo de Drogas y Alcohol</t>
  </si>
  <si>
    <t>Trastornos del Comportamiento y de Las Emociones de Comienzo Habitual en la Infancia y Adolescencia</t>
  </si>
  <si>
    <t>Trastorno Hipercinéticos</t>
  </si>
  <si>
    <t>Trastorno Disocial Desafiante y Oposicionista</t>
  </si>
  <si>
    <t>Trastorno de Ansiedad de Separación en la Infancia</t>
  </si>
  <si>
    <t>Otros Trastornos del Comportamiento y de las Emociones de Comienzo Habitual en La Infancia y Adolescencia</t>
  </si>
  <si>
    <t>Trastornos de Ansiedad</t>
  </si>
  <si>
    <t>Trastorno de Estrés Post Traumático</t>
  </si>
  <si>
    <t xml:space="preserve">Trastorno de Pánico  </t>
  </si>
  <si>
    <t>Fobias Sociales</t>
  </si>
  <si>
    <t>Trastornos de Ansiedad Generalizada</t>
  </si>
  <si>
    <t>Otros Trastornos de Ansiedad</t>
  </si>
  <si>
    <t xml:space="preserve">
Demencias (Incluye Alzheimer)</t>
  </si>
  <si>
    <t>Leve</t>
  </si>
  <si>
    <t>Moderado</t>
  </si>
  <si>
    <t>Avanzado</t>
  </si>
  <si>
    <t>Esquizofrenia</t>
  </si>
  <si>
    <t>Trastorno Adaptativo</t>
  </si>
  <si>
    <t>Trastornos de la Conducta Alimentaria</t>
  </si>
  <si>
    <t>Retraso Mental</t>
  </si>
  <si>
    <t>Trastorno de Personalidad</t>
  </si>
  <si>
    <t>Trastorno Generalizados del Desarrollo</t>
  </si>
  <si>
    <t>Autismo</t>
  </si>
  <si>
    <t>Asperger</t>
  </si>
  <si>
    <t>Síndrome de Rett</t>
  </si>
  <si>
    <t>Trastorno Desintegrativo de la Infancia</t>
  </si>
  <si>
    <t>Trastorno Generalizado del Desarrollo no Específico</t>
  </si>
  <si>
    <t>Epilepsia</t>
  </si>
  <si>
    <t>Otras</t>
  </si>
  <si>
    <t>SECCIÓN O: EGRESOS DEL PROGRAMA DE SALUD  MENTAL POR ALTAS CLÍNICAS EN APS /ESPECIALIDAD</t>
  </si>
  <si>
    <t>MOTIVO DE EGRESO</t>
  </si>
  <si>
    <t>EGRESOS</t>
  </si>
  <si>
    <t>TRANS Masculino/
Femenino</t>
  </si>
  <si>
    <t>Traslado o Derivación</t>
  </si>
  <si>
    <t>EGRESOS DEL PROGRAMA</t>
  </si>
  <si>
    <t>Depresión Grave con Psicosis</t>
  </si>
  <si>
    <t>Trastornos del Comportamiento y de las Emociones de Comienzo Habitual en la Infancia y Adolescencia</t>
  </si>
  <si>
    <t xml:space="preserve">
Trastornos de Ansiedad</t>
  </si>
  <si>
    <t>SECCIÓN P:  PROGRAMA DE REHABILITACIÓN (PERSONAS CON TRASTORNOS PSIQUIÁTRICOS)</t>
  </si>
  <si>
    <t>TIPO DE PROGRAMA</t>
  </si>
  <si>
    <t>RUBRO</t>
  </si>
  <si>
    <t>Programa de Rehabilitación Tipo I</t>
  </si>
  <si>
    <t xml:space="preserve">
Programa de Rehabilitación Tipo II</t>
  </si>
  <si>
    <t>SECCIÓN Q: INGRESOS Y EGRESOS A PROGRAMA INFECCIÓN POR TRANSMISIÓN SEXUAL (Uso de establecimientos que realizan atención de ITS)</t>
  </si>
  <si>
    <t>PATOLOGÍAS</t>
  </si>
  <si>
    <t>Total</t>
  </si>
  <si>
    <t>Por alta</t>
  </si>
  <si>
    <t>Por abandono</t>
  </si>
  <si>
    <t>TOTAL DE INGRESOS</t>
  </si>
  <si>
    <t>Sífilis</t>
  </si>
  <si>
    <t>Gonorrea</t>
  </si>
  <si>
    <t>Condiloma</t>
  </si>
  <si>
    <t>Herpes</t>
  </si>
  <si>
    <t>Chlamydias</t>
  </si>
  <si>
    <t>Uretritis no Gonocócica</t>
  </si>
  <si>
    <t>Linfogranuloma</t>
  </si>
  <si>
    <t>Chancroide</t>
  </si>
  <si>
    <t>Otras ITS</t>
  </si>
  <si>
    <t>No Gestantes</t>
  </si>
  <si>
    <t>SECCIÓN R: INGRESOS Y EGRESOS DEL PROGRAMA DE VIH/SIDA (Uso exclusivo Centros de Atención VIH-SIDA)</t>
  </si>
  <si>
    <t>Menor de 6 meses</t>
  </si>
  <si>
    <t>6 - 11 meses</t>
  </si>
  <si>
    <t>12 - 24 meses</t>
  </si>
  <si>
    <t>3 - 4 años</t>
  </si>
  <si>
    <t>75 y más años</t>
  </si>
  <si>
    <t xml:space="preserve">Ingresos al programa </t>
  </si>
  <si>
    <t>Reingresos por abandono</t>
  </si>
  <si>
    <t>Total egresos</t>
  </si>
  <si>
    <t>Egresos por Fallecimiento (Incluido en Total Egresos)</t>
  </si>
  <si>
    <t>Egresos por Alta Hijo VIH (-) de Madre VIH (+)Incluido en Total Egresos</t>
  </si>
  <si>
    <t>Evaluación Movilidad Programa</t>
  </si>
  <si>
    <t>Abandono Controles</t>
  </si>
  <si>
    <t>Abandono Tratamiento</t>
  </si>
  <si>
    <t>Abandono de la Atención</t>
  </si>
  <si>
    <t>Egresos por Traslado</t>
  </si>
  <si>
    <t>SECCIÓN S: INGRESOS Y EGRESOS POR COMERCIO SEXUAL (Uso exclusivo de Unidades Control Comercio Sexual)</t>
  </si>
  <si>
    <t>Inasistentes</t>
  </si>
  <si>
    <t>SECCIÓN T: INGRESOS Y EGRESOS PROGRAMA DE ACOMPAÑAMIENTO PSICOSOCIAL EN ATENCIÓN PRIMARIA</t>
  </si>
  <si>
    <t>Aumento de funcionalidad familiar (4 puntos o más)</t>
  </si>
  <si>
    <t>Cumple con el 70% de los objetivos del plan de acompañamiento</t>
  </si>
  <si>
    <t>Egreso por alta clínica del Prog de Salud Mental</t>
  </si>
  <si>
    <t>SECCIÓN U: INGRESOS  INTEGRALES DE PERSONAS CON CONDICIONES CRÓNICAS EN ATENCIÓN PRIMARIA</t>
  </si>
  <si>
    <t>REALIZADO POR</t>
  </si>
  <si>
    <t>Realizado en domicilio</t>
  </si>
  <si>
    <t>Dupla (Médico + Profesional no médico)</t>
  </si>
  <si>
    <t>Médico</t>
  </si>
  <si>
    <t>Profesional No Médico</t>
  </si>
  <si>
    <t>Ingreso Integral</t>
  </si>
  <si>
    <t>Riesgo Leve (G1)</t>
  </si>
  <si>
    <t>Riesgo Moderado (G2)</t>
  </si>
  <si>
    <t>Riesgo Alto (G3)</t>
  </si>
  <si>
    <t>Plan de Cuidado Elaborado</t>
  </si>
  <si>
    <t>Gestión de casos</t>
  </si>
  <si>
    <t>Ingreso Riesgo Alto (G3)</t>
  </si>
  <si>
    <t>Ingreso Riesgo Moderado (G2)</t>
  </si>
  <si>
    <t>Egreso Riesgo Alto (G3)</t>
  </si>
  <si>
    <t>Egreso Riesgo Moderado (G2)</t>
  </si>
  <si>
    <r>
      <t>SECCIÓN V: INGRESOS Y EGRESOS DEL PROGRAMA DE ATENCIÓN DOMICILIARIA PARA PERSONAS CON DEPENDENCIA SEVERA</t>
    </r>
    <r>
      <rPr>
        <b/>
        <i/>
        <sz val="9"/>
        <color theme="1"/>
        <rFont val="Verdana"/>
      </rPr>
      <t xml:space="preserve"> </t>
    </r>
  </si>
  <si>
    <t>TIPO DE INGRESO O EGRESO</t>
  </si>
  <si>
    <t>TIPO DE ESTRATEGIA</t>
  </si>
  <si>
    <t>Personas con discapacidad (con RND)</t>
  </si>
  <si>
    <t>25-29 años</t>
  </si>
  <si>
    <t>45- 49 años</t>
  </si>
  <si>
    <t xml:space="preserve">Rehabilitación NNA </t>
  </si>
  <si>
    <t>Rehabilitación Base Comunitaria (RBC)</t>
  </si>
  <si>
    <t>Rehabilitación Integral(RI)</t>
  </si>
  <si>
    <t>Rehabilitación Rural (RR)</t>
  </si>
  <si>
    <t>Ingresos persona con dependencia severa</t>
  </si>
  <si>
    <t>Ingresos con Plan de Cuidado Integral  (ingresado vía ECICEP)</t>
  </si>
  <si>
    <t>Ingresos con Plan de  Cuidado  Integral (no ingresados a ECICEP)</t>
  </si>
  <si>
    <t>Ingreso Cuidador</t>
  </si>
  <si>
    <t>Ingreso con Plan de Cuidado al Cuidador (ingresado vía ECICEP)</t>
  </si>
  <si>
    <t>Ingreso con Plan de Cuidado al cuidador (no ingresado a ECICEP)</t>
  </si>
  <si>
    <t>Egresos persona con dependencia</t>
  </si>
  <si>
    <t>Egresos por alta (disminuye nivel de dependencia)</t>
  </si>
  <si>
    <t>Egresos por alta administrativa</t>
  </si>
  <si>
    <t>Egreso por traslado</t>
  </si>
  <si>
    <t>Egresos por fallecimiento</t>
  </si>
  <si>
    <t xml:space="preserve">Egresos por otras causas </t>
  </si>
  <si>
    <t>Egreso Cuidador</t>
  </si>
  <si>
    <t>Egreso por alta persona con dependencia</t>
  </si>
  <si>
    <t>Egreso por cambio de cuidador</t>
  </si>
  <si>
    <t xml:space="preserve">Egreso por alta administrativa </t>
  </si>
  <si>
    <t>Egreso por fallecimiento persona con dependencia</t>
  </si>
  <si>
    <t>Egreso por fallecimiento cuidador</t>
  </si>
  <si>
    <t>SECCIÓN W: INGRESO Y EGRESO PROGRAMA ACOMPAÑAMIENTO A LA IDENTIDAD DE GENERO EN NIVEL DE ESPECIALIDAD</t>
  </si>
  <si>
    <t>IDENTIDAD DE GÉNERO</t>
  </si>
  <si>
    <t>PROCEDENCIA DE LA DERIVACIÓN</t>
  </si>
  <si>
    <t>ACOMPAÑAMIENTO AL INGRESO</t>
  </si>
  <si>
    <t>3 a 9 años</t>
  </si>
  <si>
    <t>10 a 17 años</t>
  </si>
  <si>
    <t>Trans o género no conforme</t>
  </si>
  <si>
    <t>No trans ni género no conforme</t>
  </si>
  <si>
    <t>Establecimiento Educacional</t>
  </si>
  <si>
    <t>APS</t>
  </si>
  <si>
    <t>Otras especialidades u hospitalización</t>
  </si>
  <si>
    <t>Sistema Judicial</t>
  </si>
  <si>
    <t>Intersector</t>
  </si>
  <si>
    <t>Consulta espontánea a PAIG</t>
  </si>
  <si>
    <t>Padres o tutores legales</t>
  </si>
  <si>
    <t>Adulto significativo (diferente del tutor legal)</t>
  </si>
  <si>
    <t>Sin acompañamiento</t>
  </si>
  <si>
    <t>Intersexual</t>
  </si>
  <si>
    <t>Número de Niños, Niñas y Adolescentes en atención</t>
  </si>
  <si>
    <t>Ingresos con nivel de riesgo bajo</t>
  </si>
  <si>
    <t>Ingresos con nivel riesgo medio</t>
  </si>
  <si>
    <t>Ingresos con nivel de riesgo alto</t>
  </si>
  <si>
    <t>Egresos con nivel de riesgo bajo</t>
  </si>
  <si>
    <t>Egresos con nivel riesgo medio</t>
  </si>
  <si>
    <t>Egresos con nivel de riesgo alto</t>
  </si>
  <si>
    <t>Egresos sin completar PCI</t>
  </si>
  <si>
    <t>Egresos por abandono</t>
  </si>
  <si>
    <t>SECCIÓN X: INTERVENCIONES REALIZADAS POR ÁMBITO DENTRO DEL PROGRAMA DE ACOMPAÑAMIENTO A LA IDENTIDAD DE GÉNERO (PAIG)</t>
  </si>
  <si>
    <t>INTERVENCIONES POR ÁMBITO</t>
  </si>
  <si>
    <t>Ámbito individual</t>
  </si>
  <si>
    <t>Ámbito familiar</t>
  </si>
  <si>
    <t>Ámbito educativo</t>
  </si>
  <si>
    <t>REM-06.   PROGRAMA DE SALUD MENTAL ATENCIÓN PRIMARIA Y ESPECIALIDADES</t>
  </si>
  <si>
    <t>SECCIÓN A.1: CONTROLES DE ATENCIÓN PRIMARIA / ESPECIALIDADES</t>
  </si>
  <si>
    <t>Demencia</t>
  </si>
  <si>
    <t xml:space="preserve">TRANS
</t>
  </si>
  <si>
    <t>Cuidadores de personas con demencia</t>
  </si>
  <si>
    <t>Controles Salud Mental</t>
  </si>
  <si>
    <t>Psicólogo/a</t>
  </si>
  <si>
    <t>Trabajador/a Social</t>
  </si>
  <si>
    <t>Otros Profesionales Capacitados (Salud Mental)</t>
  </si>
  <si>
    <t>Terapeuta Ocupacional</t>
  </si>
  <si>
    <t>Técnico en Enfermería en Salud Mental</t>
  </si>
  <si>
    <t>Gestor Comunitario</t>
  </si>
  <si>
    <t>Técnico Rehabilitación Alcohol y Drogas</t>
  </si>
  <si>
    <t>Intervención Psicosocial Grupal</t>
  </si>
  <si>
    <t>Psicodiagnóstico</t>
  </si>
  <si>
    <t>Psicoterapia Individual</t>
  </si>
  <si>
    <t>Médico/a Psiquiatra</t>
  </si>
  <si>
    <t>SECCIÓN A.2: CONSULTORÍAS DE SALUD MENTAL EN APS</t>
  </si>
  <si>
    <t>TOTAL CONSULTORÍAS Y TELECONSULTORÍAS RECIBIDAS</t>
  </si>
  <si>
    <t>CONSULTORÍAS Y TELECONSULTORÍAS RECIBIDAS</t>
  </si>
  <si>
    <t>TOTAL Nº DE CASOS REVISADOS</t>
  </si>
  <si>
    <t>Personas con sospecha de demencia</t>
  </si>
  <si>
    <t>Personas con diagnóstico de demencia</t>
  </si>
  <si>
    <t>Consultorías y Teleconsultorías de Salud Mental Infanto Adolescente</t>
  </si>
  <si>
    <t>Consultorías Y Teleconsultorías de Salud Mental Adulto</t>
  </si>
  <si>
    <t>Consultorías de Salud Mental</t>
  </si>
  <si>
    <t>Teleconsultorías de Salud Mental</t>
  </si>
  <si>
    <t>SECCIÓN A.3: CONSULTORÍAS DE SALUD MENTAL OTORGADA POR EL NIVEL DE ESPECIALIDAD</t>
  </si>
  <si>
    <t>TOTAL CONSULTORÍAS Y TELECONSULTORÍAS OTORGADAS</t>
  </si>
  <si>
    <t>CONSULTORÍAS Y TELECONSULTORÍAS OTORGADAS</t>
  </si>
  <si>
    <t>Participantes</t>
  </si>
  <si>
    <t>Consultorías y Teleconsultorías de Salud Mental Adulto</t>
  </si>
  <si>
    <t>Médico psiquiatra</t>
  </si>
  <si>
    <t>Médico Psiquiatría más un profesional</t>
  </si>
  <si>
    <t>Médico Psiquiatría más dos Profesionales</t>
  </si>
  <si>
    <t>Médico Psiquiatría con más de dos Profesionales</t>
  </si>
  <si>
    <t>Dos profesionales</t>
  </si>
  <si>
    <t>Más de dos profesionales</t>
  </si>
  <si>
    <t>SECCIÓN B.1: ACTIVIDADES GRUPALES (NÚMERO DE SESIONES)</t>
  </si>
  <si>
    <t>Psicoterapia Grupal</t>
  </si>
  <si>
    <t>Psicoterapia Familiar</t>
  </si>
  <si>
    <t>SECCIÓN B.2:  PROGRAMA DE REHABILITACIÓN (PERSONAS CON TRASTORNOS PSIQUIÁTRICOS)</t>
  </si>
  <si>
    <t>Días Persona</t>
  </si>
  <si>
    <t>Programa de Rehabilitación Tipo II</t>
  </si>
  <si>
    <t>SECCIÓN B.3: ACTIVIDADES DE PSIQUIATRÍA FORENSE PARA PERSONAS EN CONFLICTO CON LA JUSTICIA (En lo Penal, Civil, Familiar, etc.)</t>
  </si>
  <si>
    <t>Peritaje Psiquiátrico Judicial</t>
  </si>
  <si>
    <t>Enfermero/a</t>
  </si>
  <si>
    <t>Otros Profesionales</t>
  </si>
  <si>
    <t xml:space="preserve">Examen Preliminar en Drogas para Adolescentes Imputados / Condenados </t>
  </si>
  <si>
    <t>Evaluación Clínica para Adolescentes Imputados con Consumo de Drogas</t>
  </si>
  <si>
    <t>Examen Mental Preliminar a Personas Imputadas</t>
  </si>
  <si>
    <t>Peritaje Drogas</t>
  </si>
  <si>
    <t>Atención a Agresores Derivados de Tribunales (Ley de Violencia Intrafamiliar)</t>
  </si>
  <si>
    <t>SECCIÓN B.4: DISPOSITIVOS DE SALUD MENTAL</t>
  </si>
  <si>
    <t>TIPO DE DISPOSITIVO</t>
  </si>
  <si>
    <t>Nº DE PERSONAS ATENDIDAS</t>
  </si>
  <si>
    <t>DÍAS DE ESTADA DE PERSONAS ATENDIDAS EN EL MES</t>
  </si>
  <si>
    <t>Nº DE EGRESOS</t>
  </si>
  <si>
    <t>Nº DE PERSONAS EN LISTA DE ESPERA</t>
  </si>
  <si>
    <t>Menos de 20 años</t>
  </si>
  <si>
    <t xml:space="preserve">Hogar Protegido  </t>
  </si>
  <si>
    <t>Residencia Protegida</t>
  </si>
  <si>
    <t>Hospital Psiquiátrico Diurno</t>
  </si>
  <si>
    <t>Centro Privativo de Libertad (SENAME)</t>
  </si>
  <si>
    <t>SECCIÓN C.1: ACTIVIDADES DE COORDINACION SECTORIAL, INTERSECTORIAL Y COMUNITARIA</t>
  </si>
  <si>
    <t>ACTIVIDADES</t>
  </si>
  <si>
    <t>TOTAL DE PARTICIPANTES</t>
  </si>
  <si>
    <t>Nº REUNIONES / SESIONES</t>
  </si>
  <si>
    <t>Nº INSTITUCIONES,  ORGANIZACIONES  PARTICIPANTES</t>
  </si>
  <si>
    <t>Trabajo Intersectorial</t>
  </si>
  <si>
    <t>Trabajo con Organizaciones Comunitarias de Base</t>
  </si>
  <si>
    <t>Trabajo con Organizaciones de Usuarios y Familiares</t>
  </si>
  <si>
    <t>Colaboración con Grupo de Autoayuda</t>
  </si>
  <si>
    <t>Reuniones con Instituciones del Sector Salud Programa Acompañamiento Psicosocial</t>
  </si>
  <si>
    <t>Reuniones con Instituciones del Intersector Acompañamiento Psicosocial</t>
  </si>
  <si>
    <t>Reuniones con Organizaciones Comunitarias Acompañamiento Psicosocial</t>
  </si>
  <si>
    <t>Reuniones con el sector salud</t>
  </si>
  <si>
    <t>SECCIÓN C.2: INFORMES A TRIBUNALES</t>
  </si>
  <si>
    <t>TRIBUNALES</t>
  </si>
  <si>
    <t>Menos de 18 años</t>
  </si>
  <si>
    <t>18 y más años</t>
  </si>
  <si>
    <t>Nº informes</t>
  </si>
  <si>
    <t>ASISTENCIA A TRIBUNALES</t>
  </si>
  <si>
    <t>Nº de profesionales</t>
  </si>
  <si>
    <t>Nº de veces</t>
  </si>
  <si>
    <t>De Familia</t>
  </si>
  <si>
    <t>Penales</t>
  </si>
  <si>
    <t>Civiles</t>
  </si>
  <si>
    <t>Policía Local</t>
  </si>
  <si>
    <t>Laborales</t>
  </si>
  <si>
    <t>SECCIÓN C.3: INFORMES A INTERSECTOR</t>
  </si>
  <si>
    <t>INTERSECTOR</t>
  </si>
  <si>
    <t>Establecimientos Educacionales</t>
  </si>
  <si>
    <t>Oficina local de la Niñez / Oficina de Protección de Derechos de la Infancia</t>
  </si>
  <si>
    <t>Otros Programas</t>
  </si>
  <si>
    <t>SECCIÓN D: PLANES Y EVALUACIONES PROGRAMA DE ACOMPAÑAMIENTO PSICOSOCIAL EN ATENCIÓN PRIMARIA</t>
  </si>
  <si>
    <t>Plan de Acompañamiento Elaborados</t>
  </si>
  <si>
    <t>Plan de Acompañamiento con Mejoría al Egreso del Programa</t>
  </si>
  <si>
    <t>Evaluaciones Participativas Realizadas al Egreso del Programa</t>
  </si>
  <si>
    <t>SECCIÓN E: PERSONAS CON EVALUACIÓN Y CONFIRMACIÓN DIAGNOSTICA EN APS</t>
  </si>
  <si>
    <t>N° DE ENTREVISTAS</t>
  </si>
  <si>
    <t>REALIZADA POR</t>
  </si>
  <si>
    <t>N° Confirmaciones Diagnósticas</t>
  </si>
  <si>
    <t>1 Profesional</t>
  </si>
  <si>
    <t>2 Profesionales</t>
  </si>
  <si>
    <t>3 Profesionales</t>
  </si>
  <si>
    <t>SECCIÓN F: EVALUACIONES PROGRAMA PLAN NACIONAL DE DEMENCIA</t>
  </si>
  <si>
    <t>Aumento</t>
  </si>
  <si>
    <t>Mantención</t>
  </si>
  <si>
    <t>Disminución</t>
  </si>
  <si>
    <t>Personas con Demencia con Reevaluación Deterioro GLOBAL GDS REISBERG</t>
  </si>
  <si>
    <t>Cuidadores Principales de Personas con Demencia con Reevaluación Sobrecarga del Cuidado</t>
  </si>
  <si>
    <t>Cuidadores Principales de Personas con Demencia con Evaluación de Satisfacción Usuaria del Proceso de Intervención</t>
  </si>
  <si>
    <t>SECCIÓN G: EVALUACIÓN PROGRAMA DE APOYO A LA SALUD MENTAL INFANTIL (PASMI)</t>
  </si>
  <si>
    <t>5 - 9 AÑOS</t>
  </si>
  <si>
    <t>Evaluadores</t>
  </si>
  <si>
    <t>Cumplimiento de criterios diagnósticos según  Evaluación Diagnóstica Integral (EDI)</t>
  </si>
  <si>
    <t>Equipo biopsicosocial</t>
  </si>
  <si>
    <t>Equipo psicosocial</t>
  </si>
  <si>
    <t>Requiere tratamiento en APS</t>
  </si>
  <si>
    <t>Requiere tratamiento en nivel secundario</t>
  </si>
  <si>
    <t>No Requiere tratamiento</t>
  </si>
  <si>
    <t>Evaluación Diagnóstica Integral (EDI)</t>
  </si>
  <si>
    <t>SECCIÓN H: CONSULTA DE SALUD MENTAL POR EL NIVEL DE ESPECIALIDAD</t>
  </si>
  <si>
    <t>Consulta Nueva Salud Mental (Ingreso)</t>
  </si>
  <si>
    <t>Uniprofesional</t>
  </si>
  <si>
    <t>Dos Profesionales</t>
  </si>
  <si>
    <t>Multiprofesional</t>
  </si>
  <si>
    <t xml:space="preserve">SECCIÓN I: RESCATE DE PACIENTES PROGRAMA SALUD MENTAL </t>
  </si>
  <si>
    <t>RESCATE EN DOMICILIO</t>
  </si>
  <si>
    <t>Compra de servicio (*)</t>
  </si>
  <si>
    <t>Rescate Telefónico</t>
  </si>
  <si>
    <t>Funcionario</t>
  </si>
  <si>
    <t>Profesional</t>
  </si>
  <si>
    <t>Administrativo</t>
  </si>
  <si>
    <t>Otro</t>
  </si>
  <si>
    <t>Desde el establecimiento</t>
  </si>
  <si>
    <t>*No incluidos en REM A26 sección D.</t>
  </si>
  <si>
    <t>SECCIÓN J: TIEMPOS DE ESPERA EN SALUD MENTAL DE APS</t>
  </si>
  <si>
    <t>TIEMPOS DE ESPERA ENTRE:</t>
  </si>
  <si>
    <t xml:space="preserve">Número de días </t>
  </si>
  <si>
    <t xml:space="preserve">Número de personas atendidas </t>
  </si>
  <si>
    <t>Tamizaje y Primera Atención Salud Mental en APS (Individual o Grupal)</t>
  </si>
  <si>
    <t>Tamizaje y Confirmación Diagnóstica</t>
  </si>
  <si>
    <t>SECCIÓN K : SALUD MENTAL EN SITUACIONES DE EMERGENCIA O DESASTRE</t>
  </si>
  <si>
    <t xml:space="preserve">TOTAL          </t>
  </si>
  <si>
    <t>Atenciones a funcionarios de la salud</t>
  </si>
  <si>
    <t>Acciones en domicilio</t>
  </si>
  <si>
    <t>Acciones en albergue/
Espacio comunitario</t>
  </si>
  <si>
    <t>Acciones no presenciales o remotas</t>
  </si>
  <si>
    <t>10-19 años</t>
  </si>
  <si>
    <t>20-59 años</t>
  </si>
  <si>
    <t>60 y más años</t>
  </si>
  <si>
    <t>Primera Ayuda Psicológica</t>
  </si>
  <si>
    <t>Consulta de Salud Mental Asociada a Emergencia o Desastre</t>
  </si>
  <si>
    <t>SECCIÓN K.1: ACTIVIDADES DE COORDINACION EN SITUACIONES DE EMERGENCIA Y DESASTRE</t>
  </si>
  <si>
    <t xml:space="preserve">
Nº Reuniones / Sesiones</t>
  </si>
  <si>
    <t>Nº Instituciones, Organizaciones que participan</t>
  </si>
  <si>
    <t>Trabajo Sectorial</t>
  </si>
  <si>
    <t>Actividades Comunitarias</t>
  </si>
  <si>
    <t>SECCIÓN L: PROCEDIMIENTOS REALIZADOS EN ATENCIÓN HOSPITALARIA</t>
  </si>
  <si>
    <t>TERAPIA ELECTROCONVULSIVA</t>
  </si>
  <si>
    <t>5 - 18 años</t>
  </si>
  <si>
    <t>19 - 40 años</t>
  </si>
  <si>
    <t>41-59 años</t>
  </si>
  <si>
    <t>Inicio de tratamiento (primera sesión de la serie)</t>
  </si>
  <si>
    <t>Sesiones de tratamiento</t>
  </si>
  <si>
    <t xml:space="preserve">REM-07.  ATENCIÓN  DE ESPECIALIDADES </t>
  </si>
  <si>
    <t>SECCIÓN A : CONSULTAS MÉDICAS DE ESPECIALIDAD</t>
  </si>
  <si>
    <t>ESPECIALIDADES   Y  SUB-ESPECIALIDADES</t>
  </si>
  <si>
    <t>CONSULTAS Y CONTROLES MÉDICOS</t>
  </si>
  <si>
    <t>Por Sexo</t>
  </si>
  <si>
    <t>CONSULTAS NUEVAS SEGÚN ORIGEN</t>
  </si>
  <si>
    <t>Consultas de Especialidades resueltas por Médico General</t>
  </si>
  <si>
    <t>Menores de 18 años</t>
  </si>
  <si>
    <t>De 18 y más años</t>
  </si>
  <si>
    <t>15 - 17 años</t>
  </si>
  <si>
    <t>18 - 19 años</t>
  </si>
  <si>
    <t xml:space="preserve">CAE/CDT/CRS/Hospitalización </t>
  </si>
  <si>
    <t xml:space="preserve">Urgencia </t>
  </si>
  <si>
    <t>Pediatría</t>
  </si>
  <si>
    <t>Medicina Interna</t>
  </si>
  <si>
    <t>Neonatología</t>
  </si>
  <si>
    <t>Enfermedad Respiratoria Pediátrica</t>
  </si>
  <si>
    <t>Enfermedad Respiratoria de Adulto</t>
  </si>
  <si>
    <t>Cardiología</t>
  </si>
  <si>
    <t>Mastología</t>
  </si>
  <si>
    <t>Endocrinología Pediátrica</t>
  </si>
  <si>
    <t>Endocrinología Adulto</t>
  </si>
  <si>
    <t>Gastroenterología Pediátrica</t>
  </si>
  <si>
    <t>Gastroenterología Adulto</t>
  </si>
  <si>
    <t>Genética Clínica</t>
  </si>
  <si>
    <t>Hematología</t>
  </si>
  <si>
    <t>Medicina del adolescente</t>
  </si>
  <si>
    <t>Nefrología Pediátrica</t>
  </si>
  <si>
    <t>Nefrología Adulto</t>
  </si>
  <si>
    <t>Nutrición clínica</t>
  </si>
  <si>
    <t>Medicina Materno fetal</t>
  </si>
  <si>
    <t>Reumatología</t>
  </si>
  <si>
    <t>Medicina Paliativa y Manejo del Dolor</t>
  </si>
  <si>
    <t>Dermatología</t>
  </si>
  <si>
    <t>Infectología</t>
  </si>
  <si>
    <t>Inmunología</t>
  </si>
  <si>
    <t>Geriatría</t>
  </si>
  <si>
    <t>Medicina Física y Rehabilitación</t>
  </si>
  <si>
    <t>Medicina Reproductiva e Infertilidad</t>
  </si>
  <si>
    <t>Neurología Pediátrica</t>
  </si>
  <si>
    <t>Neurología Adulto</t>
  </si>
  <si>
    <t>Oncología Médica</t>
  </si>
  <si>
    <t>Psiquiatría Pediátrica y de La Adolescencia</t>
  </si>
  <si>
    <t>Psiquiatría Adulto</t>
  </si>
  <si>
    <t>Cirugía Pediátrica</t>
  </si>
  <si>
    <t xml:space="preserve">Cirugía General </t>
  </si>
  <si>
    <t>Cirugía Digestiva</t>
  </si>
  <si>
    <t>Cirugía de Cabeza, Cuello y Maxilofacial</t>
  </si>
  <si>
    <t xml:space="preserve">Cirugía Plástica y Reparadora </t>
  </si>
  <si>
    <t>Medicina del Deporte</t>
  </si>
  <si>
    <t>Coloproctología</t>
  </si>
  <si>
    <t>Cirugía Tórax</t>
  </si>
  <si>
    <t>Cirugía vascular periférica</t>
  </si>
  <si>
    <t>Neurocirugía</t>
  </si>
  <si>
    <t>Cirugía Cardiovascular</t>
  </si>
  <si>
    <t>Anestesiología</t>
  </si>
  <si>
    <t>Obstetricia y Ginecología</t>
  </si>
  <si>
    <t xml:space="preserve">Ginecología oncológica </t>
  </si>
  <si>
    <t>Neurorradiologia</t>
  </si>
  <si>
    <t>Oftalmología</t>
  </si>
  <si>
    <t>Otorrinolaringología</t>
  </si>
  <si>
    <t>Traumatología y Ortopedia</t>
  </si>
  <si>
    <t>Urología</t>
  </si>
  <si>
    <t>Medicina Familiar</t>
  </si>
  <si>
    <t>Diabetología</t>
  </si>
  <si>
    <t>Medicina Nuclear</t>
  </si>
  <si>
    <t>Imagenología</t>
  </si>
  <si>
    <t>Radioterapia Oncológica</t>
  </si>
  <si>
    <t>SECCIÓN A.1: ATRIBUTOS DE LAS ATENCIONES DE ESPECIALIDAD</t>
  </si>
  <si>
    <t>ESPECIALIDADES Y SUB-ESPECIALIDADES</t>
  </si>
  <si>
    <t>Interconsultas pertinentes según Criterio Clínico</t>
  </si>
  <si>
    <t>Consultas pertinentes según tiempo establecido en Box</t>
  </si>
  <si>
    <t>Consultas  pertinentes según Criterio Clínico en Box</t>
  </si>
  <si>
    <t>Contrarreferencia inicial o retorno</t>
  </si>
  <si>
    <t>Contrarreferencia al alta</t>
  </si>
  <si>
    <t>Alta de Consulta de Especialidad Ambulatoria</t>
  </si>
  <si>
    <t>Inasistente a consulta médica (NSP)</t>
  </si>
  <si>
    <t>CONSULTA ABREVIADA (Confección de recetas o lectura de exámenes)</t>
  </si>
  <si>
    <t>Atención Especialista en Sala</t>
  </si>
  <si>
    <t>Consultas realizadas en APS e informadas (contenidas en sección A)</t>
  </si>
  <si>
    <t>Compra de Servicios (No incluidas en total de atenciones)</t>
  </si>
  <si>
    <t>Consultas Médicas por Operativos (no incluidas en produccion)</t>
  </si>
  <si>
    <t>Total Interconsultas generadas en APS para derivación Especialidad</t>
  </si>
  <si>
    <t xml:space="preserve">Consultorías de Médicos Especialistas otorgadas </t>
  </si>
  <si>
    <t>CDT/CAE/CRS/Hospitalizado</t>
  </si>
  <si>
    <t>Menos 18 años</t>
  </si>
  <si>
    <t>Menos 
18 años</t>
  </si>
  <si>
    <t>18 y más 
años</t>
  </si>
  <si>
    <t xml:space="preserve">Nuevas </t>
  </si>
  <si>
    <t>Controles</t>
  </si>
  <si>
    <t>Contratados por el Establecimiento o Dirección del Servicio</t>
  </si>
  <si>
    <t>Especialistas de Hospitales</t>
  </si>
  <si>
    <t>Red Pública</t>
  </si>
  <si>
    <t>Privados</t>
  </si>
  <si>
    <t>Nº Consultorías</t>
  </si>
  <si>
    <t>Nº de casos revisados por el equipo</t>
  </si>
  <si>
    <t>Nº de casos atendidos</t>
  </si>
  <si>
    <t xml:space="preserve">Cardiología </t>
  </si>
  <si>
    <t xml:space="preserve">Reumatología </t>
  </si>
  <si>
    <t>Psiquiatría Pediátrica y de la Adolescencia</t>
  </si>
  <si>
    <t>Cirugía General</t>
  </si>
  <si>
    <t>NeuroRadiologia</t>
  </si>
  <si>
    <t xml:space="preserve">Traumatología y Ortopedia </t>
  </si>
  <si>
    <t xml:space="preserve">Urología </t>
  </si>
  <si>
    <t>SECCIÓN B: ATENCIONES MEDICAS POR PROGRAMAS Y POLICLÍNICOS  (INCLUIDAS EN SECCION A)</t>
  </si>
  <si>
    <t>ATENCIONES</t>
  </si>
  <si>
    <t>18- 19 años</t>
  </si>
  <si>
    <t>80  años y mas</t>
  </si>
  <si>
    <t>Trans Masculino</t>
  </si>
  <si>
    <t>Trans Femenino</t>
  </si>
  <si>
    <t>Arritmias</t>
  </si>
  <si>
    <t>Cirugía de Mamas</t>
  </si>
  <si>
    <t>Alto Riesgo Obstétrico</t>
  </si>
  <si>
    <t>Atención Obstétrica por Ley IVE</t>
  </si>
  <si>
    <t>Tratamiento Anticoagulante</t>
  </si>
  <si>
    <t>Cuidados Paliativos</t>
  </si>
  <si>
    <t>Infertilidad</t>
  </si>
  <si>
    <t>Patología Cervical</t>
  </si>
  <si>
    <t>Patología de Mamas</t>
  </si>
  <si>
    <t>Adolescencia</t>
  </si>
  <si>
    <t>Naneas</t>
  </si>
  <si>
    <t>ITS</t>
  </si>
  <si>
    <t>VIH/SIDA</t>
  </si>
  <si>
    <t>Medicinal Ocupacional (Salud del Personal)</t>
  </si>
  <si>
    <t>Unidad Trauma Ocular (excluye PACTO)</t>
  </si>
  <si>
    <t>Programa Acompañamiento y Cuidado a Personas Víctimas de Trauma Ocular, lesiones graves y lesionados por perdigones (PACTO)</t>
  </si>
  <si>
    <t>SECCIÓN C: CONSULTAS Y CONTROLES POR OTROS PROFESIONALES EN ESPECIALIDAD (NIVEL SECUNDARIO)</t>
  </si>
  <si>
    <t>Total Controles (incluidos en grupo de edad)</t>
  </si>
  <si>
    <t>Atenciones pacientes oncológicos</t>
  </si>
  <si>
    <t>Atenciones pacientes PACTO</t>
  </si>
  <si>
    <t>18-19 años</t>
  </si>
  <si>
    <t>Menor 18 años</t>
  </si>
  <si>
    <t>18 a 29 años</t>
  </si>
  <si>
    <t>30 y más años</t>
  </si>
  <si>
    <t>ARO</t>
  </si>
  <si>
    <t>ARO por Ley IVE</t>
  </si>
  <si>
    <t xml:space="preserve">Ginecología y otros </t>
  </si>
  <si>
    <t xml:space="preserve">Infertilidad </t>
  </si>
  <si>
    <t>Psicólogo/a (Excluye SM)</t>
  </si>
  <si>
    <t>Tecnólogo/a Médico/a</t>
  </si>
  <si>
    <t>SECCIÓN D: CONSULTAS INFECCIÓN TRANSMISIÓN SEXUAL (ITS) Y CONTROLES DE SALUD SEXUAL EN EL NIVEL SECUNDARIO (Incluidas en Sección C)</t>
  </si>
  <si>
    <t>Consultas Infección Transmisión Sexual  (ITS) (excluir VIH/SIDA)</t>
  </si>
  <si>
    <t>Consultas VIH/SIDA</t>
  </si>
  <si>
    <t>Control VIH Con TAR</t>
  </si>
  <si>
    <t>Control VIH Sin TAR</t>
  </si>
  <si>
    <t>Controles de Salud a Personas que Ejercen Comercio Sexual</t>
  </si>
  <si>
    <t>SECCIÓN E: ACTIVIDADES DE PROFESIONAL DE ENLACE  EN EL NIVEL SECUNDARIO Y TERCIARIO SEGUN RIESGO (ECICEP)</t>
  </si>
  <si>
    <t>Profesional de Enlace</t>
  </si>
  <si>
    <t xml:space="preserve">Procedencia de la Derivación </t>
  </si>
  <si>
    <t>Egreso de Atención de Enlace</t>
  </si>
  <si>
    <t xml:space="preserve">Tipo de Atención </t>
  </si>
  <si>
    <t>CAE/CDT/CRS</t>
  </si>
  <si>
    <t xml:space="preserve">Hospitalización </t>
  </si>
  <si>
    <t xml:space="preserve"> Presencial </t>
  </si>
  <si>
    <t>Remota</t>
  </si>
  <si>
    <t>Ingreso a Atención de PDE</t>
  </si>
  <si>
    <t>Seguimiento de PDE</t>
  </si>
  <si>
    <t>Continuidad en la Gestión (PDE-APS)</t>
  </si>
  <si>
    <t>Actividades de Gestión de PDE</t>
  </si>
  <si>
    <t>Inasistente a Atención de PDE (NSP)</t>
  </si>
  <si>
    <t>SECCIÓN F:  ACTIVIDADES COMITÉ DE PROTECCIÓN DE INFANCIA Y ADOLESCENCIA (CPIA)</t>
  </si>
  <si>
    <t>TIPO ACTIVIDAD</t>
  </si>
  <si>
    <t xml:space="preserve">N° sesiones </t>
  </si>
  <si>
    <t xml:space="preserve">TRANS </t>
  </si>
  <si>
    <t>0 a 4 años</t>
  </si>
  <si>
    <t>5 a 9 años</t>
  </si>
  <si>
    <t>10 a 14 años</t>
  </si>
  <si>
    <t>15 a 17 años</t>
  </si>
  <si>
    <t>18 a 19 años</t>
  </si>
  <si>
    <t>20 a 24 años</t>
  </si>
  <si>
    <t xml:space="preserve">Femenino </t>
  </si>
  <si>
    <t>Análisis de casos</t>
  </si>
  <si>
    <t>Vulneraciones identificadas</t>
  </si>
  <si>
    <t xml:space="preserve">Sospecha de Maltrato Infantil </t>
  </si>
  <si>
    <t>Maltrato infantil</t>
  </si>
  <si>
    <t>Sospecha de Abuso Sexual</t>
  </si>
  <si>
    <t>Abuso sexual infantil</t>
  </si>
  <si>
    <t xml:space="preserve">Negligencia </t>
  </si>
  <si>
    <t>SECCIÓN G:  ACTIVIDADES COMITÉ ONCOLÓGICO</t>
  </si>
  <si>
    <t>18 años y más</t>
  </si>
  <si>
    <t>Casos con confirmación diagnóstica presentados a comité oncológico multidisciplinario antes del primer tratamiento.</t>
  </si>
  <si>
    <t>Casos totales presentados a Comité Oncológico multidisciplinario</t>
  </si>
  <si>
    <t>SECCIÓN H: TERAPIA HORMONAL GENERO AFIRMATIVA (THGA) EN MAYORES DE 18 AÑOS</t>
  </si>
  <si>
    <t>18 -19 años</t>
  </si>
  <si>
    <t>30 años o mas</t>
  </si>
  <si>
    <t xml:space="preserve">Hombre </t>
  </si>
  <si>
    <t>Trans Femenina</t>
  </si>
  <si>
    <t>No Binarie</t>
  </si>
  <si>
    <t xml:space="preserve">N° de personas en atención </t>
  </si>
  <si>
    <t>Primera consulta</t>
  </si>
  <si>
    <t>Control Integral</t>
  </si>
  <si>
    <t>REM-A08.  ATENCIÓN DE URGENCIA</t>
  </si>
  <si>
    <t>SECCIÓN A: ATENCIONES REALIZADAS EN UNIDADES DE URGENCIA DE LA RED</t>
  </si>
  <si>
    <t>SECCIÓN A.1: ATENCIONES REALIZADAS EN UNIDADES DE EMERGENCIA HOSPITALARIA (Establecimientos de alta y mediana complejidad)</t>
  </si>
  <si>
    <t>TIPO DE ATENCIÓN</t>
  </si>
  <si>
    <t xml:space="preserve">TOTAL        </t>
  </si>
  <si>
    <t>RANGO ETARIO  Y SEXO</t>
  </si>
  <si>
    <t>ORIGEN DE LA PROCEDENCIA (Sólo pacientes derivados de establecimientos de la Red)</t>
  </si>
  <si>
    <t>Establecimientos de otra Red</t>
  </si>
  <si>
    <t>Demanda de Urgencia</t>
  </si>
  <si>
    <t>SAPU/ SAR / SUR</t>
  </si>
  <si>
    <t>Hospital Baja Complejidad</t>
  </si>
  <si>
    <t>Hospital Mediana/Alta Complejidad</t>
  </si>
  <si>
    <t>Otros Establecimientos de la Red</t>
  </si>
  <si>
    <t>Atención Médica Niño y Adulto</t>
  </si>
  <si>
    <t>Atención Médica Gineco-Obstetra</t>
  </si>
  <si>
    <t>Atención por Matrona/ón</t>
  </si>
  <si>
    <t>Atención por Odontólogo/a</t>
  </si>
  <si>
    <t>SECCIÓN A.2: ATENCIONES Y ACTIVIDADES DE URGENCIA REALIZADAS EN SAPU Y SAR</t>
  </si>
  <si>
    <t>ATENCIÓN</t>
  </si>
  <si>
    <t>Atenciones por profesionales  a Honorarios</t>
  </si>
  <si>
    <t xml:space="preserve">SENAME/Servicio Nacional de Reinserción social Juvenil </t>
  </si>
  <si>
    <t xml:space="preserve"> Atención por Telemedicina</t>
  </si>
  <si>
    <t>Demanda atención por telemedicina</t>
  </si>
  <si>
    <t>TOTAL ATENCIONES TELEMEDICINA</t>
  </si>
  <si>
    <t xml:space="preserve">Menor de 18 años </t>
  </si>
  <si>
    <t>mayor  o igual a 18 años</t>
  </si>
  <si>
    <t xml:space="preserve">Mujeres </t>
  </si>
  <si>
    <t>Atención Medica</t>
  </si>
  <si>
    <t>Enfermería</t>
  </si>
  <si>
    <t>Matronería</t>
  </si>
  <si>
    <t>Kinesiología</t>
  </si>
  <si>
    <t>Psicología</t>
  </si>
  <si>
    <t>Trabajo Social</t>
  </si>
  <si>
    <t>Dupla Psicosocial</t>
  </si>
  <si>
    <t>SECCIÓN A.3: ATENCIONES DE URGENCIA REALIZADAS EN ESTABLECIMIENTOS DE BAJA COMPLEJIDAD</t>
  </si>
  <si>
    <t>0 - 4</t>
  </si>
  <si>
    <t>5 - 9</t>
  </si>
  <si>
    <t>10 - 14</t>
  </si>
  <si>
    <t>15 - 19</t>
  </si>
  <si>
    <t>20 - 24</t>
  </si>
  <si>
    <t>25 - 29</t>
  </si>
  <si>
    <t>30 - 34</t>
  </si>
  <si>
    <t>35 - 39</t>
  </si>
  <si>
    <t>40 - 44</t>
  </si>
  <si>
    <t>45 - 49</t>
  </si>
  <si>
    <t>50 - 54</t>
  </si>
  <si>
    <t>55 - 59</t>
  </si>
  <si>
    <t>60 - 64</t>
  </si>
  <si>
    <t>65 - 69</t>
  </si>
  <si>
    <t>70 - 74</t>
  </si>
  <si>
    <t>75 - 79</t>
  </si>
  <si>
    <t>80 y mas</t>
  </si>
  <si>
    <t>Enfermera /o</t>
  </si>
  <si>
    <t>Matrona /ón</t>
  </si>
  <si>
    <t>Kinesiólogo/a</t>
  </si>
  <si>
    <t>SECCIÓN A.4: ATENCIONES DE URGENCIA REALIZADAS EN ESTABLECIMIENTOS  ATENCIÓN PRIMARIA NO SAPU</t>
  </si>
  <si>
    <t>SECCIÓN A.5:  CONSULTAS EN SERVICIOS DE ATENCIÓN DE URGENCIA RURAL (SUR) Y POSTAS RURALES</t>
  </si>
  <si>
    <t>Atención Médica resuelta por  telemedicina SAPU O SAR</t>
  </si>
  <si>
    <t xml:space="preserve">SECCIÓN B: CATEGORIZACIÓN DE PACIENTES, PREVIA A LA ATENCIÓN MÉDICA U ODONTOLÓGICA (Establecimientos Alta, Mediana, Baja Complejidad, SAPU, SAR, SUR) </t>
  </si>
  <si>
    <t>CATEGORÍAS</t>
  </si>
  <si>
    <t>Herramientas de Categorización</t>
  </si>
  <si>
    <t>Discrecional</t>
  </si>
  <si>
    <t>Estructurado (ESI)</t>
  </si>
  <si>
    <t>C1</t>
  </si>
  <si>
    <t>C2</t>
  </si>
  <si>
    <t>C3</t>
  </si>
  <si>
    <t>C4</t>
  </si>
  <si>
    <t>C5</t>
  </si>
  <si>
    <t>Sin Categorización</t>
  </si>
  <si>
    <t xml:space="preserve">SECCIÓN B.1: CATEGORIZACIÓN DE PACIENTES DE URGENCIA GINECO OBSTÉTRICA PREVIO A LA ATENCIÓN CLÍNICA POR MATRÓN (A) Y/O MÉDICO GINECO-OBSTETRA (Establecimientos alta, mediana y baja complejidad) </t>
  </si>
  <si>
    <t>SECCIÓN C: ATENCIONES REALIZADAS POR MÉDICOS Y ODONTÓLOGOS ESPECIALISTAS EN LAS UNIDADES DE URGENCIA HOSPITALARIA</t>
  </si>
  <si>
    <t>ESPECIALIDADES</t>
  </si>
  <si>
    <t>De turno</t>
  </si>
  <si>
    <t>Consultor de llamada</t>
  </si>
  <si>
    <t>Neurología Adultos</t>
  </si>
  <si>
    <t>Psiquiatría Adultos</t>
  </si>
  <si>
    <t>Psiquiatría Pediátrica y Adolescentes</t>
  </si>
  <si>
    <t>Urgenciólogo</t>
  </si>
  <si>
    <t>Cirugía Vascular Periférica</t>
  </si>
  <si>
    <t>SECCIÓN D: PACIENTES CON INDICACIÓN DE HOSPITALIZACIÓN EN ESPERA DE CAMAS EN UEH (establecimientos de alta, mediana y baja complejidad)</t>
  </si>
  <si>
    <t>TIPO DE PACIENTES</t>
  </si>
  <si>
    <t>RANGO ETARIO (en años)</t>
  </si>
  <si>
    <t>Hospitalización Domiciliaria</t>
  </si>
  <si>
    <t>Total de pacientes con indicación de hospitalización</t>
  </si>
  <si>
    <t xml:space="preserve">Pacientes que ingresan a cama hospitalaria según tiempo de demora al ingreso                                </t>
  </si>
  <si>
    <t>Menos de 12 Horas</t>
  </si>
  <si>
    <t>12 - 24 Horas</t>
  </si>
  <si>
    <t>Mayor a 24 Horas</t>
  </si>
  <si>
    <t xml:space="preserve">Pacientes que rechazan hospitalización </t>
  </si>
  <si>
    <t>Pacientes derivados a otro establecimiento</t>
  </si>
  <si>
    <t>Pacientes que permanecen en UEH</t>
  </si>
  <si>
    <t>Pacientes que ingresan directamente a proceso quirúrgico</t>
  </si>
  <si>
    <t>SECCIÓN E:PACIENTES CON INDICACIÓN DE OBSERVACIÓN EN SAR Y SAPU</t>
  </si>
  <si>
    <t>PACIENTES CON INDICACIÓN DE OBSERVACIÓN</t>
  </si>
  <si>
    <t xml:space="preserve">Pacientes que permanecen en observación         </t>
  </si>
  <si>
    <t>Menos de 2 Horas</t>
  </si>
  <si>
    <t>2 a 6 Horas</t>
  </si>
  <si>
    <t>Mayor a 6 Horas</t>
  </si>
  <si>
    <t>SECCIÓN F: PACIENTES FALLECIDOS EN UNIDADES DE EMERGENCIA (Establecimientos Alta, Mediana o Baja Complejidad, SAR, SAPU y SUR)</t>
  </si>
  <si>
    <t>Pacientes Fallecidos en Espera de Atención Médica</t>
  </si>
  <si>
    <t>Pacientes Fallecidos en Proceso de Atención</t>
  </si>
  <si>
    <t xml:space="preserve">Pacientes Fallecidos en Espera de Cama Hospitalaria </t>
  </si>
  <si>
    <t>SECCIÓN G: ATENCIONES MÉDICAS ASOCIADAS A VIOLENCIA: CARACTERIZACIÓN DE LA VÍCTIMA</t>
  </si>
  <si>
    <t>10 - 17 años</t>
  </si>
  <si>
    <t>25 - 34 años</t>
  </si>
  <si>
    <t>35 - 44 años</t>
  </si>
  <si>
    <t>45 - 54 años</t>
  </si>
  <si>
    <t>55 - 64 años</t>
  </si>
  <si>
    <t>65 - 74 años</t>
  </si>
  <si>
    <t>75 años y más</t>
  </si>
  <si>
    <t>Lesiones de la víctima</t>
  </si>
  <si>
    <t>Sin lesiones constatables</t>
  </si>
  <si>
    <t>Diversidad de género</t>
  </si>
  <si>
    <t>Traumatológicas</t>
  </si>
  <si>
    <t>Odontológicas</t>
  </si>
  <si>
    <t>Contusionales</t>
  </si>
  <si>
    <t>Por Arma</t>
  </si>
  <si>
    <t>Psicológicas</t>
  </si>
  <si>
    <t>Violencia Intrafamiliar</t>
  </si>
  <si>
    <t>Otras Violencias</t>
  </si>
  <si>
    <t>Violencia de género (Excluye intrafamiliar)</t>
  </si>
  <si>
    <t>SECCIÓN G.1: ATENCIONES MÉDICAS ASOCIADAS A VIOLENCIA: CARACTERIZACIÓN DEL AGRESOR Y SU RELACIÓN CON LA VÍCTIMA REGISTRADA EN SECCIÓN G</t>
  </si>
  <si>
    <t>AGRESOR /A</t>
  </si>
  <si>
    <t>Pareja/ Ex pareja</t>
  </si>
  <si>
    <t>Familiar</t>
  </si>
  <si>
    <t>Conocido/a</t>
  </si>
  <si>
    <t>Desconocido/a</t>
  </si>
  <si>
    <t xml:space="preserve">SECCIÓN H: ATENCIONES POR ANTICONCEPCIÓN DE EMERGENCIA </t>
  </si>
  <si>
    <t>Atención por Anticoncepción de Emergencia</t>
  </si>
  <si>
    <t>Con entrega de Anticonceptivo</t>
  </si>
  <si>
    <t>Sin entrega de Anticonceptivo</t>
  </si>
  <si>
    <t>SECCIÓN I: MOTIVOS DE ATENCIÓN POR EMERGENCIA OBSTÉTRICA EN EL SERVICIO DE URGENCIA (Establecimientos alta y mediana Complejidad).</t>
  </si>
  <si>
    <t>Cantidad</t>
  </si>
  <si>
    <t>Preeclampsia Severa</t>
  </si>
  <si>
    <t>Eclampsia</t>
  </si>
  <si>
    <t>HELLP</t>
  </si>
  <si>
    <t>Parto Prematuro</t>
  </si>
  <si>
    <t>Hemorragia I Trimestre</t>
  </si>
  <si>
    <t>Hemorragia II Trimestre</t>
  </si>
  <si>
    <t>Hemorragia III Trimestre</t>
  </si>
  <si>
    <t>Rotura Prematura de Membrana</t>
  </si>
  <si>
    <t>Otras Patologías</t>
  </si>
  <si>
    <t>Trabajo de Parto sin Patología</t>
  </si>
  <si>
    <t>SECCIÓN J: LLAMADOS DE URGENCIA A CENTRO REGULADOR, CENTRO DE DESPACHO O CENTRO COORDINADOR</t>
  </si>
  <si>
    <t>TIPO DE ACCIÓN</t>
  </si>
  <si>
    <t>Total de Llamadas</t>
  </si>
  <si>
    <t>Llamadas Validas</t>
  </si>
  <si>
    <t xml:space="preserve"> Centro Regulador, Centro de Despacho ó Centro Coordinador</t>
  </si>
  <si>
    <t>Nº  Llamados de Urgencia</t>
  </si>
  <si>
    <t>SECCIÓN K: INTERVENCIONES PRE HOSPITALARIAS (SAMU)</t>
  </si>
  <si>
    <t>N° INTERVENCIONES</t>
  </si>
  <si>
    <t>Tiempo de Llegada Intervenciones Criticas</t>
  </si>
  <si>
    <t>Tiempo de Llegada Intervenciones no Criticas</t>
  </si>
  <si>
    <t>Atributos de Intervención Criticas</t>
  </si>
  <si>
    <t>Críticas</t>
  </si>
  <si>
    <t>No Críticas</t>
  </si>
  <si>
    <t>0-20 Min</t>
  </si>
  <si>
    <t>Más de 20 minutos y hasta 40 minutos</t>
  </si>
  <si>
    <t>Más de 40 Min</t>
  </si>
  <si>
    <t>Más de 20 Min y hasta 40 Min</t>
  </si>
  <si>
    <t>0-8 Min</t>
  </si>
  <si>
    <t>9-20 Min</t>
  </si>
  <si>
    <t>Mas de 20 minutos y hasta 40 minutos</t>
  </si>
  <si>
    <t>Intervenciones Clínicas Pre Hospitalarias</t>
  </si>
  <si>
    <t>Intervención de Móvil Básico</t>
  </si>
  <si>
    <t>Intervención de Móvil Avanzado</t>
  </si>
  <si>
    <t>SECCIÓN L: TRASLADOS PRIMARIOS A UNIDADES DE URGENCIA (Desde el lugar del evento a unidad de Emergencia)</t>
  </si>
  <si>
    <t>Por compra de servicios</t>
  </si>
  <si>
    <t>SAMU</t>
  </si>
  <si>
    <t>Básico</t>
  </si>
  <si>
    <t>Enrutado</t>
  </si>
  <si>
    <t>No SAMU</t>
  </si>
  <si>
    <t>Marítimo</t>
  </si>
  <si>
    <t>Aéreo</t>
  </si>
  <si>
    <t>SECCIÓN M: TRASLADO SECUNDARIO (Desde un establecimiento a otro)</t>
  </si>
  <si>
    <t>TOTAL DE TRASLADOS</t>
  </si>
  <si>
    <t>Ambos</t>
  </si>
  <si>
    <t>NO SAMU</t>
  </si>
  <si>
    <t>Crítico</t>
  </si>
  <si>
    <t>No Crítico</t>
  </si>
  <si>
    <t>SECCIÓN N: CLASIFICACIÓN DE LAS INTERVENCIONES POR GRANDES GRUPOS DE DIAGNÓSTICOS (SAMU)</t>
  </si>
  <si>
    <t>CAUSAS DE LA INTERVENCIÓN</t>
  </si>
  <si>
    <t>TOTALES</t>
  </si>
  <si>
    <t>Síndrome Coronario Agudo</t>
  </si>
  <si>
    <t>Paro Cardiorrespiratorio</t>
  </si>
  <si>
    <t>Politraumatismo</t>
  </si>
  <si>
    <t xml:space="preserve">SECCIÓN O: ATENCIONES DE URGENCIA POR VIOLENCIA SEXUAL  </t>
  </si>
  <si>
    <t>18 - 24 años</t>
  </si>
  <si>
    <t>65 años y más años</t>
  </si>
  <si>
    <t>Con entrega de anticoncepción de emergencia</t>
  </si>
  <si>
    <t>Sin entrega de anticoncepción de emergencia</t>
  </si>
  <si>
    <t xml:space="preserve">Con profilaxis VIH </t>
  </si>
  <si>
    <t>Con profilaxis ITS</t>
  </si>
  <si>
    <t>Con profilaxis Hepatitis B</t>
  </si>
  <si>
    <t>VICTIMARIO/A</t>
  </si>
  <si>
    <t>72 horas o menos</t>
  </si>
  <si>
    <t>Después de 72 horas</t>
  </si>
  <si>
    <t xml:space="preserve">SECCIÓN P: ATENCIONES MÉDICAS POR VIOLENCIA SEXUAL CON REALIZACIÓN O INDICACIÓN DE PERITAJE </t>
  </si>
  <si>
    <t>De Turno</t>
  </si>
  <si>
    <t>De llamada</t>
  </si>
  <si>
    <t>Atención por médico perito</t>
  </si>
  <si>
    <t>Atención otros médicos</t>
  </si>
  <si>
    <t>SECCIÓN Q: ATENCIONES DE URGENCIA ASOCIADAS A LESIONES AUTOINFLIGIDAS</t>
  </si>
  <si>
    <t xml:space="preserve">
Trans
</t>
  </si>
  <si>
    <t>Femenina</t>
  </si>
  <si>
    <t>Nº de atenciones</t>
  </si>
  <si>
    <t xml:space="preserve">SECCIÓN R: ATENCIONES EN SERVICIO DE URGENCIA DE LA RED, ASOCIADOS A MORDEDURA </t>
  </si>
  <si>
    <t>IDENTIFICACIÓN DEL ANIMAL MORDEDOR</t>
  </si>
  <si>
    <t>GRUPOS DE EDAD (en años)</t>
  </si>
  <si>
    <t>Tipo de Mordedura</t>
  </si>
  <si>
    <t>Indicación de Vacuna</t>
  </si>
  <si>
    <t>Mayor 15 años</t>
  </si>
  <si>
    <t>Única</t>
  </si>
  <si>
    <t>Múltiple</t>
  </si>
  <si>
    <t>Perro</t>
  </si>
  <si>
    <t>Gato</t>
  </si>
  <si>
    <t>Animal Silvestre</t>
  </si>
  <si>
    <t>Exposición a Murciélago</t>
  </si>
  <si>
    <t>Roedor o Animal de Abasto</t>
  </si>
  <si>
    <t xml:space="preserve"> REM-A09. ATENCIÓN DE SALUD BUCAL EN LA RED ASISTENCIAL </t>
  </si>
  <si>
    <t>SECCIÓN A: CONSULTAS Y CONTROLES DE ODONTOLOGÍA GENERAL EN  NIVEL PRIMARIO Y SECUNDARIO DE SALUD</t>
  </si>
  <si>
    <t xml:space="preserve">ACTIVIDAD </t>
  </si>
  <si>
    <t>12 años (incluido en el grupo de 10-14 años)</t>
  </si>
  <si>
    <t xml:space="preserve">Gestante </t>
  </si>
  <si>
    <t>60 años (incluido en grupos de 60-64 años)</t>
  </si>
  <si>
    <t>Usuarios con Discapacidad</t>
  </si>
  <si>
    <t>Persona con ingreso integral y condición crónica</t>
  </si>
  <si>
    <t>3 años</t>
  </si>
  <si>
    <t>8-9 años</t>
  </si>
  <si>
    <t xml:space="preserve">20-29 años </t>
  </si>
  <si>
    <t>30-39 años</t>
  </si>
  <si>
    <t>40-49 años</t>
  </si>
  <si>
    <t>50-59 años</t>
  </si>
  <si>
    <t>60-64 años</t>
  </si>
  <si>
    <t>65-74 años</t>
  </si>
  <si>
    <t xml:space="preserve">Consulta de Morbilidad </t>
  </si>
  <si>
    <t xml:space="preserve">Control Odontológico </t>
  </si>
  <si>
    <t>Consulta de urgencia (GES)</t>
  </si>
  <si>
    <t>Inasistencia a consulta</t>
  </si>
  <si>
    <t xml:space="preserve">Consulta nueva de Operatoria  de alta complejidad </t>
  </si>
  <si>
    <t xml:space="preserve">Control Operatoria de alta complejidad </t>
  </si>
  <si>
    <t>SECCIÓN B: ACTIVIDADES DE ODONTOLOGÍA GENERAL  REALIZADOS EN NIVEL PRIMARIO Y SECUNDARIO DE SALUD</t>
  </si>
  <si>
    <t>TIPO DE ACTIVIDAD</t>
  </si>
  <si>
    <t xml:space="preserve">Gestantes </t>
  </si>
  <si>
    <t>Compra de Servicio</t>
  </si>
  <si>
    <t>Educación individual con instrucción de técnica de cepillado</t>
  </si>
  <si>
    <t>Consejería breve en tabaco</t>
  </si>
  <si>
    <t xml:space="preserve">Examen de salud oral </t>
  </si>
  <si>
    <t xml:space="preserve">Aplicación de sellantes </t>
  </si>
  <si>
    <t xml:space="preserve">Fluoración tópica barniz </t>
  </si>
  <si>
    <t>Actividad interceptiva de anomalías dento maxilares (OPI)</t>
  </si>
  <si>
    <t xml:space="preserve">Destartraje supragingival y pulido coronario </t>
  </si>
  <si>
    <t xml:space="preserve">Exodoncia </t>
  </si>
  <si>
    <t xml:space="preserve">Procedimiento pulpar </t>
  </si>
  <si>
    <t xml:space="preserve">Acceso cavitario </t>
  </si>
  <si>
    <t xml:space="preserve">Restauración estética </t>
  </si>
  <si>
    <t xml:space="preserve">Restauración de amalgamas </t>
  </si>
  <si>
    <t xml:space="preserve">Obturación de vidrio ionómero  </t>
  </si>
  <si>
    <t xml:space="preserve">Destartraje subgingival y pulido radiocular por sextante </t>
  </si>
  <si>
    <t>Tratamiento restaurador atraumático (ART)</t>
  </si>
  <si>
    <t>Procedimientos Médico-Quirúrgicos</t>
  </si>
  <si>
    <t>Radiografía intraoral (retroalveolares, bite wing y oclusales)</t>
  </si>
  <si>
    <t xml:space="preserve">Aplicación de fluoruro diamino de plata </t>
  </si>
  <si>
    <t>TOTAL ACTIVIDADES</t>
  </si>
  <si>
    <t>SECCIÓN C : INGRESOS Y EGRESOS DE ODONTOLOGÍA GENERAL EN NIVEL PRIMARIO Y SECUNDARIO DE SALUD</t>
  </si>
  <si>
    <t xml:space="preserve">Ingreso a tratamiento odontología general </t>
  </si>
  <si>
    <t>Ingreso control con enfoque riesgo odontológico (cero)</t>
  </si>
  <si>
    <t>Egreso control con enfoque riesgo odontológico (cero)</t>
  </si>
  <si>
    <t>Altas odontológicas integrales (excluye sección G)</t>
  </si>
  <si>
    <t xml:space="preserve">Ingreso a tratamiento Operatoria  de alta complejidad </t>
  </si>
  <si>
    <t xml:space="preserve">Alta de tratamiento Operatoria  de alta Complejidad </t>
  </si>
  <si>
    <t xml:space="preserve">Índice CEOD o COPD (Índice CEOD se usa en menores de 7 años, para resto se utiliza COPD) </t>
  </si>
  <si>
    <t>1 a 2</t>
  </si>
  <si>
    <t>3 a 4</t>
  </si>
  <si>
    <t>5 a 6</t>
  </si>
  <si>
    <t>7 a 8</t>
  </si>
  <si>
    <t>9 o más</t>
  </si>
  <si>
    <t xml:space="preserve"> N° de dientes (total de dientes en boca. En dentición mixta se suman los dientes primarios y permanentes)</t>
  </si>
  <si>
    <t>1 a 9</t>
  </si>
  <si>
    <t>10 a 19</t>
  </si>
  <si>
    <t>20 a 27</t>
  </si>
  <si>
    <t>28 y más</t>
  </si>
  <si>
    <t>Código examen periodontal básico (EPB)</t>
  </si>
  <si>
    <t>1,2,3</t>
  </si>
  <si>
    <t>4 y *</t>
  </si>
  <si>
    <t xml:space="preserve">SECCIÓN D : INTERCONSULTAS Y PERTINENCIA SEGÚN ORIGEN EN ESTABLECIMIENTOS DE LA RED </t>
  </si>
  <si>
    <t>ESPECIALIDAD</t>
  </si>
  <si>
    <t xml:space="preserve">INTERCONSULTAS GENERADAS SEGÚN ORIGEN </t>
  </si>
  <si>
    <t xml:space="preserve">PERTINENCIA ORIGEN </t>
  </si>
  <si>
    <t>Priorización destino</t>
  </si>
  <si>
    <t xml:space="preserve">Especialidades </t>
  </si>
  <si>
    <t>Hospitalizado</t>
  </si>
  <si>
    <t xml:space="preserve">Endodoncia </t>
  </si>
  <si>
    <t xml:space="preserve">Rehabilitación Oral </t>
  </si>
  <si>
    <t xml:space="preserve">Prótesis removibles </t>
  </si>
  <si>
    <t xml:space="preserve">Prótesis fija </t>
  </si>
  <si>
    <t xml:space="preserve">Cirugía y Traumatología Maxilofacial </t>
  </si>
  <si>
    <t xml:space="preserve">Odontopediatría </t>
  </si>
  <si>
    <t xml:space="preserve">Ortodoncia y Ortopedia Dentomaxilofacial </t>
  </si>
  <si>
    <t xml:space="preserve">Periodoncia </t>
  </si>
  <si>
    <t xml:space="preserve">Patología oral </t>
  </si>
  <si>
    <t xml:space="preserve">Implantología buco Maxilofacial </t>
  </si>
  <si>
    <t xml:space="preserve">Trastornos temporomandibulares y dolor orofacial </t>
  </si>
  <si>
    <t xml:space="preserve">Somatoprótesis </t>
  </si>
  <si>
    <t>SECCIÓN E: CONSULTAS ODONTOLÓGICAS  EN HORARIO CONTINUADO (Incluidas en  Secciones A y B. Excluye extensiones horarias de Sección G )</t>
  </si>
  <si>
    <t>JORNADA</t>
  </si>
  <si>
    <t>Consultas</t>
  </si>
  <si>
    <t xml:space="preserve"> Horario continuado </t>
  </si>
  <si>
    <t>Vespertina (lunes-viernes)</t>
  </si>
  <si>
    <t>Sábado, domingo o festivo</t>
  </si>
  <si>
    <t>SECCIÓN F:  ACTIVIDADES DE ATENCIÓN EN ESPECIALIDADES ODONTOLÓGICAS</t>
  </si>
  <si>
    <t>ACTIVIDADES DE ESPECIALIDADES</t>
  </si>
  <si>
    <t>12 años (incluidos en  grupo de 10-14 años)</t>
  </si>
  <si>
    <t xml:space="preserve"> Atención bajo sedación inhalatoria (con óxido nitroso)</t>
  </si>
  <si>
    <t>60 años incluidos en grupos de  60-64 años)</t>
  </si>
  <si>
    <t>Compra de Servicios</t>
  </si>
  <si>
    <t xml:space="preserve">Usuarios con Discapacidad </t>
  </si>
  <si>
    <t>Flujo digital</t>
  </si>
  <si>
    <t>Menos de 1 año - 1 año</t>
  </si>
  <si>
    <t xml:space="preserve">Respuesta a interconsulta personas hospitalizadas </t>
  </si>
  <si>
    <t xml:space="preserve">Cirugía y Traumatología Maxilofacial  </t>
  </si>
  <si>
    <t>Periodoncia</t>
  </si>
  <si>
    <t>Rehabilitación oral</t>
  </si>
  <si>
    <t xml:space="preserve">Otras especialidades  odontológicas </t>
  </si>
  <si>
    <t xml:space="preserve">Visita a sala </t>
  </si>
  <si>
    <t>Otras especialidades odontológicas</t>
  </si>
  <si>
    <t xml:space="preserve">Tratamiento traumatismo dentoalveolar </t>
  </si>
  <si>
    <t>Obturación indirecta (inlays u onlays)</t>
  </si>
  <si>
    <t xml:space="preserve">Instalación aparato removible ortodóncico </t>
  </si>
  <si>
    <t xml:space="preserve">Instalación aparato fijo ortodóncico </t>
  </si>
  <si>
    <t xml:space="preserve">Instalación aparato de contención ortodóncico </t>
  </si>
  <si>
    <t xml:space="preserve">Retiro aparatología de ortodoncia </t>
  </si>
  <si>
    <t xml:space="preserve">Ortopedia prequirúrgica </t>
  </si>
  <si>
    <t xml:space="preserve">Tratamiento endodoncia unirradicular </t>
  </si>
  <si>
    <t xml:space="preserve">Tratamiento endodoncia birradicular </t>
  </si>
  <si>
    <t xml:space="preserve">Tratamiento endodoncia multirradicular </t>
  </si>
  <si>
    <t xml:space="preserve">Inducción al cierre apical </t>
  </si>
  <si>
    <t xml:space="preserve">Retratamiento de endodoncia </t>
  </si>
  <si>
    <t xml:space="preserve">Adaptación a la atención odontológica  </t>
  </si>
  <si>
    <t>Procedimiento restaurador (odontopediatría)</t>
  </si>
  <si>
    <t>Procedimiento pulpar (odontopediatría)</t>
  </si>
  <si>
    <t xml:space="preserve">Destartraje subgingival o pulido radicular </t>
  </si>
  <si>
    <t xml:space="preserve">Destartraje supragingival o pulido coronario </t>
  </si>
  <si>
    <t xml:space="preserve">Ferulización </t>
  </si>
  <si>
    <t xml:space="preserve">Rehabilitación mediante prótesis removible acrílica parcial o total </t>
  </si>
  <si>
    <t xml:space="preserve">Rehabilitación mediante prótesis removible metálica parcial </t>
  </si>
  <si>
    <t xml:space="preserve">Rehabilitación mediante prótesis fija unitaria o plural </t>
  </si>
  <si>
    <t xml:space="preserve">Rehabilitación mediante prótesis fija implantoasistida </t>
  </si>
  <si>
    <t xml:space="preserve">Rehabilitación mediante prótesis muco-implantoasistida </t>
  </si>
  <si>
    <t xml:space="preserve">Reparación de prótesis </t>
  </si>
  <si>
    <t xml:space="preserve">Implantología etapa protésica </t>
  </si>
  <si>
    <t xml:space="preserve">Estudio hispatológico </t>
  </si>
  <si>
    <t xml:space="preserve">Sialometría </t>
  </si>
  <si>
    <t xml:space="preserve">Terapia farmacológica de lesiones del territorio oral y maxilofacial </t>
  </si>
  <si>
    <t xml:space="preserve">Terapia no farmacológica de lesiones del territorio oral y maxilofacial </t>
  </si>
  <si>
    <t xml:space="preserve">Estudio clínico lesiones del territorio oral maxilofacial </t>
  </si>
  <si>
    <t>Terapia física en trastornos temporomandibulares (TTM) y dolor orofacial (DOF)</t>
  </si>
  <si>
    <t>Infiltración en articulación temporo mandibular (ATM)</t>
  </si>
  <si>
    <t>Bloqueo anestésico y/o medicamentoso en TTM y DOF</t>
  </si>
  <si>
    <t>Artrocentesis en ATM</t>
  </si>
  <si>
    <t xml:space="preserve">Terapia bioconductual </t>
  </si>
  <si>
    <t xml:space="preserve">Desgaste selectivo </t>
  </si>
  <si>
    <t xml:space="preserve">Instalación en dispositivo ortopédico </t>
  </si>
  <si>
    <t>Terapia farmacológica TTM</t>
  </si>
  <si>
    <t xml:space="preserve">Actividades somatoprótesis </t>
  </si>
  <si>
    <t xml:space="preserve">Cirugía Ortognática </t>
  </si>
  <si>
    <t>SECCIÓN F.1 : ACTIVIDADES  QUIRÚRGICAS POR ESPECIALIDAD  ODONTOLÓGICA</t>
  </si>
  <si>
    <t xml:space="preserve"> Total Cirugía Menor</t>
  </si>
  <si>
    <t>Cirugía Menor en Sala de procedimiento invasivo</t>
  </si>
  <si>
    <t>Cirugía Menor en Quirófano de menor complejidad</t>
  </si>
  <si>
    <t>Cirugía menor Quirófano de mayor complejidad</t>
  </si>
  <si>
    <t>Implantes dentales</t>
  </si>
  <si>
    <t xml:space="preserve"> Cirugía Tercer molar </t>
  </si>
  <si>
    <t>Discapacidad</t>
  </si>
  <si>
    <t>Total de cirugias mayores en Quirófano de mayor  complejidad</t>
  </si>
  <si>
    <t>Cirugía Mayor Ambulatoria Electiva/Urgencia en quirófano de mayor complejidad</t>
  </si>
  <si>
    <t xml:space="preserve"> Cirugía Mayor No Ambulatoria Electiva/Urgencia en quirófano de mayor complejidad</t>
  </si>
  <si>
    <t>Ortodoncia y Ortopedia Dentomaxilofacial</t>
  </si>
  <si>
    <t>SECCIÓN F.2:  ACTIVIDADES DE IMAGENOLOGÍA ORAL Y MAXILOFACIAL</t>
  </si>
  <si>
    <t>ACTIVIDADES DE APOYO</t>
  </si>
  <si>
    <t>GRUPO ETARIO Y SEXO</t>
  </si>
  <si>
    <t xml:space="preserve">Total </t>
  </si>
  <si>
    <t>Radiografía intraoral periapical (por placa)</t>
  </si>
  <si>
    <t xml:space="preserve">Radiografía intraoral mediante técnicas Bite Wing  bilateral </t>
  </si>
  <si>
    <t xml:space="preserve">Radiografía oclusal </t>
  </si>
  <si>
    <t xml:space="preserve">Telerradiografía </t>
  </si>
  <si>
    <t xml:space="preserve">Radiografía panorámica </t>
  </si>
  <si>
    <t>Tomografía computacional maxilo facial Cone Beam craneofacial</t>
  </si>
  <si>
    <t>Tomografía computacional Cone Beam unimaxilar</t>
  </si>
  <si>
    <t>Tomografía computacional Cone Beam zona dentaria</t>
  </si>
  <si>
    <t>Sialografías (por procedimiento)</t>
  </si>
  <si>
    <t>Procedimiento imagenológico complejo (por procedimiento)</t>
  </si>
  <si>
    <t>Procedimiento en glándula salival</t>
  </si>
  <si>
    <t>SECCIÓN G: ESTRATEGIAS DE SALUD BUCAL Y PROGRAMA GES (Actividades incluidas en Sección B)</t>
  </si>
  <si>
    <t>PROGRAMA - ACTIVIDAD</t>
  </si>
  <si>
    <t>Egreso por Abandono</t>
  </si>
  <si>
    <t>N°Auditorías clínicas realizadas</t>
  </si>
  <si>
    <t xml:space="preserve"> Estrategia más Sonrisas para Chile</t>
  </si>
  <si>
    <t xml:space="preserve">Altas integrales </t>
  </si>
  <si>
    <t>JUNJI-INTEGRA-MINEDUC</t>
  </si>
  <si>
    <t>SERNAMEG</t>
  </si>
  <si>
    <t>PRODEMU</t>
  </si>
  <si>
    <t>Subsistema Seguridades y Oportunidades</t>
  </si>
  <si>
    <t>MINVU</t>
  </si>
  <si>
    <t xml:space="preserve">Demanda local </t>
  </si>
  <si>
    <t>Total Egresos/Altas integrales (incluye Prótesis Removible)</t>
  </si>
  <si>
    <t>Total Egresos/Altas integrales (no Incluye Prótesis Removible)</t>
  </si>
  <si>
    <t xml:space="preserve">Nº de auditorías clínicas realizadas </t>
  </si>
  <si>
    <t>Estrategia Atención odontológica integral a hombres</t>
  </si>
  <si>
    <t>Altas integrales/actividades</t>
  </si>
  <si>
    <t>Total Egreso/Altas integrales (no Incluye Prótesis Removible)</t>
  </si>
  <si>
    <t xml:space="preserve">Estrategia atención odontológica en domicilio </t>
  </si>
  <si>
    <t xml:space="preserve">Altas odontológicas </t>
  </si>
  <si>
    <t xml:space="preserve">TOTAL ALTAS </t>
  </si>
  <si>
    <t xml:space="preserve">Altas personas con dependencia severa </t>
  </si>
  <si>
    <t xml:space="preserve">Altas cuidadores personas con dependencia </t>
  </si>
  <si>
    <t>Estrategia resolución de especialidad en APS</t>
  </si>
  <si>
    <t xml:space="preserve">Tratamiento endodoncia </t>
  </si>
  <si>
    <t xml:space="preserve">N° Pacientes </t>
  </si>
  <si>
    <t xml:space="preserve">N° Dientes tratados por odontólogo general </t>
  </si>
  <si>
    <t xml:space="preserve">N° Dientes tratados por endodoncista </t>
  </si>
  <si>
    <t xml:space="preserve">Tratamiento de periodoncia </t>
  </si>
  <si>
    <t xml:space="preserve">N° de sextantes por periodoncista </t>
  </si>
  <si>
    <t xml:space="preserve">N° Prótesis realizadas por odontólogo general </t>
  </si>
  <si>
    <t xml:space="preserve">N° Prótesis realizadas por rehabilitadores orales </t>
  </si>
  <si>
    <t xml:space="preserve">Programa GES odontológico adulto de 60 años </t>
  </si>
  <si>
    <t>ALTAS INTEGRALES</t>
  </si>
  <si>
    <t>N° Dientes</t>
  </si>
  <si>
    <t xml:space="preserve">N° Prótesis </t>
  </si>
  <si>
    <t xml:space="preserve">Estrategia estudiantes de enseñanza media </t>
  </si>
  <si>
    <t xml:space="preserve">Altas integrales estudiantes de enseñanza media </t>
  </si>
  <si>
    <t xml:space="preserve">Alta integral en centro de salud </t>
  </si>
  <si>
    <t xml:space="preserve">Alta integral en unidad dental móvil o portátil </t>
  </si>
  <si>
    <t xml:space="preserve">Alta integral en establecimiento educacional </t>
  </si>
  <si>
    <t xml:space="preserve">Estrategia morbilidad adulto </t>
  </si>
  <si>
    <t xml:space="preserve">Morbilidad adulto </t>
  </si>
  <si>
    <t xml:space="preserve">N° total de actividades recuperativa realizada en &gt;20 años, en extensión horaria </t>
  </si>
  <si>
    <t xml:space="preserve">N° de consultas de morbilidad realizadas en &gt;20 años, en extensión horaria </t>
  </si>
  <si>
    <t>Estrategia  ECICEP - Atención Periodontal personas con  Diabetes Mellitus</t>
  </si>
  <si>
    <t>Tratamiento periodoncia Odontólogo APS</t>
  </si>
  <si>
    <t xml:space="preserve">N° de sextantes  </t>
  </si>
  <si>
    <t>Tratamiento de periodoncia por periodoncista</t>
  </si>
  <si>
    <t>N° de controles por periodoncista</t>
  </si>
  <si>
    <t>Auditorías Clínico-Administrativas</t>
  </si>
  <si>
    <t>SECCIÓN G.1: PROGRAMA SEMBRANDO SONRISAS</t>
  </si>
  <si>
    <t>JUNJI</t>
  </si>
  <si>
    <t>INTEGRA</t>
  </si>
  <si>
    <t>MINEDUC</t>
  </si>
  <si>
    <t xml:space="preserve">Pueblos originarios </t>
  </si>
  <si>
    <t xml:space="preserve">Migrantes </t>
  </si>
  <si>
    <t xml:space="preserve">Examen de salud </t>
  </si>
  <si>
    <t xml:space="preserve">Nº de niños con índice ceod=0 al ingreso </t>
  </si>
  <si>
    <t xml:space="preserve">Set de higiene oral entregados </t>
  </si>
  <si>
    <t xml:space="preserve">Nº de aplicaciones flúor barniz </t>
  </si>
  <si>
    <t xml:space="preserve">Educación grupal en establecimiento de educación </t>
  </si>
  <si>
    <t>N° de establecimientos de educación con programa implementado</t>
  </si>
  <si>
    <t>SECCIÓN H: SEDACIÓN Y ANESTESIA</t>
  </si>
  <si>
    <t>Procedimiento</t>
  </si>
  <si>
    <t>Cirugía menor</t>
  </si>
  <si>
    <t>Cirugía mayor no ambulatoria urgencia/electiva</t>
  </si>
  <si>
    <t>Cirugía mayor ambulatoria urgencia/electiva</t>
  </si>
  <si>
    <t>Atención bajo sedación inhalatoria (con óxido nitroso)</t>
  </si>
  <si>
    <t xml:space="preserve">Atención bajo anestesia general </t>
  </si>
  <si>
    <t xml:space="preserve">Atención bajo sedación oral </t>
  </si>
  <si>
    <t>Atención bajo anestesia local</t>
  </si>
  <si>
    <t>Atención bajo sedación profunda</t>
  </si>
  <si>
    <t>SECCIÓN I:  CONSULTAS, INGRESOS Y EGRESOS EN ESPECIALIDADES ODONTOLÓGICAS REALIZADOS EN NIVEL PRIMARIO Y SECUNDARIO DE SALUD</t>
  </si>
  <si>
    <t>ESPECIALIDAD Y TIPO DE INGRESO O EGRESO.</t>
  </si>
  <si>
    <t xml:space="preserve">TOTAL   </t>
  </si>
  <si>
    <t>60 años (incluido en grupos de  60-64 años)</t>
  </si>
  <si>
    <t>CONSULTAS PERTINENTES</t>
  </si>
  <si>
    <t xml:space="preserve">Ortodoncia interceptiva </t>
  </si>
  <si>
    <t>Usuarios Oncológicos</t>
  </si>
  <si>
    <t xml:space="preserve">Menor o igual a 2 años </t>
  </si>
  <si>
    <t xml:space="preserve">20-24 años </t>
  </si>
  <si>
    <t>25-34 años</t>
  </si>
  <si>
    <t>35-44 años</t>
  </si>
  <si>
    <t>45-59 años</t>
  </si>
  <si>
    <t>Según Protocolo de Referencia</t>
  </si>
  <si>
    <t>Según condición clínica</t>
  </si>
  <si>
    <t xml:space="preserve">Consultas </t>
  </si>
  <si>
    <t>Consultas de urgencia GES</t>
  </si>
  <si>
    <t>Consulta de urgencia no GES</t>
  </si>
  <si>
    <t xml:space="preserve">Cirugía y traumatología maxilofacial </t>
  </si>
  <si>
    <t xml:space="preserve">Consulta nueva  </t>
  </si>
  <si>
    <t xml:space="preserve">Control  </t>
  </si>
  <si>
    <t xml:space="preserve">Ingreso a tratamiento </t>
  </si>
  <si>
    <t xml:space="preserve">Altas de tratamiento </t>
  </si>
  <si>
    <t xml:space="preserve">Control de especialidad post alta </t>
  </si>
  <si>
    <t xml:space="preserve">Altas administrativas </t>
  </si>
  <si>
    <t>Ortodoncia y ortopedia dento maxilofacial: Aparatología fija</t>
  </si>
  <si>
    <t>Ortodoncia y ortopedia dento maxilofacial: Aparatología removible</t>
  </si>
  <si>
    <t xml:space="preserve">Rehabilitación: Prótesis fija </t>
  </si>
  <si>
    <t xml:space="preserve">Rehabilitación: Prótesis removible </t>
  </si>
  <si>
    <t xml:space="preserve">Rehabilitación: Prótesis implantoasistida </t>
  </si>
  <si>
    <t xml:space="preserve">Implantología buco maxilofacial </t>
  </si>
  <si>
    <t xml:space="preserve">Somatóprótesis </t>
  </si>
  <si>
    <t xml:space="preserve">SECCIÓN J: ACTIVIDADES EFECTUADAS POR TÉCNICO PARAMÉDICO DENTAL Y/O HIGIENISTAS DENTALES  </t>
  </si>
  <si>
    <t>Gestante</t>
  </si>
  <si>
    <t>60 años (incluidos en grupos de 60-64 años)</t>
  </si>
  <si>
    <t xml:space="preserve">Pulido coronario y destartraje supragingival </t>
  </si>
  <si>
    <t xml:space="preserve">Fluoración tópica </t>
  </si>
  <si>
    <t xml:space="preserve">Educación individual con instrucción  de técnica de cepillado </t>
  </si>
  <si>
    <t>Radiografías intraorales (retroalveolares y bitewing)</t>
  </si>
  <si>
    <t xml:space="preserve">SECCIÓN K: CONSULTORÍAS DE ESPECIALIDADES ODONTOLÓGICAS. </t>
  </si>
  <si>
    <t xml:space="preserve">Nº Consultorías </t>
  </si>
  <si>
    <t xml:space="preserve">Nº de casos revisados por el equipo </t>
  </si>
  <si>
    <t xml:space="preserve">Nº de casos atendidos </t>
  </si>
  <si>
    <t xml:space="preserve">Imagenología oral y Maxilofacial  </t>
  </si>
  <si>
    <t xml:space="preserve">Ortodoncia </t>
  </si>
  <si>
    <t xml:space="preserve">Rehabilitación oral </t>
  </si>
  <si>
    <t xml:space="preserve">Trastornos Temporomandibulares y dolor Orofacial </t>
  </si>
  <si>
    <t>Somatoprotesis</t>
  </si>
  <si>
    <t xml:space="preserve">REM-A11.  EXÁMENES DE PESQUISA DE ENFERMEDADES TRASMISIBLES </t>
  </si>
  <si>
    <t>SECCION A: EXÁMENES DE SÍFILIS</t>
  </si>
  <si>
    <t>SECCIÓN A.1: EXAMEN VDRL POR GRUPO DE USUARIOS (USO EXCLUSIVO DE ESTABLECIMIENTOS CON LABORATORIO QUE PROCESAN)</t>
  </si>
  <si>
    <t>GRUPO DE PESQUISA</t>
  </si>
  <si>
    <t>POR SEXO (Procesados)</t>
  </si>
  <si>
    <t>Menos de 6 meses</t>
  </si>
  <si>
    <t>12-24 meses</t>
  </si>
  <si>
    <t>Procesados</t>
  </si>
  <si>
    <t>Reactivos</t>
  </si>
  <si>
    <t>Gestantes primer trimestre embarazo</t>
  </si>
  <si>
    <t>Gestantes segundo trimestre embarazo</t>
  </si>
  <si>
    <t>Gestantes tercer trimestre embarazo</t>
  </si>
  <si>
    <t>Gestantes trimestre embarazo ignorado</t>
  </si>
  <si>
    <t>Gestantes en seguimiento por diagnóstico sífilis</t>
  </si>
  <si>
    <t>Pareja de gestante con serología reactiva</t>
  </si>
  <si>
    <t>Mujeres que ingresan a maternidad por parto</t>
  </si>
  <si>
    <t>Mujeres que ingresan por aborto</t>
  </si>
  <si>
    <t>Mujeres en control ginecológico</t>
  </si>
  <si>
    <t>Recién nacido y lactante para detección de sífilis congénita</t>
  </si>
  <si>
    <t>Personas en control por comercio sexual</t>
  </si>
  <si>
    <t>Personas en control fecundidad</t>
  </si>
  <si>
    <t>Consultantes por ITS</t>
  </si>
  <si>
    <t>Personas EMP/EMPAM</t>
  </si>
  <si>
    <t>Donantes de sangre</t>
  </si>
  <si>
    <t>Donantes de órganos y/o tejidos</t>
  </si>
  <si>
    <t>Pacientes en diálisis</t>
  </si>
  <si>
    <t>Víctima de violencia sexual</t>
  </si>
  <si>
    <t>SECCIÓN A.2: EXAMEN VDRL POR GRUPO DE USUARIOS (USO EXCLUSIVO DE ESTABLECIMIENTOS QUE COMPRAN SERVICIO)</t>
  </si>
  <si>
    <t>SECCIÓN A.3: EXAMEN RPR POR GRUPO DE USUARIOS (USO EXCLUSIVO DE ESTABLECIMIENTOS CON LABORATORIO QUE PROCESAN)</t>
  </si>
  <si>
    <t>SECCIÓN A.4: EXAMEN RPR POR GRUPO DE USUARIOS (USO EXCLUSIVO DE ESTABLECIMIENTOS QUE COMPRAN SERVICIO)</t>
  </si>
  <si>
    <t>SECCIÓN A.5: EXAMEN MHA-TP POR GRUPO DE USUARIOS (USO EXCLUSIVO DE ESTABLECIMIENTOS CON LABORATORIO QUE PROCESAN)</t>
  </si>
  <si>
    <t>6 a 11 meses</t>
  </si>
  <si>
    <t>3 a 4 años</t>
  </si>
  <si>
    <t>SECCIÓN A.6: EXAMEN MHA-TP POR GRUPO DE USUARIOS (USO EXCLUSIVO DE ESTABLECIMIENTOS QUE COMPRAN SERVICIO)</t>
  </si>
  <si>
    <t>SECCIÓN B.1: EXÁMENES SEGÚN GRUPOS DE USUARIOS POR CONDICIÓN DE HEPATITIS B, HEPATITIS C, CHAGAS, HTLV 1 Y SIFILIS (USO EXCLUSIVO DE ESTABLECIMIENTOS CON LABORATORIO QUE PROCESAN)</t>
  </si>
  <si>
    <t>GRUPO DE USUARIOS</t>
  </si>
  <si>
    <t>HEPATITIS  B</t>
  </si>
  <si>
    <t>HEPATITIS  C</t>
  </si>
  <si>
    <t>CHAGAS</t>
  </si>
  <si>
    <t>HTLV1</t>
  </si>
  <si>
    <t>Confirmados</t>
  </si>
  <si>
    <t>Usuarios</t>
  </si>
  <si>
    <t>Donantes</t>
  </si>
  <si>
    <t>Altruista nuevo</t>
  </si>
  <si>
    <t>Altruista repetido</t>
  </si>
  <si>
    <t>Familiar o Reposición</t>
  </si>
  <si>
    <t>Donantes de organos y/o tejidos</t>
  </si>
  <si>
    <t>SECCIÓN B.2: EXÁMENES SEGÚN GRUPOS DE USUARIOS POR CONDICIÓN DE HEPATITIS B, HEPATITIS C, CHAGAS, HTLV 1 Y SIFILIS (USO EXCLUSIVO DE ESTABLECIMIENTOS QUE COMPRAN SERVICIO)</t>
  </si>
  <si>
    <t>SECCIÓN C.1: EXÁMENES  DE  VIH POR GRUPOS DE USUARIOS (USO EXCLUSIVO DE ESTABLECIMIENTOS CON LABORATORIO QUE PROCESAN)</t>
  </si>
  <si>
    <t>POR SEXO</t>
  </si>
  <si>
    <t>14-18 años</t>
  </si>
  <si>
    <t>Menos de 12 meses</t>
  </si>
  <si>
    <t xml:space="preserve"> 65 y más años</t>
  </si>
  <si>
    <t>Confirmados positivos por ISP</t>
  </si>
  <si>
    <t>Gestantes primer examen</t>
  </si>
  <si>
    <t>Gestantes segundo examen</t>
  </si>
  <si>
    <t>Mujer en trabajo de pre parto o parto</t>
  </si>
  <si>
    <t>Por consulta ITS</t>
  </si>
  <si>
    <t>Personas en control de regulación fecundidad, ginecológico, climaterio</t>
  </si>
  <si>
    <t>Personas en control de salud según ciclo vital</t>
  </si>
  <si>
    <t>Persona en control por TBC</t>
  </si>
  <si>
    <t>Pareja serodiscordante</t>
  </si>
  <si>
    <t>Pareja de gestante VIH positivo</t>
  </si>
  <si>
    <t>Personal de salud expuesto a accidente cortopunzante</t>
  </si>
  <si>
    <t>Pacientes fuente de accidente cortopunzante</t>
  </si>
  <si>
    <t>Persona en control por Hepatitis B</t>
  </si>
  <si>
    <t>Persona en control por Hepatitis C</t>
  </si>
  <si>
    <t>Consultantes por morbilidad</t>
  </si>
  <si>
    <t>Por consulta espontánea</t>
  </si>
  <si>
    <t>SECCIÓN C.2: EXÁMENES  DE  VIH POR GRUPOS DE USUARIOS (USO EXCLUSIVO DE ESTABLECIMIENTOS QUE COMPRAN SERVICIO)</t>
  </si>
  <si>
    <t xml:space="preserve">SECCIÓN D: EXÁMENES DE GONORREA POR GRUPOS DE USUARIOS </t>
  </si>
  <si>
    <t>POR SEXO
(Procesados)</t>
  </si>
  <si>
    <t>Comercio sexual</t>
  </si>
  <si>
    <t>Personas VIH (+)</t>
  </si>
  <si>
    <t>Consultante ITS ambulatorio (Nivel 1º y 2º)</t>
  </si>
  <si>
    <t>Consultante ITS hospitalario (Nivel 3º y Urgencia)</t>
  </si>
  <si>
    <t xml:space="preserve">SECCIÓN E: EXÁMENES DE CHLAMYIDIA TRACHOMATIS POR GRUPOS DE USUARIOS </t>
  </si>
  <si>
    <t>Consultante ITS hospitalario (nivel 3º y Urgencia)</t>
  </si>
  <si>
    <t>SECCIÓN F: EXÁMENES  DE  VIH POR TECNICA VISUAL/RAPIDA Y GRUPOS DE USUARIOS (USO EXCLUSIVO DE ESTABLECIMIENTOS NO LABORATORIOS)</t>
  </si>
  <si>
    <t>GRUPOS DE USUARIOS POR INSTANCIA</t>
  </si>
  <si>
    <t>65 y Mas años</t>
  </si>
  <si>
    <t>Interior establecimiento salud (intramuro)</t>
  </si>
  <si>
    <t>Mujer en trabajo de preparto o parto</t>
  </si>
  <si>
    <t xml:space="preserve">Personas EMP/EMPAM </t>
  </si>
  <si>
    <t>Persona en control por hepatitis B</t>
  </si>
  <si>
    <t>Persona en control por hepatitis C</t>
  </si>
  <si>
    <t>Exterior establecimiento de salud (extramuro)</t>
  </si>
  <si>
    <t>Centros penitenciarios</t>
  </si>
  <si>
    <t>Centros SENAME</t>
  </si>
  <si>
    <t>Centros educacionales</t>
  </si>
  <si>
    <t xml:space="preserve">Otros </t>
  </si>
  <si>
    <t>SECCION G: DONANTES CONFIRMADOS ENFERMERDAD DE CHAGAS</t>
  </si>
  <si>
    <t>55-59 años</t>
  </si>
  <si>
    <t>Donantes confirmados con enfermedad de Chagas en el periodo</t>
  </si>
  <si>
    <t>Donantes confirmados e  informados de su condición serologica para enfermedad de Chagas</t>
  </si>
  <si>
    <t>SECCIÓN H: SEGUIMIENTO DE CASOS</t>
  </si>
  <si>
    <t>1-4 años</t>
  </si>
  <si>
    <t>5-9 años</t>
  </si>
  <si>
    <t>Control de las personas con Chagas crónico en Atencion Primaria de Salud</t>
  </si>
  <si>
    <t>Estudio de  contactos familiares de un caso por Infección por T Cruzi</t>
  </si>
  <si>
    <t>Casos contactos familiares confirmados por Infección por T cruzi</t>
  </si>
  <si>
    <t>REM-A11a. TRANSMISIÓN VERTICAL MATERNO INFANTIL</t>
  </si>
  <si>
    <t>SECCION A: TRATAMIENTO DE SÍFILIS EN GESTANTES</t>
  </si>
  <si>
    <t xml:space="preserve">RANGO ETARIO </t>
  </si>
  <si>
    <t>TRATAMIENTO DE SÍFILIS EN GESTANTES EN ATENCIÓN PRIMARIA</t>
  </si>
  <si>
    <t>Gestantes con 1° test no treponémico reactivo en este embarazo con  penicilina administrada en Atención Primaria</t>
  </si>
  <si>
    <t>Gestantes con 1° test no treponémico reactivo en este embarazo, APS</t>
  </si>
  <si>
    <t>TRATAMIENTO DE SÍFILIS EN GESTANTES EN ESPECIALIDADES</t>
  </si>
  <si>
    <t>Gestantes con 1° test no treponémico reactivo en este embarazo  con penicilina administrada en especialidades</t>
  </si>
  <si>
    <t>Gestantes con 1° test no treponémico reactivo en este embarazo, Especialidad</t>
  </si>
  <si>
    <t>TRATAMIENTO SÍFILIS EN GESTANTES AL MOMENTO DEL PARTO</t>
  </si>
  <si>
    <t>Gestantes con 1° test no treponemico reactivo en este embarazo con  penicilina administrada al parto</t>
  </si>
  <si>
    <t>Gestantes con 1° test no treponémico reactivo en este embarazo</t>
  </si>
  <si>
    <t>SECCIÓN B: NIÑOS Y NIÑAS EXPUESTOS A LA SÍFILIS TRATADOS AL NACER</t>
  </si>
  <si>
    <t>Recién nacidos/as expuestos a sífilis (hijos de mujer con serología reactiva para sífilis al parto no tratada o inadecuadamente tratada), que reciben tratamiento para sífilis congénita al nacer</t>
  </si>
  <si>
    <t>Recién nacidos/as expuestos a sífilis (hijos de mujer con serología reactiva para sífilis al parto  no tratada o inadecuadamente tratada)</t>
  </si>
  <si>
    <t>SECCIÓN C: ABORTOS Y DEFUNCIONES FETALES ATRIBUIDAS A SÍFILIS SEGÚN EDAD GESTACIONAL</t>
  </si>
  <si>
    <t xml:space="preserve">Mujeres con serología reactiva para sífilis con aborto menor o igual a 19+6 semanas o menor a 500 grs </t>
  </si>
  <si>
    <t xml:space="preserve">Mujeres con aborto menor o igual a 19+6 semanas o menor a 500 grs </t>
  </si>
  <si>
    <t xml:space="preserve">Mujeres con serología reactiva para sífilis con aborto entre las 20 y las 21+6 semanas o mayor a 500 grs </t>
  </si>
  <si>
    <t xml:space="preserve">Mujeres con aborto entre las 20 y las 21+6 semanas o mayor a 500 grs </t>
  </si>
  <si>
    <t xml:space="preserve">Mujeres con serología reactiva para sífilis con mortinato mayor o igual a 22 semanas </t>
  </si>
  <si>
    <t xml:space="preserve">Mujeres con mortinato mayor o igual a 22 semanas </t>
  </si>
  <si>
    <t>SECCION D: APLICACIÓN DE PROFILAXIS OCULAR PARA GONORREA EN RECIÉN NACIDOS</t>
  </si>
  <si>
    <t>Recién Nacidos  vivos que reciben profilaxis ocular para gonorrea al nacer</t>
  </si>
  <si>
    <t xml:space="preserve">Recién nacidos vivos </t>
  </si>
  <si>
    <t>SECCIÓN E: MUJERES VIH QUE RECIBE PROTOCOLO PREVENCIÓN TRANSMISIÓN VERTICAL AL PARTO (PTV)</t>
  </si>
  <si>
    <r>
      <t xml:space="preserve">Mujeres VIH (+) </t>
    </r>
    <r>
      <rPr>
        <b/>
        <sz val="8"/>
        <color theme="1"/>
        <rFont val="Verdana"/>
      </rPr>
      <t xml:space="preserve">confirmada </t>
    </r>
    <r>
      <rPr>
        <sz val="8"/>
        <color theme="1"/>
        <rFont val="Verdana"/>
      </rPr>
      <t>por ISP que recibieron protocolo PTV completo al parto</t>
    </r>
  </si>
  <si>
    <r>
      <t xml:space="preserve">Mujeres VIH (+) </t>
    </r>
    <r>
      <rPr>
        <b/>
        <sz val="8"/>
        <color theme="1"/>
        <rFont val="Verdana"/>
      </rPr>
      <t>confirmada</t>
    </r>
    <r>
      <rPr>
        <sz val="8"/>
        <color theme="1"/>
        <rFont val="Verdana"/>
      </rPr>
      <t xml:space="preserve"> por ISP que recibieron protocolo PTV incompleto al parto</t>
    </r>
  </si>
  <si>
    <r>
      <t xml:space="preserve">Mujeres VIH (+) </t>
    </r>
    <r>
      <rPr>
        <b/>
        <sz val="8"/>
        <color theme="1"/>
        <rFont val="Verdana"/>
      </rPr>
      <t>confirmada</t>
    </r>
    <r>
      <rPr>
        <sz val="8"/>
        <color theme="1"/>
        <rFont val="Verdana"/>
      </rPr>
      <t xml:space="preserve"> por ISP que no recibieron protocolo PTV al parto</t>
    </r>
  </si>
  <si>
    <r>
      <t xml:space="preserve">Mujeres VIH (+) </t>
    </r>
    <r>
      <rPr>
        <b/>
        <sz val="8"/>
        <color theme="1"/>
        <rFont val="Verdana"/>
      </rPr>
      <t>confirmada</t>
    </r>
    <r>
      <rPr>
        <sz val="8"/>
        <color theme="1"/>
        <rFont val="Verdana"/>
      </rPr>
      <t xml:space="preserve"> por ISP atendidas por parto </t>
    </r>
  </si>
  <si>
    <r>
      <t xml:space="preserve">Mujeres con serología VIH (+) </t>
    </r>
    <r>
      <rPr>
        <b/>
        <sz val="8"/>
        <color theme="1"/>
        <rFont val="Verdana"/>
      </rPr>
      <t>no confirmada</t>
    </r>
    <r>
      <rPr>
        <sz val="8"/>
        <color theme="1"/>
        <rFont val="Verdana"/>
      </rPr>
      <t xml:space="preserve"> por ISP que recibieron protocolo PTV completo al parto</t>
    </r>
  </si>
  <si>
    <r>
      <t xml:space="preserve">Mujeres con serología VIH (+) </t>
    </r>
    <r>
      <rPr>
        <b/>
        <sz val="8"/>
        <color theme="1"/>
        <rFont val="Verdana"/>
      </rPr>
      <t>no confirmada</t>
    </r>
    <r>
      <rPr>
        <sz val="8"/>
        <color theme="1"/>
        <rFont val="Verdana"/>
      </rPr>
      <t xml:space="preserve"> por ISP que recibieron protocolo PTV incompleto al parto</t>
    </r>
  </si>
  <si>
    <r>
      <t xml:space="preserve">Mujeres con serología VIH (+) </t>
    </r>
    <r>
      <rPr>
        <b/>
        <sz val="8"/>
        <color theme="1"/>
        <rFont val="Verdana"/>
      </rPr>
      <t>no confirmada</t>
    </r>
    <r>
      <rPr>
        <sz val="8"/>
        <color theme="1"/>
        <rFont val="Verdana"/>
      </rPr>
      <t xml:space="preserve"> por ISP que No recibieron protocolo PTV al parto</t>
    </r>
  </si>
  <si>
    <r>
      <t xml:space="preserve">Mujeres con serología VIH (+) </t>
    </r>
    <r>
      <rPr>
        <b/>
        <sz val="8"/>
        <color theme="1"/>
        <rFont val="Verdana"/>
      </rPr>
      <t>no confirmada</t>
    </r>
    <r>
      <rPr>
        <sz val="8"/>
        <color theme="1"/>
        <rFont val="Verdana"/>
      </rPr>
      <t xml:space="preserve"> por ISP atendidas por parto  </t>
    </r>
  </si>
  <si>
    <t>SECCIÓN F: RECIÉN NACIDOS EXPUESTOS AL VIH QUE RECIBE PROTOCOLO DE TRANSMISIÓN VERTICAL</t>
  </si>
  <si>
    <t xml:space="preserve">Recién nacidos vivos hijos de mujer VIH (+) confirmada por ISP que iniciaron profilaxis para VIH durante las primeras 12 hrs. de vida </t>
  </si>
  <si>
    <t>Recién nacidos vivos hijos de mujer VIH (+) confirmada por ISP</t>
  </si>
  <si>
    <t xml:space="preserve">Recién nacidos vivos hijos de mujer con serología VIH (+) no confirmada por ISP que iniciaron profilaxis para VIH durante las primeras 12 hrs. de vida </t>
  </si>
  <si>
    <t>Recién nacidos vivos hijos de mujer con serología VIH (+) no confirmada por ISP</t>
  </si>
  <si>
    <t>SECCIÓN G: RECIÉN NACIDOS EXPUESTOS AL VIH QUE RECIBEN LECHE MATERNIZADA AL ALTA</t>
  </si>
  <si>
    <t>Recién nacidos vivos hijos de mujer VIH (+) confirmada por ISP que recibieron leche maternizada al alta (para ser consumida en su casa)</t>
  </si>
  <si>
    <t>Recien nacidos vivos hijos de mujer con serología VIH (+) no confirmada por el ISP  que recibieron leche maternizada al alta (para ser consumida en su casa)</t>
  </si>
  <si>
    <t>Recien nacidos vivos hijos de mujer con serología VIH (+) no confirmada por el ISP</t>
  </si>
  <si>
    <t xml:space="preserve">SECCIÓN H: GESTANTES ESTUDIADAS PARA ESTREPTOCOCCUS GRUPO B (EGB) </t>
  </si>
  <si>
    <t>GESTANTES ESTUDIADAS PARA ESTREPTOCOCCUS GRUPO B (EGB) EN APS</t>
  </si>
  <si>
    <t>Gestantes estudiadas para EGB en APS</t>
  </si>
  <si>
    <t xml:space="preserve">Gestantes estudiadas en APS con examen EGB (+) </t>
  </si>
  <si>
    <t>GESTANTES ESTUDIADAS PARA ESTREPTOCOCCUS GRUPO B (EGB) EN ESPECIALIDADES</t>
  </si>
  <si>
    <t>Gestantes estudiadas para EGB en Especialidades</t>
  </si>
  <si>
    <t xml:space="preserve">Gestantes estudiadas en Especialidades con examen EGB (+) </t>
  </si>
  <si>
    <t>GESTANTES ESTUDIADAS PARA ESTREPTOCOCCUS GRUPO B (EGB) EN NIVEL HOSPITALARIO</t>
  </si>
  <si>
    <t>Gestantes estudiadas para EGB en nivel hospitalario</t>
  </si>
  <si>
    <t xml:space="preserve">Gestantes estudiadas en nivel hospitalario con examen EGB (+) </t>
  </si>
  <si>
    <t>GESTANTES CON PROFILAXIS PARA ESTREPTOCOCCUS GRUPO B (EGB) AL PARTO</t>
  </si>
  <si>
    <t>Gestantes con profilaxis para  EGB (+) al parto</t>
  </si>
  <si>
    <t>SECCIÓN I: GESTANTES EVALUADAS PARA HEPATITIS B</t>
  </si>
  <si>
    <t>GESTANTES EVALUADAS PARA HEPATITIS B EN ATENCIÓN PRIMARIA</t>
  </si>
  <si>
    <t xml:space="preserve">Gestantes con solicitud de estudio serológico para Hepatitis B </t>
  </si>
  <si>
    <t xml:space="preserve">Gestantes con estudio serológico positivo confirmado para Hepatitis B </t>
  </si>
  <si>
    <t xml:space="preserve">Gestantes con Hepatitis B positivo derivada con especialista (Gastroenterólogo, hepatólogo u otro) </t>
  </si>
  <si>
    <t>GESTANTES EVALUADAS PARA HEPATITIS B EN ESPECIALIDADES</t>
  </si>
  <si>
    <t>GESTANTES EVALUADAS PARA HEPATITIS B EN PARTOS</t>
  </si>
  <si>
    <t>Gestantes con Hepatitis B positivo derivada con especialista (Gastroenterólogo, hepatólogo u otro)</t>
  </si>
  <si>
    <t>SECCION J: PROFILAXIS DE TRANSMISIÓN VERTICAL APLICADA AL RECIEN NACIDO, HIJO DE MADRE HEPATITIS B POSITIVA</t>
  </si>
  <si>
    <t>Recién nacidos hijos de madre Hepatitis B positiva, nacidos en el periodo</t>
  </si>
  <si>
    <t>Recién nacidos hijos de madre Hepatitis B positiva que recibieron profilaxis completa, según la normativa vigente</t>
  </si>
  <si>
    <t>SECCION K: SEGUIMIENTO DE NIÑOS Y NIÑAS AL AÑO DE VIDA</t>
  </si>
  <si>
    <t>Niños/as hijos de madre Hepatitis B positiva evaluados al año de vida</t>
  </si>
  <si>
    <t>Niños/as hijos de madre Hepatitis B positiva, evaluados al año de vida, confirmado positivo de transmisión vertical para Hepatitis B</t>
  </si>
  <si>
    <t>SECCIÓN L: SCREENING ENFERMEDAD DE CHAGAS PARA EMBARAZADAS, PUERPERAS Y MUJERES EN EDAD FÉRTIL</t>
  </si>
  <si>
    <t xml:space="preserve">GRUPO DE EDAD </t>
  </si>
  <si>
    <t>Gestantes con examen de Chagas solicitado</t>
  </si>
  <si>
    <t/>
  </si>
  <si>
    <t>Gestantes con examen de Chagas informado</t>
  </si>
  <si>
    <t>Gestantes con examen de Chagas confirmado</t>
  </si>
  <si>
    <t>Gestantes que ingresan a maternidad sin examen de enfermedad de Chagas</t>
  </si>
  <si>
    <t>Mujeres en Control Preconcepcional</t>
  </si>
  <si>
    <t>Mujeres en Control de Regulación de Fecundidad</t>
  </si>
  <si>
    <t xml:space="preserve">SECCIÓN M: DIAGNÓSTICO TRANSMISIÓN VERTICAL MADRE HIJO/A CON ENFERMEDAD DE CHAGAS </t>
  </si>
  <si>
    <t xml:space="preserve"> CONDICIÓN</t>
  </si>
  <si>
    <t>5 meses</t>
  </si>
  <si>
    <t>7 meses</t>
  </si>
  <si>
    <t>8 meses</t>
  </si>
  <si>
    <t>9 meses</t>
  </si>
  <si>
    <t>10 meses</t>
  </si>
  <si>
    <t>11 meses</t>
  </si>
  <si>
    <t>13 meses</t>
  </si>
  <si>
    <t>14 meses</t>
  </si>
  <si>
    <t>15 meses</t>
  </si>
  <si>
    <t xml:space="preserve">Hijos/as de Madre con Enfermedad de Chagas nacidos en el periodo </t>
  </si>
  <si>
    <t>Hijos/as de Madre con Enfermedad de Chagas con diagnóstico directo realizado</t>
  </si>
  <si>
    <t xml:space="preserve">Hijos/as de Madre con Enfermedad de Chagas con diagnóstico finalizado e informado (1° muestra) </t>
  </si>
  <si>
    <t xml:space="preserve">Hijos/as de Madre con Enfermedad de Chagas con diagnóstico finalizado e informado (2° muestra) </t>
  </si>
  <si>
    <t xml:space="preserve">Hijos/as de Madre con enfermedad de Chagas con diagnóstico finalizado e informado (3° muestra) </t>
  </si>
  <si>
    <t>SECCION N: TRATAMIENTOS FAMACOLÓGICOS</t>
  </si>
  <si>
    <t>Personas con enfermedad de Chagas que ingresan a tratamiento farmacológico en el periodo (nifurtimox)</t>
  </si>
  <si>
    <t>Personas con enfermedad de Chagas que suspenden o rechazan tratamiento farmacológico en el periodo (nifurtimox)</t>
  </si>
  <si>
    <t>Personas con enfermedad de Chagas que finalizan tratamiento farmacológico en el periodo (nifurtimox)</t>
  </si>
  <si>
    <t>Personas con enfermedad de Chagas que ingresan a tratamiento farmacológico en el periodo (benznidazol)</t>
  </si>
  <si>
    <t>Personas con enfermedad de Chagas que suspenden o rechazan tratamiento farmacológico en el periodo (benznidazol)</t>
  </si>
  <si>
    <t>Personas con enfermedad de Chagas que finalizan tratamiento farmacológico en el periodo (benznidazol)</t>
  </si>
  <si>
    <t>REM-19a.   ACTIVIDADES DE PROMOCIÓN Y PREVENCIÓN DE LA SALUD</t>
  </si>
  <si>
    <t>SECCIÓN A: CONSEJERÍAS</t>
  </si>
  <si>
    <t>SECCIÓN A.1: CONSEJERÍAS INDIVIDUALES</t>
  </si>
  <si>
    <t>ÁREAS TEMÁTICAS</t>
  </si>
  <si>
    <t>Espacios Amigables/ adolescentes</t>
  </si>
  <si>
    <t xml:space="preserve">15-19 años </t>
  </si>
  <si>
    <t>35-39 años</t>
  </si>
  <si>
    <t>45-49 años</t>
  </si>
  <si>
    <t>50-54 años</t>
  </si>
  <si>
    <t>70-74 años</t>
  </si>
  <si>
    <t>75- 79 años</t>
  </si>
  <si>
    <t>Actividad física</t>
  </si>
  <si>
    <t>Terapeuta ocupacional</t>
  </si>
  <si>
    <t>Otro profesional</t>
  </si>
  <si>
    <t>Facilitador/a intercultural</t>
  </si>
  <si>
    <t>Alimentación saludable</t>
  </si>
  <si>
    <t>Trabajador/a social</t>
  </si>
  <si>
    <t>Psicólogo /a</t>
  </si>
  <si>
    <t>Consumo de drogas</t>
  </si>
  <si>
    <t>Salud sexual y reproductiva con o sin entrega de preservativos</t>
  </si>
  <si>
    <t>Regulación de fertilidad con o sin entrega de preservativos</t>
  </si>
  <si>
    <t>Prevención VIH e infección de transmisión sexual (ITS) con o sin entrega de preservativos</t>
  </si>
  <si>
    <t>Psicóloga /o</t>
  </si>
  <si>
    <t>Prevención de la transmisión vertical del VIH (gestantes) con o sin entrega de preservativos</t>
  </si>
  <si>
    <t>Médico/a previo examen VIH</t>
  </si>
  <si>
    <t>Matrona/ón previo examen VIH</t>
  </si>
  <si>
    <t>Médico/a post test</t>
  </si>
  <si>
    <t>Matrón/na post test</t>
  </si>
  <si>
    <t>Ejercicio de Derechos</t>
  </si>
  <si>
    <t>SECCIÓN A.2: CONSEJERÍAS INDIVIDUALES POR VIH (NO INCLUIDAS EN LA SECCIÓN A.1)</t>
  </si>
  <si>
    <t>CONSEJERÍAS</t>
  </si>
  <si>
    <t>ÁREA O NIVEL</t>
  </si>
  <si>
    <t>Orientación e información previa al examen VIH</t>
  </si>
  <si>
    <t>Atención de donantes de sangre total y aféresis</t>
  </si>
  <si>
    <t>Hospitalización</t>
  </si>
  <si>
    <t>En CDT - CRS</t>
  </si>
  <si>
    <t>En APS</t>
  </si>
  <si>
    <t>En APS - espacios amigables</t>
  </si>
  <si>
    <t>En otras instancias</t>
  </si>
  <si>
    <t>Consejerías post test VIH</t>
  </si>
  <si>
    <t>SECCIÓN A.3: CONSEJERÍAS FAMILIARES</t>
  </si>
  <si>
    <t>Temas prioridad</t>
  </si>
  <si>
    <t>FAMILIA</t>
  </si>
  <si>
    <t>Total Actividades</t>
  </si>
  <si>
    <t>Con integrante de patología crónica</t>
  </si>
  <si>
    <t>Con integrante con problema de salud mental</t>
  </si>
  <si>
    <t>Con persona mayor dependiente</t>
  </si>
  <si>
    <t>Con integrante con demencia</t>
  </si>
  <si>
    <t>Con integrante con enfermedad terminal</t>
  </si>
  <si>
    <t>Con integrante dependiente severo</t>
  </si>
  <si>
    <t>Otras áreas de intervención</t>
  </si>
  <si>
    <t>Con adolescente VIH (+)</t>
  </si>
  <si>
    <t>Prevención de violencia</t>
  </si>
  <si>
    <t>SECCIÓN A.4: CONSEJERÍAS INDIVIDUALES  CON ENTREGA DE PRESERVATIVOS (INCLUIDAS EN SECCIÓN A.1)</t>
  </si>
  <si>
    <t>14 a 18 años</t>
  </si>
  <si>
    <t xml:space="preserve">Consejería con entrega de preservativos </t>
  </si>
  <si>
    <t>Condones masculinos</t>
  </si>
  <si>
    <t>Condones femeninos</t>
  </si>
  <si>
    <t>Ambos tipos de condones</t>
  </si>
  <si>
    <t>SECCIÓN B: ACTIVIDADES DE PROMOCIÓN</t>
  </si>
  <si>
    <t>SECCIÓN B.1: ACTIVIDADES DE PROMOCIÓN SEGÚN ESTRATEGIAS Y CONDICIONANTES ABORDADAS Y NÚMERO DE PARTICIPANTES</t>
  </si>
  <si>
    <t>ESTRATEGIA, ESPACIOS O LÍNEAS DE ACCIÓN</t>
  </si>
  <si>
    <t>CONDICIONANTES ABORDADAS</t>
  </si>
  <si>
    <t xml:space="preserve"> Determinantes Sociales de La Salud Abordadas - Chile Crece Contigo</t>
  </si>
  <si>
    <t>Total Participantes</t>
  </si>
  <si>
    <t xml:space="preserve">Alimentación </t>
  </si>
  <si>
    <t>Ambiente libre de humo de tabaco</t>
  </si>
  <si>
    <t>Factores protectores psicosociales</t>
  </si>
  <si>
    <t>Factores protectores ambientales</t>
  </si>
  <si>
    <t>Derechos humanos</t>
  </si>
  <si>
    <t>Salud sexual y prevención de VIH/SIDA e ITS</t>
  </si>
  <si>
    <t>Factores protectores psicosociales de pueblos originarios</t>
  </si>
  <si>
    <t>Factores protectores psicosociales de migrantes</t>
  </si>
  <si>
    <t>Factores protectores psicosociales PRAIS</t>
  </si>
  <si>
    <t xml:space="preserve">Eventos  masivos </t>
  </si>
  <si>
    <t>Comunas, comunidades</t>
  </si>
  <si>
    <t>Espacios amigables en APS</t>
  </si>
  <si>
    <t>Lugares de trabajo</t>
  </si>
  <si>
    <t>Establecimientos educación</t>
  </si>
  <si>
    <t>Espacio Intercultural</t>
  </si>
  <si>
    <t>Reuniones de planificación participativa</t>
  </si>
  <si>
    <t>Jornadas y  seminarios</t>
  </si>
  <si>
    <t xml:space="preserve">Educación grupal </t>
  </si>
  <si>
    <t>SECCIÓN B.2: TALLERES GRUPALES DE VIDA SANA SEGÚN TIPO, POR ESPACIOS DE ACCIÓN</t>
  </si>
  <si>
    <t>ESPACIOS DE ACCIÓN</t>
  </si>
  <si>
    <t>TOTAL TALLERES</t>
  </si>
  <si>
    <t>Autoestima y Autocuidado</t>
  </si>
  <si>
    <t>Mente Sana y Cuerpo Sano</t>
  </si>
  <si>
    <t>Comunicación</t>
  </si>
  <si>
    <t>Yo Me Cuido</t>
  </si>
  <si>
    <t>Control del Tabaco</t>
  </si>
  <si>
    <t>Otros Tipo de Talleres</t>
  </si>
  <si>
    <t>Establecimientos educacionales</t>
  </si>
  <si>
    <t>SECCIÓN B.3: ACTIVIDADES DE GESTIÓN SEGÚN TIPO, POR ESPACIOS DE ACCIÓN</t>
  </si>
  <si>
    <t xml:space="preserve">Reuniones de Gestión </t>
  </si>
  <si>
    <t>Reuniones Masivas de Gestión</t>
  </si>
  <si>
    <t>Acciones de Comunicación y Difusión</t>
  </si>
  <si>
    <t>Preparación Actividades Educativas</t>
  </si>
  <si>
    <t>Entrevistas</t>
  </si>
  <si>
    <t>Investigación y Capacitación de RRHH</t>
  </si>
  <si>
    <t>Espacio Intersectorial</t>
  </si>
  <si>
    <t xml:space="preserve">SECCIÓN B.4: TALLERES GRUPALES SEGÚN TEMÁTICA Y NÚMERO DE PARTICIPANTES EN PROGRAMA ESPACIOS AMIGABLES </t>
  </si>
  <si>
    <t>Talleres en Actividad Física</t>
  </si>
  <si>
    <t xml:space="preserve"> Talleres en Alimentación </t>
  </si>
  <si>
    <t>Talleres en Libre de Humo del Tabaco</t>
  </si>
  <si>
    <t xml:space="preserve">Talleres en Factores Protectores Psicosociales </t>
  </si>
  <si>
    <t>Talleres en Prevención Consumo de Alcohol y Otras Drogas</t>
  </si>
  <si>
    <t>Talleres en Salud Sexual y Prevención de VIH/SIDA e ITS</t>
  </si>
  <si>
    <t>Talleres en Otros Tipos de Talleres</t>
  </si>
  <si>
    <t>Espacios Comunitarios</t>
  </si>
  <si>
    <t>Centros de Salud</t>
  </si>
  <si>
    <t>SECCIÓN C: ACTIVIDADES DE GESTIÓN INTERCULTURAL REALIZADAS POR FACILITADOR INTERCULTURAL</t>
  </si>
  <si>
    <t>Orientación a personas y/o familias indígenas</t>
  </si>
  <si>
    <t>Acompañamiento de personas y/o familias en contexto de atención de salud</t>
  </si>
  <si>
    <t>Derivación asistida de personas a sistemas de sanación indígenas (Pueblos originarios)</t>
  </si>
  <si>
    <t>Derivación asistida de personas a sistemas de sanación indígenas(Pueblos no originarios)</t>
  </si>
  <si>
    <t xml:space="preserve">Otras actividades realizadas por facilitador </t>
  </si>
  <si>
    <t>Actividades de promoción y prevención con enfoque intercultural</t>
  </si>
  <si>
    <t>SECCIÓN D: ACTIVIDADES COMUNITARIAS DE ORIENTACIÓN Y/O EDUCACIÓN PARA LA SALUD  EN EL MARCO EPIDEMIOLÓGICO</t>
  </si>
  <si>
    <t>Individual</t>
  </si>
  <si>
    <t>Grupal</t>
  </si>
  <si>
    <t>Orientación y/o Educación</t>
  </si>
  <si>
    <t>A Institución (ELEAM, cárceles,colegios, sala cuna y jardines infantiles)</t>
  </si>
  <si>
    <t>REM-A19b.  ACTIVIDADES DE PARTICIPACIÓN SOCIAL</t>
  </si>
  <si>
    <t>SECCIÓN A: ATENCIÓN OFICINAS DE INFORMACIONES (SISTEMA INTEGRAL DE ATENCIÓN A USUARIOS)</t>
  </si>
  <si>
    <t>TIPO DE ATENCION</t>
  </si>
  <si>
    <t>Nº DE ATENCIONES EN EL MES</t>
  </si>
  <si>
    <t>Respuestas del Mes Dentro de Plazos Legales (15 días Hábiles)</t>
  </si>
  <si>
    <t>Reclamos Respondidos Fuera de Plazos Legales</t>
  </si>
  <si>
    <t>Reclamos Pendientes</t>
  </si>
  <si>
    <t>No revelado</t>
  </si>
  <si>
    <t>PRAIS</t>
  </si>
  <si>
    <t>N° DE ATENCIONES EN EL MES (Ley Mila)</t>
  </si>
  <si>
    <t>TOTAL AMBOS SEXOS</t>
  </si>
  <si>
    <t>Reclamos generados en el mes</t>
  </si>
  <si>
    <t>Reclamos generados en el mes anterior</t>
  </si>
  <si>
    <t>Respuestas pendientes dentro del plazo legal</t>
  </si>
  <si>
    <t>Respuestas pendientes fuera del plazo legal</t>
  </si>
  <si>
    <t xml:space="preserve"> Masculino</t>
  </si>
  <si>
    <t xml:space="preserve"> Femenina</t>
  </si>
  <si>
    <t>Niños, niñas y adolescentes</t>
  </si>
  <si>
    <t xml:space="preserve">TOTAL DE RECLAMOS </t>
  </si>
  <si>
    <t>Trato no amable, digno ni respetuoso</t>
  </si>
  <si>
    <t>Trato discriminatorio</t>
  </si>
  <si>
    <t>Trato con falta de privacidad</t>
  </si>
  <si>
    <t xml:space="preserve">Trato con falta de confidencialidad </t>
  </si>
  <si>
    <t>Trato sin pertinencia cultural en la atención</t>
  </si>
  <si>
    <t xml:space="preserve">Trato sin condiciones para el acompañamiento </t>
  </si>
  <si>
    <t>Competencia técnica diagnóstico</t>
  </si>
  <si>
    <t>Competencia técnica tratamiento farmacológico / clínico / cirugía</t>
  </si>
  <si>
    <t xml:space="preserve">Eventos adversos </t>
  </si>
  <si>
    <t>Infraestructura baños públicos</t>
  </si>
  <si>
    <t xml:space="preserve">Infraestructura condiciones salas de espera, box de atención o sala de hospitalización </t>
  </si>
  <si>
    <t>Infraestructura accesibilidad universal</t>
  </si>
  <si>
    <t>Infraestructura comodidad y seguridad de camas, cunas y camillas de traslado</t>
  </si>
  <si>
    <t>Condiciones de infraestructura para el acompañamiento</t>
  </si>
  <si>
    <t>Tiempo de espera (En sala de espera)</t>
  </si>
  <si>
    <t>Tiempo de espera, por consulta especialidad (Por lista de espera)</t>
  </si>
  <si>
    <t>Tiempo de espera, por procedimiento (Lista de espera)</t>
  </si>
  <si>
    <t>Tiempo de espera , por cirugía (Lista de espera)</t>
  </si>
  <si>
    <t>Información del estado de salud</t>
  </si>
  <si>
    <t>Información y trámites institucionales</t>
  </si>
  <si>
    <t>Información sobre consentimiento informado</t>
  </si>
  <si>
    <t>Información sobre acceso a ficha clínica</t>
  </si>
  <si>
    <t>Información sobre acceso a médico tratante</t>
  </si>
  <si>
    <t>Información de egreso o traslado</t>
  </si>
  <si>
    <t>Procedimientos administrativos en el proceso de admisión y recaudación</t>
  </si>
  <si>
    <t>Procedimientos administrativos al egreso</t>
  </si>
  <si>
    <t>Procedimientos administrativos de referencia y/o derivación</t>
  </si>
  <si>
    <t>Procedimientos administrativos de Ficha extraviada o perdida</t>
  </si>
  <si>
    <t xml:space="preserve">Procedimientos administrativos en agendamiento y reagendamiento de atención </t>
  </si>
  <si>
    <t>Procedimientos administrativos en suspensión de atención</t>
  </si>
  <si>
    <t xml:space="preserve">Procedimientos administrativos en suspensión de cirugía programada </t>
  </si>
  <si>
    <t>Procedimientos administrativos con acceso a medicamentos</t>
  </si>
  <si>
    <t>Probidad administrativa</t>
  </si>
  <si>
    <t>Incumplimiento Garantías Explícitas en Salud (GES)</t>
  </si>
  <si>
    <t>Vulneración de derechos sexuales y reproductivos</t>
  </si>
  <si>
    <t>Reclamos asociados a violencia gineco obstétrica</t>
  </si>
  <si>
    <t>Incumplimiento Ley Mila N°21.372</t>
  </si>
  <si>
    <t>Inclumplimiento Ley Dominga N° 21.371</t>
  </si>
  <si>
    <t>Incumplimiento de garantías Ley Ricarte Soto</t>
  </si>
  <si>
    <t>Incumplimiento de garantías FOFAR</t>
  </si>
  <si>
    <t>TOTAL CONSULTAS, FELICITACIONES O SUGERENCIAS</t>
  </si>
  <si>
    <t>Sugerencias</t>
  </si>
  <si>
    <t>Felicitaciones</t>
  </si>
  <si>
    <t>Solicitudes</t>
  </si>
  <si>
    <t>Solicitudes Ley 20.285 (Ley de Transparencia)</t>
  </si>
  <si>
    <t xml:space="preserve">SECCIÓN B: ACTIVIDADES DE PARTICIPACIÓN SOCIAL </t>
  </si>
  <si>
    <t xml:space="preserve">SECCIÓN B.1: ACTIVIDADES SEGÚN INSTANCIAS DE PARTICIPACIÓN SOCIAL </t>
  </si>
  <si>
    <t>TIPO DE ACTIVIDADES</t>
  </si>
  <si>
    <t>INSTANCIAS DE PARTICIPACIÓN SOCIAL</t>
  </si>
  <si>
    <t>Uso de TICS y/o Redes Sociales</t>
  </si>
  <si>
    <t>PARTICIPANTES</t>
  </si>
  <si>
    <t>Consejos de la Sociedad Civil (COSOC)</t>
  </si>
  <si>
    <t>Instancias de participación de Adolescentes y Jóvenes</t>
  </si>
  <si>
    <t xml:space="preserve">Consejos Consultivos de Usuarios </t>
  </si>
  <si>
    <t>Consejo de Desarrollo Local</t>
  </si>
  <si>
    <t>Consejo de Integración de la Red Asistencial (CIRA)</t>
  </si>
  <si>
    <t>Comités o Mesas de Trabajo</t>
  </si>
  <si>
    <t>Cabildos Ciudadanos Territoriales y Sectoriales</t>
  </si>
  <si>
    <t>Instancias de Participación Indígena en Salud</t>
  </si>
  <si>
    <t>Consejo Interreligioso</t>
  </si>
  <si>
    <t>Otras Instancias de participación</t>
  </si>
  <si>
    <t>Total Ambos Sexos</t>
  </si>
  <si>
    <t>Administración y/o gestión</t>
  </si>
  <si>
    <t>Reuniones con el intrasector</t>
  </si>
  <si>
    <t>Reuniones con el intersector</t>
  </si>
  <si>
    <t>Asesoría técnica</t>
  </si>
  <si>
    <t>Jornadas de intercambio de experiencias</t>
  </si>
  <si>
    <t>Actividades de difusión y comunicación</t>
  </si>
  <si>
    <t>Educación y capacitación comunitaria</t>
  </si>
  <si>
    <t>Eventos masivos (asambleas, cabildos, otros)</t>
  </si>
  <si>
    <t>Pasantías</t>
  </si>
  <si>
    <t>Comunidades de aprendizaje</t>
  </si>
  <si>
    <t>Mentorías</t>
  </si>
  <si>
    <t>SECCIÓN B.2: TOTAL DE SESIONES SEGÚN LÍNEAS DE ACCIÓN Y PARTICIPANTES</t>
  </si>
  <si>
    <t>LÍNEAS DE ACCIÓN</t>
  </si>
  <si>
    <t>N° DE SESIONES</t>
  </si>
  <si>
    <t>REPRESENTANTES</t>
  </si>
  <si>
    <t>Consejo de Desarrollo Local (CDL)</t>
  </si>
  <si>
    <t>Organizaciones sociales</t>
  </si>
  <si>
    <t>Instancias de Participación Indígena</t>
  </si>
  <si>
    <t>Cuentas públicas participativas</t>
  </si>
  <si>
    <t>Presupuestos participativos</t>
  </si>
  <si>
    <t>Consultas y/o Diálogos ciudadanos</t>
  </si>
  <si>
    <t>Participación en Proyectos de Inversión</t>
  </si>
  <si>
    <t>Apoyo al Voluntariado</t>
  </si>
  <si>
    <t>Diagnóstico Participativo</t>
  </si>
  <si>
    <t>Planificación Participativa</t>
  </si>
  <si>
    <t>Ejecución Participativa</t>
  </si>
  <si>
    <t>Monitoreo y/o Evaluación Participativa</t>
  </si>
  <si>
    <t>Sistematización Participativa</t>
  </si>
  <si>
    <t>Capacitación y/o Formación de equipos y directivos de salud</t>
  </si>
  <si>
    <t>Capacitación y/o Formación de Dirigentes, Comunidad y representantes de la Sociedad Civil</t>
  </si>
  <si>
    <t>Actividades con pueblos originarios</t>
  </si>
  <si>
    <t>Actividades con migrantes</t>
  </si>
  <si>
    <t xml:space="preserve">SECCIÓN C: ACTIVIDADES DE SATISFACCIÓN USUARIA Y HUMANIZACIÓN DE LA ATENCIÓN </t>
  </si>
  <si>
    <t xml:space="preserve">SECCIÓN C.1: ACTIVIDADES DE GESTIÓN DE LA SATISFACCIÓN USUARIA Y HUMANIZACIÓN DE LA ATENCIÓN </t>
  </si>
  <si>
    <t>Comités Gestión Usuaria: Análisis de reclamos</t>
  </si>
  <si>
    <t>Comités Gestión Usuaria: Planes de mejora</t>
  </si>
  <si>
    <t>Medición de Satisfacción Usuaria</t>
  </si>
  <si>
    <t>Acompañamiento Espiritual</t>
  </si>
  <si>
    <t>Asistencia Religiosa</t>
  </si>
  <si>
    <t>Asistencia Espiritual Indígena</t>
  </si>
  <si>
    <t>Hospital Amigo</t>
  </si>
  <si>
    <t>Administración y gestión</t>
  </si>
  <si>
    <t>Reuniones intrasector</t>
  </si>
  <si>
    <t>Reuniones intersector</t>
  </si>
  <si>
    <t>SECCIÓN C.2: TOTAL DE SESIONES SEGÚN LÍNEAS DE ACCIÓN Y PARTICIPANTES</t>
  </si>
  <si>
    <t xml:space="preserve">               </t>
  </si>
  <si>
    <t xml:space="preserve">                                                                             </t>
  </si>
  <si>
    <t>REM-21.   QUIRÓFANOS Y OTROS RECURSOS HOSPITALARIOS</t>
  </si>
  <si>
    <t>SECCIÓN A:  CAPACIDAD INSTALADA Y UTILIZACIÓN DE LOS QUIRÓFANOS CIRUGÍA MAYOR</t>
  </si>
  <si>
    <t>TIPO DE QUIRÓFANOS</t>
  </si>
  <si>
    <t>Número de Quirófanos en Dotación</t>
  </si>
  <si>
    <t>Promedio Mensual de Quirófanos Habilitados</t>
  </si>
  <si>
    <t>Promedio Mensual de Quirófanos en Trabajo</t>
  </si>
  <si>
    <t>Total de Horas Mensuales de Quirófanos Habilitados (Horario Hábil)</t>
  </si>
  <si>
    <t>Total de Horas Mensuales de Quirófanos en Trabajo (Horario Hábil)</t>
  </si>
  <si>
    <t>QUIRÓFANOS CIRUGIA MAYOR</t>
  </si>
  <si>
    <t>CIRUGIAS MENORES Y PROCEDIMIENTOS *</t>
  </si>
  <si>
    <r>
      <t xml:space="preserve">Horas Mensuales </t>
    </r>
    <r>
      <rPr>
        <b/>
        <sz val="8"/>
        <color theme="1"/>
        <rFont val="Verdana"/>
      </rPr>
      <t>Programadas</t>
    </r>
    <r>
      <rPr>
        <sz val="8"/>
        <color theme="1"/>
        <rFont val="Verdana"/>
      </rPr>
      <t xml:space="preserve"> de Tabla Quirúrgica de Quirófanos en Trabajo, Horario Hábil</t>
    </r>
  </si>
  <si>
    <r>
      <t xml:space="preserve">Horas Mensuales </t>
    </r>
    <r>
      <rPr>
        <b/>
        <sz val="8"/>
        <color theme="1"/>
        <rFont val="Verdana"/>
      </rPr>
      <t xml:space="preserve">Ocupadas </t>
    </r>
    <r>
      <rPr>
        <sz val="8"/>
        <color theme="1"/>
        <rFont val="Verdana"/>
      </rPr>
      <t>de Quirófanos en Trabajo Horario Hábil</t>
    </r>
  </si>
  <si>
    <r>
      <t xml:space="preserve">Horas Mensuales </t>
    </r>
    <r>
      <rPr>
        <b/>
        <sz val="8"/>
        <color theme="1"/>
        <rFont val="Verdana"/>
      </rPr>
      <t>Ocupadas</t>
    </r>
    <r>
      <rPr>
        <sz val="8"/>
        <color theme="1"/>
        <rFont val="Verdana"/>
      </rPr>
      <t xml:space="preserve"> de Quirófanos en Trabajo Horario Inhábil de Lunes a Viernes</t>
    </r>
  </si>
  <si>
    <r>
      <t xml:space="preserve">Horas Mensuales </t>
    </r>
    <r>
      <rPr>
        <b/>
        <sz val="8"/>
        <color theme="1"/>
        <rFont val="Verdana"/>
      </rPr>
      <t>Ocupadas</t>
    </r>
    <r>
      <rPr>
        <sz val="8"/>
        <color theme="1"/>
        <rFont val="Verdana"/>
      </rPr>
      <t xml:space="preserve"> de Quirófanos en Trabajo Horario Sábado, Domingo y Festivo</t>
    </r>
  </si>
  <si>
    <r>
      <t xml:space="preserve">Total Horas Mensuales </t>
    </r>
    <r>
      <rPr>
        <b/>
        <sz val="8"/>
        <color theme="1"/>
        <rFont val="Verdana"/>
      </rPr>
      <t>Ocupadas</t>
    </r>
    <r>
      <rPr>
        <sz val="8"/>
        <color theme="1"/>
        <rFont val="Verdana"/>
      </rPr>
      <t xml:space="preserve"> de Quirófanos en Trabajo, Horario Hábil</t>
    </r>
  </si>
  <si>
    <r>
      <t>Total Horas Mensuales</t>
    </r>
    <r>
      <rPr>
        <b/>
        <sz val="8"/>
        <color theme="1"/>
        <rFont val="Verdana"/>
      </rPr>
      <t xml:space="preserve"> Ocupadas</t>
    </r>
    <r>
      <rPr>
        <sz val="8"/>
        <color theme="1"/>
        <rFont val="Verdana"/>
      </rPr>
      <t xml:space="preserve"> de Quirófanos en Trabajo, Horario Inhábil</t>
    </r>
  </si>
  <si>
    <t>Beneficiarios MAI</t>
  </si>
  <si>
    <t>Beneficiarios MLE</t>
  </si>
  <si>
    <t>De recambio</t>
  </si>
  <si>
    <t>Cirugía Menor</t>
  </si>
  <si>
    <t>Otros Procedimientos</t>
  </si>
  <si>
    <t>TOTAL QUIRÓFANOS</t>
  </si>
  <si>
    <t>De Cirugía Electiva</t>
  </si>
  <si>
    <t>De Urgencia</t>
  </si>
  <si>
    <t>Obstétrico</t>
  </si>
  <si>
    <t>Indiferenciado</t>
  </si>
  <si>
    <r>
      <rPr>
        <b/>
        <sz val="11"/>
        <color theme="1"/>
        <rFont val="Verdana"/>
      </rPr>
      <t>*</t>
    </r>
    <r>
      <rPr>
        <b/>
        <sz val="12"/>
        <color theme="1"/>
        <rFont val="Verdana"/>
      </rPr>
      <t xml:space="preserve"> </t>
    </r>
    <r>
      <rPr>
        <b/>
        <sz val="8"/>
        <color theme="1"/>
        <rFont val="Verdana"/>
      </rPr>
      <t>Las</t>
    </r>
    <r>
      <rPr>
        <b/>
        <sz val="12"/>
        <color theme="1"/>
        <rFont val="Verdana"/>
      </rPr>
      <t xml:space="preserve"> </t>
    </r>
    <r>
      <rPr>
        <b/>
        <sz val="8"/>
        <color theme="1"/>
        <rFont val="Verdana"/>
      </rPr>
      <t>horas informadas en cirugía menores y procedimientos, deben estar contenidas en las horas ocupadas, en quirófanos para cirugía mayor.</t>
    </r>
  </si>
  <si>
    <t>SECCIÓN B:  PROCEDIMIENTOS COMPLEJOS AMBULATORIOS</t>
  </si>
  <si>
    <t>COMPONENTES</t>
  </si>
  <si>
    <t>Hemodiálisis</t>
  </si>
  <si>
    <t>Cirugía Mayor Ambulatoria</t>
  </si>
  <si>
    <t>Coronariografía</t>
  </si>
  <si>
    <t>Recurso Disponible</t>
  </si>
  <si>
    <t>Personas Atendidas</t>
  </si>
  <si>
    <t>Días Personas Atendidas</t>
  </si>
  <si>
    <t xml:space="preserve">SECCIÓN C:  HOSPITALIZACIÓN DOMICILIARIA Y ATENCIÓN VENTILATORIA EN DOMICILIO </t>
  </si>
  <si>
    <t xml:space="preserve">SECCIÓN C.1:HOSPITALIZACIÓN DOMICILIARIA </t>
  </si>
  <si>
    <t>SECCIÓN C.1.1:  PERSONAS ATENDIDAS EN EL PROGRAMA</t>
  </si>
  <si>
    <t xml:space="preserve">ORIGEN DE LA DERIVACIÓN </t>
  </si>
  <si>
    <t>SEXO</t>
  </si>
  <si>
    <t>Menor de 15 años</t>
  </si>
  <si>
    <t>20 - 59 años</t>
  </si>
  <si>
    <t>Ambulatorio</t>
  </si>
  <si>
    <t>Ley de Urgencia</t>
  </si>
  <si>
    <t>UGCC</t>
  </si>
  <si>
    <t>Fallecidos</t>
  </si>
  <si>
    <t>Esperados</t>
  </si>
  <si>
    <t xml:space="preserve">No esperados </t>
  </si>
  <si>
    <t xml:space="preserve">Reingresos a Hospitalización Tradicional	</t>
  </si>
  <si>
    <t xml:space="preserve">SECCIÓN C.1.2:  VISITAS REALIZADAS </t>
  </si>
  <si>
    <t>PROFESIONALES</t>
  </si>
  <si>
    <t>Total de Visitas</t>
  </si>
  <si>
    <t>Enfermera</t>
  </si>
  <si>
    <t>Matrona</t>
  </si>
  <si>
    <t>SECCIÓN C.1.3:  CUPOS DISPONIBLES EN UNIDAD DE HOSPITALIZACIÓN DOMICILIARIA</t>
  </si>
  <si>
    <t>N° de Cupos</t>
  </si>
  <si>
    <t>N° de cupos Campaña Invierno Adicionales</t>
  </si>
  <si>
    <t>N° de cupos Campaña de Invierno</t>
  </si>
  <si>
    <t xml:space="preserve">N° de cupos pediátricos </t>
  </si>
  <si>
    <t>N° de cupos Adultos</t>
  </si>
  <si>
    <t>N° de cupos Salud Mental</t>
  </si>
  <si>
    <t>Número Cupos Programados</t>
  </si>
  <si>
    <t>Número Cupos Utilizados</t>
  </si>
  <si>
    <t>Número de Cupos Disponibles</t>
  </si>
  <si>
    <t xml:space="preserve">SECCIÓN C.2 ATENCIÓN VENTILATORIA EN DOMICILIO </t>
  </si>
  <si>
    <t>SECCIÓN C.2.1: ASISTENCIA VENTILATORIA Y OXÍGENO EN DOMICILIO</t>
  </si>
  <si>
    <t>0-9 años</t>
  </si>
  <si>
    <t>Estrategia de Asistencia Ventilatoria Invasiva en Domicilio</t>
  </si>
  <si>
    <t>Estrategia de Asistencia Ventilatoria no Invasiva en Domicilio</t>
  </si>
  <si>
    <t>Estrategia Oxígeno Domiciliario para pacientes Crónicos</t>
  </si>
  <si>
    <t>SECCIÓN C.2.2: INGRESOS Y EGRESOS AL PROGRAMA ASISTENCIA VENTILATORIA  EN DOMICILIO</t>
  </si>
  <si>
    <t xml:space="preserve">INGRESOS </t>
  </si>
  <si>
    <t xml:space="preserve">Número de egresos </t>
  </si>
  <si>
    <t>Número de personas activas</t>
  </si>
  <si>
    <t>Número de controles médicos</t>
  </si>
  <si>
    <t>TOTAL
 (Ambos sexos)</t>
  </si>
  <si>
    <t>Asistencia Ventilatoria Invasiva Infantil (AVI)</t>
  </si>
  <si>
    <t>Asistencia Ventilatoria Invasiva Del Adulto (AVIA)</t>
  </si>
  <si>
    <t>Asistencia Ventilatoria no Invasiva Infantil (AVNI)</t>
  </si>
  <si>
    <t>Asistencia Ventilatoria no Invasiva Adulto (AVNIA)</t>
  </si>
  <si>
    <t>Oxigenoterapia Ambulatorio Crónico Respiratorio Infantil</t>
  </si>
  <si>
    <t>Oxigenoterapia Ambulatorio Crónico Respiratorio Adulto</t>
  </si>
  <si>
    <t>SECCIÓN C.2.3: INGRESO PROGRAMA ASISTENCIA VENTILATORIA Y OXÍGENO EN DOMICILIO SEGÚN DIAGNÓSTICO</t>
  </si>
  <si>
    <t xml:space="preserve">CAUSAS DE INGRESO </t>
  </si>
  <si>
    <t>Asistencia Ventilatoria  Invasiva Infantil (AVI)</t>
  </si>
  <si>
    <t>Asistencia Ventilatoria  Invasiva Del Adulto (AVIA)</t>
  </si>
  <si>
    <t>Enfermedad neuromuscular</t>
  </si>
  <si>
    <t>Daño pulmonar crónico</t>
  </si>
  <si>
    <t>Daño sistema nervioso central</t>
  </si>
  <si>
    <t>Sindrome genético</t>
  </si>
  <si>
    <t>Displasia Broncopulmonar</t>
  </si>
  <si>
    <t>SECCIÓN D: APOYO PSICOSOCIAL EN NIÑOS, NIÑAS Y ADOLESCENTES HOSPITALIZADOS</t>
  </si>
  <si>
    <t>INTERVENCIÓN</t>
  </si>
  <si>
    <t>Hasta 28 días</t>
  </si>
  <si>
    <t xml:space="preserve">29 días hasta menor de 1 año </t>
  </si>
  <si>
    <t>TOTAL DE EGRESOS (en el período)</t>
  </si>
  <si>
    <t>Egresados con Apoyo Psicosocial (en el período)</t>
  </si>
  <si>
    <t>Intervención Psicosocial</t>
  </si>
  <si>
    <t>Estimulación del Desarrollo</t>
  </si>
  <si>
    <t>Nº de Atenciones (en el mes)</t>
  </si>
  <si>
    <t>SECCIÓN E: GESTIÓN DE PROCESOS DE PACIENTES QUIRÚRGICOS CON CIRUGÍA ELECTIVA</t>
  </si>
  <si>
    <t>DÍAS DE ESTADA PREQUIRÚRGICOS</t>
  </si>
  <si>
    <t>PACIENTES INTERVENIDOS</t>
  </si>
  <si>
    <t>HORARIO HÁBIL</t>
  </si>
  <si>
    <t>INHABIL DE LUNES A VIERNES</t>
  </si>
  <si>
    <t>SÁBADO, DOMINGO Y FESTIVO</t>
  </si>
  <si>
    <t>Pacientes Programados</t>
  </si>
  <si>
    <t>Pacientes Suspendidos</t>
  </si>
  <si>
    <t>15 y más años</t>
  </si>
  <si>
    <t>Cirugía Maxilofacial</t>
  </si>
  <si>
    <t>Traumatología</t>
  </si>
  <si>
    <t>Obstetricia Y Ginecología</t>
  </si>
  <si>
    <t>Ginecología</t>
  </si>
  <si>
    <t>Otras Especialidades</t>
  </si>
  <si>
    <t>Odontología</t>
  </si>
  <si>
    <t>SECCIÓN F: CAUSAS DE SUSPENSIÓN DE CIRUGÍAS ELECTIVAS</t>
  </si>
  <si>
    <t xml:space="preserve">CAUSAS DE SUSPENSIÓN ATRIBUIBLES A:
</t>
  </si>
  <si>
    <t>Nº DE PERSONAS</t>
  </si>
  <si>
    <t>Paciente</t>
  </si>
  <si>
    <t>Administrativas</t>
  </si>
  <si>
    <t>Unidad de Apoyo Clínico</t>
  </si>
  <si>
    <t>Unidad de Apoyo Logístico</t>
  </si>
  <si>
    <t>Equipo Quirúrgico</t>
  </si>
  <si>
    <t>Infraestructura</t>
  </si>
  <si>
    <t>Emergencias</t>
  </si>
  <si>
    <t>Gremiales</t>
  </si>
  <si>
    <t>SECCIÓN G: ESTERILIZACIONES QUIRÚRGICAS</t>
  </si>
  <si>
    <t>Menor 
de 20 años</t>
  </si>
  <si>
    <t>20 - 34 años</t>
  </si>
  <si>
    <t>35 y más años</t>
  </si>
  <si>
    <t>SECCIÓN H : CAPACIDAD INSTALADA DE  QUIRÓFANOS DE CIRUGÍA MENOR</t>
  </si>
  <si>
    <t xml:space="preserve">  Horas Mensuales de Quirófanos Programadas   en Horario Hábil  </t>
  </si>
  <si>
    <t>Horas Mensuales de Quirófanos Programadas   en   Horario Inhábil de Lunes a Viernes</t>
  </si>
  <si>
    <t>Horas Mensuales Programadas    Sabado, Domingo, Festivo.</t>
  </si>
  <si>
    <t xml:space="preserve">  Horas Mensuales de Quirófanos Ocupadas   en Horario Hábil  </t>
  </si>
  <si>
    <t>Horas Mensuales de Quirófanos Ocupadas   en   Horario Inhábil de Lunes a Viernes</t>
  </si>
  <si>
    <t>Horas Mensuales Ocupadas Sabado, Domingo, Festivo.</t>
  </si>
  <si>
    <t>Medicina</t>
  </si>
  <si>
    <t>Odontología (quirófanos exclusivos de odontología)</t>
  </si>
  <si>
    <t>SECCIÓN I: GESTIÓN DE PROCESOS DE PACIENTES QUIRÚRGICOS CON CIRUGÍA MENOR</t>
  </si>
  <si>
    <t>Personas menor de 15 años Intervenidas  en Horario Hábil</t>
  </si>
  <si>
    <t>Personas mayores de  15 años y más Intervenidas en Horario Hábil</t>
  </si>
  <si>
    <t>Personas Programadas  Horario Hábil</t>
  </si>
  <si>
    <t>Personas Suspendidas Horario Hábil</t>
  </si>
  <si>
    <t>Personas Programadas  horario Inhábil de Lunes a Viernes</t>
  </si>
  <si>
    <t>Personas Suspendidas horario Inhábil de Lunes a Viernes</t>
  </si>
  <si>
    <t>Personas Programadas  Sábado, Domingo y Festivo</t>
  </si>
  <si>
    <t>Personas Suspendidas Sábado, Domingo y Festivo</t>
  </si>
  <si>
    <t xml:space="preserve">Otras Especialidades </t>
  </si>
  <si>
    <t xml:space="preserve">SECCIÓN J: PROCEDIMIENTO ONCOLOGICOS </t>
  </si>
  <si>
    <t>INTERVENCIONES</t>
  </si>
  <si>
    <t xml:space="preserve">Menores de 18 años </t>
  </si>
  <si>
    <t xml:space="preserve"> Hombres</t>
  </si>
  <si>
    <t xml:space="preserve">Quimioterapia oral </t>
  </si>
  <si>
    <t>Quimioterapias en Pacientes Ambulatorios</t>
  </si>
  <si>
    <t>Quimioterapias en Pacientes Hospitalizados</t>
  </si>
  <si>
    <t>Teleterapia por tratamiento</t>
  </si>
  <si>
    <t>Braquiterapia por sesión</t>
  </si>
  <si>
    <t>PET CT</t>
  </si>
  <si>
    <t>SPECT CT/SPECT/Gamma cámara</t>
  </si>
  <si>
    <t>Yodoterapia en pacientes ambulatorios</t>
  </si>
  <si>
    <t xml:space="preserve">Yodoterapia Hospitalaria en paciente hospitalizadas </t>
  </si>
  <si>
    <t>REM-23.   SALAS: IRA, ERA Y MIXTAS EN APS</t>
  </si>
  <si>
    <t>SECCIÓN A: INGRESOS AGUDOS SEGÚN DIAGNOSTICO DERIVADOS A SALA</t>
  </si>
  <si>
    <t>DIAGNÓSTICOS</t>
  </si>
  <si>
    <t>Menor de 1 año</t>
  </si>
  <si>
    <t>1 - 4 
años</t>
  </si>
  <si>
    <t>5 - 9 
años</t>
  </si>
  <si>
    <t>I.R.A. alta</t>
  </si>
  <si>
    <t>Influenza</t>
  </si>
  <si>
    <t>Coqueluche</t>
  </si>
  <si>
    <t>Bronquitis obstructiva aguda</t>
  </si>
  <si>
    <t>Otras IRAS bajas</t>
  </si>
  <si>
    <t>Exacerbación síndrome bronquial obstructivo recurrente (SBOR)</t>
  </si>
  <si>
    <t>Exacerbación Asma</t>
  </si>
  <si>
    <t>Exacerbación de enfermedad pulmonar obstructiva crónica (EPOC)</t>
  </si>
  <si>
    <t>Exacerbación fibrosis quística</t>
  </si>
  <si>
    <t>Exacerbación otras respiratorias crónicas</t>
  </si>
  <si>
    <t>SECCIÓN B: INGRESO CRÓNICO SEGÚN DIAGNÓSTICO (SÓLO MÉDICO)</t>
  </si>
  <si>
    <t>DIAGNÓSTICO O PROGRAMA</t>
  </si>
  <si>
    <t>Reingresos</t>
  </si>
  <si>
    <t>Síndrome bronquial obstructivo recurrente (SBOR)</t>
  </si>
  <si>
    <t>Severo</t>
  </si>
  <si>
    <t>Asma bronquial</t>
  </si>
  <si>
    <t>Enfermedad pulmonar obstructiva crónica (EPOC)</t>
  </si>
  <si>
    <t>Tipo A</t>
  </si>
  <si>
    <t>Tipo B</t>
  </si>
  <si>
    <t>Displasia broncopulmonar</t>
  </si>
  <si>
    <t>Fibrosis quística</t>
  </si>
  <si>
    <t>Oxígeno dependiente</t>
  </si>
  <si>
    <t xml:space="preserve">Asistencia ventilatoria no invasiva o invasiva </t>
  </si>
  <si>
    <t>Otras respiratorias crónicas</t>
  </si>
  <si>
    <t>SECCION C: EGRESOS</t>
  </si>
  <si>
    <t>CAUSAL</t>
  </si>
  <si>
    <t>Síndrome bronquial obstructiva recurrente (SBOR)</t>
  </si>
  <si>
    <t>SECCIÓN D: CONSULTAS DE MORBILIDAD POR ENFERMEDADES RESPIRATORIAS EN SALAS IRA, ERA Y MIXTA</t>
  </si>
  <si>
    <t>SECCIÓN E: CONTROLES REALIZADOS (CRONICOS)</t>
  </si>
  <si>
    <t>SECCIÓN F: SEGUIMIENTO DE ATENCIONES REALIZADAS EN AGUDOS</t>
  </si>
  <si>
    <t>SECCIÓN G: INASISTENTES A CONTROL DE CRÓNICOS</t>
  </si>
  <si>
    <t>S.B.O. recurrente</t>
  </si>
  <si>
    <t>Asma</t>
  </si>
  <si>
    <t>Enfermedad Pulmonar Obstructiva Crónica</t>
  </si>
  <si>
    <t>SECCIÓN H: INASISTENTES A CITACIÓN AGENDADA</t>
  </si>
  <si>
    <t>De 20 años y más</t>
  </si>
  <si>
    <t>SECCIÓN I: PROCEDIMIENTOS REALIZADOS</t>
  </si>
  <si>
    <t>PROCEDIMIENTO</t>
  </si>
  <si>
    <t xml:space="preserve">Espirometría basal </t>
  </si>
  <si>
    <t>Espirometría post BD</t>
  </si>
  <si>
    <t xml:space="preserve">Flujometría basal </t>
  </si>
  <si>
    <t>Flujometría post BD</t>
  </si>
  <si>
    <t>Pimometría</t>
  </si>
  <si>
    <t>Test de provocación con ejercicio</t>
  </si>
  <si>
    <t>Test de marcha 6 minutos</t>
  </si>
  <si>
    <t>Sesiones de kinesioterapia respiratoria</t>
  </si>
  <si>
    <t>Toma de muestra secreción mucosa/bronquial</t>
  </si>
  <si>
    <t>SECCIÓN J: DERIVACIÓN DE PACIENTES SEGÚN DESTINO</t>
  </si>
  <si>
    <t>DESTINO</t>
  </si>
  <si>
    <t>Unidad emergencia hospitalaria (UEH)</t>
  </si>
  <si>
    <t>SAPU, SUR O SAR</t>
  </si>
  <si>
    <t>CAE / CDT / CRS</t>
  </si>
  <si>
    <t>SECCIÓN K: RECEPCIÓN DE PACIENTES SEGÚN ORIGEN</t>
  </si>
  <si>
    <t>SAPU , SUR O SAR</t>
  </si>
  <si>
    <t>Consulta de morbilidad</t>
  </si>
  <si>
    <t>Extrasistema</t>
  </si>
  <si>
    <t>SECCIÓN L: HOSPITALIZACION ABREVIADA / INTERVENCION EN CRISIS RESPIRATORIA</t>
  </si>
  <si>
    <t>Bronquitis obstructiva</t>
  </si>
  <si>
    <t>Reagudización de SBOR</t>
  </si>
  <si>
    <t>Reagudización de asma</t>
  </si>
  <si>
    <t>Neumonía</t>
  </si>
  <si>
    <t>Reagudización de EPOC</t>
  </si>
  <si>
    <t>Otras respiratorias</t>
  </si>
  <si>
    <t>SECCIÓN M: EDUCACIÓN EN SALAS</t>
  </si>
  <si>
    <t>SECCIÓN M.1: EDUCACION INDIVIDUAL EN SALA</t>
  </si>
  <si>
    <t>Antitabaco</t>
  </si>
  <si>
    <t>Autocuidado según patología</t>
  </si>
  <si>
    <t>Uso de terapia inhalatoria</t>
  </si>
  <si>
    <t xml:space="preserve">Educacion integral en salud respiratoria </t>
  </si>
  <si>
    <t>Estilo de vida saludables</t>
  </si>
  <si>
    <t>SECCIÓN M.2: EDUCACIÓN GRUPAL (AGENDADA Y PROGRAMADA)</t>
  </si>
  <si>
    <t>TEMAS</t>
  </si>
  <si>
    <t>Nº Sesiones</t>
  </si>
  <si>
    <t>Nº Participantes</t>
  </si>
  <si>
    <t>Educación integral en salud respiratoria</t>
  </si>
  <si>
    <t>Pacientes, padres o cuidadores</t>
  </si>
  <si>
    <t>Salas cunas y jardines infantiles</t>
  </si>
  <si>
    <t>Antitabáco</t>
  </si>
  <si>
    <t xml:space="preserve">SECCIÓN N: VISITAS DOMICILIARIAS Y SEGUIMIENTO REALIZADOS POR EQUIPO IRA-ERA </t>
  </si>
  <si>
    <t>Hogar libre del humo del tabaco</t>
  </si>
  <si>
    <t>Por muerte de neumonía en domicilio</t>
  </si>
  <si>
    <t>Programa oxigenoterapia ambulatoria, AVNI, AVI, AVNIA, AVIA</t>
  </si>
  <si>
    <t>Seguimiento telefónico realizado por kinesiologo sala</t>
  </si>
  <si>
    <t>Otras visitas</t>
  </si>
  <si>
    <t xml:space="preserve">SECCIÓN O: REHABILITACION PULMONAR Y ACTIVIDAD FÍSICA </t>
  </si>
  <si>
    <t>TOTAL DE ACTIVIDADES</t>
  </si>
  <si>
    <t>EPOC A</t>
  </si>
  <si>
    <t>EPOC B</t>
  </si>
  <si>
    <t>Rehabilitación pulmonar</t>
  </si>
  <si>
    <t>Sesiones educativas</t>
  </si>
  <si>
    <t>Sesiones actividad física</t>
  </si>
  <si>
    <t>Articulación continuidad con intersector</t>
  </si>
  <si>
    <t>Planes de actividad física</t>
  </si>
  <si>
    <t>Diseño plan de trabajo</t>
  </si>
  <si>
    <t>Seguimiento presencial</t>
  </si>
  <si>
    <t>Seguimiento telefónico</t>
  </si>
  <si>
    <t>SECCIÓN P: REHABILITACION PULMONAR POST COVID</t>
  </si>
  <si>
    <t>15 - 64 años</t>
  </si>
  <si>
    <t>Rehabilitacion pulmonar post COVID</t>
  </si>
  <si>
    <t>Seguimiento telefonico</t>
  </si>
  <si>
    <t>SECCIÓN Q: APLICACIÓN DE ENCUESTA CALIDAD DE VIDA</t>
  </si>
  <si>
    <t>DIAGNÓSTICO</t>
  </si>
  <si>
    <t>ENCUESTAS REALIZADAS</t>
  </si>
  <si>
    <t>EPOC</t>
  </si>
  <si>
    <t>Reevaluación anual</t>
  </si>
  <si>
    <t>Otras crónicas respiratorias</t>
  </si>
  <si>
    <t>REM-A24.   ATENCIÓN OBSTÉTRICA Y DEL RECIÉN NACIDO</t>
  </si>
  <si>
    <t>SECCIÓN A: INFORMACIÓN GENERAL DE PARTOS</t>
  </si>
  <si>
    <t>CARACTERISTICAS DEL PARTO</t>
  </si>
  <si>
    <t>PARTOS SEGÚN EDAD DE LA MADRE</t>
  </si>
  <si>
    <t>PARTOS PREMATUROS (CONSIDERAR SOBRE 22 SEMANAS)</t>
  </si>
  <si>
    <t>Uso de oxitocina profiláctica</t>
  </si>
  <si>
    <t>ANESTESIA Y/O ANALGESIA DEL PARTO (MEDIDAS FARMACOLÓGICAS Y NO FARMACOLÓGICAS)</t>
  </si>
  <si>
    <r>
      <t>Ligadura tardía del cordón (</t>
    </r>
    <r>
      <rPr>
        <sz val="8"/>
        <rFont val="Aptos Narrow"/>
      </rPr>
      <t xml:space="preserve">&gt; </t>
    </r>
    <r>
      <rPr>
        <sz val="8"/>
        <rFont val="Verdana"/>
      </rPr>
      <t>a 60 segundos)</t>
    </r>
  </si>
  <si>
    <t>CONTACTO INMEDIATO PIEL A PIEL &gt;30 MINUTOS</t>
  </si>
  <si>
    <t>Lactancia materna en los primeros  60 minutos de vida  (RN con peso de 2.500 grs. o más)</t>
  </si>
  <si>
    <t>Alojamiento conjunto en puerperio inmediato</t>
  </si>
  <si>
    <t>Atención con pertinencia cultural</t>
  </si>
  <si>
    <t>Privada de Libertad</t>
  </si>
  <si>
    <t>&lt; 15 años</t>
  </si>
  <si>
    <t>≥35 años</t>
  </si>
  <si>
    <t>Partos prematuros menos de 24 semanas</t>
  </si>
  <si>
    <t>Partos prematuros de 24 a 28 semanas</t>
  </si>
  <si>
    <t>Partos prematuros de 29 a 32 semanas</t>
  </si>
  <si>
    <t>Partos prematuros de 33 a 36 semanas</t>
  </si>
  <si>
    <t>Anestesia Neuroaxial</t>
  </si>
  <si>
    <t>Óxido nitroso</t>
  </si>
  <si>
    <t>Analgesia endovenosa</t>
  </si>
  <si>
    <t>General</t>
  </si>
  <si>
    <t>Local</t>
  </si>
  <si>
    <t>Medidas no farmacológicas</t>
  </si>
  <si>
    <t>Con la Madre</t>
  </si>
  <si>
    <t>Con el padre o acompañante significativo</t>
  </si>
  <si>
    <t xml:space="preserve">RN peso menor o igual a 2.499 grs. </t>
  </si>
  <si>
    <t>RN con peso de 2.500 grs. o más</t>
  </si>
  <si>
    <t>TOTAL PARTOS</t>
  </si>
  <si>
    <t>Vaginal</t>
  </si>
  <si>
    <t>Instrumental</t>
  </si>
  <si>
    <t>Cesárea Electiva</t>
  </si>
  <si>
    <t>Cesárea Urgencia</t>
  </si>
  <si>
    <t>Parto prehospitalario (en establecimientos salud o ambulancias)</t>
  </si>
  <si>
    <t>Partos fuera de la red de salud</t>
  </si>
  <si>
    <t>Plan de parto</t>
  </si>
  <si>
    <t xml:space="preserve">Entrega de placenta a solicitud </t>
  </si>
  <si>
    <t>Embarazo no controlado</t>
  </si>
  <si>
    <t>Parto en domicilio</t>
  </si>
  <si>
    <t>Con atención profesional</t>
  </si>
  <si>
    <t>Sin atención profesional</t>
  </si>
  <si>
    <t>SECCION A.1: PARTOS VAGINALES *</t>
  </si>
  <si>
    <t>CARACTERÍSTICAS DEL MODELO DE ATENCIÓN</t>
  </si>
  <si>
    <t>&lt;28 semanas</t>
  </si>
  <si>
    <t>28 - 37 semanas</t>
  </si>
  <si>
    <t>38 semanas y más</t>
  </si>
  <si>
    <t>Espontáneo</t>
  </si>
  <si>
    <t>Inducidos</t>
  </si>
  <si>
    <t>Mecánica</t>
  </si>
  <si>
    <t>Farmacológica</t>
  </si>
  <si>
    <t>Conducción oxitócica</t>
  </si>
  <si>
    <t>Libertad de movimiento</t>
  </si>
  <si>
    <t>Régimen hídrico amplio</t>
  </si>
  <si>
    <t>Manejo del dolor</t>
  </si>
  <si>
    <t>No farmacológico</t>
  </si>
  <si>
    <t>Farmacológico</t>
  </si>
  <si>
    <t>Posición al momento del expulsivo</t>
  </si>
  <si>
    <t>Litotomía</t>
  </si>
  <si>
    <t>Otras posiciones</t>
  </si>
  <si>
    <t>Episiotomía</t>
  </si>
  <si>
    <t>Acompañamiento</t>
  </si>
  <si>
    <t>Durante el trabajo de parto</t>
  </si>
  <si>
    <t>Sólo en el expulsivo</t>
  </si>
  <si>
    <t>(*) Partos de Término y Pre-Término</t>
  </si>
  <si>
    <t>SECCION A.2: CESÁREAS (RESPONSABILIDAD DEL MÉDICO JEFE DEL SERVICIO DE OBSTETRICIA)</t>
  </si>
  <si>
    <t>CLASIFICACIÓN SEGÚN MODELO DE ROBSON</t>
  </si>
  <si>
    <t>Programada</t>
  </si>
  <si>
    <t>Grupo 1: Nulíparas, embarazo único, cefálica, ≥37 semanas en trabajo de parto espontáneo</t>
  </si>
  <si>
    <t>Grupo 2: Nulíparas, embarazo único, cefálica, ≥37 semanas, cesárea programada o con inducción de trabajo de parto</t>
  </si>
  <si>
    <t>Césarea por inducción fracasada</t>
  </si>
  <si>
    <t>Césarea programada</t>
  </si>
  <si>
    <t>Grupo 3: Multípara, sin cesárea previa, embarazo único, cefálica, ≥37 semanas en trabajo de parto espontáneo</t>
  </si>
  <si>
    <t>Grupo 4: Multípara, sin cesárea previa, embarazo único, cefálica, ≥37 semanas, cesárea programada o con inducción de trabajo de parto</t>
  </si>
  <si>
    <t>Grupo 5: multíparas con al menos 1 cesárea previa, embarazo unico, cefálica, ≥37 semanas</t>
  </si>
  <si>
    <t>5.1: con 1 cesárea previa</t>
  </si>
  <si>
    <t>5.2: 2 o más cesareas previas</t>
  </si>
  <si>
    <t>Grupo 6: Nulíparas, embarazo único, podálica</t>
  </si>
  <si>
    <t>Grupo 7: Multíparas, embarazo único, podálica, con 1 o más cesáreas previas</t>
  </si>
  <si>
    <t>Grupo 8: Todas las mujeres con embarazo múltiple, incluidas las que tienen 1 o más cesáreas previas</t>
  </si>
  <si>
    <t>Grupo 9: Embarazo único, transverso y oblicuo, incluidas las que tienen una o mas cesáreas previas</t>
  </si>
  <si>
    <t xml:space="preserve">Grupo 10: Todas las mujeres con embarazo único, cefálica, &lt;37 semanas, incluidas las que tienen 1 o más cesáreas </t>
  </si>
  <si>
    <t>Total cesáreas por requerimiento materno</t>
  </si>
  <si>
    <t>Nulípara</t>
  </si>
  <si>
    <t>Multípara</t>
  </si>
  <si>
    <t>Acompañamiento durante la cesárea</t>
  </si>
  <si>
    <t>SECCION A.3: COMPLICACIONES</t>
  </si>
  <si>
    <t>TIPO DE COMPLICACIÓN</t>
  </si>
  <si>
    <t>Atención Institucional</t>
  </si>
  <si>
    <t>Parto Espontáneo</t>
  </si>
  <si>
    <t>Parto Inducido</t>
  </si>
  <si>
    <t>Césarea</t>
  </si>
  <si>
    <t>Hemorragia post parto</t>
  </si>
  <si>
    <t>Inercia</t>
  </si>
  <si>
    <t>Restos</t>
  </si>
  <si>
    <t>Trauma</t>
  </si>
  <si>
    <t>Desgarros III y IV</t>
  </si>
  <si>
    <t>Alteraciones de la coagulación</t>
  </si>
  <si>
    <t>Preeclampsia severa</t>
  </si>
  <si>
    <t>Sepsis o infección sistémica grave</t>
  </si>
  <si>
    <t>Manejo quirúrgico de la inercia uterina</t>
  </si>
  <si>
    <t>Histerectomía obstétrica</t>
  </si>
  <si>
    <t>Anemia severa postmetrorragia que requiere transfusión</t>
  </si>
  <si>
    <t>SECCIÓN B: INTERRUPCIÓN VOLUNTARIA DEL EMBARAZO</t>
  </si>
  <si>
    <t>CAUSALES</t>
  </si>
  <si>
    <t>CONTINÚA EMBARAZO</t>
  </si>
  <si>
    <t>INTERRUMPE EMBARAZO</t>
  </si>
  <si>
    <t>Beneficiarias</t>
  </si>
  <si>
    <t>Rango Etario</t>
  </si>
  <si>
    <t>Menor de 14 años</t>
  </si>
  <si>
    <t>14 - 17 años</t>
  </si>
  <si>
    <t xml:space="preserve">Causal N° 1: Mujer embarazada con riesgo vital </t>
  </si>
  <si>
    <t>Causal N° 2: Inviabilidad fetal de carácter letal</t>
  </si>
  <si>
    <t>Causal N° 3: Por violación</t>
  </si>
  <si>
    <t>SECCIÓN B.1 PROGAMA DE ACOMPAÑAMIENTO IVE</t>
  </si>
  <si>
    <t>ATENCIONES DE ACOMPAÑAMIENTO</t>
  </si>
  <si>
    <t>CAUSAL IVE GESTANTE ATENDIDA</t>
  </si>
  <si>
    <t>Causal 1</t>
  </si>
  <si>
    <t>Causal 2</t>
  </si>
  <si>
    <t>Causal 3</t>
  </si>
  <si>
    <t>Atención por psiquiatra</t>
  </si>
  <si>
    <t>Atención por psicólogo(a)</t>
  </si>
  <si>
    <t>Atención por trabajador(a) social</t>
  </si>
  <si>
    <t>Atención por Dupla (psicólogo(a) + trabajador(a) social)</t>
  </si>
  <si>
    <t>Visita Domiciliaria</t>
  </si>
  <si>
    <t>SECCIÓN C: MÉTODO ANTICONCEPTIVO AL ALTA</t>
  </si>
  <si>
    <t>MÉTODO ANTICONCEPTIVO</t>
  </si>
  <si>
    <t>Intracesárea</t>
  </si>
  <si>
    <t>Post IVE</t>
  </si>
  <si>
    <t>DIU con Cobre</t>
  </si>
  <si>
    <t>DIU con Levonorgestrel</t>
  </si>
  <si>
    <t>Anillo de Progestágeno</t>
  </si>
  <si>
    <t>Métodos de barrera</t>
  </si>
  <si>
    <t>Esterilización quirúrgica</t>
  </si>
  <si>
    <t>Alta sin método anticonceptivo</t>
  </si>
  <si>
    <t>TOTAL ALTAS</t>
  </si>
  <si>
    <t>SECCIÓN D: INFORMACIÓN DE RECIÉN NACIDOS</t>
  </si>
  <si>
    <t>SECCIÓN D.1: INFORMACIÓN GENERAL DE RECIÉN NACIDOS VIVOS</t>
  </si>
  <si>
    <t>PESO AL NACER (EN GRAMOS)</t>
  </si>
  <si>
    <t>Anomalía Congénita</t>
  </si>
  <si>
    <t>Menos de 500</t>
  </si>
  <si>
    <t>500 a 999</t>
  </si>
  <si>
    <t>1.000 a 
1.499</t>
  </si>
  <si>
    <t>1.500 a 
1.999</t>
  </si>
  <si>
    <t>2.000 a 
2.499</t>
  </si>
  <si>
    <t>2.500 a 
2.999</t>
  </si>
  <si>
    <t>3.000 a 
3.999</t>
  </si>
  <si>
    <t>4.000 y 
más</t>
  </si>
  <si>
    <t>Nacidos vivos</t>
  </si>
  <si>
    <t>SECCIÓN D.2: ATENCION INMEDIATA DEL RECIEN NACIDO</t>
  </si>
  <si>
    <t>PROFILAXIS</t>
  </si>
  <si>
    <t>LESIONES POR TIPO DE PARTO</t>
  </si>
  <si>
    <t xml:space="preserve">APGAR  </t>
  </si>
  <si>
    <t xml:space="preserve">Reanimación Básica </t>
  </si>
  <si>
    <t xml:space="preserve">Reanimación Avanzada </t>
  </si>
  <si>
    <t>Encefalopatía Hipóxico Isquémica Grado I y II</t>
  </si>
  <si>
    <t>Encefalopatía Hipóxico Isquémica Grado III y IV</t>
  </si>
  <si>
    <t>Asfixia Neonatal</t>
  </si>
  <si>
    <t>Hepatitis B</t>
  </si>
  <si>
    <t>Ocular</t>
  </si>
  <si>
    <t>Parto Vaginal</t>
  </si>
  <si>
    <t>Parto Instrumental</t>
  </si>
  <si>
    <t>Cesárea</t>
  </si>
  <si>
    <t>Parto extrahospitalario</t>
  </si>
  <si>
    <t xml:space="preserve">Apgar menor o igual a 3 al minuto </t>
  </si>
  <si>
    <t xml:space="preserve">Apgar menor o igual a 6 a los 5 minutos </t>
  </si>
  <si>
    <t xml:space="preserve">SECCIÓN D.3: NACIDOS FALLECIDOS </t>
  </si>
  <si>
    <t>Anomalía congénita</t>
  </si>
  <si>
    <t>ACOMPAÑAMIENTO INTEGRAL DUELO PERINATAL</t>
  </si>
  <si>
    <t>Atención en Sala Diferenciada</t>
  </si>
  <si>
    <t>Entrega de recuerdos de maternidad/
paternidad</t>
  </si>
  <si>
    <t>Con acompañamiento psicosocial</t>
  </si>
  <si>
    <t xml:space="preserve">Padre o familiar significativo </t>
  </si>
  <si>
    <t>Abortos</t>
  </si>
  <si>
    <t>Mortinatos</t>
  </si>
  <si>
    <t>Mortineonatos</t>
  </si>
  <si>
    <t>SECCIÓN E: RECIÉN NACIDOS/AS EGRESADOS/AS DE SERVICIOS GINECO-OBSTÉTRICOS O DE NEONATOLOGÍA, SEGÚN TIPO DE ALIMENTACIÓN</t>
  </si>
  <si>
    <t>CRITERIOS DE EGRESO SEGÚN TIPO DE ALIMENTACIÓN</t>
  </si>
  <si>
    <t>Servicio Gineco-obstétrico</t>
  </si>
  <si>
    <t>Servicio Neonatología</t>
  </si>
  <si>
    <t>Total de recién nacidos/as* egresados/as</t>
  </si>
  <si>
    <t>Recién Nacidos/as* egresados/as con lactancia materna exclusiva durante toda la hospitalización y al alta</t>
  </si>
  <si>
    <t>Recién Nacidos/as* egresados/as que recuperaron lactancia materna exclusiva al alta</t>
  </si>
  <si>
    <t>Recién Nacidos/as* egresados/as con lactancia materna y fórmula láctea (mixta) al alta</t>
  </si>
  <si>
    <t>Recién Nacidos/as* egresados/as solo con fórmula láctea (excluye VIH, HTLV-1, Ley N° 21.155 y RN en proceso de protección y enfermedad grave de la madre con compromiso de conciencia)</t>
  </si>
  <si>
    <t xml:space="preserve">Recién Nacidos/as* egresados/as con madres serología positiva (VIH) </t>
  </si>
  <si>
    <t xml:space="preserve">Recién Nacidos/as* egresados/as con madres serología positiva (HTLV-1) </t>
  </si>
  <si>
    <t>Recién Nacidos/as* egresados/as con madres acogidas a la Ley N° 21.155 (Derecho a no amamantar)</t>
  </si>
  <si>
    <t>Recién Nacidos/as egresados/as solo con fórmula láctea por encontrarse en proceso de protección o ser hijo/hija de madre con enfermedad grave con compromiso de conciencia</t>
  </si>
  <si>
    <t>* Corresponde solo a recién nacidos/as vivos/as</t>
  </si>
  <si>
    <t>SECCIÓN F: CONSULTA DE LACTANCIA MATERNA EN SERVICIOS GINECO-OBSTÉTRICOS O DE NEONATOLOGÍA</t>
  </si>
  <si>
    <t>Consulta de lactancia materna</t>
  </si>
  <si>
    <t xml:space="preserve">Durante la hospitalización </t>
  </si>
  <si>
    <t xml:space="preserve">Posterior al alta </t>
  </si>
  <si>
    <t>Consulta de lactancia materna por profesional</t>
  </si>
  <si>
    <t>Matrón/a</t>
  </si>
  <si>
    <t>SECCIÓN G: TALLERES GRUPALES DE LACTANCIA MATERNA EN SERVICIOS GINECO-OBSTÉTRICOS</t>
  </si>
  <si>
    <t>Padres o acompañantes significativos que participan en talleres</t>
  </si>
  <si>
    <t>Número de Talleres de Lactancia Materna realizada en servicios Gineco-Obstétricos</t>
  </si>
  <si>
    <t>Número de Participantes de Talleres de Lactancia Materna realizada en servicios Gineco-Obstétricos</t>
  </si>
  <si>
    <t xml:space="preserve">SECCIÓN H:  TAMIZAJES DEL RECIÉN NACIDO </t>
  </si>
  <si>
    <t xml:space="preserve">SECCION H.1: PESQUISA NEONATAL AMPLIADA </t>
  </si>
  <si>
    <t>EXÁMENES</t>
  </si>
  <si>
    <t>PESQUISA NEONATAL AMPLIADA</t>
  </si>
  <si>
    <t>FIBROSIS QUÍSTICA</t>
  </si>
  <si>
    <t>Primeras Muestras (MO o M1)</t>
  </si>
  <si>
    <t>Exámenes de 2a punción</t>
  </si>
  <si>
    <t>2a muestra en &lt;36 semanas</t>
  </si>
  <si>
    <t>Exámenes positivos</t>
  </si>
  <si>
    <t>RN tamizados según piloto</t>
  </si>
  <si>
    <t>Recien nacidos tamizados</t>
  </si>
  <si>
    <t>SECCIÓN H.2:  TAMIZAJE AUDITIVO</t>
  </si>
  <si>
    <t>RECIEN NACIDOS VIVOS TAMIZADOS</t>
  </si>
  <si>
    <t>Tamizaje</t>
  </si>
  <si>
    <t>Re-tamizaje</t>
  </si>
  <si>
    <t>Total de recién nacidos tamizados</t>
  </si>
  <si>
    <t>Recién nacidos vivos que pasan</t>
  </si>
  <si>
    <t>Recién nacidos que refieren</t>
  </si>
  <si>
    <t>EXÁMENES REALIZADOS</t>
  </si>
  <si>
    <t>EOA</t>
  </si>
  <si>
    <t>PEATa</t>
  </si>
  <si>
    <t>Maternidad</t>
  </si>
  <si>
    <t>Servicio otorrinolaringología (realizado antes de los 6 meses de vida)</t>
  </si>
  <si>
    <t>SECCION H.3: TAMIZAJE CARDIOPATÍAS CONGÉNITAS</t>
  </si>
  <si>
    <t>Recien Nacidos Tamizados</t>
  </si>
  <si>
    <t xml:space="preserve">Recién  Nacidos referidos a Cardiología </t>
  </si>
  <si>
    <t>REM-25.  SERVICIOS DE SANGRE</t>
  </si>
  <si>
    <t>SECCIÓN A.1: POBLACIÓN DONANTE (CS-UTT-BS- CDD)</t>
  </si>
  <si>
    <t>DONANTES</t>
  </si>
  <si>
    <t>DESCRIPCIÓN</t>
  </si>
  <si>
    <t>17 años</t>
  </si>
  <si>
    <t>Altruistas</t>
  </si>
  <si>
    <t>Nuevos</t>
  </si>
  <si>
    <t>Aceptados</t>
  </si>
  <si>
    <t>Repetidos</t>
  </si>
  <si>
    <t>Reposición</t>
  </si>
  <si>
    <t>Total días atención otorgados</t>
  </si>
  <si>
    <t>Total colectas móviles realizadas</t>
  </si>
  <si>
    <t>SECCIÓN A.2:  TIPO DE DONANTES CON CONTRAINDICACIÓN (CS-UTT-BS- CDD)</t>
  </si>
  <si>
    <t>Contraindicación Transitoria</t>
  </si>
  <si>
    <t>Contraindicación Permanente</t>
  </si>
  <si>
    <t>SECCIÓN A.3: REACCIONES ADVERSAS A LA DONACIÓN (CS-UTT-BS - CDD)</t>
  </si>
  <si>
    <t>SUBTIPO</t>
  </si>
  <si>
    <t>Altruista</t>
  </si>
  <si>
    <t>Complicaciones con síntomas locales</t>
  </si>
  <si>
    <t>Sangre fuera de los vasos sanguíneos</t>
  </si>
  <si>
    <t>Hematoma</t>
  </si>
  <si>
    <t>Punción arterial</t>
  </si>
  <si>
    <t>Sangramiento posterior</t>
  </si>
  <si>
    <t>Dolor</t>
  </si>
  <si>
    <t>Irritación o injuria en un nervio</t>
  </si>
  <si>
    <t>Brazo doloroso</t>
  </si>
  <si>
    <t>Inflamación o infección localizada</t>
  </si>
  <si>
    <t>Tromboflebitis</t>
  </si>
  <si>
    <t>Celulitis</t>
  </si>
  <si>
    <t>Otras injurias mayores en los vasos sanguíneos</t>
  </si>
  <si>
    <t>Trombosis venosa profunda</t>
  </si>
  <si>
    <t>Fístula arteriovenosa</t>
  </si>
  <si>
    <t>Síndrome compartimental</t>
  </si>
  <si>
    <t>Pseudoaneurisma de la arteria braquial</t>
  </si>
  <si>
    <t>Complicaciones con síntomas generalizados</t>
  </si>
  <si>
    <t>Reacción vasovagal (RVV)</t>
  </si>
  <si>
    <t>Sin pérdida de conciencia</t>
  </si>
  <si>
    <t>Con pérdida de conciencia</t>
  </si>
  <si>
    <t>&lt;60 segundos, sin complicaciones</t>
  </si>
  <si>
    <t>≥ 60 segundos y/ o convulsiones o incontinencia</t>
  </si>
  <si>
    <t>Con lesión</t>
  </si>
  <si>
    <t>Sin lesión</t>
  </si>
  <si>
    <t>En el sitio de recolección</t>
  </si>
  <si>
    <t>Fuera del sitio de recolección</t>
  </si>
  <si>
    <t>Complicaciones relacionadas a la aféresis</t>
  </si>
  <si>
    <t>Reacción al citrato</t>
  </si>
  <si>
    <t>Hemólisis</t>
  </si>
  <si>
    <t>Embolismo aéreo</t>
  </si>
  <si>
    <t>Infiltración</t>
  </si>
  <si>
    <t>Reacción alérgica</t>
  </si>
  <si>
    <t>Alergia local</t>
  </si>
  <si>
    <t>Reacción alérgica generalizada (anafilaxia)</t>
  </si>
  <si>
    <t>Otras complicaciones graves a la donación de sangre</t>
  </si>
  <si>
    <t>Síntomas agudos cardíacos</t>
  </si>
  <si>
    <t>Infarto al miorcardio</t>
  </si>
  <si>
    <t>Paro cardiaco</t>
  </si>
  <si>
    <t>Ataque isquémico transitorio</t>
  </si>
  <si>
    <t>Accidente cerebrovascular</t>
  </si>
  <si>
    <t>Muerte</t>
  </si>
  <si>
    <t>Otras complicaciones</t>
  </si>
  <si>
    <t>Otras no mencionadas</t>
  </si>
  <si>
    <t>SECCIÓN B: INGRESO UNIDADES DE SANGRE A PRODUCCIÓN  (CS-CP-BS)</t>
  </si>
  <si>
    <t>UNIDADES DE SANGRE</t>
  </si>
  <si>
    <t>Aptas</t>
  </si>
  <si>
    <t>No aptas</t>
  </si>
  <si>
    <t>SECCIÓN C: ELABORACIÓN DE PRODUCTOS SANGUÍNEOS LÁBILES (CS- CP -BS)</t>
  </si>
  <si>
    <t>PRODUCCIÓN</t>
  </si>
  <si>
    <t>Glóbulos rojos</t>
  </si>
  <si>
    <t>Desplamatizados</t>
  </si>
  <si>
    <t>Leucoreducidos</t>
  </si>
  <si>
    <t>Bolsa con filtro</t>
  </si>
  <si>
    <t>Aféresis</t>
  </si>
  <si>
    <t>Plaquetas</t>
  </si>
  <si>
    <t>Estándar</t>
  </si>
  <si>
    <t>Leucorreducida pool</t>
  </si>
  <si>
    <t>Leucodepletada pool</t>
  </si>
  <si>
    <t>Plasmas</t>
  </si>
  <si>
    <t>Plasma fresco congelado terapéutico</t>
  </si>
  <si>
    <t>Plasma uso no terapéutico</t>
  </si>
  <si>
    <t>Crioprecipitados</t>
  </si>
  <si>
    <t>SECCIÓN C.1: PRODUCTOS SANGUÍNEOS LÁBILES ELIMINADOS (CS - CP - BS )</t>
  </si>
  <si>
    <t>CAUSA</t>
  </si>
  <si>
    <t>Globulos Rojos*</t>
  </si>
  <si>
    <t>Plasmas*</t>
  </si>
  <si>
    <t>Pool*</t>
  </si>
  <si>
    <t>Calificación microbiológica reactiva</t>
  </si>
  <si>
    <t>Obsolescencia</t>
  </si>
  <si>
    <t>Falla por cadena de frío en almacenamiento</t>
  </si>
  <si>
    <t xml:space="preserve">Falla por cadena de frío en transporte  </t>
  </si>
  <si>
    <t>* Cualquier tipo</t>
  </si>
  <si>
    <t>SECCIÓN C.2 .: PRODUCTOS SANGUÍNEOS LÁBILES ELIMINADOS (UTT)</t>
  </si>
  <si>
    <t>Falla por cadena de frío</t>
  </si>
  <si>
    <t>Devoluciones por producto por no cumplir estándar</t>
  </si>
  <si>
    <t>Descongelamiento sin uso</t>
  </si>
  <si>
    <t>SECCIÓN C.3 : PRODUCTOS SANGUÍNEOS LÁBILES TRANSFORMADOS POSTERIOR AL PROCESO PRODUCTIVO (BS - UTT)</t>
  </si>
  <si>
    <t>Unidades pediátricas</t>
  </si>
  <si>
    <t xml:space="preserve">Irradiación </t>
  </si>
  <si>
    <t xml:space="preserve">Reconstitu-ción para uso pediátrico (recambio) </t>
  </si>
  <si>
    <t xml:space="preserve">Reducción volumen </t>
  </si>
  <si>
    <t>Desplasmatización</t>
  </si>
  <si>
    <t>Filtrados posterior a producción</t>
  </si>
  <si>
    <t>Glóbulos rojos*</t>
  </si>
  <si>
    <t>SECCIÓN C.4: COMPONENTES SANGUÍNEOS DISTRIBUÍBLES (CS - CP)</t>
  </si>
  <si>
    <t>Filtrados</t>
  </si>
  <si>
    <t>SECCIÓN C.5: INSATISFACCIÓN STOCK ÓPTIMO (7 DÍAS) CS - CP - BS - UTT</t>
  </si>
  <si>
    <t>GR</t>
  </si>
  <si>
    <t>Número días bajo Stock Óptimo</t>
  </si>
  <si>
    <t>O +</t>
  </si>
  <si>
    <t>A +</t>
  </si>
  <si>
    <t>B +</t>
  </si>
  <si>
    <t>O ( - )</t>
  </si>
  <si>
    <t>A ( - )</t>
  </si>
  <si>
    <t>SECCIÓN C.6: INSATISFACCION STOCK CRÍTICO (3 DÍAS) CS - CP - BS - UTT</t>
  </si>
  <si>
    <t>Número días bajo Stock Crítico</t>
  </si>
  <si>
    <t>SECCIÓN D: COMPONENTES SANGUINEOS DISTRIBUIDOS (CS - CP) O TRANSFERIDOS (BS-UTT)</t>
  </si>
  <si>
    <t>Público</t>
  </si>
  <si>
    <t>Privado**</t>
  </si>
  <si>
    <t>FF.AA.</t>
  </si>
  <si>
    <t>**Universitarios, Clínicas Privadas, Otros</t>
  </si>
  <si>
    <t>SECCIÓN D.1: TRANSFUSIONES (UTT-BS)</t>
  </si>
  <si>
    <t>TRANSFUSIONES
 (Nº DE UNIDADES)</t>
  </si>
  <si>
    <t>Irradiados</t>
  </si>
  <si>
    <t>Pool</t>
  </si>
  <si>
    <t>SECCIÓN E: DEMANDA GLÓBULOS ROJOS PARA TRANSFUSIÓN  (UTT-BS)</t>
  </si>
  <si>
    <t>Unidades</t>
  </si>
  <si>
    <t>Solicitadas</t>
  </si>
  <si>
    <t>Despachadas</t>
  </si>
  <si>
    <t>SECCIÓN F: REACCIONES ADVERSAS POR ACTO* TRANSFUSIONAL (UTT-BS)</t>
  </si>
  <si>
    <t>TIPO COMPLICACIÓN</t>
  </si>
  <si>
    <t>ORIGEN</t>
  </si>
  <si>
    <t>Plasma</t>
  </si>
  <si>
    <t>Complicaciones agudas</t>
  </si>
  <si>
    <t>Inmunológico</t>
  </si>
  <si>
    <t>Reacción hemolítica aguda</t>
  </si>
  <si>
    <t>Reacción febril no hemolítica</t>
  </si>
  <si>
    <t xml:space="preserve">Anafilaxia/Hipersensibilidad </t>
  </si>
  <si>
    <t>Lesión pulmonar aguda relacionada con la transfusión (TRALI)</t>
  </si>
  <si>
    <t>Aloinmunización con destrucción plaquetaria inmediata</t>
  </si>
  <si>
    <t>Reacción Hemolítica aguda por inmunocompatibilidad ABO</t>
  </si>
  <si>
    <t xml:space="preserve">Reacción Hemolítica aguda por otra causa </t>
  </si>
  <si>
    <t>No inmunológico</t>
  </si>
  <si>
    <t>Contaminación bacteriana</t>
  </si>
  <si>
    <t>Sobrecarga circulatoria</t>
  </si>
  <si>
    <t>Hemólisis no inmune</t>
  </si>
  <si>
    <t>Complicaciones retardadas</t>
  </si>
  <si>
    <t>Reacción hemolítica retardada</t>
  </si>
  <si>
    <t>Aloinmunización frente a antígenos eritrocitarios</t>
  </si>
  <si>
    <t>Púrpura postransfusional</t>
  </si>
  <si>
    <t>Enfermedad injerto contra huésped postransfusional (EICHT)</t>
  </si>
  <si>
    <t>Hemosiderosis /hemocromatosis inducida por la  transfusión</t>
  </si>
  <si>
    <t>Transmisión de priones: variante de la enfermedad de Creutzfeldt-Jakob (vECJ)</t>
  </si>
  <si>
    <t>Formación de inhibidores</t>
  </si>
  <si>
    <t xml:space="preserve">Septicemia </t>
  </si>
  <si>
    <t xml:space="preserve">Transmisión de VIH post transfusional </t>
  </si>
  <si>
    <t xml:space="preserve">Transmisión de VHC post transfusional </t>
  </si>
  <si>
    <t xml:space="preserve">Transmisión de VHB post transfusional </t>
  </si>
  <si>
    <t xml:space="preserve">Transmisión de otros virus post transfusional </t>
  </si>
  <si>
    <t>Malaria/Paludismo post transfusional</t>
  </si>
  <si>
    <t>Otras Infecciones Parasitarias post transfusional (incluye Sífilis y Chagas)</t>
  </si>
  <si>
    <t>* Cada vez que el paciente se transfunde.</t>
  </si>
  <si>
    <t>SECCIÓN G: INMUNOHEMATOLOGIA</t>
  </si>
  <si>
    <t>SECCIÓN G.1: CLASIFICACIÓN SANGUÍNEA ABO-RhD (CS - CP - BS - UTT)</t>
  </si>
  <si>
    <t>FENOTIPO</t>
  </si>
  <si>
    <t>Pacientes</t>
  </si>
  <si>
    <t>O RhD+</t>
  </si>
  <si>
    <t>O RhD-</t>
  </si>
  <si>
    <t>A RhD+</t>
  </si>
  <si>
    <t>A RhD-</t>
  </si>
  <si>
    <t>B RhD+</t>
  </si>
  <si>
    <t>B RhD-</t>
  </si>
  <si>
    <t>AB RhD+</t>
  </si>
  <si>
    <t>AB RhD-</t>
  </si>
  <si>
    <t>Discrepante ABO</t>
  </si>
  <si>
    <t>Discrepante RhD</t>
  </si>
  <si>
    <t>SECCIÓN:G.2 DETECCIÓN DE ANTICUERPOS IRREGULARES (CS - CP - BS - UTT)</t>
  </si>
  <si>
    <t>DETECCIÓN</t>
  </si>
  <si>
    <t>Embarazadas</t>
  </si>
  <si>
    <t>Positivo</t>
  </si>
  <si>
    <t>Negativo</t>
  </si>
  <si>
    <t>Indeterminado</t>
  </si>
  <si>
    <t>SECCIÓN G.3: IDENTIFICACIÓN DE ANTICUERPOS IRREGULARES (CS - CP - BS - UTT)</t>
  </si>
  <si>
    <t>SISTEMA</t>
  </si>
  <si>
    <t>ANTICUERPO</t>
  </si>
  <si>
    <t>MNS</t>
  </si>
  <si>
    <t>M</t>
  </si>
  <si>
    <t>N</t>
  </si>
  <si>
    <t>S</t>
  </si>
  <si>
    <t>s</t>
  </si>
  <si>
    <t>P1PK</t>
  </si>
  <si>
    <t>P1</t>
  </si>
  <si>
    <t>Rh</t>
  </si>
  <si>
    <t>D</t>
  </si>
  <si>
    <t>C</t>
  </si>
  <si>
    <t>E</t>
  </si>
  <si>
    <t>c</t>
  </si>
  <si>
    <t>e</t>
  </si>
  <si>
    <t>LUTHERAN</t>
  </si>
  <si>
    <r>
      <t>Lu</t>
    </r>
    <r>
      <rPr>
        <vertAlign val="superscript"/>
        <sz val="8"/>
        <rFont val="Verdana"/>
      </rPr>
      <t>a</t>
    </r>
  </si>
  <si>
    <r>
      <t>Lu</t>
    </r>
    <r>
      <rPr>
        <vertAlign val="superscript"/>
        <sz val="8"/>
        <rFont val="Verdana"/>
      </rPr>
      <t>b</t>
    </r>
  </si>
  <si>
    <t>KELL</t>
  </si>
  <si>
    <t>K</t>
  </si>
  <si>
    <t>k</t>
  </si>
  <si>
    <r>
      <t>Kp</t>
    </r>
    <r>
      <rPr>
        <vertAlign val="superscript"/>
        <sz val="8"/>
        <rFont val="Verdana"/>
      </rPr>
      <t>a</t>
    </r>
  </si>
  <si>
    <t>LEWIS</t>
  </si>
  <si>
    <r>
      <t>Le</t>
    </r>
    <r>
      <rPr>
        <vertAlign val="superscript"/>
        <sz val="8"/>
        <rFont val="Verdana"/>
      </rPr>
      <t>a</t>
    </r>
  </si>
  <si>
    <r>
      <t>Le</t>
    </r>
    <r>
      <rPr>
        <vertAlign val="superscript"/>
        <sz val="8"/>
        <rFont val="Verdana"/>
      </rPr>
      <t>b</t>
    </r>
  </si>
  <si>
    <t>DUFFY</t>
  </si>
  <si>
    <r>
      <t>Fy</t>
    </r>
    <r>
      <rPr>
        <vertAlign val="superscript"/>
        <sz val="8"/>
        <rFont val="Verdana"/>
      </rPr>
      <t>a</t>
    </r>
  </si>
  <si>
    <r>
      <t>Fy</t>
    </r>
    <r>
      <rPr>
        <vertAlign val="superscript"/>
        <sz val="8"/>
        <rFont val="Verdana"/>
      </rPr>
      <t>b</t>
    </r>
  </si>
  <si>
    <t>KIDD</t>
  </si>
  <si>
    <r>
      <t>Jk</t>
    </r>
    <r>
      <rPr>
        <vertAlign val="superscript"/>
        <sz val="8"/>
        <rFont val="Verdana"/>
      </rPr>
      <t>a</t>
    </r>
  </si>
  <si>
    <r>
      <t>Jk</t>
    </r>
    <r>
      <rPr>
        <vertAlign val="superscript"/>
        <sz val="8"/>
        <rFont val="Verdana"/>
      </rPr>
      <t>b</t>
    </r>
  </si>
  <si>
    <t>DIEGO</t>
  </si>
  <si>
    <r>
      <t>Di</t>
    </r>
    <r>
      <rPr>
        <vertAlign val="superscript"/>
        <sz val="8"/>
        <rFont val="Verdana"/>
      </rPr>
      <t>a</t>
    </r>
  </si>
  <si>
    <r>
      <t>Di</t>
    </r>
    <r>
      <rPr>
        <vertAlign val="superscript"/>
        <sz val="8"/>
        <rFont val="Verdana"/>
      </rPr>
      <t>b</t>
    </r>
  </si>
  <si>
    <t xml:space="preserve">No concluyente  </t>
  </si>
  <si>
    <t>SECCIÓN G.4: PRUEBAS CRUZADAS ERITROCITARIAS (BS-UTT)</t>
  </si>
  <si>
    <t>PRUEBAS CRUZADAS</t>
  </si>
  <si>
    <t xml:space="preserve">de 18 y más años </t>
  </si>
  <si>
    <t>Compatible (Negativo)</t>
  </si>
  <si>
    <t>Incompatible (Positivo)</t>
  </si>
  <si>
    <t>SECCIÓN G.5: FENOTIPO ERITROCITARIO  (CS - BS - CP - UTT)</t>
  </si>
  <si>
    <t>DCce</t>
  </si>
  <si>
    <t>DCe</t>
  </si>
  <si>
    <t>DCcEe</t>
  </si>
  <si>
    <t>Dce</t>
  </si>
  <si>
    <t>DcEe</t>
  </si>
  <si>
    <t>DcE</t>
  </si>
  <si>
    <t>DCEe</t>
  </si>
  <si>
    <t>DCcE</t>
  </si>
  <si>
    <t>DCE</t>
  </si>
  <si>
    <t>ce</t>
  </si>
  <si>
    <t>Cce</t>
  </si>
  <si>
    <t>cEe</t>
  </si>
  <si>
    <t>CcEe</t>
  </si>
  <si>
    <t>TOTAL Rh</t>
  </si>
  <si>
    <t>K-k+</t>
  </si>
  <si>
    <t>K+k+</t>
  </si>
  <si>
    <t>K+k-</t>
  </si>
  <si>
    <t>TOTAL KELL</t>
  </si>
  <si>
    <t>Fy(a+b-)</t>
  </si>
  <si>
    <t>Fy(a+b+)</t>
  </si>
  <si>
    <t>Fy(a-b+)</t>
  </si>
  <si>
    <t>Fy(a-b-)</t>
  </si>
  <si>
    <t>TOTAL DUFFY</t>
  </si>
  <si>
    <t>Jk(a+b-)</t>
  </si>
  <si>
    <t>Jk(a+b+)</t>
  </si>
  <si>
    <t>Jk(a-b+)</t>
  </si>
  <si>
    <t>TOTAL KIDD</t>
  </si>
  <si>
    <t>SECCIÓN G.6: PRUEBA DE ANTIGLOBULINA DIRECTA EN PACIENTES (BS-UTT)</t>
  </si>
  <si>
    <t>PRUEBA DE ANTIGLOBULINA DIRECTA</t>
  </si>
  <si>
    <t>Poliespecífico</t>
  </si>
  <si>
    <t>Monoespecífico IgG</t>
  </si>
  <si>
    <t>Monoespecífico C3d</t>
  </si>
  <si>
    <t>SECCIÓN H: AFÉRESIS (UTT - BS -CS - CDD)</t>
  </si>
  <si>
    <t>SECCIÓN H.1: AFÉRESIS DE DONACIÓN (BS-UTT-CS - CDD)</t>
  </si>
  <si>
    <t>AFÉRESIS DE DONACIÓN</t>
  </si>
  <si>
    <t>TOTAL DONANTES</t>
  </si>
  <si>
    <t>Procedimientos para obtención de Glóbulos Rojos</t>
  </si>
  <si>
    <t>Procedimientos para obtención de Plaquetas</t>
  </si>
  <si>
    <t>Procedimientos para obtención de Plasma</t>
  </si>
  <si>
    <t>Procedimientos para obtención de Leucocitos</t>
  </si>
  <si>
    <t>Procedimientos para obtención de Progenitores Hematopoyéticos Periféricos autólogos</t>
  </si>
  <si>
    <t>Procedimientos para obtención de Progenitores Hematopoyéticos Periféricos alogénicos</t>
  </si>
  <si>
    <t>Procedimientos para obtención de Progenitores Hematopoyéticos desde Médula Ósea autólogo</t>
  </si>
  <si>
    <t>Procedimientos para obtención de Progenitores Hematopoyéticos desde Médula Ósea alogénico</t>
  </si>
  <si>
    <t>Procedimientos para obtención de Plasma Convalesciente o hiperinmune</t>
  </si>
  <si>
    <t>SECCIÓN H.2: AFÉRESIS TERAPÉUTICA (UTT-BS)</t>
  </si>
  <si>
    <t>AFÉRESIS TERAPÉUTICA</t>
  </si>
  <si>
    <t>TOTAL PACIENTES</t>
  </si>
  <si>
    <t>Procedimientos de Recambio de Glóbulos Rojos</t>
  </si>
  <si>
    <t>Procedimientos de Recambio Plasmático</t>
  </si>
  <si>
    <t>Procedimientos de Depleción de Glóbulos Rojos</t>
  </si>
  <si>
    <t>Procedimientos de Depleción de Plaquetas</t>
  </si>
  <si>
    <t>Procedimientos de Depleción de Leucocitos</t>
  </si>
  <si>
    <t>Procedimientos de Fotoféresis</t>
  </si>
  <si>
    <t>REM-26.  ACTIVIDADES EN DOMICILIO Y OTROS ESPACIOS</t>
  </si>
  <si>
    <t>SECCIÓN A: VISITAS DOMICILIARIAS INTEGRALES A FAMILIAS (ESTABLECIMIENTOS APS)</t>
  </si>
  <si>
    <t>Un Profesional</t>
  </si>
  <si>
    <t>Dos o Más Profesionales</t>
  </si>
  <si>
    <t xml:space="preserve">Un Profesional y Un Técnico En Enfermería </t>
  </si>
  <si>
    <t xml:space="preserve">Técnico En Enfermería </t>
  </si>
  <si>
    <t>Facilitador/a Intercultural Pueblos Originarios</t>
  </si>
  <si>
    <t>Agente Comunitario</t>
  </si>
  <si>
    <t>Primera Visita</t>
  </si>
  <si>
    <t>Segunda Visita</t>
  </si>
  <si>
    <t>Tercera o Más Visitas De Seguimiento</t>
  </si>
  <si>
    <t>Programa de Acompañamiento Psicosocial en APS</t>
  </si>
  <si>
    <t>Espacios Amigables/ Adolescente</t>
  </si>
  <si>
    <t>Gestante con 3 o más riesgos</t>
  </si>
  <si>
    <t>Familia con niño prematuro</t>
  </si>
  <si>
    <t>Familia con niño recién nacido</t>
  </si>
  <si>
    <t>Familia con niño con déficit del DSM</t>
  </si>
  <si>
    <t>Familia con niño en riesgo vincular afectivo</t>
  </si>
  <si>
    <t>Familia con niño de 0 a 12 meses con score de riesgo moderado de morir por neumonía</t>
  </si>
  <si>
    <t>Familia con niño de 0 a 12 meses con score de riesgo grave de morir por neumonía</t>
  </si>
  <si>
    <t>Familia con niño con problema respiratorio crónico o no controlado</t>
  </si>
  <si>
    <t>Familia con niño malnutrido</t>
  </si>
  <si>
    <t>Familia con niño con riesgo psicosocial (excluye vincular afectivo)</t>
  </si>
  <si>
    <t>Familia con adolescente en riesgo o problema psicosocial</t>
  </si>
  <si>
    <t>Familia con integrante con patología crónica descompensada</t>
  </si>
  <si>
    <t>Familia con adulto mayor dependediente (excluye dependiente severo)</t>
  </si>
  <si>
    <t>Familia con adulto mayor en riesgo psicosocial</t>
  </si>
  <si>
    <t>Familia con gestante adolescente 10 a 14 años</t>
  </si>
  <si>
    <t>Familia con gestante &gt;20 años en riesgo psicosocial</t>
  </si>
  <si>
    <t>Familia con gestante adolescente en riesgo psicosocial 15 a 19 años</t>
  </si>
  <si>
    <t>Familia con adolescente con problema respiratorio crónico o no controlado</t>
  </si>
  <si>
    <t>Familia con adulto con problema respiratorio crónico o no controlado</t>
  </si>
  <si>
    <t>Familia con gestante en riesgo biomédico</t>
  </si>
  <si>
    <t>Familia con otro riesgo psicosocial</t>
  </si>
  <si>
    <t>Familia con integrante con problema de salud mental</t>
  </si>
  <si>
    <t>Familia con niños/as de 5 a 9 años con problemas y/o trastornos de salud mental</t>
  </si>
  <si>
    <t>Familia con integrante alta hospitalización precoz</t>
  </si>
  <si>
    <t>Familia con integrante con multimorbilidad cronica (excluye dependencia severa)</t>
  </si>
  <si>
    <t>Familia con niños con necesidades especiales (NANEAS)</t>
  </si>
  <si>
    <t>Familia con NNA trans femenino/masculino</t>
  </si>
  <si>
    <t>SECCIÓN A.1: VISITAS DOMICILIARIAS INTEGRALES A PERSONAS CON DEPENDENCIA SEVERA Y SUS CUIDADORES</t>
  </si>
  <si>
    <t xml:space="preserve">Visita de Ingreso al PADDS </t>
  </si>
  <si>
    <t>Primera visita anual</t>
  </si>
  <si>
    <t>Segunda visita anual</t>
  </si>
  <si>
    <t>Tercera o más visitas de seguimiento anual</t>
  </si>
  <si>
    <t xml:space="preserve">Elaboración Plan Cuidado Integral a persona con dependencia severa </t>
  </si>
  <si>
    <t xml:space="preserve">Evaluación y actualización plan de cuidados a personas con dependencia severa </t>
  </si>
  <si>
    <t>Elaboración plan de cuidados a cuidador</t>
  </si>
  <si>
    <t xml:space="preserve">Evaluación y actualización plan de cuidados a cuidador </t>
  </si>
  <si>
    <t>Población en ECICEP</t>
  </si>
  <si>
    <t xml:space="preserve">Población ELEAM o institucionalizada </t>
  </si>
  <si>
    <t>A personas con dependencia severa en programa, por condiciones asociadas a dependencia severa</t>
  </si>
  <si>
    <t>Familia con integrante con dependencia severa con diagnóstico de demencia</t>
  </si>
  <si>
    <t>Familia con integrante con dependencia severa con etapa terminal (excluye estadíos avanzados de demencia)</t>
  </si>
  <si>
    <t>Familia con integrante con dependencia severa sin diagnóstico de demencia y/o que no se encuentra en etapa terminal</t>
  </si>
  <si>
    <t>A personas con dependencia severa, por rango etario</t>
  </si>
  <si>
    <t xml:space="preserve">10 - 14 años </t>
  </si>
  <si>
    <t>20 - 64 años</t>
  </si>
  <si>
    <t>SECCIÓN B: OTRAS VISITAS INTEGRALES</t>
  </si>
  <si>
    <t>Dos o Más 
Profesionales</t>
  </si>
  <si>
    <t xml:space="preserve">Un Profesional y 
un Técnico En Enfermería </t>
  </si>
  <si>
    <t>Visita epidemiológica</t>
  </si>
  <si>
    <t>A lugar de trabajo (*)</t>
  </si>
  <si>
    <t>A colegio, salas cuna, jardín infantil (*)</t>
  </si>
  <si>
    <t>Visita integral de salud mental</t>
  </si>
  <si>
    <t>A domicilio (Nivel secundario)</t>
  </si>
  <si>
    <t>A lugar de trabajo</t>
  </si>
  <si>
    <t>A establecimientos educacionales</t>
  </si>
  <si>
    <t>En sector rural</t>
  </si>
  <si>
    <t>(*) Excluye visita integral de salud mental.</t>
  </si>
  <si>
    <t>SECCIÓN C:  VISITAS CON FINES DE TRATAMIENTOS Y/O PROCEDIMIENTOS EN DOMICILIO A PERSONAS CON DEPENDENCIA</t>
  </si>
  <si>
    <t>TIPO DE DEPENDENCIA</t>
  </si>
  <si>
    <t>PROFESIONALES QUE PARTICIPAN EN LA VISITA DE TRATAMIENTO</t>
  </si>
  <si>
    <t>Población ELEAM o Institucionalizada</t>
  </si>
  <si>
    <t>Atención nutricional a personas con NED</t>
  </si>
  <si>
    <t>N° DE VISITAS REALIZADAS</t>
  </si>
  <si>
    <t>TOTAL PROFESIONALES</t>
  </si>
  <si>
    <t>Odontólogo/a</t>
  </si>
  <si>
    <t>Químico/a Farmacéutico/a</t>
  </si>
  <si>
    <t>Personas con dependencia leve</t>
  </si>
  <si>
    <t>Personas con dependencia moderada</t>
  </si>
  <si>
    <t>Personas con dependencia severa</t>
  </si>
  <si>
    <t>Oncológicos</t>
  </si>
  <si>
    <t>No oncológicos</t>
  </si>
  <si>
    <t>Entrega fármacos/alimentos</t>
  </si>
  <si>
    <t>Seguimiento remoto</t>
  </si>
  <si>
    <t>SECCIÓN D: RESCATE DE PACIENTES INASISTENTES</t>
  </si>
  <si>
    <t>RESCATE TELEFÓNICO</t>
  </si>
  <si>
    <t xml:space="preserve">Técnico en enfermería </t>
  </si>
  <si>
    <t xml:space="preserve">Menos de 1 año </t>
  </si>
  <si>
    <t>(*) No incluidas como producción del establecimiento.</t>
  </si>
  <si>
    <t>SECCIÓN E: OTRAS VISITAS PROGRAMA DE ACOMPAÑAMIENTO PSICOSOCIAL EN ATENCIÓN PRIMARIA</t>
  </si>
  <si>
    <t>GRUPOS</t>
  </si>
  <si>
    <t>TOTAL VISITAS</t>
  </si>
  <si>
    <t>Establecimiento educacional</t>
  </si>
  <si>
    <t>SECCIÓN F: VISITA A ESTABLECIMIENTO EDUCACIONAL PROGRAMA DE APOYO A LA SALUD MENTAL INFANTIL (PASMI) EN ATENCIÓN PRIMARIA</t>
  </si>
  <si>
    <t>Total Visitas 5 a 9 Años</t>
  </si>
  <si>
    <t>N° de Niños/as Visitados 5 a 9 Años</t>
  </si>
  <si>
    <t>SECCIÓN G: CONSULTAS Y CONTROLES  DE ESPECIALIDAD RESUELTAS POR VISITAS DOMICILIARIAS</t>
  </si>
  <si>
    <t>CONTROLES DE ESPECIALIDAD RESUELTOS POR VISITAS DOMICILIARIAS</t>
  </si>
  <si>
    <t>Pediatría (incluye totalidad de producción pediatrica de subespecialidades)</t>
  </si>
  <si>
    <t>Cirugía</t>
  </si>
  <si>
    <t>Enfermedad respiratoria de adulto (Broncopulmonar)</t>
  </si>
  <si>
    <t>Cardiología adulto</t>
  </si>
  <si>
    <t>Endocrinología adulto</t>
  </si>
  <si>
    <t>Reumatología adulto</t>
  </si>
  <si>
    <t>Infectología adulto</t>
  </si>
  <si>
    <t>Psiquiatría</t>
  </si>
  <si>
    <t>Otras Especialidades Adulto</t>
  </si>
  <si>
    <t>SECCIÓN H: ACTIVIDADES EXTRAMURALES (EXCLUYE SECCIONES Y SUBSECCIONES A, B y C)</t>
  </si>
  <si>
    <t>TIPO DE OPERATIVO</t>
  </si>
  <si>
    <t>N° OPERATIVOS</t>
  </si>
  <si>
    <t>0 - 14 años</t>
  </si>
  <si>
    <t>15 - 29 años</t>
  </si>
  <si>
    <t xml:space="preserve">45 - 59 años </t>
  </si>
  <si>
    <t>EMP</t>
  </si>
  <si>
    <t>Controles de Salud</t>
  </si>
  <si>
    <t>Consultas de Salud</t>
  </si>
  <si>
    <t>Toma de muestra de exámenes</t>
  </si>
  <si>
    <t>Vacunación</t>
  </si>
  <si>
    <t>REM-27.  EDUCACIÓN PARA LA SALUD</t>
  </si>
  <si>
    <t>SECCIÓN A: PERSONAS QUE INGRESAN A EDUCACIÓN GRUPAL SEGÚN ÁREAS TEMÁTICAS Y EDAD</t>
  </si>
  <si>
    <t>ÁREAS TEMÁTICAS DE PREVENCIÓN</t>
  </si>
  <si>
    <t>Madre, Padre o Cuidador de:</t>
  </si>
  <si>
    <t>Familias en Riesgo</t>
  </si>
  <si>
    <t xml:space="preserve">SENAME/ Servicio Nacional de Reinserción social Juvenil 
</t>
  </si>
  <si>
    <t>Niños/as 12 - 23 meses</t>
  </si>
  <si>
    <t>Niños/as de 2 - 5 años</t>
  </si>
  <si>
    <t>Niños/as de 6 - 9 años</t>
  </si>
  <si>
    <t>Niños/as de 10 - 14 años</t>
  </si>
  <si>
    <t>Nivel Secundario</t>
  </si>
  <si>
    <t>Nivel Terciario</t>
  </si>
  <si>
    <t>Educación en grupo</t>
  </si>
  <si>
    <t xml:space="preserve">Estimulación desarrollo psicomotor </t>
  </si>
  <si>
    <t>Nutrición</t>
  </si>
  <si>
    <t>Riesgo de malnutrición por exceso</t>
  </si>
  <si>
    <t>Malnutrición por exceso</t>
  </si>
  <si>
    <t>Malnutrición de déficit</t>
  </si>
  <si>
    <t>Sin riesgo de malnutrición</t>
  </si>
  <si>
    <t>Prevención de IRA - ERA</t>
  </si>
  <si>
    <t>Prevención de accidentes</t>
  </si>
  <si>
    <t>Salud buco-dental</t>
  </si>
  <si>
    <t>Prevención violencia de género</t>
  </si>
  <si>
    <t>Salud Sexual y reproductiva</t>
  </si>
  <si>
    <t>Talleres de climaterio</t>
  </si>
  <si>
    <t>Educación prenatal (Nutrición-lactancia-crianza-autocuidado-preparación parto y otros)</t>
  </si>
  <si>
    <t>Visita guiada a la maternidad</t>
  </si>
  <si>
    <t>Primigesta</t>
  </si>
  <si>
    <t>Promoción de salud mental</t>
  </si>
  <si>
    <t>Promoción del desarrollo infantil temprano</t>
  </si>
  <si>
    <t>Del lenguaje</t>
  </si>
  <si>
    <t>Motor</t>
  </si>
  <si>
    <t>Habilidades parentales</t>
  </si>
  <si>
    <t>Nadie es perfecto</t>
  </si>
  <si>
    <t>Familias fuertes</t>
  </si>
  <si>
    <t>Apoyo madre a madre</t>
  </si>
  <si>
    <t>Prevención de salud mental</t>
  </si>
  <si>
    <t>Prevención suicidio</t>
  </si>
  <si>
    <t>Prevención trastorno mental</t>
  </si>
  <si>
    <t>Prevención alcohol y drogas</t>
  </si>
  <si>
    <t>Antitabáquica (excluye REM 23)</t>
  </si>
  <si>
    <t>Prevención de la transmisión vertical de VIH-Sífilis</t>
  </si>
  <si>
    <t>Otras áreas temáticas</t>
  </si>
  <si>
    <t>Educación especial en adulto mayor</t>
  </si>
  <si>
    <t>Estimulación de memoria</t>
  </si>
  <si>
    <t>Prevención de caídas</t>
  </si>
  <si>
    <t>Estimulación de actividad física</t>
  </si>
  <si>
    <t>Auto cuidado</t>
  </si>
  <si>
    <t>Otras temáticas</t>
  </si>
  <si>
    <t>Uso racional de medicamentos</t>
  </si>
  <si>
    <t>Resistencia antimicrobianos</t>
  </si>
  <si>
    <t xml:space="preserve">Capacitación a Cuidadores  PADDS </t>
  </si>
  <si>
    <t>Autocuidado del Cuidador/a</t>
  </si>
  <si>
    <t>Cuidados de la persona con Dependencia</t>
  </si>
  <si>
    <t>⁠Redes y sistemas de apoyo a la diada del cuidado</t>
  </si>
  <si>
    <t>Cuidados de fin de vida y duelo</t>
  </si>
  <si>
    <t xml:space="preserve">Educación en seguridad vial </t>
  </si>
  <si>
    <t>SECCIÓN B: ACTIVIDADES DE EDUCACIÓN PARA LA SALUD SEGÚN PERSONAL QUE LAS REALIZA (SESIONES)</t>
  </si>
  <si>
    <t>Un profesional</t>
  </si>
  <si>
    <t xml:space="preserve">Dos o más profesionales </t>
  </si>
  <si>
    <t xml:space="preserve">Un profesional y un Técnico en Enfermería </t>
  </si>
  <si>
    <t xml:space="preserve">Facilitador/a Intercultural Pueblos Originarios </t>
  </si>
  <si>
    <t>Salud sexual y reproductiva</t>
  </si>
  <si>
    <t>SECCIÓN C: EDUCACIÓN GRUPAL A GESTANTES DE ALTO RIESGO OBSTÉTRICO (Nivel Secundario)</t>
  </si>
  <si>
    <t>Total de sesiones</t>
  </si>
  <si>
    <t>Preparación para el parto</t>
  </si>
  <si>
    <t>Taller de educación prenatal</t>
  </si>
  <si>
    <t>SECCIÓN D: TALLERES PROGRAMA "MÁS A.M AUTOVALENTES"</t>
  </si>
  <si>
    <t>TIPO DE TALLER</t>
  </si>
  <si>
    <t>Nº de sesiones</t>
  </si>
  <si>
    <t xml:space="preserve">N° de sesiones según Modalidad </t>
  </si>
  <si>
    <t>Nº de Participantes</t>
  </si>
  <si>
    <t>Presencial  Espacios comunitarios</t>
  </si>
  <si>
    <t xml:space="preserve">Presencial Domicilio </t>
  </si>
  <si>
    <t>Estimulación de funciones motoras y prevención de caídas</t>
  </si>
  <si>
    <t>Estimulación de funciones congnitivas</t>
  </si>
  <si>
    <t>Autocuidado y estilos de vida saludables</t>
  </si>
  <si>
    <t xml:space="preserve">                                                                                FORMATO DE TALLER </t>
  </si>
  <si>
    <t xml:space="preserve">Grupal </t>
  </si>
  <si>
    <t>SECCIÓN E: TALLERES PROGRAMA ELIGE VIDA SANA</t>
  </si>
  <si>
    <t>TALLER</t>
  </si>
  <si>
    <t>Madre, padre o cuidador de:</t>
  </si>
  <si>
    <t>Menores de 1 año</t>
  </si>
  <si>
    <t>Niños 12 - 23 meses</t>
  </si>
  <si>
    <t>Menor de 2 años</t>
  </si>
  <si>
    <t>Círculo de actividad física</t>
  </si>
  <si>
    <t>Círculo de vida sana</t>
  </si>
  <si>
    <t>Actividades masivas</t>
  </si>
  <si>
    <t>SECCIÓN F: INTERVENCIONES POR PATRÓN DE CONSUMO DE ALCOHOL, TABACO Y OTRAS DROGAS</t>
  </si>
  <si>
    <t>TIPO DE INTERVENCIÓN</t>
  </si>
  <si>
    <t>Nº de intervenciones</t>
  </si>
  <si>
    <t>Intervención Mínima
(Bajo riesgo)</t>
  </si>
  <si>
    <t>Alcohol</t>
  </si>
  <si>
    <t>Tabaco</t>
  </si>
  <si>
    <t>Drogas</t>
  </si>
  <si>
    <t>Intervención breve o motivacional
(Riesgo)</t>
  </si>
  <si>
    <t>Intervención referida asistida
(Perjudicial o dependencia)</t>
  </si>
  <si>
    <t>SECCIÓN G: PERSONAS QUE INGRESAN A TALLERES PARA PADRES DEL PROGRAMA DE APOYO A LA SALUD MENTAL INFANTIL (PASMI)</t>
  </si>
  <si>
    <t>Total de Padres, Madres o Cuidadores de 5 a 9 años</t>
  </si>
  <si>
    <t>Total de talleres</t>
  </si>
  <si>
    <t>Taller Nadie es Perfecto (PASMI)</t>
  </si>
  <si>
    <t>SECCIÓN H: ORGANIZACIONES SOCIALES DE LA RED DEL PROGRAMA MÁS ADULTOS MAYORES AUTOVALENTES</t>
  </si>
  <si>
    <t>POR TIPO DE ORGANIZACIÓN</t>
  </si>
  <si>
    <t>N° Total de Organizaciones</t>
  </si>
  <si>
    <t>Clubes de Adultos Mayores</t>
  </si>
  <si>
    <t>Centros de Madres</t>
  </si>
  <si>
    <t>Clubes Deportivos</t>
  </si>
  <si>
    <t>Uniones Comunales de Adultos Mayores</t>
  </si>
  <si>
    <t>Junta de Vecinos</t>
  </si>
  <si>
    <t>Organizaciones Informales</t>
  </si>
  <si>
    <t>Otras organizaciones Formales</t>
  </si>
  <si>
    <t>Organizaciones ingresadas al programa de estimulación funcional del programa más adultos mayores autovalentes</t>
  </si>
  <si>
    <t>Organizaciones con lideres comunitarios capacitados por el programa más adultos mayores autovalentes</t>
  </si>
  <si>
    <t>N° de lideres Capacitados por tipo de organización</t>
  </si>
  <si>
    <t>SECCIÓN I: SERVICIOS DE LA RED DEL PROGRAMA MÁS ADULTOS MAYORES AUTOVALENTES</t>
  </si>
  <si>
    <t>N° Total de Servicios</t>
  </si>
  <si>
    <t>POR TIPO DE SERVICIO</t>
  </si>
  <si>
    <t xml:space="preserve">Unidad Municipal de Personas Mayores </t>
  </si>
  <si>
    <t>Unidad Municipal de Atención Social</t>
  </si>
  <si>
    <t>Unidad Municipal de Deportes</t>
  </si>
  <si>
    <t>Unidad Municipal Turismo</t>
  </si>
  <si>
    <t>Unidad Municipal Educación</t>
  </si>
  <si>
    <t>Biblioteca Municipal</t>
  </si>
  <si>
    <t>Unidad Cultural Municipal</t>
  </si>
  <si>
    <t>Otras Unidades Municipales</t>
  </si>
  <si>
    <t>Escuelas o Colegios</t>
  </si>
  <si>
    <t>Universidades</t>
  </si>
  <si>
    <t>Otras Unidades externas al Municipio</t>
  </si>
  <si>
    <t>Servicios Locales con oferta programática para personas mayores (total o parcial)</t>
  </si>
  <si>
    <t>Servicios locales con planes intersectoriales para el fomento del autocuidado y estimulación funcional del desarrollo junto al Programa Más Adultos Mayores Autovalentes</t>
  </si>
  <si>
    <t xml:space="preserve">SECCIÓN J: TALLERES GRUPALES  DE LACTANCIA MATERNA EN ATENCIÓN PRIMARIA </t>
  </si>
  <si>
    <t>Nº de talleres</t>
  </si>
  <si>
    <t>Número de Talleres de Lactancia Materna realizada en Atención Primaria a menores de un año</t>
  </si>
  <si>
    <t>Número de participantes de Talleres de Lactancia Materna en Atención Primaria a Menores de un año</t>
  </si>
  <si>
    <t>SECCIÓN K: INTERVENCIONES POSTERIOR AL TAMIZAJE DE SALUD MENTAL</t>
  </si>
  <si>
    <t>POR RANGO ETARIO</t>
  </si>
  <si>
    <t>0-4 años</t>
  </si>
  <si>
    <t>30-44 años</t>
  </si>
  <si>
    <t xml:space="preserve">60 a 64 años </t>
  </si>
  <si>
    <t>Consejería en contexto de tamizaje</t>
  </si>
  <si>
    <t>Nº DE M-CHAT-R/F</t>
  </si>
  <si>
    <t>Nº de Cuestionario PSC-17</t>
  </si>
  <si>
    <t>Nº de Cuestionario PSC-Y-17</t>
  </si>
  <si>
    <t>N° de Cuestionario PHQ-9 modificado para Adolescentes</t>
  </si>
  <si>
    <t xml:space="preserve">N° de Cuestionario PHQ-9 para Adultos </t>
  </si>
  <si>
    <t>N° de Escala CAPE-P15</t>
  </si>
  <si>
    <t xml:space="preserve">N° de escala de Columbia </t>
  </si>
  <si>
    <t>N° de Escala de Depresión Geriatríca de YESAVAGE GDS-15</t>
  </si>
  <si>
    <t>Referencia asistida en contexto de tamizaje</t>
  </si>
  <si>
    <t>SECCIÓN L: ACTIVIDADES DE EDUCACIÓN PARA LA SALUD SEGÚN PERSONAL QUE LAS REALIZA (SESIONES) (PRAIS) (Contenidas en Sección B)</t>
  </si>
  <si>
    <t>SECCIÓN M: EDUCACIÓN PARA PROGRAMA DE SALUD CARDIOVASCULAR</t>
  </si>
  <si>
    <t>TIPO DE EDUCACIÓN</t>
  </si>
  <si>
    <t>PROFESIONAL/OTROS</t>
  </si>
  <si>
    <t>POR RANGO ETARIO Y SEXO</t>
  </si>
  <si>
    <t>Podóloga/o Clínico</t>
  </si>
  <si>
    <t>Otros profesionales</t>
  </si>
  <si>
    <t>Taller grupal</t>
  </si>
  <si>
    <t>Equipo multidisciplinario</t>
  </si>
  <si>
    <t>Sólo un profesional</t>
  </si>
  <si>
    <t>REM-28. REHABILITACIÓN INTEGRAL</t>
  </si>
  <si>
    <t xml:space="preserve">SECCIÓN A:  ATENCIONES DE REHABILITACIÓN NIVEL PRIMARIO  </t>
  </si>
  <si>
    <t xml:space="preserve">SECCIÓN A.1: INGRESOS Y EGRESOS  A ATENCIONES DE REHABILITACIÓN EN EL NIVEL PRIMARIO </t>
  </si>
  <si>
    <t>TIPO DE INGRESO</t>
  </si>
  <si>
    <t>Rehabilitación Integral APS</t>
  </si>
  <si>
    <t xml:space="preserve">Otros Rehabilitación </t>
  </si>
  <si>
    <t>Rehabilitación móvil (rural)</t>
  </si>
  <si>
    <t>Ingresos con plan de tratamiento integral (PTI)</t>
  </si>
  <si>
    <t>Ingresos con plan de tratamiento integral (PTI) con objetivos para el trabajo</t>
  </si>
  <si>
    <t>Ingresos de usuarios con cuidador</t>
  </si>
  <si>
    <t>Reingreso</t>
  </si>
  <si>
    <t>Ingresos con PTI cuidador</t>
  </si>
  <si>
    <t>Egresos por alta</t>
  </si>
  <si>
    <t>Egresos por otras causas</t>
  </si>
  <si>
    <t>Egresos con PTI cuidador</t>
  </si>
  <si>
    <t>SECCIÓN A.2: INGRESOS POR CONDICIÓN DE SALUD</t>
  </si>
  <si>
    <t>CONDICIÓN DE SALUD</t>
  </si>
  <si>
    <t xml:space="preserve">TIPO DE ESTRATEGIA </t>
  </si>
  <si>
    <t xml:space="preserve">15 - 19 </t>
  </si>
  <si>
    <t xml:space="preserve">20 - 24 </t>
  </si>
  <si>
    <t>25-29</t>
  </si>
  <si>
    <t>30-34</t>
  </si>
  <si>
    <t>45- 49</t>
  </si>
  <si>
    <t>Rehabilitación NNA</t>
  </si>
  <si>
    <t>Total ingreso (N° de personas)</t>
  </si>
  <si>
    <t>Dolor cervical agudo</t>
  </si>
  <si>
    <t>Dolor lumbar agudo</t>
  </si>
  <si>
    <t>Hombro doloroso agudo</t>
  </si>
  <si>
    <t>Otro dolor musculoesquelético agudo</t>
  </si>
  <si>
    <t>Artrosis de rodilla y cadera</t>
  </si>
  <si>
    <t>Artritis reumatoidea</t>
  </si>
  <si>
    <t>Otro dolor musculoesquelético crónico</t>
  </si>
  <si>
    <t>Ataque cerebro vascular (ACV)</t>
  </si>
  <si>
    <t>Traumatismo encéfalo craneano (TEC)</t>
  </si>
  <si>
    <t>Lesión medular</t>
  </si>
  <si>
    <t>Enfermedad de Parkinson</t>
  </si>
  <si>
    <t>Enfermedades neuromusculares</t>
  </si>
  <si>
    <t>Alteraciones en el desarrollo psicomotor</t>
  </si>
  <si>
    <t>Disrafias espinales</t>
  </si>
  <si>
    <t>Trastorno espectro autista</t>
  </si>
  <si>
    <t>Autismo atípico, Asperguer</t>
  </si>
  <si>
    <t>Alzheimer y otras demencias</t>
  </si>
  <si>
    <t>Amputación</t>
  </si>
  <si>
    <t>Quemados</t>
  </si>
  <si>
    <t>COVID-19</t>
  </si>
  <si>
    <t>Alteraciones visuales</t>
  </si>
  <si>
    <t>Alteraciones auditivas</t>
  </si>
  <si>
    <t>SECCIÓN A.3: EVALUACIÓN INICIAL</t>
  </si>
  <si>
    <t xml:space="preserve">MODALIDAD DE REHABILITACIÓN  </t>
  </si>
  <si>
    <t xml:space="preserve">Presencial (Establecimiento) </t>
  </si>
  <si>
    <t>Domiciliaria</t>
  </si>
  <si>
    <t xml:space="preserve">Médico/a </t>
  </si>
  <si>
    <t xml:space="preserve">Kinesiólogo/a </t>
  </si>
  <si>
    <t xml:space="preserve">Terpeuta Ocupacional </t>
  </si>
  <si>
    <t xml:space="preserve">Fonoaudiólogo/a </t>
  </si>
  <si>
    <t>SECCIÓN A.4: EVALUACIÓN INTERMEDIA</t>
  </si>
  <si>
    <t xml:space="preserve">MODALIDAD DE REHABILITACIÓN   </t>
  </si>
  <si>
    <t>Presencial (Establecimiento)</t>
  </si>
  <si>
    <t>A distancia</t>
  </si>
  <si>
    <t>SECCIÓN A.5: SESIONES DE REHABILITACIÓN</t>
  </si>
  <si>
    <t>SECCIÓN A.6: PROCEDIMIENTOS Y ACTIVIDADES</t>
  </si>
  <si>
    <t xml:space="preserve">Fisioterapia </t>
  </si>
  <si>
    <t xml:space="preserve">Actividad Física </t>
  </si>
  <si>
    <t xml:space="preserve">Ejercicios Terapéuticos </t>
  </si>
  <si>
    <t xml:space="preserve">Intervenciones en actividades de la vida diaria, básicas, instrumentadas y avanzadas </t>
  </si>
  <si>
    <t xml:space="preserve">Habilitación y Rehabilitación Educacional </t>
  </si>
  <si>
    <t xml:space="preserve">Actividades Terapéuticas </t>
  </si>
  <si>
    <t xml:space="preserve">Itegración Sensorial </t>
  </si>
  <si>
    <t xml:space="preserve">Adaptación del Hogar </t>
  </si>
  <si>
    <t xml:space="preserve">Confecciones Ortesis y/o Adaptaciones </t>
  </si>
  <si>
    <t xml:space="preserve">Reparación de Ortesis y/o Adaptaciones </t>
  </si>
  <si>
    <t>Habilitación y Rehabilitación Socio-Laboral</t>
  </si>
  <si>
    <t xml:space="preserve">Estimulación Cognitiva </t>
  </si>
  <si>
    <t xml:space="preserve">Rehabilitación de la Voz,Habla y/o Lenguaje </t>
  </si>
  <si>
    <t xml:space="preserve">Rehabilitación de la Deglución </t>
  </si>
  <si>
    <t xml:space="preserve">Rehabilitacion Vestibular </t>
  </si>
  <si>
    <t>Educación a usuario/a, cuidador/a y/o familiar</t>
  </si>
  <si>
    <t xml:space="preserve">Atención Psicoterapéutica </t>
  </si>
  <si>
    <t>SECCIÓN A.7: CONSEJERÍA INDIVIDUAL AGENDADA</t>
  </si>
  <si>
    <t>SECCIÓN A.8: CONSEJERÍA FAMILIAR AGENDADA</t>
  </si>
  <si>
    <t xml:space="preserve">SECCIÓN A.9: INTERVENCIONES TERAPÉUTICAS GRUPALES </t>
  </si>
  <si>
    <t>ÁREA TEMÁTICA DE PREVENCIÓN Y TRATAMIENTO</t>
  </si>
  <si>
    <t xml:space="preserve">MODALIDAD DE REHABILITACIÓN </t>
  </si>
  <si>
    <t>Número de personas</t>
  </si>
  <si>
    <t>Número de sesiones</t>
  </si>
  <si>
    <t xml:space="preserve">SECCIÓN A.10: PERSONAS QUE LOGRAN PARTICIPACIÓN EN COMUNIDAD </t>
  </si>
  <si>
    <t>COMPONENTE (Nº PERSONAS)</t>
  </si>
  <si>
    <t>Laboral</t>
  </si>
  <si>
    <t>Educativa</t>
  </si>
  <si>
    <t>Comunitario</t>
  </si>
  <si>
    <t>Trabajo con objetivos de habilitación y rehabilitación</t>
  </si>
  <si>
    <t>Trabajo sin objetivos de habilitación y rehabilitación</t>
  </si>
  <si>
    <t>Dueña/o de casa</t>
  </si>
  <si>
    <t>Condición física</t>
  </si>
  <si>
    <t>Condición sensorial visual</t>
  </si>
  <si>
    <t>Condición sensorial auditivo</t>
  </si>
  <si>
    <t>SECCIÓN A.11: ACTIVIDADES Y PARTICIPACIÓN</t>
  </si>
  <si>
    <t>MODALIDADES DE INTERVENCIÓN</t>
  </si>
  <si>
    <t>GRUPO OBJETIVO</t>
  </si>
  <si>
    <t>Totales Rehabilitación NNA</t>
  </si>
  <si>
    <t>Totales Rehabilitación Integral en APS</t>
  </si>
  <si>
    <t xml:space="preserve">Totales Otros Rehabilitación </t>
  </si>
  <si>
    <t>Totales Rehabilitación móvill (rural)</t>
  </si>
  <si>
    <t xml:space="preserve">Modalidad de rehabilitación </t>
  </si>
  <si>
    <t xml:space="preserve"> Actividades </t>
  </si>
  <si>
    <t xml:space="preserve">Participantes </t>
  </si>
  <si>
    <t>Diagnóstico o planificación participativa</t>
  </si>
  <si>
    <t>Organizaciones asociadas a discapacidad</t>
  </si>
  <si>
    <t>Organizaciones comunitarias</t>
  </si>
  <si>
    <t>Comunidad educativa</t>
  </si>
  <si>
    <t>Actividades de promoción de la salud</t>
  </si>
  <si>
    <t>Empleadores y compañeros de trabajo</t>
  </si>
  <si>
    <t>Red de apoyo</t>
  </si>
  <si>
    <t>Cuidadores</t>
  </si>
  <si>
    <t>Actividades para fortalecer los conocimientos y destrezas personales</t>
  </si>
  <si>
    <t>Profesionales de la salud</t>
  </si>
  <si>
    <t>Monitores</t>
  </si>
  <si>
    <t>Asesorías a grupos comunitarios</t>
  </si>
  <si>
    <t>SECCIÓN B: NIVEL HOSPITALARIO</t>
  </si>
  <si>
    <t>SECCIÓN B.1: INGRESOS Y EGRESOS  A REHABILITACIÓN INTEGRAL</t>
  </si>
  <si>
    <t>TIPO ATENCIÓN</t>
  </si>
  <si>
    <t>Abierta</t>
  </si>
  <si>
    <t>Cerrado</t>
  </si>
  <si>
    <t>UPC</t>
  </si>
  <si>
    <t>Cuidados Medios y Básicos</t>
  </si>
  <si>
    <t>Total ingresos (Nº de personas)</t>
  </si>
  <si>
    <t>Neuromusculares agudas</t>
  </si>
  <si>
    <t>Neuromusculares crónicas</t>
  </si>
  <si>
    <t>Otras neurológicas</t>
  </si>
  <si>
    <t>Trastornos del Neurodesarrollo</t>
  </si>
  <si>
    <t>Parálisis cerebral</t>
  </si>
  <si>
    <t>Recién nacido de alto riesgo</t>
  </si>
  <si>
    <t>Síndrome POST-UCI</t>
  </si>
  <si>
    <t>Enfermedades respiratorias</t>
  </si>
  <si>
    <t>Enfermedades cardíacas</t>
  </si>
  <si>
    <t>Dolor musculoesquelético crónico</t>
  </si>
  <si>
    <t>Otras reumatológicas</t>
  </si>
  <si>
    <t>Traumatológicos</t>
  </si>
  <si>
    <t>Otros pre y post quirúrgicos</t>
  </si>
  <si>
    <t>Genitourinarias</t>
  </si>
  <si>
    <t>Sensoriales auditivos</t>
  </si>
  <si>
    <t>Sensoriales visuales</t>
  </si>
  <si>
    <t>Egresos ACV referido a APS</t>
  </si>
  <si>
    <t>SECCIÓN B.2: EVALUACIÓN INICIAL</t>
  </si>
  <si>
    <t>Cerrada</t>
  </si>
  <si>
    <t xml:space="preserve">Presencial </t>
  </si>
  <si>
    <t>A Distancia</t>
  </si>
  <si>
    <t xml:space="preserve">Domiciliaria </t>
  </si>
  <si>
    <t>Fonoadiólogo/a</t>
  </si>
  <si>
    <t>Ortoprotesista</t>
  </si>
  <si>
    <t>SECCIÓN B.3: EVALUACIÓN INTERMEDIA</t>
  </si>
  <si>
    <t>SECCIÓN B.4: SESIONES DE REHABILITACIÓN</t>
  </si>
  <si>
    <t>SECCIÓN B.5: DERIVACIONES Y CONTINUIDAD EN LOS CUIDADOS</t>
  </si>
  <si>
    <t>DERIVACIÓN</t>
  </si>
  <si>
    <t>A otro hospital (hospitalizado)</t>
  </si>
  <si>
    <t>A nivel secundario (ambulatorio)</t>
  </si>
  <si>
    <t>A nivel primario</t>
  </si>
  <si>
    <t>Institución con convenio</t>
  </si>
  <si>
    <t>SECCIÓN B.6: PROCEDIMIENTOS Y ACTIVIDADES</t>
  </si>
  <si>
    <t>Fisioterapia</t>
  </si>
  <si>
    <t>Ejercicios terapéuticos</t>
  </si>
  <si>
    <t>Intervención en actividades de la vida diaria, básicas, instrumentales y avanzadas.</t>
  </si>
  <si>
    <t>Habilitación y rehabilitación educacional</t>
  </si>
  <si>
    <t>Actividades terapéuticas</t>
  </si>
  <si>
    <t>Integración sensorial</t>
  </si>
  <si>
    <t>Tratamiento compresivo</t>
  </si>
  <si>
    <t>Habilitación y rehabilitación socio-laboral</t>
  </si>
  <si>
    <t>Adaptación del hogar</t>
  </si>
  <si>
    <t>Confección de órtesis y/o adaptaciones</t>
  </si>
  <si>
    <t>Reparación de órtesis y/o adaptaciones</t>
  </si>
  <si>
    <t>Confección de prótesis</t>
  </si>
  <si>
    <t>Reparación de prótesis</t>
  </si>
  <si>
    <t>Estimulación cognitiva</t>
  </si>
  <si>
    <t>Rehabilitación de la voz, habla y/o lenguaje</t>
  </si>
  <si>
    <t>Rehabilitación de la deglución</t>
  </si>
  <si>
    <t>Rehabilitación vestibular</t>
  </si>
  <si>
    <t>Atención psicoterapéutica</t>
  </si>
  <si>
    <t>Orientación y movilidad</t>
  </si>
  <si>
    <t>Estimulación sensorial</t>
  </si>
  <si>
    <t>Terapia respiratoria y funcional pulmonar</t>
  </si>
  <si>
    <t>Rehabilitación auditiva individual</t>
  </si>
  <si>
    <t>Rehabilitación auditiva grupal</t>
  </si>
  <si>
    <t>SECCIÓN C: AYUDAS TÉCNICAS DE SALUD, NIVEL APS Y HOSPITALARIO</t>
  </si>
  <si>
    <t>SECCIÓN C.1: NÚMERO DE PERSONAS QUE RECIBEN AYUDAS TÉCNICAS</t>
  </si>
  <si>
    <t>AYUDAS TÉCNICAS</t>
  </si>
  <si>
    <t>Número de evaluaciones de ayudas técnicas</t>
  </si>
  <si>
    <t>Número de personas con ayuda técnica entregada</t>
  </si>
  <si>
    <t>Número de entrenamiento de ayudas técnicas</t>
  </si>
  <si>
    <t>SECCIÓN C.2: NÚMERO DE  AYUDAS TÉCNICAS ENTREGADAS POR TIPO</t>
  </si>
  <si>
    <t>TOTAL DE AYUDAS TÉCNICAS ENTREGADAS</t>
  </si>
  <si>
    <t>Sillas de ruedas estándar</t>
  </si>
  <si>
    <t>Silla de ruedas neurológicas</t>
  </si>
  <si>
    <t>Cojín anti escaras</t>
  </si>
  <si>
    <t>Colchón anti escaras</t>
  </si>
  <si>
    <t>Bastones</t>
  </si>
  <si>
    <t>Andadores</t>
  </si>
  <si>
    <t>Sitting</t>
  </si>
  <si>
    <t>Órtesis de columna vertebral</t>
  </si>
  <si>
    <t>Órtesis miembro inferior</t>
  </si>
  <si>
    <t>Órtesis miembro superior</t>
  </si>
  <si>
    <t>Cojines y respaldos para la estabilización y posicionamiento del cuerpo</t>
  </si>
  <si>
    <t>Ayudas técnicas para actividades de alimentación, vestuario e higiene personal</t>
  </si>
  <si>
    <t>Sistema compresivo</t>
  </si>
  <si>
    <t>Prótesis extremidad inferior transtibial</t>
  </si>
  <si>
    <t>Prótesis extremidad inferior transfemoral</t>
  </si>
  <si>
    <t>Otras prótesis extremidad inferior</t>
  </si>
  <si>
    <t>Prótesis extremidad superior</t>
  </si>
  <si>
    <t>Audífonos</t>
  </si>
  <si>
    <t>Lentes</t>
  </si>
  <si>
    <t>Plantilla ortopédica</t>
  </si>
  <si>
    <t>Bota o botín de descarga</t>
  </si>
  <si>
    <t>Zapato ortopédico</t>
  </si>
  <si>
    <t>Baño portátil</t>
  </si>
  <si>
    <t>Tecnologías de la Comunicación Aumentativa y Alternativas</t>
  </si>
  <si>
    <t>Equipo ventilador mecánico no invasivo</t>
  </si>
  <si>
    <t>Aspirador de secreciones</t>
  </si>
  <si>
    <t>SECCIÓN C.3: AYUDAS TÉCNICAS POR CONDICIÓN DE SALUD</t>
  </si>
  <si>
    <t>TOTAL AYUDA TÉCNICA POR CONDICIÓN DE SALUD</t>
  </si>
  <si>
    <t xml:space="preserve"> RANGO ETARIO</t>
  </si>
  <si>
    <t>Esclerosis lateral amiotrófica</t>
  </si>
  <si>
    <t>Diabetes mellitus</t>
  </si>
  <si>
    <t>Sensorial auditivo</t>
  </si>
  <si>
    <t>Sensorial visual</t>
  </si>
  <si>
    <t>Persona mayor frágil</t>
  </si>
  <si>
    <t>Otras condiciones de salud</t>
  </si>
  <si>
    <t>REM-29.  PROGRAMA DE IMÁGENES DIAGNÓSTICAS Y/O RESOLUTIVIDAD EN ATENCIÓN PRIMARIA</t>
  </si>
  <si>
    <t>SECCIÓN A: PROGRAMA DE RESOLUTIVIDAD ATENCIÓN PRIMARIA DE SALUD</t>
  </si>
  <si>
    <t>CONSULTAS</t>
  </si>
  <si>
    <t>&lt;15 años</t>
  </si>
  <si>
    <t>Total interconsultas generadas en APS para resolución por especialidad oftalmología (UAPO y canasta integral)</t>
  </si>
  <si>
    <t>Total interconsultas generadas en APS para resolución por especialidad otorrinolaringología (UAPORRINO y canasta integral)</t>
  </si>
  <si>
    <t>Modalidad</t>
  </si>
  <si>
    <t>Menos 15 años</t>
  </si>
  <si>
    <t>Presencial</t>
  </si>
  <si>
    <t>Remoto</t>
  </si>
  <si>
    <t>Consultas médicas de especialidades</t>
  </si>
  <si>
    <t>Oftalmología/UAPO</t>
  </si>
  <si>
    <t>Otorrinolaringología/UAPORRINO</t>
  </si>
  <si>
    <t>Canasta integral oftalmológica</t>
  </si>
  <si>
    <t>Canasta integral de otorrinolaringología</t>
  </si>
  <si>
    <t>Consultas otros profesionales</t>
  </si>
  <si>
    <t>Tecnólogo/a médico/a consulta por vicio de refracción</t>
  </si>
  <si>
    <t>Tecnólogo/a médico/a (oftalmología) otras consultas</t>
  </si>
  <si>
    <t>Tecnólogo/a médico/a o fonoaudiólogo/a por hipoacusia (UAPORRINO)</t>
  </si>
  <si>
    <t>Tecnólogo/a médico/a o fonoaudiólogo/a consultas (UAPORRINO)</t>
  </si>
  <si>
    <t>Consulta de calificación de urgencia por tecnólogo médico (UAPO)</t>
  </si>
  <si>
    <t>Ingresos y egresos Glaucoma UAPO</t>
  </si>
  <si>
    <t>Ingresos glaucoma UAPO</t>
  </si>
  <si>
    <t>Egresos glaucoma UAPO</t>
  </si>
  <si>
    <t>Glaucoma (por médico/a) (incluidas dentro de consultas de oftalmología)</t>
  </si>
  <si>
    <t>Controles de glaucoma UAPO</t>
  </si>
  <si>
    <t>Consulta nueva glaucoma UAPO</t>
  </si>
  <si>
    <t xml:space="preserve">SECCIÓN B: PROCEDIMIENTOS DE IMÁGENES DIAGNOSTICAS Y PROGRAMA DE RESOLUTIVIDAD EN APS  </t>
  </si>
  <si>
    <t>TIPO DE EXAMEN Y PROCEDIMIENTO DIAGNÓSTICO</t>
  </si>
  <si>
    <t>MODALIDAD</t>
  </si>
  <si>
    <t>&lt; 35 años</t>
  </si>
  <si>
    <t>35 - 49 años</t>
  </si>
  <si>
    <t>Institucional</t>
  </si>
  <si>
    <t>Compra al sistema</t>
  </si>
  <si>
    <t>Compra extrasistema</t>
  </si>
  <si>
    <t>Mamografía</t>
  </si>
  <si>
    <t>Informadas</t>
  </si>
  <si>
    <t>Con BIRADS 0</t>
  </si>
  <si>
    <t>Con BIRADS 1 o 2</t>
  </si>
  <si>
    <t>Con BIRADS  3</t>
  </si>
  <si>
    <t>Con BIRADS  4, 5 o 6</t>
  </si>
  <si>
    <t>Sin informe BIRADS</t>
  </si>
  <si>
    <t>Proyección complementaria</t>
  </si>
  <si>
    <t>Ecotomografía mamaria</t>
  </si>
  <si>
    <t>Con informe de sospecha de malignidad</t>
  </si>
  <si>
    <t>Ecotomografía abdominal</t>
  </si>
  <si>
    <t>Con resultado litiasis biliar</t>
  </si>
  <si>
    <t>Ecografía transvaginal o rectal (excluye climaterio)</t>
  </si>
  <si>
    <t>Con informe de sospecha de patología maligna</t>
  </si>
  <si>
    <t>Endoscopia digestiva alta</t>
  </si>
  <si>
    <t>Toma de biopsia</t>
  </si>
  <si>
    <t>Test de ureasa solicitadas</t>
  </si>
  <si>
    <t>Test de ureasa positivas (+) H. Pylori</t>
  </si>
  <si>
    <t>Procedimientos cutáneos quirúrgicos de baja complejidad</t>
  </si>
  <si>
    <t>Realizadas</t>
  </si>
  <si>
    <t>Biopsias de cirugía menor enviadas a anatomia patológica</t>
  </si>
  <si>
    <t>Nº biopsias de cirugía menor con informe de sospecha de malignidad</t>
  </si>
  <si>
    <t>Radiografía de tórax por sospecha de neumonía y sospecha de otra patología respiratoria crónica</t>
  </si>
  <si>
    <t>Antero posterior (frontal)</t>
  </si>
  <si>
    <t>Antero posterior y lateral</t>
  </si>
  <si>
    <t>Radiografía de caderas 3-6 meses (Screening)</t>
  </si>
  <si>
    <t>Test de antígeno en deposiciones H. Pylori</t>
  </si>
  <si>
    <t>Test inmunoquímico fecal de sangre oculta en deposiciones</t>
  </si>
  <si>
    <t>Ecoscopía Básica</t>
  </si>
  <si>
    <t>Con hallazgos patológicos</t>
  </si>
  <si>
    <t>SECCIÓN C: PROCEDIMIENTOS APOYO CLÍNICO Y TERAPÉUTICO</t>
  </si>
  <si>
    <t xml:space="preserve">ESPECIALIDAD </t>
  </si>
  <si>
    <t>Médico especialista</t>
  </si>
  <si>
    <t>Tecnólogo médico, fonoaudiólogo o terapeuta ocupacional</t>
  </si>
  <si>
    <t>Cuantificación de lagrimación (Test de Schimer), uno o ambos ojos</t>
  </si>
  <si>
    <t>Curva de tensión aplanática (por cada día), c/ojo</t>
  </si>
  <si>
    <t>Disploscopia cuantitativa, ambos ojos</t>
  </si>
  <si>
    <t>Exploración sensoriomotora: Estabrismo, estudio completo, ambos ojos</t>
  </si>
  <si>
    <t>Retinografía ambos ojos pacientes sin diabetes mellitus</t>
  </si>
  <si>
    <t>Tonometría aplánica c/ojo</t>
  </si>
  <si>
    <t>Tratamiento ortóptico y/o pleóptico (por sesión), ambos ojos</t>
  </si>
  <si>
    <t>Exploración vitreorretinal, pacientes sin diabetes mellitus</t>
  </si>
  <si>
    <t>Cuerpo extraño conjuntival y/o corneal</t>
  </si>
  <si>
    <t>Campimetría computarizada, c/ojo (en UAPO)</t>
  </si>
  <si>
    <t>Tomografía coherente óptica, c/ojo</t>
  </si>
  <si>
    <t>Agudeza visual aislada cada ojo</t>
  </si>
  <si>
    <t>Paquimetría</t>
  </si>
  <si>
    <t>Autorefractomía</t>
  </si>
  <si>
    <t>Lensometría</t>
  </si>
  <si>
    <t>Extracción cuerpo extraño ojo (conjuntival y/o corneal)</t>
  </si>
  <si>
    <t>Hemoglucotest previo a consulta vicio de refracción en paciente diabético</t>
  </si>
  <si>
    <t>Autorefracción bajo ciclopejía</t>
  </si>
  <si>
    <t>Irrigación de la vía lagrimal</t>
  </si>
  <si>
    <t>Prueba de provocación oscuridad más pronación</t>
  </si>
  <si>
    <t>Audimetrías (realizadas)</t>
  </si>
  <si>
    <t>Impedanciometría</t>
  </si>
  <si>
    <t>Emisiones otoacústicas</t>
  </si>
  <si>
    <t>Examen funcional VIII par</t>
  </si>
  <si>
    <t>Otros procedimientos (Lavados de oídos u otros)</t>
  </si>
  <si>
    <t>Calibración control prueba de audífonos</t>
  </si>
  <si>
    <t>Procedimiento V-HIT</t>
  </si>
  <si>
    <t>PEATC</t>
  </si>
  <si>
    <t>Maniobras de reposición de partículas</t>
  </si>
  <si>
    <t>Nasofibroscopia adulto/niño</t>
  </si>
  <si>
    <t>Prueba de función tubaria</t>
  </si>
  <si>
    <t>VEMP (Potenciales evocados miogénicos vestibulares)</t>
  </si>
  <si>
    <t>Toma de impresión de molde auditivo</t>
  </si>
  <si>
    <t>Rinomanometría</t>
  </si>
  <si>
    <t>SECCIÓN D: ENTREGA DE AYUDAS TÉCNICAS</t>
  </si>
  <si>
    <t>&lt; 65 Años</t>
  </si>
  <si>
    <t>Lentes (Entregados)</t>
  </si>
  <si>
    <t>Audífonos (Entregados)</t>
  </si>
  <si>
    <t>SECCIÓN E: INTERVENCIONES QUIRÚRGICAS MENORES QUE SE REALIZAN EN UAPO</t>
  </si>
  <si>
    <t>Intervenciones Quirúrgicas</t>
  </si>
  <si>
    <t>Intubación lagrimal</t>
  </si>
  <si>
    <t>Plastía de puntos lagrimales</t>
  </si>
  <si>
    <t>Absceso, vaciamiento y/o drenaje de</t>
  </si>
  <si>
    <t>Absceso, Trat. Quir. Párpado o ceja</t>
  </si>
  <si>
    <t>Biopsia de párpado y/o anexos (proc.aut)</t>
  </si>
  <si>
    <t>Blefarorrafia con blefarotomía posterior</t>
  </si>
  <si>
    <t>Cantoplastía</t>
  </si>
  <si>
    <t>Chalazión y otro tumores benignos</t>
  </si>
  <si>
    <t>Xantelasma, Trat. Quir</t>
  </si>
  <si>
    <t>Herida o dehiscencia de sutura de párpado, reparación</t>
  </si>
  <si>
    <t>Sutura de herida o dehiscencia de la conjuntiva</t>
  </si>
  <si>
    <t>Pterigión y/o pseudopterigión o su recidiva, extirpación</t>
  </si>
  <si>
    <t>Extirpación de tumor benigno de la conjuntiva</t>
  </si>
  <si>
    <t>Crioterapia y recesión conjuntival</t>
  </si>
  <si>
    <t>Extracción quir. de cuerpo extraño en córnea y/o esclera</t>
  </si>
  <si>
    <t>Iridotomía</t>
  </si>
  <si>
    <t>Trabeculopatía o iridoplastía</t>
  </si>
  <si>
    <t>SECCION F: TAMIZAJE DE RETINOPATÍA DIABÉTICA PARA PERSONAS CON DIABETES MELLITUS 2 EN UAPO</t>
  </si>
  <si>
    <t>PROCEDIMIENTOS</t>
  </si>
  <si>
    <t>Informe por oftalmólogo licitado</t>
  </si>
  <si>
    <t>Informe por oftalmólogo HD</t>
  </si>
  <si>
    <t>Tamizadas TMO</t>
  </si>
  <si>
    <t>Tamizadas IA local</t>
  </si>
  <si>
    <t>Exploración vitreorretinal</t>
  </si>
  <si>
    <t>Sin alteración</t>
  </si>
  <si>
    <t>Alterados</t>
  </si>
  <si>
    <t>Retinografía</t>
  </si>
  <si>
    <t>Imágenes capturadas</t>
  </si>
  <si>
    <t>Subidas a plataforma de tamizaje a Hospital Digital</t>
  </si>
  <si>
    <t>Informes recibidos sin alteración</t>
  </si>
  <si>
    <t>Informes recibidos con sospecha de alteración</t>
  </si>
  <si>
    <t>Subidas a plataforma de teleinforme local (No centralizada)</t>
  </si>
  <si>
    <t>Entrega resultados de retinografías al usuario</t>
  </si>
  <si>
    <t>SECCION G: ACTIVIDADES DE REHABILITACION EN UAPORRINO</t>
  </si>
  <si>
    <t xml:space="preserve"> TOTAL ACTIVIDADES</t>
  </si>
  <si>
    <t>Número sesiones totales realizadas</t>
  </si>
  <si>
    <t>Número beneficiarios</t>
  </si>
  <si>
    <t>Sesiones rehabilitación auditiva individual</t>
  </si>
  <si>
    <t>Sesiones rehabilitación auditiva grupal</t>
  </si>
  <si>
    <t>Evaluación adherencia</t>
  </si>
  <si>
    <t>Seguimiento adherencia</t>
  </si>
  <si>
    <t>Sesiones rehabilitación vestibular</t>
  </si>
  <si>
    <t>Sesiones rehabilitación deglución</t>
  </si>
  <si>
    <t>SECCION H: CANASTA INTEGRAL DERMATOLOGIA</t>
  </si>
  <si>
    <t>CANASTA INTEGRAL</t>
  </si>
  <si>
    <t>Médico interconsultor (vía de resolución)</t>
  </si>
  <si>
    <t>Hospital Digital</t>
  </si>
  <si>
    <t>Otra</t>
  </si>
  <si>
    <t>Teleinterconsultas solicitadas</t>
  </si>
  <si>
    <t>Teleinterconsultas respondidas</t>
  </si>
  <si>
    <t>Información entregada a usuario</t>
  </si>
  <si>
    <t>SECCIÓN I : ATENCION INTEGRAL EN CLIMATERIO</t>
  </si>
  <si>
    <t>Compra de servicios</t>
  </si>
  <si>
    <t>Consulta médica ginecológica en climaterio</t>
  </si>
  <si>
    <t>Hormona foliculoestimulante en sangre</t>
  </si>
  <si>
    <t>Ecografía transvaginal o rectal</t>
  </si>
  <si>
    <t>REM-30. ATENCIONES POR TELEMEDICINA EN LA RED ASISTENCIAL</t>
  </si>
  <si>
    <t>SECCIÓN A: TELEINTERCONSULTA DE ESPECIALIDAD (ATENCION REALIZADA DE MÉDICO A MÉDICO)</t>
  </si>
  <si>
    <t>Especialidades</t>
  </si>
  <si>
    <t>Teleinterconsulta médica de especialidad ambulatoria nueva</t>
  </si>
  <si>
    <t>Teleinterconsulta médica de especialidad ambulatoria control</t>
  </si>
  <si>
    <t xml:space="preserve">TOTAL TELEINTERCONSULTAS  MEDICAS AMBULATORIAS DE ESPECIALIDAD </t>
  </si>
  <si>
    <t>Teleinterconsulta medicina de especialidad realizadas a pacientes hospitalizados</t>
  </si>
  <si>
    <t>Teleinterconsultas solicitadas desde APS o Nivel Secundario para ser resueltas por otro establecimiento</t>
  </si>
  <si>
    <t xml:space="preserve">18-19 años </t>
  </si>
  <si>
    <t xml:space="preserve">18 a 19 años </t>
  </si>
  <si>
    <t>20  y más años</t>
  </si>
  <si>
    <t>Sistema</t>
  </si>
  <si>
    <t>Medicina interna</t>
  </si>
  <si>
    <t>Enfermedad respiratoria pediátrica</t>
  </si>
  <si>
    <t>Enfermedad respiratoria de adulto</t>
  </si>
  <si>
    <t>Endocrinología pediátrica</t>
  </si>
  <si>
    <t>Gastroenterología pediátrica</t>
  </si>
  <si>
    <t>Gastroenterología adulto</t>
  </si>
  <si>
    <t>Genética clínica</t>
  </si>
  <si>
    <t>Nefrología pediátrica</t>
  </si>
  <si>
    <t>Nefrología adulto</t>
  </si>
  <si>
    <t>Neurología pediátrica</t>
  </si>
  <si>
    <t>Neurología adulto</t>
  </si>
  <si>
    <t>Oncología médica</t>
  </si>
  <si>
    <t>Psiquiatría pediátrica y de la adolescencia</t>
  </si>
  <si>
    <t>Psiquiatría adulto</t>
  </si>
  <si>
    <t>Cirugía pediátrica</t>
  </si>
  <si>
    <t>Cirugía digestiva</t>
  </si>
  <si>
    <t>Cirugía de cabeza, cuello y maxilofacial</t>
  </si>
  <si>
    <t>Cirugía tórax</t>
  </si>
  <si>
    <t>Cirugía vascular periferica</t>
  </si>
  <si>
    <t>Cirugía cardiovascular</t>
  </si>
  <si>
    <t>Medicina familiar</t>
  </si>
  <si>
    <t>Medicina intensiva</t>
  </si>
  <si>
    <t>Radioterapia oncológica</t>
  </si>
  <si>
    <t>SECCIÓN B : TELEINTERCONSULTA  MÉDICA EN ESTABLECIMIENTOS DE ATENCIÓN SECUNDARIA DE URGENCIA (ATENCIÓN MÉDICO A MÉDICO)</t>
  </si>
  <si>
    <t>Tipo de teleinterconsulta de urgencia</t>
  </si>
  <si>
    <t>Teleinterconsulta médica de urgencia en hospitales de alta y mediana complejidad</t>
  </si>
  <si>
    <t xml:space="preserve">Institucional </t>
  </si>
  <si>
    <t>Establecimiento de la Red</t>
  </si>
  <si>
    <t>Consulta urgencia otros</t>
  </si>
  <si>
    <t>Accidente cerebro vascular (ACV)</t>
  </si>
  <si>
    <t>SECCIÓN C : TELEINFORMES EN ESTABLECIMIENTOS DE ATENCIÓN PRIMARIA, SECUNDARIA Y TERCIARIA</t>
  </si>
  <si>
    <t>Teleinformes realizados</t>
  </si>
  <si>
    <t>Establecimientos del Nivel Primario de salud</t>
  </si>
  <si>
    <t>Establecimientos de Nivel Secundario y Terciario</t>
  </si>
  <si>
    <t>Total teleinformes realizados</t>
  </si>
  <si>
    <t>Teleinformes realizados por Inteligencia Artificial</t>
  </si>
  <si>
    <t xml:space="preserve">Teleinformes realizados por Médico Especialista </t>
  </si>
  <si>
    <t>TOTAL EMISIONES DE INFORMES</t>
  </si>
  <si>
    <t>Nº de informes Ecografías obstétricas</t>
  </si>
  <si>
    <t>Nº de informes Electrocardiograma</t>
  </si>
  <si>
    <t>Nº de informes Electroencefalograma</t>
  </si>
  <si>
    <t>Nº de informes Espirometrías</t>
  </si>
  <si>
    <t>Nº de informes Fondo de ojo (excluye resolutividad)</t>
  </si>
  <si>
    <t>Nº de informes Holter de presión arterial</t>
  </si>
  <si>
    <t>Nº de informes Test de esfuerzo</t>
  </si>
  <si>
    <t>Nº de informes radiografías simples</t>
  </si>
  <si>
    <t>Nº de informes radiografías dentales</t>
  </si>
  <si>
    <t>Nº de informes de Tomografía axial computarizada</t>
  </si>
  <si>
    <t>Nº de informes de Resonancia magnética nuclear</t>
  </si>
  <si>
    <t>Nº de informes Ecografías abdominal</t>
  </si>
  <si>
    <t>N° de mamografía</t>
  </si>
  <si>
    <r>
      <t>SECCIÓN D: TELEINTERCONSULTA ODONTOLÓGICA</t>
    </r>
    <r>
      <rPr>
        <b/>
        <i/>
        <sz val="11"/>
        <color theme="1"/>
        <rFont val="Verdana"/>
      </rPr>
      <t xml:space="preserve"> </t>
    </r>
  </si>
  <si>
    <t>Especialidades odontológicas</t>
  </si>
  <si>
    <t>Teleinterconsulta de especialidad odontológica ambulatoria nueva</t>
  </si>
  <si>
    <t>Teleinterconsulta de especialidad odontológica ambulatoria control</t>
  </si>
  <si>
    <r>
      <t>TOTAL TELEINTERCONSULTAS AMBULATORIAS DE ESPECIALIDAD ODONTOLÓGICA</t>
    </r>
    <r>
      <rPr>
        <strike/>
        <sz val="8"/>
        <color theme="1"/>
        <rFont val="Verdana"/>
      </rPr>
      <t xml:space="preserve"> </t>
    </r>
  </si>
  <si>
    <t>Solicitud de teleinterconsulta de especialidad odontológica</t>
  </si>
  <si>
    <t>Cirugía y traumatología maxilofacial</t>
  </si>
  <si>
    <t>Endodoncia</t>
  </si>
  <si>
    <t>Odontopediatría</t>
  </si>
  <si>
    <t>Ortodoncia y ortopedia dento maxilofacial</t>
  </si>
  <si>
    <t>Rehabilitación: Prótesis fija</t>
  </si>
  <si>
    <t>Rehabilitación: Prótesis removible</t>
  </si>
  <si>
    <t>Implantología buco maxilofacial</t>
  </si>
  <si>
    <t>Patología oral</t>
  </si>
  <si>
    <t>Trastornos temporomandibulares y dolor orofacial</t>
  </si>
  <si>
    <t>SECCIÓN E: TELEPROCEDIMIENTOS EN ATENCIÓN SECUNDARIA Y TERCIARIA</t>
  </si>
  <si>
    <t>Teleprocedimientos</t>
  </si>
  <si>
    <t>Teleprocedimientos solicitados desde Nivel Secundario y Terciario y resueltos por otro establecimiento</t>
  </si>
  <si>
    <t>Ecocardiograma</t>
  </si>
  <si>
    <t>Trombolisis de urgencia infarto cerebral (ACV)</t>
  </si>
  <si>
    <t>Trombolisis intracoronaria (IAM)</t>
  </si>
  <si>
    <t>Ecografía gineco-obstétrica</t>
  </si>
  <si>
    <t xml:space="preserve">SECCIÓN F: TELECOMITÉ DE ESPECIALIDAD </t>
  </si>
  <si>
    <t>Actividad</t>
  </si>
  <si>
    <t>Telecomité realizados</t>
  </si>
  <si>
    <t>Total Nº de casos presentados</t>
  </si>
  <si>
    <t>Telecomité solicitados desde Nivel Secundario y Terciario</t>
  </si>
  <si>
    <t>N° de casos  presentados antes del primer tratamiento</t>
  </si>
  <si>
    <t>Telecomité de especialidad</t>
  </si>
  <si>
    <t>0 - 10 años</t>
  </si>
  <si>
    <t>Cuidados paliativos oncológicos</t>
  </si>
  <si>
    <t>Cuidados paliativos no oncológicos universales</t>
  </si>
  <si>
    <t>Unidad de paciente crítico</t>
  </si>
  <si>
    <t>SECCIÓN G: CONSULTA ABREVIADA POR ATENCIÓN REMOTA</t>
  </si>
  <si>
    <t>Tipo de consulta</t>
  </si>
  <si>
    <t>Tratamiento anticoagulante oral</t>
  </si>
  <si>
    <t>REM-A30 AR: ATENCIÓN Y ORIENTACIÓN DE SALUD A DISTANCIA (HD)</t>
  </si>
  <si>
    <t>USO EXCLUSIVO DE HOSPITAL DIGITAL, NIVEL CENTRAL</t>
  </si>
  <si>
    <t xml:space="preserve">SECCION A: ATENCIONES POR TELEMEDICINA DE ESPECIALIDAD MEDICA </t>
  </si>
  <si>
    <t>SECCION A1: TELEINTERCONSULTA DE ESPECIALIDAD MEDICA POR HOSPITAL DIGITAL</t>
  </si>
  <si>
    <t xml:space="preserve">ESPECIALIDADES  </t>
  </si>
  <si>
    <t>TOTAL TELEINTERCONSULTAS MÉDICAS DE ESPECIALIDAD REALIZADAS  POR HOSPITAL DIGITAL</t>
  </si>
  <si>
    <t>TELEINTERCONSULTA MEDICA DE ESPECIALIDAD AMBULATORIA NUEVA</t>
  </si>
  <si>
    <t xml:space="preserve">TELEINTERCONSULTA MEDICA  DE ESPECIALIDAD AMBULATORIA CONTROL </t>
  </si>
  <si>
    <t>TELEINTERCONSULTAS  SOLICITADAS DESDE APS O NIVEL SECUNDARIO PARA SER RESUELTAS POR HOSPITAL DIGITAL</t>
  </si>
  <si>
    <t>Menores de 15 años</t>
  </si>
  <si>
    <t>Endocrinología</t>
  </si>
  <si>
    <t>Genética</t>
  </si>
  <si>
    <t>Neurología</t>
  </si>
  <si>
    <t>Otras Especialidades Médicas</t>
  </si>
  <si>
    <t>SECCION A2: TELECONSULTA DE ESPECIALIDAD MEDICA  POR HOSPITAL DIGITAL</t>
  </si>
  <si>
    <t>TOTAL TELECONSULTAS DE ESPECIALIDAD REALIZADAS  POR HOSPITAL DIGITAL</t>
  </si>
  <si>
    <t>TELECONSULTA DE ESPECIALIDAD CONSULTA NUEVA</t>
  </si>
  <si>
    <t xml:space="preserve">TELECONSULTA DE ESPECIALIDAD CONTROL </t>
  </si>
  <si>
    <t>TELECONSULTAS SOLICITADAS PARA SER RESUELTAS POR HOSPITAL DIGITAL</t>
  </si>
  <si>
    <t>Enfermedades Metabólicas</t>
  </si>
  <si>
    <t xml:space="preserve">Otras especialidades Médicas </t>
  </si>
  <si>
    <t>SECCIÓN B : TELEINFORMES EN ESTABLECIMIENTOS DE ATENCIÓN PRIMARIA, SECUNDARIA Y TERCIARIA</t>
  </si>
  <si>
    <t xml:space="preserve">TELEINFORMES </t>
  </si>
  <si>
    <t xml:space="preserve"> TOTAL TELEINFORMES REALIZADOS </t>
  </si>
  <si>
    <t xml:space="preserve">ESTABLECIMIENTOS DE NIVEL PRIMARIO DE SALUD </t>
  </si>
  <si>
    <t xml:space="preserve"> (ESTABLECIMIENTOS DE NIVEL SECUNDARIO Y TERCIARIO)</t>
  </si>
  <si>
    <t>TOTAL TELEINFORMES REALIZADOS POR INTELIGENCIA ARTIFICIAL</t>
  </si>
  <si>
    <t xml:space="preserve">TOTAL TELEINFORMES REALIZADOS POR ESPECIALISTA </t>
  </si>
  <si>
    <t>N° de Teleinformes Fondo de Ojo</t>
  </si>
  <si>
    <t>N° de Teleinformes de Tomografía Axial Computarizada</t>
  </si>
  <si>
    <t>N° de Teleinformes de Resonancia Magnética</t>
  </si>
  <si>
    <t>N° de Teleinformes Mamografías</t>
  </si>
  <si>
    <t>SECCION C: TELEINTERCONSULTA DE ESPECIALIDADES ODONTOLOGICAS POR HOSPITAL DIGITAL</t>
  </si>
  <si>
    <t>ESPECIALIDADES ODONTOLOGICAS</t>
  </si>
  <si>
    <t xml:space="preserve">TOTAL TELEINTERCONSULTAS DE ESPECIALIDADES ODONTOLÓGICAS </t>
  </si>
  <si>
    <t>TELEINTERCONSULTA DE ESPECIALIDADES ODONTOLÓGICAS AMBULATORIA NUEVA</t>
  </si>
  <si>
    <t xml:space="preserve">TELEINTERCONSULTA DE ESPECIALIDADES ODONTOLÓGICAS AMBULATORIA CONTROL </t>
  </si>
  <si>
    <t>TELEINTERCONSULTAS  SOLICITADAS PARA SER RESUELTAS POR HOSPITAL DIGITAL</t>
  </si>
  <si>
    <t>Cirugía y traumatología buco maxilofacial</t>
  </si>
  <si>
    <t>Trastornos Temporomandibulares y Dolor Orofacial</t>
  </si>
  <si>
    <t>Ortodoncia</t>
  </si>
  <si>
    <t>Patología Oral</t>
  </si>
  <si>
    <t>Otras Especialidades Odontológicas</t>
  </si>
  <si>
    <t>SECCIÓN D: PRESTACIONES DE TELEMEDICINA REALIZADAS POR OTROS PROFESIONALES</t>
  </si>
  <si>
    <t xml:space="preserve"> PROFESIONAL DE LA SALUD</t>
  </si>
  <si>
    <t xml:space="preserve">TOTAL PRESTACIONES REALIZADAS POR OTROS PROFESIONALES DE LA SALUD </t>
  </si>
  <si>
    <t xml:space="preserve">TOTAL PRESTACIONES TELEMEDICINA REALIZADAS EN MODALIDAD SINCRÓNICA </t>
  </si>
  <si>
    <t xml:space="preserve">TOTAL PRESTACIONES TELEMEDICINA REALIZADAS EN MODALIDAD ASINCRÓNICA </t>
  </si>
  <si>
    <t xml:space="preserve">Quimico Farmacéutico </t>
  </si>
  <si>
    <t>Psicologa/o</t>
  </si>
  <si>
    <t xml:space="preserve">SECCION E: TELEMEDICINA EN ESTRATEGIAS DE MEDICINA GENERAL </t>
  </si>
  <si>
    <t>TELECONSULTA</t>
  </si>
  <si>
    <t xml:space="preserve">TELEMEDICINA POR PROFESIONAL DE SALUD AMBULATORIA  </t>
  </si>
  <si>
    <t>TELEMEDICINA SOLICITADAS PARA SER RESUELTAS POR MEDICOS GENERALES DE HOSPITAL DIGITAL</t>
  </si>
  <si>
    <t>Medicina General Hospital Digital Rural</t>
  </si>
  <si>
    <t>Medicina General en otras Instancias</t>
  </si>
  <si>
    <t xml:space="preserve">SECCION F: ESTRATEGIAS SALUD MENTAL </t>
  </si>
  <si>
    <t xml:space="preserve">SECCIÓN F1: ESTRATEGIA SALUD MENTAL POBLACION GENERAL </t>
  </si>
  <si>
    <t xml:space="preserve">ESTRATEGIAS DE SALUD A POBLACIÓN GENERAL </t>
  </si>
  <si>
    <t>PRESTACIONES DE SALUD MENTAL A POBLACIÓN GENERAL</t>
  </si>
  <si>
    <t>Sin información</t>
  </si>
  <si>
    <t>Línea prevención suicidio</t>
  </si>
  <si>
    <t xml:space="preserve">SECCION F2: ESTRATEGIA SALUD MENTAL EN FUNCIONARIOS DE LA SALUD </t>
  </si>
  <si>
    <t>ESTRATEGIAS DE SALUD A FUNCIONARIOS</t>
  </si>
  <si>
    <t>PRESTACIONES DE SALUD MENTAL FUNCIONARIOS</t>
  </si>
  <si>
    <t xml:space="preserve">PRESTACIONES DIFERENCIADAS POR VÍA DE REALIZACIÓN  </t>
  </si>
  <si>
    <t xml:space="preserve"> llamada telefónica</t>
  </si>
  <si>
    <t>Video llamada</t>
  </si>
  <si>
    <t>Ingresos PASMET</t>
  </si>
  <si>
    <t>SECCION F3: ALTA PROGRAMA DE ACOMPAÑAMIENTO EN SALUD MENTAL POR TELEMEDICINA A FUNCIONARIOS (PASMET)</t>
  </si>
  <si>
    <t>TIPO DE ALTA PASMET</t>
  </si>
  <si>
    <t xml:space="preserve">PRESTACIÓN PSICOLÓGICA A FUNCIONARIOS </t>
  </si>
  <si>
    <t xml:space="preserve">Alta Terapéutica </t>
  </si>
  <si>
    <t>Abondono</t>
  </si>
  <si>
    <t>SECCION G: TELECOMITÉ</t>
  </si>
  <si>
    <t>TELECOMITE</t>
  </si>
  <si>
    <t xml:space="preserve">USUARIOS EVALUADOS POR TELECOMITÉ </t>
  </si>
  <si>
    <t>Telecomité Oncológico Central</t>
  </si>
  <si>
    <t>Telecomité de Cuidados Paliativos</t>
  </si>
  <si>
    <t>SECCION H: ORIENTACIÓN TELEFÓNICA EN SALUD</t>
  </si>
  <si>
    <t xml:space="preserve">ORIENTACIÓN TELEFÓNICA EN SALUD </t>
  </si>
  <si>
    <t>ORIENTACIÓN EN SALUD</t>
  </si>
  <si>
    <t xml:space="preserve">Sin Información </t>
  </si>
  <si>
    <t>Orientación Clínica por Profesional no Médico</t>
  </si>
  <si>
    <t>Orientación Administrativa</t>
  </si>
  <si>
    <t>Orientación Médica</t>
  </si>
  <si>
    <t>Orientacion por Matrona</t>
  </si>
  <si>
    <t>SECCION I: TELEINTERCONSULTA MÉDICA EN SERVICIOS DE URGENCIA POR HOSPITAL DIGITAL</t>
  </si>
  <si>
    <t>TIPO DE TELEINTERCONSULTA DE URGENCIA</t>
  </si>
  <si>
    <t xml:space="preserve"> TELEINTERCONSULTA MEDICA DE URGENCIA </t>
  </si>
  <si>
    <t xml:space="preserve">TOTAL USUARIOS QUE SE INDICA TROMBOLISIS </t>
  </si>
  <si>
    <t>Otras teleinterconsultas urgencia</t>
  </si>
  <si>
    <t xml:space="preserve">SECCIÓN J : ATENCIÓN REMOTA DE URGENCIA </t>
  </si>
  <si>
    <t xml:space="preserve">ATENCIÓN REMOTA </t>
  </si>
  <si>
    <t>TOTAL PRESTACIONES REALIZADAS</t>
  </si>
  <si>
    <t>VIAS DE INGRESO A ESTRATEGIA</t>
  </si>
  <si>
    <t xml:space="preserve">UPC </t>
  </si>
  <si>
    <t>Red de Urgencia</t>
  </si>
  <si>
    <t xml:space="preserve">Neonatología </t>
  </si>
  <si>
    <t xml:space="preserve">Otras atenciones remotas de urgencia </t>
  </si>
  <si>
    <t>REM-31.  MEDICINA COMPLEMENTARIA Y PRÁCTICAS DE BIENESTAR DE LA SALUD</t>
  </si>
  <si>
    <t>SECCIÓN A: TIPOS DE MEDICINA COMPLEMENTARIA Y PRÁCTICAS DE BIENESTAR DE LA SALUD ENTREGADAS EN ATENCIÓN INDIVIDUAL</t>
  </si>
  <si>
    <t>TIPO DE MEDICINA COMPLEMENTARIA O PRÁCTICA DE BIENESTAR DE LA SALUD</t>
  </si>
  <si>
    <t>Atenciones realizadas durante otras consultas</t>
  </si>
  <si>
    <t>Ingresos a Medicina Complementaria</t>
  </si>
  <si>
    <t>Familiares / Cuidadores de los Pacientes</t>
  </si>
  <si>
    <t>Funcionarios</t>
  </si>
  <si>
    <t xml:space="preserve"> 10 - 14  años</t>
  </si>
  <si>
    <t>Reguladas</t>
  </si>
  <si>
    <t>Acupuntura</t>
  </si>
  <si>
    <t>Homeopatía</t>
  </si>
  <si>
    <t>Naturopatía</t>
  </si>
  <si>
    <t>No reguladas</t>
  </si>
  <si>
    <t>Apiterapia</t>
  </si>
  <si>
    <t>Aurículoterapia</t>
  </si>
  <si>
    <t>Biomagnetismo</t>
  </si>
  <si>
    <t xml:space="preserve">Fitoterapia </t>
  </si>
  <si>
    <t>Masoterapia</t>
  </si>
  <si>
    <t>Medicina Antroposófica</t>
  </si>
  <si>
    <t>Quiropraxia</t>
  </si>
  <si>
    <t>Reiki</t>
  </si>
  <si>
    <t xml:space="preserve">Sanación Pránica </t>
  </si>
  <si>
    <t>Sintergética</t>
  </si>
  <si>
    <t>Terapia Floral</t>
  </si>
  <si>
    <t>Terapia Neural</t>
  </si>
  <si>
    <t xml:space="preserve">SECCIÓN B: MEDICINA COMPLEMENTARIA Y PRÁCTICAS DE BIENESTAR DE LA SALUD EN ATENCIONES INDIVIDUALES O GRUPALES, SEGÚN PROFESIONAL </t>
  </si>
  <si>
    <t xml:space="preserve">PERFIL PROFESIONAL </t>
  </si>
  <si>
    <t>NO REGULADAS</t>
  </si>
  <si>
    <t>Arte terapia</t>
  </si>
  <si>
    <t>Aurículo-terapia</t>
  </si>
  <si>
    <t>Biodanza</t>
  </si>
  <si>
    <t>Qi Gong</t>
  </si>
  <si>
    <t>Fitoterapia</t>
  </si>
  <si>
    <t>Huertos Medicinales o Alimenticio/ Medicinales</t>
  </si>
  <si>
    <t xml:space="preserve">Meditación </t>
  </si>
  <si>
    <t>Sanación Pránica</t>
  </si>
  <si>
    <t>Sonoterapia</t>
  </si>
  <si>
    <t xml:space="preserve">Tai Chi </t>
  </si>
  <si>
    <t>Yoga</t>
  </si>
  <si>
    <t>Constelaciones Familiares</t>
  </si>
  <si>
    <t>Circulos de escucha</t>
  </si>
  <si>
    <t>Musicoterapia</t>
  </si>
  <si>
    <t>Danzaterapia</t>
  </si>
  <si>
    <t>Dramaterapia</t>
  </si>
  <si>
    <t>Otras Individuales</t>
  </si>
  <si>
    <t>Otras Grupales</t>
  </si>
  <si>
    <t>Enfermera(o)</t>
  </si>
  <si>
    <t>Matrona(ón)</t>
  </si>
  <si>
    <t>Fonoaudiólogo</t>
  </si>
  <si>
    <t>Farmacéutico</t>
  </si>
  <si>
    <t>Técnico en enfermería</t>
  </si>
  <si>
    <t>Tecnólogo Médico</t>
  </si>
  <si>
    <t>Terapeuta Complementario</t>
  </si>
  <si>
    <t>SECCIÓN C: ORIGEN DE LA ATENCIÓN CON MEDICINA COMPLEMENTARIA Y PRÁCTICAS DE BIENESTAR DE LA SALUD</t>
  </si>
  <si>
    <t>ORIGEN DE LA ATENCIÓN</t>
  </si>
  <si>
    <t>Huertos Medicinales o Alimenticio / Medicinales</t>
  </si>
  <si>
    <t>Consulta Espontánea</t>
  </si>
  <si>
    <t>Derivado desde Morbilidad</t>
  </si>
  <si>
    <t>Derivado desde Especialidad</t>
  </si>
  <si>
    <t>Paciente Hospitalizado</t>
  </si>
  <si>
    <t>Programa Crónicos Cardiovascular</t>
  </si>
  <si>
    <t>Otros programas de crónicos</t>
  </si>
  <si>
    <t>Programa de Salud Mental</t>
  </si>
  <si>
    <t>Programa de Salud Oral</t>
  </si>
  <si>
    <t xml:space="preserve">Programa de Salud sexual y reproductiva </t>
  </si>
  <si>
    <t>Chile Crece Contigo/Programa Infantil</t>
  </si>
  <si>
    <t>Programa de Cáncer (QT/RT)</t>
  </si>
  <si>
    <t>Programa de Dependencia severa</t>
  </si>
  <si>
    <t>Programa de Hospitalización Domiciliaria</t>
  </si>
  <si>
    <t>Programa de Rehabilitación física</t>
  </si>
  <si>
    <t>Programa de Cuidados Paliativos y Manejo del Dolor</t>
  </si>
  <si>
    <t>Otros programas</t>
  </si>
  <si>
    <t>SECCIÓN D: TIPOS DE MEDICINA COMPLEMENTARIA Y PRÁCTICAS DE BIENESTAR DE LA SALUD ENTREGADAS EN ATENCION GRUPAL Y COMUNITARIA</t>
  </si>
  <si>
    <t>TIPO DE  MEDICINA COMPLEMENTARIA O PRÁCTICA DE BIENESTAR DE LA SALUD</t>
  </si>
  <si>
    <t xml:space="preserve">
TOTAL DE SESIONES GRUPALES</t>
  </si>
  <si>
    <t>N° DE PARTICIPANTES</t>
  </si>
  <si>
    <t>Familiares / Cuidadores de los pacientes</t>
  </si>
  <si>
    <t>Menos de 10 años</t>
  </si>
  <si>
    <t>20-64 años</t>
  </si>
  <si>
    <t>Huertos Medicinales o Alimenticio/Medicinales</t>
  </si>
  <si>
    <t>Meditación</t>
  </si>
  <si>
    <t>Tai Chi</t>
  </si>
  <si>
    <t>Constelaciones familiares</t>
  </si>
  <si>
    <t>Círculos de Escucha</t>
  </si>
  <si>
    <t xml:space="preserve">SECCION E: ACCIONES REMOTAS DE MEDICINAS COMPLEMENTARIAS Y PRÁCTICAS DE BIENESTAR EN SALUD </t>
  </si>
  <si>
    <t xml:space="preserve">Familiares/Cuidadores de los pacientes </t>
  </si>
  <si>
    <t xml:space="preserve">REM-32. ACTIVIDADES DE ATENCIÓN DE SALUD REMOTA </t>
  </si>
  <si>
    <t>SECCIÓN A: SEGUIMIENTO EN ATENCIÓN PRIMARIA DE SALUD POR LLAMADA TELEFÓNICA O VIDEOLLAMADAS</t>
  </si>
  <si>
    <t xml:space="preserve"> SEXO</t>
  </si>
  <si>
    <t>Espacios amigables/ Adolescentes</t>
  </si>
  <si>
    <t>SECCIÓN B:  GESTION REMOTA ABREVIADA MEDIANTE PLATAFORMA TELESALUD</t>
  </si>
  <si>
    <t xml:space="preserve">Odontólogo/a </t>
  </si>
  <si>
    <t xml:space="preserve">Renovación de recetas/ </t>
  </si>
  <si>
    <t>Entrega de resultados de exámenes</t>
  </si>
  <si>
    <t>Renovación de licencia médica</t>
  </si>
  <si>
    <t>Orden de exámenes</t>
  </si>
  <si>
    <t>Certificados médicos</t>
  </si>
  <si>
    <t>SECCIÓN C: CONSULTA MÉDICA EN ATENCIÓN PRIMARIA DE SALUD POR LLAMADA TELEFÓNICA O VIDEOLLAMADAS</t>
  </si>
  <si>
    <t xml:space="preserve">ATENCION </t>
  </si>
  <si>
    <t xml:space="preserve">Modalidad por la cual se realiza la atención </t>
  </si>
  <si>
    <t>Videollamada</t>
  </si>
  <si>
    <t xml:space="preserve">Llamada Telefónica </t>
  </si>
  <si>
    <t>Medicina General</t>
  </si>
  <si>
    <t>Atención remota de morbilidad (Plataforma Telesalud)</t>
  </si>
  <si>
    <t>SECCIÓN D: ATENCIONES TELEFÓNICAS EN CONSULTAS Y CONTROLES</t>
  </si>
  <si>
    <t>SECCIÓN D1: ATENCIONES REMOTAS MÉDICAS EN ESPECIALIDAD</t>
  </si>
  <si>
    <t>ESPECIALIDADES Y 
SUB-ESPECIALIDADES</t>
  </si>
  <si>
    <t>ATENCIONES REMOTAS DE CONSULTAS DE ESPECIALIDAD</t>
  </si>
  <si>
    <t>NO CONTESTA</t>
  </si>
  <si>
    <t>ALTA DE CONSULTA DE ESPECIALIDAD AMBULATORIA REMOTA</t>
  </si>
  <si>
    <t>TELECONSULTAS NUEVAS DE ESPECIALIDAD SEGÚN ORIGEN</t>
  </si>
  <si>
    <t>ATENCIONES SEGÚN MODALIDAD DE CONTACTO</t>
  </si>
  <si>
    <t>Teleconsulta Abreviada  (Videollamada)/ Consulta Abreviada Telefónica Atención Remota: entrega de los resultados de exámenes o procedimiento (Confección de recetas o lectura de exámenes)</t>
  </si>
  <si>
    <t>Teleconsultorías</t>
  </si>
  <si>
    <t>Teleconsulta de especialidad resueltas por Médicos Generales</t>
  </si>
  <si>
    <t>De 15 y más años</t>
  </si>
  <si>
    <t>Nuevas</t>
  </si>
  <si>
    <t>Menos 
15 años</t>
  </si>
  <si>
    <t>15 y más 
años</t>
  </si>
  <si>
    <t>Teleconsulta Nueva</t>
  </si>
  <si>
    <t>Teleconsulta Control</t>
  </si>
  <si>
    <t>Contacto telefónico control</t>
  </si>
  <si>
    <t xml:space="preserve">Enfermedad respiratoria pediátrica </t>
  </si>
  <si>
    <t xml:space="preserve">Enfermedad respiratoria de adulto </t>
  </si>
  <si>
    <t>Neuroradiologia</t>
  </si>
  <si>
    <t>Medicina nuclear</t>
  </si>
  <si>
    <t>SECCIÓN D.2: ATENCIONES REMOTAS CONSULTAS Y CONTROLES POR OTROS PROFESIONALES EN ESPECIALIDAD (NIVEL SECUNDARIO)</t>
  </si>
  <si>
    <t>ATENCIONES REMOTAS SEGÚN MODALIDAD</t>
  </si>
  <si>
    <t>Atención Remota consulta abreviada PNM: entrega de los resultados de exámenes o procedimiento (Confección de recetas o lectura de exámenes)</t>
  </si>
  <si>
    <t>Consultorías resueltas vía remota</t>
  </si>
  <si>
    <t xml:space="preserve"> Contacto Telefónico Control</t>
  </si>
  <si>
    <t>Teleconsulta Nueva /Control</t>
  </si>
  <si>
    <t>Ginecología y otros</t>
  </si>
  <si>
    <t>Tecnólogo/a médico/a</t>
  </si>
  <si>
    <t xml:space="preserve">SECCIÓN E: ATENCIÓN ODONTOLÓGICA </t>
  </si>
  <si>
    <t>SECCIÓN E1: ATENCIÓN ODONTOLÓGICA NIVEL PRIMARIO</t>
  </si>
  <si>
    <t xml:space="preserve">ACTIVIDADES </t>
  </si>
  <si>
    <t>60 años (incluído en grupos de 20-64 años)</t>
  </si>
  <si>
    <t>Usuarios en situación de discapacidad</t>
  </si>
  <si>
    <t>Niños, niñas, adolescentes y jóvenes SENAME</t>
  </si>
  <si>
    <t>Niños, niñas, adolescentes y jóvenes Mejor Niñez</t>
  </si>
  <si>
    <t>Menos de 1
año</t>
  </si>
  <si>
    <t>1 
año</t>
  </si>
  <si>
    <t>2 
años</t>
  </si>
  <si>
    <t>3 
años</t>
  </si>
  <si>
    <t>4 
años</t>
  </si>
  <si>
    <t>5 
años</t>
  </si>
  <si>
    <t>6 
años</t>
  </si>
  <si>
    <t>12 
años</t>
  </si>
  <si>
    <t>Resto 
&lt;15 años</t>
  </si>
  <si>
    <t>15 - 19 
años</t>
  </si>
  <si>
    <t>20 - 64 
años</t>
  </si>
  <si>
    <t>65 y 
más años</t>
  </si>
  <si>
    <t>Seguimiento Clínico Remoto de Pacientes</t>
  </si>
  <si>
    <t>Educación, Promoción Remota en Salud Bucal</t>
  </si>
  <si>
    <t>Pauta CERO Remota</t>
  </si>
  <si>
    <t>SECCIÓN E2: ATENCIÓN ODONTOLÓGICA ESTABLECIMIENTOS HOSPITALARIOS DE BAJA, MEDIANA Y ALTA COMPLEJIDAD</t>
  </si>
  <si>
    <t>No Contesta</t>
  </si>
  <si>
    <t>0-5 años</t>
  </si>
  <si>
    <t>12 años</t>
  </si>
  <si>
    <t>Resto &lt; 15 años</t>
  </si>
  <si>
    <t>20-64 
 años (excluye 60 años)</t>
  </si>
  <si>
    <t>60 años</t>
  </si>
  <si>
    <t>Consulta nueva de especialidad odontológica (Teleconsulta)</t>
  </si>
  <si>
    <t>Control de especialidad odontológica (Teleconsulta)</t>
  </si>
  <si>
    <t xml:space="preserve">SECCION F: ACCIONES DE SALUD MENTAL REMOTAS </t>
  </si>
  <si>
    <t>SECCIÓN F1: ACCIONES REMOTAS DE SALUD MENTAL (APS Y ESPECIALIDAD)</t>
  </si>
  <si>
    <t>VIDEOLLAMADAS</t>
  </si>
  <si>
    <t>TOTAL ACCIONES</t>
  </si>
  <si>
    <t>Llamadas Telefónicas</t>
  </si>
  <si>
    <t>Videollamadas</t>
  </si>
  <si>
    <t>Mensajería de Texto</t>
  </si>
  <si>
    <t>SECCIÓN F2: CONTROLES DE SALUD MENTAL REMOTOS (APS Y ESPECIALIDAD)</t>
  </si>
  <si>
    <t>Controles de salud mental por llamadas telefónicas</t>
  </si>
  <si>
    <t>Matrona/on</t>
  </si>
  <si>
    <t>Técnico en Enfermería y en Salud Mental</t>
  </si>
  <si>
    <t xml:space="preserve">Controles de salud mental por videollamadas </t>
  </si>
  <si>
    <t xml:space="preserve">SECCION G: ACCIONES DE SEGUIMIENTO REMOTO EN EL PROGRAMA DE SALUD CARDIOVASCULAR EN APS </t>
  </si>
  <si>
    <t>Llamadas telefónicas o Videollamadas</t>
  </si>
  <si>
    <t>Mensajes de texto</t>
  </si>
  <si>
    <t>SECCIÓN H: ACTIVIDADES DE ACOMPAÑAMIENTO REMOTO A PERSONAS MAYORES Y SUS FAMILIAS POR PARTE DEL PROGRAMA MÁS ADULTOS MAYORES AUTOVALENTES</t>
  </si>
  <si>
    <t>Contacto individual por mensaje electrónico</t>
  </si>
  <si>
    <t>Contacto grupal por mensaje electrónico</t>
  </si>
  <si>
    <t>SECCIÓN I: SEGUIMIENTO DE SALUD INFANTIL REMOTO</t>
  </si>
  <si>
    <t>ACCIONES</t>
  </si>
  <si>
    <t>TOTAL USUARIOS</t>
  </si>
  <si>
    <t>Video Llamadas</t>
  </si>
  <si>
    <t>24 - 35 meses</t>
  </si>
  <si>
    <t>36 - 41 meses</t>
  </si>
  <si>
    <t>42 - 47 meses</t>
  </si>
  <si>
    <t>60 - 71 meses</t>
  </si>
  <si>
    <t>6 - 9 años 11 meses</t>
  </si>
  <si>
    <t>Otro/a</t>
  </si>
  <si>
    <t>SECCIÓN J: ATENCIÓN REMOTA ADOLESCENTE</t>
  </si>
  <si>
    <t xml:space="preserve"> CONTROL DE SALUD INTEGRAL</t>
  </si>
  <si>
    <t>10 - 14 AÑOS</t>
  </si>
  <si>
    <t>15 - 19 AÑOS</t>
  </si>
  <si>
    <t>Epuipo de espacio Amigable</t>
  </si>
  <si>
    <t>Otro Equipo de Salud</t>
  </si>
  <si>
    <t>SECCION K: ATENCIONES REMOTAS EN MODALIDADES DE APOYO AL DESARROLLO INFANTIL (MADIS) EN APS</t>
  </si>
  <si>
    <t>TIPO DE ACCION PARA GENERAR ATENCIONES</t>
  </si>
  <si>
    <t>Telefónico</t>
  </si>
  <si>
    <t>Mensajería</t>
  </si>
  <si>
    <t>7-11 meses</t>
  </si>
  <si>
    <t>12- 17 meses</t>
  </si>
  <si>
    <t>18-23 meses</t>
  </si>
  <si>
    <t>24-47 meses</t>
  </si>
  <si>
    <t>48-59 meses</t>
  </si>
  <si>
    <t>Intervenciones de seguimiento efectivas</t>
  </si>
  <si>
    <t>Intervenciones de otro tipo</t>
  </si>
  <si>
    <t>Última sesión Término de Tratramiento</t>
  </si>
  <si>
    <t>SECCIÓN L:  EDUCACIÓN GRUPAL REMOTA SEGÚN ÁREAS TEMÁTICAS Y EDAD</t>
  </si>
  <si>
    <t>ÁREAS TEMÁTICAS DE PROMOCIÓN Y PREVENCIÓN</t>
  </si>
  <si>
    <t>TOTAL
 ACCIONES</t>
  </si>
  <si>
    <t>TIPO DE ACCIÓN PARA GENERAR ATENCIONES</t>
  </si>
  <si>
    <t>MADRE, PADRE O CUIDADOR DE:</t>
  </si>
  <si>
    <t>Videollamada grupal</t>
  </si>
  <si>
    <t>Seminario-Radio</t>
  </si>
  <si>
    <t>Plataforma Digital</t>
  </si>
  <si>
    <t>Acompañante de gestante</t>
  </si>
  <si>
    <t>Menores de 12 meses</t>
  </si>
  <si>
    <t>Niños de 12 a 23 meses</t>
  </si>
  <si>
    <t>Niños de 2 a 5 años</t>
  </si>
  <si>
    <t>Niños de 5 a 9 años</t>
  </si>
  <si>
    <t>Habilidades Parentales</t>
  </si>
  <si>
    <t>Nadie es Perfecto Remoto A</t>
  </si>
  <si>
    <t>Nadie es Perfecto Remoto B</t>
  </si>
  <si>
    <t>Nadie es Perfecto Seminario</t>
  </si>
  <si>
    <t>Nadie es perfecto PASMI</t>
  </si>
  <si>
    <t xml:space="preserve">SECCIÓN M: ACTIVIDADES PROGRAMA ELIGE VIDA SANA POR LLAMADA TELEFÓNICA </t>
  </si>
  <si>
    <t>Nº DE MENSAJES</t>
  </si>
  <si>
    <t>Nº DE PARTICIPANTES</t>
  </si>
  <si>
    <t>RANGO ETAREO</t>
  </si>
  <si>
    <t>Niños/as 12 a 23 meses</t>
  </si>
  <si>
    <t>Información de actividades físicas enviadas por teléfono</t>
  </si>
  <si>
    <t>Información de Nutrición enviada por teléfono</t>
  </si>
  <si>
    <t>Información por Psicólogos enviada por teléfono</t>
  </si>
  <si>
    <t>SECCIÓN N: ACTIVIDADES PROGRAMA ELIGE VIDA SANA POR REDES SOCIALES</t>
  </si>
  <si>
    <t>N° DE ARCHIVOS MULTIMEDIA</t>
  </si>
  <si>
    <t>Videos de Actividad Física subido a las Redes Sociales</t>
  </si>
  <si>
    <t>Videos de Vida Sana subido a las Redes Sociales</t>
  </si>
  <si>
    <t>SECCIÓN O: APOYO TELEFÓNICO DEL PROGRAMA DE ACOMPAÑAMIENTO PSICOSOCIAL EN APS</t>
  </si>
  <si>
    <t>Acciones telefónicas realizadas (llamadas o mensajería)</t>
  </si>
  <si>
    <t xml:space="preserve">SECCIÓN P: TELECONSULTA MEDICINA ABREVIADA </t>
  </si>
  <si>
    <t xml:space="preserve">TIPO DE CONSULTA </t>
  </si>
  <si>
    <t>REM - A33. CUIDADOS PALIATIVOS NIVEL APS Y HOSPITALARIO</t>
  </si>
  <si>
    <t>SECCIÓN A:  INGRESOS POR DIAGNÓSTICO Y EGRESO POR CAUSALES</t>
  </si>
  <si>
    <t xml:space="preserve">INGRESO Y EGRESO SEGÚN DIAGNÓSTICO </t>
  </si>
  <si>
    <t>10- 14 años</t>
  </si>
  <si>
    <t>Ingresos por Diagnóstico</t>
  </si>
  <si>
    <t>Enfermedad oncológica</t>
  </si>
  <si>
    <t>Enfermedades oncológicas no progresivas</t>
  </si>
  <si>
    <t>Enfermedades oncológicas progresivas</t>
  </si>
  <si>
    <t>Enfermedad no oncológica</t>
  </si>
  <si>
    <t>Infección causada por VIH</t>
  </si>
  <si>
    <t>Enfermedades de origen neurológico</t>
  </si>
  <si>
    <t>Enfermedades de origen cardiológico</t>
  </si>
  <si>
    <t>Enfermedades de origen pulmonar</t>
  </si>
  <si>
    <t>Enfermedades de origen hepático</t>
  </si>
  <si>
    <t>Enfermedades de origen renal</t>
  </si>
  <si>
    <t>Alteraciones del tejido conectivo o musculoesquelético severos</t>
  </si>
  <si>
    <t>Malformaciones congénitas, deformidades y anomalías cromosómicas</t>
  </si>
  <si>
    <t>Prematurez</t>
  </si>
  <si>
    <t>Otras enfermedades</t>
  </si>
  <si>
    <t>Fallecimiento menor a 6 meses desde ingreso</t>
  </si>
  <si>
    <t>Fallecimiento más de 6 meses y menos de un año del ingreso</t>
  </si>
  <si>
    <t>Fallecimiento posterior a 12 meses del ingreso</t>
  </si>
  <si>
    <t>Término de Tratamiento</t>
  </si>
  <si>
    <t>No cumplimiento de criterios de ingreso</t>
  </si>
  <si>
    <t>Otra causal</t>
  </si>
  <si>
    <t xml:space="preserve">SECCIÓN B:  TIPO DE ATENCIÓN Y ACTIVIDADES </t>
  </si>
  <si>
    <t>ATENCIONES POR PROFESIONAL O TECNICO</t>
  </si>
  <si>
    <t>Dependencia Severa en APS</t>
  </si>
  <si>
    <t>Atenciones a personas oncológicas</t>
  </si>
  <si>
    <t>15 - 19  años</t>
  </si>
  <si>
    <t>20 - 24  años</t>
  </si>
  <si>
    <t xml:space="preserve">40 - 44 años </t>
  </si>
  <si>
    <t xml:space="preserve">70  años y más </t>
  </si>
  <si>
    <t>Quimico Farmacéutico</t>
  </si>
  <si>
    <t>0 -19 años</t>
  </si>
  <si>
    <t>20 años y más</t>
  </si>
  <si>
    <t>Visita domiciliaria APS</t>
  </si>
  <si>
    <t>Visita Domiciliaria Integral ingreso</t>
  </si>
  <si>
    <t>Visita Domiciliaria Integral seguimiento</t>
  </si>
  <si>
    <t>Visita Domiciliaria Tratamiento/Procedimiento/Rehabilitación</t>
  </si>
  <si>
    <t>Visita domiciliaria Nivel Secundario</t>
  </si>
  <si>
    <t>Visita Domiciliaria consulta nueva</t>
  </si>
  <si>
    <t>Visita Domiciliaria consulta control</t>
  </si>
  <si>
    <t>Atención ambulatoria</t>
  </si>
  <si>
    <t>Consultas nuevas</t>
  </si>
  <si>
    <t>Consulta abreviada</t>
  </si>
  <si>
    <t>Atención a familiares</t>
  </si>
  <si>
    <t>Atención Remota</t>
  </si>
  <si>
    <t>Teleconsulta</t>
  </si>
  <si>
    <t>Interconsulta en Sala</t>
  </si>
  <si>
    <t>Atención en Sala</t>
  </si>
  <si>
    <t>SECCION C: EDUCACIÓN A USUARIOS/AS</t>
  </si>
  <si>
    <t>Talleres</t>
  </si>
  <si>
    <t>Nº de participantes</t>
  </si>
  <si>
    <t>Modalidad remota</t>
  </si>
  <si>
    <t>Modalidad presencial</t>
  </si>
  <si>
    <t>SECCION D: CAPACITACIONES DE EQUIPOS</t>
  </si>
  <si>
    <t>CAPACITACIÓN</t>
  </si>
  <si>
    <t>PARA NIVEL PRIMARIO</t>
  </si>
  <si>
    <t>PARA NIVEL SECUNDARIO</t>
  </si>
  <si>
    <t xml:space="preserve">Nº Sesiones </t>
  </si>
  <si>
    <t xml:space="preserve">Nº Participantes </t>
  </si>
  <si>
    <t>Desde Especialidad</t>
  </si>
  <si>
    <t>Modalidad Remota</t>
  </si>
  <si>
    <t>Modalidad Presencial</t>
  </si>
  <si>
    <t>Desde APS</t>
  </si>
  <si>
    <t>Desde Servicio de Salud</t>
  </si>
  <si>
    <t>Desde MINSAL</t>
  </si>
  <si>
    <t>SECCION E: COMITÉS CUIDADOS PALIATIVOS</t>
  </si>
  <si>
    <t>COMITÉS</t>
  </si>
  <si>
    <t>TOTAL COMITE REALIZADOS</t>
  </si>
  <si>
    <t xml:space="preserve">Coordinación internivel </t>
  </si>
  <si>
    <t>Coordinación Exclusivo Nivel Primario</t>
  </si>
  <si>
    <t>Coordinación Exclusivo Nivel Secundario</t>
  </si>
  <si>
    <t>0 a 19 años</t>
  </si>
  <si>
    <t>Cuidados Paliativos Oncológico</t>
  </si>
  <si>
    <t>Cuidados Paliativos Universales</t>
  </si>
  <si>
    <t>Total Comités</t>
  </si>
  <si>
    <t xml:space="preserve">REM-34   DISPOSITIVOS PRAIS SERVICIOS DE SALUD </t>
  </si>
  <si>
    <t>SECCIÓN A: ACREDITACIÓN PRAIS</t>
  </si>
  <si>
    <t>SECCIÓN A.1: ATENCIÓN PARA ACREDITACIÓN PRAIS</t>
  </si>
  <si>
    <t>Usuarios Acreditados por Profesional/es que atiende/n (Individual o en dupla)</t>
  </si>
  <si>
    <t>Psicológo/a</t>
  </si>
  <si>
    <t>Trabajador/a Social y Psicológo/a</t>
  </si>
  <si>
    <t>SECCIÓN A.2: ACREDITACIÓN PRAIS SEGÚN LEY, NORMATIVA Y CALIDAD DE ACREDITACIÓN</t>
  </si>
  <si>
    <t>CALIDAD DE LA ACREDITACIÓN</t>
  </si>
  <si>
    <t>ART. 7° LEY 19.980</t>
  </si>
  <si>
    <t>NORMA COMPLEMENTARIA (N° 88)</t>
  </si>
  <si>
    <t>Ley 19.123, Ley 19.980, Ley 20.405 (DD Y EP)</t>
  </si>
  <si>
    <t>Ley 19.992, Ley 20.405 (Prisión política y tortura)</t>
  </si>
  <si>
    <t>Ley 19.965</t>
  </si>
  <si>
    <t>Trabajador DDHH</t>
  </si>
  <si>
    <t>Ex prisión política</t>
  </si>
  <si>
    <t>Exilio</t>
  </si>
  <si>
    <t>Relegación</t>
  </si>
  <si>
    <t>Clandestinidad</t>
  </si>
  <si>
    <t>Exoneración Política</t>
  </si>
  <si>
    <t>Índice</t>
  </si>
  <si>
    <t>Afectado Directo</t>
  </si>
  <si>
    <t>Beneficiario</t>
  </si>
  <si>
    <t>SECCIÓN B: INGRESOS Y CONTROLES</t>
  </si>
  <si>
    <t>CALIDAD DE ACREDITACIÓN</t>
  </si>
  <si>
    <t>15 a 24 años</t>
  </si>
  <si>
    <t>Otros hechos represivos según Norma técnica N° 88</t>
  </si>
  <si>
    <t>Consulta de ingreso a la atención especializada</t>
  </si>
  <si>
    <t>Psicóloga/o</t>
  </si>
  <si>
    <t>Médico/a General</t>
  </si>
  <si>
    <t xml:space="preserve">Psiquiatra </t>
  </si>
  <si>
    <t>Dupla Profesional</t>
  </si>
  <si>
    <t>Consulta Nueva</t>
  </si>
  <si>
    <t>Psiquiatra</t>
  </si>
  <si>
    <t>Médico/a de Familia</t>
  </si>
  <si>
    <t>Control</t>
  </si>
  <si>
    <t>Consulta Abreviada</t>
  </si>
  <si>
    <t xml:space="preserve">SECCIÓN C: EVALUACIONES </t>
  </si>
  <si>
    <t>Evaluación artículo 10 Ley 19.992</t>
  </si>
  <si>
    <t>Evaluación Integral de Daño</t>
  </si>
  <si>
    <t>SECCIÓN D: INTERVENCIONES</t>
  </si>
  <si>
    <t>SECCIÓN D.1: INTERVENCIONES INDIVIDUALES</t>
  </si>
  <si>
    <t>Psicoterapia</t>
  </si>
  <si>
    <t>Acompañamiento Psicosocial</t>
  </si>
  <si>
    <t>Visita Domiciliaria Integral</t>
  </si>
  <si>
    <t>SECCIÓN D.2: INTERVENCIONES GRUPALES</t>
  </si>
  <si>
    <t>TIPO INTERVENCIÓN</t>
  </si>
  <si>
    <t>SECCIÓN E: ACTIVIDADES EN TERRENO EN CONTEXTO DEL PLAN NACIONAL DE BÚSQUEDA.</t>
  </si>
  <si>
    <t xml:space="preserve">TIPO ACTIVIDAD </t>
  </si>
  <si>
    <t>Acompañamiento a familias en proceso de restitución de restos óseos identificados a sus familiares</t>
  </si>
  <si>
    <t>Acompañamiento en terreno en sitios de interés</t>
  </si>
  <si>
    <t>Visita domiciliaria para búsqueda activa de familiares</t>
  </si>
  <si>
    <t>SECCIÓN F: OTRAS ACTIVIDADES SEGÚN PROFESIONAL QUE LAS REALIZA</t>
  </si>
  <si>
    <t>Testificación en calidad de experto</t>
  </si>
  <si>
    <t>Informes clínicos de daño</t>
  </si>
  <si>
    <t>Consultoría en salud</t>
  </si>
  <si>
    <t>SECCIÓN G: ACTIVIDADES DE PROMOCIÓN Y PREVENCIÓN DE SALUD</t>
  </si>
  <si>
    <t>Calidad de Acreditación de los participantes</t>
  </si>
  <si>
    <t xml:space="preserve">Educación en salud </t>
  </si>
  <si>
    <t>Operativos de salud preventivo</t>
  </si>
  <si>
    <t>SECCIÓN H: ACTIVIDADES DE COORDINACIÓN Y VINCULACIÓN</t>
  </si>
  <si>
    <t>Nº  SESIONES</t>
  </si>
  <si>
    <t>Nº   ORGANIZACIONES  PARTICIPANTES</t>
  </si>
  <si>
    <t>actividad comunitaria de promoción memoria y ddhh</t>
  </si>
  <si>
    <t>trabajo sectorial de información y sensibilización</t>
  </si>
  <si>
    <t>SECCIÓN I: RESCATE DE PACIENTES INASISTENTES</t>
  </si>
  <si>
    <t>Rescate telefónico y/o correo electrónico</t>
  </si>
  <si>
    <t>CALIDAD DE ACREDITACIÓN DE LOS PARTICIPANTES</t>
  </si>
  <si>
    <t>Ley 19.123, ley 19.980, ley 20.405 (DD Y EP)</t>
  </si>
  <si>
    <t>Ley 19.992, ley 20.405 (Prisión política y tortura)</t>
  </si>
  <si>
    <t>NUMERO DE ERRORES Y COMPLETITUD DE REM SERIE A</t>
  </si>
  <si>
    <t>REM</t>
  </si>
  <si>
    <t>Nº ERRORES</t>
  </si>
  <si>
    <t>REM
SIN DATOS</t>
  </si>
  <si>
    <t>HOJA NOMBRE</t>
  </si>
  <si>
    <t>REM A01</t>
  </si>
  <si>
    <t>REM A02</t>
  </si>
  <si>
    <t>REM A03</t>
  </si>
  <si>
    <t>REM A04</t>
  </si>
  <si>
    <t>REM A05</t>
  </si>
  <si>
    <t>REM A06</t>
  </si>
  <si>
    <t>REM A07</t>
  </si>
  <si>
    <t>REM A08</t>
  </si>
  <si>
    <t>REM A09</t>
  </si>
  <si>
    <t>REM A11</t>
  </si>
  <si>
    <t>REM A11a</t>
  </si>
  <si>
    <t>REM A19a</t>
  </si>
  <si>
    <t>REM A19b</t>
  </si>
  <si>
    <t>REM A21</t>
  </si>
  <si>
    <t>REM A23</t>
  </si>
  <si>
    <t>REM A24</t>
  </si>
  <si>
    <t>REM A25</t>
  </si>
  <si>
    <t>REM A26</t>
  </si>
  <si>
    <t>REM A27</t>
  </si>
  <si>
    <t>REM A28</t>
  </si>
  <si>
    <t>REM A29</t>
  </si>
  <si>
    <t>REM A30</t>
  </si>
  <si>
    <t>REM A30AR</t>
  </si>
  <si>
    <t>REM A31</t>
  </si>
  <si>
    <t>REM A32</t>
  </si>
  <si>
    <t>REM A33</t>
  </si>
  <si>
    <t>REM A34</t>
  </si>
  <si>
    <t>Macros</t>
  </si>
  <si>
    <t>CREA UNA COPIA  DEL ARCHIVO  (TRANFORMA HOJAS A VALORES)</t>
  </si>
  <si>
    <t>Contraseña para copia del archivo :DEIS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</si>
</sst>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_-* #,##0_-;\-* #,##0_-;_-* &quot;-&quot;_-;_-@_-"/>
    <numFmt numFmtId="165" formatCode="_-* #,##0.00_-;\-* #,##0.00_-;_-* &quot;-&quot;??_-;_-@_-"/>
    <numFmt numFmtId="166" formatCode="#,##0_ ;\-#,##0\ "/>
  </numFmts>
  <fonts count="74">
    <font>
      <sz val="11"/>
      <color theme="1"/>
      <name val="Calibri"/>
      <scheme val="minor"/>
    </font>
    <font>
      <sz val="11"/>
      <color rgb="FF006100"/>
      <name val="Calibri"/>
      <scheme val="minor"/>
    </font>
    <font>
      <b/>
      <sz val="11"/>
      <color theme="0"/>
      <name val="Calibri"/>
      <scheme val="minor"/>
    </font>
    <font>
      <sz val="10"/>
      <name val="Arial"/>
    </font>
    <font>
      <u/>
      <sz val="11"/>
      <color theme="10"/>
      <name val="Calibri"/>
      <scheme val="minor"/>
    </font>
    <font>
      <sz val="12"/>
      <color theme="1"/>
      <name val="Calibri"/>
      <scheme val="minor"/>
    </font>
    <font>
      <b/>
      <sz val="10"/>
      <name val="Arial"/>
    </font>
    <font>
      <sz val="8"/>
      <name val="Arial"/>
    </font>
    <font>
      <sz val="10"/>
      <name val="Comic Sans MS"/>
    </font>
    <font>
      <sz val="11"/>
      <color indexed="64"/>
      <name val="Calibri"/>
    </font>
    <font>
      <sz val="8"/>
      <name val="Verdana"/>
    </font>
    <font>
      <b/>
      <sz val="11"/>
      <name val="Verdana"/>
    </font>
    <font>
      <b/>
      <sz val="9"/>
      <name val="Verdana"/>
    </font>
    <font>
      <b/>
      <sz val="10"/>
      <name val="Verdana"/>
    </font>
    <font>
      <b/>
      <sz val="8"/>
      <color indexed="2"/>
      <name val="Verdana"/>
    </font>
    <font>
      <b/>
      <sz val="8"/>
      <name val="Verdana"/>
    </font>
    <font>
      <b/>
      <sz val="12"/>
      <name val="Verdana"/>
    </font>
    <font>
      <sz val="10"/>
      <name val="Verdana"/>
    </font>
    <font>
      <b/>
      <sz val="28"/>
      <name val="Verdana"/>
    </font>
    <font>
      <sz val="28"/>
      <name val="Verdana"/>
    </font>
    <font>
      <sz val="10"/>
      <color indexed="2"/>
      <name val="Verdana"/>
    </font>
    <font>
      <sz val="72"/>
      <color indexed="22"/>
      <name val="Verdana"/>
    </font>
    <font>
      <sz val="11"/>
      <name val="Calibri"/>
      <scheme val="minor"/>
    </font>
    <font>
      <sz val="11"/>
      <name val="Verdana"/>
    </font>
    <font>
      <sz val="12"/>
      <name val="Verdana"/>
    </font>
    <font>
      <b/>
      <sz val="8"/>
      <color theme="1"/>
      <name val="Verdana"/>
    </font>
    <font>
      <sz val="11"/>
      <color theme="1"/>
      <name val="Verdana"/>
    </font>
    <font>
      <b/>
      <sz val="12"/>
      <color theme="1"/>
      <name val="Verdana"/>
    </font>
    <font>
      <sz val="16"/>
      <color theme="1"/>
      <name val="Verdana"/>
    </font>
    <font>
      <sz val="8"/>
      <color theme="1"/>
      <name val="Verdana"/>
    </font>
    <font>
      <sz val="9"/>
      <color theme="1"/>
      <name val="Calibri"/>
      <scheme val="minor"/>
    </font>
    <font>
      <b/>
      <sz val="9"/>
      <color theme="1"/>
      <name val="Verdana"/>
    </font>
    <font>
      <sz val="9"/>
      <color theme="1"/>
      <name val="Verdana"/>
    </font>
    <font>
      <sz val="10"/>
      <color theme="1"/>
      <name val="Verdana"/>
    </font>
    <font>
      <sz val="9"/>
      <name val="Verdana"/>
    </font>
    <font>
      <sz val="9"/>
      <name val="Calibri"/>
      <scheme val="minor"/>
    </font>
    <font>
      <sz val="9"/>
      <name val="Calibri"/>
    </font>
    <font>
      <b/>
      <sz val="11"/>
      <name val="Calibri"/>
      <scheme val="minor"/>
    </font>
    <font>
      <sz val="11"/>
      <name val="Aptos Narrow"/>
    </font>
    <font>
      <sz val="10"/>
      <name val="Times New Roman"/>
    </font>
    <font>
      <sz val="11"/>
      <name val="Arial"/>
    </font>
    <font>
      <sz val="10"/>
      <name val="Calibri"/>
      <scheme val="minor"/>
    </font>
    <font>
      <b/>
      <sz val="16"/>
      <name val="Verdana"/>
    </font>
    <font>
      <b/>
      <sz val="9"/>
      <name val="Calibri"/>
      <scheme val="minor"/>
    </font>
    <font>
      <b/>
      <sz val="9"/>
      <name val="Arial"/>
    </font>
    <font>
      <b/>
      <sz val="11"/>
      <color theme="1"/>
      <name val="Verdana"/>
    </font>
    <font>
      <sz val="11"/>
      <color theme="1"/>
      <name val="Aptos Narrow"/>
    </font>
    <font>
      <sz val="8"/>
      <color theme="1"/>
      <name val="Calibri"/>
      <scheme val="minor"/>
    </font>
    <font>
      <b/>
      <sz val="11"/>
      <color theme="1"/>
      <name val="Calibri"/>
      <scheme val="minor"/>
    </font>
    <font>
      <i/>
      <sz val="9"/>
      <color theme="1"/>
      <name val="Verdana"/>
    </font>
    <font>
      <sz val="9"/>
      <color theme="1"/>
      <name val="Arial"/>
    </font>
    <font>
      <b/>
      <sz val="10"/>
      <color theme="1"/>
      <name val="Verdana"/>
    </font>
    <font>
      <sz val="9"/>
      <color theme="1"/>
      <name val="Segoe UI"/>
    </font>
    <font>
      <sz val="11"/>
      <color theme="1"/>
      <name val="Calibri"/>
    </font>
    <font>
      <sz val="12"/>
      <color theme="1"/>
      <name val="Verdana"/>
    </font>
    <font>
      <b/>
      <sz val="8"/>
      <color theme="1"/>
      <name val="Calibri"/>
      <scheme val="minor"/>
    </font>
    <font>
      <sz val="10"/>
      <color rgb="FF222222"/>
      <name val="Verdana"/>
    </font>
    <font>
      <sz val="8"/>
      <name val="Calibri"/>
      <scheme val="minor"/>
    </font>
    <font>
      <sz val="10"/>
      <color theme="1"/>
      <name val="Times New Roman"/>
    </font>
    <font>
      <b/>
      <sz val="12"/>
      <color theme="4"/>
      <name val="Verdana"/>
    </font>
    <font>
      <sz val="8"/>
      <color theme="1"/>
      <name val="Arial"/>
    </font>
    <font>
      <sz val="9"/>
      <color theme="1"/>
      <name val="Aptos Narrow"/>
    </font>
    <font>
      <b/>
      <sz val="9"/>
      <color theme="1"/>
      <name val="Calibri"/>
    </font>
    <font>
      <sz val="9"/>
      <color theme="1"/>
      <name val="Calibri"/>
    </font>
    <font>
      <sz val="10"/>
      <color theme="1"/>
      <name val="Calibri"/>
      <scheme val="minor"/>
    </font>
    <font>
      <sz val="12"/>
      <color indexed="60"/>
      <name val="Verdana"/>
    </font>
    <font>
      <b/>
      <sz val="18"/>
      <name val="Verdana"/>
    </font>
    <font>
      <b/>
      <sz val="10"/>
      <color indexed="2"/>
      <name val="Verdana"/>
    </font>
    <font>
      <sz val="11"/>
      <color theme="1"/>
      <name val="Calibri"/>
      <scheme val="minor"/>
    </font>
    <font>
      <b/>
      <i/>
      <sz val="9"/>
      <color theme="1"/>
      <name val="Verdana"/>
    </font>
    <font>
      <sz val="8"/>
      <name val="Aptos Narrow"/>
    </font>
    <font>
      <vertAlign val="superscript"/>
      <sz val="8"/>
      <name val="Verdana"/>
    </font>
    <font>
      <b/>
      <i/>
      <sz val="11"/>
      <color theme="1"/>
      <name val="Verdana"/>
    </font>
    <font>
      <strike/>
      <sz val="8"/>
      <color theme="1"/>
      <name val="Verdana"/>
    </font>
  </fonts>
  <fills count="58">
    <fill>
      <patternFill patternType="none"/>
    </fill>
    <fill>
      <patternFill patternType="gray125"/>
    </fill>
    <fill>
      <patternFill patternType="solid">
        <fgColor theme="4" tint="0.79998168889431442"/>
        <bgColor indexed="65"/>
      </patternFill>
    </fill>
    <fill>
      <patternFill patternType="solid">
        <fgColor rgb="FFC6EFCE"/>
      </patternFill>
    </fill>
    <fill>
      <patternFill patternType="solid">
        <fgColor rgb="FFA5A5A5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indexed="65"/>
      </patternFill>
    </fill>
    <fill>
      <patternFill patternType="solid">
        <fgColor indexed="27"/>
      </patternFill>
    </fill>
    <fill>
      <patternFill patternType="solid">
        <fgColor indexed="42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0"/>
      </patternFill>
    </fill>
    <fill>
      <patternFill patternType="solid">
        <fgColor theme="9"/>
      </patternFill>
    </fill>
    <fill>
      <patternFill patternType="solid">
        <fgColor theme="9" tint="0.59999389629810485"/>
        <bgColor indexed="65"/>
      </patternFill>
    </fill>
    <fill>
      <patternFill patternType="solid">
        <fgColor indexed="22"/>
      </patternFill>
    </fill>
    <fill>
      <patternFill patternType="solid">
        <fgColor theme="0" tint="-0.249977111117893"/>
        <bgColor indexed="65"/>
      </patternFill>
    </fill>
    <fill>
      <patternFill patternType="solid">
        <fgColor rgb="FFFFC000"/>
      </patternFill>
    </fill>
    <fill>
      <patternFill patternType="solid">
        <fgColor rgb="FFD9D9D9"/>
      </patternFill>
    </fill>
    <fill>
      <patternFill patternType="solid">
        <fgColor rgb="FFBFBFBF"/>
      </patternFill>
    </fill>
    <fill>
      <patternFill patternType="solid">
        <fgColor theme="0" tint="-0.24994659260841701"/>
        <bgColor indexed="65"/>
      </patternFill>
    </fill>
    <fill>
      <patternFill patternType="solid">
        <fgColor rgb="FFB4C6E7"/>
      </patternFill>
    </fill>
    <fill>
      <patternFill patternType="solid">
        <fgColor rgb="FFE2EFDA"/>
      </patternFill>
    </fill>
    <fill>
      <patternFill patternType="solid">
        <fgColor indexed="65"/>
      </patternFill>
    </fill>
    <fill>
      <patternFill patternType="solid">
        <fgColor indexed="26"/>
        <bgColor indexed="26"/>
      </patternFill>
    </fill>
    <fill>
      <patternFill patternType="solid">
        <fgColor theme="0" tint="-0.249977111117893"/>
        <bgColor rgb="FF999999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2" tint="-9.9978637043366805E-2"/>
        <bgColor indexed="65"/>
      </patternFill>
    </fill>
    <fill>
      <patternFill patternType="solid">
        <fgColor indexed="26"/>
        <bgColor indexed="64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2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 tint="-0.249977111117893"/>
        <bgColor indexed="65"/>
      </patternFill>
    </fill>
    <fill>
      <patternFill patternType="solid">
        <fgColor theme="0" tint="-0.14999847407452621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rgb="FFC6E0B4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0"/>
        <bgColor theme="0"/>
      </patternFill>
    </fill>
    <fill>
      <patternFill patternType="solid">
        <fgColor indexed="22"/>
        <bgColor indexed="22"/>
      </patternFill>
    </fill>
    <fill>
      <patternFill patternType="solid">
        <fgColor rgb="FFBFBFBF"/>
        <bgColor rgb="FFBFBFBF"/>
      </patternFill>
    </fill>
    <fill>
      <patternFill patternType="solid">
        <fgColor theme="0" tint="-0.249977111117893"/>
        <bgColor indexed="26"/>
      </patternFill>
    </fill>
    <fill>
      <patternFill patternType="solid">
        <fgColor indexed="22"/>
        <bgColor indexed="64"/>
      </patternFill>
    </fill>
    <fill>
      <patternFill patternType="solid">
        <fgColor theme="0" tint="-0.34998626667073579"/>
        <bgColor indexed="65"/>
      </patternFill>
    </fill>
    <fill>
      <patternFill patternType="solid">
        <fgColor theme="3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7"/>
      </patternFill>
    </fill>
    <fill>
      <patternFill patternType="solid">
        <fgColor indexed="26"/>
        <bgColor indexed="22"/>
      </patternFill>
    </fill>
    <fill>
      <patternFill patternType="solid">
        <fgColor theme="5" tint="0.79998168889431442"/>
        <bgColor indexed="65"/>
      </patternFill>
    </fill>
    <fill>
      <patternFill patternType="solid">
        <fgColor indexed="26"/>
        <bgColor rgb="FF999999"/>
      </patternFill>
    </fill>
    <fill>
      <patternFill patternType="solid">
        <fgColor rgb="FFBFBFBF"/>
        <bgColor indexed="26"/>
      </patternFill>
    </fill>
    <fill>
      <patternFill patternType="solid">
        <fgColor theme="7" tint="0.79998168889431442"/>
        <bgColor indexed="65"/>
      </patternFill>
    </fill>
    <fill>
      <patternFill patternType="solid">
        <fgColor indexed="47"/>
      </patternFill>
    </fill>
    <fill>
      <patternFill patternType="solid">
        <fgColor indexed="47"/>
        <bgColor indexed="64"/>
      </patternFill>
    </fill>
    <fill>
      <patternFill patternType="solid">
        <fgColor rgb="FFDAF2D0"/>
      </patternFill>
    </fill>
    <fill>
      <patternFill patternType="solid">
        <fgColor theme="0"/>
        <bgColor indexed="26"/>
      </patternFill>
    </fill>
    <fill>
      <patternFill patternType="solid">
        <fgColor indexed="65"/>
        <bgColor indexed="26"/>
      </patternFill>
    </fill>
    <fill>
      <patternFill patternType="solid">
        <fgColor theme="0" tint="-0.249977111117893"/>
        <bgColor indexed="64"/>
      </patternFill>
    </fill>
  </fills>
  <borders count="736">
    <border>
      <left/>
      <right/>
      <top/>
      <bottom/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hair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/>
      <top style="thin">
        <color auto="1"/>
      </top>
      <bottom/>
      <diagonal/>
    </border>
    <border>
      <left style="thin">
        <color indexed="64"/>
      </left>
      <right style="hair">
        <color auto="1"/>
      </right>
      <top style="thin">
        <color indexed="64"/>
      </top>
      <bottom style="dotted">
        <color indexed="64"/>
      </bottom>
      <diagonal/>
    </border>
    <border>
      <left/>
      <right style="thin">
        <color indexed="64"/>
      </right>
      <top style="thin">
        <color indexed="64"/>
      </top>
      <bottom style="dotted">
        <color indexed="64"/>
      </bottom>
      <diagonal/>
    </border>
    <border>
      <left style="thin">
        <color indexed="64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hair">
        <color auto="1"/>
      </right>
      <top/>
      <bottom style="thin">
        <color auto="1"/>
      </bottom>
      <diagonal/>
    </border>
    <border>
      <left style="hair">
        <color auto="1"/>
      </left>
      <right style="hair">
        <color auto="1"/>
      </right>
      <top/>
      <bottom style="thin">
        <color auto="1"/>
      </bottom>
      <diagonal/>
    </border>
    <border>
      <left style="hair">
        <color auto="1"/>
      </left>
      <right/>
      <top/>
      <bottom style="thin">
        <color auto="1"/>
      </bottom>
      <diagonal/>
    </border>
    <border>
      <left style="thin">
        <color indexed="64"/>
      </left>
      <right style="hair">
        <color auto="1"/>
      </right>
      <top style="dotted">
        <color indexed="64"/>
      </top>
      <bottom style="thin">
        <color indexed="64"/>
      </bottom>
      <diagonal/>
    </border>
    <border>
      <left/>
      <right style="thin">
        <color indexed="64"/>
      </right>
      <top style="dotted">
        <color indexed="64"/>
      </top>
      <bottom style="dotted">
        <color indexed="64"/>
      </bottom>
      <diagonal/>
    </border>
    <border>
      <left style="thin">
        <color indexed="64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/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hair">
        <color auto="1"/>
      </bottom>
      <diagonal/>
    </border>
    <border>
      <left/>
      <right style="double">
        <color auto="1"/>
      </right>
      <top style="thin">
        <color auto="1"/>
      </top>
      <bottom style="hair">
        <color auto="1"/>
      </bottom>
      <diagonal/>
    </border>
    <border>
      <left style="double">
        <color auto="1"/>
      </left>
      <right style="hair">
        <color auto="1"/>
      </right>
      <top/>
      <bottom style="hair">
        <color auto="1"/>
      </bottom>
      <diagonal/>
    </border>
    <border>
      <left style="hair">
        <color auto="1"/>
      </left>
      <right/>
      <top/>
      <bottom style="hair">
        <color auto="1"/>
      </bottom>
      <diagonal/>
    </border>
    <border>
      <left style="thin">
        <color indexed="64"/>
      </left>
      <right style="hair">
        <color auto="1"/>
      </right>
      <top style="thin">
        <color indexed="64"/>
      </top>
      <bottom style="hair">
        <color auto="1"/>
      </bottom>
      <diagonal/>
    </border>
    <border>
      <left/>
      <right style="thin">
        <color indexed="64"/>
      </right>
      <top style="thin">
        <color indexed="64"/>
      </top>
      <bottom style="hair">
        <color auto="1"/>
      </bottom>
      <diagonal/>
    </border>
    <border>
      <left/>
      <right/>
      <top/>
      <bottom style="hair">
        <color auto="1"/>
      </bottom>
      <diagonal/>
    </border>
    <border>
      <left/>
      <right style="thin">
        <color auto="1"/>
      </right>
      <top/>
      <bottom style="hair">
        <color auto="1"/>
      </bottom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/>
      <right style="hair">
        <color auto="1"/>
      </right>
      <top style="hair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thin">
        <color auto="1"/>
      </bottom>
      <diagonal/>
    </border>
    <border>
      <left/>
      <right style="double">
        <color auto="1"/>
      </right>
      <top style="hair">
        <color auto="1"/>
      </top>
      <bottom style="thin">
        <color auto="1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 style="hair">
        <color auto="1"/>
      </left>
      <right/>
      <top style="hair">
        <color auto="1"/>
      </top>
      <bottom style="thin">
        <color auto="1"/>
      </bottom>
      <diagonal/>
    </border>
    <border>
      <left style="thin">
        <color indexed="64"/>
      </left>
      <right style="hair">
        <color auto="1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hair">
        <color auto="1"/>
      </top>
      <bottom style="thin">
        <color auto="1"/>
      </bottom>
      <diagonal/>
    </border>
    <border>
      <left/>
      <right style="thin">
        <color auto="1"/>
      </right>
      <top style="hair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hair">
        <color auto="1"/>
      </bottom>
      <diagonal/>
    </border>
    <border>
      <left style="thin">
        <color auto="1"/>
      </left>
      <right style="hair">
        <color auto="1"/>
      </right>
      <top/>
      <bottom style="hair">
        <color auto="1"/>
      </bottom>
      <diagonal/>
    </border>
    <border>
      <left/>
      <right style="hair">
        <color auto="1"/>
      </right>
      <top/>
      <bottom style="hair">
        <color auto="1"/>
      </bottom>
      <diagonal/>
    </border>
    <border>
      <left style="hair">
        <color auto="1"/>
      </left>
      <right style="double">
        <color auto="1"/>
      </right>
      <top/>
      <bottom style="hair">
        <color auto="1"/>
      </bottom>
      <diagonal/>
    </border>
    <border>
      <left/>
      <right style="double">
        <color auto="1"/>
      </right>
      <top/>
      <bottom style="hair">
        <color auto="1"/>
      </bottom>
      <diagonal/>
    </border>
    <border>
      <left style="hair">
        <color auto="1"/>
      </left>
      <right/>
      <top/>
      <bottom/>
      <diagonal/>
    </border>
    <border>
      <left style="thin">
        <color auto="1"/>
      </left>
      <right style="hair">
        <color auto="1"/>
      </right>
      <top/>
      <bottom/>
      <diagonal/>
    </border>
    <border>
      <left style="hair">
        <color auto="1"/>
      </left>
      <right style="hair">
        <color auto="1"/>
      </right>
      <top/>
      <bottom/>
      <diagonal/>
    </border>
    <border>
      <left style="thin">
        <color auto="1"/>
      </left>
      <right style="hair">
        <color auto="1"/>
      </right>
      <top style="hair">
        <color auto="1"/>
      </top>
      <bottom/>
      <diagonal/>
    </border>
    <border>
      <left/>
      <right style="hair">
        <color auto="1"/>
      </right>
      <top style="hair">
        <color auto="1"/>
      </top>
      <bottom/>
      <diagonal/>
    </border>
    <border>
      <left style="hair">
        <color auto="1"/>
      </left>
      <right style="double">
        <color auto="1"/>
      </right>
      <top style="hair">
        <color auto="1"/>
      </top>
      <bottom/>
      <diagonal/>
    </border>
    <border>
      <left/>
      <right style="hair">
        <color auto="1"/>
      </right>
      <top/>
      <bottom/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/>
      <right style="hair">
        <color auto="1"/>
      </right>
      <top/>
      <bottom style="thin">
        <color auto="1"/>
      </bottom>
      <diagonal/>
    </border>
    <border>
      <left style="double">
        <color auto="1"/>
      </left>
      <right style="hair">
        <color auto="1"/>
      </right>
      <top style="hair">
        <color auto="1"/>
      </top>
      <bottom/>
      <diagonal/>
    </border>
    <border>
      <left style="hair">
        <color auto="1"/>
      </left>
      <right style="hair">
        <color auto="1"/>
      </right>
      <top style="hair">
        <color auto="1"/>
      </top>
      <bottom/>
      <diagonal/>
    </border>
    <border>
      <left/>
      <right style="thin">
        <color indexed="64"/>
      </right>
      <top/>
      <bottom/>
      <diagonal/>
    </border>
    <border>
      <left style="thin">
        <color auto="1"/>
      </left>
      <right style="hair">
        <color auto="1"/>
      </right>
      <top/>
      <bottom style="thin">
        <color auto="1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hair">
        <color auto="1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hair">
        <color auto="1"/>
      </left>
      <right style="thin">
        <color indexed="64"/>
      </right>
      <top style="thin">
        <color indexed="64"/>
      </top>
      <bottom style="hair">
        <color auto="1"/>
      </bottom>
      <diagonal/>
    </border>
    <border>
      <left style="thin">
        <color indexed="64"/>
      </left>
      <right/>
      <top style="hair">
        <color auto="1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hair">
        <color auto="1"/>
      </top>
      <bottom/>
      <diagonal/>
    </border>
    <border>
      <left style="hair">
        <color auto="1"/>
      </left>
      <right style="double">
        <color auto="1"/>
      </right>
      <top/>
      <bottom/>
      <diagonal/>
    </border>
    <border>
      <left style="thin">
        <color indexed="64"/>
      </left>
      <right/>
      <top/>
      <bottom style="dotted">
        <color indexed="64"/>
      </bottom>
      <diagonal/>
    </border>
    <border>
      <left style="thin">
        <color auto="1"/>
      </left>
      <right/>
      <top style="thin">
        <color auto="1"/>
      </top>
      <bottom style="hair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hair">
        <color auto="1"/>
      </left>
      <right style="thin">
        <color indexed="64"/>
      </right>
      <top style="thin">
        <color indexed="64"/>
      </top>
      <bottom/>
      <diagonal/>
    </border>
    <border>
      <left style="hair">
        <color auto="1"/>
      </left>
      <right style="double">
        <color auto="1"/>
      </right>
      <top/>
      <bottom style="thin">
        <color auto="1"/>
      </bottom>
      <diagonal/>
    </border>
    <border>
      <left style="thin">
        <color indexed="64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/>
      <right style="thin">
        <color indexed="64"/>
      </right>
      <top style="hair">
        <color auto="1"/>
      </top>
      <bottom style="thin">
        <color indexed="64"/>
      </bottom>
      <diagonal/>
    </border>
    <border>
      <left style="thin">
        <color indexed="64"/>
      </left>
      <right style="hair">
        <color auto="1"/>
      </right>
      <top style="thin">
        <color indexed="64"/>
      </top>
      <bottom/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indexed="65"/>
      </right>
      <top style="thin">
        <color auto="1"/>
      </top>
      <bottom style="thin">
        <color auto="1"/>
      </bottom>
      <diagonal/>
    </border>
    <border>
      <left style="thin">
        <color indexed="65"/>
      </left>
      <right/>
      <top/>
      <bottom style="thin">
        <color indexed="65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/>
      <right/>
      <top style="thin">
        <color auto="1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/>
      <bottom style="hair">
        <color auto="1"/>
      </bottom>
      <diagonal/>
    </border>
    <border>
      <left/>
      <right/>
      <top style="thin">
        <color indexed="22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hair">
        <color auto="1"/>
      </left>
      <right style="thin">
        <color auto="1"/>
      </right>
      <top/>
      <bottom/>
      <diagonal/>
    </border>
    <border>
      <left style="double">
        <color auto="1"/>
      </left>
      <right style="hair">
        <color auto="1"/>
      </right>
      <top/>
      <bottom/>
      <diagonal/>
    </border>
    <border>
      <left style="thin">
        <color auto="1"/>
      </left>
      <right style="hair">
        <color auto="1"/>
      </right>
      <top style="thin">
        <color indexed="22"/>
      </top>
      <bottom style="hair">
        <color auto="1"/>
      </bottom>
      <diagonal/>
    </border>
    <border>
      <left/>
      <right/>
      <top style="thin">
        <color indexed="22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hair">
        <color auto="1"/>
      </bottom>
      <diagonal/>
    </border>
    <border>
      <left style="thin">
        <color auto="1"/>
      </left>
      <right/>
      <top style="hair">
        <color auto="1"/>
      </top>
      <bottom style="thin">
        <color auto="1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double">
        <color auto="1"/>
      </left>
      <right/>
      <top style="thin">
        <color auto="1"/>
      </top>
      <bottom/>
      <diagonal/>
    </border>
    <border>
      <left style="double">
        <color auto="1"/>
      </left>
      <right/>
      <top/>
      <bottom style="thin">
        <color auto="1"/>
      </bottom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/>
      <bottom style="hair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hair">
        <color auto="1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 style="double">
        <color auto="1"/>
      </left>
      <right/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 style="double">
        <color auto="1"/>
      </left>
      <right/>
      <top/>
      <bottom/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double">
        <color auto="1"/>
      </left>
      <right/>
      <top style="hair">
        <color auto="1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auto="1"/>
      </bottom>
      <diagonal/>
    </border>
    <border>
      <left/>
      <right/>
      <top style="thin">
        <color indexed="64"/>
      </top>
      <bottom style="thin">
        <color auto="1"/>
      </bottom>
      <diagonal/>
    </border>
    <border>
      <left/>
      <right style="double">
        <color indexed="64"/>
      </right>
      <top style="thin">
        <color indexed="64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auto="1"/>
      </right>
      <top style="thin">
        <color auto="1"/>
      </top>
      <bottom/>
      <diagonal/>
    </border>
    <border>
      <left/>
      <right style="double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auto="1"/>
      </right>
      <top/>
      <bottom style="thin">
        <color indexed="64"/>
      </bottom>
      <diagonal/>
    </border>
    <border>
      <left/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indexed="64"/>
      </bottom>
      <diagonal/>
    </border>
    <border>
      <left/>
      <right style="double">
        <color indexed="64"/>
      </right>
      <top style="thin">
        <color auto="1"/>
      </top>
      <bottom style="thin">
        <color indexed="64"/>
      </bottom>
      <diagonal/>
    </border>
    <border>
      <left/>
      <right style="double">
        <color auto="1"/>
      </right>
      <top/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/>
      <right style="hair">
        <color auto="1"/>
      </right>
      <top style="thin">
        <color auto="1"/>
      </top>
      <bottom/>
      <diagonal/>
    </border>
    <border>
      <left style="double">
        <color auto="1"/>
      </left>
      <right/>
      <top/>
      <bottom style="hair">
        <color auto="1"/>
      </bottom>
      <diagonal/>
    </border>
    <border>
      <left/>
      <right style="thin">
        <color indexed="65"/>
      </right>
      <top/>
      <bottom/>
      <diagonal/>
    </border>
    <border>
      <left style="thin">
        <color indexed="65"/>
      </left>
      <right/>
      <top/>
      <bottom/>
      <diagonal/>
    </border>
    <border>
      <left style="thin">
        <color indexed="65"/>
      </left>
      <right style="thin">
        <color indexed="65"/>
      </right>
      <top/>
      <bottom/>
      <diagonal/>
    </border>
    <border>
      <left style="thin">
        <color indexed="65"/>
      </left>
      <right style="thin">
        <color indexed="65"/>
      </right>
      <top style="thin">
        <color indexed="65"/>
      </top>
      <bottom/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 style="hair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/>
      <diagonal/>
    </border>
    <border>
      <left style="thin">
        <color auto="1"/>
      </left>
      <right/>
      <top style="hair">
        <color auto="1"/>
      </top>
      <bottom/>
      <diagonal/>
    </border>
    <border>
      <left style="hair">
        <color auto="1"/>
      </left>
      <right/>
      <top style="hair">
        <color auto="1"/>
      </top>
      <bottom/>
      <diagonal/>
    </border>
    <border>
      <left style="double">
        <color auto="1"/>
      </left>
      <right/>
      <top style="hair">
        <color auto="1"/>
      </top>
      <bottom/>
      <diagonal/>
    </border>
    <border>
      <left/>
      <right style="thin">
        <color auto="1"/>
      </right>
      <top style="hair">
        <color auto="1"/>
      </top>
      <bottom/>
      <diagonal/>
    </border>
    <border>
      <left style="thin">
        <color auto="1"/>
      </left>
      <right style="thin">
        <color indexed="64"/>
      </right>
      <top style="thin">
        <color auto="1"/>
      </top>
      <bottom/>
      <diagonal/>
    </border>
    <border>
      <left style="thin">
        <color auto="1"/>
      </left>
      <right style="thin">
        <color indexed="64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indexed="64"/>
      </right>
      <top/>
      <bottom style="hair">
        <color auto="1"/>
      </bottom>
      <diagonal/>
    </border>
    <border>
      <left style="thin">
        <color auto="1"/>
      </left>
      <right style="thin">
        <color indexed="64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indexed="64"/>
      </right>
      <top/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indexed="64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indexed="64"/>
      </right>
      <top style="hair">
        <color auto="1"/>
      </top>
      <bottom style="thin">
        <color auto="1"/>
      </bottom>
      <diagonal/>
    </border>
    <border>
      <left/>
      <right style="double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/>
      <right style="thin">
        <color auto="1"/>
      </right>
      <top style="thin">
        <color indexed="64"/>
      </top>
      <bottom/>
      <diagonal/>
    </border>
    <border>
      <left style="thin">
        <color auto="1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auto="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dotted">
        <color indexed="64"/>
      </right>
      <top style="thin">
        <color indexed="64"/>
      </top>
      <bottom style="thin">
        <color auto="1"/>
      </bottom>
      <diagonal/>
    </border>
    <border>
      <left style="dotted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dotted">
        <color indexed="64"/>
      </right>
      <top style="thin">
        <color indexed="64"/>
      </top>
      <bottom style="thin">
        <color auto="1"/>
      </bottom>
      <diagonal/>
    </border>
    <border>
      <left style="dotted">
        <color indexed="64"/>
      </left>
      <right style="double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thin">
        <color auto="1"/>
      </right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/>
      <diagonal/>
    </border>
    <border>
      <left style="thin">
        <color indexed="64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indexed="64"/>
      </right>
      <top/>
      <bottom/>
      <diagonal/>
    </border>
    <border>
      <left style="thin">
        <color indexed="64"/>
      </left>
      <right style="thin">
        <color auto="1"/>
      </right>
      <top/>
      <bottom/>
      <diagonal/>
    </border>
    <border>
      <left style="thin">
        <color auto="1"/>
      </left>
      <right style="thin">
        <color indexed="64"/>
      </right>
      <top style="hair">
        <color auto="1"/>
      </top>
      <bottom/>
      <diagonal/>
    </border>
    <border>
      <left style="thin">
        <color auto="1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 style="thin">
        <color auto="1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/>
      <right style="hair">
        <color auto="1"/>
      </right>
      <top style="hair">
        <color auto="1"/>
      </top>
      <bottom style="thin">
        <color indexed="64"/>
      </bottom>
      <diagonal/>
    </border>
    <border>
      <left/>
      <right style="thin">
        <color auto="1"/>
      </right>
      <top style="hair">
        <color auto="1"/>
      </top>
      <bottom style="thin">
        <color indexed="64"/>
      </bottom>
      <diagonal/>
    </border>
    <border>
      <left/>
      <right/>
      <top style="hair">
        <color auto="1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thin">
        <color indexed="64"/>
      </bottom>
      <diagonal/>
    </border>
    <border>
      <left style="double">
        <color auto="1"/>
      </left>
      <right/>
      <top style="hair">
        <color auto="1"/>
      </top>
      <bottom style="thin">
        <color indexed="64"/>
      </bottom>
      <diagonal/>
    </border>
    <border>
      <left style="thin">
        <color indexed="65"/>
      </left>
      <right style="thin">
        <color indexed="65"/>
      </right>
      <top/>
      <bottom style="thin">
        <color auto="1"/>
      </bottom>
      <diagonal/>
    </border>
    <border>
      <left style="thin">
        <color indexed="65"/>
      </left>
      <right/>
      <top/>
      <bottom style="thin">
        <color auto="1"/>
      </bottom>
      <diagonal/>
    </border>
    <border>
      <left/>
      <right style="thin">
        <color indexed="65"/>
      </right>
      <top/>
      <bottom style="thin">
        <color auto="1"/>
      </bottom>
      <diagonal/>
    </border>
    <border>
      <left/>
      <right style="double">
        <color auto="1"/>
      </right>
      <top style="thin">
        <color auto="1"/>
      </top>
      <bottom/>
      <diagonal/>
    </border>
    <border>
      <left/>
      <right style="double">
        <color auto="1"/>
      </right>
      <top/>
      <bottom/>
      <diagonal/>
    </border>
    <border>
      <left style="double">
        <color auto="1"/>
      </left>
      <right/>
      <top style="thin">
        <color auto="1"/>
      </top>
      <bottom style="thin">
        <color indexed="64"/>
      </bottom>
      <diagonal/>
    </border>
    <border>
      <left style="double">
        <color auto="1"/>
      </left>
      <right/>
      <top style="thin">
        <color indexed="64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 style="hair">
        <color auto="1"/>
      </bottom>
      <diagonal/>
    </border>
    <border>
      <left style="double">
        <color auto="1"/>
      </left>
      <right/>
      <top/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/>
      <top style="thin">
        <color indexed="64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 style="thin">
        <color auto="1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hair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thin">
        <color auto="1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thin">
        <color indexed="64"/>
      </right>
      <top style="thin">
        <color auto="1"/>
      </top>
      <bottom style="hair">
        <color indexed="64"/>
      </bottom>
      <diagonal/>
    </border>
    <border>
      <left/>
      <right style="hair">
        <color indexed="64"/>
      </right>
      <top style="thin">
        <color auto="1"/>
      </top>
      <bottom style="hair">
        <color indexed="64"/>
      </bottom>
      <diagonal/>
    </border>
    <border>
      <left/>
      <right style="thin">
        <color auto="1"/>
      </right>
      <top style="thin">
        <color auto="1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/>
      <right style="thin">
        <color auto="1"/>
      </right>
      <top style="hair">
        <color indexed="64"/>
      </top>
      <bottom style="hair">
        <color indexed="64"/>
      </bottom>
      <diagonal/>
    </border>
    <border>
      <left style="thin">
        <color auto="1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thin">
        <color auto="1"/>
      </right>
      <top style="hair">
        <color indexed="64"/>
      </top>
      <bottom style="thin">
        <color indexed="64"/>
      </bottom>
      <diagonal/>
    </border>
    <border>
      <left style="thin">
        <color auto="1"/>
      </left>
      <right style="thin">
        <color indexed="64"/>
      </right>
      <top style="hair">
        <color indexed="64"/>
      </top>
      <bottom style="thin">
        <color auto="1"/>
      </bottom>
      <diagonal/>
    </border>
    <border>
      <left/>
      <right style="hair">
        <color indexed="64"/>
      </right>
      <top style="hair">
        <color indexed="64"/>
      </top>
      <bottom style="thin">
        <color auto="1"/>
      </bottom>
      <diagonal/>
    </border>
    <border>
      <left/>
      <right style="thin">
        <color auto="1"/>
      </right>
      <top style="hair">
        <color indexed="64"/>
      </top>
      <bottom style="thin">
        <color auto="1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auto="1"/>
      </left>
      <right style="thin">
        <color indexed="64"/>
      </right>
      <top/>
      <bottom style="hair">
        <color indexed="64"/>
      </bottom>
      <diagonal/>
    </border>
    <border>
      <left/>
      <right style="hair">
        <color indexed="64"/>
      </right>
      <top/>
      <bottom style="hair">
        <color auto="1"/>
      </bottom>
      <diagonal/>
    </border>
    <border>
      <left style="hair">
        <color indexed="64"/>
      </left>
      <right style="thin">
        <color auto="1"/>
      </right>
      <top/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/>
      <top/>
      <bottom style="hair">
        <color indexed="64"/>
      </bottom>
      <diagonal/>
    </border>
    <border>
      <left style="thin">
        <color auto="1"/>
      </left>
      <right style="hair">
        <color indexed="64"/>
      </right>
      <top style="thin">
        <color auto="1"/>
      </top>
      <bottom style="hair">
        <color indexed="64"/>
      </bottom>
      <diagonal/>
    </border>
    <border>
      <left style="hair">
        <color indexed="64"/>
      </left>
      <right style="thin">
        <color auto="1"/>
      </right>
      <top style="thin">
        <color auto="1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auto="1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auto="1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 style="thin">
        <color auto="1"/>
      </right>
      <top/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 style="thin">
        <color auto="1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auto="1"/>
      </right>
      <top style="hair">
        <color indexed="64"/>
      </top>
      <bottom style="thin">
        <color indexed="64"/>
      </bottom>
      <diagonal/>
    </border>
    <border>
      <left style="thin">
        <color auto="1"/>
      </left>
      <right style="double">
        <color indexed="64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indexed="64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hair">
        <color auto="1"/>
      </top>
      <bottom/>
      <diagonal/>
    </border>
    <border>
      <left style="thin">
        <color indexed="64"/>
      </left>
      <right style="hair">
        <color auto="1"/>
      </right>
      <top style="thin">
        <color auto="1"/>
      </top>
      <bottom/>
      <diagonal/>
    </border>
    <border>
      <left/>
      <right style="thin">
        <color indexed="64"/>
      </right>
      <top style="thin">
        <color auto="1"/>
      </top>
      <bottom/>
      <diagonal/>
    </border>
    <border>
      <left style="thin">
        <color indexed="64"/>
      </left>
      <right style="hair">
        <color auto="1"/>
      </right>
      <top/>
      <bottom/>
      <diagonal/>
    </border>
    <border>
      <left style="thin">
        <color indexed="64"/>
      </left>
      <right style="hair">
        <color auto="1"/>
      </right>
      <top/>
      <bottom style="thin">
        <color auto="1"/>
      </bottom>
      <diagonal/>
    </border>
    <border>
      <left/>
      <right style="thin">
        <color indexed="64"/>
      </right>
      <top/>
      <bottom style="thin">
        <color auto="1"/>
      </bottom>
      <diagonal/>
    </border>
    <border>
      <left style="thin">
        <color indexed="64"/>
      </left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thin">
        <color indexed="64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hair">
        <color auto="1"/>
      </right>
      <top/>
      <bottom style="hair">
        <color auto="1"/>
      </bottom>
      <diagonal/>
    </border>
    <border>
      <left/>
      <right style="thin">
        <color indexed="64"/>
      </right>
      <top/>
      <bottom style="hair">
        <color auto="1"/>
      </bottom>
      <diagonal/>
    </border>
    <border>
      <left style="thin">
        <color indexed="64"/>
      </left>
      <right style="hair">
        <color auto="1"/>
      </right>
      <top style="hair">
        <color auto="1"/>
      </top>
      <bottom style="hair">
        <color auto="1"/>
      </bottom>
      <diagonal/>
    </border>
    <border>
      <left/>
      <right style="thin">
        <color indexed="64"/>
      </right>
      <top style="hair">
        <color auto="1"/>
      </top>
      <bottom style="hair">
        <color auto="1"/>
      </bottom>
      <diagonal/>
    </border>
    <border>
      <left style="thin">
        <color indexed="65"/>
      </left>
      <right/>
      <top style="thin">
        <color auto="1"/>
      </top>
      <bottom style="thin">
        <color auto="1"/>
      </bottom>
      <diagonal/>
    </border>
    <border>
      <left style="thin">
        <color indexed="65"/>
      </left>
      <right/>
      <top style="thin">
        <color indexed="65"/>
      </top>
      <bottom style="thin">
        <color auto="1"/>
      </bottom>
      <diagonal/>
    </border>
    <border>
      <left style="thin">
        <color indexed="65"/>
      </left>
      <right style="thin">
        <color indexed="65"/>
      </right>
      <top style="thin">
        <color indexed="65"/>
      </top>
      <bottom style="thin">
        <color auto="1"/>
      </bottom>
      <diagonal/>
    </border>
    <border>
      <left style="thin">
        <color indexed="65"/>
      </left>
      <right/>
      <top style="thin">
        <color indexed="65"/>
      </top>
      <bottom/>
      <diagonal/>
    </border>
    <border>
      <left/>
      <right style="hair">
        <color auto="1"/>
      </right>
      <top/>
      <bottom style="thin">
        <color indexed="22"/>
      </bottom>
      <diagonal/>
    </border>
    <border>
      <left/>
      <right style="thin">
        <color indexed="22"/>
      </right>
      <top/>
      <bottom style="thin">
        <color indexed="22"/>
      </bottom>
      <diagonal/>
    </border>
    <border>
      <left style="thin">
        <color auto="1"/>
      </left>
      <right style="double">
        <color auto="1"/>
      </right>
      <top/>
      <bottom style="hair">
        <color auto="1"/>
      </bottom>
      <diagonal/>
    </border>
    <border>
      <left/>
      <right style="hair">
        <color auto="1"/>
      </right>
      <top style="thin">
        <color indexed="22"/>
      </top>
      <bottom style="thin">
        <color auto="1"/>
      </bottom>
      <diagonal/>
    </border>
    <border>
      <left style="thin">
        <color auto="1"/>
      </left>
      <right style="double">
        <color auto="1"/>
      </right>
      <top style="hair">
        <color auto="1"/>
      </top>
      <bottom style="thin">
        <color auto="1"/>
      </bottom>
      <diagonal/>
    </border>
    <border>
      <left/>
      <right/>
      <top style="thin">
        <color indexed="65"/>
      </top>
      <bottom style="thin">
        <color auto="1"/>
      </bottom>
      <diagonal/>
    </border>
    <border>
      <left style="thin">
        <color indexed="65"/>
      </left>
      <right style="thin">
        <color indexed="65"/>
      </right>
      <top style="thin">
        <color indexed="65"/>
      </top>
      <bottom style="thin">
        <color indexed="65"/>
      </bottom>
      <diagonal/>
    </border>
    <border>
      <left style="thin">
        <color indexed="65"/>
      </left>
      <right style="thin">
        <color indexed="65"/>
      </right>
      <top/>
      <bottom style="thin">
        <color indexed="65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double">
        <color auto="1"/>
      </right>
      <top/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 style="double">
        <color auto="1"/>
      </left>
      <right/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hair">
        <color auto="1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 style="double">
        <color auto="1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 style="hair">
        <color auto="1"/>
      </right>
      <top style="thin">
        <color indexed="22"/>
      </top>
      <bottom style="thin">
        <color auto="1"/>
      </bottom>
      <diagonal/>
    </border>
    <border>
      <left style="double">
        <color auto="1"/>
      </left>
      <right/>
      <top style="thin">
        <color indexed="22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 style="thin">
        <color auto="1"/>
      </left>
      <right style="hair">
        <color auto="1"/>
      </right>
      <top/>
      <bottom style="thin">
        <color indexed="22"/>
      </bottom>
      <diagonal/>
    </border>
    <border>
      <left style="hair">
        <color auto="1"/>
      </left>
      <right style="hair">
        <color auto="1"/>
      </right>
      <top/>
      <bottom style="thin">
        <color indexed="22"/>
      </bottom>
      <diagonal/>
    </border>
    <border>
      <left/>
      <right/>
      <top/>
      <bottom style="thin">
        <color indexed="22"/>
      </bottom>
      <diagonal/>
    </border>
    <border>
      <left style="double">
        <color auto="1"/>
      </left>
      <right/>
      <top/>
      <bottom style="thin">
        <color indexed="22"/>
      </bottom>
      <diagonal/>
    </border>
    <border>
      <left style="thin">
        <color auto="1"/>
      </left>
      <right style="thin">
        <color auto="1"/>
      </right>
      <top/>
      <bottom style="thin">
        <color indexed="22"/>
      </bottom>
      <diagonal/>
    </border>
    <border>
      <left style="hair">
        <color auto="1"/>
      </left>
      <right style="thin">
        <color auto="1"/>
      </right>
      <top/>
      <bottom style="thin">
        <color indexed="22"/>
      </bottom>
      <diagonal/>
    </border>
    <border>
      <left/>
      <right style="double">
        <color auto="1"/>
      </right>
      <top style="hair">
        <color auto="1"/>
      </top>
      <bottom/>
      <diagonal/>
    </border>
    <border>
      <left style="hair">
        <color indexed="64"/>
      </left>
      <right style="hair">
        <color auto="1"/>
      </right>
      <top style="hair">
        <color indexed="64"/>
      </top>
      <bottom style="hair">
        <color indexed="64"/>
      </bottom>
      <diagonal/>
    </border>
    <border>
      <left/>
      <right style="hair">
        <color auto="1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auto="1"/>
      </right>
      <top style="hair">
        <color auto="1"/>
      </top>
      <bottom style="thin">
        <color auto="1"/>
      </bottom>
      <diagonal/>
    </border>
    <border>
      <left/>
      <right style="thin">
        <color indexed="64"/>
      </right>
      <top style="hair">
        <color auto="1"/>
      </top>
      <bottom style="thin">
        <color auto="1"/>
      </bottom>
      <diagonal/>
    </border>
    <border>
      <left/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thin">
        <color indexed="64"/>
      </right>
      <top/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/>
      <diagonal/>
    </border>
    <border>
      <left style="hair">
        <color auto="1"/>
      </left>
      <right style="thin">
        <color indexed="64"/>
      </right>
      <top/>
      <bottom/>
      <diagonal/>
    </border>
    <border>
      <left style="hair">
        <color auto="1"/>
      </left>
      <right style="thin">
        <color indexed="64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thin">
        <color indexed="64"/>
      </right>
      <top/>
      <bottom style="hair">
        <color auto="1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double">
        <color auto="1"/>
      </bottom>
      <diagonal/>
    </border>
    <border>
      <left/>
      <right style="thin">
        <color auto="1"/>
      </right>
      <top/>
      <bottom style="double">
        <color auto="1"/>
      </bottom>
      <diagonal/>
    </border>
    <border>
      <left style="hair">
        <color auto="1"/>
      </left>
      <right style="hair">
        <color auto="1"/>
      </right>
      <top/>
      <bottom style="double">
        <color auto="1"/>
      </bottom>
      <diagonal/>
    </border>
    <border>
      <left/>
      <right style="hair">
        <color auto="1"/>
      </right>
      <top/>
      <bottom style="double">
        <color auto="1"/>
      </bottom>
      <diagonal/>
    </border>
    <border>
      <left style="hair">
        <color auto="1"/>
      </left>
      <right style="double">
        <color auto="1"/>
      </right>
      <top/>
      <bottom style="double">
        <color auto="1"/>
      </bottom>
      <diagonal/>
    </border>
    <border>
      <left style="double">
        <color auto="1"/>
      </left>
      <right/>
      <top style="hair">
        <color auto="1"/>
      </top>
      <bottom style="double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double">
        <color auto="1"/>
      </bottom>
      <diagonal/>
    </border>
    <border>
      <left style="thin">
        <color auto="1"/>
      </left>
      <right/>
      <top style="double">
        <color auto="1"/>
      </top>
      <bottom style="hair">
        <color auto="1"/>
      </bottom>
      <diagonal/>
    </border>
    <border>
      <left/>
      <right style="thin">
        <color auto="1"/>
      </right>
      <top style="double">
        <color auto="1"/>
      </top>
      <bottom style="hair">
        <color auto="1"/>
      </bottom>
      <diagonal/>
    </border>
    <border>
      <left style="thin">
        <color auto="1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double">
        <color auto="1"/>
      </right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/>
      <right style="double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/>
      <top style="thin">
        <color auto="1"/>
      </top>
      <bottom style="thin">
        <color auto="1"/>
      </bottom>
      <diagonal/>
    </border>
    <border>
      <left style="thin">
        <color indexed="64"/>
      </left>
      <right style="hair">
        <color indexed="64"/>
      </right>
      <top/>
      <bottom/>
      <diagonal/>
    </border>
    <border>
      <left style="hair">
        <color indexed="64"/>
      </left>
      <right style="hair">
        <color indexed="64"/>
      </right>
      <top/>
      <bottom/>
      <diagonal/>
    </border>
    <border>
      <left/>
      <right style="double">
        <color indexed="64"/>
      </right>
      <top/>
      <bottom/>
      <diagonal/>
    </border>
    <border>
      <left/>
      <right style="double">
        <color indexed="64"/>
      </right>
      <top/>
      <bottom style="thin">
        <color auto="1"/>
      </bottom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 style="hair">
        <color indexed="64"/>
      </right>
      <top/>
      <bottom style="thin">
        <color indexed="64"/>
      </bottom>
      <diagonal/>
    </border>
    <border>
      <left/>
      <right style="double">
        <color indexed="64"/>
      </right>
      <top/>
      <bottom style="thin">
        <color indexed="64"/>
      </bottom>
      <diagonal/>
    </border>
    <border>
      <left/>
      <right style="double">
        <color indexed="64"/>
      </right>
      <top/>
      <bottom style="hair">
        <color auto="1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 style="hair">
        <color auto="1"/>
      </bottom>
      <diagonal/>
    </border>
    <border>
      <left style="hair">
        <color indexed="64"/>
      </left>
      <right style="hair">
        <color indexed="64"/>
      </right>
      <top style="thin">
        <color auto="1"/>
      </top>
      <bottom style="hair">
        <color auto="1"/>
      </bottom>
      <diagonal/>
    </border>
    <border>
      <left style="hair">
        <color indexed="64"/>
      </left>
      <right style="hair">
        <color indexed="64"/>
      </right>
      <top/>
      <bottom style="hair">
        <color auto="1"/>
      </bottom>
      <diagonal/>
    </border>
    <border>
      <left style="thin">
        <color indexed="64"/>
      </left>
      <right style="hair">
        <color indexed="64"/>
      </right>
      <top/>
      <bottom style="hair">
        <color auto="1"/>
      </bottom>
      <diagonal/>
    </border>
    <border>
      <left style="thin">
        <color indexed="64"/>
      </left>
      <right style="hair">
        <color auto="1"/>
      </right>
      <top style="hair">
        <color auto="1"/>
      </top>
      <bottom style="thin">
        <color auto="1"/>
      </bottom>
      <diagonal/>
    </border>
    <border>
      <left/>
      <right style="double">
        <color indexed="64"/>
      </right>
      <top style="hair">
        <color auto="1"/>
      </top>
      <bottom style="thin">
        <color auto="1"/>
      </bottom>
      <diagonal/>
    </border>
    <border>
      <left style="thin">
        <color indexed="64"/>
      </left>
      <right style="hair">
        <color indexed="64"/>
      </right>
      <top/>
      <bottom style="thin">
        <color auto="1"/>
      </bottom>
      <diagonal/>
    </border>
    <border>
      <left style="hair">
        <color indexed="64"/>
      </left>
      <right style="hair">
        <color indexed="64"/>
      </right>
      <top/>
      <bottom style="thin">
        <color auto="1"/>
      </bottom>
      <diagonal/>
    </border>
    <border>
      <left/>
      <right style="thin">
        <color indexed="22"/>
      </right>
      <top style="thin">
        <color auto="1"/>
      </top>
      <bottom style="thin">
        <color auto="1"/>
      </bottom>
      <diagonal/>
    </border>
    <border>
      <left/>
      <right style="thin">
        <color indexed="22"/>
      </right>
      <top style="thin">
        <color auto="1"/>
      </top>
      <bottom style="hair">
        <color auto="1"/>
      </bottom>
      <diagonal/>
    </border>
    <border>
      <left/>
      <right style="thin">
        <color indexed="22"/>
      </right>
      <top style="hair">
        <color auto="1"/>
      </top>
      <bottom style="hair">
        <color auto="1"/>
      </bottom>
      <diagonal/>
    </border>
    <border>
      <left/>
      <right style="thin">
        <color indexed="22"/>
      </right>
      <top style="hair">
        <color auto="1"/>
      </top>
      <bottom style="thin">
        <color auto="1"/>
      </bottom>
      <diagonal/>
    </border>
    <border>
      <left/>
      <right style="thin">
        <color indexed="65"/>
      </right>
      <top style="thin">
        <color indexed="65"/>
      </top>
      <bottom style="thin">
        <color indexed="65"/>
      </bottom>
      <diagonal/>
    </border>
    <border>
      <left style="thin">
        <color auto="1"/>
      </left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 style="thin">
        <color auto="1"/>
      </right>
      <top/>
      <bottom style="thin">
        <color indexed="22"/>
      </bottom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/>
      <top/>
      <bottom style="thin">
        <color indexed="22"/>
      </bottom>
      <diagonal/>
    </border>
    <border>
      <left style="thin">
        <color indexed="22"/>
      </left>
      <right style="double">
        <color auto="1"/>
      </right>
      <top/>
      <bottom style="thin">
        <color indexed="22"/>
      </bottom>
      <diagonal/>
    </border>
    <border>
      <left style="thin">
        <color indexed="65"/>
      </left>
      <right style="thin">
        <color indexed="65"/>
      </right>
      <top style="thin">
        <color auto="1"/>
      </top>
      <bottom style="thin">
        <color theme="1"/>
      </bottom>
      <diagonal/>
    </border>
    <border>
      <left/>
      <right/>
      <top style="thin">
        <color auto="1"/>
      </top>
      <bottom style="thin">
        <color theme="1"/>
      </bottom>
      <diagonal/>
    </border>
    <border>
      <left style="thin">
        <color auto="1"/>
      </left>
      <right/>
      <top style="thin">
        <color theme="1"/>
      </top>
      <bottom/>
      <diagonal/>
    </border>
    <border>
      <left/>
      <right/>
      <top style="thin">
        <color theme="1"/>
      </top>
      <bottom/>
      <diagonal/>
    </border>
    <border>
      <left/>
      <right style="thin">
        <color auto="1"/>
      </right>
      <top style="thin">
        <color theme="1"/>
      </top>
      <bottom/>
      <diagonal/>
    </border>
    <border>
      <left style="thin">
        <color auto="1"/>
      </left>
      <right/>
      <top style="thin">
        <color theme="1"/>
      </top>
      <bottom style="thin">
        <color auto="1"/>
      </bottom>
      <diagonal/>
    </border>
    <border>
      <left/>
      <right/>
      <top style="thin">
        <color theme="1"/>
      </top>
      <bottom style="thin">
        <color auto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/>
      <diagonal/>
    </border>
    <border>
      <left style="thin">
        <color auto="1"/>
      </left>
      <right style="double">
        <color auto="1"/>
      </right>
      <top/>
      <bottom/>
      <diagonal/>
    </border>
    <border>
      <left style="thin">
        <color auto="1"/>
      </left>
      <right style="double">
        <color auto="1"/>
      </right>
      <top style="hair">
        <color auto="1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/>
      <diagonal/>
    </border>
    <border>
      <left style="thin">
        <color auto="1"/>
      </left>
      <right style="hair">
        <color auto="1"/>
      </right>
      <top/>
      <bottom style="thin">
        <color indexed="64"/>
      </bottom>
      <diagonal/>
    </border>
    <border>
      <left style="hair">
        <color auto="1"/>
      </left>
      <right style="hair">
        <color auto="1"/>
      </right>
      <top/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indexed="64"/>
      </top>
      <bottom style="hair">
        <color auto="1"/>
      </bottom>
      <diagonal/>
    </border>
    <border>
      <left/>
      <right style="hair">
        <color auto="1"/>
      </right>
      <top style="thin">
        <color indexed="64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thin">
        <color indexed="64"/>
      </top>
      <bottom style="hair">
        <color auto="1"/>
      </bottom>
      <diagonal/>
    </border>
    <border>
      <left/>
      <right/>
      <top style="thin">
        <color indexed="64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double">
        <color auto="1"/>
      </bottom>
      <diagonal/>
    </border>
    <border>
      <left/>
      <right style="hair">
        <color auto="1"/>
      </right>
      <top style="hair">
        <color auto="1"/>
      </top>
      <bottom style="double">
        <color auto="1"/>
      </bottom>
      <diagonal/>
    </border>
    <border>
      <left/>
      <right style="thin">
        <color auto="1"/>
      </right>
      <top style="hair">
        <color auto="1"/>
      </top>
      <bottom style="double">
        <color auto="1"/>
      </bottom>
      <diagonal/>
    </border>
    <border>
      <left/>
      <right style="double">
        <color auto="1"/>
      </right>
      <top style="hair">
        <color auto="1"/>
      </top>
      <bottom style="double">
        <color auto="1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double">
        <color auto="1"/>
      </bottom>
      <diagonal/>
    </border>
    <border>
      <left/>
      <right/>
      <top style="hair">
        <color auto="1"/>
      </top>
      <bottom style="double">
        <color auto="1"/>
      </bottom>
      <diagonal/>
    </border>
    <border>
      <left style="thin">
        <color indexed="64"/>
      </left>
      <right style="hair">
        <color auto="1"/>
      </right>
      <top/>
      <bottom style="double">
        <color auto="1"/>
      </bottom>
      <diagonal/>
    </border>
    <border>
      <left style="hair">
        <color auto="1"/>
      </left>
      <right style="thin">
        <color auto="1"/>
      </right>
      <top/>
      <bottom style="double">
        <color auto="1"/>
      </bottom>
      <diagonal/>
    </border>
    <border>
      <left/>
      <right/>
      <top/>
      <bottom style="double">
        <color auto="1"/>
      </bottom>
      <diagonal/>
    </border>
    <border>
      <left/>
      <right style="thin">
        <color indexed="64"/>
      </right>
      <top/>
      <bottom style="double">
        <color auto="1"/>
      </bottom>
      <diagonal/>
    </border>
    <border>
      <left style="hair">
        <color auto="1"/>
      </left>
      <right style="hair">
        <color auto="1"/>
      </right>
      <top style="double">
        <color auto="1"/>
      </top>
      <bottom style="thin">
        <color auto="1"/>
      </bottom>
      <diagonal/>
    </border>
    <border>
      <left/>
      <right style="hair">
        <color auto="1"/>
      </right>
      <top style="double">
        <color auto="1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double">
        <color auto="1"/>
      </top>
      <bottom style="thin">
        <color auto="1"/>
      </bottom>
      <diagonal/>
    </border>
    <border>
      <left/>
      <right style="hair">
        <color auto="1"/>
      </right>
      <top/>
      <bottom style="thin">
        <color indexed="64"/>
      </bottom>
      <diagonal/>
    </border>
    <border>
      <left style="double">
        <color auto="1"/>
      </left>
      <right style="thin">
        <color indexed="64"/>
      </right>
      <top style="thin">
        <color auto="1"/>
      </top>
      <bottom/>
      <diagonal/>
    </border>
    <border>
      <left style="hair">
        <color auto="1"/>
      </left>
      <right style="thin">
        <color indexed="64"/>
      </right>
      <top style="thin">
        <color auto="1"/>
      </top>
      <bottom/>
      <diagonal/>
    </border>
    <border>
      <left/>
      <right style="dotted">
        <color indexed="64"/>
      </right>
      <top style="thin">
        <color auto="1"/>
      </top>
      <bottom/>
      <diagonal/>
    </border>
    <border>
      <left style="dotted">
        <color indexed="64"/>
      </left>
      <right style="thin">
        <color indexed="64"/>
      </right>
      <top style="thin">
        <color auto="1"/>
      </top>
      <bottom/>
      <diagonal/>
    </border>
    <border>
      <left style="double">
        <color auto="1"/>
      </left>
      <right style="thin">
        <color indexed="64"/>
      </right>
      <top/>
      <bottom/>
      <diagonal/>
    </border>
    <border>
      <left/>
      <right style="dotted">
        <color indexed="64"/>
      </right>
      <top/>
      <bottom/>
      <diagonal/>
    </border>
    <border>
      <left style="dotted">
        <color indexed="64"/>
      </left>
      <right style="thin">
        <color indexed="64"/>
      </right>
      <top/>
      <bottom/>
      <diagonal/>
    </border>
    <border>
      <left style="double">
        <color auto="1"/>
      </left>
      <right style="thin">
        <color indexed="64"/>
      </right>
      <top/>
      <bottom style="thin">
        <color auto="1"/>
      </bottom>
      <diagonal/>
    </border>
    <border>
      <left/>
      <right style="dotted">
        <color indexed="64"/>
      </right>
      <top/>
      <bottom style="thin">
        <color auto="1"/>
      </bottom>
      <diagonal/>
    </border>
    <border>
      <left style="dotted">
        <color indexed="64"/>
      </left>
      <right style="thin">
        <color indexed="64"/>
      </right>
      <top/>
      <bottom style="thin">
        <color auto="1"/>
      </bottom>
      <diagonal/>
    </border>
    <border>
      <left style="double">
        <color auto="1"/>
      </left>
      <right style="thin">
        <color indexed="64"/>
      </right>
      <top style="thin">
        <color auto="1"/>
      </top>
      <bottom style="hair">
        <color auto="1"/>
      </bottom>
      <diagonal/>
    </border>
    <border>
      <left/>
      <right style="dotted">
        <color indexed="64"/>
      </right>
      <top style="thin">
        <color auto="1"/>
      </top>
      <bottom style="hair">
        <color auto="1"/>
      </bottom>
      <diagonal/>
    </border>
    <border>
      <left style="dotted">
        <color indexed="64"/>
      </left>
      <right style="thin">
        <color indexed="64"/>
      </right>
      <top style="thin">
        <color auto="1"/>
      </top>
      <bottom style="hair">
        <color auto="1"/>
      </bottom>
      <diagonal/>
    </border>
    <border>
      <left style="double">
        <color auto="1"/>
      </left>
      <right style="thin">
        <color indexed="64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thin">
        <color indexed="64"/>
      </right>
      <top style="hair">
        <color auto="1"/>
      </top>
      <bottom style="hair">
        <color auto="1"/>
      </bottom>
      <diagonal/>
    </border>
    <border>
      <left/>
      <right style="dotted">
        <color indexed="64"/>
      </right>
      <top style="hair">
        <color auto="1"/>
      </top>
      <bottom style="hair">
        <color auto="1"/>
      </bottom>
      <diagonal/>
    </border>
    <border>
      <left style="dotted">
        <color indexed="64"/>
      </left>
      <right style="thin">
        <color indexed="64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thin">
        <color indexed="64"/>
      </right>
      <top style="hair">
        <color auto="1"/>
      </top>
      <bottom/>
      <diagonal/>
    </border>
    <border>
      <left style="hair">
        <color auto="1"/>
      </left>
      <right style="thin">
        <color indexed="64"/>
      </right>
      <top style="hair">
        <color auto="1"/>
      </top>
      <bottom/>
      <diagonal/>
    </border>
    <border>
      <left/>
      <right style="dotted">
        <color indexed="64"/>
      </right>
      <top style="hair">
        <color auto="1"/>
      </top>
      <bottom/>
      <diagonal/>
    </border>
    <border>
      <left style="dotted">
        <color indexed="64"/>
      </left>
      <right style="thin">
        <color indexed="64"/>
      </right>
      <top style="hair">
        <color auto="1"/>
      </top>
      <bottom/>
      <diagonal/>
    </border>
    <border>
      <left style="double">
        <color auto="1"/>
      </left>
      <right style="thin">
        <color indexed="64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thin">
        <color indexed="64"/>
      </right>
      <top style="thin">
        <color auto="1"/>
      </top>
      <bottom style="thin">
        <color auto="1"/>
      </bottom>
      <diagonal/>
    </border>
    <border>
      <left/>
      <right style="dotted">
        <color indexed="64"/>
      </right>
      <top style="thin">
        <color auto="1"/>
      </top>
      <bottom style="thin">
        <color auto="1"/>
      </bottom>
      <diagonal/>
    </border>
    <border>
      <left style="dotted">
        <color indexed="64"/>
      </left>
      <right style="thin">
        <color indexed="64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indexed="64"/>
      </right>
      <top style="hair">
        <color auto="1"/>
      </top>
      <bottom style="thin">
        <color auto="1"/>
      </bottom>
      <diagonal/>
    </border>
    <border>
      <left style="hair">
        <color auto="1"/>
      </left>
      <right style="thin">
        <color indexed="64"/>
      </right>
      <top style="hair">
        <color auto="1"/>
      </top>
      <bottom style="thin">
        <color auto="1"/>
      </bottom>
      <diagonal/>
    </border>
    <border>
      <left/>
      <right style="dotted">
        <color indexed="64"/>
      </right>
      <top style="hair">
        <color auto="1"/>
      </top>
      <bottom style="thin">
        <color auto="1"/>
      </bottom>
      <diagonal/>
    </border>
    <border>
      <left style="dotted">
        <color indexed="64"/>
      </left>
      <right style="thin">
        <color indexed="64"/>
      </right>
      <top style="hair">
        <color auto="1"/>
      </top>
      <bottom style="thin">
        <color auto="1"/>
      </bottom>
      <diagonal/>
    </border>
    <border>
      <left style="dotted">
        <color indexed="64"/>
      </left>
      <right style="thin">
        <color auto="1"/>
      </right>
      <top style="thin">
        <color auto="1"/>
      </top>
      <bottom/>
      <diagonal/>
    </border>
    <border>
      <left style="dotted">
        <color indexed="64"/>
      </left>
      <right style="thin">
        <color auto="1"/>
      </right>
      <top/>
      <bottom/>
      <diagonal/>
    </border>
    <border>
      <left style="dotted">
        <color indexed="64"/>
      </left>
      <right style="thin">
        <color auto="1"/>
      </right>
      <top/>
      <bottom style="thin">
        <color auto="1"/>
      </bottom>
      <diagonal/>
    </border>
    <border>
      <left style="dotted">
        <color indexed="64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dotted">
        <color indexed="64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double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indexed="64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double">
        <color indexed="64"/>
      </right>
      <top style="hair">
        <color auto="1"/>
      </top>
      <bottom style="thin">
        <color auto="1"/>
      </bottom>
      <diagonal/>
    </border>
    <border>
      <left style="thin">
        <color auto="1"/>
      </left>
      <right style="dotted">
        <color indexed="64"/>
      </right>
      <top style="thin">
        <color auto="1"/>
      </top>
      <bottom/>
      <diagonal/>
    </border>
    <border>
      <left style="dotted">
        <color indexed="64"/>
      </left>
      <right/>
      <top style="thin">
        <color auto="1"/>
      </top>
      <bottom/>
      <diagonal/>
    </border>
    <border>
      <left style="thin">
        <color indexed="64"/>
      </left>
      <right style="dotted">
        <color indexed="64"/>
      </right>
      <top style="thin">
        <color auto="1"/>
      </top>
      <bottom/>
      <diagonal/>
    </border>
    <border>
      <left style="thin">
        <color auto="1"/>
      </left>
      <right style="dotted">
        <color indexed="64"/>
      </right>
      <top/>
      <bottom/>
      <diagonal/>
    </border>
    <border>
      <left style="dotted">
        <color indexed="64"/>
      </left>
      <right/>
      <top/>
      <bottom/>
      <diagonal/>
    </border>
    <border>
      <left style="thin">
        <color indexed="64"/>
      </left>
      <right style="dotted">
        <color indexed="64"/>
      </right>
      <top/>
      <bottom/>
      <diagonal/>
    </border>
    <border>
      <left style="thin">
        <color auto="1"/>
      </left>
      <right style="dotted">
        <color indexed="64"/>
      </right>
      <top/>
      <bottom style="thin">
        <color auto="1"/>
      </bottom>
      <diagonal/>
    </border>
    <border>
      <left style="dotted">
        <color indexed="64"/>
      </left>
      <right/>
      <top/>
      <bottom style="thin">
        <color auto="1"/>
      </bottom>
      <diagonal/>
    </border>
    <border>
      <left style="thin">
        <color indexed="64"/>
      </left>
      <right style="dotted">
        <color indexed="64"/>
      </right>
      <top/>
      <bottom style="thin">
        <color auto="1"/>
      </bottom>
      <diagonal/>
    </border>
    <border>
      <left style="thin">
        <color indexed="64"/>
      </left>
      <right style="dotted">
        <color indexed="64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dotted">
        <color indexed="64"/>
      </right>
      <top style="hair">
        <color auto="1"/>
      </top>
      <bottom style="thin">
        <color auto="1"/>
      </bottom>
      <diagonal/>
    </border>
    <border>
      <left style="dotted">
        <color indexed="64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thin">
        <color indexed="64"/>
      </left>
      <right style="dotted">
        <color indexed="64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dotted">
        <color indexed="64"/>
      </right>
      <top/>
      <bottom style="hair">
        <color auto="1"/>
      </bottom>
      <diagonal/>
    </border>
    <border>
      <left style="dotted">
        <color indexed="64"/>
      </left>
      <right style="thin">
        <color auto="1"/>
      </right>
      <top/>
      <bottom style="hair">
        <color auto="1"/>
      </bottom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64"/>
      </left>
      <right/>
      <top style="thin">
        <color auto="1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double">
        <color auto="1"/>
      </right>
      <top/>
      <bottom style="thin">
        <color indexed="64"/>
      </bottom>
      <diagonal/>
    </border>
    <border>
      <left style="hair">
        <color indexed="64"/>
      </left>
      <right style="double">
        <color indexed="64"/>
      </right>
      <top style="thin">
        <color indexed="64"/>
      </top>
      <bottom/>
      <diagonal/>
    </border>
    <border>
      <left style="double">
        <color indexed="64"/>
      </left>
      <right style="hair">
        <color indexed="64"/>
      </right>
      <top/>
      <bottom/>
      <diagonal/>
    </border>
    <border>
      <left style="hair">
        <color indexed="64"/>
      </left>
      <right style="thin">
        <color indexed="64"/>
      </right>
      <top/>
      <bottom/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 style="hair">
        <color indexed="64"/>
      </left>
      <right style="double">
        <color indexed="64"/>
      </right>
      <top/>
      <bottom style="thin">
        <color indexed="64"/>
      </bottom>
      <diagonal/>
    </border>
    <border>
      <left style="double">
        <color indexed="64"/>
      </left>
      <right style="hair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 style="hair">
        <color indexed="64"/>
      </bottom>
      <diagonal/>
    </border>
    <border>
      <left/>
      <right style="thin">
        <color indexed="64"/>
      </right>
      <top style="thin">
        <color auto="1"/>
      </top>
      <bottom style="hair">
        <color indexed="64"/>
      </bottom>
      <diagonal/>
    </border>
    <border>
      <left/>
      <right style="double">
        <color indexed="64"/>
      </right>
      <top style="thin">
        <color auto="1"/>
      </top>
      <bottom style="hair">
        <color indexed="64"/>
      </bottom>
      <diagonal/>
    </border>
    <border>
      <left style="double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/>
      <bottom style="thin">
        <color auto="1"/>
      </bottom>
      <diagonal/>
    </border>
    <border>
      <left style="double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double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thin">
        <color auto="1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/>
      <right style="double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auto="1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auto="1"/>
      </bottom>
      <diagonal/>
    </border>
    <border>
      <left style="double">
        <color indexed="64"/>
      </left>
      <right style="hair">
        <color indexed="64"/>
      </right>
      <top style="hair">
        <color indexed="64"/>
      </top>
      <bottom style="thin">
        <color auto="1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auto="1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n">
        <color auto="1"/>
      </bottom>
      <diagonal/>
    </border>
    <border>
      <left style="thin">
        <color indexed="64"/>
      </left>
      <right/>
      <top style="hair">
        <color indexed="64"/>
      </top>
      <bottom style="thin">
        <color auto="1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auto="1"/>
      </bottom>
      <diagonal/>
    </border>
    <border>
      <left style="double">
        <color indexed="64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/>
      <right style="thin">
        <color indexed="64"/>
      </right>
      <top style="thin">
        <color auto="1"/>
      </top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 style="thin">
        <color indexed="64"/>
      </bottom>
      <diagonal/>
    </border>
    <border>
      <left style="hair">
        <color auto="1"/>
      </left>
      <right/>
      <top style="thin">
        <color auto="1"/>
      </top>
      <bottom style="thin">
        <color indexed="64"/>
      </bottom>
      <diagonal/>
    </border>
    <border>
      <left style="thin">
        <color indexed="64"/>
      </left>
      <right style="hair">
        <color auto="1"/>
      </right>
      <top style="thin">
        <color auto="1"/>
      </top>
      <bottom style="thin">
        <color indexed="64"/>
      </bottom>
      <diagonal/>
    </border>
    <border>
      <left style="hair">
        <color auto="1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/>
      <right style="hair">
        <color indexed="64"/>
      </right>
      <top style="thin">
        <color auto="1"/>
      </top>
      <bottom style="thin">
        <color indexed="64"/>
      </bottom>
      <diagonal/>
    </border>
    <border>
      <left style="hair">
        <color indexed="64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hair">
        <color auto="1"/>
      </left>
      <right style="double">
        <color indexed="64"/>
      </right>
      <top/>
      <bottom style="hair">
        <color auto="1"/>
      </bottom>
      <diagonal/>
    </border>
    <border>
      <left style="double">
        <color indexed="64"/>
      </left>
      <right style="thin">
        <color indexed="64"/>
      </right>
      <top/>
      <bottom style="hair">
        <color indexed="64"/>
      </bottom>
      <diagonal/>
    </border>
    <border>
      <left/>
      <right style="hair">
        <color auto="1"/>
      </right>
      <top/>
      <bottom style="hair">
        <color indexed="64"/>
      </bottom>
      <diagonal/>
    </border>
    <border>
      <left style="hair">
        <color auto="1"/>
      </left>
      <right/>
      <top/>
      <bottom style="hair">
        <color indexed="64"/>
      </bottom>
      <diagonal/>
    </border>
    <border>
      <left style="thin">
        <color indexed="64"/>
      </left>
      <right style="hair">
        <color auto="1"/>
      </right>
      <top/>
      <bottom style="hair">
        <color indexed="64"/>
      </bottom>
      <diagonal/>
    </border>
    <border>
      <left style="hair">
        <color auto="1"/>
      </left>
      <right style="thin">
        <color indexed="64"/>
      </right>
      <top/>
      <bottom style="hair">
        <color indexed="64"/>
      </bottom>
      <diagonal/>
    </border>
    <border>
      <left style="hair">
        <color auto="1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 style="double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auto="1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double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 style="hair">
        <color auto="1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/>
      <top style="hair">
        <color indexed="64"/>
      </top>
      <bottom style="thin">
        <color indexed="64"/>
      </bottom>
      <diagonal/>
    </border>
    <border>
      <left style="thin">
        <color indexed="64"/>
      </left>
      <right style="hair">
        <color auto="1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auto="1"/>
      </right>
      <top style="hair">
        <color indexed="64"/>
      </top>
      <bottom style="thin">
        <color auto="1"/>
      </bottom>
      <diagonal/>
    </border>
    <border>
      <left style="thin">
        <color indexed="64"/>
      </left>
      <right/>
      <top style="thin">
        <color auto="1"/>
      </top>
      <bottom style="hair">
        <color auto="1"/>
      </bottom>
      <diagonal/>
    </border>
    <border>
      <left/>
      <right style="thin">
        <color indexed="64"/>
      </right>
      <top style="hair">
        <color auto="1"/>
      </top>
      <bottom/>
      <diagonal/>
    </border>
    <border>
      <left style="thin">
        <color auto="1"/>
      </left>
      <right style="hair">
        <color auto="1"/>
      </right>
      <top style="double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double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double">
        <color auto="1"/>
      </top>
      <bottom style="hair">
        <color auto="1"/>
      </bottom>
      <diagonal/>
    </border>
    <border>
      <left/>
      <right style="hair">
        <color auto="1"/>
      </right>
      <top style="double">
        <color auto="1"/>
      </top>
      <bottom style="hair">
        <color auto="1"/>
      </bottom>
      <diagonal/>
    </border>
    <border>
      <left/>
      <right style="double">
        <color auto="1"/>
      </right>
      <top style="double">
        <color auto="1"/>
      </top>
      <bottom style="hair">
        <color auto="1"/>
      </bottom>
      <diagonal/>
    </border>
    <border>
      <left/>
      <right style="thin">
        <color indexed="64"/>
      </right>
      <top style="double">
        <color auto="1"/>
      </top>
      <bottom style="hair">
        <color auto="1"/>
      </bottom>
      <diagonal/>
    </border>
    <border>
      <left/>
      <right/>
      <top style="double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double">
        <color auto="1"/>
      </top>
      <bottom style="hair">
        <color auto="1"/>
      </bottom>
      <diagonal/>
    </border>
    <border>
      <left style="thin">
        <color indexed="64"/>
      </left>
      <right/>
      <top style="double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/>
      <bottom/>
      <diagonal/>
    </border>
    <border>
      <left style="hair">
        <color auto="1"/>
      </left>
      <right style="hair">
        <color auto="1"/>
      </right>
      <top style="hair">
        <color auto="1"/>
      </top>
      <bottom style="double">
        <color auto="1"/>
      </bottom>
      <diagonal/>
    </border>
    <border>
      <left style="thin">
        <color auto="1"/>
      </left>
      <right style="hair">
        <color auto="1"/>
      </right>
      <top/>
      <bottom style="double">
        <color auto="1"/>
      </bottom>
      <diagonal/>
    </border>
    <border>
      <left style="hair">
        <color auto="1"/>
      </left>
      <right/>
      <top/>
      <bottom style="double">
        <color auto="1"/>
      </bottom>
      <diagonal/>
    </border>
    <border>
      <left style="thin">
        <color auto="1"/>
      </left>
      <right/>
      <top/>
      <bottom style="double">
        <color auto="1"/>
      </bottom>
      <diagonal/>
    </border>
    <border>
      <left style="hair">
        <color auto="1"/>
      </left>
      <right/>
      <top style="double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double">
        <color auto="1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/>
      <bottom style="hair">
        <color auto="1"/>
      </bottom>
      <diagonal/>
    </border>
    <border>
      <left/>
      <right style="thin">
        <color indexed="22"/>
      </right>
      <top style="thin">
        <color auto="1"/>
      </top>
      <bottom style="thin">
        <color indexed="22"/>
      </bottom>
      <diagonal/>
    </border>
    <border>
      <left style="thin">
        <color indexed="22"/>
      </left>
      <right/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auto="1"/>
      </top>
      <bottom style="thin">
        <color indexed="22"/>
      </bottom>
      <diagonal/>
    </border>
    <border>
      <left style="thin">
        <color indexed="22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/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/>
      <top style="thin">
        <color indexed="22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hair">
        <color auto="1"/>
      </bottom>
      <diagonal/>
    </border>
    <border>
      <left style="double">
        <color auto="1"/>
      </left>
      <right style="double">
        <color auto="1"/>
      </right>
      <top style="hair">
        <color auto="1"/>
      </top>
      <bottom style="thin">
        <color auto="1"/>
      </bottom>
      <diagonal/>
    </border>
    <border>
      <left style="thin">
        <color theme="0"/>
      </left>
      <right style="thin">
        <color theme="0"/>
      </right>
      <top/>
      <bottom/>
      <diagonal/>
    </border>
    <border>
      <left style="thin">
        <color indexed="64"/>
      </left>
      <right style="hair">
        <color auto="1"/>
      </right>
      <top style="hair">
        <color auto="1"/>
      </top>
      <bottom/>
      <diagonal/>
    </border>
    <border>
      <left style="thin">
        <color indexed="64"/>
      </left>
      <right/>
      <top/>
      <bottom style="hair">
        <color auto="1"/>
      </bottom>
      <diagonal/>
    </border>
    <border>
      <left style="thin">
        <color indexed="64"/>
      </left>
      <right/>
      <top style="hair">
        <color auto="1"/>
      </top>
      <bottom/>
      <diagonal/>
    </border>
    <border>
      <left style="thin">
        <color indexed="64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thin">
        <color indexed="64"/>
      </bottom>
      <diagonal/>
    </border>
    <border>
      <left/>
      <right style="hair">
        <color indexed="65"/>
      </right>
      <top/>
      <bottom/>
      <diagonal/>
    </border>
    <border>
      <left style="hair">
        <color indexed="65"/>
      </left>
      <right/>
      <top/>
      <bottom/>
      <diagonal/>
    </border>
    <border>
      <left style="hair">
        <color indexed="65"/>
      </left>
      <right style="hair">
        <color indexed="65"/>
      </right>
      <top style="hair">
        <color indexed="65"/>
      </top>
      <bottom style="thin">
        <color auto="1"/>
      </bottom>
      <diagonal/>
    </border>
    <border>
      <left style="hair">
        <color indexed="65"/>
      </left>
      <right/>
      <top style="hair">
        <color indexed="65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/>
      <diagonal/>
    </border>
    <border>
      <left style="hair">
        <color auto="1"/>
      </left>
      <right style="thin">
        <color auto="1"/>
      </right>
      <top style="thin">
        <color indexed="22"/>
      </top>
      <bottom/>
      <diagonal/>
    </border>
    <border>
      <left/>
      <right style="double">
        <color auto="1"/>
      </right>
      <top style="thin">
        <color auto="1"/>
      </top>
      <bottom style="thin">
        <color indexed="22"/>
      </bottom>
      <diagonal/>
    </border>
    <border>
      <left/>
      <right style="hair">
        <color auto="1"/>
      </right>
      <top style="thin">
        <color auto="1"/>
      </top>
      <bottom style="thin">
        <color indexed="22"/>
      </bottom>
      <diagonal/>
    </border>
    <border>
      <left style="hair">
        <color auto="1"/>
      </left>
      <right/>
      <top style="thin">
        <color auto="1"/>
      </top>
      <bottom style="thin">
        <color indexed="22"/>
      </bottom>
      <diagonal/>
    </border>
    <border>
      <left/>
      <right style="double">
        <color auto="1"/>
      </right>
      <top style="thin">
        <color indexed="22"/>
      </top>
      <bottom style="thin">
        <color indexed="22"/>
      </bottom>
      <diagonal/>
    </border>
    <border>
      <left/>
      <right style="hair">
        <color auto="1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/>
      <top style="thin">
        <color indexed="22"/>
      </top>
      <bottom style="thin">
        <color indexed="22"/>
      </bottom>
      <diagonal/>
    </border>
    <border>
      <left style="hair">
        <color auto="1"/>
      </left>
      <right style="double">
        <color auto="1"/>
      </right>
      <top style="thin">
        <color indexed="22"/>
      </top>
      <bottom/>
      <diagonal/>
    </border>
    <border>
      <left/>
      <right style="hair">
        <color auto="1"/>
      </right>
      <top style="thin">
        <color indexed="22"/>
      </top>
      <bottom style="hair">
        <color auto="1"/>
      </bottom>
      <diagonal/>
    </border>
    <border>
      <left style="hair">
        <color auto="1"/>
      </left>
      <right/>
      <top style="thin">
        <color indexed="22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hair">
        <color auto="1"/>
      </bottom>
      <diagonal/>
    </border>
    <border>
      <left/>
      <right style="thin">
        <color auto="1"/>
      </right>
      <top style="thin">
        <color indexed="22"/>
      </top>
      <bottom style="hair">
        <color auto="1"/>
      </bottom>
      <diagonal/>
    </border>
    <border>
      <left/>
      <right style="hair">
        <color auto="1"/>
      </right>
      <top style="thin">
        <color indexed="22"/>
      </top>
      <bottom/>
      <diagonal/>
    </border>
    <border>
      <left style="hair">
        <color auto="1"/>
      </left>
      <right style="double">
        <color auto="1"/>
      </right>
      <top style="thin">
        <color indexed="22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rgb="FF3F3F3F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hair">
        <color rgb="FF3F3F3F"/>
      </bottom>
      <diagonal/>
    </border>
    <border>
      <left/>
      <right style="hair">
        <color auto="1"/>
      </right>
      <top style="thin">
        <color auto="1"/>
      </top>
      <bottom style="hair">
        <color rgb="FF3F3F3F"/>
      </bottom>
      <diagonal/>
    </border>
    <border>
      <left style="thin">
        <color auto="1"/>
      </left>
      <right style="hair">
        <color auto="1"/>
      </right>
      <top/>
      <bottom style="hair">
        <color rgb="FF3F3F3F"/>
      </bottom>
      <diagonal/>
    </border>
    <border>
      <left style="hair">
        <color auto="1"/>
      </left>
      <right style="thin">
        <color auto="1"/>
      </right>
      <top/>
      <bottom style="hair">
        <color rgb="FF3F3F3F"/>
      </bottom>
      <diagonal/>
    </border>
    <border>
      <left/>
      <right style="hair">
        <color auto="1"/>
      </right>
      <top/>
      <bottom style="hair">
        <color rgb="FF3F3F3F"/>
      </bottom>
      <diagonal/>
    </border>
    <border>
      <left/>
      <right style="hair">
        <color auto="1"/>
      </right>
      <top style="hair">
        <color auto="1"/>
      </top>
      <bottom style="hair">
        <color rgb="FF3F3F3F"/>
      </bottom>
      <diagonal/>
    </border>
    <border>
      <left/>
      <right style="thin">
        <color auto="1"/>
      </right>
      <top style="hair">
        <color auto="1"/>
      </top>
      <bottom style="hair">
        <color rgb="FF3F3F3F"/>
      </bottom>
      <diagonal/>
    </border>
    <border>
      <left/>
      <right style="hair">
        <color rgb="FF3F3F3F"/>
      </right>
      <top/>
      <bottom style="hair">
        <color rgb="FF3F3F3F"/>
      </bottom>
      <diagonal/>
    </border>
    <border>
      <left style="hair">
        <color rgb="FF3F3F3F"/>
      </left>
      <right style="thin">
        <color rgb="FF3F3F3F"/>
      </right>
      <top/>
      <bottom style="hair">
        <color rgb="FF3F3F3F"/>
      </bottom>
      <diagonal/>
    </border>
    <border>
      <left style="thin">
        <color auto="1"/>
      </left>
      <right style="hair">
        <color rgb="FF3F3F3F"/>
      </right>
      <top style="hair">
        <color auto="1"/>
      </top>
      <bottom style="hair">
        <color auto="1"/>
      </bottom>
      <diagonal/>
    </border>
    <border>
      <left style="hair">
        <color rgb="FF3F3F3F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hair">
        <color rgb="FF3F3F3F"/>
      </top>
      <bottom style="hair">
        <color rgb="FF3F3F3F"/>
      </bottom>
      <diagonal/>
    </border>
    <border>
      <left style="double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thin">
        <color indexed="22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/>
      <right style="thin">
        <color auto="1"/>
      </right>
      <top/>
      <bottom style="thin">
        <color indexed="22"/>
      </bottom>
      <diagonal/>
    </border>
    <border>
      <left/>
      <right style="double">
        <color auto="1"/>
      </right>
      <top/>
      <bottom style="thin">
        <color indexed="22"/>
      </bottom>
      <diagonal/>
    </border>
    <border>
      <left/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indexed="22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 style="thin">
        <color rgb="FFB2B2B2"/>
      </left>
      <right style="thin">
        <color auto="1"/>
      </right>
      <top style="thin">
        <color rgb="FFB2B2B2"/>
      </top>
      <bottom style="thin">
        <color rgb="FFB2B2B2"/>
      </bottom>
      <diagonal/>
    </border>
    <border>
      <left style="thin">
        <color indexed="22"/>
      </left>
      <right style="hair">
        <color auto="1"/>
      </right>
      <top style="thin">
        <color indexed="22"/>
      </top>
      <bottom/>
      <diagonal/>
    </border>
    <border>
      <left/>
      <right style="thin">
        <color auto="1"/>
      </right>
      <top style="thin">
        <color indexed="22"/>
      </top>
      <bottom/>
      <diagonal/>
    </border>
    <border>
      <left/>
      <right style="double">
        <color auto="1"/>
      </right>
      <top style="thin">
        <color indexed="22"/>
      </top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rgb="FFB2B2B2"/>
      </top>
      <bottom style="thin">
        <color auto="1"/>
      </bottom>
      <diagonal/>
    </border>
    <border>
      <left style="thin">
        <color indexed="22"/>
      </left>
      <right style="thin">
        <color auto="1"/>
      </right>
      <top style="thin">
        <color rgb="FFB2B2B2"/>
      </top>
      <bottom style="thin">
        <color auto="1"/>
      </bottom>
      <diagonal/>
    </border>
    <border>
      <left style="hair">
        <color auto="1"/>
      </left>
      <right style="thin">
        <color rgb="FFB2B2B2"/>
      </right>
      <top style="thin">
        <color rgb="FFB2B2B2"/>
      </top>
      <bottom style="thin">
        <color auto="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auto="1"/>
      </bottom>
      <diagonal/>
    </border>
    <border>
      <left style="thin">
        <color indexed="22"/>
      </left>
      <right style="hair">
        <color auto="1"/>
      </right>
      <top style="thin">
        <color indexed="22"/>
      </top>
      <bottom style="thin">
        <color auto="1"/>
      </bottom>
      <diagonal/>
    </border>
    <border>
      <left/>
      <right style="double">
        <color auto="1"/>
      </right>
      <top style="thin">
        <color indexed="22"/>
      </top>
      <bottom style="thin">
        <color auto="1"/>
      </bottom>
      <diagonal/>
    </border>
    <border>
      <left/>
      <right style="hair">
        <color indexed="65"/>
      </right>
      <top style="hair">
        <color indexed="65"/>
      </top>
      <bottom style="hair">
        <color indexed="65"/>
      </bottom>
      <diagonal/>
    </border>
    <border>
      <left style="hair">
        <color indexed="65"/>
      </left>
      <right style="hair">
        <color indexed="65"/>
      </right>
      <top style="hair">
        <color indexed="65"/>
      </top>
      <bottom/>
      <diagonal/>
    </border>
    <border>
      <left/>
      <right style="hair">
        <color indexed="65"/>
      </right>
      <top style="hair">
        <color indexed="65"/>
      </top>
      <bottom/>
      <diagonal/>
    </border>
    <border>
      <left style="hair">
        <color indexed="65"/>
      </left>
      <right style="hair">
        <color indexed="65"/>
      </right>
      <top style="hair">
        <color indexed="65"/>
      </top>
      <bottom style="hair">
        <color indexed="65"/>
      </bottom>
      <diagonal/>
    </border>
    <border>
      <left style="hair">
        <color indexed="65"/>
      </left>
      <right style="hair">
        <color indexed="65"/>
      </right>
      <top/>
      <bottom style="hair">
        <color indexed="65"/>
      </bottom>
      <diagonal/>
    </border>
    <border>
      <left style="hair">
        <color indexed="65"/>
      </left>
      <right style="hair">
        <color indexed="65"/>
      </right>
      <top/>
      <bottom/>
      <diagonal/>
    </border>
    <border>
      <left style="thin">
        <color auto="1"/>
      </left>
      <right style="hair">
        <color indexed="64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indexed="64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indexed="64"/>
      </right>
      <top style="hair">
        <color auto="1"/>
      </top>
      <bottom style="thin">
        <color auto="1"/>
      </bottom>
      <diagonal/>
    </border>
    <border>
      <left style="thin">
        <color auto="1"/>
      </left>
      <right style="hair">
        <color indexed="64"/>
      </right>
      <top/>
      <bottom style="thin">
        <color auto="1"/>
      </bottom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indexed="64"/>
      </right>
      <top style="thin">
        <color auto="1"/>
      </top>
      <bottom style="hair">
        <color auto="1"/>
      </bottom>
      <diagonal/>
    </border>
    <border>
      <left/>
      <right style="hair">
        <color indexed="64"/>
      </right>
      <top style="hair">
        <color auto="1"/>
      </top>
      <bottom style="hair">
        <color auto="1"/>
      </bottom>
      <diagonal/>
    </border>
    <border>
      <left style="hair">
        <color indexed="64"/>
      </left>
      <right style="hair">
        <color indexed="64"/>
      </right>
      <top style="hair">
        <color auto="1"/>
      </top>
      <bottom style="hair">
        <color auto="1"/>
      </bottom>
      <diagonal/>
    </border>
    <border>
      <left/>
      <right style="double">
        <color indexed="64"/>
      </right>
      <top style="hair">
        <color auto="1"/>
      </top>
      <bottom style="hair">
        <color auto="1"/>
      </bottom>
      <diagonal/>
    </border>
    <border>
      <left/>
      <right style="hair">
        <color indexed="64"/>
      </right>
      <top style="hair">
        <color auto="1"/>
      </top>
      <bottom style="thin">
        <color auto="1"/>
      </bottom>
      <diagonal/>
    </border>
    <border>
      <left style="hair">
        <color indexed="64"/>
      </left>
      <right style="hair">
        <color indexed="64"/>
      </right>
      <top style="hair">
        <color auto="1"/>
      </top>
      <bottom style="thin">
        <color auto="1"/>
      </bottom>
      <diagonal/>
    </border>
    <border>
      <left style="hair">
        <color indexed="65"/>
      </left>
      <right/>
      <top style="thin">
        <color auto="1"/>
      </top>
      <bottom style="thin">
        <color auto="1"/>
      </bottom>
      <diagonal/>
    </border>
    <border>
      <left/>
      <right style="hair">
        <color indexed="65"/>
      </right>
      <top style="thin">
        <color auto="1"/>
      </top>
      <bottom style="thin">
        <color auto="1"/>
      </bottom>
      <diagonal/>
    </border>
    <border>
      <left/>
      <right style="hair">
        <color indexed="65"/>
      </right>
      <top style="hair">
        <color indexed="65"/>
      </top>
      <bottom style="thin">
        <color auto="1"/>
      </bottom>
      <diagonal/>
    </border>
    <border>
      <left style="hair">
        <color indexed="65"/>
      </left>
      <right/>
      <top/>
      <bottom style="thin">
        <color auto="1"/>
      </bottom>
      <diagonal/>
    </border>
    <border>
      <left/>
      <right style="double">
        <color auto="1"/>
      </right>
      <top style="thin">
        <color indexed="64"/>
      </top>
      <bottom style="hair">
        <color auto="1"/>
      </bottom>
      <diagonal/>
    </border>
    <border>
      <left style="thin">
        <color indexed="64"/>
      </left>
      <right style="double">
        <color auto="1"/>
      </right>
      <top/>
      <bottom style="hair">
        <color auto="1"/>
      </bottom>
      <diagonal/>
    </border>
    <border>
      <left style="thin">
        <color indexed="64"/>
      </left>
      <right style="thin">
        <color indexed="64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 style="thin">
        <color auto="1"/>
      </bottom>
      <diagonal/>
    </border>
    <border>
      <left/>
      <right style="double">
        <color indexed="64"/>
      </right>
      <top style="thin">
        <color auto="1"/>
      </top>
      <bottom/>
      <diagonal/>
    </border>
    <border>
      <left style="medium">
        <color indexed="64"/>
      </left>
      <right style="thin">
        <color auto="1"/>
      </right>
      <top/>
      <bottom/>
      <diagonal/>
    </border>
    <border>
      <left style="thin">
        <color indexed="64"/>
      </left>
      <right style="thin">
        <color indexed="64"/>
      </right>
      <top style="thin">
        <color auto="1"/>
      </top>
      <bottom/>
      <diagonal/>
    </border>
    <border>
      <left style="medium">
        <color indexed="64"/>
      </left>
      <right style="thin">
        <color auto="1"/>
      </right>
      <top/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indexed="64"/>
      </right>
      <top style="thin">
        <color auto="1"/>
      </top>
      <bottom/>
      <diagonal/>
    </border>
    <border>
      <left style="medium">
        <color indexed="64"/>
      </left>
      <right/>
      <top style="thin">
        <color auto="1"/>
      </top>
      <bottom style="hair">
        <color auto="1"/>
      </bottom>
      <diagonal/>
    </border>
    <border>
      <left style="medium">
        <color indexed="64"/>
      </left>
      <right/>
      <top style="hair">
        <color auto="1"/>
      </top>
      <bottom style="hair">
        <color auto="1"/>
      </bottom>
      <diagonal/>
    </border>
    <border>
      <left style="medium">
        <color indexed="64"/>
      </left>
      <right/>
      <top style="hair">
        <color auto="1"/>
      </top>
      <bottom style="thin">
        <color auto="1"/>
      </bottom>
      <diagonal/>
    </border>
    <border>
      <left style="thin">
        <color indexed="64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/>
      <bottom style="hair">
        <color auto="1"/>
      </bottom>
      <diagonal/>
    </border>
    <border>
      <left style="double">
        <color auto="1"/>
      </left>
      <right style="double">
        <color auto="1"/>
      </right>
      <top/>
      <bottom style="thin">
        <color auto="1"/>
      </bottom>
      <diagonal/>
    </border>
    <border>
      <left style="thin">
        <color indexed="64"/>
      </left>
      <right/>
      <top style="hair">
        <color auto="1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indexed="64"/>
      </top>
      <bottom style="thin">
        <color auto="1"/>
      </bottom>
      <diagonal/>
    </border>
    <border>
      <left style="hair">
        <color auto="1"/>
      </left>
      <right/>
      <top style="thin">
        <color indexed="64"/>
      </top>
      <bottom style="hair">
        <color auto="1"/>
      </bottom>
      <diagonal/>
    </border>
    <border>
      <left/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double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double">
        <color indexed="64"/>
      </right>
      <top style="hair">
        <color indexed="64"/>
      </top>
      <bottom style="hair">
        <color auto="1"/>
      </bottom>
      <diagonal/>
    </border>
    <border>
      <left/>
      <right style="hair">
        <color indexed="64"/>
      </right>
      <top style="hair">
        <color indexed="64"/>
      </top>
      <bottom/>
      <diagonal/>
    </border>
    <border>
      <left style="thin">
        <color indexed="64"/>
      </left>
      <right/>
      <top style="hair">
        <color indexed="64"/>
      </top>
      <bottom/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auto="1"/>
      </top>
      <bottom style="hair">
        <color indexed="64"/>
      </bottom>
      <diagonal/>
    </border>
    <border>
      <left style="thin">
        <color indexed="64"/>
      </left>
      <right style="thin">
        <color auto="1"/>
      </right>
      <top style="thin">
        <color auto="1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auto="1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auto="1"/>
      </right>
      <top style="hair">
        <color indexed="64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 style="medium">
        <color auto="1"/>
      </left>
      <right style="thin">
        <color auto="1"/>
      </right>
      <top/>
      <bottom/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/>
      <right style="thin">
        <color indexed="65"/>
      </right>
      <top style="thin">
        <color indexed="65"/>
      </top>
      <bottom style="thin">
        <color auto="1"/>
      </bottom>
      <diagonal/>
    </border>
    <border>
      <left/>
      <right/>
      <top style="thin">
        <color indexed="65"/>
      </top>
      <bottom/>
      <diagonal/>
    </border>
    <border>
      <left style="double">
        <color auto="1"/>
      </left>
      <right style="hair">
        <color auto="1"/>
      </right>
      <top/>
      <bottom style="thin">
        <color indexed="22"/>
      </bottom>
      <diagonal/>
    </border>
    <border>
      <left style="hair">
        <color auto="1"/>
      </left>
      <right style="hair">
        <color auto="1"/>
      </right>
      <top style="thin">
        <color indexed="22"/>
      </top>
      <bottom style="hair">
        <color auto="1"/>
      </bottom>
      <diagonal/>
    </border>
    <border>
      <left/>
      <right style="double">
        <color auto="1"/>
      </right>
      <top style="thin">
        <color indexed="22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thin">
        <color indexed="22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 style="thin">
        <color indexed="64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/>
      <diagonal/>
    </border>
    <border>
      <left style="thin">
        <color auto="1"/>
      </left>
      <right style="dotted">
        <color indexed="64"/>
      </right>
      <top style="thin">
        <color auto="1"/>
      </top>
      <bottom style="thin">
        <color auto="1"/>
      </bottom>
      <diagonal/>
    </border>
    <border>
      <left style="dotted">
        <color indexed="64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dotted">
        <color indexed="64"/>
      </right>
      <top style="thin">
        <color auto="1"/>
      </top>
      <bottom style="hair">
        <color auto="1"/>
      </bottom>
      <diagonal/>
    </border>
    <border>
      <left style="dotted">
        <color indexed="64"/>
      </left>
      <right style="double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dotted">
        <color indexed="64"/>
      </right>
      <top style="hair">
        <color auto="1"/>
      </top>
      <bottom style="hair">
        <color auto="1"/>
      </bottom>
      <diagonal/>
    </border>
    <border>
      <left style="dotted">
        <color indexed="64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dotted">
        <color indexed="64"/>
      </right>
      <top/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thin">
        <color indexed="64"/>
      </bottom>
      <diagonal/>
    </border>
    <border>
      <left style="double">
        <color auto="1"/>
      </left>
      <right style="dotted">
        <color indexed="64"/>
      </right>
      <top style="thin">
        <color auto="1"/>
      </top>
      <bottom/>
      <diagonal/>
    </border>
    <border>
      <left style="double">
        <color auto="1"/>
      </left>
      <right style="dotted">
        <color indexed="64"/>
      </right>
      <top/>
      <bottom style="thin">
        <color auto="1"/>
      </bottom>
      <diagonal/>
    </border>
    <border>
      <left style="double">
        <color auto="1"/>
      </left>
      <right style="dotted">
        <color indexed="64"/>
      </right>
      <top style="thin">
        <color auto="1"/>
      </top>
      <bottom style="thin">
        <color auto="1"/>
      </bottom>
      <diagonal/>
    </border>
    <border>
      <left style="dotted">
        <color indexed="64"/>
      </left>
      <right style="dotted">
        <color indexed="64"/>
      </right>
      <top style="thin">
        <color auto="1"/>
      </top>
      <bottom style="thin">
        <color auto="1"/>
      </bottom>
      <diagonal/>
    </border>
    <border>
      <left style="dotted">
        <color indexed="64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dotted">
        <color indexed="64"/>
      </left>
      <right style="dotted">
        <color indexed="64"/>
      </right>
      <top style="hair">
        <color auto="1"/>
      </top>
      <bottom style="hair">
        <color auto="1"/>
      </bottom>
      <diagonal/>
    </border>
    <border>
      <left/>
      <right style="dotted">
        <color indexed="64"/>
      </right>
      <top/>
      <bottom style="hair">
        <color auto="1"/>
      </bottom>
      <diagonal/>
    </border>
    <border>
      <left style="double">
        <color auto="1"/>
      </left>
      <right style="dotted">
        <color indexed="64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double">
        <color indexed="64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double">
        <color indexed="64"/>
      </right>
      <top/>
      <bottom style="thin">
        <color auto="1"/>
      </bottom>
      <diagonal/>
    </border>
    <border>
      <left style="double">
        <color auto="1"/>
      </left>
      <right style="dotted">
        <color indexed="64"/>
      </right>
      <top/>
      <bottom style="hair">
        <color auto="1"/>
      </bottom>
      <diagonal/>
    </border>
    <border>
      <left style="double">
        <color auto="1"/>
      </left>
      <right style="dotted">
        <color indexed="64"/>
      </right>
      <top style="hair">
        <color auto="1"/>
      </top>
      <bottom style="thin">
        <color auto="1"/>
      </bottom>
      <diagonal/>
    </border>
    <border>
      <left style="thin">
        <color indexed="64"/>
      </left>
      <right style="hair">
        <color auto="1"/>
      </right>
      <top style="thin">
        <color auto="1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thin">
        <color auto="1"/>
      </left>
      <right style="thin">
        <color auto="1"/>
      </right>
      <top style="hair">
        <color indexed="64"/>
      </top>
      <bottom style="hair">
        <color indexed="64"/>
      </bottom>
      <diagonal/>
    </border>
    <border>
      <left style="thin">
        <color auto="1"/>
      </left>
      <right style="hair">
        <color indexed="64"/>
      </right>
      <top style="hair">
        <color indexed="64"/>
      </top>
      <bottom style="thin">
        <color auto="1"/>
      </bottom>
      <diagonal/>
    </border>
    <border>
      <left/>
      <right style="thin">
        <color indexed="64"/>
      </right>
      <top style="hair">
        <color indexed="64"/>
      </top>
      <bottom style="thin">
        <color auto="1"/>
      </bottom>
      <diagonal/>
    </border>
    <border>
      <left style="thin">
        <color indexed="64"/>
      </left>
      <right style="hair">
        <color auto="1"/>
      </right>
      <top style="hair">
        <color indexed="64"/>
      </top>
      <bottom style="thin">
        <color auto="1"/>
      </bottom>
      <diagonal/>
    </border>
    <border>
      <left/>
      <right style="double">
        <color indexed="64"/>
      </right>
      <top style="hair">
        <color indexed="64"/>
      </top>
      <bottom style="thin">
        <color auto="1"/>
      </bottom>
      <diagonal/>
    </border>
    <border>
      <left/>
      <right/>
      <top style="hair">
        <color indexed="64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hair">
        <color indexed="64"/>
      </top>
      <bottom style="thin">
        <color auto="1"/>
      </bottom>
      <diagonal/>
    </border>
    <border>
      <left/>
      <right/>
      <top/>
      <bottom style="hair">
        <color indexed="64"/>
      </bottom>
      <diagonal/>
    </border>
    <border>
      <left style="thin">
        <color auto="1"/>
      </left>
      <right style="thin">
        <color auto="1"/>
      </right>
      <top/>
      <bottom style="hair">
        <color indexed="64"/>
      </bottom>
      <diagonal/>
    </border>
    <border>
      <left style="thin">
        <color auto="1"/>
      </left>
      <right style="thin">
        <color indexed="64"/>
      </right>
      <top style="thin">
        <color indexed="64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indexed="64"/>
      </top>
      <bottom style="hair">
        <color indexed="64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indexed="64"/>
      </bottom>
      <diagonal/>
    </border>
    <border>
      <left style="thin">
        <color auto="1"/>
      </left>
      <right style="hair">
        <color auto="1"/>
      </right>
      <top style="hair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/>
      <bottom style="hair">
        <color indexed="64"/>
      </bottom>
      <diagonal/>
    </border>
    <border>
      <left/>
      <right style="thin">
        <color auto="1"/>
      </right>
      <top/>
      <bottom style="hair">
        <color indexed="64"/>
      </bottom>
      <diagonal/>
    </border>
    <border>
      <left style="thin">
        <color auto="1"/>
      </left>
      <right style="hair">
        <color auto="1"/>
      </right>
      <top style="hair">
        <color indexed="64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hair">
        <color indexed="64"/>
      </top>
      <bottom/>
      <diagonal/>
    </border>
    <border>
      <left/>
      <right style="thin">
        <color auto="1"/>
      </right>
      <top style="hair">
        <color indexed="64"/>
      </top>
      <bottom/>
      <diagonal/>
    </border>
    <border>
      <left style="thin">
        <color auto="1"/>
      </left>
      <right/>
      <top style="hair">
        <color indexed="64"/>
      </top>
      <bottom style="thin">
        <color auto="1"/>
      </bottom>
      <diagonal/>
    </border>
    <border>
      <left style="thin">
        <color auto="1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auto="1"/>
      </bottom>
      <diagonal/>
    </border>
    <border>
      <left style="thin">
        <color indexed="64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 style="double">
        <color auto="1"/>
      </left>
      <right style="hair">
        <color auto="1"/>
      </right>
      <top style="thin">
        <color auto="1"/>
      </top>
      <bottom style="double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double">
        <color auto="1"/>
      </bottom>
      <diagonal/>
    </border>
    <border>
      <left/>
      <right style="double">
        <color auto="1"/>
      </right>
      <top style="thin">
        <color auto="1"/>
      </top>
      <bottom style="double">
        <color auto="1"/>
      </bottom>
      <diagonal/>
    </border>
    <border>
      <left style="double">
        <color auto="1"/>
      </left>
      <right style="hair">
        <color auto="1"/>
      </right>
      <top style="double">
        <color auto="1"/>
      </top>
      <bottom style="thin">
        <color auto="1"/>
      </bottom>
      <diagonal/>
    </border>
    <border>
      <left/>
      <right style="double">
        <color auto="1"/>
      </right>
      <top style="double">
        <color auto="1"/>
      </top>
      <bottom style="thin">
        <color auto="1"/>
      </bottom>
      <diagonal/>
    </border>
    <border>
      <left style="thin">
        <color auto="1"/>
      </left>
      <right style="double">
        <color auto="1"/>
      </right>
      <top style="thin">
        <color indexed="64"/>
      </top>
      <bottom/>
      <diagonal/>
    </border>
    <border>
      <left style="thin">
        <color indexed="64"/>
      </left>
      <right style="double">
        <color auto="1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double">
        <color auto="1"/>
      </right>
      <top/>
      <bottom style="thin">
        <color indexed="64"/>
      </bottom>
      <diagonal/>
    </border>
  </borders>
  <cellStyleXfs count="154">
    <xf numFmtId="0" fontId="0" fillId="0" borderId="0"/>
    <xf numFmtId="0" fontId="68" fillId="2" borderId="0" applyNumberFormat="0" applyBorder="0" applyProtection="0"/>
    <xf numFmtId="0" fontId="1" fillId="3" borderId="0" applyNumberFormat="0" applyBorder="0" applyProtection="0"/>
    <xf numFmtId="0" fontId="2" fillId="4" borderId="1" applyNumberFormat="0" applyProtection="0"/>
    <xf numFmtId="0" fontId="3" fillId="5" borderId="2" applyBorder="0">
      <protection locked="0"/>
    </xf>
    <xf numFmtId="0" fontId="3" fillId="5" borderId="3" applyNumberFormat="0">
      <protection locked="0"/>
    </xf>
    <xf numFmtId="0" fontId="3" fillId="5" borderId="3" applyNumberFormat="0">
      <protection locked="0"/>
    </xf>
    <xf numFmtId="0" fontId="3" fillId="5" borderId="3" applyNumberFormat="0">
      <protection locked="0"/>
    </xf>
    <xf numFmtId="0" fontId="3" fillId="5" borderId="3" applyNumberFormat="0">
      <protection locked="0"/>
    </xf>
    <xf numFmtId="0" fontId="3" fillId="5" borderId="3" applyNumberFormat="0">
      <protection locked="0"/>
    </xf>
    <xf numFmtId="0" fontId="3" fillId="5" borderId="3" applyNumberFormat="0">
      <protection locked="0"/>
    </xf>
    <xf numFmtId="0" fontId="3" fillId="5" borderId="3" applyNumberFormat="0">
      <protection locked="0"/>
    </xf>
    <xf numFmtId="0" fontId="3" fillId="5" borderId="3" applyNumberFormat="0">
      <protection locked="0"/>
    </xf>
    <xf numFmtId="0" fontId="3" fillId="5" borderId="3" applyNumberFormat="0">
      <protection locked="0"/>
    </xf>
    <xf numFmtId="0" fontId="3" fillId="5" borderId="3" applyNumberFormat="0">
      <protection locked="0"/>
    </xf>
    <xf numFmtId="0" fontId="3" fillId="5" borderId="3" applyNumberFormat="0">
      <protection locked="0"/>
    </xf>
    <xf numFmtId="0" fontId="3" fillId="5" borderId="3" applyNumberFormat="0">
      <protection locked="0"/>
    </xf>
    <xf numFmtId="0" fontId="3" fillId="5" borderId="2" applyBorder="0">
      <protection locked="0"/>
    </xf>
    <xf numFmtId="0" fontId="3" fillId="5" borderId="2" applyBorder="0">
      <protection locked="0"/>
    </xf>
    <xf numFmtId="0" fontId="3" fillId="5" borderId="3" applyNumberFormat="0">
      <protection locked="0"/>
    </xf>
    <xf numFmtId="0" fontId="3" fillId="5" borderId="3" applyNumberFormat="0">
      <protection locked="0"/>
    </xf>
    <xf numFmtId="0" fontId="3" fillId="5" borderId="3" applyNumberFormat="0">
      <protection locked="0"/>
    </xf>
    <xf numFmtId="0" fontId="3" fillId="5" borderId="3" applyNumberFormat="0">
      <protection locked="0"/>
    </xf>
    <xf numFmtId="0" fontId="3" fillId="5" borderId="2" applyBorder="0">
      <protection locked="0"/>
    </xf>
    <xf numFmtId="0" fontId="3" fillId="5" borderId="2" applyBorder="0">
      <protection locked="0"/>
    </xf>
    <xf numFmtId="0" fontId="3" fillId="5" borderId="2" applyBorder="0">
      <protection locked="0"/>
    </xf>
    <xf numFmtId="0" fontId="3" fillId="5" borderId="2" applyBorder="0">
      <protection locked="0"/>
    </xf>
    <xf numFmtId="0" fontId="4" fillId="0" borderId="0" applyNumberFormat="0" applyFill="0" applyBorder="0" applyProtection="0"/>
    <xf numFmtId="164" fontId="68" fillId="0" borderId="0" applyFont="0" applyFill="0" applyBorder="0" applyProtection="0"/>
    <xf numFmtId="164" fontId="3" fillId="0" borderId="0" applyFont="0" applyFill="0" applyBorder="0" applyProtection="0"/>
    <xf numFmtId="165" fontId="3" fillId="0" borderId="0" applyFont="0" applyFill="0" applyBorder="0" applyProtection="0"/>
    <xf numFmtId="165" fontId="3" fillId="0" borderId="0" applyFont="0" applyFill="0" applyBorder="0" applyProtection="0"/>
    <xf numFmtId="0" fontId="3" fillId="0" borderId="0"/>
    <xf numFmtId="0" fontId="3" fillId="0" borderId="0"/>
    <xf numFmtId="0" fontId="5" fillId="0" borderId="0"/>
    <xf numFmtId="0" fontId="3" fillId="0" borderId="0"/>
    <xf numFmtId="0" fontId="6" fillId="0" borderId="0" applyFont="0" applyBorder="0" applyProtection="0"/>
    <xf numFmtId="0" fontId="7" fillId="0" borderId="0"/>
    <xf numFmtId="0" fontId="7" fillId="0" borderId="0"/>
    <xf numFmtId="0" fontId="7" fillId="0" borderId="0"/>
    <xf numFmtId="0" fontId="6" fillId="0" borderId="0" applyFont="0" applyBorder="0" applyProtection="0"/>
    <xf numFmtId="0" fontId="6" fillId="0" borderId="0" applyFont="0" applyBorder="0" applyProtection="0"/>
    <xf numFmtId="0" fontId="7" fillId="0" borderId="0"/>
    <xf numFmtId="0" fontId="7" fillId="0" borderId="0"/>
    <xf numFmtId="0" fontId="8" fillId="0" borderId="0"/>
    <xf numFmtId="0" fontId="6" fillId="0" borderId="0" applyFont="0" applyBorder="0" applyProtection="0"/>
    <xf numFmtId="0" fontId="3" fillId="6" borderId="4" applyNumberFormat="0" applyFont="0" applyProtection="0"/>
    <xf numFmtId="0" fontId="3" fillId="6" borderId="4" applyNumberFormat="0" applyFont="0" applyProtection="0"/>
    <xf numFmtId="0" fontId="3" fillId="6" borderId="4" applyNumberFormat="0" applyFont="0" applyProtection="0"/>
    <xf numFmtId="0" fontId="3" fillId="6" borderId="4" applyNumberFormat="0" applyFont="0" applyProtection="0"/>
    <xf numFmtId="0" fontId="3" fillId="6" borderId="4" applyNumberFormat="0" applyFont="0" applyProtection="0"/>
    <xf numFmtId="0" fontId="3" fillId="6" borderId="4" applyNumberFormat="0" applyFont="0" applyProtection="0"/>
    <xf numFmtId="0" fontId="3" fillId="6" borderId="4" applyNumberFormat="0" applyFont="0" applyProtection="0"/>
    <xf numFmtId="0" fontId="3" fillId="6" borderId="4" applyNumberFormat="0" applyFont="0" applyProtection="0"/>
    <xf numFmtId="0" fontId="3" fillId="6" borderId="4" applyNumberFormat="0" applyFont="0" applyProtection="0"/>
    <xf numFmtId="0" fontId="3" fillId="6" borderId="4" applyNumberFormat="0" applyFont="0" applyProtection="0"/>
    <xf numFmtId="0" fontId="3" fillId="6" borderId="4" applyNumberFormat="0" applyFont="0" applyProtection="0"/>
    <xf numFmtId="0" fontId="3" fillId="6" borderId="4" applyNumberFormat="0" applyFont="0" applyProtection="0"/>
    <xf numFmtId="0" fontId="3" fillId="6" borderId="4" applyNumberFormat="0" applyFont="0" applyProtection="0"/>
    <xf numFmtId="0" fontId="3" fillId="6" borderId="4" applyNumberFormat="0" applyFont="0" applyProtection="0"/>
    <xf numFmtId="0" fontId="3" fillId="6" borderId="4" applyNumberFormat="0" applyFont="0" applyProtection="0"/>
    <xf numFmtId="0" fontId="3" fillId="6" borderId="4" applyNumberFormat="0" applyFont="0" applyProtection="0"/>
    <xf numFmtId="0" fontId="3" fillId="6" borderId="4" applyNumberFormat="0" applyFont="0" applyProtection="0"/>
    <xf numFmtId="0" fontId="3" fillId="6" borderId="4" applyNumberFormat="0" applyFont="0" applyProtection="0"/>
    <xf numFmtId="0" fontId="3" fillId="6" borderId="4" applyNumberFormat="0" applyFont="0" applyProtection="0"/>
    <xf numFmtId="0" fontId="3" fillId="6" borderId="4" applyNumberFormat="0" applyFont="0" applyProtection="0"/>
    <xf numFmtId="0" fontId="3" fillId="6" borderId="4" applyNumberFormat="0" applyFont="0" applyProtection="0"/>
    <xf numFmtId="0" fontId="3" fillId="6" borderId="4" applyNumberFormat="0" applyFont="0" applyProtection="0"/>
    <xf numFmtId="0" fontId="3" fillId="6" borderId="4" applyNumberFormat="0" applyFont="0" applyProtection="0"/>
    <xf numFmtId="0" fontId="3" fillId="6" borderId="4" applyNumberFormat="0" applyFont="0" applyProtection="0"/>
    <xf numFmtId="0" fontId="3" fillId="6" borderId="4" applyNumberFormat="0" applyFont="0" applyProtection="0"/>
    <xf numFmtId="0" fontId="3" fillId="6" borderId="4" applyNumberFormat="0" applyFont="0" applyProtection="0"/>
    <xf numFmtId="0" fontId="3" fillId="6" borderId="4" applyNumberFormat="0" applyFont="0" applyProtection="0"/>
    <xf numFmtId="0" fontId="3" fillId="6" borderId="4" applyNumberFormat="0" applyFont="0" applyProtection="0"/>
    <xf numFmtId="0" fontId="3" fillId="6" borderId="4" applyNumberFormat="0" applyFont="0" applyProtection="0"/>
    <xf numFmtId="0" fontId="3" fillId="6" borderId="4" applyNumberFormat="0" applyFont="0" applyProtection="0"/>
    <xf numFmtId="0" fontId="3" fillId="6" borderId="4" applyNumberFormat="0" applyFont="0" applyProtection="0"/>
    <xf numFmtId="0" fontId="3" fillId="6" borderId="4" applyNumberFormat="0" applyFont="0" applyProtection="0"/>
    <xf numFmtId="0" fontId="3" fillId="6" borderId="4" applyNumberFormat="0" applyFont="0" applyProtection="0"/>
    <xf numFmtId="0" fontId="3" fillId="6" borderId="4" applyNumberFormat="0" applyFont="0" applyProtection="0"/>
    <xf numFmtId="0" fontId="3" fillId="6" borderId="4" applyNumberFormat="0" applyFont="0" applyProtection="0"/>
    <xf numFmtId="0" fontId="3" fillId="6" borderId="4" applyNumberFormat="0" applyFont="0" applyProtection="0"/>
    <xf numFmtId="0" fontId="3" fillId="6" borderId="4" applyNumberFormat="0" applyFont="0" applyProtection="0"/>
    <xf numFmtId="0" fontId="3" fillId="6" borderId="4" applyNumberFormat="0" applyFont="0" applyProtection="0"/>
    <xf numFmtId="0" fontId="3" fillId="6" borderId="4" applyNumberFormat="0" applyFont="0" applyProtection="0"/>
    <xf numFmtId="0" fontId="3" fillId="6" borderId="4" applyNumberFormat="0" applyFont="0" applyProtection="0"/>
    <xf numFmtId="0" fontId="3" fillId="6" borderId="4" applyNumberFormat="0" applyFont="0" applyProtection="0"/>
    <xf numFmtId="0" fontId="3" fillId="6" borderId="4" applyNumberFormat="0" applyFont="0" applyProtection="0"/>
    <xf numFmtId="0" fontId="3" fillId="6" borderId="4" applyNumberFormat="0" applyFont="0" applyProtection="0"/>
    <xf numFmtId="0" fontId="3" fillId="6" borderId="4" applyNumberFormat="0" applyFont="0" applyProtection="0"/>
    <xf numFmtId="0" fontId="3" fillId="6" borderId="4" applyNumberFormat="0" applyFont="0" applyProtection="0"/>
    <xf numFmtId="0" fontId="3" fillId="6" borderId="4" applyNumberFormat="0" applyFont="0" applyProtection="0"/>
    <xf numFmtId="0" fontId="3" fillId="6" borderId="4" applyNumberFormat="0" applyFont="0" applyProtection="0"/>
    <xf numFmtId="0" fontId="3" fillId="6" borderId="4" applyNumberFormat="0" applyFont="0" applyProtection="0"/>
    <xf numFmtId="0" fontId="3" fillId="6" borderId="4" applyNumberFormat="0" applyFont="0" applyProtection="0"/>
    <xf numFmtId="0" fontId="3" fillId="6" borderId="4" applyNumberFormat="0" applyFont="0" applyProtection="0"/>
    <xf numFmtId="0" fontId="3" fillId="6" borderId="4" applyNumberFormat="0" applyFont="0" applyProtection="0"/>
    <xf numFmtId="0" fontId="3" fillId="6" borderId="4" applyNumberFormat="0" applyFont="0" applyProtection="0"/>
    <xf numFmtId="0" fontId="3" fillId="6" borderId="4" applyNumberFormat="0" applyFont="0" applyProtection="0"/>
    <xf numFmtId="0" fontId="3" fillId="6" borderId="4" applyNumberFormat="0" applyFont="0" applyProtection="0"/>
    <xf numFmtId="0" fontId="3" fillId="6" borderId="4" applyNumberFormat="0" applyFont="0" applyProtection="0"/>
    <xf numFmtId="0" fontId="3" fillId="6" borderId="4" applyNumberFormat="0" applyFont="0" applyProtection="0"/>
    <xf numFmtId="0" fontId="3" fillId="6" borderId="4" applyNumberFormat="0" applyFont="0" applyProtection="0"/>
    <xf numFmtId="0" fontId="3" fillId="6" borderId="4" applyNumberFormat="0" applyFont="0" applyProtection="0"/>
    <xf numFmtId="0" fontId="3" fillId="6" borderId="4" applyNumberFormat="0" applyFont="0" applyProtection="0"/>
    <xf numFmtId="0" fontId="3" fillId="6" borderId="4" applyNumberFormat="0" applyFont="0" applyProtection="0"/>
    <xf numFmtId="0" fontId="3" fillId="6" borderId="4" applyNumberFormat="0" applyFont="0" applyProtection="0"/>
    <xf numFmtId="0" fontId="3" fillId="6" borderId="4" applyNumberFormat="0" applyFont="0" applyProtection="0"/>
    <xf numFmtId="0" fontId="3" fillId="6" borderId="4" applyNumberFormat="0" applyFont="0" applyProtection="0"/>
    <xf numFmtId="0" fontId="3" fillId="6" borderId="4" applyNumberFormat="0" applyFont="0" applyProtection="0"/>
    <xf numFmtId="0" fontId="3" fillId="6" borderId="4" applyNumberFormat="0" applyFont="0" applyProtection="0"/>
    <xf numFmtId="0" fontId="3" fillId="6" borderId="4" applyNumberFormat="0" applyFont="0" applyProtection="0"/>
    <xf numFmtId="0" fontId="3" fillId="6" borderId="4" applyNumberFormat="0" applyFont="0" applyProtection="0"/>
    <xf numFmtId="0" fontId="3" fillId="6" borderId="4" applyNumberFormat="0" applyFont="0" applyProtection="0"/>
    <xf numFmtId="0" fontId="3" fillId="6" borderId="4" applyNumberFormat="0" applyFont="0" applyProtection="0"/>
    <xf numFmtId="0" fontId="3" fillId="6" borderId="4" applyNumberFormat="0" applyFont="0" applyProtection="0"/>
    <xf numFmtId="0" fontId="3" fillId="6" borderId="4" applyNumberFormat="0" applyFont="0" applyProtection="0"/>
    <xf numFmtId="0" fontId="3" fillId="6" borderId="4" applyNumberFormat="0" applyFont="0" applyProtection="0"/>
    <xf numFmtId="0" fontId="3" fillId="6" borderId="4" applyNumberFormat="0" applyFont="0" applyProtection="0"/>
    <xf numFmtId="0" fontId="3" fillId="6" borderId="4" applyNumberFormat="0" applyFont="0" applyProtection="0"/>
    <xf numFmtId="0" fontId="3" fillId="6" borderId="4" applyNumberFormat="0" applyFont="0" applyProtection="0"/>
    <xf numFmtId="0" fontId="3" fillId="6" borderId="4" applyNumberFormat="0" applyFont="0" applyProtection="0"/>
    <xf numFmtId="0" fontId="3" fillId="6" borderId="4" applyNumberFormat="0" applyFont="0" applyProtection="0"/>
    <xf numFmtId="0" fontId="3" fillId="6" borderId="4" applyNumberFormat="0" applyFont="0" applyProtection="0"/>
    <xf numFmtId="0" fontId="3" fillId="6" borderId="4" applyNumberFormat="0" applyFont="0" applyProtection="0"/>
    <xf numFmtId="0" fontId="3" fillId="6" borderId="4" applyNumberFormat="0" applyFont="0" applyProtection="0"/>
    <xf numFmtId="0" fontId="3" fillId="6" borderId="4" applyNumberFormat="0" applyFont="0" applyProtection="0"/>
    <xf numFmtId="0" fontId="3" fillId="6" borderId="4" applyNumberFormat="0" applyFont="0" applyProtection="0"/>
    <xf numFmtId="0" fontId="3" fillId="6" borderId="4" applyNumberFormat="0" applyFont="0" applyProtection="0"/>
    <xf numFmtId="0" fontId="3" fillId="6" borderId="4" applyNumberFormat="0" applyFont="0" applyProtection="0"/>
    <xf numFmtId="0" fontId="3" fillId="6" borderId="4" applyNumberFormat="0" applyFont="0" applyProtection="0"/>
    <xf numFmtId="0" fontId="3" fillId="6" borderId="4" applyNumberFormat="0" applyFont="0" applyProtection="0"/>
    <xf numFmtId="0" fontId="3" fillId="6" borderId="4" applyNumberFormat="0" applyFont="0" applyProtection="0"/>
    <xf numFmtId="0" fontId="3" fillId="6" borderId="4" applyNumberFormat="0" applyFont="0" applyProtection="0"/>
    <xf numFmtId="0" fontId="3" fillId="6" borderId="4" applyNumberFormat="0" applyFont="0" applyProtection="0"/>
    <xf numFmtId="0" fontId="3" fillId="6" borderId="4" applyNumberFormat="0" applyFont="0" applyProtection="0"/>
    <xf numFmtId="0" fontId="3" fillId="6" borderId="4" applyNumberFormat="0" applyFont="0" applyProtection="0"/>
    <xf numFmtId="0" fontId="3" fillId="6" borderId="4" applyNumberFormat="0" applyFont="0" applyProtection="0"/>
    <xf numFmtId="0" fontId="3" fillId="6" borderId="4" applyNumberFormat="0" applyFont="0" applyProtection="0"/>
    <xf numFmtId="0" fontId="3" fillId="6" borderId="4" applyNumberFormat="0" applyFont="0" applyProtection="0"/>
    <xf numFmtId="0" fontId="3" fillId="6" borderId="4" applyNumberFormat="0" applyFont="0" applyProtection="0"/>
    <xf numFmtId="0" fontId="3" fillId="6" borderId="4" applyNumberFormat="0" applyFont="0" applyProtection="0"/>
    <xf numFmtId="0" fontId="3" fillId="6" borderId="4" applyNumberFormat="0" applyFont="0" applyProtection="0"/>
    <xf numFmtId="0" fontId="3" fillId="6" borderId="4" applyNumberFormat="0" applyFont="0" applyProtection="0"/>
    <xf numFmtId="0" fontId="3" fillId="6" borderId="4" applyNumberFormat="0" applyFont="0" applyProtection="0"/>
    <xf numFmtId="0" fontId="3" fillId="6" borderId="4" applyNumberFormat="0" applyFont="0" applyProtection="0"/>
    <xf numFmtId="0" fontId="9" fillId="6" borderId="5" applyNumberFormat="0" applyFont="0" applyProtection="0"/>
    <xf numFmtId="0" fontId="3" fillId="6" borderId="4" applyNumberFormat="0" applyFont="0" applyProtection="0"/>
    <xf numFmtId="0" fontId="3" fillId="6" borderId="4" applyNumberFormat="0" applyFont="0" applyProtection="0"/>
    <xf numFmtId="0" fontId="3" fillId="6" borderId="4" applyNumberFormat="0" applyFont="0" applyProtection="0"/>
    <xf numFmtId="0" fontId="3" fillId="6" borderId="4" applyNumberFormat="0" applyFont="0" applyProtection="0"/>
    <xf numFmtId="0" fontId="3" fillId="6" borderId="4" applyNumberFormat="0" applyFont="0" applyProtection="0"/>
    <xf numFmtId="0" fontId="3" fillId="6" borderId="4" applyNumberFormat="0" applyFont="0" applyProtection="0"/>
    <xf numFmtId="9" fontId="68" fillId="0" borderId="0" applyFont="0" applyFill="0" applyBorder="0" applyProtection="0"/>
  </cellStyleXfs>
  <cellXfs count="7385">
    <xf numFmtId="0" fontId="0" fillId="0" borderId="0" xfId="0"/>
    <xf numFmtId="0" fontId="10" fillId="0" borderId="0" xfId="0" applyFont="1"/>
    <xf numFmtId="0" fontId="10" fillId="0" borderId="0" xfId="0" applyFont="1" applyAlignment="1">
      <alignment horizontal="left"/>
    </xf>
    <xf numFmtId="0" fontId="10" fillId="7" borderId="0" xfId="0" applyFont="1" applyFill="1"/>
    <xf numFmtId="0" fontId="13" fillId="0" borderId="9" xfId="0" applyFont="1" applyBorder="1" applyAlignment="1">
      <alignment horizontal="left" vertical="center"/>
    </xf>
    <xf numFmtId="0" fontId="13" fillId="6" borderId="2" xfId="0" applyFont="1" applyFill="1" applyBorder="1" applyAlignment="1" applyProtection="1">
      <alignment horizontal="center"/>
      <protection locked="0"/>
    </xf>
    <xf numFmtId="0" fontId="11" fillId="9" borderId="10" xfId="36" applyFont="1" applyFill="1" applyBorder="1" applyAlignment="1" applyProtection="1">
      <alignment horizontal="center"/>
      <protection locked="0"/>
    </xf>
    <xf numFmtId="0" fontId="11" fillId="9" borderId="11" xfId="36" applyFont="1" applyFill="1" applyBorder="1" applyAlignment="1" applyProtection="1">
      <alignment horizontal="center"/>
      <protection locked="0"/>
    </xf>
    <xf numFmtId="0" fontId="11" fillId="9" borderId="12" xfId="36" applyFont="1" applyFill="1" applyBorder="1" applyAlignment="1" applyProtection="1">
      <alignment horizontal="center"/>
      <protection locked="0"/>
    </xf>
    <xf numFmtId="0" fontId="10" fillId="7" borderId="6" xfId="0" applyFont="1" applyFill="1" applyBorder="1"/>
    <xf numFmtId="0" fontId="14" fillId="0" borderId="0" xfId="0" applyFont="1" applyAlignment="1">
      <alignment vertical="center"/>
    </xf>
    <xf numFmtId="0" fontId="15" fillId="0" borderId="0" xfId="0" applyFont="1" applyAlignment="1">
      <alignment vertical="center"/>
    </xf>
    <xf numFmtId="0" fontId="15" fillId="10" borderId="0" xfId="0" applyFont="1" applyFill="1" applyAlignment="1">
      <alignment vertical="center"/>
    </xf>
    <xf numFmtId="0" fontId="13" fillId="0" borderId="8" xfId="0" applyFont="1" applyBorder="1" applyAlignment="1">
      <alignment horizontal="left" vertical="center"/>
    </xf>
    <xf numFmtId="0" fontId="13" fillId="6" borderId="2" xfId="4" applyFont="1" applyFill="1" applyBorder="1" applyAlignment="1">
      <alignment horizontal="center"/>
      <protection locked="0"/>
    </xf>
    <xf numFmtId="0" fontId="14" fillId="0" borderId="13" xfId="0" applyFont="1" applyBorder="1" applyAlignment="1">
      <alignment vertical="center"/>
    </xf>
    <xf numFmtId="0" fontId="13" fillId="0" borderId="0" xfId="0" applyFont="1" applyAlignment="1">
      <alignment horizontal="left" vertical="center"/>
    </xf>
    <xf numFmtId="0" fontId="13" fillId="0" borderId="0" xfId="4" applyFont="1" applyFill="1" applyBorder="1" applyAlignment="1">
      <alignment horizontal="center"/>
      <protection locked="0"/>
    </xf>
    <xf numFmtId="0" fontId="11" fillId="0" borderId="0" xfId="36" applyFont="1" applyAlignment="1" applyProtection="1">
      <alignment horizontal="center"/>
      <protection locked="0"/>
    </xf>
    <xf numFmtId="0" fontId="13" fillId="0" borderId="14" xfId="0" applyFont="1" applyBorder="1" applyAlignment="1">
      <alignment horizontal="left" vertical="center"/>
    </xf>
    <xf numFmtId="0" fontId="13" fillId="0" borderId="14" xfId="4" applyFont="1" applyFill="1" applyBorder="1" applyAlignment="1">
      <alignment horizontal="center"/>
      <protection locked="0"/>
    </xf>
    <xf numFmtId="0" fontId="11" fillId="0" borderId="14" xfId="36" applyFont="1" applyBorder="1" applyAlignment="1" applyProtection="1">
      <alignment horizontal="center"/>
      <protection locked="0"/>
    </xf>
    <xf numFmtId="0" fontId="13" fillId="6" borderId="15" xfId="4" applyFont="1" applyFill="1" applyBorder="1" applyAlignment="1">
      <alignment horizontal="center"/>
      <protection locked="0"/>
    </xf>
    <xf numFmtId="0" fontId="11" fillId="9" borderId="16" xfId="0" applyFont="1" applyFill="1" applyBorder="1" applyAlignment="1" applyProtection="1">
      <alignment horizontal="center"/>
      <protection hidden="1"/>
    </xf>
    <xf numFmtId="0" fontId="11" fillId="9" borderId="17" xfId="0" applyFont="1" applyFill="1" applyBorder="1" applyAlignment="1" applyProtection="1">
      <alignment horizontal="center"/>
      <protection hidden="1"/>
    </xf>
    <xf numFmtId="0" fontId="11" fillId="7" borderId="0" xfId="0" applyFont="1" applyFill="1" applyAlignment="1">
      <alignment horizontal="center"/>
    </xf>
    <xf numFmtId="0" fontId="14" fillId="0" borderId="0" xfId="0" applyFont="1" applyAlignment="1">
      <alignment horizontal="left" vertical="center"/>
    </xf>
    <xf numFmtId="0" fontId="15" fillId="0" borderId="0" xfId="0" applyFont="1" applyAlignment="1">
      <alignment horizontal="left" vertical="center"/>
    </xf>
    <xf numFmtId="0" fontId="10" fillId="0" borderId="0" xfId="0" applyFont="1" applyAlignment="1">
      <alignment horizontal="left" vertical="center"/>
    </xf>
    <xf numFmtId="0" fontId="16" fillId="0" borderId="2" xfId="0" applyFont="1" applyBorder="1" applyAlignment="1">
      <alignment horizontal="center"/>
    </xf>
    <xf numFmtId="0" fontId="13" fillId="7" borderId="9" xfId="0" applyFont="1" applyFill="1" applyBorder="1" applyAlignment="1">
      <alignment horizontal="left" vertical="center"/>
    </xf>
    <xf numFmtId="0" fontId="13" fillId="7" borderId="9" xfId="0" applyFont="1" applyFill="1" applyBorder="1" applyAlignment="1">
      <alignment horizontal="centerContinuous" vertical="center"/>
    </xf>
    <xf numFmtId="0" fontId="17" fillId="7" borderId="0" xfId="0" applyFont="1" applyFill="1" applyAlignment="1">
      <alignment horizontal="left"/>
    </xf>
    <xf numFmtId="0" fontId="17" fillId="7" borderId="0" xfId="0" applyFont="1" applyFill="1"/>
    <xf numFmtId="0" fontId="13" fillId="0" borderId="2" xfId="0" applyFont="1" applyBorder="1" applyAlignment="1">
      <alignment wrapText="1"/>
    </xf>
    <xf numFmtId="0" fontId="17" fillId="6" borderId="2" xfId="0" applyFont="1" applyFill="1" applyBorder="1" applyAlignment="1" applyProtection="1">
      <alignment horizontal="center"/>
      <protection locked="0"/>
    </xf>
    <xf numFmtId="1" fontId="10" fillId="7" borderId="0" xfId="0" applyNumberFormat="1" applyFont="1" applyFill="1" applyAlignment="1">
      <alignment horizontal="right"/>
    </xf>
    <xf numFmtId="49" fontId="10" fillId="7" borderId="0" xfId="0" applyNumberFormat="1" applyFont="1" applyFill="1" applyAlignment="1">
      <alignment horizontal="center"/>
    </xf>
    <xf numFmtId="0" fontId="10" fillId="9" borderId="0" xfId="0" applyFont="1" applyFill="1"/>
    <xf numFmtId="0" fontId="13" fillId="0" borderId="15" xfId="0" applyFont="1" applyBorder="1"/>
    <xf numFmtId="0" fontId="17" fillId="7" borderId="9" xfId="0" applyFont="1" applyFill="1" applyBorder="1"/>
    <xf numFmtId="0" fontId="10" fillId="7" borderId="0" xfId="0" applyFont="1" applyFill="1" applyAlignment="1">
      <alignment horizontal="left"/>
    </xf>
    <xf numFmtId="0" fontId="20" fillId="11" borderId="0" xfId="0" applyFont="1" applyFill="1" applyAlignment="1">
      <alignment vertical="center" wrapText="1"/>
    </xf>
    <xf numFmtId="0" fontId="10" fillId="7" borderId="0" xfId="0" applyFont="1" applyFill="1" applyAlignment="1">
      <alignment horizontal="center"/>
    </xf>
    <xf numFmtId="0" fontId="21" fillId="7" borderId="0" xfId="0" applyFont="1" applyFill="1" applyAlignment="1">
      <alignment vertical="center" wrapText="1"/>
    </xf>
    <xf numFmtId="0" fontId="10" fillId="7" borderId="0" xfId="0" applyFont="1" applyFill="1" applyAlignment="1" applyProtection="1">
      <alignment horizontal="center"/>
      <protection locked="0"/>
    </xf>
    <xf numFmtId="49" fontId="4" fillId="12" borderId="0" xfId="27" applyNumberFormat="1" applyFill="1"/>
    <xf numFmtId="0" fontId="10" fillId="13" borderId="0" xfId="0" applyFont="1" applyFill="1" applyAlignment="1">
      <alignment vertical="center" wrapText="1"/>
    </xf>
    <xf numFmtId="0" fontId="22" fillId="0" borderId="0" xfId="0" applyFont="1"/>
    <xf numFmtId="1" fontId="15" fillId="7" borderId="0" xfId="0" applyNumberFormat="1" applyFont="1" applyFill="1"/>
    <xf numFmtId="1" fontId="23" fillId="7" borderId="0" xfId="0" applyNumberFormat="1" applyFont="1" applyFill="1"/>
    <xf numFmtId="1" fontId="16" fillId="7" borderId="0" xfId="0" applyNumberFormat="1" applyFont="1" applyFill="1" applyAlignment="1">
      <alignment vertical="center" wrapText="1"/>
    </xf>
    <xf numFmtId="1" fontId="17" fillId="7" borderId="0" xfId="0" applyNumberFormat="1" applyFont="1" applyFill="1"/>
    <xf numFmtId="1" fontId="23" fillId="11" borderId="0" xfId="0" applyNumberFormat="1" applyFont="1" applyFill="1"/>
    <xf numFmtId="1" fontId="23" fillId="0" borderId="0" xfId="0" applyNumberFormat="1" applyFont="1" applyProtection="1">
      <protection locked="0"/>
    </xf>
    <xf numFmtId="1" fontId="12" fillId="7" borderId="0" xfId="0" applyNumberFormat="1" applyFont="1" applyFill="1" applyAlignment="1">
      <alignment horizontal="left"/>
    </xf>
    <xf numFmtId="1" fontId="10" fillId="0" borderId="18" xfId="0" applyNumberFormat="1" applyFont="1" applyBorder="1" applyAlignment="1">
      <alignment horizontal="center" vertical="center"/>
    </xf>
    <xf numFmtId="1" fontId="10" fillId="0" borderId="18" xfId="0" applyNumberFormat="1" applyFont="1" applyBorder="1" applyAlignment="1">
      <alignment horizontal="center" vertical="center" wrapText="1"/>
    </xf>
    <xf numFmtId="1" fontId="10" fillId="0" borderId="6" xfId="0" applyNumberFormat="1" applyFont="1" applyBorder="1" applyAlignment="1">
      <alignment horizontal="center" vertical="center" wrapText="1"/>
    </xf>
    <xf numFmtId="1" fontId="10" fillId="0" borderId="8" xfId="0" applyNumberFormat="1" applyFont="1" applyBorder="1" applyAlignment="1">
      <alignment horizontal="center" vertical="center" wrapText="1"/>
    </xf>
    <xf numFmtId="1" fontId="10" fillId="0" borderId="20" xfId="0" applyNumberFormat="1" applyFont="1" applyBorder="1" applyAlignment="1">
      <alignment horizontal="center" vertical="center" wrapText="1"/>
    </xf>
    <xf numFmtId="1" fontId="10" fillId="0" borderId="22" xfId="0" applyNumberFormat="1" applyFont="1" applyBorder="1" applyAlignment="1">
      <alignment horizontal="center" vertical="center" wrapText="1"/>
    </xf>
    <xf numFmtId="1" fontId="10" fillId="0" borderId="27" xfId="0" applyNumberFormat="1" applyFont="1" applyBorder="1" applyAlignment="1">
      <alignment horizontal="center" vertical="center" wrapText="1"/>
    </xf>
    <xf numFmtId="1" fontId="10" fillId="0" borderId="9" xfId="0" applyNumberFormat="1" applyFont="1" applyBorder="1" applyAlignment="1">
      <alignment horizontal="center" vertical="center" wrapText="1"/>
    </xf>
    <xf numFmtId="1" fontId="10" fillId="0" borderId="15" xfId="0" applyNumberFormat="1" applyFont="1" applyBorder="1" applyAlignment="1">
      <alignment horizontal="center" vertical="center"/>
    </xf>
    <xf numFmtId="1" fontId="10" fillId="0" borderId="15" xfId="0" applyNumberFormat="1" applyFont="1" applyBorder="1" applyAlignment="1">
      <alignment horizontal="center" vertical="center" wrapText="1"/>
    </xf>
    <xf numFmtId="1" fontId="10" fillId="11" borderId="10" xfId="0" applyNumberFormat="1" applyFont="1" applyFill="1" applyBorder="1" applyAlignment="1">
      <alignment horizontal="center" vertical="center" wrapText="1"/>
    </xf>
    <xf numFmtId="1" fontId="10" fillId="11" borderId="11" xfId="0" applyNumberFormat="1" applyFont="1" applyFill="1" applyBorder="1" applyAlignment="1">
      <alignment horizontal="center" vertical="center" wrapText="1"/>
    </xf>
    <xf numFmtId="1" fontId="10" fillId="0" borderId="11" xfId="0" applyNumberFormat="1" applyFont="1" applyBorder="1" applyAlignment="1">
      <alignment horizontal="center" vertical="center" wrapText="1"/>
    </xf>
    <xf numFmtId="1" fontId="10" fillId="0" borderId="11" xfId="0" applyNumberFormat="1" applyFont="1" applyBorder="1" applyAlignment="1">
      <alignment horizontal="center" vertical="center"/>
    </xf>
    <xf numFmtId="1" fontId="10" fillId="0" borderId="28" xfId="0" applyNumberFormat="1" applyFont="1" applyBorder="1" applyAlignment="1">
      <alignment horizontal="center" vertical="center" wrapText="1"/>
    </xf>
    <xf numFmtId="1" fontId="10" fillId="0" borderId="29" xfId="0" applyNumberFormat="1" applyFont="1" applyBorder="1" applyAlignment="1">
      <alignment horizontal="center" vertical="center"/>
    </xf>
    <xf numFmtId="1" fontId="10" fillId="0" borderId="28" xfId="0" applyNumberFormat="1" applyFont="1" applyBorder="1" applyAlignment="1">
      <alignment horizontal="center" vertical="center"/>
    </xf>
    <xf numFmtId="1" fontId="10" fillId="0" borderId="31" xfId="0" applyNumberFormat="1" applyFont="1" applyBorder="1" applyAlignment="1">
      <alignment horizontal="center" vertical="center" wrapText="1"/>
    </xf>
    <xf numFmtId="1" fontId="10" fillId="0" borderId="36" xfId="0" applyNumberFormat="1" applyFont="1" applyBorder="1" applyAlignment="1">
      <alignment horizontal="center" vertical="center" wrapText="1"/>
    </xf>
    <xf numFmtId="1" fontId="10" fillId="0" borderId="10" xfId="0" applyNumberFormat="1" applyFont="1" applyBorder="1" applyAlignment="1">
      <alignment horizontal="center" vertical="center" wrapText="1"/>
    </xf>
    <xf numFmtId="1" fontId="10" fillId="0" borderId="7" xfId="0" applyNumberFormat="1" applyFont="1" applyBorder="1" applyAlignment="1">
      <alignment horizontal="center" vertical="center" wrapText="1"/>
    </xf>
    <xf numFmtId="1" fontId="10" fillId="0" borderId="18" xfId="0" applyNumberFormat="1" applyFont="1" applyBorder="1" applyAlignment="1">
      <alignment horizontal="left" vertical="center" wrapText="1"/>
    </xf>
    <xf numFmtId="1" fontId="10" fillId="0" borderId="37" xfId="0" applyNumberFormat="1" applyFont="1" applyBorder="1"/>
    <xf numFmtId="1" fontId="10" fillId="7" borderId="37" xfId="0" applyNumberFormat="1" applyFont="1" applyFill="1" applyBorder="1"/>
    <xf numFmtId="1" fontId="10" fillId="14" borderId="38" xfId="0" applyNumberFormat="1" applyFont="1" applyFill="1" applyBorder="1" applyAlignment="1">
      <alignment horizontal="right"/>
    </xf>
    <xf numFmtId="1" fontId="10" fillId="14" borderId="39" xfId="0" applyNumberFormat="1" applyFont="1" applyFill="1" applyBorder="1" applyAlignment="1">
      <alignment horizontal="right"/>
    </xf>
    <xf numFmtId="1" fontId="10" fillId="6" borderId="40" xfId="0" applyNumberFormat="1" applyFont="1" applyFill="1" applyBorder="1" applyAlignment="1" applyProtection="1">
      <alignment horizontal="right"/>
      <protection locked="0"/>
    </xf>
    <xf numFmtId="1" fontId="10" fillId="14" borderId="40" xfId="0" applyNumberFormat="1" applyFont="1" applyFill="1" applyBorder="1" applyAlignment="1">
      <alignment horizontal="right"/>
    </xf>
    <xf numFmtId="1" fontId="10" fillId="14" borderId="41" xfId="0" applyNumberFormat="1" applyFont="1" applyFill="1" applyBorder="1" applyAlignment="1">
      <alignment horizontal="right"/>
    </xf>
    <xf numFmtId="1" fontId="10" fillId="14" borderId="42" xfId="0" applyNumberFormat="1" applyFont="1" applyFill="1" applyBorder="1" applyAlignment="1">
      <alignment horizontal="right"/>
    </xf>
    <xf numFmtId="1" fontId="10" fillId="6" borderId="39" xfId="0" applyNumberFormat="1" applyFont="1" applyFill="1" applyBorder="1" applyAlignment="1" applyProtection="1">
      <alignment horizontal="right"/>
      <protection locked="0"/>
    </xf>
    <xf numFmtId="1" fontId="10" fillId="6" borderId="43" xfId="0" applyNumberFormat="1" applyFont="1" applyFill="1" applyBorder="1" applyAlignment="1" applyProtection="1">
      <alignment horizontal="right"/>
      <protection locked="0"/>
    </xf>
    <xf numFmtId="1" fontId="10" fillId="6" borderId="44" xfId="0" applyNumberFormat="1" applyFont="1" applyFill="1" applyBorder="1" applyAlignment="1" applyProtection="1">
      <alignment horizontal="right"/>
      <protection locked="0"/>
    </xf>
    <xf numFmtId="1" fontId="10" fillId="6" borderId="45" xfId="0" applyNumberFormat="1" applyFont="1" applyFill="1" applyBorder="1" applyAlignment="1" applyProtection="1">
      <alignment horizontal="right"/>
      <protection locked="0"/>
    </xf>
    <xf numFmtId="1" fontId="10" fillId="6" borderId="46" xfId="0" applyNumberFormat="1" applyFont="1" applyFill="1" applyBorder="1" applyAlignment="1" applyProtection="1">
      <alignment horizontal="right"/>
      <protection locked="0"/>
    </xf>
    <xf numFmtId="1" fontId="10" fillId="6" borderId="47" xfId="0" applyNumberFormat="1" applyFont="1" applyFill="1" applyBorder="1" applyAlignment="1" applyProtection="1">
      <alignment horizontal="right"/>
      <protection locked="0"/>
    </xf>
    <xf numFmtId="1" fontId="10" fillId="6" borderId="48" xfId="0" applyNumberFormat="1" applyFont="1" applyFill="1" applyBorder="1" applyAlignment="1" applyProtection="1">
      <alignment horizontal="right"/>
      <protection locked="0"/>
    </xf>
    <xf numFmtId="1" fontId="10" fillId="6" borderId="37" xfId="0" applyNumberFormat="1" applyFont="1" applyFill="1" applyBorder="1" applyAlignment="1" applyProtection="1">
      <alignment horizontal="right"/>
      <protection locked="0"/>
    </xf>
    <xf numFmtId="1" fontId="10" fillId="6" borderId="49" xfId="0" applyNumberFormat="1" applyFont="1" applyFill="1" applyBorder="1" applyAlignment="1" applyProtection="1">
      <alignment horizontal="right"/>
      <protection locked="0"/>
    </xf>
    <xf numFmtId="1" fontId="10" fillId="6" borderId="38" xfId="0" applyNumberFormat="1" applyFont="1" applyFill="1" applyBorder="1" applyAlignment="1" applyProtection="1">
      <alignment horizontal="right"/>
      <protection locked="0"/>
    </xf>
    <xf numFmtId="1" fontId="10" fillId="6" borderId="41" xfId="0" applyNumberFormat="1" applyFont="1" applyFill="1" applyBorder="1" applyAlignment="1" applyProtection="1">
      <alignment horizontal="right"/>
      <protection locked="0"/>
    </xf>
    <xf numFmtId="1" fontId="10" fillId="6" borderId="50" xfId="0" applyNumberFormat="1" applyFont="1" applyFill="1" applyBorder="1" applyAlignment="1" applyProtection="1">
      <alignment horizontal="right"/>
      <protection locked="0"/>
    </xf>
    <xf numFmtId="1" fontId="10" fillId="15" borderId="19" xfId="0" applyNumberFormat="1" applyFont="1" applyFill="1" applyBorder="1" applyAlignment="1">
      <alignment horizontal="right"/>
    </xf>
    <xf numFmtId="1" fontId="10" fillId="11" borderId="0" xfId="0" applyNumberFormat="1" applyFont="1" applyFill="1" applyAlignment="1">
      <alignment vertical="center"/>
    </xf>
    <xf numFmtId="1" fontId="22" fillId="16" borderId="0" xfId="0" applyNumberFormat="1" applyFont="1" applyFill="1"/>
    <xf numFmtId="1" fontId="22" fillId="14" borderId="0" xfId="0" applyNumberFormat="1" applyFont="1" applyFill="1"/>
    <xf numFmtId="0" fontId="22" fillId="10" borderId="0" xfId="0" applyFont="1" applyFill="1"/>
    <xf numFmtId="0" fontId="22" fillId="14" borderId="0" xfId="0" applyFont="1" applyFill="1"/>
    <xf numFmtId="0" fontId="22" fillId="17" borderId="0" xfId="0" applyFont="1" applyFill="1"/>
    <xf numFmtId="1" fontId="10" fillId="0" borderId="15" xfId="0" applyNumberFormat="1" applyFont="1" applyBorder="1" applyAlignment="1">
      <alignment horizontal="left" vertical="center"/>
    </xf>
    <xf numFmtId="1" fontId="10" fillId="0" borderId="51" xfId="0" applyNumberFormat="1" applyFont="1" applyBorder="1"/>
    <xf numFmtId="1" fontId="10" fillId="7" borderId="15" xfId="0" applyNumberFormat="1" applyFont="1" applyFill="1" applyBorder="1"/>
    <xf numFmtId="1" fontId="10" fillId="14" borderId="52" xfId="0" applyNumberFormat="1" applyFont="1" applyFill="1" applyBorder="1" applyAlignment="1">
      <alignment horizontal="right"/>
    </xf>
    <xf numFmtId="1" fontId="10" fillId="14" borderId="53" xfId="0" applyNumberFormat="1" applyFont="1" applyFill="1" applyBorder="1" applyAlignment="1">
      <alignment horizontal="right"/>
    </xf>
    <xf numFmtId="1" fontId="10" fillId="6" borderId="54" xfId="0" applyNumberFormat="1" applyFont="1" applyFill="1" applyBorder="1" applyAlignment="1" applyProtection="1">
      <alignment horizontal="right"/>
      <protection locked="0"/>
    </xf>
    <xf numFmtId="1" fontId="10" fillId="14" borderId="54" xfId="0" applyNumberFormat="1" applyFont="1" applyFill="1" applyBorder="1" applyAlignment="1">
      <alignment horizontal="right"/>
    </xf>
    <xf numFmtId="1" fontId="10" fillId="14" borderId="55" xfId="0" applyNumberFormat="1" applyFont="1" applyFill="1" applyBorder="1" applyAlignment="1">
      <alignment horizontal="right"/>
    </xf>
    <xf numFmtId="1" fontId="10" fillId="6" borderId="53" xfId="0" applyNumberFormat="1" applyFont="1" applyFill="1" applyBorder="1" applyAlignment="1" applyProtection="1">
      <alignment horizontal="right"/>
      <protection locked="0"/>
    </xf>
    <xf numFmtId="1" fontId="10" fillId="6" borderId="56" xfId="0" applyNumberFormat="1" applyFont="1" applyFill="1" applyBorder="1" applyAlignment="1" applyProtection="1">
      <alignment horizontal="right"/>
      <protection locked="0"/>
    </xf>
    <xf numFmtId="1" fontId="10" fillId="6" borderId="57" xfId="0" applyNumberFormat="1" applyFont="1" applyFill="1" applyBorder="1" applyAlignment="1" applyProtection="1">
      <alignment horizontal="right"/>
      <protection locked="0"/>
    </xf>
    <xf numFmtId="1" fontId="10" fillId="6" borderId="58" xfId="0" applyNumberFormat="1" applyFont="1" applyFill="1" applyBorder="1" applyAlignment="1" applyProtection="1">
      <alignment horizontal="right"/>
      <protection locked="0"/>
    </xf>
    <xf numFmtId="1" fontId="10" fillId="6" borderId="59" xfId="0" applyNumberFormat="1" applyFont="1" applyFill="1" applyBorder="1" applyAlignment="1" applyProtection="1">
      <alignment horizontal="right"/>
      <protection locked="0"/>
    </xf>
    <xf numFmtId="1" fontId="10" fillId="6" borderId="60" xfId="0" applyNumberFormat="1" applyFont="1" applyFill="1" applyBorder="1" applyAlignment="1" applyProtection="1">
      <alignment horizontal="right"/>
      <protection locked="0"/>
    </xf>
    <xf numFmtId="1" fontId="10" fillId="6" borderId="61" xfId="0" applyNumberFormat="1" applyFont="1" applyFill="1" applyBorder="1" applyAlignment="1" applyProtection="1">
      <alignment horizontal="right"/>
      <protection locked="0"/>
    </xf>
    <xf numFmtId="1" fontId="10" fillId="6" borderId="51" xfId="0" applyNumberFormat="1" applyFont="1" applyFill="1" applyBorder="1" applyAlignment="1" applyProtection="1">
      <alignment horizontal="right"/>
      <protection locked="0"/>
    </xf>
    <xf numFmtId="1" fontId="10" fillId="6" borderId="62" xfId="0" applyNumberFormat="1" applyFont="1" applyFill="1" applyBorder="1" applyAlignment="1" applyProtection="1">
      <alignment horizontal="right"/>
      <protection locked="0"/>
    </xf>
    <xf numFmtId="1" fontId="10" fillId="6" borderId="52" xfId="0" applyNumberFormat="1" applyFont="1" applyFill="1" applyBorder="1" applyAlignment="1" applyProtection="1">
      <alignment horizontal="right"/>
      <protection locked="0"/>
    </xf>
    <xf numFmtId="1" fontId="10" fillId="6" borderId="31" xfId="0" applyNumberFormat="1" applyFont="1" applyFill="1" applyBorder="1" applyAlignment="1" applyProtection="1">
      <alignment horizontal="right"/>
      <protection locked="0"/>
    </xf>
    <xf numFmtId="1" fontId="10" fillId="15" borderId="51" xfId="0" applyNumberFormat="1" applyFont="1" applyFill="1" applyBorder="1" applyAlignment="1">
      <alignment horizontal="right"/>
    </xf>
    <xf numFmtId="1" fontId="10" fillId="7" borderId="63" xfId="0" applyNumberFormat="1" applyFont="1" applyFill="1" applyBorder="1"/>
    <xf numFmtId="1" fontId="10" fillId="14" borderId="64" xfId="0" applyNumberFormat="1" applyFont="1" applyFill="1" applyBorder="1" applyAlignment="1">
      <alignment horizontal="right"/>
    </xf>
    <xf numFmtId="1" fontId="10" fillId="14" borderId="65" xfId="0" applyNumberFormat="1" applyFont="1" applyFill="1" applyBorder="1" applyAlignment="1">
      <alignment horizontal="right"/>
    </xf>
    <xf numFmtId="1" fontId="10" fillId="14" borderId="66" xfId="0" applyNumberFormat="1" applyFont="1" applyFill="1" applyBorder="1" applyAlignment="1">
      <alignment horizontal="right"/>
    </xf>
    <xf numFmtId="1" fontId="10" fillId="6" borderId="67" xfId="0" applyNumberFormat="1" applyFont="1" applyFill="1" applyBorder="1" applyAlignment="1" applyProtection="1">
      <alignment horizontal="right"/>
      <protection locked="0"/>
    </xf>
    <xf numFmtId="1" fontId="10" fillId="15" borderId="68" xfId="0" applyNumberFormat="1" applyFont="1" applyFill="1" applyBorder="1" applyAlignment="1">
      <alignment horizontal="right"/>
    </xf>
    <xf numFmtId="1" fontId="10" fillId="6" borderId="0" xfId="0" applyNumberFormat="1" applyFont="1" applyFill="1" applyAlignment="1" applyProtection="1">
      <alignment horizontal="right"/>
      <protection locked="0"/>
    </xf>
    <xf numFmtId="1" fontId="10" fillId="6" borderId="19" xfId="0" applyNumberFormat="1" applyFont="1" applyFill="1" applyBorder="1" applyAlignment="1" applyProtection="1">
      <alignment horizontal="right"/>
      <protection locked="0"/>
    </xf>
    <xf numFmtId="1" fontId="10" fillId="6" borderId="69" xfId="0" applyNumberFormat="1" applyFont="1" applyFill="1" applyBorder="1" applyAlignment="1" applyProtection="1">
      <alignment horizontal="right"/>
      <protection locked="0"/>
    </xf>
    <xf numFmtId="1" fontId="10" fillId="18" borderId="70" xfId="0" applyNumberFormat="1" applyFont="1" applyFill="1" applyBorder="1" applyAlignment="1">
      <alignment horizontal="right"/>
    </xf>
    <xf numFmtId="1" fontId="10" fillId="0" borderId="19" xfId="0" applyNumberFormat="1" applyFont="1" applyBorder="1" applyAlignment="1">
      <alignment horizontal="left" vertical="center" wrapText="1"/>
    </xf>
    <xf numFmtId="1" fontId="10" fillId="7" borderId="19" xfId="0" applyNumberFormat="1" applyFont="1" applyFill="1" applyBorder="1"/>
    <xf numFmtId="1" fontId="10" fillId="14" borderId="71" xfId="0" applyNumberFormat="1" applyFont="1" applyFill="1" applyBorder="1" applyAlignment="1">
      <alignment horizontal="right"/>
    </xf>
    <xf numFmtId="1" fontId="10" fillId="14" borderId="72" xfId="0" applyNumberFormat="1" applyFont="1" applyFill="1" applyBorder="1" applyAlignment="1">
      <alignment horizontal="right"/>
    </xf>
    <xf numFmtId="1" fontId="10" fillId="6" borderId="70" xfId="0" applyNumberFormat="1" applyFont="1" applyFill="1" applyBorder="1" applyAlignment="1" applyProtection="1">
      <alignment horizontal="right"/>
      <protection locked="0"/>
    </xf>
    <xf numFmtId="1" fontId="10" fillId="14" borderId="31" xfId="0" applyNumberFormat="1" applyFont="1" applyFill="1" applyBorder="1" applyAlignment="1">
      <alignment horizontal="right"/>
    </xf>
    <xf numFmtId="1" fontId="10" fillId="14" borderId="73" xfId="0" applyNumberFormat="1" applyFont="1" applyFill="1" applyBorder="1" applyAlignment="1">
      <alignment horizontal="right"/>
    </xf>
    <xf numFmtId="1" fontId="10" fillId="14" borderId="74" xfId="0" applyNumberFormat="1" applyFont="1" applyFill="1" applyBorder="1" applyAlignment="1">
      <alignment horizontal="right"/>
    </xf>
    <xf numFmtId="1" fontId="10" fillId="15" borderId="58" xfId="0" applyNumberFormat="1" applyFont="1" applyFill="1" applyBorder="1" applyAlignment="1">
      <alignment horizontal="right"/>
    </xf>
    <xf numFmtId="1" fontId="10" fillId="18" borderId="54" xfId="0" applyNumberFormat="1" applyFont="1" applyFill="1" applyBorder="1" applyAlignment="1">
      <alignment horizontal="right"/>
    </xf>
    <xf numFmtId="1" fontId="10" fillId="15" borderId="75" xfId="0" applyNumberFormat="1" applyFont="1" applyFill="1" applyBorder="1" applyAlignment="1">
      <alignment horizontal="right"/>
    </xf>
    <xf numFmtId="1" fontId="10" fillId="0" borderId="15" xfId="0" applyNumberFormat="1" applyFont="1" applyBorder="1" applyAlignment="1">
      <alignment horizontal="left" vertical="center" wrapText="1"/>
    </xf>
    <xf numFmtId="1" fontId="10" fillId="14" borderId="76" xfId="0" applyNumberFormat="1" applyFont="1" applyFill="1" applyBorder="1" applyAlignment="1">
      <alignment horizontal="right"/>
    </xf>
    <xf numFmtId="1" fontId="10" fillId="0" borderId="0" xfId="0" applyNumberFormat="1" applyFont="1" applyAlignment="1">
      <alignment vertical="center" wrapText="1"/>
    </xf>
    <xf numFmtId="1" fontId="10" fillId="6" borderId="77" xfId="0" applyNumberFormat="1" applyFont="1" applyFill="1" applyBorder="1" applyAlignment="1" applyProtection="1">
      <alignment horizontal="right"/>
      <protection locked="0"/>
    </xf>
    <xf numFmtId="1" fontId="10" fillId="6" borderId="78" xfId="0" applyNumberFormat="1" applyFont="1" applyFill="1" applyBorder="1" applyAlignment="1" applyProtection="1">
      <alignment horizontal="right"/>
      <protection locked="0"/>
    </xf>
    <xf numFmtId="1" fontId="10" fillId="6" borderId="21" xfId="0" applyNumberFormat="1" applyFont="1" applyFill="1" applyBorder="1" applyAlignment="1" applyProtection="1">
      <alignment horizontal="right"/>
      <protection locked="0"/>
    </xf>
    <xf numFmtId="1" fontId="10" fillId="6" borderId="22" xfId="0" applyNumberFormat="1" applyFont="1" applyFill="1" applyBorder="1" applyAlignment="1" applyProtection="1">
      <alignment horizontal="right"/>
      <protection locked="0"/>
    </xf>
    <xf numFmtId="1" fontId="10" fillId="14" borderId="44" xfId="0" applyNumberFormat="1" applyFont="1" applyFill="1" applyBorder="1" applyAlignment="1">
      <alignment horizontal="right"/>
    </xf>
    <xf numFmtId="1" fontId="10" fillId="6" borderId="79" xfId="0" applyNumberFormat="1" applyFont="1" applyFill="1" applyBorder="1" applyAlignment="1" applyProtection="1">
      <alignment horizontal="right"/>
      <protection locked="0"/>
    </xf>
    <xf numFmtId="1" fontId="10" fillId="15" borderId="69" xfId="0" applyNumberFormat="1" applyFont="1" applyFill="1" applyBorder="1" applyAlignment="1">
      <alignment horizontal="right"/>
    </xf>
    <xf numFmtId="1" fontId="10" fillId="15" borderId="50" xfId="0" applyNumberFormat="1" applyFont="1" applyFill="1" applyBorder="1" applyAlignment="1">
      <alignment horizontal="right"/>
    </xf>
    <xf numFmtId="1" fontId="10" fillId="6" borderId="80" xfId="0" applyNumberFormat="1" applyFont="1" applyFill="1" applyBorder="1" applyAlignment="1" applyProtection="1">
      <alignment horizontal="right"/>
      <protection locked="0"/>
    </xf>
    <xf numFmtId="1" fontId="10" fillId="14" borderId="57" xfId="0" applyNumberFormat="1" applyFont="1" applyFill="1" applyBorder="1" applyAlignment="1">
      <alignment horizontal="right"/>
    </xf>
    <xf numFmtId="1" fontId="10" fillId="6" borderId="81" xfId="0" applyNumberFormat="1" applyFont="1" applyFill="1" applyBorder="1" applyAlignment="1" applyProtection="1">
      <alignment horizontal="right"/>
      <protection locked="0"/>
    </xf>
    <xf numFmtId="1" fontId="10" fillId="6" borderId="82" xfId="0" applyNumberFormat="1" applyFont="1" applyFill="1" applyBorder="1" applyAlignment="1" applyProtection="1">
      <alignment horizontal="right"/>
      <protection locked="0"/>
    </xf>
    <xf numFmtId="1" fontId="10" fillId="15" borderId="52" xfId="0" applyNumberFormat="1" applyFont="1" applyFill="1" applyBorder="1" applyAlignment="1">
      <alignment horizontal="right"/>
    </xf>
    <xf numFmtId="1" fontId="10" fillId="15" borderId="54" xfId="0" applyNumberFormat="1" applyFont="1" applyFill="1" applyBorder="1" applyAlignment="1">
      <alignment horizontal="right"/>
    </xf>
    <xf numFmtId="1" fontId="10" fillId="15" borderId="62" xfId="0" applyNumberFormat="1" applyFont="1" applyFill="1" applyBorder="1" applyAlignment="1">
      <alignment horizontal="right"/>
    </xf>
    <xf numFmtId="1" fontId="10" fillId="6" borderId="64" xfId="0" applyNumberFormat="1" applyFont="1" applyFill="1" applyBorder="1" applyAlignment="1" applyProtection="1">
      <alignment horizontal="right"/>
      <protection locked="0"/>
    </xf>
    <xf numFmtId="1" fontId="10" fillId="6" borderId="83" xfId="0" applyNumberFormat="1" applyFont="1" applyFill="1" applyBorder="1" applyAlignment="1" applyProtection="1">
      <alignment horizontal="right"/>
      <protection locked="0"/>
    </xf>
    <xf numFmtId="1" fontId="10" fillId="6" borderId="84" xfId="0" applyNumberFormat="1" applyFont="1" applyFill="1" applyBorder="1" applyAlignment="1" applyProtection="1">
      <alignment horizontal="right"/>
      <protection locked="0"/>
    </xf>
    <xf numFmtId="1" fontId="10" fillId="15" borderId="70" xfId="0" applyNumberFormat="1" applyFont="1" applyFill="1" applyBorder="1" applyAlignment="1">
      <alignment horizontal="right"/>
    </xf>
    <xf numFmtId="1" fontId="10" fillId="6" borderId="85" xfId="0" applyNumberFormat="1" applyFont="1" applyFill="1" applyBorder="1" applyAlignment="1" applyProtection="1">
      <alignment horizontal="right"/>
      <protection locked="0"/>
    </xf>
    <xf numFmtId="1" fontId="10" fillId="0" borderId="19" xfId="0" applyNumberFormat="1" applyFont="1" applyBorder="1" applyAlignment="1">
      <alignment horizontal="left" vertical="center"/>
    </xf>
    <xf numFmtId="1" fontId="10" fillId="6" borderId="42" xfId="0" applyNumberFormat="1" applyFont="1" applyFill="1" applyBorder="1" applyAlignment="1" applyProtection="1">
      <alignment horizontal="right"/>
      <protection locked="0"/>
    </xf>
    <xf numFmtId="1" fontId="10" fillId="6" borderId="68" xfId="0" applyNumberFormat="1" applyFont="1" applyFill="1" applyBorder="1" applyAlignment="1" applyProtection="1">
      <alignment horizontal="right"/>
      <protection locked="0"/>
    </xf>
    <xf numFmtId="1" fontId="10" fillId="0" borderId="86" xfId="0" applyNumberFormat="1" applyFont="1" applyBorder="1"/>
    <xf numFmtId="1" fontId="10" fillId="6" borderId="87" xfId="0" applyNumberFormat="1" applyFont="1" applyFill="1" applyBorder="1" applyAlignment="1" applyProtection="1">
      <alignment horizontal="right"/>
      <protection locked="0"/>
    </xf>
    <xf numFmtId="1" fontId="10" fillId="6" borderId="88" xfId="0" applyNumberFormat="1" applyFont="1" applyFill="1" applyBorder="1" applyAlignment="1" applyProtection="1">
      <alignment horizontal="right"/>
      <protection locked="0"/>
    </xf>
    <xf numFmtId="1" fontId="10" fillId="0" borderId="89" xfId="0" applyNumberFormat="1" applyFont="1" applyBorder="1"/>
    <xf numFmtId="1" fontId="10" fillId="15" borderId="38" xfId="0" applyNumberFormat="1" applyFont="1" applyFill="1" applyBorder="1" applyAlignment="1">
      <alignment horizontal="right"/>
    </xf>
    <xf numFmtId="1" fontId="10" fillId="15" borderId="39" xfId="0" applyNumberFormat="1" applyFont="1" applyFill="1" applyBorder="1" applyAlignment="1">
      <alignment horizontal="right"/>
    </xf>
    <xf numFmtId="1" fontId="10" fillId="15" borderId="90" xfId="0" applyNumberFormat="1" applyFont="1" applyFill="1" applyBorder="1" applyAlignment="1">
      <alignment horizontal="right"/>
    </xf>
    <xf numFmtId="1" fontId="10" fillId="15" borderId="91" xfId="0" applyNumberFormat="1" applyFont="1" applyFill="1" applyBorder="1" applyAlignment="1">
      <alignment horizontal="right"/>
    </xf>
    <xf numFmtId="1" fontId="10" fillId="0" borderId="16" xfId="0" applyNumberFormat="1" applyFont="1" applyBorder="1"/>
    <xf numFmtId="1" fontId="10" fillId="14" borderId="92" xfId="0" applyNumberFormat="1" applyFont="1" applyFill="1" applyBorder="1" applyAlignment="1">
      <alignment horizontal="right"/>
    </xf>
    <xf numFmtId="1" fontId="10" fillId="15" borderId="93" xfId="0" applyNumberFormat="1" applyFont="1" applyFill="1" applyBorder="1" applyAlignment="1">
      <alignment horizontal="right"/>
    </xf>
    <xf numFmtId="1" fontId="10" fillId="15" borderId="94" xfId="0" applyNumberFormat="1" applyFont="1" applyFill="1" applyBorder="1" applyAlignment="1">
      <alignment horizontal="right"/>
    </xf>
    <xf numFmtId="1" fontId="10" fillId="6" borderId="65" xfId="0" applyNumberFormat="1" applyFont="1" applyFill="1" applyBorder="1" applyAlignment="1" applyProtection="1">
      <alignment horizontal="right"/>
      <protection locked="0"/>
    </xf>
    <xf numFmtId="1" fontId="10" fillId="6" borderId="95" xfId="0" applyNumberFormat="1" applyFont="1" applyFill="1" applyBorder="1" applyAlignment="1" applyProtection="1">
      <alignment horizontal="right"/>
      <protection locked="0"/>
    </xf>
    <xf numFmtId="1" fontId="10" fillId="6" borderId="55" xfId="0" applyNumberFormat="1" applyFont="1" applyFill="1" applyBorder="1" applyAlignment="1" applyProtection="1">
      <alignment horizontal="right"/>
      <protection locked="0"/>
    </xf>
    <xf numFmtId="1" fontId="10" fillId="6" borderId="93" xfId="0" applyNumberFormat="1" applyFont="1" applyFill="1" applyBorder="1" applyAlignment="1" applyProtection="1">
      <alignment horizontal="right"/>
      <protection locked="0"/>
    </xf>
    <xf numFmtId="1" fontId="24" fillId="11" borderId="0" xfId="0" applyNumberFormat="1" applyFont="1" applyFill="1"/>
    <xf numFmtId="1" fontId="10" fillId="0" borderId="6" xfId="0" applyNumberFormat="1" applyFont="1" applyBorder="1" applyAlignment="1">
      <alignment horizontal="center" vertical="center"/>
    </xf>
    <xf numFmtId="1" fontId="10" fillId="0" borderId="8" xfId="0" applyNumberFormat="1" applyFont="1" applyBorder="1" applyAlignment="1">
      <alignment horizontal="center" vertical="center"/>
    </xf>
    <xf numFmtId="1" fontId="10" fillId="0" borderId="7" xfId="0" applyNumberFormat="1" applyFont="1" applyBorder="1" applyAlignment="1">
      <alignment horizontal="center" vertical="center"/>
    </xf>
    <xf numFmtId="1" fontId="10" fillId="7" borderId="7" xfId="0" applyNumberFormat="1" applyFont="1" applyFill="1" applyBorder="1" applyAlignment="1">
      <alignment horizontal="center" vertical="center" wrapText="1"/>
    </xf>
    <xf numFmtId="1" fontId="10" fillId="7" borderId="2" xfId="0" applyNumberFormat="1" applyFont="1" applyFill="1" applyBorder="1" applyAlignment="1">
      <alignment horizontal="center" vertical="center" wrapText="1"/>
    </xf>
    <xf numFmtId="1" fontId="10" fillId="0" borderId="10" xfId="0" applyNumberFormat="1" applyFont="1" applyBorder="1" applyAlignment="1">
      <alignment horizontal="center" vertical="center"/>
    </xf>
    <xf numFmtId="1" fontId="10" fillId="0" borderId="16" xfId="0" applyNumberFormat="1" applyFont="1" applyBorder="1" applyAlignment="1">
      <alignment horizontal="center" vertical="center" wrapText="1"/>
    </xf>
    <xf numFmtId="1" fontId="10" fillId="0" borderId="29" xfId="0" applyNumberFormat="1" applyFont="1" applyBorder="1" applyAlignment="1">
      <alignment horizontal="center" vertical="center" wrapText="1"/>
    </xf>
    <xf numFmtId="1" fontId="10" fillId="7" borderId="10" xfId="0" applyNumberFormat="1" applyFont="1" applyFill="1" applyBorder="1" applyAlignment="1">
      <alignment horizontal="center" vertical="center"/>
    </xf>
    <xf numFmtId="1" fontId="10" fillId="7" borderId="12" xfId="0" applyNumberFormat="1" applyFont="1" applyFill="1" applyBorder="1" applyAlignment="1">
      <alignment horizontal="center" vertical="center" wrapText="1"/>
    </xf>
    <xf numFmtId="1" fontId="10" fillId="6" borderId="96" xfId="146" applyNumberFormat="1" applyFont="1" applyBorder="1" applyAlignment="1" applyProtection="1">
      <alignment horizontal="right"/>
      <protection locked="0"/>
    </xf>
    <xf numFmtId="1" fontId="10" fillId="6" borderId="97" xfId="146" applyNumberFormat="1" applyFont="1" applyBorder="1" applyAlignment="1" applyProtection="1">
      <alignment horizontal="right"/>
      <protection locked="0"/>
    </xf>
    <xf numFmtId="1" fontId="10" fillId="6" borderId="41" xfId="146" applyNumberFormat="1" applyFont="1" applyBorder="1" applyAlignment="1" applyProtection="1">
      <alignment horizontal="right"/>
      <protection locked="0"/>
    </xf>
    <xf numFmtId="1" fontId="10" fillId="6" borderId="39" xfId="146" applyNumberFormat="1" applyFont="1" applyBorder="1" applyAlignment="1" applyProtection="1">
      <alignment horizontal="right"/>
      <protection locked="0"/>
    </xf>
    <xf numFmtId="1" fontId="10" fillId="6" borderId="43" xfId="146" applyNumberFormat="1" applyFont="1" applyBorder="1" applyAlignment="1" applyProtection="1">
      <alignment horizontal="right"/>
      <protection locked="0"/>
    </xf>
    <xf numFmtId="1" fontId="10" fillId="6" borderId="98" xfId="0" applyNumberFormat="1" applyFont="1" applyFill="1" applyBorder="1" applyAlignment="1" applyProtection="1">
      <alignment horizontal="right"/>
      <protection locked="0"/>
    </xf>
    <xf numFmtId="0" fontId="22" fillId="0" borderId="0" xfId="0" applyFont="1" applyAlignment="1">
      <alignment vertical="center"/>
    </xf>
    <xf numFmtId="1" fontId="10" fillId="0" borderId="99" xfId="0" applyNumberFormat="1" applyFont="1" applyBorder="1"/>
    <xf numFmtId="1" fontId="10" fillId="6" borderId="100" xfId="0" applyNumberFormat="1" applyFont="1" applyFill="1" applyBorder="1" applyAlignment="1" applyProtection="1">
      <alignment horizontal="right"/>
      <protection locked="0"/>
    </xf>
    <xf numFmtId="1" fontId="10" fillId="6" borderId="101" xfId="146" applyNumberFormat="1" applyFont="1" applyBorder="1" applyAlignment="1" applyProtection="1">
      <alignment horizontal="right"/>
      <protection locked="0"/>
    </xf>
    <xf numFmtId="1" fontId="10" fillId="6" borderId="101" xfId="0" applyNumberFormat="1" applyFont="1" applyFill="1" applyBorder="1" applyAlignment="1" applyProtection="1">
      <alignment horizontal="right"/>
      <protection locked="0"/>
    </xf>
    <xf numFmtId="1" fontId="10" fillId="6" borderId="102" xfId="146" applyNumberFormat="1" applyFont="1" applyBorder="1" applyAlignment="1" applyProtection="1">
      <alignment horizontal="right"/>
      <protection locked="0"/>
    </xf>
    <xf numFmtId="1" fontId="10" fillId="6" borderId="103" xfId="146" applyNumberFormat="1" applyFont="1" applyBorder="1" applyAlignment="1" applyProtection="1">
      <alignment horizontal="right"/>
      <protection locked="0"/>
    </xf>
    <xf numFmtId="1" fontId="10" fillId="6" borderId="99" xfId="146" applyNumberFormat="1" applyFont="1" applyBorder="1" applyAlignment="1" applyProtection="1">
      <alignment horizontal="right"/>
      <protection locked="0"/>
    </xf>
    <xf numFmtId="1" fontId="10" fillId="14" borderId="101" xfId="0" applyNumberFormat="1" applyFont="1" applyFill="1" applyBorder="1" applyAlignment="1">
      <alignment horizontal="right"/>
    </xf>
    <xf numFmtId="1" fontId="10" fillId="6" borderId="102" xfId="0" applyNumberFormat="1" applyFont="1" applyFill="1" applyBorder="1" applyAlignment="1" applyProtection="1">
      <alignment horizontal="right"/>
      <protection locked="0"/>
    </xf>
    <xf numFmtId="1" fontId="10" fillId="14" borderId="103" xfId="0" applyNumberFormat="1" applyFont="1" applyFill="1" applyBorder="1" applyAlignment="1">
      <alignment horizontal="right"/>
    </xf>
    <xf numFmtId="1" fontId="22" fillId="17" borderId="0" xfId="0" applyNumberFormat="1" applyFont="1" applyFill="1"/>
    <xf numFmtId="1" fontId="10" fillId="0" borderId="15" xfId="0" applyNumberFormat="1" applyFont="1" applyBorder="1"/>
    <xf numFmtId="1" fontId="10" fillId="6" borderId="104" xfId="146" applyNumberFormat="1" applyFont="1" applyBorder="1" applyAlignment="1" applyProtection="1">
      <alignment horizontal="right"/>
      <protection locked="0"/>
    </xf>
    <xf numFmtId="1" fontId="10" fillId="6" borderId="105" xfId="146" applyNumberFormat="1" applyFont="1" applyBorder="1" applyAlignment="1" applyProtection="1">
      <alignment horizontal="right"/>
      <protection locked="0"/>
    </xf>
    <xf numFmtId="1" fontId="10" fillId="14" borderId="80" xfId="0" applyNumberFormat="1" applyFont="1" applyFill="1" applyBorder="1" applyAlignment="1">
      <alignment horizontal="right"/>
    </xf>
    <xf numFmtId="1" fontId="10" fillId="6" borderId="54" xfId="146" applyNumberFormat="1" applyFont="1" applyBorder="1" applyAlignment="1" applyProtection="1">
      <alignment horizontal="right"/>
      <protection locked="0"/>
    </xf>
    <xf numFmtId="1" fontId="10" fillId="14" borderId="32" xfId="0" applyNumberFormat="1" applyFont="1" applyFill="1" applyBorder="1" applyAlignment="1">
      <alignment horizontal="right"/>
    </xf>
    <xf numFmtId="1" fontId="10" fillId="19" borderId="57" xfId="0" applyNumberFormat="1" applyFont="1" applyFill="1" applyBorder="1" applyAlignment="1">
      <alignment horizontal="right"/>
    </xf>
    <xf numFmtId="1" fontId="10" fillId="6" borderId="62" xfId="146" applyNumberFormat="1" applyFont="1" applyBorder="1" applyAlignment="1" applyProtection="1">
      <alignment horizontal="right"/>
      <protection locked="0"/>
    </xf>
    <xf numFmtId="1" fontId="10" fillId="6" borderId="51" xfId="146" applyNumberFormat="1" applyFont="1" applyBorder="1" applyAlignment="1" applyProtection="1">
      <alignment horizontal="right"/>
      <protection locked="0"/>
    </xf>
    <xf numFmtId="1" fontId="12" fillId="0" borderId="8" xfId="0" applyNumberFormat="1" applyFont="1" applyBorder="1" applyAlignment="1">
      <alignment horizontal="left"/>
    </xf>
    <xf numFmtId="1" fontId="23" fillId="11" borderId="107" xfId="0" applyNumberFormat="1" applyFont="1" applyFill="1" applyBorder="1"/>
    <xf numFmtId="1" fontId="17" fillId="11" borderId="0" xfId="0" applyNumberFormat="1" applyFont="1" applyFill="1"/>
    <xf numFmtId="1" fontId="10" fillId="0" borderId="108" xfId="0" applyNumberFormat="1" applyFont="1" applyBorder="1" applyAlignment="1">
      <alignment horizontal="center" vertical="center" wrapText="1"/>
    </xf>
    <xf numFmtId="1" fontId="10" fillId="0" borderId="2" xfId="0" applyNumberFormat="1" applyFont="1" applyBorder="1" applyAlignment="1">
      <alignment horizontal="center" vertical="center" wrapText="1"/>
    </xf>
    <xf numFmtId="1" fontId="10" fillId="0" borderId="50" xfId="0" applyNumberFormat="1" applyFont="1" applyBorder="1" applyAlignment="1">
      <alignment horizontal="center" vertical="center" wrapText="1"/>
    </xf>
    <xf numFmtId="1" fontId="10" fillId="0" borderId="12" xfId="0" applyNumberFormat="1" applyFont="1" applyBorder="1" applyAlignment="1">
      <alignment horizontal="center" vertical="center" wrapText="1"/>
    </xf>
    <xf numFmtId="1" fontId="10" fillId="7" borderId="109" xfId="146" applyNumberFormat="1" applyFont="1" applyFill="1" applyBorder="1" applyAlignment="1">
      <alignment horizontal="right"/>
    </xf>
    <xf numFmtId="1" fontId="10" fillId="7" borderId="110" xfId="146" applyNumberFormat="1" applyFont="1" applyFill="1" applyBorder="1" applyAlignment="1">
      <alignment horizontal="right"/>
    </xf>
    <xf numFmtId="1" fontId="10" fillId="7" borderId="111" xfId="146" applyNumberFormat="1" applyFont="1" applyFill="1" applyBorder="1" applyAlignment="1">
      <alignment horizontal="right"/>
    </xf>
    <xf numFmtId="1" fontId="10" fillId="14" borderId="112" xfId="0" applyNumberFormat="1" applyFont="1" applyFill="1" applyBorder="1" applyAlignment="1">
      <alignment horizontal="right"/>
    </xf>
    <xf numFmtId="1" fontId="10" fillId="6" borderId="112" xfId="0" applyNumberFormat="1" applyFont="1" applyFill="1" applyBorder="1" applyAlignment="1" applyProtection="1">
      <alignment horizontal="right"/>
      <protection locked="0"/>
    </xf>
    <xf numFmtId="1" fontId="10" fillId="6" borderId="113" xfId="0" applyNumberFormat="1" applyFont="1" applyFill="1" applyBorder="1" applyAlignment="1" applyProtection="1">
      <alignment horizontal="right"/>
      <protection locked="0"/>
    </xf>
    <xf numFmtId="1" fontId="10" fillId="14" borderId="98" xfId="0" applyNumberFormat="1" applyFont="1" applyFill="1" applyBorder="1" applyAlignment="1">
      <alignment horizontal="right"/>
    </xf>
    <xf numFmtId="1" fontId="22" fillId="0" borderId="0" xfId="0" applyNumberFormat="1" applyFont="1"/>
    <xf numFmtId="0" fontId="22" fillId="11" borderId="0" xfId="0" applyFont="1" applyFill="1"/>
    <xf numFmtId="1" fontId="10" fillId="7" borderId="96" xfId="146" applyNumberFormat="1" applyFont="1" applyFill="1" applyBorder="1" applyAlignment="1">
      <alignment horizontal="right"/>
    </xf>
    <xf numFmtId="1" fontId="10" fillId="7" borderId="114" xfId="146" applyNumberFormat="1" applyFont="1" applyFill="1" applyBorder="1" applyAlignment="1">
      <alignment horizontal="right"/>
    </xf>
    <xf numFmtId="1" fontId="10" fillId="7" borderId="115" xfId="146" applyNumberFormat="1" applyFont="1" applyFill="1" applyBorder="1" applyAlignment="1">
      <alignment horizontal="right"/>
    </xf>
    <xf numFmtId="1" fontId="10" fillId="14" borderId="100" xfId="0" applyNumberFormat="1" applyFont="1" applyFill="1" applyBorder="1" applyAlignment="1">
      <alignment horizontal="right"/>
    </xf>
    <xf numFmtId="1" fontId="10" fillId="14" borderId="116" xfId="0" applyNumberFormat="1" applyFont="1" applyFill="1" applyBorder="1" applyAlignment="1">
      <alignment horizontal="right"/>
    </xf>
    <xf numFmtId="1" fontId="10" fillId="6" borderId="116" xfId="0" applyNumberFormat="1" applyFont="1" applyFill="1" applyBorder="1" applyAlignment="1" applyProtection="1">
      <alignment horizontal="right"/>
      <protection locked="0"/>
    </xf>
    <xf numFmtId="1" fontId="10" fillId="6" borderId="117" xfId="0" applyNumberFormat="1" applyFont="1" applyFill="1" applyBorder="1" applyAlignment="1" applyProtection="1">
      <alignment horizontal="right"/>
      <protection locked="0"/>
    </xf>
    <xf numFmtId="1" fontId="10" fillId="14" borderId="118" xfId="0" applyNumberFormat="1" applyFont="1" applyFill="1" applyBorder="1" applyAlignment="1">
      <alignment horizontal="right"/>
    </xf>
    <xf numFmtId="1" fontId="10" fillId="7" borderId="104" xfId="146" applyNumberFormat="1" applyFont="1" applyFill="1" applyBorder="1" applyAlignment="1">
      <alignment horizontal="right"/>
    </xf>
    <xf numFmtId="1" fontId="10" fillId="7" borderId="119" xfId="146" applyNumberFormat="1" applyFont="1" applyFill="1" applyBorder="1" applyAlignment="1">
      <alignment horizontal="right"/>
    </xf>
    <xf numFmtId="1" fontId="10" fillId="7" borderId="120" xfId="146" applyNumberFormat="1" applyFont="1" applyFill="1" applyBorder="1" applyAlignment="1">
      <alignment horizontal="right"/>
    </xf>
    <xf numFmtId="1" fontId="10" fillId="14" borderId="17" xfId="0" applyNumberFormat="1" applyFont="1" applyFill="1" applyBorder="1" applyAlignment="1">
      <alignment horizontal="right"/>
    </xf>
    <xf numFmtId="1" fontId="10" fillId="6" borderId="121" xfId="0" applyNumberFormat="1" applyFont="1" applyFill="1" applyBorder="1" applyAlignment="1" applyProtection="1">
      <alignment horizontal="right"/>
      <protection locked="0"/>
    </xf>
    <xf numFmtId="1" fontId="10" fillId="7" borderId="69" xfId="146" applyNumberFormat="1" applyFont="1" applyFill="1" applyBorder="1" applyAlignment="1">
      <alignment horizontal="right"/>
    </xf>
    <xf numFmtId="1" fontId="10" fillId="7" borderId="0" xfId="146" applyNumberFormat="1" applyFont="1" applyFill="1" applyBorder="1" applyAlignment="1">
      <alignment horizontal="right"/>
    </xf>
    <xf numFmtId="1" fontId="10" fillId="7" borderId="122" xfId="146" applyNumberFormat="1" applyFont="1" applyFill="1" applyBorder="1" applyAlignment="1">
      <alignment horizontal="right"/>
    </xf>
    <xf numFmtId="1" fontId="10" fillId="14" borderId="69" xfId="0" applyNumberFormat="1" applyFont="1" applyFill="1" applyBorder="1" applyAlignment="1">
      <alignment horizontal="right"/>
    </xf>
    <xf numFmtId="1" fontId="10" fillId="14" borderId="50" xfId="0" applyNumberFormat="1" applyFont="1" applyFill="1" applyBorder="1" applyAlignment="1">
      <alignment horizontal="right"/>
    </xf>
    <xf numFmtId="1" fontId="10" fillId="14" borderId="122" xfId="0" applyNumberFormat="1" applyFont="1" applyFill="1" applyBorder="1" applyAlignment="1">
      <alignment horizontal="right"/>
    </xf>
    <xf numFmtId="1" fontId="10" fillId="6" borderId="122" xfId="0" applyNumberFormat="1" applyFont="1" applyFill="1" applyBorder="1" applyAlignment="1" applyProtection="1">
      <alignment horizontal="right"/>
      <protection locked="0"/>
    </xf>
    <xf numFmtId="1" fontId="10" fillId="6" borderId="123" xfId="0" applyNumberFormat="1" applyFont="1" applyFill="1" applyBorder="1" applyAlignment="1" applyProtection="1">
      <alignment horizontal="right"/>
      <protection locked="0"/>
    </xf>
    <xf numFmtId="1" fontId="10" fillId="0" borderId="51" xfId="0" applyNumberFormat="1" applyFont="1" applyBorder="1" applyAlignment="1">
      <alignment horizontal="left" wrapText="1"/>
    </xf>
    <xf numFmtId="1" fontId="10" fillId="14" borderId="62" xfId="0" applyNumberFormat="1" applyFont="1" applyFill="1" applyBorder="1" applyAlignment="1">
      <alignment horizontal="right"/>
    </xf>
    <xf numFmtId="1" fontId="10" fillId="14" borderId="121" xfId="0" applyNumberFormat="1" applyFont="1" applyFill="1" applyBorder="1" applyAlignment="1">
      <alignment horizontal="right"/>
    </xf>
    <xf numFmtId="1" fontId="10" fillId="7" borderId="124" xfId="146" applyNumberFormat="1" applyFont="1" applyFill="1" applyBorder="1" applyAlignment="1">
      <alignment horizontal="right"/>
    </xf>
    <xf numFmtId="1" fontId="10" fillId="7" borderId="125" xfId="146" applyNumberFormat="1" applyFont="1" applyFill="1" applyBorder="1" applyAlignment="1">
      <alignment horizontal="right"/>
    </xf>
    <xf numFmtId="1" fontId="10" fillId="7" borderId="126" xfId="146" applyNumberFormat="1" applyFont="1" applyFill="1" applyBorder="1" applyAlignment="1">
      <alignment horizontal="right"/>
    </xf>
    <xf numFmtId="1" fontId="10" fillId="7" borderId="121" xfId="146" applyNumberFormat="1" applyFont="1" applyFill="1" applyBorder="1" applyAlignment="1">
      <alignment horizontal="right"/>
    </xf>
    <xf numFmtId="1" fontId="10" fillId="6" borderId="127" xfId="0" applyNumberFormat="1" applyFont="1" applyFill="1" applyBorder="1" applyAlignment="1" applyProtection="1">
      <alignment horizontal="right"/>
      <protection locked="0"/>
    </xf>
    <xf numFmtId="1" fontId="10" fillId="14" borderId="89" xfId="0" applyNumberFormat="1" applyFont="1" applyFill="1" applyBorder="1" applyAlignment="1">
      <alignment horizontal="right"/>
    </xf>
    <xf numFmtId="1" fontId="10" fillId="14" borderId="128" xfId="0" applyNumberFormat="1" applyFont="1" applyFill="1" applyBorder="1" applyAlignment="1">
      <alignment horizontal="right"/>
    </xf>
    <xf numFmtId="1" fontId="10" fillId="14" borderId="102" xfId="0" applyNumberFormat="1" applyFont="1" applyFill="1" applyBorder="1" applyAlignment="1">
      <alignment horizontal="right"/>
    </xf>
    <xf numFmtId="1" fontId="10" fillId="14" borderId="127" xfId="0" applyNumberFormat="1" applyFont="1" applyFill="1" applyBorder="1" applyAlignment="1">
      <alignment horizontal="right"/>
    </xf>
    <xf numFmtId="1" fontId="10" fillId="0" borderId="129" xfId="0" applyNumberFormat="1" applyFont="1" applyBorder="1" applyAlignment="1">
      <alignment horizontal="center" vertical="center" wrapText="1"/>
    </xf>
    <xf numFmtId="1" fontId="10" fillId="7" borderId="18" xfId="0" applyNumberFormat="1" applyFont="1" applyFill="1" applyBorder="1" applyAlignment="1">
      <alignment horizontal="center" vertical="center" wrapText="1"/>
    </xf>
    <xf numFmtId="1" fontId="10" fillId="0" borderId="37" xfId="0" applyNumberFormat="1" applyFont="1" applyBorder="1" applyAlignment="1">
      <alignment horizontal="left" vertical="center" wrapText="1"/>
    </xf>
    <xf numFmtId="1" fontId="10" fillId="6" borderId="131" xfId="0" applyNumberFormat="1" applyFont="1" applyFill="1" applyBorder="1" applyAlignment="1" applyProtection="1">
      <alignment horizontal="right"/>
      <protection locked="0"/>
    </xf>
    <xf numFmtId="1" fontId="10" fillId="6" borderId="103" xfId="0" applyNumberFormat="1" applyFont="1" applyFill="1" applyBorder="1" applyAlignment="1" applyProtection="1">
      <alignment horizontal="right"/>
      <protection locked="0"/>
    </xf>
    <xf numFmtId="1" fontId="10" fillId="0" borderId="49" xfId="0" applyNumberFormat="1" applyFont="1" applyBorder="1"/>
    <xf numFmtId="1" fontId="10" fillId="6" borderId="132" xfId="0" applyNumberFormat="1" applyFont="1" applyFill="1" applyBorder="1" applyAlignment="1" applyProtection="1">
      <alignment horizontal="right"/>
      <protection locked="0"/>
    </xf>
    <xf numFmtId="1" fontId="10" fillId="6" borderId="63" xfId="0" applyNumberFormat="1" applyFont="1" applyFill="1" applyBorder="1" applyAlignment="1" applyProtection="1">
      <alignment horizontal="right"/>
      <protection locked="0"/>
    </xf>
    <xf numFmtId="1" fontId="10" fillId="6" borderId="99" xfId="0" applyNumberFormat="1" applyFont="1" applyFill="1" applyBorder="1" applyAlignment="1" applyProtection="1">
      <alignment horizontal="right"/>
      <protection locked="0"/>
    </xf>
    <xf numFmtId="1" fontId="10" fillId="0" borderId="99" xfId="0" applyNumberFormat="1" applyFont="1" applyBorder="1" applyAlignment="1">
      <alignment horizontal="left" vertical="center" wrapText="1"/>
    </xf>
    <xf numFmtId="1" fontId="10" fillId="0" borderId="103" xfId="0" applyNumberFormat="1" applyFont="1" applyBorder="1"/>
    <xf numFmtId="1" fontId="10" fillId="0" borderId="62" xfId="0" applyNumberFormat="1" applyFont="1" applyBorder="1"/>
    <xf numFmtId="1" fontId="10" fillId="0" borderId="2" xfId="0" applyNumberFormat="1" applyFont="1" applyBorder="1"/>
    <xf numFmtId="1" fontId="10" fillId="0" borderId="29" xfId="0" applyNumberFormat="1" applyFont="1" applyBorder="1"/>
    <xf numFmtId="1" fontId="10" fillId="0" borderId="7" xfId="0" applyNumberFormat="1" applyFont="1" applyBorder="1"/>
    <xf numFmtId="1" fontId="10" fillId="0" borderId="28" xfId="0" applyNumberFormat="1" applyFont="1" applyBorder="1"/>
    <xf numFmtId="1" fontId="10" fillId="0" borderId="133" xfId="0" applyNumberFormat="1" applyFont="1" applyBorder="1"/>
    <xf numFmtId="1" fontId="10" fillId="0" borderId="134" xfId="0" applyNumberFormat="1" applyFont="1" applyBorder="1" applyAlignment="1">
      <alignment horizontal="center" vertical="center" wrapText="1"/>
    </xf>
    <xf numFmtId="1" fontId="10" fillId="0" borderId="136" xfId="0" applyNumberFormat="1" applyFont="1" applyBorder="1" applyAlignment="1">
      <alignment horizontal="center" vertical="center" wrapText="1"/>
    </xf>
    <xf numFmtId="1" fontId="10" fillId="6" borderId="137" xfId="0" applyNumberFormat="1" applyFont="1" applyFill="1" applyBorder="1" applyAlignment="1" applyProtection="1">
      <alignment horizontal="right"/>
      <protection locked="0"/>
    </xf>
    <xf numFmtId="1" fontId="10" fillId="6" borderId="138" xfId="0" applyNumberFormat="1" applyFont="1" applyFill="1" applyBorder="1" applyAlignment="1" applyProtection="1">
      <alignment horizontal="right"/>
      <protection locked="0"/>
    </xf>
    <xf numFmtId="1" fontId="10" fillId="7" borderId="99" xfId="0" applyNumberFormat="1" applyFont="1" applyFill="1" applyBorder="1"/>
    <xf numFmtId="1" fontId="10" fillId="6" borderId="139" xfId="0" applyNumberFormat="1" applyFont="1" applyFill="1" applyBorder="1" applyAlignment="1" applyProtection="1">
      <alignment horizontal="right"/>
      <protection locked="0"/>
    </xf>
    <xf numFmtId="1" fontId="10" fillId="6" borderId="140" xfId="0" applyNumberFormat="1" applyFont="1" applyFill="1" applyBorder="1" applyAlignment="1" applyProtection="1">
      <alignment horizontal="right"/>
      <protection locked="0"/>
    </xf>
    <xf numFmtId="1" fontId="10" fillId="14" borderId="131" xfId="0" applyNumberFormat="1" applyFont="1" applyFill="1" applyBorder="1" applyAlignment="1">
      <alignment horizontal="right"/>
    </xf>
    <xf numFmtId="0" fontId="10" fillId="0" borderId="15" xfId="0" applyFont="1" applyBorder="1"/>
    <xf numFmtId="1" fontId="10" fillId="15" borderId="76" xfId="0" applyNumberFormat="1" applyFont="1" applyFill="1" applyBorder="1" applyAlignment="1">
      <alignment horizontal="right"/>
    </xf>
    <xf numFmtId="1" fontId="10" fillId="14" borderId="30" xfId="0" applyNumberFormat="1" applyFont="1" applyFill="1" applyBorder="1" applyAlignment="1">
      <alignment horizontal="right"/>
    </xf>
    <xf numFmtId="1" fontId="10" fillId="6" borderId="76" xfId="0" applyNumberFormat="1" applyFont="1" applyFill="1" applyBorder="1" applyAlignment="1" applyProtection="1">
      <alignment horizontal="right"/>
      <protection locked="0"/>
    </xf>
    <xf numFmtId="1" fontId="10" fillId="6" borderId="92" xfId="0" applyNumberFormat="1" applyFont="1" applyFill="1" applyBorder="1" applyAlignment="1" applyProtection="1">
      <alignment horizontal="right"/>
      <protection locked="0"/>
    </xf>
    <xf numFmtId="1" fontId="10" fillId="14" borderId="130" xfId="0" applyNumberFormat="1" applyFont="1" applyFill="1" applyBorder="1" applyAlignment="1">
      <alignment horizontal="right"/>
    </xf>
    <xf numFmtId="1" fontId="10" fillId="14" borderId="15" xfId="0" applyNumberFormat="1" applyFont="1" applyFill="1" applyBorder="1" applyAlignment="1">
      <alignment horizontal="right"/>
    </xf>
    <xf numFmtId="1" fontId="10" fillId="14" borderId="14" xfId="0" applyNumberFormat="1" applyFont="1" applyFill="1" applyBorder="1" applyAlignment="1">
      <alignment horizontal="right"/>
    </xf>
    <xf numFmtId="1" fontId="10" fillId="0" borderId="20" xfId="0" applyNumberFormat="1" applyFont="1" applyBorder="1" applyAlignment="1">
      <alignment horizontal="center" vertical="center"/>
    </xf>
    <xf numFmtId="1" fontId="10" fillId="7" borderId="100" xfId="146" applyNumberFormat="1" applyFont="1" applyFill="1" applyBorder="1" applyAlignment="1">
      <alignment horizontal="right"/>
    </xf>
    <xf numFmtId="1" fontId="10" fillId="7" borderId="101" xfId="146" applyNumberFormat="1" applyFont="1" applyFill="1" applyBorder="1" applyAlignment="1">
      <alignment horizontal="right"/>
    </xf>
    <xf numFmtId="1" fontId="10" fillId="7" borderId="116" xfId="146" applyNumberFormat="1" applyFont="1" applyFill="1" applyBorder="1" applyAlignment="1">
      <alignment horizontal="right"/>
    </xf>
    <xf numFmtId="1" fontId="10" fillId="6" borderId="142" xfId="0" applyNumberFormat="1" applyFont="1" applyFill="1" applyBorder="1" applyAlignment="1" applyProtection="1">
      <alignment horizontal="right"/>
      <protection locked="0"/>
    </xf>
    <xf numFmtId="1" fontId="10" fillId="7" borderId="52" xfId="146" applyNumberFormat="1" applyFont="1" applyFill="1" applyBorder="1" applyAlignment="1">
      <alignment horizontal="right"/>
    </xf>
    <xf numFmtId="1" fontId="10" fillId="7" borderId="54" xfId="146" applyNumberFormat="1" applyFont="1" applyFill="1" applyBorder="1" applyAlignment="1">
      <alignment horizontal="right"/>
    </xf>
    <xf numFmtId="1" fontId="10" fillId="6" borderId="17" xfId="0" applyNumberFormat="1" applyFont="1" applyFill="1" applyBorder="1" applyAlignment="1" applyProtection="1">
      <alignment horizontal="right"/>
      <protection locked="0"/>
    </xf>
    <xf numFmtId="1" fontId="10" fillId="6" borderId="32" xfId="0" applyNumberFormat="1" applyFont="1" applyFill="1" applyBorder="1" applyAlignment="1" applyProtection="1">
      <alignment horizontal="right"/>
      <protection locked="0"/>
    </xf>
    <xf numFmtId="1" fontId="10" fillId="6" borderId="143" xfId="0" applyNumberFormat="1" applyFont="1" applyFill="1" applyBorder="1" applyAlignment="1" applyProtection="1">
      <alignment horizontal="right"/>
      <protection locked="0"/>
    </xf>
    <xf numFmtId="1" fontId="10" fillId="7" borderId="64" xfId="146" applyNumberFormat="1" applyFont="1" applyFill="1" applyBorder="1" applyAlignment="1">
      <alignment horizontal="right"/>
    </xf>
    <xf numFmtId="1" fontId="10" fillId="7" borderId="40" xfId="146" applyNumberFormat="1" applyFont="1" applyFill="1" applyBorder="1" applyAlignment="1">
      <alignment horizontal="right"/>
    </xf>
    <xf numFmtId="1" fontId="10" fillId="7" borderId="118" xfId="146" applyNumberFormat="1" applyFont="1" applyFill="1" applyBorder="1" applyAlignment="1">
      <alignment horizontal="right"/>
    </xf>
    <xf numFmtId="1" fontId="10" fillId="6" borderId="130" xfId="0" applyNumberFormat="1" applyFont="1" applyFill="1" applyBorder="1" applyAlignment="1" applyProtection="1">
      <alignment horizontal="right"/>
      <protection locked="0"/>
    </xf>
    <xf numFmtId="1" fontId="10" fillId="6" borderId="15" xfId="0" applyNumberFormat="1" applyFont="1" applyFill="1" applyBorder="1" applyAlignment="1" applyProtection="1">
      <alignment horizontal="right"/>
      <protection locked="0"/>
    </xf>
    <xf numFmtId="1" fontId="10" fillId="0" borderId="8" xfId="41" applyNumberFormat="1" applyFont="1" applyBorder="1" applyAlignment="1" applyProtection="1">
      <alignment horizontal="center" vertical="center" wrapText="1"/>
      <protection hidden="1"/>
    </xf>
    <xf numFmtId="1" fontId="10" fillId="0" borderId="149" xfId="41" applyNumberFormat="1" applyFont="1" applyBorder="1" applyAlignment="1" applyProtection="1">
      <alignment horizontal="center" vertical="center" wrapText="1"/>
      <protection hidden="1"/>
    </xf>
    <xf numFmtId="1" fontId="10" fillId="0" borderId="152" xfId="41" applyNumberFormat="1" applyFont="1" applyBorder="1" applyAlignment="1" applyProtection="1">
      <alignment horizontal="center" vertical="center" wrapText="1"/>
    </xf>
    <xf numFmtId="1" fontId="10" fillId="0" borderId="153" xfId="41" applyNumberFormat="1" applyFont="1" applyBorder="1" applyAlignment="1" applyProtection="1">
      <alignment horizontal="center" vertical="center" wrapText="1"/>
    </xf>
    <xf numFmtId="1" fontId="10" fillId="0" borderId="152" xfId="41" applyNumberFormat="1" applyFont="1" applyBorder="1" applyAlignment="1" applyProtection="1">
      <alignment horizontal="center" vertical="center" wrapText="1"/>
      <protection hidden="1"/>
    </xf>
    <xf numFmtId="1" fontId="10" fillId="0" borderId="154" xfId="41" applyNumberFormat="1" applyFont="1" applyBorder="1" applyAlignment="1" applyProtection="1">
      <alignment horizontal="center" vertical="center" wrapText="1"/>
      <protection hidden="1"/>
    </xf>
    <xf numFmtId="1" fontId="10" fillId="0" borderId="155" xfId="41" applyNumberFormat="1" applyFont="1" applyBorder="1" applyAlignment="1" applyProtection="1">
      <alignment horizontal="center" vertical="center" wrapText="1"/>
      <protection hidden="1"/>
    </xf>
    <xf numFmtId="1" fontId="10" fillId="0" borderId="37" xfId="41" applyNumberFormat="1" applyFont="1" applyBorder="1" applyProtection="1"/>
    <xf numFmtId="1" fontId="10" fillId="0" borderId="63" xfId="41" applyNumberFormat="1" applyFont="1" applyBorder="1" applyAlignment="1" applyProtection="1">
      <alignment horizontal="right"/>
    </xf>
    <xf numFmtId="1" fontId="10" fillId="6" borderId="63" xfId="4" applyNumberFormat="1" applyFont="1" applyFill="1" applyBorder="1">
      <protection locked="0"/>
    </xf>
    <xf numFmtId="1" fontId="10" fillId="6" borderId="64" xfId="4" applyNumberFormat="1" applyFont="1" applyFill="1" applyBorder="1">
      <protection locked="0"/>
    </xf>
    <xf numFmtId="1" fontId="10" fillId="6" borderId="49" xfId="4" applyNumberFormat="1" applyFont="1" applyFill="1" applyBorder="1">
      <protection locked="0"/>
    </xf>
    <xf numFmtId="1" fontId="10" fillId="6" borderId="40" xfId="4" applyNumberFormat="1" applyFont="1" applyFill="1" applyBorder="1">
      <protection locked="0"/>
    </xf>
    <xf numFmtId="1" fontId="10" fillId="6" borderId="67" xfId="4" applyNumberFormat="1" applyFont="1" applyFill="1" applyBorder="1">
      <protection locked="0"/>
    </xf>
    <xf numFmtId="1" fontId="10" fillId="0" borderId="99" xfId="41" applyNumberFormat="1" applyFont="1" applyBorder="1" applyProtection="1"/>
    <xf numFmtId="1" fontId="10" fillId="0" borderId="99" xfId="41" applyNumberFormat="1" applyFont="1" applyBorder="1" applyAlignment="1" applyProtection="1">
      <alignment horizontal="right"/>
    </xf>
    <xf numFmtId="1" fontId="10" fillId="0" borderId="51" xfId="41" applyNumberFormat="1" applyFont="1" applyBorder="1" applyProtection="1"/>
    <xf numFmtId="1" fontId="10" fillId="0" borderId="51" xfId="41" applyNumberFormat="1" applyFont="1" applyBorder="1" applyAlignment="1" applyProtection="1">
      <alignment horizontal="right"/>
    </xf>
    <xf numFmtId="1" fontId="10" fillId="6" borderId="51" xfId="4" applyNumberFormat="1" applyFont="1" applyFill="1" applyBorder="1">
      <protection locked="0"/>
    </xf>
    <xf numFmtId="1" fontId="10" fillId="6" borderId="52" xfId="4" applyNumberFormat="1" applyFont="1" applyFill="1" applyBorder="1">
      <protection locked="0"/>
    </xf>
    <xf numFmtId="1" fontId="10" fillId="6" borderId="62" xfId="4" applyNumberFormat="1" applyFont="1" applyFill="1" applyBorder="1">
      <protection locked="0"/>
    </xf>
    <xf numFmtId="1" fontId="10" fillId="6" borderId="54" xfId="4" applyNumberFormat="1" applyFont="1" applyFill="1" applyBorder="1">
      <protection locked="0"/>
    </xf>
    <xf numFmtId="1" fontId="10" fillId="6" borderId="56" xfId="4" applyNumberFormat="1" applyFont="1" applyFill="1" applyBorder="1">
      <protection locked="0"/>
    </xf>
    <xf numFmtId="1" fontId="10" fillId="0" borderId="15" xfId="41" applyNumberFormat="1" applyFont="1" applyBorder="1" applyAlignment="1" applyProtection="1">
      <alignment horizontal="center"/>
    </xf>
    <xf numFmtId="1" fontId="10" fillId="0" borderId="15" xfId="41" applyNumberFormat="1" applyFont="1" applyBorder="1" applyAlignment="1" applyProtection="1">
      <alignment horizontal="right"/>
    </xf>
    <xf numFmtId="1" fontId="10" fillId="0" borderId="80" xfId="41" applyNumberFormat="1" applyFont="1" applyBorder="1" applyAlignment="1" applyProtection="1">
      <alignment horizontal="right"/>
    </xf>
    <xf numFmtId="1" fontId="10" fillId="0" borderId="36" xfId="41" applyNumberFormat="1" applyFont="1" applyBorder="1" applyAlignment="1" applyProtection="1">
      <alignment horizontal="right"/>
    </xf>
    <xf numFmtId="1" fontId="10" fillId="0" borderId="31" xfId="41" applyNumberFormat="1" applyFont="1" applyBorder="1" applyAlignment="1" applyProtection="1">
      <alignment horizontal="right"/>
    </xf>
    <xf numFmtId="1" fontId="10" fillId="0" borderId="156" xfId="41" applyNumberFormat="1" applyFont="1" applyBorder="1" applyAlignment="1" applyProtection="1">
      <alignment horizontal="right"/>
    </xf>
    <xf numFmtId="1" fontId="10" fillId="0" borderId="9" xfId="41" applyNumberFormat="1" applyFont="1" applyBorder="1" applyProtection="1"/>
    <xf numFmtId="1" fontId="15" fillId="0" borderId="0" xfId="41" applyNumberFormat="1" applyFont="1" applyAlignment="1" applyProtection="1">
      <alignment horizontal="right"/>
      <protection hidden="1"/>
    </xf>
    <xf numFmtId="1" fontId="10" fillId="0" borderId="0" xfId="41" applyNumberFormat="1" applyFont="1" applyProtection="1">
      <protection hidden="1"/>
    </xf>
    <xf numFmtId="1" fontId="12" fillId="0" borderId="0" xfId="41" applyNumberFormat="1" applyFont="1" applyAlignment="1" applyProtection="1">
      <alignment wrapText="1"/>
    </xf>
    <xf numFmtId="1" fontId="10" fillId="0" borderId="10" xfId="41" applyNumberFormat="1" applyFont="1" applyBorder="1" applyAlignment="1" applyProtection="1">
      <alignment horizontal="center" vertical="center" wrapText="1"/>
    </xf>
    <xf numFmtId="1" fontId="10" fillId="0" borderId="7" xfId="41" applyNumberFormat="1" applyFont="1" applyBorder="1" applyAlignment="1" applyProtection="1">
      <alignment horizontal="center" vertical="center" wrapText="1"/>
    </xf>
    <xf numFmtId="1" fontId="10" fillId="0" borderId="10" xfId="41" applyNumberFormat="1" applyFont="1" applyBorder="1" applyAlignment="1" applyProtection="1">
      <alignment horizontal="center" vertical="center" wrapText="1"/>
      <protection hidden="1"/>
    </xf>
    <xf numFmtId="1" fontId="10" fillId="0" borderId="11" xfId="41" applyNumberFormat="1" applyFont="1" applyBorder="1" applyAlignment="1" applyProtection="1">
      <alignment horizontal="center" vertical="center" wrapText="1"/>
      <protection hidden="1"/>
    </xf>
    <xf numFmtId="1" fontId="10" fillId="6" borderId="157" xfId="4" applyNumberFormat="1" applyFont="1" applyFill="1" applyBorder="1">
      <protection locked="0"/>
    </xf>
    <xf numFmtId="1" fontId="15" fillId="0" borderId="9" xfId="41" applyNumberFormat="1" applyFont="1" applyBorder="1" applyProtection="1"/>
    <xf numFmtId="1" fontId="15" fillId="0" borderId="0" xfId="0" applyNumberFormat="1" applyFont="1"/>
    <xf numFmtId="1" fontId="15" fillId="0" borderId="0" xfId="41" applyNumberFormat="1" applyFont="1" applyAlignment="1" applyProtection="1">
      <alignment wrapText="1"/>
    </xf>
    <xf numFmtId="1" fontId="10" fillId="0" borderId="20" xfId="41" applyNumberFormat="1" applyFont="1" applyBorder="1" applyAlignment="1" applyProtection="1">
      <alignment horizontal="center" vertical="center" wrapText="1"/>
      <protection hidden="1"/>
    </xf>
    <xf numFmtId="1" fontId="10" fillId="6" borderId="49" xfId="5" applyNumberFormat="1" applyFont="1" applyFill="1" applyBorder="1">
      <protection locked="0"/>
    </xf>
    <xf numFmtId="1" fontId="10" fillId="6" borderId="64" xfId="5" applyNumberFormat="1" applyFont="1" applyFill="1" applyBorder="1">
      <protection locked="0"/>
    </xf>
    <xf numFmtId="1" fontId="10" fillId="6" borderId="40" xfId="5" applyNumberFormat="1" applyFont="1" applyFill="1" applyBorder="1">
      <protection locked="0"/>
    </xf>
    <xf numFmtId="1" fontId="10" fillId="6" borderId="67" xfId="5" applyNumberFormat="1" applyFont="1" applyFill="1" applyBorder="1">
      <protection locked="0"/>
    </xf>
    <xf numFmtId="1" fontId="10" fillId="6" borderId="44" xfId="5" applyNumberFormat="1" applyFont="1" applyFill="1" applyBorder="1">
      <protection locked="0"/>
    </xf>
    <xf numFmtId="1" fontId="10" fillId="6" borderId="62" xfId="5" applyNumberFormat="1" applyFont="1" applyFill="1" applyBorder="1">
      <protection locked="0"/>
    </xf>
    <xf numFmtId="1" fontId="10" fillId="6" borderId="52" xfId="5" applyNumberFormat="1" applyFont="1" applyFill="1" applyBorder="1">
      <protection locked="0"/>
    </xf>
    <xf numFmtId="1" fontId="10" fillId="6" borderId="54" xfId="5" applyNumberFormat="1" applyFont="1" applyFill="1" applyBorder="1">
      <protection locked="0"/>
    </xf>
    <xf numFmtId="1" fontId="10" fillId="6" borderId="56" xfId="5" applyNumberFormat="1" applyFont="1" applyFill="1" applyBorder="1">
      <protection locked="0"/>
    </xf>
    <xf numFmtId="1" fontId="10" fillId="6" borderId="57" xfId="5" applyNumberFormat="1" applyFont="1" applyFill="1" applyBorder="1">
      <protection locked="0"/>
    </xf>
    <xf numFmtId="1" fontId="10" fillId="0" borderId="30" xfId="41" applyNumberFormat="1" applyFont="1" applyBorder="1" applyAlignment="1" applyProtection="1">
      <alignment horizontal="right"/>
    </xf>
    <xf numFmtId="1" fontId="10" fillId="0" borderId="7" xfId="41" applyNumberFormat="1" applyFont="1" applyBorder="1" applyAlignment="1" applyProtection="1">
      <alignment horizontal="right"/>
    </xf>
    <xf numFmtId="1" fontId="17" fillId="20" borderId="0" xfId="0" applyNumberFormat="1" applyFont="1" applyFill="1"/>
    <xf numFmtId="1" fontId="25" fillId="7" borderId="0" xfId="0" applyNumberFormat="1" applyFont="1" applyFill="1"/>
    <xf numFmtId="1" fontId="26" fillId="0" borderId="0" xfId="0" applyNumberFormat="1" applyFont="1"/>
    <xf numFmtId="1" fontId="27" fillId="7" borderId="0" xfId="0" applyNumberFormat="1" applyFont="1" applyFill="1" applyAlignment="1">
      <alignment horizontal="center" vertical="center" wrapText="1"/>
    </xf>
    <xf numFmtId="1" fontId="28" fillId="7" borderId="0" xfId="0" applyNumberFormat="1" applyFont="1" applyFill="1"/>
    <xf numFmtId="1" fontId="29" fillId="7" borderId="0" xfId="0" applyNumberFormat="1" applyFont="1" applyFill="1"/>
    <xf numFmtId="1" fontId="26" fillId="7" borderId="0" xfId="0" applyNumberFormat="1" applyFont="1" applyFill="1"/>
    <xf numFmtId="1" fontId="26" fillId="0" borderId="0" xfId="0" applyNumberFormat="1" applyFont="1" applyProtection="1">
      <protection locked="0"/>
    </xf>
    <xf numFmtId="0" fontId="30" fillId="0" borderId="0" xfId="0" applyFont="1"/>
    <xf numFmtId="1" fontId="31" fillId="7" borderId="14" xfId="0" applyNumberFormat="1" applyFont="1" applyFill="1" applyBorder="1" applyAlignment="1">
      <alignment horizontal="left"/>
    </xf>
    <xf numFmtId="1" fontId="29" fillId="0" borderId="18" xfId="0" applyNumberFormat="1" applyFont="1" applyBorder="1" applyAlignment="1">
      <alignment horizontal="center" vertical="center" wrapText="1"/>
    </xf>
    <xf numFmtId="1" fontId="29" fillId="0" borderId="6" xfId="0" applyNumberFormat="1" applyFont="1" applyBorder="1" applyAlignment="1">
      <alignment horizontal="center" vertical="center"/>
    </xf>
    <xf numFmtId="1" fontId="29" fillId="0" borderId="8" xfId="0" applyNumberFormat="1" applyFont="1" applyBorder="1" applyAlignment="1">
      <alignment horizontal="center" vertical="center"/>
    </xf>
    <xf numFmtId="1" fontId="29" fillId="0" borderId="7" xfId="0" applyNumberFormat="1" applyFont="1" applyBorder="1" applyAlignment="1">
      <alignment horizontal="center" vertical="center"/>
    </xf>
    <xf numFmtId="1" fontId="29" fillId="0" borderId="6" xfId="0" applyNumberFormat="1" applyFont="1" applyBorder="1" applyAlignment="1">
      <alignment horizontal="center" vertical="center" wrapText="1"/>
    </xf>
    <xf numFmtId="1" fontId="29" fillId="0" borderId="7" xfId="0" applyNumberFormat="1" applyFont="1" applyBorder="1"/>
    <xf numFmtId="1" fontId="29" fillId="0" borderId="7" xfId="0" applyNumberFormat="1" applyFont="1" applyBorder="1" applyAlignment="1">
      <alignment horizontal="center" vertical="center" wrapText="1"/>
    </xf>
    <xf numFmtId="1" fontId="29" fillId="0" borderId="20" xfId="0" applyNumberFormat="1" applyFont="1" applyBorder="1" applyAlignment="1">
      <alignment horizontal="center" vertical="center" wrapText="1"/>
    </xf>
    <xf numFmtId="1" fontId="29" fillId="0" borderId="15" xfId="0" applyNumberFormat="1" applyFont="1" applyBorder="1" applyAlignment="1">
      <alignment horizontal="center" vertical="center" wrapText="1"/>
    </xf>
    <xf numFmtId="1" fontId="29" fillId="0" borderId="10" xfId="0" applyNumberFormat="1" applyFont="1" applyBorder="1" applyAlignment="1">
      <alignment horizontal="center" vertical="center"/>
    </xf>
    <xf numFmtId="1" fontId="29" fillId="0" borderId="29" xfId="0" applyNumberFormat="1" applyFont="1" applyBorder="1" applyAlignment="1">
      <alignment horizontal="center" vertical="center"/>
    </xf>
    <xf numFmtId="1" fontId="29" fillId="0" borderId="12" xfId="0" applyNumberFormat="1" applyFont="1" applyBorder="1" applyAlignment="1">
      <alignment horizontal="center" vertical="center"/>
    </xf>
    <xf numFmtId="1" fontId="29" fillId="0" borderId="28" xfId="0" applyNumberFormat="1" applyFont="1" applyBorder="1" applyAlignment="1">
      <alignment horizontal="center" vertical="center"/>
    </xf>
    <xf numFmtId="1" fontId="29" fillId="0" borderId="2" xfId="0" applyNumberFormat="1" applyFont="1" applyBorder="1" applyAlignment="1">
      <alignment horizontal="center" vertical="center"/>
    </xf>
    <xf numFmtId="1" fontId="29" fillId="0" borderId="10" xfId="0" applyNumberFormat="1" applyFont="1" applyBorder="1"/>
    <xf numFmtId="1" fontId="29" fillId="0" borderId="29" xfId="0" applyNumberFormat="1" applyFont="1" applyBorder="1"/>
    <xf numFmtId="1" fontId="29" fillId="0" borderId="12" xfId="0" applyNumberFormat="1" applyFont="1" applyBorder="1"/>
    <xf numFmtId="1" fontId="29" fillId="0" borderId="8" xfId="0" applyNumberFormat="1" applyFont="1" applyBorder="1"/>
    <xf numFmtId="1" fontId="29" fillId="0" borderId="135" xfId="0" applyNumberFormat="1" applyFont="1" applyBorder="1"/>
    <xf numFmtId="1" fontId="29" fillId="0" borderId="2" xfId="0" applyNumberFormat="1" applyFont="1" applyBorder="1"/>
    <xf numFmtId="1" fontId="29" fillId="0" borderId="63" xfId="0" applyNumberFormat="1" applyFont="1" applyBorder="1" applyAlignment="1">
      <alignment horizontal="left" vertical="center"/>
    </xf>
    <xf numFmtId="1" fontId="29" fillId="0" borderId="100" xfId="0" applyNumberFormat="1" applyFont="1" applyBorder="1"/>
    <xf numFmtId="1" fontId="29" fillId="0" borderId="39" xfId="0" applyNumberFormat="1" applyFont="1" applyBorder="1"/>
    <xf numFmtId="1" fontId="29" fillId="0" borderId="98" xfId="0" applyNumberFormat="1" applyFont="1" applyBorder="1"/>
    <xf numFmtId="1" fontId="29" fillId="6" borderId="65" xfId="0" applyNumberFormat="1" applyFont="1" applyFill="1" applyBorder="1" applyAlignment="1" applyProtection="1">
      <alignment horizontal="right"/>
      <protection locked="0"/>
    </xf>
    <xf numFmtId="1" fontId="29" fillId="6" borderId="118" xfId="0" applyNumberFormat="1" applyFont="1" applyFill="1" applyBorder="1" applyAlignment="1" applyProtection="1">
      <alignment horizontal="right"/>
      <protection locked="0"/>
    </xf>
    <xf numFmtId="1" fontId="29" fillId="6" borderId="64" xfId="0" applyNumberFormat="1" applyFont="1" applyFill="1" applyBorder="1" applyAlignment="1" applyProtection="1">
      <alignment horizontal="right"/>
      <protection locked="0"/>
    </xf>
    <xf numFmtId="1" fontId="29" fillId="6" borderId="66" xfId="0" applyNumberFormat="1" applyFont="1" applyFill="1" applyBorder="1" applyAlignment="1" applyProtection="1">
      <alignment horizontal="right"/>
      <protection locked="0"/>
    </xf>
    <xf numFmtId="1" fontId="29" fillId="6" borderId="159" xfId="0" applyNumberFormat="1" applyFont="1" applyFill="1" applyBorder="1" applyAlignment="1" applyProtection="1">
      <alignment horizontal="right"/>
      <protection locked="0"/>
    </xf>
    <xf numFmtId="1" fontId="29" fillId="6" borderId="63" xfId="0" applyNumberFormat="1" applyFont="1" applyFill="1" applyBorder="1" applyAlignment="1" applyProtection="1">
      <alignment horizontal="right"/>
      <protection locked="0"/>
    </xf>
    <xf numFmtId="1" fontId="0" fillId="0" borderId="0" xfId="0" applyNumberFormat="1"/>
    <xf numFmtId="1" fontId="0" fillId="16" borderId="0" xfId="0" applyNumberFormat="1" applyFill="1"/>
    <xf numFmtId="0" fontId="0" fillId="10" borderId="0" xfId="0" applyFill="1"/>
    <xf numFmtId="1" fontId="29" fillId="0" borderId="99" xfId="0" applyNumberFormat="1" applyFont="1" applyBorder="1" applyAlignment="1">
      <alignment horizontal="left" vertical="center"/>
    </xf>
    <xf numFmtId="1" fontId="29" fillId="0" borderId="131" xfId="0" applyNumberFormat="1" applyFont="1" applyBorder="1"/>
    <xf numFmtId="1" fontId="29" fillId="0" borderId="103" xfId="0" applyNumberFormat="1" applyFont="1" applyBorder="1"/>
    <xf numFmtId="1" fontId="29" fillId="6" borderId="131" xfId="0" applyNumberFormat="1" applyFont="1" applyFill="1" applyBorder="1" applyAlignment="1" applyProtection="1">
      <alignment horizontal="right"/>
      <protection locked="0"/>
    </xf>
    <xf numFmtId="1" fontId="29" fillId="6" borderId="116" xfId="0" applyNumberFormat="1" applyFont="1" applyFill="1" applyBorder="1" applyAlignment="1" applyProtection="1">
      <alignment horizontal="right"/>
      <protection locked="0"/>
    </xf>
    <xf numFmtId="1" fontId="29" fillId="6" borderId="100" xfId="0" applyNumberFormat="1" applyFont="1" applyFill="1" applyBorder="1" applyAlignment="1" applyProtection="1">
      <alignment horizontal="right"/>
      <protection locked="0"/>
    </xf>
    <xf numFmtId="1" fontId="29" fillId="6" borderId="102" xfId="0" applyNumberFormat="1" applyFont="1" applyFill="1" applyBorder="1" applyAlignment="1" applyProtection="1">
      <alignment horizontal="right"/>
      <protection locked="0"/>
    </xf>
    <xf numFmtId="1" fontId="29" fillId="0" borderId="86" xfId="0" applyNumberFormat="1" applyFont="1" applyBorder="1" applyAlignment="1">
      <alignment horizontal="left" vertical="center"/>
    </xf>
    <xf numFmtId="1" fontId="29" fillId="7" borderId="51" xfId="0" applyNumberFormat="1" applyFont="1" applyFill="1" applyBorder="1" applyAlignment="1">
      <alignment horizontal="left" vertical="center"/>
    </xf>
    <xf numFmtId="1" fontId="29" fillId="0" borderId="52" xfId="0" applyNumberFormat="1" applyFont="1" applyBorder="1"/>
    <xf numFmtId="1" fontId="29" fillId="0" borderId="53" xfId="0" applyNumberFormat="1" applyFont="1" applyBorder="1"/>
    <xf numFmtId="1" fontId="29" fillId="0" borderId="62" xfId="0" applyNumberFormat="1" applyFont="1" applyBorder="1"/>
    <xf numFmtId="1" fontId="29" fillId="6" borderId="52" xfId="0" applyNumberFormat="1" applyFont="1" applyFill="1" applyBorder="1" applyAlignment="1" applyProtection="1">
      <alignment horizontal="right"/>
      <protection locked="0"/>
    </xf>
    <xf numFmtId="1" fontId="29" fillId="6" borderId="121" xfId="0" applyNumberFormat="1" applyFont="1" applyFill="1" applyBorder="1" applyAlignment="1" applyProtection="1">
      <alignment horizontal="right"/>
      <protection locked="0"/>
    </xf>
    <xf numFmtId="1" fontId="29" fillId="6" borderId="17" xfId="0" applyNumberFormat="1" applyFont="1" applyFill="1" applyBorder="1" applyAlignment="1" applyProtection="1">
      <alignment horizontal="right"/>
      <protection locked="0"/>
    </xf>
    <xf numFmtId="1" fontId="29" fillId="6" borderId="80" xfId="0" applyNumberFormat="1" applyFont="1" applyFill="1" applyBorder="1" applyAlignment="1" applyProtection="1">
      <alignment horizontal="right"/>
      <protection locked="0"/>
    </xf>
    <xf numFmtId="1" fontId="29" fillId="6" borderId="92" xfId="0" applyNumberFormat="1" applyFont="1" applyFill="1" applyBorder="1" applyAlignment="1" applyProtection="1">
      <alignment horizontal="right"/>
      <protection locked="0"/>
    </xf>
    <xf numFmtId="1" fontId="29" fillId="6" borderId="143" xfId="0" applyNumberFormat="1" applyFont="1" applyFill="1" applyBorder="1" applyAlignment="1" applyProtection="1">
      <alignment horizontal="right"/>
      <protection locked="0"/>
    </xf>
    <xf numFmtId="1" fontId="29" fillId="6" borderId="51" xfId="0" applyNumberFormat="1" applyFont="1" applyFill="1" applyBorder="1" applyAlignment="1" applyProtection="1">
      <alignment horizontal="right"/>
      <protection locked="0"/>
    </xf>
    <xf numFmtId="1" fontId="32" fillId="11" borderId="0" xfId="0" applyNumberFormat="1" applyFont="1" applyFill="1"/>
    <xf numFmtId="1" fontId="29" fillId="0" borderId="28" xfId="0" applyNumberFormat="1" applyFont="1" applyBorder="1"/>
    <xf numFmtId="1" fontId="29" fillId="0" borderId="0" xfId="0" applyNumberFormat="1" applyFont="1"/>
    <xf numFmtId="1" fontId="29" fillId="6" borderId="139" xfId="0" applyNumberFormat="1" applyFont="1" applyFill="1" applyBorder="1" applyAlignment="1" applyProtection="1">
      <alignment horizontal="right"/>
      <protection locked="0"/>
    </xf>
    <xf numFmtId="1" fontId="29" fillId="6" borderId="99" xfId="0" applyNumberFormat="1" applyFont="1" applyFill="1" applyBorder="1" applyAlignment="1" applyProtection="1">
      <alignment horizontal="right"/>
      <protection locked="0"/>
    </xf>
    <xf numFmtId="1" fontId="29" fillId="0" borderId="51" xfId="0" applyNumberFormat="1" applyFont="1" applyBorder="1" applyAlignment="1">
      <alignment horizontal="left" vertical="center"/>
    </xf>
    <xf numFmtId="1" fontId="29" fillId="6" borderId="55" xfId="0" applyNumberFormat="1" applyFont="1" applyFill="1" applyBorder="1" applyAlignment="1" applyProtection="1">
      <alignment horizontal="right"/>
      <protection locked="0"/>
    </xf>
    <xf numFmtId="1" fontId="29" fillId="0" borderId="37" xfId="0" applyNumberFormat="1" applyFont="1" applyBorder="1" applyAlignment="1">
      <alignment horizontal="left" vertical="center"/>
    </xf>
    <xf numFmtId="1" fontId="29" fillId="0" borderId="38" xfId="0" applyNumberFormat="1" applyFont="1" applyBorder="1"/>
    <xf numFmtId="1" fontId="29" fillId="6" borderId="38" xfId="0" applyNumberFormat="1" applyFont="1" applyFill="1" applyBorder="1" applyAlignment="1" applyProtection="1">
      <alignment horizontal="right"/>
      <protection locked="0"/>
    </xf>
    <xf numFmtId="1" fontId="29" fillId="6" borderId="112" xfId="0" applyNumberFormat="1" applyFont="1" applyFill="1" applyBorder="1" applyAlignment="1" applyProtection="1">
      <alignment horizontal="right"/>
      <protection locked="0"/>
    </xf>
    <xf numFmtId="1" fontId="29" fillId="6" borderId="42" xfId="0" applyNumberFormat="1" applyFont="1" applyFill="1" applyBorder="1" applyAlignment="1" applyProtection="1">
      <alignment horizontal="right"/>
      <protection locked="0"/>
    </xf>
    <xf numFmtId="1" fontId="29" fillId="6" borderId="137" xfId="0" applyNumberFormat="1" applyFont="1" applyFill="1" applyBorder="1" applyAlignment="1" applyProtection="1">
      <alignment horizontal="right"/>
      <protection locked="0"/>
    </xf>
    <xf numFmtId="1" fontId="29" fillId="6" borderId="37" xfId="0" applyNumberFormat="1" applyFont="1" applyFill="1" applyBorder="1" applyAlignment="1" applyProtection="1">
      <alignment horizontal="right"/>
      <protection locked="0"/>
    </xf>
    <xf numFmtId="1" fontId="29" fillId="0" borderId="51" xfId="0" applyNumberFormat="1" applyFont="1" applyBorder="1" applyAlignment="1">
      <alignment horizontal="left" vertical="center" wrapText="1"/>
    </xf>
    <xf numFmtId="1" fontId="29" fillId="6" borderId="130" xfId="0" applyNumberFormat="1" applyFont="1" applyFill="1" applyBorder="1" applyAlignment="1" applyProtection="1">
      <alignment horizontal="right"/>
      <protection locked="0"/>
    </xf>
    <xf numFmtId="1" fontId="29" fillId="11" borderId="0" xfId="0" applyNumberFormat="1" applyFont="1" applyFill="1"/>
    <xf numFmtId="1" fontId="26" fillId="11" borderId="0" xfId="0" applyNumberFormat="1" applyFont="1" applyFill="1"/>
    <xf numFmtId="1" fontId="29" fillId="0" borderId="37" xfId="0" applyNumberFormat="1" applyFont="1" applyBorder="1" applyAlignment="1">
      <alignment horizontal="left" vertical="center" wrapText="1"/>
    </xf>
    <xf numFmtId="1" fontId="29" fillId="0" borderId="15" xfId="0" applyNumberFormat="1" applyFont="1" applyBorder="1" applyAlignment="1">
      <alignment horizontal="left" vertical="center" wrapText="1"/>
    </xf>
    <xf numFmtId="1" fontId="29" fillId="6" borderId="15" xfId="0" applyNumberFormat="1" applyFont="1" applyFill="1" applyBorder="1" applyAlignment="1" applyProtection="1">
      <alignment horizontal="right"/>
      <protection locked="0"/>
    </xf>
    <xf numFmtId="1" fontId="33" fillId="20" borderId="0" xfId="0" applyNumberFormat="1" applyFont="1" applyFill="1"/>
    <xf numFmtId="1" fontId="0" fillId="7" borderId="0" xfId="0" applyNumberFormat="1" applyFill="1"/>
    <xf numFmtId="1" fontId="29" fillId="11" borderId="0" xfId="0" applyNumberFormat="1" applyFont="1" applyFill="1" applyAlignment="1">
      <alignment wrapText="1"/>
    </xf>
    <xf numFmtId="1" fontId="0" fillId="11" borderId="0" xfId="0" applyNumberFormat="1" applyFill="1"/>
    <xf numFmtId="1" fontId="30" fillId="7" borderId="0" xfId="0" applyNumberFormat="1" applyFont="1" applyFill="1"/>
    <xf numFmtId="1" fontId="12" fillId="7" borderId="0" xfId="0" applyNumberFormat="1" applyFont="1" applyFill="1"/>
    <xf numFmtId="1" fontId="16" fillId="7" borderId="0" xfId="0" applyNumberFormat="1" applyFont="1" applyFill="1" applyAlignment="1">
      <alignment wrapText="1"/>
    </xf>
    <xf numFmtId="1" fontId="24" fillId="7" borderId="160" xfId="0" applyNumberFormat="1" applyFont="1" applyFill="1" applyBorder="1" applyAlignment="1">
      <alignment wrapText="1"/>
    </xf>
    <xf numFmtId="1" fontId="24" fillId="7" borderId="0" xfId="0" applyNumberFormat="1" applyFont="1" applyFill="1" applyAlignment="1">
      <alignment wrapText="1"/>
    </xf>
    <xf numFmtId="1" fontId="10" fillId="11" borderId="0" xfId="0" applyNumberFormat="1" applyFont="1" applyFill="1" applyAlignment="1">
      <alignment wrapText="1"/>
    </xf>
    <xf numFmtId="1" fontId="12" fillId="0" borderId="14" xfId="0" applyNumberFormat="1" applyFont="1" applyBorder="1"/>
    <xf numFmtId="1" fontId="11" fillId="7" borderId="14" xfId="0" applyNumberFormat="1" applyFont="1" applyFill="1" applyBorder="1"/>
    <xf numFmtId="1" fontId="11" fillId="7" borderId="0" xfId="0" applyNumberFormat="1" applyFont="1" applyFill="1"/>
    <xf numFmtId="1" fontId="22" fillId="0" borderId="161" xfId="0" applyNumberFormat="1" applyFont="1" applyBorder="1"/>
    <xf numFmtId="1" fontId="22" fillId="0" borderId="162" xfId="0" applyNumberFormat="1" applyFont="1" applyBorder="1"/>
    <xf numFmtId="1" fontId="22" fillId="0" borderId="163" xfId="0" applyNumberFormat="1" applyFont="1" applyBorder="1"/>
    <xf numFmtId="1" fontId="22" fillId="0" borderId="160" xfId="0" applyNumberFormat="1" applyFont="1" applyBorder="1"/>
    <xf numFmtId="1" fontId="10" fillId="0" borderId="14" xfId="0" applyNumberFormat="1" applyFont="1" applyBorder="1" applyAlignment="1">
      <alignment horizontal="center" vertical="center" wrapText="1"/>
    </xf>
    <xf numFmtId="1" fontId="10" fillId="0" borderId="164" xfId="0" applyNumberFormat="1" applyFont="1" applyBorder="1" applyAlignment="1">
      <alignment horizontal="center" vertical="center"/>
    </xf>
    <xf numFmtId="1" fontId="10" fillId="0" borderId="2" xfId="0" applyNumberFormat="1" applyFont="1" applyBorder="1" applyAlignment="1">
      <alignment horizontal="left" vertical="center" wrapText="1"/>
    </xf>
    <xf numFmtId="1" fontId="10" fillId="0" borderId="10" xfId="0" applyNumberFormat="1" applyFont="1" applyBorder="1" applyAlignment="1">
      <alignment horizontal="right"/>
    </xf>
    <xf numFmtId="1" fontId="10" fillId="0" borderId="29" xfId="0" applyNumberFormat="1" applyFont="1" applyBorder="1" applyAlignment="1">
      <alignment horizontal="right"/>
    </xf>
    <xf numFmtId="1" fontId="10" fillId="0" borderId="7" xfId="0" applyNumberFormat="1" applyFont="1" applyBorder="1" applyAlignment="1">
      <alignment horizontal="right"/>
    </xf>
    <xf numFmtId="1" fontId="10" fillId="6" borderId="10" xfId="0" applyNumberFormat="1" applyFont="1" applyFill="1" applyBorder="1" applyAlignment="1" applyProtection="1">
      <alignment horizontal="right"/>
      <protection locked="0"/>
    </xf>
    <xf numFmtId="1" fontId="10" fillId="6" borderId="7" xfId="0" applyNumberFormat="1" applyFont="1" applyFill="1" applyBorder="1" applyAlignment="1" applyProtection="1">
      <alignment horizontal="right"/>
      <protection locked="0"/>
    </xf>
    <xf numFmtId="1" fontId="10" fillId="0" borderId="37" xfId="0" applyNumberFormat="1" applyFont="1" applyBorder="1" applyAlignment="1">
      <alignment horizontal="left" vertical="center"/>
    </xf>
    <xf numFmtId="1" fontId="10" fillId="0" borderId="38" xfId="0" applyNumberFormat="1" applyFont="1" applyBorder="1" applyAlignment="1">
      <alignment horizontal="right" wrapText="1"/>
    </xf>
    <xf numFmtId="1" fontId="10" fillId="0" borderId="41" xfId="0" applyNumberFormat="1" applyFont="1" applyBorder="1" applyAlignment="1">
      <alignment horizontal="right"/>
    </xf>
    <xf numFmtId="1" fontId="10" fillId="0" borderId="98" xfId="0" applyNumberFormat="1" applyFont="1" applyBorder="1" applyAlignment="1">
      <alignment horizontal="right"/>
    </xf>
    <xf numFmtId="1" fontId="10" fillId="0" borderId="36" xfId="0" applyNumberFormat="1" applyFont="1" applyBorder="1" applyAlignment="1">
      <alignment horizontal="left" vertical="center" wrapText="1"/>
    </xf>
    <xf numFmtId="1" fontId="10" fillId="0" borderId="51" xfId="0" applyNumberFormat="1" applyFont="1" applyBorder="1" applyAlignment="1">
      <alignment horizontal="left" vertical="center" wrapText="1"/>
    </xf>
    <xf numFmtId="1" fontId="10" fillId="0" borderId="52" xfId="0" applyNumberFormat="1" applyFont="1" applyBorder="1" applyAlignment="1">
      <alignment horizontal="right" wrapText="1"/>
    </xf>
    <xf numFmtId="1" fontId="10" fillId="0" borderId="76" xfId="0" applyNumberFormat="1" applyFont="1" applyBorder="1" applyAlignment="1">
      <alignment horizontal="right"/>
    </xf>
    <xf numFmtId="1" fontId="10" fillId="0" borderId="62" xfId="0" applyNumberFormat="1" applyFont="1" applyBorder="1" applyAlignment="1">
      <alignment horizontal="right"/>
    </xf>
    <xf numFmtId="1" fontId="10" fillId="6" borderId="104" xfId="112" applyNumberFormat="1" applyFont="1" applyBorder="1" applyAlignment="1" applyProtection="1">
      <alignment horizontal="right"/>
      <protection locked="0"/>
    </xf>
    <xf numFmtId="1" fontId="10" fillId="6" borderId="105" xfId="112" applyNumberFormat="1" applyFont="1" applyBorder="1" applyAlignment="1" applyProtection="1">
      <alignment horizontal="right"/>
      <protection locked="0"/>
    </xf>
    <xf numFmtId="1" fontId="10" fillId="6" borderId="119" xfId="112" applyNumberFormat="1" applyFont="1" applyBorder="1" applyAlignment="1" applyProtection="1">
      <alignment horizontal="right"/>
      <protection locked="0"/>
    </xf>
    <xf numFmtId="1" fontId="11" fillId="7" borderId="0" xfId="0" applyNumberFormat="1" applyFont="1" applyFill="1" applyAlignment="1">
      <alignment wrapText="1"/>
    </xf>
    <xf numFmtId="1" fontId="16" fillId="11" borderId="0" xfId="0" applyNumberFormat="1" applyFont="1" applyFill="1" applyAlignment="1">
      <alignment wrapText="1"/>
    </xf>
    <xf numFmtId="1" fontId="10" fillId="0" borderId="164" xfId="0" applyNumberFormat="1" applyFont="1" applyBorder="1" applyAlignment="1">
      <alignment horizontal="center" vertical="center" wrapText="1"/>
    </xf>
    <xf numFmtId="1" fontId="10" fillId="0" borderId="164" xfId="0" applyNumberFormat="1" applyFont="1" applyBorder="1" applyAlignment="1">
      <alignment horizontal="right" wrapText="1"/>
    </xf>
    <xf numFmtId="1" fontId="10" fillId="0" borderId="22" xfId="0" applyNumberFormat="1" applyFont="1" applyBorder="1" applyAlignment="1">
      <alignment horizontal="right" wrapText="1"/>
    </xf>
    <xf numFmtId="1" fontId="10" fillId="0" borderId="7" xfId="0" applyNumberFormat="1" applyFont="1" applyBorder="1" applyAlignment="1">
      <alignment horizontal="right" wrapText="1"/>
    </xf>
    <xf numFmtId="1" fontId="10" fillId="6" borderId="12" xfId="0" applyNumberFormat="1" applyFont="1" applyFill="1" applyBorder="1" applyAlignment="1" applyProtection="1">
      <alignment horizontal="right"/>
      <protection locked="0"/>
    </xf>
    <xf numFmtId="1" fontId="10" fillId="6" borderId="165" xfId="0" applyNumberFormat="1" applyFont="1" applyFill="1" applyBorder="1" applyAlignment="1" applyProtection="1">
      <alignment horizontal="right"/>
      <protection locked="0"/>
    </xf>
    <xf numFmtId="1" fontId="10" fillId="6" borderId="135" xfId="0" applyNumberFormat="1" applyFont="1" applyFill="1" applyBorder="1" applyAlignment="1" applyProtection="1">
      <alignment horizontal="right"/>
      <protection locked="0"/>
    </xf>
    <xf numFmtId="1" fontId="10" fillId="6" borderId="2" xfId="0" applyNumberFormat="1" applyFont="1" applyFill="1" applyBorder="1" applyAlignment="1" applyProtection="1">
      <alignment horizontal="right"/>
      <protection locked="0"/>
    </xf>
    <xf numFmtId="1" fontId="34" fillId="11" borderId="0" xfId="0" applyNumberFormat="1" applyFont="1" applyFill="1" applyAlignment="1">
      <alignment vertical="center"/>
    </xf>
    <xf numFmtId="0" fontId="35" fillId="0" borderId="0" xfId="0" applyFont="1"/>
    <xf numFmtId="1" fontId="35" fillId="0" borderId="0" xfId="0" applyNumberFormat="1" applyFont="1"/>
    <xf numFmtId="1" fontId="30" fillId="0" borderId="0" xfId="0" applyNumberFormat="1" applyFont="1"/>
    <xf numFmtId="1" fontId="30" fillId="16" borderId="0" xfId="0" applyNumberFormat="1" applyFont="1" applyFill="1"/>
    <xf numFmtId="0" fontId="30" fillId="0" borderId="0" xfId="0" applyFont="1" applyAlignment="1">
      <alignment vertical="center"/>
    </xf>
    <xf numFmtId="0" fontId="30" fillId="10" borderId="0" xfId="0" applyFont="1" applyFill="1"/>
    <xf numFmtId="1" fontId="10" fillId="0" borderId="41" xfId="0" applyNumberFormat="1" applyFont="1" applyBorder="1" applyAlignment="1">
      <alignment horizontal="right" wrapText="1"/>
    </xf>
    <xf numFmtId="1" fontId="10" fillId="6" borderId="118" xfId="0" applyNumberFormat="1" applyFont="1" applyFill="1" applyBorder="1" applyAlignment="1" applyProtection="1">
      <alignment horizontal="right"/>
      <protection locked="0"/>
    </xf>
    <xf numFmtId="1" fontId="10" fillId="6" borderId="166" xfId="0" applyNumberFormat="1" applyFont="1" applyFill="1" applyBorder="1" applyAlignment="1" applyProtection="1">
      <alignment horizontal="right"/>
      <protection locked="0"/>
    </xf>
    <xf numFmtId="1" fontId="10" fillId="6" borderId="159" xfId="0" applyNumberFormat="1" applyFont="1" applyFill="1" applyBorder="1" applyAlignment="1" applyProtection="1">
      <alignment horizontal="right"/>
      <protection locked="0"/>
    </xf>
    <xf numFmtId="1" fontId="10" fillId="0" borderId="64" xfId="0" applyNumberFormat="1" applyFont="1" applyBorder="1" applyAlignment="1">
      <alignment horizontal="right" wrapText="1"/>
    </xf>
    <xf numFmtId="1" fontId="10" fillId="0" borderId="40" xfId="0" applyNumberFormat="1" applyFont="1" applyBorder="1" applyAlignment="1">
      <alignment horizontal="right" wrapText="1"/>
    </xf>
    <xf numFmtId="1" fontId="10" fillId="0" borderId="49" xfId="0" applyNumberFormat="1" applyFont="1" applyBorder="1" applyAlignment="1">
      <alignment horizontal="right"/>
    </xf>
    <xf numFmtId="1" fontId="10" fillId="6" borderId="128" xfId="0" applyNumberFormat="1" applyFont="1" applyFill="1" applyBorder="1" applyAlignment="1" applyProtection="1">
      <alignment horizontal="right"/>
      <protection locked="0"/>
    </xf>
    <xf numFmtId="1" fontId="10" fillId="0" borderId="63" xfId="0" applyNumberFormat="1" applyFont="1" applyBorder="1" applyAlignment="1">
      <alignment horizontal="left" vertical="center" wrapText="1"/>
    </xf>
    <xf numFmtId="1" fontId="10" fillId="0" borderId="100" xfId="0" applyNumberFormat="1" applyFont="1" applyBorder="1" applyAlignment="1">
      <alignment horizontal="right" wrapText="1"/>
    </xf>
    <xf numFmtId="1" fontId="10" fillId="0" borderId="101" xfId="0" applyNumberFormat="1" applyFont="1" applyBorder="1" applyAlignment="1">
      <alignment horizontal="right" wrapText="1"/>
    </xf>
    <xf numFmtId="1" fontId="10" fillId="0" borderId="103" xfId="0" applyNumberFormat="1" applyFont="1" applyBorder="1" applyAlignment="1">
      <alignment horizontal="right"/>
    </xf>
    <xf numFmtId="1" fontId="10" fillId="0" borderId="54" xfId="0" applyNumberFormat="1" applyFont="1" applyBorder="1" applyAlignment="1">
      <alignment horizontal="right" wrapText="1"/>
    </xf>
    <xf numFmtId="1" fontId="10" fillId="6" borderId="89" xfId="0" applyNumberFormat="1" applyFont="1" applyFill="1" applyBorder="1" applyAlignment="1" applyProtection="1">
      <alignment horizontal="right"/>
      <protection locked="0"/>
    </xf>
    <xf numFmtId="1" fontId="10" fillId="6" borderId="75" xfId="0" applyNumberFormat="1" applyFont="1" applyFill="1" applyBorder="1" applyAlignment="1" applyProtection="1">
      <alignment horizontal="right"/>
      <protection locked="0"/>
    </xf>
    <xf numFmtId="1" fontId="10" fillId="0" borderId="166" xfId="0" applyNumberFormat="1" applyFont="1" applyBorder="1" applyAlignment="1">
      <alignment horizontal="left" vertical="center" wrapText="1"/>
    </xf>
    <xf numFmtId="1" fontId="10" fillId="11" borderId="166" xfId="0" applyNumberFormat="1" applyFont="1" applyFill="1" applyBorder="1" applyAlignment="1">
      <alignment horizontal="left" vertical="center" wrapText="1"/>
    </xf>
    <xf numFmtId="1" fontId="10" fillId="11" borderId="64" xfId="0" applyNumberFormat="1" applyFont="1" applyFill="1" applyBorder="1" applyAlignment="1">
      <alignment horizontal="right" wrapText="1"/>
    </xf>
    <xf numFmtId="1" fontId="10" fillId="11" borderId="40" xfId="0" applyNumberFormat="1" applyFont="1" applyFill="1" applyBorder="1" applyAlignment="1">
      <alignment horizontal="right" wrapText="1"/>
    </xf>
    <xf numFmtId="1" fontId="10" fillId="11" borderId="49" xfId="0" applyNumberFormat="1" applyFont="1" applyFill="1" applyBorder="1" applyAlignment="1">
      <alignment horizontal="right"/>
    </xf>
    <xf numFmtId="1" fontId="10" fillId="6" borderId="71" xfId="0" applyNumberFormat="1" applyFont="1" applyFill="1" applyBorder="1" applyAlignment="1" applyProtection="1">
      <alignment horizontal="right"/>
      <protection locked="0"/>
    </xf>
    <xf numFmtId="1" fontId="10" fillId="6" borderId="167" xfId="0" applyNumberFormat="1" applyFont="1" applyFill="1" applyBorder="1" applyAlignment="1" applyProtection="1">
      <alignment horizontal="right"/>
      <protection locked="0"/>
    </xf>
    <xf numFmtId="1" fontId="10" fillId="6" borderId="168" xfId="0" applyNumberFormat="1" applyFont="1" applyFill="1" applyBorder="1" applyAlignment="1" applyProtection="1">
      <alignment horizontal="right"/>
      <protection locked="0"/>
    </xf>
    <xf numFmtId="1" fontId="10" fillId="6" borderId="169" xfId="0" applyNumberFormat="1" applyFont="1" applyFill="1" applyBorder="1" applyAlignment="1" applyProtection="1">
      <alignment horizontal="right"/>
      <protection locked="0"/>
    </xf>
    <xf numFmtId="1" fontId="10" fillId="6" borderId="170" xfId="0" applyNumberFormat="1" applyFont="1" applyFill="1" applyBorder="1" applyAlignment="1" applyProtection="1">
      <alignment horizontal="right"/>
      <protection locked="0"/>
    </xf>
    <xf numFmtId="1" fontId="10" fillId="6" borderId="86" xfId="0" applyNumberFormat="1" applyFont="1" applyFill="1" applyBorder="1" applyAlignment="1" applyProtection="1">
      <alignment horizontal="right"/>
      <protection locked="0"/>
    </xf>
    <xf numFmtId="0" fontId="10" fillId="0" borderId="99" xfId="0" applyFont="1" applyBorder="1"/>
    <xf numFmtId="1" fontId="10" fillId="0" borderId="69" xfId="0" applyNumberFormat="1" applyFont="1" applyBorder="1" applyAlignment="1">
      <alignment horizontal="right" wrapText="1"/>
    </xf>
    <xf numFmtId="1" fontId="10" fillId="0" borderId="70" xfId="0" applyNumberFormat="1" applyFont="1" applyBorder="1" applyAlignment="1">
      <alignment horizontal="right" wrapText="1"/>
    </xf>
    <xf numFmtId="1" fontId="10" fillId="0" borderId="50" xfId="0" applyNumberFormat="1" applyFont="1" applyBorder="1" applyAlignment="1">
      <alignment horizontal="right"/>
    </xf>
    <xf numFmtId="0" fontId="10" fillId="0" borderId="51" xfId="0" applyFont="1" applyBorder="1"/>
    <xf numFmtId="1" fontId="10" fillId="0" borderId="71" xfId="0" applyNumberFormat="1" applyFont="1" applyBorder="1" applyAlignment="1">
      <alignment horizontal="right" wrapText="1"/>
    </xf>
    <xf numFmtId="1" fontId="10" fillId="0" borderId="78" xfId="0" applyNumberFormat="1" applyFont="1" applyBorder="1" applyAlignment="1">
      <alignment horizontal="right" wrapText="1"/>
    </xf>
    <xf numFmtId="1" fontId="10" fillId="0" borderId="171" xfId="0" applyNumberFormat="1" applyFont="1" applyBorder="1" applyAlignment="1">
      <alignment horizontal="right"/>
    </xf>
    <xf numFmtId="1" fontId="12" fillId="0" borderId="8" xfId="0" applyNumberFormat="1" applyFont="1" applyBorder="1"/>
    <xf numFmtId="1" fontId="11" fillId="0" borderId="8" xfId="0" applyNumberFormat="1" applyFont="1" applyBorder="1"/>
    <xf numFmtId="1" fontId="10" fillId="0" borderId="172" xfId="0" applyNumberFormat="1" applyFont="1" applyBorder="1" applyAlignment="1">
      <alignment horizontal="center" vertical="center" wrapText="1"/>
    </xf>
    <xf numFmtId="1" fontId="10" fillId="0" borderId="89" xfId="0" applyNumberFormat="1" applyFont="1" applyBorder="1" applyAlignment="1">
      <alignment vertical="center" wrapText="1"/>
    </xf>
    <xf numFmtId="1" fontId="10" fillId="0" borderId="173" xfId="0" applyNumberFormat="1" applyFont="1" applyBorder="1" applyAlignment="1">
      <alignment vertical="center" wrapText="1"/>
    </xf>
    <xf numFmtId="1" fontId="10" fillId="0" borderId="39" xfId="0" applyNumberFormat="1" applyFont="1" applyBorder="1" applyAlignment="1">
      <alignment vertical="center" wrapText="1"/>
    </xf>
    <xf numFmtId="1" fontId="10" fillId="0" borderId="98" xfId="0" applyNumberFormat="1" applyFont="1" applyBorder="1"/>
    <xf numFmtId="1" fontId="10" fillId="0" borderId="128" xfId="0" applyNumberFormat="1" applyFont="1" applyBorder="1" applyAlignment="1">
      <alignment vertical="center" wrapText="1"/>
    </xf>
    <xf numFmtId="1" fontId="10" fillId="0" borderId="174" xfId="0" applyNumberFormat="1" applyFont="1" applyBorder="1" applyAlignment="1">
      <alignment vertical="center" wrapText="1"/>
    </xf>
    <xf numFmtId="1" fontId="10" fillId="0" borderId="65" xfId="0" applyNumberFormat="1" applyFont="1" applyBorder="1" applyAlignment="1">
      <alignment vertical="center" wrapText="1"/>
    </xf>
    <xf numFmtId="1" fontId="10" fillId="0" borderId="175" xfId="0" applyNumberFormat="1" applyFont="1" applyBorder="1" applyAlignment="1">
      <alignment vertical="center" wrapText="1"/>
    </xf>
    <xf numFmtId="1" fontId="10" fillId="0" borderId="131" xfId="0" applyNumberFormat="1" applyFont="1" applyBorder="1" applyAlignment="1">
      <alignment vertical="center" wrapText="1"/>
    </xf>
    <xf numFmtId="1" fontId="10" fillId="0" borderId="16" xfId="0" applyNumberFormat="1" applyFont="1" applyBorder="1" applyAlignment="1">
      <alignment vertical="center" wrapText="1"/>
    </xf>
    <xf numFmtId="1" fontId="10" fillId="0" borderId="176" xfId="0" applyNumberFormat="1" applyFont="1" applyBorder="1" applyAlignment="1">
      <alignment vertical="center" wrapText="1"/>
    </xf>
    <xf numFmtId="1" fontId="10" fillId="0" borderId="76" xfId="0" applyNumberFormat="1" applyFont="1" applyBorder="1" applyAlignment="1">
      <alignment vertical="center" wrapText="1"/>
    </xf>
    <xf numFmtId="1" fontId="10" fillId="0" borderId="36" xfId="0" applyNumberFormat="1" applyFont="1" applyBorder="1"/>
    <xf numFmtId="1" fontId="10" fillId="6" borderId="36" xfId="0" applyNumberFormat="1" applyFont="1" applyFill="1" applyBorder="1" applyAlignment="1" applyProtection="1">
      <alignment horizontal="right"/>
      <protection locked="0"/>
    </xf>
    <xf numFmtId="1" fontId="10" fillId="6" borderId="16" xfId="0" applyNumberFormat="1" applyFont="1" applyFill="1" applyBorder="1" applyAlignment="1" applyProtection="1">
      <alignment horizontal="right"/>
      <protection locked="0"/>
    </xf>
    <xf numFmtId="1" fontId="10" fillId="0" borderId="17" xfId="0" applyNumberFormat="1" applyFont="1" applyBorder="1" applyAlignment="1">
      <alignment horizontal="center" vertical="center" wrapText="1"/>
    </xf>
    <xf numFmtId="1" fontId="10" fillId="0" borderId="6" xfId="0" applyNumberFormat="1" applyFont="1" applyBorder="1" applyAlignment="1">
      <alignment vertical="center" wrapText="1"/>
    </xf>
    <xf numFmtId="1" fontId="10" fillId="0" borderId="178" xfId="0" applyNumberFormat="1" applyFont="1" applyBorder="1" applyAlignment="1">
      <alignment horizontal="right" wrapText="1"/>
    </xf>
    <xf numFmtId="1" fontId="10" fillId="0" borderId="29" xfId="0" applyNumberFormat="1" applyFont="1" applyBorder="1" applyAlignment="1">
      <alignment horizontal="right" wrapText="1"/>
    </xf>
    <xf numFmtId="1" fontId="10" fillId="0" borderId="10" xfId="0" applyNumberFormat="1" applyFont="1" applyBorder="1"/>
    <xf numFmtId="1" fontId="10" fillId="0" borderId="6" xfId="0" applyNumberFormat="1" applyFont="1" applyBorder="1"/>
    <xf numFmtId="1" fontId="10" fillId="0" borderId="165" xfId="0" applyNumberFormat="1" applyFont="1" applyBorder="1"/>
    <xf numFmtId="1" fontId="10" fillId="0" borderId="135" xfId="0" applyNumberFormat="1" applyFont="1" applyBorder="1"/>
    <xf numFmtId="1" fontId="10" fillId="0" borderId="12" xfId="0" applyNumberFormat="1" applyFont="1" applyBorder="1"/>
    <xf numFmtId="1" fontId="10" fillId="0" borderId="166" xfId="0" applyNumberFormat="1" applyFont="1" applyBorder="1" applyAlignment="1">
      <alignment vertical="center"/>
    </xf>
    <xf numFmtId="1" fontId="10" fillId="0" borderId="174" xfId="0" applyNumberFormat="1" applyFont="1" applyBorder="1" applyAlignment="1">
      <alignment horizontal="right"/>
    </xf>
    <xf numFmtId="1" fontId="10" fillId="0" borderId="65" xfId="0" applyNumberFormat="1" applyFont="1" applyBorder="1" applyAlignment="1">
      <alignment horizontal="right"/>
    </xf>
    <xf numFmtId="1" fontId="10" fillId="0" borderId="175" xfId="0" applyNumberFormat="1" applyFont="1" applyBorder="1" applyAlignment="1">
      <alignment horizontal="right" wrapText="1"/>
    </xf>
    <xf numFmtId="1" fontId="10" fillId="0" borderId="131" xfId="0" applyNumberFormat="1" applyFont="1" applyBorder="1" applyAlignment="1">
      <alignment horizontal="right" wrapText="1"/>
    </xf>
    <xf numFmtId="1" fontId="10" fillId="0" borderId="127" xfId="0" applyNumberFormat="1" applyFont="1" applyBorder="1" applyAlignment="1">
      <alignment vertical="center" wrapText="1"/>
    </xf>
    <xf numFmtId="1" fontId="10" fillId="0" borderId="179" xfId="0" applyNumberFormat="1" applyFont="1" applyBorder="1" applyAlignment="1">
      <alignment horizontal="right" wrapText="1"/>
    </xf>
    <xf numFmtId="1" fontId="10" fillId="0" borderId="53" xfId="0" applyNumberFormat="1" applyFont="1" applyBorder="1" applyAlignment="1">
      <alignment horizontal="right" wrapText="1"/>
    </xf>
    <xf numFmtId="1" fontId="10" fillId="0" borderId="37" xfId="0" applyNumberFormat="1" applyFont="1" applyBorder="1" applyAlignment="1">
      <alignment horizontal="right" wrapText="1"/>
    </xf>
    <xf numFmtId="1" fontId="10" fillId="15" borderId="41" xfId="0" applyNumberFormat="1" applyFont="1" applyFill="1" applyBorder="1" applyAlignment="1">
      <alignment horizontal="right"/>
    </xf>
    <xf numFmtId="1" fontId="10" fillId="15" borderId="42" xfId="0" applyNumberFormat="1" applyFont="1" applyFill="1" applyBorder="1" applyAlignment="1">
      <alignment horizontal="right"/>
    </xf>
    <xf numFmtId="1" fontId="10" fillId="0" borderId="86" xfId="0" applyNumberFormat="1" applyFont="1" applyBorder="1" applyAlignment="1">
      <alignment horizontal="left" wrapText="1"/>
    </xf>
    <xf numFmtId="1" fontId="10" fillId="0" borderId="99" xfId="0" applyNumberFormat="1" applyFont="1" applyBorder="1" applyAlignment="1">
      <alignment horizontal="right" wrapText="1"/>
    </xf>
    <xf numFmtId="1" fontId="10" fillId="15" borderId="64" xfId="0" applyNumberFormat="1" applyFont="1" applyFill="1" applyBorder="1" applyAlignment="1">
      <alignment horizontal="right"/>
    </xf>
    <xf numFmtId="1" fontId="10" fillId="15" borderId="40" xfId="0" applyNumberFormat="1" applyFont="1" applyFill="1" applyBorder="1" applyAlignment="1">
      <alignment horizontal="right"/>
    </xf>
    <xf numFmtId="1" fontId="10" fillId="6" borderId="40" xfId="112" applyNumberFormat="1" applyFont="1" applyBorder="1" applyAlignment="1" applyProtection="1">
      <alignment horizontal="right"/>
      <protection locked="0"/>
    </xf>
    <xf numFmtId="1" fontId="10" fillId="0" borderId="51" xfId="0" applyNumberFormat="1" applyFont="1" applyBorder="1" applyAlignment="1">
      <alignment horizontal="right" wrapText="1"/>
    </xf>
    <xf numFmtId="1" fontId="10" fillId="6" borderId="54" xfId="112" applyNumberFormat="1" applyFont="1" applyBorder="1" applyAlignment="1" applyProtection="1">
      <alignment horizontal="right"/>
      <protection locked="0"/>
    </xf>
    <xf numFmtId="1" fontId="10" fillId="0" borderId="80" xfId="0" applyNumberFormat="1" applyFont="1" applyBorder="1" applyAlignment="1">
      <alignment horizontal="right" wrapText="1"/>
    </xf>
    <xf numFmtId="1" fontId="10" fillId="6" borderId="80" xfId="112" applyNumberFormat="1" applyFont="1" applyBorder="1" applyAlignment="1" applyProtection="1">
      <alignment horizontal="right"/>
      <protection locked="0"/>
    </xf>
    <xf numFmtId="1" fontId="10" fillId="6" borderId="31" xfId="112" applyNumberFormat="1" applyFont="1" applyBorder="1" applyAlignment="1" applyProtection="1">
      <alignment horizontal="right"/>
      <protection locked="0"/>
    </xf>
    <xf numFmtId="1" fontId="10" fillId="6" borderId="14" xfId="0" applyNumberFormat="1" applyFont="1" applyFill="1" applyBorder="1" applyAlignment="1" applyProtection="1">
      <alignment horizontal="right"/>
      <protection locked="0"/>
    </xf>
    <xf numFmtId="1" fontId="10" fillId="11" borderId="0" xfId="0" applyNumberFormat="1" applyFont="1" applyFill="1" applyProtection="1">
      <protection locked="0"/>
    </xf>
    <xf numFmtId="1" fontId="10" fillId="0" borderId="178" xfId="0" applyNumberFormat="1" applyFont="1" applyBorder="1" applyAlignment="1">
      <alignment horizontal="center" vertical="center" wrapText="1"/>
    </xf>
    <xf numFmtId="1" fontId="10" fillId="0" borderId="166" xfId="0" applyNumberFormat="1" applyFont="1" applyBorder="1" applyAlignment="1">
      <alignment vertical="center" wrapText="1"/>
    </xf>
    <xf numFmtId="1" fontId="10" fillId="0" borderId="174" xfId="0" applyNumberFormat="1" applyFont="1" applyBorder="1" applyAlignment="1">
      <alignment horizontal="right" wrapText="1"/>
    </xf>
    <xf numFmtId="1" fontId="10" fillId="11" borderId="65" xfId="0" applyNumberFormat="1" applyFont="1" applyFill="1" applyBorder="1"/>
    <xf numFmtId="1" fontId="10" fillId="11" borderId="49" xfId="0" applyNumberFormat="1" applyFont="1" applyFill="1" applyBorder="1"/>
    <xf numFmtId="1" fontId="10" fillId="0" borderId="140" xfId="0" applyNumberFormat="1" applyFont="1" applyBorder="1" applyAlignment="1">
      <alignment vertical="center" wrapText="1"/>
    </xf>
    <xf numFmtId="1" fontId="10" fillId="11" borderId="131" xfId="0" applyNumberFormat="1" applyFont="1" applyFill="1" applyBorder="1"/>
    <xf numFmtId="1" fontId="10" fillId="11" borderId="103" xfId="0" applyNumberFormat="1" applyFont="1" applyFill="1" applyBorder="1"/>
    <xf numFmtId="1" fontId="10" fillId="6" borderId="180" xfId="0" applyNumberFormat="1" applyFont="1" applyFill="1" applyBorder="1" applyAlignment="1" applyProtection="1">
      <alignment horizontal="right"/>
      <protection locked="0"/>
    </xf>
    <xf numFmtId="1" fontId="10" fillId="11" borderId="53" xfId="0" applyNumberFormat="1" applyFont="1" applyFill="1" applyBorder="1"/>
    <xf numFmtId="1" fontId="10" fillId="11" borderId="62" xfId="0" applyNumberFormat="1" applyFont="1" applyFill="1" applyBorder="1"/>
    <xf numFmtId="1" fontId="12" fillId="11" borderId="0" xfId="0" applyNumberFormat="1" applyFont="1" applyFill="1"/>
    <xf numFmtId="1" fontId="10" fillId="11" borderId="0" xfId="0" applyNumberFormat="1" applyFont="1" applyFill="1"/>
    <xf numFmtId="1" fontId="11" fillId="11" borderId="0" xfId="0" applyNumberFormat="1" applyFont="1" applyFill="1"/>
    <xf numFmtId="1" fontId="10" fillId="0" borderId="63" xfId="0" applyNumberFormat="1" applyFont="1" applyBorder="1"/>
    <xf numFmtId="1" fontId="10" fillId="0" borderId="89" xfId="0" applyNumberFormat="1" applyFont="1" applyBorder="1" applyAlignment="1">
      <alignment vertical="center"/>
    </xf>
    <xf numFmtId="1" fontId="30" fillId="16" borderId="0" xfId="0" applyNumberFormat="1" applyFont="1" applyFill="1" applyProtection="1">
      <protection locked="0"/>
    </xf>
    <xf numFmtId="1" fontId="30" fillId="0" borderId="0" xfId="0" applyNumberFormat="1" applyFont="1" applyProtection="1">
      <protection locked="0"/>
    </xf>
    <xf numFmtId="1" fontId="30" fillId="10" borderId="0" xfId="0" applyNumberFormat="1" applyFont="1" applyFill="1" applyProtection="1">
      <protection locked="0"/>
    </xf>
    <xf numFmtId="1" fontId="10" fillId="0" borderId="16" xfId="0" applyNumberFormat="1" applyFont="1" applyBorder="1" applyAlignment="1">
      <alignment vertical="center"/>
    </xf>
    <xf numFmtId="1" fontId="10" fillId="0" borderId="37" xfId="0" applyNumberFormat="1" applyFont="1" applyBorder="1" applyAlignment="1">
      <alignment vertical="center" wrapText="1"/>
    </xf>
    <xf numFmtId="1" fontId="10" fillId="0" borderId="51" xfId="0" applyNumberFormat="1" applyFont="1" applyBorder="1" applyAlignment="1">
      <alignment vertical="center" wrapText="1"/>
    </xf>
    <xf numFmtId="1" fontId="10" fillId="0" borderId="63" xfId="0" applyNumberFormat="1" applyFont="1" applyBorder="1" applyAlignment="1">
      <alignment vertical="center" wrapText="1"/>
    </xf>
    <xf numFmtId="1" fontId="10" fillId="6" borderId="157" xfId="0" applyNumberFormat="1" applyFont="1" applyFill="1" applyBorder="1" applyAlignment="1" applyProtection="1">
      <alignment horizontal="right"/>
      <protection locked="0"/>
    </xf>
    <xf numFmtId="1" fontId="10" fillId="6" borderId="181" xfId="0" applyNumberFormat="1" applyFont="1" applyFill="1" applyBorder="1" applyAlignment="1" applyProtection="1">
      <alignment horizontal="right"/>
      <protection locked="0"/>
    </xf>
    <xf numFmtId="1" fontId="10" fillId="0" borderId="0" xfId="0" applyNumberFormat="1" applyFont="1" applyAlignment="1">
      <alignment wrapText="1"/>
    </xf>
    <xf numFmtId="1" fontId="10" fillId="0" borderId="0" xfId="0" applyNumberFormat="1" applyFont="1"/>
    <xf numFmtId="1" fontId="15" fillId="11" borderId="0" xfId="0" applyNumberFormat="1" applyFont="1" applyFill="1" applyAlignment="1">
      <alignment wrapText="1"/>
    </xf>
    <xf numFmtId="1" fontId="10" fillId="0" borderId="38" xfId="0" applyNumberFormat="1" applyFont="1" applyBorder="1"/>
    <xf numFmtId="1" fontId="10" fillId="0" borderId="39" xfId="0" applyNumberFormat="1" applyFont="1" applyBorder="1"/>
    <xf numFmtId="1" fontId="10" fillId="0" borderId="64" xfId="0" applyNumberFormat="1" applyFont="1" applyBorder="1"/>
    <xf numFmtId="1" fontId="10" fillId="0" borderId="65" xfId="0" applyNumberFormat="1" applyFont="1" applyBorder="1"/>
    <xf numFmtId="1" fontId="10" fillId="0" borderId="0" xfId="0" applyNumberFormat="1" applyFont="1" applyAlignment="1">
      <alignment horizontal="left"/>
    </xf>
    <xf numFmtId="1" fontId="10" fillId="0" borderId="71" xfId="0" applyNumberFormat="1" applyFont="1" applyBorder="1"/>
    <xf numFmtId="1" fontId="10" fillId="0" borderId="72" xfId="0" applyNumberFormat="1" applyFont="1" applyBorder="1"/>
    <xf numFmtId="1" fontId="10" fillId="0" borderId="171" xfId="0" applyNumberFormat="1" applyFont="1" applyBorder="1"/>
    <xf numFmtId="1" fontId="10" fillId="6" borderId="171" xfId="0" applyNumberFormat="1" applyFont="1" applyFill="1" applyBorder="1" applyAlignment="1" applyProtection="1">
      <alignment horizontal="right"/>
      <protection locked="0"/>
    </xf>
    <xf numFmtId="1" fontId="10" fillId="0" borderId="52" xfId="0" applyNumberFormat="1" applyFont="1" applyBorder="1"/>
    <xf numFmtId="1" fontId="10" fillId="0" borderId="53" xfId="0" applyNumberFormat="1" applyFont="1" applyBorder="1"/>
    <xf numFmtId="1" fontId="36" fillId="0" borderId="0" xfId="0" applyNumberFormat="1" applyFont="1"/>
    <xf numFmtId="1" fontId="10" fillId="0" borderId="50" xfId="0" applyNumberFormat="1" applyFont="1" applyBorder="1" applyAlignment="1">
      <alignment horizontal="center" vertical="center"/>
    </xf>
    <xf numFmtId="1" fontId="10" fillId="0" borderId="191" xfId="0" applyNumberFormat="1" applyFont="1" applyBorder="1" applyAlignment="1">
      <alignment horizontal="center" vertical="center" wrapText="1"/>
    </xf>
    <xf numFmtId="1" fontId="10" fillId="0" borderId="192" xfId="0" applyNumberFormat="1" applyFont="1" applyBorder="1" applyAlignment="1">
      <alignment horizontal="center" vertical="center" wrapText="1"/>
    </xf>
    <xf numFmtId="1" fontId="10" fillId="0" borderId="193" xfId="0" applyNumberFormat="1" applyFont="1" applyBorder="1" applyAlignment="1">
      <alignment horizontal="center" vertical="center" wrapText="1"/>
    </xf>
    <xf numFmtId="1" fontId="10" fillId="0" borderId="194" xfId="0" applyNumberFormat="1" applyFont="1" applyBorder="1" applyAlignment="1">
      <alignment horizontal="center" vertical="center" wrapText="1"/>
    </xf>
    <xf numFmtId="1" fontId="10" fillId="0" borderId="173" xfId="0" applyNumberFormat="1" applyFont="1" applyBorder="1" applyAlignment="1">
      <alignment horizontal="right"/>
    </xf>
    <xf numFmtId="1" fontId="10" fillId="0" borderId="39" xfId="0" applyNumberFormat="1" applyFont="1" applyBorder="1" applyAlignment="1">
      <alignment horizontal="right"/>
    </xf>
    <xf numFmtId="1" fontId="10" fillId="15" borderId="138" xfId="0" applyNumberFormat="1" applyFont="1" applyFill="1" applyBorder="1" applyAlignment="1">
      <alignment horizontal="right"/>
    </xf>
    <xf numFmtId="1" fontId="10" fillId="15" borderId="159" xfId="0" applyNumberFormat="1" applyFont="1" applyFill="1" applyBorder="1" applyAlignment="1">
      <alignment horizontal="right"/>
    </xf>
    <xf numFmtId="1" fontId="10" fillId="15" borderId="63" xfId="0" applyNumberFormat="1" applyFont="1" applyFill="1" applyBorder="1" applyAlignment="1">
      <alignment horizontal="right"/>
    </xf>
    <xf numFmtId="1" fontId="10" fillId="0" borderId="99" xfId="0" applyNumberFormat="1" applyFont="1" applyBorder="1" applyAlignment="1">
      <alignment horizontal="left" vertical="center"/>
    </xf>
    <xf numFmtId="1" fontId="10" fillId="0" borderId="175" xfId="0" applyNumberFormat="1" applyFont="1" applyBorder="1" applyAlignment="1">
      <alignment horizontal="right"/>
    </xf>
    <xf numFmtId="1" fontId="10" fillId="0" borderId="131" xfId="0" applyNumberFormat="1" applyFont="1" applyBorder="1" applyAlignment="1">
      <alignment horizontal="right"/>
    </xf>
    <xf numFmtId="1" fontId="10" fillId="15" borderId="100" xfId="0" applyNumberFormat="1" applyFont="1" applyFill="1" applyBorder="1" applyAlignment="1">
      <alignment horizontal="right"/>
    </xf>
    <xf numFmtId="1" fontId="10" fillId="15" borderId="140" xfId="0" applyNumberFormat="1" applyFont="1" applyFill="1" applyBorder="1" applyAlignment="1">
      <alignment horizontal="right"/>
    </xf>
    <xf numFmtId="1" fontId="10" fillId="15" borderId="116" xfId="0" applyNumberFormat="1" applyFont="1" applyFill="1" applyBorder="1" applyAlignment="1">
      <alignment horizontal="right"/>
    </xf>
    <xf numFmtId="1" fontId="10" fillId="15" borderId="139" xfId="0" applyNumberFormat="1" applyFont="1" applyFill="1" applyBorder="1" applyAlignment="1">
      <alignment horizontal="right"/>
    </xf>
    <xf numFmtId="1" fontId="10" fillId="15" borderId="99" xfId="0" applyNumberFormat="1" applyFont="1" applyFill="1" applyBorder="1" applyAlignment="1">
      <alignment horizontal="right"/>
    </xf>
    <xf numFmtId="1" fontId="10" fillId="15" borderId="71" xfId="0" applyNumberFormat="1" applyFont="1" applyFill="1" applyBorder="1" applyAlignment="1">
      <alignment horizontal="right"/>
    </xf>
    <xf numFmtId="1" fontId="10" fillId="15" borderId="197" xfId="0" applyNumberFormat="1" applyFont="1" applyFill="1" applyBorder="1" applyAlignment="1">
      <alignment horizontal="right"/>
    </xf>
    <xf numFmtId="1" fontId="10" fillId="15" borderId="167" xfId="0" applyNumberFormat="1" applyFont="1" applyFill="1" applyBorder="1" applyAlignment="1">
      <alignment horizontal="right"/>
    </xf>
    <xf numFmtId="1" fontId="10" fillId="6" borderId="197" xfId="0" applyNumberFormat="1" applyFont="1" applyFill="1" applyBorder="1" applyAlignment="1" applyProtection="1">
      <alignment horizontal="right"/>
      <protection locked="0"/>
    </xf>
    <xf numFmtId="1" fontId="10" fillId="15" borderId="128" xfId="0" applyNumberFormat="1" applyFont="1" applyFill="1" applyBorder="1" applyAlignment="1">
      <alignment horizontal="right"/>
    </xf>
    <xf numFmtId="1" fontId="10" fillId="15" borderId="142" xfId="0" applyNumberFormat="1" applyFont="1" applyFill="1" applyBorder="1" applyAlignment="1">
      <alignment horizontal="right"/>
    </xf>
    <xf numFmtId="1" fontId="10" fillId="0" borderId="199" xfId="0" applyNumberFormat="1" applyFont="1" applyBorder="1" applyAlignment="1">
      <alignment horizontal="right"/>
    </xf>
    <xf numFmtId="1" fontId="10" fillId="15" borderId="103" xfId="0" applyNumberFormat="1" applyFont="1" applyFill="1" applyBorder="1" applyAlignment="1">
      <alignment horizontal="right"/>
    </xf>
    <xf numFmtId="1" fontId="10" fillId="15" borderId="180" xfId="0" applyNumberFormat="1" applyFont="1" applyFill="1" applyBorder="1" applyAlignment="1">
      <alignment horizontal="right"/>
    </xf>
    <xf numFmtId="1" fontId="10" fillId="15" borderId="80" xfId="0" applyNumberFormat="1" applyFont="1" applyFill="1" applyBorder="1" applyAlignment="1">
      <alignment horizontal="right"/>
    </xf>
    <xf numFmtId="1" fontId="10" fillId="15" borderId="0" xfId="0" applyNumberFormat="1" applyFont="1" applyFill="1" applyAlignment="1">
      <alignment horizontal="right"/>
    </xf>
    <xf numFmtId="1" fontId="10" fillId="0" borderId="164" xfId="0" applyNumberFormat="1" applyFont="1" applyBorder="1" applyAlignment="1">
      <alignment vertical="center" wrapText="1"/>
    </xf>
    <xf numFmtId="1" fontId="10" fillId="0" borderId="172" xfId="0" applyNumberFormat="1" applyFont="1" applyBorder="1" applyAlignment="1">
      <alignment horizontal="right" wrapText="1"/>
    </xf>
    <xf numFmtId="1" fontId="10" fillId="0" borderId="158" xfId="0" applyNumberFormat="1" applyFont="1" applyBorder="1" applyAlignment="1">
      <alignment horizontal="right" wrapText="1"/>
    </xf>
    <xf numFmtId="1" fontId="10" fillId="0" borderId="100" xfId="0" applyNumberFormat="1" applyFont="1" applyBorder="1" applyAlignment="1">
      <alignment vertical="center" wrapText="1"/>
    </xf>
    <xf numFmtId="1" fontId="10" fillId="0" borderId="201" xfId="0" applyNumberFormat="1" applyFont="1" applyBorder="1" applyAlignment="1">
      <alignment horizontal="right" wrapText="1"/>
    </xf>
    <xf numFmtId="1" fontId="10" fillId="0" borderId="72" xfId="0" applyNumberFormat="1" applyFont="1" applyBorder="1" applyAlignment="1">
      <alignment horizontal="right" wrapText="1"/>
    </xf>
    <xf numFmtId="1" fontId="10" fillId="0" borderId="171" xfId="0" applyNumberFormat="1" applyFont="1" applyBorder="1" applyAlignment="1">
      <alignment horizontal="right" wrapText="1"/>
    </xf>
    <xf numFmtId="1" fontId="10" fillId="6" borderId="141" xfId="0" applyNumberFormat="1" applyFont="1" applyFill="1" applyBorder="1" applyAlignment="1" applyProtection="1">
      <alignment horizontal="right"/>
      <protection locked="0"/>
    </xf>
    <xf numFmtId="1" fontId="10" fillId="0" borderId="202" xfId="0" applyNumberFormat="1" applyFont="1" applyBorder="1" applyAlignment="1">
      <alignment vertical="center" wrapText="1"/>
    </xf>
    <xf numFmtId="1" fontId="10" fillId="0" borderId="203" xfId="0" applyNumberFormat="1" applyFont="1" applyBorder="1" applyAlignment="1">
      <alignment horizontal="right" wrapText="1"/>
    </xf>
    <xf numFmtId="1" fontId="10" fillId="0" borderId="204" xfId="0" applyNumberFormat="1" applyFont="1" applyBorder="1" applyAlignment="1">
      <alignment horizontal="right" wrapText="1"/>
    </xf>
    <xf numFmtId="1" fontId="10" fillId="0" borderId="205" xfId="0" applyNumberFormat="1" applyFont="1" applyBorder="1" applyAlignment="1">
      <alignment horizontal="right" wrapText="1"/>
    </xf>
    <xf numFmtId="1" fontId="10" fillId="6" borderId="202" xfId="0" applyNumberFormat="1" applyFont="1" applyFill="1" applyBorder="1" applyAlignment="1" applyProtection="1">
      <alignment horizontal="right"/>
      <protection locked="0"/>
    </xf>
    <xf numFmtId="1" fontId="10" fillId="6" borderId="206" xfId="0" applyNumberFormat="1" applyFont="1" applyFill="1" applyBorder="1" applyAlignment="1" applyProtection="1">
      <alignment horizontal="right"/>
      <protection locked="0"/>
    </xf>
    <xf numFmtId="1" fontId="10" fillId="6" borderId="205" xfId="0" applyNumberFormat="1" applyFont="1" applyFill="1" applyBorder="1" applyAlignment="1" applyProtection="1">
      <alignment horizontal="right"/>
      <protection locked="0"/>
    </xf>
    <xf numFmtId="1" fontId="10" fillId="6" borderId="207" xfId="0" applyNumberFormat="1" applyFont="1" applyFill="1" applyBorder="1" applyAlignment="1" applyProtection="1">
      <alignment horizontal="right"/>
      <protection locked="0"/>
    </xf>
    <xf numFmtId="1" fontId="10" fillId="6" borderId="208" xfId="0" applyNumberFormat="1" applyFont="1" applyFill="1" applyBorder="1" applyAlignment="1" applyProtection="1">
      <alignment horizontal="right"/>
      <protection locked="0"/>
    </xf>
    <xf numFmtId="1" fontId="11" fillId="0" borderId="14" xfId="0" applyNumberFormat="1" applyFont="1" applyBorder="1"/>
    <xf numFmtId="1" fontId="10" fillId="0" borderId="14" xfId="0" applyNumberFormat="1" applyFont="1" applyBorder="1" applyAlignment="1">
      <alignment wrapText="1"/>
    </xf>
    <xf numFmtId="1" fontId="15" fillId="0" borderId="14" xfId="0" applyNumberFormat="1" applyFont="1" applyBorder="1" applyAlignment="1">
      <alignment wrapText="1"/>
    </xf>
    <xf numFmtId="1" fontId="15" fillId="7" borderId="209" xfId="0" applyNumberFormat="1" applyFont="1" applyFill="1" applyBorder="1" applyAlignment="1">
      <alignment wrapText="1"/>
    </xf>
    <xf numFmtId="1" fontId="15" fillId="0" borderId="210" xfId="0" applyNumberFormat="1" applyFont="1" applyBorder="1" applyAlignment="1">
      <alignment wrapText="1"/>
    </xf>
    <xf numFmtId="1" fontId="15" fillId="0" borderId="209" xfId="0" applyNumberFormat="1" applyFont="1" applyBorder="1" applyAlignment="1">
      <alignment wrapText="1"/>
    </xf>
    <xf numFmtId="1" fontId="10" fillId="0" borderId="209" xfId="0" applyNumberFormat="1" applyFont="1" applyBorder="1" applyAlignment="1">
      <alignment wrapText="1"/>
    </xf>
    <xf numFmtId="1" fontId="10" fillId="0" borderId="211" xfId="0" applyNumberFormat="1" applyFont="1" applyBorder="1" applyAlignment="1">
      <alignment wrapText="1"/>
    </xf>
    <xf numFmtId="1" fontId="10" fillId="0" borderId="210" xfId="0" applyNumberFormat="1" applyFont="1" applyBorder="1" applyAlignment="1">
      <alignment wrapText="1"/>
    </xf>
    <xf numFmtId="1" fontId="10" fillId="11" borderId="209" xfId="0" applyNumberFormat="1" applyFont="1" applyFill="1" applyBorder="1" applyAlignment="1">
      <alignment wrapText="1"/>
    </xf>
    <xf numFmtId="1" fontId="10" fillId="11" borderId="14" xfId="0" applyNumberFormat="1" applyFont="1" applyFill="1" applyBorder="1" applyAlignment="1">
      <alignment wrapText="1"/>
    </xf>
    <xf numFmtId="1" fontId="10" fillId="0" borderId="9" xfId="0" applyNumberFormat="1" applyFont="1" applyBorder="1" applyAlignment="1">
      <alignment horizontal="center" vertical="center"/>
    </xf>
    <xf numFmtId="1" fontId="10" fillId="11" borderId="20" xfId="0" applyNumberFormat="1" applyFont="1" applyFill="1" applyBorder="1" applyAlignment="1">
      <alignment horizontal="center" vertical="center" wrapText="1"/>
    </xf>
    <xf numFmtId="1" fontId="10" fillId="0" borderId="112" xfId="0" applyNumberFormat="1" applyFont="1" applyBorder="1"/>
    <xf numFmtId="1" fontId="30" fillId="21" borderId="0" xfId="0" applyNumberFormat="1" applyFont="1" applyFill="1"/>
    <xf numFmtId="1" fontId="10" fillId="0" borderId="118" xfId="0" applyNumberFormat="1" applyFont="1" applyBorder="1"/>
    <xf numFmtId="1" fontId="10" fillId="0" borderId="131" xfId="0" applyNumberFormat="1" applyFont="1" applyBorder="1"/>
    <xf numFmtId="1" fontId="10" fillId="0" borderId="116" xfId="0" applyNumberFormat="1" applyFont="1" applyBorder="1"/>
    <xf numFmtId="1" fontId="10" fillId="0" borderId="121" xfId="0" applyNumberFormat="1" applyFont="1" applyBorder="1"/>
    <xf numFmtId="1" fontId="10" fillId="0" borderId="167" xfId="0" applyNumberFormat="1" applyFont="1" applyBorder="1"/>
    <xf numFmtId="1" fontId="10" fillId="6" borderId="73" xfId="0" applyNumberFormat="1" applyFont="1" applyFill="1" applyBorder="1" applyAlignment="1" applyProtection="1">
      <alignment horizontal="right"/>
      <protection locked="0"/>
    </xf>
    <xf numFmtId="1" fontId="10" fillId="0" borderId="2" xfId="0" applyNumberFormat="1" applyFont="1" applyBorder="1" applyAlignment="1">
      <alignment vertical="center"/>
    </xf>
    <xf numFmtId="1" fontId="10" fillId="0" borderId="29" xfId="0" applyNumberFormat="1" applyFont="1" applyBorder="1" applyAlignment="1">
      <alignment vertical="center"/>
    </xf>
    <xf numFmtId="1" fontId="10" fillId="0" borderId="12" xfId="0" applyNumberFormat="1" applyFont="1" applyBorder="1" applyAlignment="1">
      <alignment vertical="center"/>
    </xf>
    <xf numFmtId="1" fontId="10" fillId="0" borderId="10" xfId="0" applyNumberFormat="1" applyFont="1" applyBorder="1" applyAlignment="1">
      <alignment vertical="center"/>
    </xf>
    <xf numFmtId="1" fontId="10" fillId="0" borderId="7" xfId="0" applyNumberFormat="1" applyFont="1" applyBorder="1" applyAlignment="1">
      <alignment vertical="center"/>
    </xf>
    <xf numFmtId="1" fontId="10" fillId="11" borderId="10" xfId="0" applyNumberFormat="1" applyFont="1" applyFill="1" applyBorder="1" applyAlignment="1">
      <alignment vertical="center"/>
    </xf>
    <xf numFmtId="1" fontId="10" fillId="11" borderId="20" xfId="0" applyNumberFormat="1" applyFont="1" applyFill="1" applyBorder="1" applyAlignment="1">
      <alignment vertical="center"/>
    </xf>
    <xf numFmtId="1" fontId="10" fillId="11" borderId="8" xfId="0" applyNumberFormat="1" applyFont="1" applyFill="1" applyBorder="1" applyAlignment="1">
      <alignment vertical="center"/>
    </xf>
    <xf numFmtId="1" fontId="10" fillId="11" borderId="2" xfId="0" applyNumberFormat="1" applyFont="1" applyFill="1" applyBorder="1" applyAlignment="1">
      <alignment vertical="center"/>
    </xf>
    <xf numFmtId="1" fontId="10" fillId="15" borderId="63" xfId="0" applyNumberFormat="1" applyFont="1" applyFill="1" applyBorder="1" applyAlignment="1">
      <alignment horizontal="left" vertical="center" wrapText="1"/>
    </xf>
    <xf numFmtId="1" fontId="10" fillId="15" borderId="63" xfId="0" applyNumberFormat="1" applyFont="1" applyFill="1" applyBorder="1"/>
    <xf numFmtId="1" fontId="10" fillId="15" borderId="65" xfId="0" applyNumberFormat="1" applyFont="1" applyFill="1" applyBorder="1"/>
    <xf numFmtId="1" fontId="10" fillId="15" borderId="118" xfId="0" applyNumberFormat="1" applyFont="1" applyFill="1" applyBorder="1"/>
    <xf numFmtId="1" fontId="10" fillId="15" borderId="49" xfId="0" applyNumberFormat="1" applyFont="1" applyFill="1" applyBorder="1" applyAlignment="1">
      <alignment horizontal="right"/>
    </xf>
    <xf numFmtId="1" fontId="10" fillId="15" borderId="118" xfId="0" applyNumberFormat="1" applyFont="1" applyFill="1" applyBorder="1" applyAlignment="1">
      <alignment horizontal="right"/>
    </xf>
    <xf numFmtId="1" fontId="10" fillId="15" borderId="48" xfId="0" applyNumberFormat="1" applyFont="1" applyFill="1" applyBorder="1" applyAlignment="1">
      <alignment horizontal="right"/>
    </xf>
    <xf numFmtId="1" fontId="10" fillId="15" borderId="166" xfId="0" applyNumberFormat="1" applyFont="1" applyFill="1" applyBorder="1" applyAlignment="1">
      <alignment horizontal="right"/>
    </xf>
    <xf numFmtId="1" fontId="10" fillId="15" borderId="66" xfId="0" applyNumberFormat="1" applyFont="1" applyFill="1" applyBorder="1" applyAlignment="1">
      <alignment horizontal="right"/>
    </xf>
    <xf numFmtId="1" fontId="10" fillId="15" borderId="99" xfId="0" applyNumberFormat="1" applyFont="1" applyFill="1" applyBorder="1" applyAlignment="1">
      <alignment horizontal="left" vertical="center" wrapText="1"/>
    </xf>
    <xf numFmtId="1" fontId="10" fillId="15" borderId="51" xfId="0" applyNumberFormat="1" applyFont="1" applyFill="1" applyBorder="1" applyAlignment="1">
      <alignment horizontal="left" vertical="center" wrapText="1"/>
    </xf>
    <xf numFmtId="1" fontId="10" fillId="15" borderId="19" xfId="0" applyNumberFormat="1" applyFont="1" applyFill="1" applyBorder="1"/>
    <xf numFmtId="1" fontId="10" fillId="15" borderId="74" xfId="0" applyNumberFormat="1" applyFont="1" applyFill="1" applyBorder="1"/>
    <xf numFmtId="1" fontId="10" fillId="15" borderId="122" xfId="0" applyNumberFormat="1" applyFont="1" applyFill="1" applyBorder="1"/>
    <xf numFmtId="1" fontId="10" fillId="15" borderId="122" xfId="0" applyNumberFormat="1" applyFont="1" applyFill="1" applyBorder="1" applyAlignment="1">
      <alignment horizontal="right"/>
    </xf>
    <xf numFmtId="1" fontId="10" fillId="15" borderId="13" xfId="0" applyNumberFormat="1" applyFont="1" applyFill="1" applyBorder="1" applyAlignment="1">
      <alignment horizontal="right"/>
    </xf>
    <xf numFmtId="1" fontId="10" fillId="15" borderId="87" xfId="0" applyNumberFormat="1" applyFont="1" applyFill="1" applyBorder="1" applyAlignment="1">
      <alignment horizontal="right"/>
    </xf>
    <xf numFmtId="1" fontId="10" fillId="15" borderId="2" xfId="0" applyNumberFormat="1" applyFont="1" applyFill="1" applyBorder="1" applyAlignment="1">
      <alignment vertical="center"/>
    </xf>
    <xf numFmtId="1" fontId="10" fillId="15" borderId="29" xfId="0" applyNumberFormat="1" applyFont="1" applyFill="1" applyBorder="1" applyAlignment="1">
      <alignment vertical="center"/>
    </xf>
    <xf numFmtId="1" fontId="10" fillId="15" borderId="12" xfId="0" applyNumberFormat="1" applyFont="1" applyFill="1" applyBorder="1" applyAlignment="1">
      <alignment vertical="center"/>
    </xf>
    <xf numFmtId="1" fontId="10" fillId="15" borderId="10" xfId="0" applyNumberFormat="1" applyFont="1" applyFill="1" applyBorder="1" applyAlignment="1">
      <alignment vertical="center"/>
    </xf>
    <xf numFmtId="1" fontId="10" fillId="15" borderId="7" xfId="0" applyNumberFormat="1" applyFont="1" applyFill="1" applyBorder="1" applyAlignment="1">
      <alignment vertical="center"/>
    </xf>
    <xf numFmtId="1" fontId="10" fillId="15" borderId="20" xfId="0" applyNumberFormat="1" applyFont="1" applyFill="1" applyBorder="1" applyAlignment="1">
      <alignment vertical="center"/>
    </xf>
    <xf numFmtId="1" fontId="10" fillId="15" borderId="8" xfId="0" applyNumberFormat="1" applyFont="1" applyFill="1" applyBorder="1" applyAlignment="1">
      <alignment vertical="center"/>
    </xf>
    <xf numFmtId="1" fontId="12" fillId="7" borderId="14" xfId="0" applyNumberFormat="1" applyFont="1" applyFill="1" applyBorder="1"/>
    <xf numFmtId="1" fontId="10" fillId="0" borderId="14" xfId="0" applyNumberFormat="1" applyFont="1" applyBorder="1"/>
    <xf numFmtId="1" fontId="10" fillId="7" borderId="0" xfId="0" applyNumberFormat="1" applyFont="1" applyFill="1" applyAlignment="1">
      <alignment wrapText="1"/>
    </xf>
    <xf numFmtId="1" fontId="22" fillId="11" borderId="0" xfId="0" applyNumberFormat="1" applyFont="1" applyFill="1"/>
    <xf numFmtId="1" fontId="10" fillId="11" borderId="7" xfId="0" applyNumberFormat="1" applyFont="1" applyFill="1" applyBorder="1" applyAlignment="1">
      <alignment horizontal="center" vertical="center" wrapText="1"/>
    </xf>
    <xf numFmtId="1" fontId="10" fillId="0" borderId="158" xfId="0" applyNumberFormat="1" applyFont="1" applyBorder="1" applyAlignment="1">
      <alignment horizontal="center" vertical="center"/>
    </xf>
    <xf numFmtId="1" fontId="10" fillId="11" borderId="36" xfId="0" applyNumberFormat="1" applyFont="1" applyFill="1" applyBorder="1" applyAlignment="1">
      <alignment horizontal="center" vertical="center" wrapText="1"/>
    </xf>
    <xf numFmtId="1" fontId="10" fillId="11" borderId="29" xfId="0" applyNumberFormat="1" applyFont="1" applyFill="1" applyBorder="1" applyAlignment="1">
      <alignment horizontal="center" vertical="center" wrapText="1"/>
    </xf>
    <xf numFmtId="1" fontId="10" fillId="0" borderId="128" xfId="0" applyNumberFormat="1" applyFont="1" applyBorder="1"/>
    <xf numFmtId="1" fontId="10" fillId="0" borderId="36" xfId="0" applyNumberFormat="1" applyFont="1" applyBorder="1" applyAlignment="1">
      <alignment horizontal="left" vertical="center"/>
    </xf>
    <xf numFmtId="1" fontId="10" fillId="0" borderId="127" xfId="0" applyNumberFormat="1" applyFont="1" applyBorder="1" applyAlignment="1">
      <alignment horizontal="left"/>
    </xf>
    <xf numFmtId="1" fontId="10" fillId="0" borderId="76" xfId="0" applyNumberFormat="1" applyFont="1" applyBorder="1"/>
    <xf numFmtId="1" fontId="15" fillId="7" borderId="0" xfId="0" applyNumberFormat="1" applyFont="1" applyFill="1" applyAlignment="1">
      <alignment wrapText="1"/>
    </xf>
    <xf numFmtId="1" fontId="10" fillId="0" borderId="19" xfId="0" applyNumberFormat="1" applyFont="1" applyBorder="1"/>
    <xf numFmtId="1" fontId="10" fillId="0" borderId="74" xfId="0" applyNumberFormat="1" applyFont="1" applyBorder="1"/>
    <xf numFmtId="1" fontId="10" fillId="0" borderId="50" xfId="0" applyNumberFormat="1" applyFont="1" applyBorder="1"/>
    <xf numFmtId="1" fontId="10" fillId="6" borderId="74" xfId="0" applyNumberFormat="1" applyFont="1" applyFill="1" applyBorder="1" applyAlignment="1" applyProtection="1">
      <alignment horizontal="right"/>
      <protection locked="0"/>
    </xf>
    <xf numFmtId="1" fontId="10" fillId="0" borderId="51" xfId="0" applyNumberFormat="1" applyFont="1" applyBorder="1" applyAlignment="1">
      <alignment wrapText="1"/>
    </xf>
    <xf numFmtId="1" fontId="10" fillId="0" borderId="86" xfId="0" applyNumberFormat="1" applyFont="1" applyBorder="1" applyAlignment="1">
      <alignment wrapText="1"/>
    </xf>
    <xf numFmtId="1" fontId="10" fillId="6" borderId="72" xfId="0" applyNumberFormat="1" applyFont="1" applyFill="1" applyBorder="1" applyAlignment="1" applyProtection="1">
      <alignment horizontal="right"/>
      <protection locked="0"/>
    </xf>
    <xf numFmtId="1" fontId="10" fillId="0" borderId="27" xfId="0" applyNumberFormat="1" applyFont="1" applyBorder="1" applyAlignment="1">
      <alignment horizontal="center" vertical="center"/>
    </xf>
    <xf numFmtId="1" fontId="10" fillId="0" borderId="89" xfId="0" applyNumberFormat="1" applyFont="1" applyBorder="1" applyAlignment="1">
      <alignment horizontal="left" vertical="center" wrapText="1"/>
    </xf>
    <xf numFmtId="1" fontId="10" fillId="0" borderId="128" xfId="0" applyNumberFormat="1" applyFont="1" applyBorder="1" applyAlignment="1">
      <alignment horizontal="left"/>
    </xf>
    <xf numFmtId="1" fontId="10" fillId="0" borderId="99" xfId="0" applyNumberFormat="1" applyFont="1" applyBorder="1" applyAlignment="1">
      <alignment wrapText="1"/>
    </xf>
    <xf numFmtId="1" fontId="22" fillId="7" borderId="0" xfId="0" applyNumberFormat="1" applyFont="1" applyFill="1"/>
    <xf numFmtId="1" fontId="12" fillId="0" borderId="0" xfId="0" applyNumberFormat="1" applyFont="1"/>
    <xf numFmtId="1" fontId="37" fillId="0" borderId="0" xfId="0" applyNumberFormat="1" applyFont="1"/>
    <xf numFmtId="1" fontId="10" fillId="0" borderId="38" xfId="0" applyNumberFormat="1" applyFont="1" applyBorder="1" applyAlignment="1">
      <alignment horizontal="center" vertical="center" wrapText="1"/>
    </xf>
    <xf numFmtId="1" fontId="10" fillId="0" borderId="41" xfId="0" applyNumberFormat="1" applyFont="1" applyBorder="1" applyAlignment="1">
      <alignment horizontal="center" vertical="center" wrapText="1"/>
    </xf>
    <xf numFmtId="1" fontId="10" fillId="0" borderId="98" xfId="0" applyNumberFormat="1" applyFont="1" applyBorder="1" applyAlignment="1">
      <alignment horizontal="left" vertical="center"/>
    </xf>
    <xf numFmtId="1" fontId="10" fillId="0" borderId="63" xfId="0" applyNumberFormat="1" applyFont="1" applyBorder="1" applyAlignment="1">
      <alignment horizontal="right" wrapText="1"/>
    </xf>
    <xf numFmtId="1" fontId="10" fillId="0" borderId="65" xfId="0" applyNumberFormat="1" applyFont="1" applyBorder="1" applyAlignment="1">
      <alignment horizontal="right" wrapText="1"/>
    </xf>
    <xf numFmtId="1" fontId="10" fillId="0" borderId="49" xfId="0" applyNumberFormat="1" applyFont="1" applyBorder="1" applyAlignment="1">
      <alignment horizontal="right" wrapText="1"/>
    </xf>
    <xf numFmtId="1" fontId="10" fillId="15" borderId="65" xfId="0" applyNumberFormat="1" applyFont="1" applyFill="1" applyBorder="1" applyAlignment="1">
      <alignment horizontal="right"/>
    </xf>
    <xf numFmtId="1" fontId="10" fillId="0" borderId="86" xfId="0" applyNumberFormat="1" applyFont="1" applyBorder="1" applyAlignment="1">
      <alignment horizontal="right" wrapText="1"/>
    </xf>
    <xf numFmtId="1" fontId="10" fillId="0" borderId="74" xfId="0" applyNumberFormat="1" applyFont="1" applyBorder="1" applyAlignment="1">
      <alignment horizontal="right" wrapText="1"/>
    </xf>
    <xf numFmtId="1" fontId="10" fillId="0" borderId="50" xfId="0" applyNumberFormat="1" applyFont="1" applyBorder="1" applyAlignment="1">
      <alignment horizontal="right" wrapText="1"/>
    </xf>
    <xf numFmtId="1" fontId="10" fillId="15" borderId="72" xfId="0" applyNumberFormat="1" applyFont="1" applyFill="1" applyBorder="1" applyAlignment="1">
      <alignment horizontal="right"/>
    </xf>
    <xf numFmtId="1" fontId="10" fillId="0" borderId="2" xfId="0" applyNumberFormat="1" applyFont="1" applyBorder="1" applyAlignment="1">
      <alignment horizontal="right" wrapText="1"/>
    </xf>
    <xf numFmtId="1" fontId="10" fillId="0" borderId="76" xfId="0" applyNumberFormat="1" applyFont="1" applyBorder="1" applyAlignment="1">
      <alignment horizontal="center" vertical="center" wrapText="1"/>
    </xf>
    <xf numFmtId="1" fontId="10" fillId="6" borderId="66" xfId="0" applyNumberFormat="1" applyFont="1" applyFill="1" applyBorder="1" applyAlignment="1" applyProtection="1">
      <alignment horizontal="right"/>
      <protection locked="0"/>
    </xf>
    <xf numFmtId="1" fontId="10" fillId="6" borderId="27" xfId="0" applyNumberFormat="1" applyFont="1" applyFill="1" applyBorder="1" applyAlignment="1" applyProtection="1">
      <alignment horizontal="right"/>
      <protection locked="0"/>
    </xf>
    <xf numFmtId="1" fontId="10" fillId="0" borderId="136" xfId="0" applyNumberFormat="1" applyFont="1" applyBorder="1"/>
    <xf numFmtId="1" fontId="10" fillId="0" borderId="11" xfId="0" applyNumberFormat="1" applyFont="1" applyBorder="1"/>
    <xf numFmtId="1" fontId="11" fillId="0" borderId="0" xfId="0" applyNumberFormat="1" applyFont="1"/>
    <xf numFmtId="1" fontId="10" fillId="0" borderId="27" xfId="37" applyNumberFormat="1" applyFont="1" applyBorder="1" applyAlignment="1">
      <alignment horizontal="center" vertical="center" wrapText="1"/>
    </xf>
    <xf numFmtId="1" fontId="10" fillId="0" borderId="18" xfId="39" applyNumberFormat="1" applyFont="1" applyBorder="1" applyAlignment="1" applyProtection="1">
      <alignment horizontal="center" vertical="center"/>
      <protection hidden="1"/>
    </xf>
    <xf numFmtId="1" fontId="10" fillId="0" borderId="158" xfId="37" applyNumberFormat="1" applyFont="1" applyBorder="1" applyAlignment="1">
      <alignment horizontal="center" vertical="center" wrapText="1"/>
    </xf>
    <xf numFmtId="1" fontId="10" fillId="0" borderId="10" xfId="37" applyNumberFormat="1" applyFont="1" applyBorder="1" applyAlignment="1">
      <alignment horizontal="center" vertical="center" wrapText="1"/>
    </xf>
    <xf numFmtId="1" fontId="10" fillId="0" borderId="12" xfId="37" applyNumberFormat="1" applyFont="1" applyBorder="1" applyAlignment="1">
      <alignment horizontal="center" vertical="center" wrapText="1"/>
    </xf>
    <xf numFmtId="1" fontId="10" fillId="0" borderId="28" xfId="37" applyNumberFormat="1" applyFont="1" applyBorder="1" applyAlignment="1">
      <alignment horizontal="center" vertical="center" wrapText="1"/>
    </xf>
    <xf numFmtId="1" fontId="10" fillId="0" borderId="29" xfId="37" applyNumberFormat="1" applyFont="1" applyBorder="1" applyAlignment="1">
      <alignment horizontal="center" vertical="center" wrapText="1"/>
    </xf>
    <xf numFmtId="1" fontId="10" fillId="0" borderId="37" xfId="37" applyNumberFormat="1" applyFont="1" applyBorder="1"/>
    <xf numFmtId="1" fontId="10" fillId="0" borderId="39" xfId="37" applyNumberFormat="1" applyFont="1" applyBorder="1"/>
    <xf numFmtId="1" fontId="10" fillId="0" borderId="98" xfId="37" applyNumberFormat="1" applyFont="1" applyBorder="1"/>
    <xf numFmtId="1" fontId="10" fillId="6" borderId="38" xfId="37" applyNumberFormat="1" applyFont="1" applyFill="1" applyBorder="1" applyAlignment="1" applyProtection="1">
      <alignment horizontal="right"/>
      <protection locked="0"/>
    </xf>
    <xf numFmtId="1" fontId="10" fillId="6" borderId="39" xfId="37" applyNumberFormat="1" applyFont="1" applyFill="1" applyBorder="1" applyAlignment="1" applyProtection="1">
      <alignment horizontal="right"/>
      <protection locked="0"/>
    </xf>
    <xf numFmtId="1" fontId="10" fillId="6" borderId="98" xfId="37" applyNumberFormat="1" applyFont="1" applyFill="1" applyBorder="1" applyAlignment="1" applyProtection="1">
      <alignment horizontal="right"/>
      <protection locked="0"/>
    </xf>
    <xf numFmtId="1" fontId="10" fillId="6" borderId="43" xfId="37" applyNumberFormat="1" applyFont="1" applyFill="1" applyBorder="1" applyAlignment="1" applyProtection="1">
      <alignment horizontal="right"/>
      <protection locked="0"/>
    </xf>
    <xf numFmtId="1" fontId="10" fillId="6" borderId="89" xfId="37" applyNumberFormat="1" applyFont="1" applyFill="1" applyBorder="1" applyAlignment="1" applyProtection="1">
      <alignment horizontal="right"/>
      <protection locked="0"/>
    </xf>
    <xf numFmtId="1" fontId="10" fillId="6" borderId="37" xfId="37" applyNumberFormat="1" applyFont="1" applyFill="1" applyBorder="1" applyAlignment="1" applyProtection="1">
      <alignment horizontal="right"/>
      <protection locked="0"/>
    </xf>
    <xf numFmtId="1" fontId="10" fillId="0" borderId="51" xfId="37" applyNumberFormat="1" applyFont="1" applyBorder="1"/>
    <xf numFmtId="1" fontId="10" fillId="0" borderId="63" xfId="37" applyNumberFormat="1" applyFont="1" applyBorder="1"/>
    <xf numFmtId="1" fontId="10" fillId="0" borderId="65" xfId="37" applyNumberFormat="1" applyFont="1" applyBorder="1"/>
    <xf numFmtId="1" fontId="10" fillId="0" borderId="49" xfId="37" applyNumberFormat="1" applyFont="1" applyBorder="1"/>
    <xf numFmtId="1" fontId="10" fillId="6" borderId="52" xfId="37" applyNumberFormat="1" applyFont="1" applyFill="1" applyBorder="1" applyAlignment="1" applyProtection="1">
      <alignment horizontal="right"/>
      <protection locked="0"/>
    </xf>
    <xf numFmtId="1" fontId="10" fillId="6" borderId="131" xfId="37" applyNumberFormat="1" applyFont="1" applyFill="1" applyBorder="1" applyAlignment="1" applyProtection="1">
      <alignment horizontal="right"/>
      <protection locked="0"/>
    </xf>
    <xf numFmtId="1" fontId="10" fillId="6" borderId="62" xfId="37" applyNumberFormat="1" applyFont="1" applyFill="1" applyBorder="1" applyAlignment="1" applyProtection="1">
      <alignment horizontal="right"/>
      <protection locked="0"/>
    </xf>
    <xf numFmtId="1" fontId="10" fillId="6" borderId="56" xfId="37" applyNumberFormat="1" applyFont="1" applyFill="1" applyBorder="1" applyAlignment="1" applyProtection="1">
      <alignment horizontal="right"/>
      <protection locked="0"/>
    </xf>
    <xf numFmtId="1" fontId="10" fillId="6" borderId="53" xfId="37" applyNumberFormat="1" applyFont="1" applyFill="1" applyBorder="1" applyAlignment="1" applyProtection="1">
      <alignment horizontal="right"/>
      <protection locked="0"/>
    </xf>
    <xf numFmtId="1" fontId="10" fillId="6" borderId="127" xfId="37" applyNumberFormat="1" applyFont="1" applyFill="1" applyBorder="1" applyAlignment="1" applyProtection="1">
      <alignment horizontal="right"/>
      <protection locked="0"/>
    </xf>
    <xf numFmtId="1" fontId="10" fillId="6" borderId="51" xfId="37" applyNumberFormat="1" applyFont="1" applyFill="1" applyBorder="1" applyAlignment="1" applyProtection="1">
      <alignment horizontal="right"/>
      <protection locked="0"/>
    </xf>
    <xf numFmtId="1" fontId="10" fillId="0" borderId="2" xfId="37" applyNumberFormat="1" applyFont="1" applyBorder="1"/>
    <xf numFmtId="1" fontId="10" fillId="0" borderId="29" xfId="37" applyNumberFormat="1" applyFont="1" applyBorder="1"/>
    <xf numFmtId="1" fontId="10" fillId="0" borderId="7" xfId="37" applyNumberFormat="1" applyFont="1" applyBorder="1"/>
    <xf numFmtId="1" fontId="10" fillId="0" borderId="10" xfId="37" applyNumberFormat="1" applyFont="1" applyBorder="1"/>
    <xf numFmtId="1" fontId="10" fillId="0" borderId="12" xfId="37" applyNumberFormat="1" applyFont="1" applyBorder="1"/>
    <xf numFmtId="1" fontId="10" fillId="0" borderId="28" xfId="37" applyNumberFormat="1" applyFont="1" applyBorder="1"/>
    <xf numFmtId="1" fontId="10" fillId="0" borderId="6" xfId="37" applyNumberFormat="1" applyFont="1" applyBorder="1"/>
    <xf numFmtId="1" fontId="10" fillId="0" borderId="165" xfId="37" applyNumberFormat="1" applyFont="1" applyBorder="1" applyAlignment="1">
      <alignment horizontal="center" vertical="center" wrapText="1"/>
    </xf>
    <xf numFmtId="1" fontId="10" fillId="0" borderId="136" xfId="37" applyNumberFormat="1" applyFont="1" applyBorder="1" applyAlignment="1" applyProtection="1">
      <alignment horizontal="center" vertical="center" wrapText="1"/>
      <protection locked="0"/>
    </xf>
    <xf numFmtId="0" fontId="10" fillId="0" borderId="11" xfId="37" applyFont="1" applyBorder="1" applyAlignment="1" applyProtection="1">
      <alignment horizontal="center" vertical="center" wrapText="1"/>
      <protection locked="0"/>
    </xf>
    <xf numFmtId="49" fontId="10" fillId="0" borderId="11" xfId="37" applyNumberFormat="1" applyFont="1" applyBorder="1" applyAlignment="1" applyProtection="1">
      <alignment horizontal="center" vertical="center" wrapText="1"/>
      <protection locked="0"/>
    </xf>
    <xf numFmtId="49" fontId="10" fillId="0" borderId="12" xfId="37" applyNumberFormat="1" applyFont="1" applyBorder="1" applyAlignment="1" applyProtection="1">
      <alignment horizontal="center" vertical="center" wrapText="1"/>
      <protection locked="0"/>
    </xf>
    <xf numFmtId="49" fontId="10" fillId="0" borderId="10" xfId="37" applyNumberFormat="1" applyFont="1" applyBorder="1" applyAlignment="1" applyProtection="1">
      <alignment horizontal="center" vertical="center" wrapText="1"/>
      <protection locked="0"/>
    </xf>
    <xf numFmtId="49" fontId="10" fillId="0" borderId="7" xfId="37" applyNumberFormat="1" applyFont="1" applyBorder="1" applyAlignment="1" applyProtection="1">
      <alignment horizontal="center" vertical="center" wrapText="1"/>
      <protection locked="0"/>
    </xf>
    <xf numFmtId="1" fontId="10" fillId="0" borderId="18" xfId="37" applyNumberFormat="1" applyFont="1" applyBorder="1"/>
    <xf numFmtId="1" fontId="10" fillId="0" borderId="158" xfId="37" applyNumberFormat="1" applyFont="1" applyBorder="1"/>
    <xf numFmtId="1" fontId="10" fillId="0" borderId="177" xfId="37" applyNumberFormat="1" applyFont="1" applyBorder="1"/>
    <xf numFmtId="1" fontId="10" fillId="6" borderId="164" xfId="37" applyNumberFormat="1" applyFont="1" applyFill="1" applyBorder="1" applyAlignment="1" applyProtection="1">
      <alignment horizontal="right"/>
      <protection locked="0"/>
    </xf>
    <xf numFmtId="1" fontId="10" fillId="6" borderId="27" xfId="37" applyNumberFormat="1" applyFont="1" applyFill="1" applyBorder="1" applyAlignment="1" applyProtection="1">
      <alignment horizontal="right"/>
      <protection locked="0"/>
    </xf>
    <xf numFmtId="1" fontId="10" fillId="6" borderId="9" xfId="37" applyNumberFormat="1" applyFont="1" applyFill="1" applyBorder="1" applyAlignment="1" applyProtection="1">
      <alignment horizontal="right"/>
      <protection locked="0"/>
    </xf>
    <xf numFmtId="1" fontId="10" fillId="6" borderId="22" xfId="37" applyNumberFormat="1" applyFont="1" applyFill="1" applyBorder="1" applyAlignment="1" applyProtection="1">
      <alignment horizontal="right"/>
      <protection locked="0"/>
    </xf>
    <xf numFmtId="1" fontId="10" fillId="6" borderId="212" xfId="37" applyNumberFormat="1" applyFont="1" applyFill="1" applyBorder="1" applyAlignment="1" applyProtection="1">
      <alignment horizontal="right"/>
      <protection locked="0"/>
    </xf>
    <xf numFmtId="1" fontId="10" fillId="6" borderId="21" xfId="37" applyNumberFormat="1" applyFont="1" applyFill="1" applyBorder="1" applyAlignment="1" applyProtection="1">
      <alignment horizontal="right"/>
      <protection locked="0"/>
    </xf>
    <xf numFmtId="1" fontId="10" fillId="6" borderId="123" xfId="37" applyNumberFormat="1" applyFont="1" applyFill="1" applyBorder="1" applyAlignment="1" applyProtection="1">
      <alignment horizontal="right"/>
      <protection locked="0"/>
    </xf>
    <xf numFmtId="1" fontId="10" fillId="6" borderId="70" xfId="37" applyNumberFormat="1" applyFont="1" applyFill="1" applyBorder="1" applyAlignment="1" applyProtection="1">
      <alignment horizontal="right"/>
      <protection locked="0"/>
    </xf>
    <xf numFmtId="1" fontId="10" fillId="6" borderId="122" xfId="37" applyNumberFormat="1" applyFont="1" applyFill="1" applyBorder="1" applyAlignment="1" applyProtection="1">
      <alignment horizontal="right"/>
      <protection locked="0"/>
    </xf>
    <xf numFmtId="1" fontId="10" fillId="0" borderId="112" xfId="37" applyNumberFormat="1" applyFont="1" applyBorder="1"/>
    <xf numFmtId="1" fontId="10" fillId="6" borderId="138" xfId="37" applyNumberFormat="1" applyFont="1" applyFill="1" applyBorder="1" applyAlignment="1" applyProtection="1">
      <alignment horizontal="right"/>
      <protection locked="0"/>
    </xf>
    <xf numFmtId="1" fontId="10" fillId="6" borderId="41" xfId="37" applyNumberFormat="1" applyFont="1" applyFill="1" applyBorder="1" applyAlignment="1" applyProtection="1">
      <alignment horizontal="right"/>
      <protection locked="0"/>
    </xf>
    <xf numFmtId="1" fontId="10" fillId="6" borderId="113" xfId="37" applyNumberFormat="1" applyFont="1" applyFill="1" applyBorder="1" applyAlignment="1" applyProtection="1">
      <alignment horizontal="right"/>
      <protection locked="0"/>
    </xf>
    <xf numFmtId="1" fontId="10" fillId="6" borderId="112" xfId="37" applyNumberFormat="1" applyFont="1" applyFill="1" applyBorder="1" applyAlignment="1" applyProtection="1">
      <alignment horizontal="right"/>
      <protection locked="0"/>
    </xf>
    <xf numFmtId="1" fontId="10" fillId="0" borderId="53" xfId="37" applyNumberFormat="1" applyFont="1" applyBorder="1"/>
    <xf numFmtId="1" fontId="10" fillId="0" borderId="121" xfId="37" applyNumberFormat="1" applyFont="1" applyBorder="1"/>
    <xf numFmtId="1" fontId="10" fillId="6" borderId="61" xfId="37" applyNumberFormat="1" applyFont="1" applyFill="1" applyBorder="1" applyAlignment="1" applyProtection="1">
      <alignment horizontal="right"/>
      <protection locked="0"/>
    </xf>
    <xf numFmtId="1" fontId="10" fillId="6" borderId="54" xfId="37" applyNumberFormat="1" applyFont="1" applyFill="1" applyBorder="1" applyAlignment="1" applyProtection="1">
      <alignment horizontal="right"/>
      <protection locked="0"/>
    </xf>
    <xf numFmtId="1" fontId="10" fillId="6" borderId="57" xfId="37" applyNumberFormat="1" applyFont="1" applyFill="1" applyBorder="1" applyAlignment="1" applyProtection="1">
      <alignment horizontal="right"/>
      <protection locked="0"/>
    </xf>
    <xf numFmtId="1" fontId="10" fillId="6" borderId="121" xfId="37" applyNumberFormat="1" applyFont="1" applyFill="1" applyBorder="1" applyAlignment="1" applyProtection="1">
      <alignment horizontal="right"/>
      <protection locked="0"/>
    </xf>
    <xf numFmtId="0" fontId="12" fillId="0" borderId="0" xfId="0" applyFont="1"/>
    <xf numFmtId="0" fontId="38" fillId="7" borderId="0" xfId="0" applyFont="1" applyFill="1" applyAlignment="1">
      <alignment vertical="center"/>
    </xf>
    <xf numFmtId="0" fontId="39" fillId="0" borderId="0" xfId="0" applyFont="1"/>
    <xf numFmtId="0" fontId="10" fillId="0" borderId="20" xfId="0" applyFont="1" applyBorder="1" applyAlignment="1">
      <alignment horizontal="center" wrapText="1"/>
    </xf>
    <xf numFmtId="0" fontId="10" fillId="0" borderId="10" xfId="0" applyFont="1" applyBorder="1" applyAlignment="1">
      <alignment horizontal="center" wrapText="1"/>
    </xf>
    <xf numFmtId="1" fontId="10" fillId="6" borderId="164" xfId="0" applyNumberFormat="1" applyFont="1" applyFill="1" applyBorder="1" applyAlignment="1" applyProtection="1">
      <alignment horizontal="right"/>
      <protection locked="0"/>
    </xf>
    <xf numFmtId="0" fontId="10" fillId="0" borderId="6" xfId="0" applyFont="1" applyBorder="1" applyAlignment="1">
      <alignment horizontal="center" vertical="center" wrapText="1"/>
    </xf>
    <xf numFmtId="0" fontId="10" fillId="0" borderId="7" xfId="0" applyFont="1" applyBorder="1" applyAlignment="1">
      <alignment horizontal="center" vertical="center" wrapText="1"/>
    </xf>
    <xf numFmtId="0" fontId="10" fillId="0" borderId="6" xfId="0" applyFont="1" applyBorder="1" applyAlignment="1">
      <alignment horizontal="right" wrapText="1"/>
    </xf>
    <xf numFmtId="0" fontId="10" fillId="0" borderId="12" xfId="0" applyFont="1" applyBorder="1" applyAlignment="1">
      <alignment horizontal="right" wrapText="1"/>
    </xf>
    <xf numFmtId="0" fontId="10" fillId="0" borderId="10" xfId="0" applyFont="1" applyBorder="1" applyAlignment="1">
      <alignment horizontal="right" wrapText="1"/>
    </xf>
    <xf numFmtId="0" fontId="10" fillId="0" borderId="28" xfId="0" applyFont="1" applyBorder="1" applyAlignment="1">
      <alignment horizontal="right" wrapText="1"/>
    </xf>
    <xf numFmtId="0" fontId="10" fillId="0" borderId="135" xfId="0" applyFont="1" applyBorder="1" applyAlignment="1">
      <alignment horizontal="right" wrapText="1"/>
    </xf>
    <xf numFmtId="0" fontId="10" fillId="0" borderId="2" xfId="0" applyFont="1" applyBorder="1" applyAlignment="1">
      <alignment horizontal="right" wrapText="1"/>
    </xf>
    <xf numFmtId="0" fontId="10" fillId="6" borderId="164" xfId="0" applyFont="1" applyFill="1" applyBorder="1" applyAlignment="1" applyProtection="1">
      <alignment horizontal="right"/>
      <protection locked="0"/>
    </xf>
    <xf numFmtId="0" fontId="10" fillId="6" borderId="98" xfId="0" applyFont="1" applyFill="1" applyBorder="1" applyAlignment="1" applyProtection="1">
      <alignment horizontal="right"/>
      <protection locked="0"/>
    </xf>
    <xf numFmtId="1" fontId="10" fillId="15" borderId="131" xfId="0" applyNumberFormat="1" applyFont="1" applyFill="1" applyBorder="1" applyAlignment="1">
      <alignment horizontal="right"/>
    </xf>
    <xf numFmtId="0" fontId="10" fillId="6" borderId="137" xfId="0" applyFont="1" applyFill="1" applyBorder="1" applyAlignment="1" applyProtection="1">
      <alignment horizontal="right"/>
      <protection locked="0"/>
    </xf>
    <xf numFmtId="0" fontId="10" fillId="6" borderId="37" xfId="0" applyFont="1" applyFill="1" applyBorder="1" applyAlignment="1" applyProtection="1">
      <alignment horizontal="right"/>
      <protection locked="0"/>
    </xf>
    <xf numFmtId="0" fontId="10" fillId="6" borderId="100" xfId="0" applyFont="1" applyFill="1" applyBorder="1" applyAlignment="1" applyProtection="1">
      <alignment horizontal="right"/>
      <protection locked="0"/>
    </xf>
    <xf numFmtId="0" fontId="10" fillId="6" borderId="49" xfId="0" applyFont="1" applyFill="1" applyBorder="1" applyAlignment="1" applyProtection="1">
      <alignment horizontal="right"/>
      <protection locked="0"/>
    </xf>
    <xf numFmtId="0" fontId="10" fillId="6" borderId="141" xfId="0" applyFont="1" applyFill="1" applyBorder="1" applyAlignment="1" applyProtection="1">
      <alignment horizontal="right"/>
      <protection locked="0"/>
    </xf>
    <xf numFmtId="0" fontId="10" fillId="6" borderId="19" xfId="0" applyFont="1" applyFill="1" applyBorder="1" applyAlignment="1" applyProtection="1">
      <alignment horizontal="right"/>
      <protection locked="0"/>
    </xf>
    <xf numFmtId="0" fontId="10" fillId="6" borderId="71" xfId="0" applyFont="1" applyFill="1" applyBorder="1" applyAlignment="1" applyProtection="1">
      <alignment horizontal="right"/>
      <protection locked="0"/>
    </xf>
    <xf numFmtId="0" fontId="10" fillId="6" borderId="139" xfId="0" applyFont="1" applyFill="1" applyBorder="1" applyAlignment="1" applyProtection="1">
      <alignment horizontal="right"/>
      <protection locked="0"/>
    </xf>
    <xf numFmtId="0" fontId="10" fillId="6" borderId="99" xfId="0" applyFont="1" applyFill="1" applyBorder="1" applyAlignment="1" applyProtection="1">
      <alignment horizontal="right"/>
      <protection locked="0"/>
    </xf>
    <xf numFmtId="0" fontId="10" fillId="0" borderId="51" xfId="0" applyFont="1" applyBorder="1" applyAlignment="1">
      <alignment horizontal="left" vertical="center" wrapText="1"/>
    </xf>
    <xf numFmtId="0" fontId="10" fillId="6" borderId="52" xfId="0" applyFont="1" applyFill="1" applyBorder="1" applyAlignment="1" applyProtection="1">
      <alignment horizontal="right"/>
      <protection locked="0"/>
    </xf>
    <xf numFmtId="0" fontId="10" fillId="6" borderId="36" xfId="0" applyFont="1" applyFill="1" applyBorder="1" applyAlignment="1" applyProtection="1">
      <alignment horizontal="right"/>
      <protection locked="0"/>
    </xf>
    <xf numFmtId="1" fontId="10" fillId="15" borderId="55" xfId="0" applyNumberFormat="1" applyFont="1" applyFill="1" applyBorder="1" applyAlignment="1">
      <alignment horizontal="right"/>
    </xf>
    <xf numFmtId="0" fontId="10" fillId="6" borderId="130" xfId="0" applyFont="1" applyFill="1" applyBorder="1" applyAlignment="1" applyProtection="1">
      <alignment horizontal="right"/>
      <protection locked="0"/>
    </xf>
    <xf numFmtId="0" fontId="10" fillId="6" borderId="15" xfId="0" applyFont="1" applyFill="1" applyBorder="1" applyAlignment="1" applyProtection="1">
      <alignment horizontal="right"/>
      <protection locked="0"/>
    </xf>
    <xf numFmtId="1" fontId="10" fillId="15" borderId="80" xfId="0" applyNumberFormat="1" applyFont="1" applyFill="1" applyBorder="1"/>
    <xf numFmtId="1" fontId="10" fillId="15" borderId="92" xfId="0" applyNumberFormat="1" applyFont="1" applyFill="1" applyBorder="1"/>
    <xf numFmtId="0" fontId="12" fillId="0" borderId="0" xfId="0" applyFont="1" applyAlignment="1">
      <alignment vertical="center"/>
    </xf>
    <xf numFmtId="0" fontId="36" fillId="7" borderId="0" xfId="0" applyFont="1" applyFill="1" applyAlignment="1">
      <alignment vertical="center"/>
    </xf>
    <xf numFmtId="1" fontId="34" fillId="0" borderId="0" xfId="0" applyNumberFormat="1" applyFont="1" applyAlignment="1">
      <alignment vertical="center"/>
    </xf>
    <xf numFmtId="0" fontId="10" fillId="0" borderId="28" xfId="0" applyFont="1" applyBorder="1" applyAlignment="1">
      <alignment horizontal="center" vertical="center" wrapText="1"/>
    </xf>
    <xf numFmtId="0" fontId="10" fillId="0" borderId="214" xfId="0" applyFont="1" applyBorder="1" applyAlignment="1">
      <alignment horizontal="center" vertical="center" wrapText="1"/>
    </xf>
    <xf numFmtId="0" fontId="10" fillId="0" borderId="189" xfId="0" applyFont="1" applyBorder="1" applyAlignment="1">
      <alignment horizontal="center" vertical="center" wrapText="1"/>
    </xf>
    <xf numFmtId="0" fontId="10" fillId="0" borderId="37" xfId="0" applyFont="1" applyBorder="1" applyAlignment="1">
      <alignment vertical="center" wrapText="1"/>
    </xf>
    <xf numFmtId="0" fontId="10" fillId="6" borderId="38" xfId="0" applyFont="1" applyFill="1" applyBorder="1" applyProtection="1">
      <protection locked="0"/>
    </xf>
    <xf numFmtId="0" fontId="10" fillId="6" borderId="42" xfId="0" applyFont="1" applyFill="1" applyBorder="1" applyProtection="1">
      <protection locked="0"/>
    </xf>
    <xf numFmtId="0" fontId="10" fillId="6" borderId="215" xfId="0" applyFont="1" applyFill="1" applyBorder="1" applyProtection="1">
      <protection locked="0"/>
    </xf>
    <xf numFmtId="0" fontId="10" fillId="6" borderId="216" xfId="0" applyFont="1" applyFill="1" applyBorder="1" applyProtection="1">
      <protection locked="0"/>
    </xf>
    <xf numFmtId="0" fontId="10" fillId="0" borderId="51" xfId="0" applyFont="1" applyBorder="1" applyAlignment="1">
      <alignment vertical="center" wrapText="1"/>
    </xf>
    <xf numFmtId="0" fontId="10" fillId="6" borderId="52" xfId="0" applyFont="1" applyFill="1" applyBorder="1" applyProtection="1">
      <protection locked="0"/>
    </xf>
    <xf numFmtId="0" fontId="10" fillId="6" borderId="55" xfId="0" applyFont="1" applyFill="1" applyBorder="1" applyProtection="1">
      <protection locked="0"/>
    </xf>
    <xf numFmtId="0" fontId="10" fillId="6" borderId="217" xfId="0" applyFont="1" applyFill="1" applyBorder="1" applyProtection="1">
      <protection locked="0"/>
    </xf>
    <xf numFmtId="0" fontId="10" fillId="6" borderId="218" xfId="0" applyFont="1" applyFill="1" applyBorder="1" applyProtection="1">
      <protection locked="0"/>
    </xf>
    <xf numFmtId="0" fontId="10" fillId="0" borderId="6" xfId="0" applyFont="1" applyBorder="1" applyAlignment="1">
      <alignment horizontal="right" vertical="center" wrapText="1"/>
    </xf>
    <xf numFmtId="0" fontId="10" fillId="0" borderId="28" xfId="0" applyFont="1" applyBorder="1" applyAlignment="1">
      <alignment horizontal="right" vertical="center" wrapText="1"/>
    </xf>
    <xf numFmtId="0" fontId="10" fillId="0" borderId="130" xfId="0" applyFont="1" applyBorder="1" applyAlignment="1">
      <alignment horizontal="right" vertical="center" wrapText="1"/>
    </xf>
    <xf numFmtId="0" fontId="10" fillId="0" borderId="15" xfId="0" applyFont="1" applyBorder="1" applyAlignment="1">
      <alignment horizontal="right" vertical="center" wrapText="1"/>
    </xf>
    <xf numFmtId="1" fontId="10" fillId="0" borderId="6" xfId="37" applyNumberFormat="1" applyFont="1" applyBorder="1" applyAlignment="1">
      <alignment horizontal="center" vertical="center" wrapText="1"/>
    </xf>
    <xf numFmtId="1" fontId="10" fillId="6" borderId="166" xfId="37" applyNumberFormat="1" applyFont="1" applyFill="1" applyBorder="1" applyAlignment="1" applyProtection="1">
      <alignment horizontal="right"/>
      <protection locked="0"/>
    </xf>
    <xf numFmtId="1" fontId="10" fillId="6" borderId="128" xfId="37" applyNumberFormat="1" applyFont="1" applyFill="1" applyBorder="1" applyAlignment="1" applyProtection="1">
      <alignment horizontal="right"/>
      <protection locked="0"/>
    </xf>
    <xf numFmtId="1" fontId="10" fillId="6" borderId="116" xfId="37" applyNumberFormat="1" applyFont="1" applyFill="1" applyBorder="1" applyAlignment="1" applyProtection="1">
      <alignment horizontal="right"/>
      <protection locked="0"/>
    </xf>
    <xf numFmtId="1" fontId="10" fillId="6" borderId="16" xfId="37" applyNumberFormat="1" applyFont="1" applyFill="1" applyBorder="1" applyAlignment="1" applyProtection="1">
      <alignment horizontal="right"/>
      <protection locked="0"/>
    </xf>
    <xf numFmtId="1" fontId="11" fillId="22" borderId="0" xfId="32" applyNumberFormat="1" applyFont="1" applyFill="1" applyAlignment="1">
      <alignment wrapText="1"/>
    </xf>
    <xf numFmtId="1" fontId="10" fillId="0" borderId="222" xfId="32" applyNumberFormat="1" applyFont="1" applyBorder="1" applyAlignment="1">
      <alignment horizontal="center" vertical="center" wrapText="1"/>
    </xf>
    <xf numFmtId="1" fontId="10" fillId="0" borderId="223" xfId="32" applyNumberFormat="1" applyFont="1" applyBorder="1" applyAlignment="1">
      <alignment horizontal="center" vertical="center" wrapText="1"/>
    </xf>
    <xf numFmtId="1" fontId="10" fillId="0" borderId="79" xfId="32" applyNumberFormat="1" applyFont="1" applyBorder="1" applyAlignment="1">
      <alignment horizontal="center" vertical="center" wrapText="1"/>
    </xf>
    <xf numFmtId="1" fontId="10" fillId="0" borderId="224" xfId="32" applyNumberFormat="1" applyFont="1" applyBorder="1" applyAlignment="1">
      <alignment horizontal="center" vertical="center" wrapText="1"/>
    </xf>
    <xf numFmtId="1" fontId="10" fillId="0" borderId="225" xfId="32" applyNumberFormat="1" applyFont="1" applyBorder="1" applyAlignment="1">
      <alignment horizontal="center" vertical="center" wrapText="1"/>
    </xf>
    <xf numFmtId="1" fontId="10" fillId="0" borderId="147" xfId="32" applyNumberFormat="1" applyFont="1" applyBorder="1" applyAlignment="1">
      <alignment horizontal="center" vertical="center" wrapText="1"/>
    </xf>
    <xf numFmtId="1" fontId="10" fillId="0" borderId="228" xfId="32" applyNumberFormat="1" applyFont="1" applyBorder="1" applyAlignment="1">
      <alignment horizontal="right"/>
    </xf>
    <xf numFmtId="1" fontId="10" fillId="0" borderId="229" xfId="32" applyNumberFormat="1" applyFont="1" applyBorder="1" applyAlignment="1">
      <alignment horizontal="right"/>
    </xf>
    <xf numFmtId="1" fontId="10" fillId="0" borderId="230" xfId="32" applyNumberFormat="1" applyFont="1" applyBorder="1" applyAlignment="1">
      <alignment horizontal="right"/>
    </xf>
    <xf numFmtId="1" fontId="10" fillId="23" borderId="231" xfId="32" applyNumberFormat="1" applyFont="1" applyFill="1" applyBorder="1" applyAlignment="1" applyProtection="1">
      <alignment horizontal="right"/>
      <protection locked="0"/>
    </xf>
    <xf numFmtId="1" fontId="10" fillId="23" borderId="232" xfId="32" applyNumberFormat="1" applyFont="1" applyFill="1" applyBorder="1" applyAlignment="1" applyProtection="1">
      <alignment horizontal="right"/>
      <protection locked="0"/>
    </xf>
    <xf numFmtId="1" fontId="10" fillId="24" borderId="233" xfId="32" applyNumberFormat="1" applyFont="1" applyFill="1" applyBorder="1" applyAlignment="1">
      <alignment horizontal="right"/>
    </xf>
    <xf numFmtId="1" fontId="10" fillId="24" borderId="234" xfId="32" applyNumberFormat="1" applyFont="1" applyFill="1" applyBorder="1" applyAlignment="1">
      <alignment horizontal="right"/>
    </xf>
    <xf numFmtId="1" fontId="10" fillId="0" borderId="237" xfId="32" applyNumberFormat="1" applyFont="1" applyBorder="1" applyAlignment="1">
      <alignment horizontal="right"/>
    </xf>
    <xf numFmtId="1" fontId="10" fillId="0" borderId="231" xfId="32" applyNumberFormat="1" applyFont="1" applyBorder="1" applyAlignment="1">
      <alignment horizontal="right"/>
    </xf>
    <xf numFmtId="1" fontId="10" fillId="0" borderId="236" xfId="32" applyNumberFormat="1" applyFont="1" applyBorder="1" applyAlignment="1">
      <alignment horizontal="right"/>
    </xf>
    <xf numFmtId="1" fontId="10" fillId="24" borderId="231" xfId="32" applyNumberFormat="1" applyFont="1" applyFill="1" applyBorder="1" applyAlignment="1">
      <alignment horizontal="right"/>
    </xf>
    <xf numFmtId="1" fontId="10" fillId="24" borderId="238" xfId="32" applyNumberFormat="1" applyFont="1" applyFill="1" applyBorder="1" applyAlignment="1">
      <alignment horizontal="right"/>
    </xf>
    <xf numFmtId="1" fontId="10" fillId="23" borderId="239" xfId="32" applyNumberFormat="1" applyFont="1" applyFill="1" applyBorder="1" applyAlignment="1" applyProtection="1">
      <alignment horizontal="right"/>
      <protection locked="0"/>
    </xf>
    <xf numFmtId="1" fontId="10" fillId="23" borderId="238" xfId="32" applyNumberFormat="1" applyFont="1" applyFill="1" applyBorder="1" applyAlignment="1" applyProtection="1">
      <alignment horizontal="right"/>
      <protection locked="0"/>
    </xf>
    <xf numFmtId="1" fontId="10" fillId="24" borderId="239" xfId="32" applyNumberFormat="1" applyFont="1" applyFill="1" applyBorder="1" applyAlignment="1">
      <alignment horizontal="right"/>
    </xf>
    <xf numFmtId="1" fontId="10" fillId="0" borderId="242" xfId="32" applyNumberFormat="1" applyFont="1" applyBorder="1" applyAlignment="1">
      <alignment horizontal="right" wrapText="1"/>
    </xf>
    <xf numFmtId="1" fontId="10" fillId="0" borderId="243" xfId="32" applyNumberFormat="1" applyFont="1" applyBorder="1" applyAlignment="1">
      <alignment horizontal="right" wrapText="1"/>
    </xf>
    <xf numFmtId="1" fontId="10" fillId="0" borderId="244" xfId="32" applyNumberFormat="1" applyFont="1" applyBorder="1" applyAlignment="1">
      <alignment horizontal="right" wrapText="1"/>
    </xf>
    <xf numFmtId="1" fontId="10" fillId="24" borderId="245" xfId="32" applyNumberFormat="1" applyFont="1" applyFill="1" applyBorder="1" applyAlignment="1">
      <alignment horizontal="right"/>
    </xf>
    <xf numFmtId="1" fontId="10" fillId="24" borderId="246" xfId="32" applyNumberFormat="1" applyFont="1" applyFill="1" applyBorder="1" applyAlignment="1">
      <alignment horizontal="right"/>
    </xf>
    <xf numFmtId="1" fontId="10" fillId="24" borderId="247" xfId="32" applyNumberFormat="1" applyFont="1" applyFill="1" applyBorder="1" applyAlignment="1">
      <alignment horizontal="right"/>
    </xf>
    <xf numFmtId="1" fontId="10" fillId="23" borderId="248" xfId="32" applyNumberFormat="1" applyFont="1" applyFill="1" applyBorder="1" applyAlignment="1" applyProtection="1">
      <alignment horizontal="right"/>
      <protection locked="0"/>
    </xf>
    <xf numFmtId="1" fontId="10" fillId="23" borderId="249" xfId="32" applyNumberFormat="1" applyFont="1" applyFill="1" applyBorder="1" applyAlignment="1" applyProtection="1">
      <alignment horizontal="right"/>
      <protection locked="0"/>
    </xf>
    <xf numFmtId="1" fontId="10" fillId="23" borderId="247" xfId="32" applyNumberFormat="1" applyFont="1" applyFill="1" applyBorder="1" applyAlignment="1" applyProtection="1">
      <alignment horizontal="right"/>
      <protection locked="0"/>
    </xf>
    <xf numFmtId="1" fontId="10" fillId="23" borderId="246" xfId="32" applyNumberFormat="1" applyFont="1" applyFill="1" applyBorder="1" applyAlignment="1" applyProtection="1">
      <alignment horizontal="right"/>
      <protection locked="0"/>
    </xf>
    <xf numFmtId="1" fontId="10" fillId="0" borderId="226" xfId="32" applyNumberFormat="1" applyFont="1" applyBorder="1" applyAlignment="1">
      <alignment vertical="center" wrapText="1"/>
    </xf>
    <xf numFmtId="1" fontId="10" fillId="0" borderId="250" xfId="32" applyNumberFormat="1" applyFont="1" applyBorder="1" applyAlignment="1">
      <alignment horizontal="right" wrapText="1"/>
    </xf>
    <xf numFmtId="1" fontId="10" fillId="0" borderId="251" xfId="32" applyNumberFormat="1" applyFont="1" applyBorder="1" applyAlignment="1">
      <alignment horizontal="right" wrapText="1"/>
    </xf>
    <xf numFmtId="1" fontId="10" fillId="0" borderId="252" xfId="32" applyNumberFormat="1" applyFont="1" applyBorder="1" applyAlignment="1">
      <alignment horizontal="right" wrapText="1"/>
    </xf>
    <xf numFmtId="1" fontId="10" fillId="23" borderId="253" xfId="32" applyNumberFormat="1" applyFont="1" applyFill="1" applyBorder="1" applyAlignment="1" applyProtection="1">
      <alignment horizontal="right"/>
      <protection locked="0"/>
    </xf>
    <xf numFmtId="1" fontId="10" fillId="23" borderId="254" xfId="32" applyNumberFormat="1" applyFont="1" applyFill="1" applyBorder="1" applyAlignment="1" applyProtection="1">
      <alignment horizontal="right"/>
      <protection locked="0"/>
    </xf>
    <xf numFmtId="1" fontId="10" fillId="23" borderId="255" xfId="32" applyNumberFormat="1" applyFont="1" applyFill="1" applyBorder="1" applyAlignment="1" applyProtection="1">
      <alignment horizontal="right"/>
      <protection locked="0"/>
    </xf>
    <xf numFmtId="1" fontId="10" fillId="23" borderId="256" xfId="32" applyNumberFormat="1" applyFont="1" applyFill="1" applyBorder="1" applyAlignment="1" applyProtection="1">
      <alignment horizontal="right"/>
      <protection locked="0"/>
    </xf>
    <xf numFmtId="1" fontId="10" fillId="23" borderId="257" xfId="32" applyNumberFormat="1" applyFont="1" applyFill="1" applyBorder="1" applyAlignment="1" applyProtection="1">
      <alignment horizontal="right"/>
      <protection locked="0"/>
    </xf>
    <xf numFmtId="1" fontId="10" fillId="0" borderId="235" xfId="32" applyNumberFormat="1" applyFont="1" applyBorder="1" applyAlignment="1">
      <alignment vertical="center" wrapText="1"/>
    </xf>
    <xf numFmtId="1" fontId="10" fillId="0" borderId="199" xfId="32" applyNumberFormat="1" applyFont="1" applyBorder="1" applyAlignment="1">
      <alignment horizontal="right" wrapText="1"/>
    </xf>
    <xf numFmtId="1" fontId="10" fillId="23" borderId="259" xfId="32" applyNumberFormat="1" applyFont="1" applyFill="1" applyBorder="1" applyAlignment="1" applyProtection="1">
      <alignment horizontal="right"/>
      <protection locked="0"/>
    </xf>
    <xf numFmtId="1" fontId="10" fillId="23" borderId="260" xfId="32" applyNumberFormat="1" applyFont="1" applyFill="1" applyBorder="1" applyAlignment="1" applyProtection="1">
      <alignment horizontal="right"/>
      <protection locked="0"/>
    </xf>
    <xf numFmtId="1" fontId="10" fillId="23" borderId="261" xfId="32" applyNumberFormat="1" applyFont="1" applyFill="1" applyBorder="1" applyAlignment="1" applyProtection="1">
      <alignment horizontal="right"/>
      <protection locked="0"/>
    </xf>
    <xf numFmtId="1" fontId="10" fillId="0" borderId="240" xfId="32" applyNumberFormat="1" applyFont="1" applyBorder="1" applyAlignment="1">
      <alignment vertical="center" wrapText="1"/>
    </xf>
    <xf numFmtId="1" fontId="10" fillId="0" borderId="263" xfId="32" applyNumberFormat="1" applyFont="1" applyBorder="1" applyAlignment="1">
      <alignment horizontal="right" wrapText="1"/>
    </xf>
    <xf numFmtId="1" fontId="10" fillId="0" borderId="264" xfId="32" applyNumberFormat="1" applyFont="1" applyBorder="1" applyAlignment="1">
      <alignment horizontal="right" wrapText="1"/>
    </xf>
    <xf numFmtId="1" fontId="10" fillId="0" borderId="265" xfId="32" applyNumberFormat="1" applyFont="1" applyBorder="1" applyAlignment="1">
      <alignment horizontal="right" wrapText="1"/>
    </xf>
    <xf numFmtId="1" fontId="10" fillId="23" borderId="245" xfId="32" applyNumberFormat="1" applyFont="1" applyFill="1" applyBorder="1" applyAlignment="1" applyProtection="1">
      <alignment horizontal="right"/>
      <protection locked="0"/>
    </xf>
    <xf numFmtId="1" fontId="10" fillId="23" borderId="266" xfId="32" applyNumberFormat="1" applyFont="1" applyFill="1" applyBorder="1" applyAlignment="1" applyProtection="1">
      <alignment horizontal="right"/>
      <protection locked="0"/>
    </xf>
    <xf numFmtId="1" fontId="10" fillId="23" borderId="267" xfId="32" applyNumberFormat="1" applyFont="1" applyFill="1" applyBorder="1" applyAlignment="1" applyProtection="1">
      <alignment horizontal="right"/>
      <protection locked="0"/>
    </xf>
    <xf numFmtId="1" fontId="10" fillId="23" borderId="268" xfId="32" applyNumberFormat="1" applyFont="1" applyFill="1" applyBorder="1" applyAlignment="1" applyProtection="1">
      <alignment horizontal="right"/>
      <protection locked="0"/>
    </xf>
    <xf numFmtId="0" fontId="3" fillId="0" borderId="0" xfId="32"/>
    <xf numFmtId="1" fontId="10" fillId="0" borderId="0" xfId="37" quotePrefix="1" applyNumberFormat="1" applyFont="1" applyAlignment="1">
      <alignment vertical="center" wrapText="1"/>
    </xf>
    <xf numFmtId="1" fontId="10" fillId="0" borderId="270" xfId="0" applyNumberFormat="1" applyFont="1" applyBorder="1" applyAlignment="1">
      <alignment horizontal="center" vertical="center" wrapText="1"/>
    </xf>
    <xf numFmtId="1" fontId="10" fillId="0" borderId="0" xfId="37" applyNumberFormat="1" applyFont="1" applyAlignment="1">
      <alignment vertical="center" wrapText="1"/>
    </xf>
    <xf numFmtId="1" fontId="10" fillId="6" borderId="157" xfId="37" applyNumberFormat="1" applyFont="1" applyFill="1" applyBorder="1" applyAlignment="1" applyProtection="1">
      <alignment horizontal="right"/>
      <protection locked="0"/>
    </xf>
    <xf numFmtId="1" fontId="10" fillId="0" borderId="0" xfId="37" applyNumberFormat="1" applyFont="1" applyProtection="1">
      <protection locked="0"/>
    </xf>
    <xf numFmtId="0" fontId="10" fillId="0" borderId="99" xfId="0" applyFont="1" applyBorder="1" applyAlignment="1">
      <alignment vertical="center" wrapText="1"/>
    </xf>
    <xf numFmtId="1" fontId="10" fillId="6" borderId="271" xfId="37" applyNumberFormat="1" applyFont="1" applyFill="1" applyBorder="1" applyAlignment="1" applyProtection="1">
      <alignment horizontal="right"/>
      <protection locked="0"/>
    </xf>
    <xf numFmtId="1" fontId="10" fillId="6" borderId="272" xfId="37" applyNumberFormat="1" applyFont="1" applyFill="1" applyBorder="1" applyAlignment="1" applyProtection="1">
      <alignment horizontal="right"/>
      <protection locked="0"/>
    </xf>
    <xf numFmtId="1" fontId="10" fillId="15" borderId="98" xfId="0" applyNumberFormat="1" applyFont="1" applyFill="1" applyBorder="1" applyAlignment="1">
      <alignment horizontal="right"/>
    </xf>
    <xf numFmtId="1" fontId="34" fillId="0" borderId="0" xfId="0" applyNumberFormat="1" applyFont="1"/>
    <xf numFmtId="1" fontId="10" fillId="0" borderId="2" xfId="0" applyNumberFormat="1" applyFont="1" applyBorder="1" applyAlignment="1">
      <alignment horizontal="center" vertical="center"/>
    </xf>
    <xf numFmtId="1" fontId="10" fillId="0" borderId="277" xfId="0" applyNumberFormat="1" applyFont="1" applyBorder="1" applyAlignment="1">
      <alignment horizontal="center" vertical="center" wrapText="1"/>
    </xf>
    <xf numFmtId="1" fontId="10" fillId="0" borderId="80" xfId="0" applyNumberFormat="1" applyFont="1" applyBorder="1" applyAlignment="1">
      <alignment horizontal="center" vertical="center" wrapText="1"/>
    </xf>
    <xf numFmtId="1" fontId="10" fillId="0" borderId="37" xfId="0" applyNumberFormat="1" applyFont="1" applyBorder="1" applyAlignment="1">
      <alignment vertical="top" wrapText="1"/>
    </xf>
    <xf numFmtId="1" fontId="10" fillId="0" borderId="39" xfId="0" applyNumberFormat="1" applyFont="1" applyBorder="1" applyAlignment="1">
      <alignment horizontal="right" wrapText="1"/>
    </xf>
    <xf numFmtId="1" fontId="10" fillId="0" borderId="98" xfId="0" applyNumberFormat="1" applyFont="1" applyBorder="1" applyAlignment="1">
      <alignment horizontal="right" wrapText="1"/>
    </xf>
    <xf numFmtId="1" fontId="10" fillId="14" borderId="113" xfId="0" applyNumberFormat="1" applyFont="1" applyFill="1" applyBorder="1" applyAlignment="1">
      <alignment horizontal="right"/>
    </xf>
    <xf numFmtId="1" fontId="10" fillId="14" borderId="138" xfId="0" applyNumberFormat="1" applyFont="1" applyFill="1" applyBorder="1" applyAlignment="1">
      <alignment horizontal="right"/>
    </xf>
    <xf numFmtId="1" fontId="10" fillId="14" borderId="278" xfId="0" applyNumberFormat="1" applyFont="1" applyFill="1" applyBorder="1" applyAlignment="1">
      <alignment horizontal="right"/>
    </xf>
    <xf numFmtId="1" fontId="10" fillId="14" borderId="279" xfId="0" applyNumberFormat="1" applyFont="1" applyFill="1" applyBorder="1" applyAlignment="1">
      <alignment horizontal="right"/>
    </xf>
    <xf numFmtId="1" fontId="10" fillId="6" borderId="280" xfId="0" applyNumberFormat="1" applyFont="1" applyFill="1" applyBorder="1" applyAlignment="1" applyProtection="1">
      <alignment horizontal="right"/>
      <protection locked="0"/>
    </xf>
    <xf numFmtId="1" fontId="10" fillId="6" borderId="281" xfId="0" applyNumberFormat="1" applyFont="1" applyFill="1" applyBorder="1" applyAlignment="1" applyProtection="1">
      <alignment horizontal="right"/>
      <protection locked="0"/>
    </xf>
    <xf numFmtId="1" fontId="10" fillId="0" borderId="103" xfId="0" applyNumberFormat="1" applyFont="1" applyBorder="1" applyAlignment="1">
      <alignment horizontal="right" wrapText="1"/>
    </xf>
    <xf numFmtId="1" fontId="10" fillId="6" borderId="282" xfId="0" applyNumberFormat="1" applyFont="1" applyFill="1" applyBorder="1" applyAlignment="1" applyProtection="1">
      <alignment horizontal="right"/>
      <protection locked="0"/>
    </xf>
    <xf numFmtId="1" fontId="10" fillId="6" borderId="283" xfId="0" applyNumberFormat="1" applyFont="1" applyFill="1" applyBorder="1" applyAlignment="1" applyProtection="1">
      <alignment horizontal="right"/>
      <protection locked="0"/>
    </xf>
    <xf numFmtId="1" fontId="10" fillId="0" borderId="62" xfId="0" applyNumberFormat="1" applyFont="1" applyBorder="1" applyAlignment="1">
      <alignment horizontal="right" wrapText="1"/>
    </xf>
    <xf numFmtId="1" fontId="10" fillId="6" borderId="156" xfId="0" applyNumberFormat="1" applyFont="1" applyFill="1" applyBorder="1" applyAlignment="1" applyProtection="1">
      <alignment horizontal="right"/>
      <protection locked="0"/>
    </xf>
    <xf numFmtId="1" fontId="10" fillId="6" borderId="30" xfId="0" applyNumberFormat="1" applyFont="1" applyFill="1" applyBorder="1" applyAlignment="1" applyProtection="1">
      <alignment horizontal="right"/>
      <protection locked="0"/>
    </xf>
    <xf numFmtId="1" fontId="10" fillId="6" borderId="276" xfId="0" applyNumberFormat="1" applyFont="1" applyFill="1" applyBorder="1" applyAlignment="1" applyProtection="1">
      <alignment horizontal="right"/>
      <protection locked="0"/>
    </xf>
    <xf numFmtId="1" fontId="10" fillId="6" borderId="277" xfId="0" applyNumberFormat="1" applyFont="1" applyFill="1" applyBorder="1" applyAlignment="1" applyProtection="1">
      <alignment horizontal="right"/>
      <protection locked="0"/>
    </xf>
    <xf numFmtId="1" fontId="41" fillId="20" borderId="0" xfId="0" applyNumberFormat="1" applyFont="1" applyFill="1"/>
    <xf numFmtId="1" fontId="23" fillId="0" borderId="0" xfId="0" applyNumberFormat="1" applyFont="1"/>
    <xf numFmtId="1" fontId="10" fillId="0" borderId="10" xfId="0" applyNumberFormat="1" applyFont="1" applyBorder="1" applyAlignment="1">
      <alignment horizontal="right" vertical="center"/>
    </xf>
    <xf numFmtId="1" fontId="10" fillId="0" borderId="65" xfId="0" applyNumberFormat="1" applyFont="1" applyBorder="1" applyAlignment="1">
      <alignment horizontal="right" vertical="center"/>
    </xf>
    <xf numFmtId="1" fontId="10" fillId="0" borderId="64" xfId="0" applyNumberFormat="1" applyFont="1" applyBorder="1" applyAlignment="1">
      <alignment horizontal="right" vertical="center"/>
    </xf>
    <xf numFmtId="1" fontId="10" fillId="0" borderId="67" xfId="0" applyNumberFormat="1" applyFont="1" applyBorder="1" applyAlignment="1">
      <alignment horizontal="right" vertical="center"/>
    </xf>
    <xf numFmtId="1" fontId="10" fillId="0" borderId="159" xfId="0" applyNumberFormat="1" applyFont="1" applyBorder="1" applyAlignment="1">
      <alignment horizontal="right" vertical="center"/>
    </xf>
    <xf numFmtId="1" fontId="10" fillId="0" borderId="2" xfId="0" applyNumberFormat="1" applyFont="1" applyBorder="1" applyAlignment="1">
      <alignment horizontal="right" vertical="center"/>
    </xf>
    <xf numFmtId="1" fontId="10" fillId="0" borderId="7" xfId="0" applyNumberFormat="1" applyFont="1" applyBorder="1" applyAlignment="1">
      <alignment horizontal="right" vertical="center"/>
    </xf>
    <xf numFmtId="1" fontId="10" fillId="0" borderId="166" xfId="0" applyNumberFormat="1" applyFont="1" applyBorder="1"/>
    <xf numFmtId="1" fontId="10" fillId="0" borderId="64" xfId="0" applyNumberFormat="1" applyFont="1" applyBorder="1" applyAlignment="1">
      <alignment horizontal="right"/>
    </xf>
    <xf numFmtId="1" fontId="10" fillId="7" borderId="98" xfId="0" applyNumberFormat="1" applyFont="1" applyFill="1" applyBorder="1" applyAlignment="1">
      <alignment horizontal="right"/>
    </xf>
    <xf numFmtId="1" fontId="10" fillId="6" borderId="38" xfId="0" applyNumberFormat="1" applyFont="1" applyFill="1" applyBorder="1" applyProtection="1">
      <protection locked="0"/>
    </xf>
    <xf numFmtId="1" fontId="10" fillId="6" borderId="98" xfId="0" applyNumberFormat="1" applyFont="1" applyFill="1" applyBorder="1" applyProtection="1">
      <protection locked="0"/>
    </xf>
    <xf numFmtId="1" fontId="10" fillId="6" borderId="112" xfId="0" applyNumberFormat="1" applyFont="1" applyFill="1" applyBorder="1" applyProtection="1">
      <protection locked="0"/>
    </xf>
    <xf numFmtId="1" fontId="10" fillId="6" borderId="137" xfId="0" applyNumberFormat="1" applyFont="1" applyFill="1" applyBorder="1" applyAlignment="1" applyProtection="1">
      <alignment wrapText="1"/>
      <protection locked="0"/>
    </xf>
    <xf numFmtId="1" fontId="10" fillId="6" borderId="37" xfId="0" applyNumberFormat="1" applyFont="1" applyFill="1" applyBorder="1" applyAlignment="1" applyProtection="1">
      <alignment wrapText="1"/>
      <protection locked="0"/>
    </xf>
    <xf numFmtId="1" fontId="10" fillId="6" borderId="98" xfId="0" applyNumberFormat="1" applyFont="1" applyFill="1" applyBorder="1" applyAlignment="1" applyProtection="1">
      <alignment wrapText="1"/>
      <protection locked="0"/>
    </xf>
    <xf numFmtId="0" fontId="10" fillId="13" borderId="0" xfId="0" applyFont="1" applyFill="1"/>
    <xf numFmtId="0" fontId="22" fillId="25" borderId="0" xfId="0" applyFont="1" applyFill="1"/>
    <xf numFmtId="1" fontId="10" fillId="0" borderId="100" xfId="0" applyNumberFormat="1" applyFont="1" applyBorder="1" applyAlignment="1">
      <alignment horizontal="right"/>
    </xf>
    <xf numFmtId="1" fontId="10" fillId="7" borderId="103" xfId="0" applyNumberFormat="1" applyFont="1" applyFill="1" applyBorder="1" applyAlignment="1">
      <alignment horizontal="right"/>
    </xf>
    <xf numFmtId="1" fontId="10" fillId="6" borderId="100" xfId="0" applyNumberFormat="1" applyFont="1" applyFill="1" applyBorder="1" applyProtection="1">
      <protection locked="0"/>
    </xf>
    <xf numFmtId="1" fontId="10" fillId="6" borderId="103" xfId="0" applyNumberFormat="1" applyFont="1" applyFill="1" applyBorder="1" applyProtection="1">
      <protection locked="0"/>
    </xf>
    <xf numFmtId="1" fontId="10" fillId="6" borderId="116" xfId="0" applyNumberFormat="1" applyFont="1" applyFill="1" applyBorder="1" applyProtection="1">
      <protection locked="0"/>
    </xf>
    <xf numFmtId="1" fontId="10" fillId="14" borderId="100" xfId="0" applyNumberFormat="1" applyFont="1" applyFill="1" applyBorder="1"/>
    <xf numFmtId="1" fontId="10" fillId="14" borderId="116" xfId="0" applyNumberFormat="1" applyFont="1" applyFill="1" applyBorder="1"/>
    <xf numFmtId="1" fontId="10" fillId="14" borderId="102" xfId="0" applyNumberFormat="1" applyFont="1" applyFill="1" applyBorder="1"/>
    <xf numFmtId="1" fontId="10" fillId="6" borderId="139" xfId="0" applyNumberFormat="1" applyFont="1" applyFill="1" applyBorder="1" applyAlignment="1" applyProtection="1">
      <alignment wrapText="1"/>
      <protection locked="0"/>
    </xf>
    <xf numFmtId="1" fontId="10" fillId="6" borderId="99" xfId="0" applyNumberFormat="1" applyFont="1" applyFill="1" applyBorder="1" applyAlignment="1" applyProtection="1">
      <alignment wrapText="1"/>
      <protection locked="0"/>
    </xf>
    <xf numFmtId="1" fontId="10" fillId="6" borderId="103" xfId="0" applyNumberFormat="1" applyFont="1" applyFill="1" applyBorder="1" applyAlignment="1" applyProtection="1">
      <alignment wrapText="1"/>
      <protection locked="0"/>
    </xf>
    <xf numFmtId="1" fontId="10" fillId="0" borderId="128" xfId="0" applyNumberFormat="1" applyFont="1" applyBorder="1" applyAlignment="1">
      <alignment horizontal="left" vertical="center"/>
    </xf>
    <xf numFmtId="1" fontId="10" fillId="6" borderId="128" xfId="0" applyNumberFormat="1" applyFont="1" applyFill="1" applyBorder="1" applyProtection="1">
      <protection locked="0"/>
    </xf>
    <xf numFmtId="1" fontId="10" fillId="6" borderId="102" xfId="0" applyNumberFormat="1" applyFont="1" applyFill="1" applyBorder="1" applyProtection="1">
      <protection locked="0"/>
    </xf>
    <xf numFmtId="1" fontId="10" fillId="7" borderId="49" xfId="0" applyNumberFormat="1" applyFont="1" applyFill="1" applyBorder="1" applyAlignment="1">
      <alignment horizontal="right"/>
    </xf>
    <xf numFmtId="1" fontId="10" fillId="14" borderId="71" xfId="0" applyNumberFormat="1" applyFont="1" applyFill="1" applyBorder="1"/>
    <xf numFmtId="1" fontId="10" fillId="14" borderId="171" xfId="0" applyNumberFormat="1" applyFont="1" applyFill="1" applyBorder="1"/>
    <xf numFmtId="1" fontId="10" fillId="0" borderId="99" xfId="0" applyNumberFormat="1" applyFont="1" applyBorder="1" applyAlignment="1">
      <alignment horizontal="left"/>
    </xf>
    <xf numFmtId="1" fontId="10" fillId="14" borderId="103" xfId="0" applyNumberFormat="1" applyFont="1" applyFill="1" applyBorder="1"/>
    <xf numFmtId="1" fontId="10" fillId="6" borderId="64" xfId="0" applyNumberFormat="1" applyFont="1" applyFill="1" applyBorder="1" applyProtection="1">
      <protection locked="0"/>
    </xf>
    <xf numFmtId="1" fontId="10" fillId="0" borderId="86" xfId="0" applyNumberFormat="1" applyFont="1" applyBorder="1" applyAlignment="1">
      <alignment horizontal="left"/>
    </xf>
    <xf numFmtId="1" fontId="10" fillId="7" borderId="171" xfId="0" applyNumberFormat="1" applyFont="1" applyFill="1" applyBorder="1" applyAlignment="1">
      <alignment horizontal="right"/>
    </xf>
    <xf numFmtId="1" fontId="10" fillId="14" borderId="167" xfId="0" applyNumberFormat="1" applyFont="1" applyFill="1" applyBorder="1"/>
    <xf numFmtId="1" fontId="10" fillId="6" borderId="167" xfId="0" applyNumberFormat="1" applyFont="1" applyFill="1" applyBorder="1" applyProtection="1">
      <protection locked="0"/>
    </xf>
    <xf numFmtId="1" fontId="10" fillId="14" borderId="78" xfId="0" applyNumberFormat="1" applyFont="1" applyFill="1" applyBorder="1"/>
    <xf numFmtId="1" fontId="10" fillId="14" borderId="168" xfId="0" applyNumberFormat="1" applyFont="1" applyFill="1" applyBorder="1"/>
    <xf numFmtId="1" fontId="10" fillId="6" borderId="170" xfId="0" applyNumberFormat="1" applyFont="1" applyFill="1" applyBorder="1" applyAlignment="1" applyProtection="1">
      <alignment wrapText="1"/>
      <protection locked="0"/>
    </xf>
    <xf numFmtId="1" fontId="10" fillId="6" borderId="86" xfId="0" applyNumberFormat="1" applyFont="1" applyFill="1" applyBorder="1" applyAlignment="1" applyProtection="1">
      <alignment wrapText="1"/>
      <protection locked="0"/>
    </xf>
    <xf numFmtId="0" fontId="10" fillId="15" borderId="171" xfId="0" applyFont="1" applyFill="1" applyBorder="1" applyAlignment="1">
      <alignment wrapText="1"/>
    </xf>
    <xf numFmtId="0" fontId="10" fillId="26" borderId="0" xfId="0" applyFont="1" applyFill="1"/>
    <xf numFmtId="0" fontId="22" fillId="26" borderId="0" xfId="0" applyFont="1" applyFill="1"/>
    <xf numFmtId="1" fontId="10" fillId="6" borderId="73" xfId="0" applyNumberFormat="1" applyFont="1" applyFill="1" applyBorder="1" applyProtection="1">
      <protection locked="0"/>
    </xf>
    <xf numFmtId="1" fontId="10" fillId="0" borderId="71" xfId="0" applyNumberFormat="1" applyFont="1" applyBorder="1" applyAlignment="1">
      <alignment horizontal="right"/>
    </xf>
    <xf numFmtId="1" fontId="10" fillId="0" borderId="72" xfId="0" applyNumberFormat="1" applyFont="1" applyBorder="1" applyAlignment="1">
      <alignment horizontal="right"/>
    </xf>
    <xf numFmtId="1" fontId="10" fillId="6" borderId="71" xfId="0" applyNumberFormat="1" applyFont="1" applyFill="1" applyBorder="1" applyProtection="1">
      <protection locked="0"/>
    </xf>
    <xf numFmtId="1" fontId="10" fillId="6" borderId="171" xfId="0" applyNumberFormat="1" applyFont="1" applyFill="1" applyBorder="1" applyProtection="1">
      <protection locked="0"/>
    </xf>
    <xf numFmtId="1" fontId="10" fillId="6" borderId="168" xfId="0" applyNumberFormat="1" applyFont="1" applyFill="1" applyBorder="1" applyProtection="1">
      <protection locked="0"/>
    </xf>
    <xf numFmtId="1" fontId="10" fillId="14" borderId="64" xfId="0" applyNumberFormat="1" applyFont="1" applyFill="1" applyBorder="1"/>
    <xf numFmtId="1" fontId="10" fillId="0" borderId="76" xfId="0" applyNumberFormat="1" applyFont="1" applyBorder="1" applyAlignment="1">
      <alignment horizontal="right" wrapText="1"/>
    </xf>
    <xf numFmtId="1" fontId="10" fillId="7" borderId="36" xfId="0" applyNumberFormat="1" applyFont="1" applyFill="1" applyBorder="1" applyAlignment="1">
      <alignment horizontal="right"/>
    </xf>
    <xf numFmtId="1" fontId="10" fillId="6" borderId="16" xfId="0" applyNumberFormat="1" applyFont="1" applyFill="1" applyBorder="1" applyProtection="1">
      <protection locked="0"/>
    </xf>
    <xf numFmtId="1" fontId="10" fillId="6" borderId="121" xfId="0" applyNumberFormat="1" applyFont="1" applyFill="1" applyBorder="1" applyProtection="1">
      <protection locked="0"/>
    </xf>
    <xf numFmtId="1" fontId="10" fillId="6" borderId="52" xfId="0" applyNumberFormat="1" applyFont="1" applyFill="1" applyBorder="1" applyProtection="1">
      <protection locked="0"/>
    </xf>
    <xf numFmtId="1" fontId="10" fillId="6" borderId="62" xfId="0" applyNumberFormat="1" applyFont="1" applyFill="1" applyBorder="1" applyProtection="1">
      <protection locked="0"/>
    </xf>
    <xf numFmtId="1" fontId="10" fillId="6" borderId="80" xfId="0" applyNumberFormat="1" applyFont="1" applyFill="1" applyBorder="1" applyProtection="1">
      <protection locked="0"/>
    </xf>
    <xf numFmtId="1" fontId="10" fillId="6" borderId="127" xfId="0" applyNumberFormat="1" applyFont="1" applyFill="1" applyBorder="1" applyProtection="1">
      <protection locked="0"/>
    </xf>
    <xf numFmtId="1" fontId="10" fillId="6" borderId="55" xfId="0" applyNumberFormat="1" applyFont="1" applyFill="1" applyBorder="1" applyProtection="1">
      <protection locked="0"/>
    </xf>
    <xf numFmtId="1" fontId="10" fillId="6" borderId="143" xfId="0" applyNumberFormat="1" applyFont="1" applyFill="1" applyBorder="1" applyAlignment="1" applyProtection="1">
      <alignment wrapText="1"/>
      <protection locked="0"/>
    </xf>
    <xf numFmtId="1" fontId="10" fillId="6" borderId="51" xfId="0" applyNumberFormat="1" applyFont="1" applyFill="1" applyBorder="1" applyAlignment="1" applyProtection="1">
      <alignment wrapText="1"/>
      <protection locked="0"/>
    </xf>
    <xf numFmtId="1" fontId="10" fillId="6" borderId="62" xfId="0" applyNumberFormat="1" applyFont="1" applyFill="1" applyBorder="1" applyAlignment="1" applyProtection="1">
      <alignment wrapText="1"/>
      <protection locked="0"/>
    </xf>
    <xf numFmtId="1" fontId="11" fillId="0" borderId="284" xfId="0" applyNumberFormat="1" applyFont="1" applyBorder="1"/>
    <xf numFmtId="1" fontId="10" fillId="0" borderId="8" xfId="0" applyNumberFormat="1" applyFont="1" applyBorder="1"/>
    <xf numFmtId="1" fontId="10" fillId="0" borderId="9" xfId="0" applyNumberFormat="1" applyFont="1" applyBorder="1"/>
    <xf numFmtId="1" fontId="10" fillId="0" borderId="212" xfId="0" applyNumberFormat="1" applyFont="1" applyBorder="1" applyAlignment="1">
      <alignment horizontal="center" vertical="center" wrapText="1"/>
    </xf>
    <xf numFmtId="1" fontId="10" fillId="0" borderId="38" xfId="0" applyNumberFormat="1" applyFont="1" applyBorder="1" applyAlignment="1">
      <alignment horizontal="right"/>
    </xf>
    <xf numFmtId="1" fontId="10" fillId="6" borderId="39" xfId="0" applyNumberFormat="1" applyFont="1" applyFill="1" applyBorder="1" applyProtection="1">
      <protection locked="0"/>
    </xf>
    <xf numFmtId="1" fontId="10" fillId="6" borderId="138" xfId="0" applyNumberFormat="1" applyFont="1" applyFill="1" applyBorder="1" applyProtection="1">
      <protection locked="0"/>
    </xf>
    <xf numFmtId="1" fontId="10" fillId="6" borderId="42" xfId="0" applyNumberFormat="1" applyFont="1" applyFill="1" applyBorder="1" applyProtection="1">
      <protection locked="0"/>
    </xf>
    <xf numFmtId="1" fontId="10" fillId="6" borderId="138" xfId="0" applyNumberFormat="1" applyFont="1" applyFill="1" applyBorder="1" applyAlignment="1" applyProtection="1">
      <alignment wrapText="1"/>
      <protection locked="0"/>
    </xf>
    <xf numFmtId="1" fontId="10" fillId="15" borderId="100" xfId="0" applyNumberFormat="1" applyFont="1" applyFill="1" applyBorder="1"/>
    <xf numFmtId="1" fontId="10" fillId="15" borderId="131" xfId="0" applyNumberFormat="1" applyFont="1" applyFill="1" applyBorder="1"/>
    <xf numFmtId="1" fontId="10" fillId="15" borderId="140" xfId="0" applyNumberFormat="1" applyFont="1" applyFill="1" applyBorder="1"/>
    <xf numFmtId="1" fontId="10" fillId="6" borderId="159" xfId="0" applyNumberFormat="1" applyFont="1" applyFill="1" applyBorder="1" applyAlignment="1" applyProtection="1">
      <alignment wrapText="1"/>
      <protection locked="0"/>
    </xf>
    <xf numFmtId="1" fontId="10" fillId="6" borderId="63" xfId="0" applyNumberFormat="1" applyFont="1" applyFill="1" applyBorder="1" applyAlignment="1" applyProtection="1">
      <alignment wrapText="1"/>
      <protection locked="0"/>
    </xf>
    <xf numFmtId="1" fontId="10" fillId="6" borderId="48" xfId="0" applyNumberFormat="1" applyFont="1" applyFill="1" applyBorder="1" applyAlignment="1" applyProtection="1">
      <alignment wrapText="1"/>
      <protection locked="0"/>
    </xf>
    <xf numFmtId="1" fontId="10" fillId="6" borderId="49" xfId="0" applyNumberFormat="1" applyFont="1" applyFill="1" applyBorder="1" applyAlignment="1" applyProtection="1">
      <alignment wrapText="1"/>
      <protection locked="0"/>
    </xf>
    <xf numFmtId="1" fontId="10" fillId="6" borderId="131" xfId="0" applyNumberFormat="1" applyFont="1" applyFill="1" applyBorder="1" applyProtection="1">
      <protection locked="0"/>
    </xf>
    <xf numFmtId="1" fontId="10" fillId="6" borderId="140" xfId="0" applyNumberFormat="1" applyFont="1" applyFill="1" applyBorder="1" applyProtection="1">
      <protection locked="0"/>
    </xf>
    <xf numFmtId="1" fontId="10" fillId="6" borderId="140" xfId="0" applyNumberFormat="1" applyFont="1" applyFill="1" applyBorder="1" applyAlignment="1" applyProtection="1">
      <alignment wrapText="1"/>
      <protection locked="0"/>
    </xf>
    <xf numFmtId="1" fontId="10" fillId="14" borderId="72" xfId="0" applyNumberFormat="1" applyFont="1" applyFill="1" applyBorder="1"/>
    <xf numFmtId="1" fontId="10" fillId="14" borderId="197" xfId="0" applyNumberFormat="1" applyFont="1" applyFill="1" applyBorder="1"/>
    <xf numFmtId="1" fontId="10" fillId="15" borderId="103" xfId="0" applyNumberFormat="1" applyFont="1" applyFill="1" applyBorder="1"/>
    <xf numFmtId="1" fontId="10" fillId="15" borderId="116" xfId="0" applyNumberFormat="1" applyFont="1" applyFill="1" applyBorder="1"/>
    <xf numFmtId="1" fontId="10" fillId="0" borderId="69" xfId="0" applyNumberFormat="1" applyFont="1" applyBorder="1" applyAlignment="1">
      <alignment horizontal="right"/>
    </xf>
    <xf numFmtId="1" fontId="10" fillId="6" borderId="197" xfId="0" applyNumberFormat="1" applyFont="1" applyFill="1" applyBorder="1" applyAlignment="1" applyProtection="1">
      <alignment wrapText="1"/>
      <protection locked="0"/>
    </xf>
    <xf numFmtId="1" fontId="10" fillId="6" borderId="171" xfId="0" applyNumberFormat="1" applyFont="1" applyFill="1" applyBorder="1" applyAlignment="1" applyProtection="1">
      <alignment wrapText="1"/>
      <protection locked="0"/>
    </xf>
    <xf numFmtId="1" fontId="10" fillId="6" borderId="72" xfId="0" applyNumberFormat="1" applyFont="1" applyFill="1" applyBorder="1" applyProtection="1">
      <protection locked="0"/>
    </xf>
    <xf numFmtId="1" fontId="10" fillId="15" borderId="64" xfId="0" applyNumberFormat="1" applyFont="1" applyFill="1" applyBorder="1"/>
    <xf numFmtId="1" fontId="10" fillId="15" borderId="49" xfId="0" applyNumberFormat="1" applyFont="1" applyFill="1" applyBorder="1"/>
    <xf numFmtId="1" fontId="10" fillId="15" borderId="180" xfId="0" applyNumberFormat="1" applyFont="1" applyFill="1" applyBorder="1"/>
    <xf numFmtId="1" fontId="10" fillId="0" borderId="36" xfId="0" applyNumberFormat="1" applyFont="1" applyBorder="1" applyAlignment="1">
      <alignment horizontal="left"/>
    </xf>
    <xf numFmtId="1" fontId="10" fillId="0" borderId="80" xfId="0" applyNumberFormat="1" applyFont="1" applyBorder="1" applyAlignment="1">
      <alignment horizontal="right"/>
    </xf>
    <xf numFmtId="1" fontId="10" fillId="6" borderId="36" xfId="0" applyNumberFormat="1" applyFont="1" applyFill="1" applyBorder="1" applyProtection="1">
      <protection locked="0"/>
    </xf>
    <xf numFmtId="1" fontId="10" fillId="6" borderId="156" xfId="0" applyNumberFormat="1" applyFont="1" applyFill="1" applyBorder="1" applyProtection="1">
      <protection locked="0"/>
    </xf>
    <xf numFmtId="1" fontId="10" fillId="6" borderId="130" xfId="0" applyNumberFormat="1" applyFont="1" applyFill="1" applyBorder="1" applyAlignment="1" applyProtection="1">
      <alignment wrapText="1"/>
      <protection locked="0"/>
    </xf>
    <xf numFmtId="1" fontId="10" fillId="6" borderId="15" xfId="0" applyNumberFormat="1" applyFont="1" applyFill="1" applyBorder="1" applyAlignment="1" applyProtection="1">
      <alignment wrapText="1"/>
      <protection locked="0"/>
    </xf>
    <xf numFmtId="1" fontId="10" fillId="6" borderId="14" xfId="0" applyNumberFormat="1" applyFont="1" applyFill="1" applyBorder="1" applyAlignment="1" applyProtection="1">
      <alignment wrapText="1"/>
      <protection locked="0"/>
    </xf>
    <xf numFmtId="1" fontId="10" fillId="6" borderId="36" xfId="0" applyNumberFormat="1" applyFont="1" applyFill="1" applyBorder="1" applyAlignment="1" applyProtection="1">
      <alignment wrapText="1"/>
      <protection locked="0"/>
    </xf>
    <xf numFmtId="0" fontId="10" fillId="0" borderId="7" xfId="0" applyFont="1" applyBorder="1" applyAlignment="1">
      <alignment horizontal="center" wrapText="1"/>
    </xf>
    <xf numFmtId="0" fontId="10" fillId="0" borderId="6" xfId="0" applyFont="1" applyBorder="1" applyAlignment="1">
      <alignment horizontal="center"/>
    </xf>
    <xf numFmtId="0" fontId="10" fillId="0" borderId="63" xfId="0" applyFont="1" applyBorder="1" applyAlignment="1">
      <alignment horizontal="left" wrapText="1"/>
    </xf>
    <xf numFmtId="0" fontId="10" fillId="0" borderId="38" xfId="0" applyFont="1" applyBorder="1"/>
    <xf numFmtId="0" fontId="10" fillId="0" borderId="39" xfId="0" applyFont="1" applyBorder="1"/>
    <xf numFmtId="0" fontId="10" fillId="0" borderId="98" xfId="0" applyFont="1" applyBorder="1"/>
    <xf numFmtId="0" fontId="10" fillId="27" borderId="38" xfId="0" applyFont="1" applyFill="1" applyBorder="1" applyProtection="1">
      <protection locked="0"/>
    </xf>
    <xf numFmtId="0" fontId="10" fillId="27" borderId="49" xfId="0" applyFont="1" applyFill="1" applyBorder="1" applyProtection="1">
      <protection locked="0"/>
    </xf>
    <xf numFmtId="0" fontId="10" fillId="27" borderId="67" xfId="0" applyFont="1" applyFill="1" applyBorder="1" applyProtection="1">
      <protection locked="0"/>
    </xf>
    <xf numFmtId="0" fontId="10" fillId="27" borderId="64" xfId="0" applyFont="1" applyFill="1" applyBorder="1" applyProtection="1">
      <protection locked="0"/>
    </xf>
    <xf numFmtId="0" fontId="10" fillId="27" borderId="48" xfId="0" applyFont="1" applyFill="1" applyBorder="1" applyProtection="1">
      <protection locked="0"/>
    </xf>
    <xf numFmtId="0" fontId="10" fillId="27" borderId="63" xfId="0" applyFont="1" applyFill="1" applyBorder="1" applyProtection="1">
      <protection locked="0"/>
    </xf>
    <xf numFmtId="0" fontId="10" fillId="0" borderId="51" xfId="0" applyFont="1" applyBorder="1" applyAlignment="1">
      <alignment wrapText="1"/>
    </xf>
    <xf numFmtId="0" fontId="10" fillId="0" borderId="80" xfId="0" applyFont="1" applyBorder="1"/>
    <xf numFmtId="0" fontId="10" fillId="0" borderId="76" xfId="0" applyFont="1" applyBorder="1"/>
    <xf numFmtId="0" fontId="10" fillId="0" borderId="36" xfId="0" applyFont="1" applyBorder="1"/>
    <xf numFmtId="0" fontId="10" fillId="27" borderId="52" xfId="0" applyFont="1" applyFill="1" applyBorder="1" applyProtection="1">
      <protection locked="0"/>
    </xf>
    <xf numFmtId="0" fontId="10" fillId="27" borderId="62" xfId="0" applyFont="1" applyFill="1" applyBorder="1" applyProtection="1">
      <protection locked="0"/>
    </xf>
    <xf numFmtId="0" fontId="10" fillId="27" borderId="56" xfId="0" applyFont="1" applyFill="1" applyBorder="1" applyProtection="1">
      <protection locked="0"/>
    </xf>
    <xf numFmtId="0" fontId="10" fillId="27" borderId="61" xfId="0" applyFont="1" applyFill="1" applyBorder="1" applyProtection="1">
      <protection locked="0"/>
    </xf>
    <xf numFmtId="0" fontId="10" fillId="27" borderId="51" xfId="0" applyFont="1" applyFill="1" applyBorder="1" applyProtection="1">
      <protection locked="0"/>
    </xf>
    <xf numFmtId="1" fontId="11" fillId="0" borderId="285" xfId="0" applyNumberFormat="1" applyFont="1" applyBorder="1"/>
    <xf numFmtId="1" fontId="11" fillId="0" borderId="286" xfId="0" applyNumberFormat="1" applyFont="1" applyBorder="1"/>
    <xf numFmtId="1" fontId="11" fillId="0" borderId="287" xfId="0" applyNumberFormat="1" applyFont="1" applyBorder="1"/>
    <xf numFmtId="1" fontId="15" fillId="0" borderId="6" xfId="0" applyNumberFormat="1" applyFont="1" applyBorder="1" applyAlignment="1">
      <alignment horizontal="left" vertical="center"/>
    </xf>
    <xf numFmtId="1" fontId="10" fillId="0" borderId="134" xfId="0" applyNumberFormat="1" applyFont="1" applyBorder="1"/>
    <xf numFmtId="1" fontId="10" fillId="6" borderId="288" xfId="126" applyNumberFormat="1" applyFont="1" applyBorder="1" applyAlignment="1" applyProtection="1">
      <alignment horizontal="right"/>
      <protection locked="0"/>
    </xf>
    <xf numFmtId="1" fontId="10" fillId="6" borderId="289" xfId="126" applyNumberFormat="1" applyFont="1" applyBorder="1" applyAlignment="1" applyProtection="1">
      <alignment horizontal="right"/>
      <protection locked="0"/>
    </xf>
    <xf numFmtId="1" fontId="10" fillId="6" borderId="63" xfId="0" applyNumberFormat="1" applyFont="1" applyFill="1" applyBorder="1" applyProtection="1">
      <protection locked="0"/>
    </xf>
    <xf numFmtId="1" fontId="10" fillId="6" borderId="48" xfId="0" applyNumberFormat="1" applyFont="1" applyFill="1" applyBorder="1" applyProtection="1">
      <protection locked="0"/>
    </xf>
    <xf numFmtId="1" fontId="10" fillId="6" borderId="290" xfId="0" applyNumberFormat="1" applyFont="1" applyFill="1" applyBorder="1" applyProtection="1">
      <protection locked="0"/>
    </xf>
    <xf numFmtId="1" fontId="10" fillId="6" borderId="159" xfId="0" applyNumberFormat="1" applyFont="1" applyFill="1" applyBorder="1" applyProtection="1">
      <protection locked="0"/>
    </xf>
    <xf numFmtId="0" fontId="22" fillId="13" borderId="0" xfId="0" applyFont="1" applyFill="1"/>
    <xf numFmtId="1" fontId="10" fillId="0" borderId="127" xfId="0" applyNumberFormat="1" applyFont="1" applyBorder="1" applyAlignment="1">
      <alignment horizontal="left" vertical="center"/>
    </xf>
    <xf numFmtId="1" fontId="10" fillId="0" borderId="52" xfId="0" applyNumberFormat="1" applyFont="1" applyBorder="1" applyAlignment="1">
      <alignment horizontal="right"/>
    </xf>
    <xf numFmtId="1" fontId="10" fillId="6" borderId="291" xfId="126" applyNumberFormat="1" applyFont="1" applyBorder="1" applyAlignment="1" applyProtection="1">
      <alignment horizontal="right"/>
      <protection locked="0"/>
    </xf>
    <xf numFmtId="1" fontId="10" fillId="6" borderId="105" xfId="126" applyNumberFormat="1" applyFont="1" applyBorder="1" applyAlignment="1" applyProtection="1">
      <alignment horizontal="right"/>
      <protection locked="0"/>
    </xf>
    <xf numFmtId="1" fontId="10" fillId="6" borderId="51" xfId="0" applyNumberFormat="1" applyFont="1" applyFill="1" applyBorder="1" applyProtection="1">
      <protection locked="0"/>
    </xf>
    <xf numFmtId="1" fontId="10" fillId="6" borderId="61" xfId="0" applyNumberFormat="1" applyFont="1" applyFill="1" applyBorder="1" applyProtection="1">
      <protection locked="0"/>
    </xf>
    <xf numFmtId="1" fontId="10" fillId="6" borderId="292" xfId="0" applyNumberFormat="1" applyFont="1" applyFill="1" applyBorder="1" applyProtection="1">
      <protection locked="0"/>
    </xf>
    <xf numFmtId="1" fontId="10" fillId="6" borderId="143" xfId="0" applyNumberFormat="1" applyFont="1" applyFill="1" applyBorder="1" applyProtection="1">
      <protection locked="0"/>
    </xf>
    <xf numFmtId="1" fontId="15" fillId="0" borderId="2" xfId="0" applyNumberFormat="1" applyFont="1" applyBorder="1" applyAlignment="1">
      <alignment horizontal="left" vertical="center" wrapText="1"/>
    </xf>
    <xf numFmtId="1" fontId="10" fillId="0" borderId="10" xfId="0" applyNumberFormat="1" applyFont="1" applyBorder="1" applyAlignment="1">
      <alignment horizontal="right" wrapText="1"/>
    </xf>
    <xf numFmtId="1" fontId="10" fillId="0" borderId="2" xfId="0" applyNumberFormat="1" applyFont="1" applyBorder="1" applyAlignment="1">
      <alignment horizontal="center" wrapText="1"/>
    </xf>
    <xf numFmtId="1" fontId="10" fillId="0" borderId="293" xfId="0" applyNumberFormat="1" applyFont="1" applyBorder="1"/>
    <xf numFmtId="1" fontId="10" fillId="0" borderId="163" xfId="0" applyNumberFormat="1" applyFont="1" applyBorder="1"/>
    <xf numFmtId="1" fontId="10" fillId="0" borderId="294" xfId="0" applyNumberFormat="1" applyFont="1" applyBorder="1"/>
    <xf numFmtId="1" fontId="10" fillId="0" borderId="165" xfId="0" applyNumberFormat="1" applyFont="1" applyBorder="1" applyAlignment="1">
      <alignment horizontal="center" vertical="center" wrapText="1"/>
    </xf>
    <xf numFmtId="1" fontId="10" fillId="0" borderId="37" xfId="0" applyNumberFormat="1" applyFont="1" applyBorder="1" applyAlignment="1">
      <alignment horizontal="center" vertical="center" wrapText="1"/>
    </xf>
    <xf numFmtId="1" fontId="10" fillId="0" borderId="38" xfId="0" applyNumberFormat="1" applyFont="1" applyBorder="1" applyAlignment="1">
      <alignment vertical="center" wrapText="1"/>
    </xf>
    <xf numFmtId="1" fontId="10" fillId="0" borderId="98" xfId="0" applyNumberFormat="1" applyFont="1" applyBorder="1" applyAlignment="1">
      <alignment vertical="center"/>
    </xf>
    <xf numFmtId="1" fontId="10" fillId="6" borderId="38" xfId="126" applyNumberFormat="1" applyFont="1" applyBorder="1" applyAlignment="1" applyProtection="1">
      <alignment horizontal="right"/>
      <protection locked="0"/>
    </xf>
    <xf numFmtId="1" fontId="10" fillId="6" borderId="98" xfId="126" applyNumberFormat="1" applyFont="1" applyBorder="1" applyAlignment="1" applyProtection="1">
      <alignment horizontal="right"/>
      <protection locked="0"/>
    </xf>
    <xf numFmtId="1" fontId="10" fillId="6" borderId="112" xfId="126" applyNumberFormat="1" applyFont="1" applyBorder="1" applyAlignment="1" applyProtection="1">
      <alignment horizontal="right"/>
      <protection locked="0"/>
    </xf>
    <xf numFmtId="1" fontId="10" fillId="6" borderId="39" xfId="126" applyNumberFormat="1" applyFont="1" applyBorder="1" applyAlignment="1" applyProtection="1">
      <alignment horizontal="right"/>
      <protection locked="0"/>
    </xf>
    <xf numFmtId="1" fontId="10" fillId="6" borderId="75" xfId="126" applyNumberFormat="1" applyFont="1" applyBorder="1" applyAlignment="1" applyProtection="1">
      <alignment horizontal="right"/>
      <protection locked="0"/>
    </xf>
    <xf numFmtId="1" fontId="10" fillId="0" borderId="80" xfId="0" applyNumberFormat="1" applyFont="1" applyBorder="1" applyAlignment="1">
      <alignment vertical="center" wrapText="1"/>
    </xf>
    <xf numFmtId="1" fontId="10" fillId="0" borderId="36" xfId="0" applyNumberFormat="1" applyFont="1" applyBorder="1" applyAlignment="1">
      <alignment vertical="center"/>
    </xf>
    <xf numFmtId="1" fontId="10" fillId="6" borderId="80" xfId="126" applyNumberFormat="1" applyFont="1" applyBorder="1" applyAlignment="1" applyProtection="1">
      <alignment horizontal="right"/>
      <protection locked="0"/>
    </xf>
    <xf numFmtId="1" fontId="10" fillId="6" borderId="36" xfId="126" applyNumberFormat="1" applyFont="1" applyBorder="1" applyAlignment="1" applyProtection="1">
      <alignment horizontal="right"/>
      <protection locked="0"/>
    </xf>
    <xf numFmtId="1" fontId="10" fillId="6" borderId="17" xfId="126" applyNumberFormat="1" applyFont="1" applyBorder="1" applyAlignment="1" applyProtection="1">
      <alignment horizontal="right"/>
      <protection locked="0"/>
    </xf>
    <xf numFmtId="1" fontId="10" fillId="6" borderId="76" xfId="126" applyNumberFormat="1" applyFont="1" applyBorder="1" applyAlignment="1" applyProtection="1">
      <alignment horizontal="right"/>
      <protection locked="0"/>
    </xf>
    <xf numFmtId="1" fontId="10" fillId="6" borderId="32" xfId="126" applyNumberFormat="1" applyFont="1" applyBorder="1" applyAlignment="1" applyProtection="1">
      <alignment horizontal="right"/>
      <protection locked="0"/>
    </xf>
    <xf numFmtId="1" fontId="10" fillId="0" borderId="10" xfId="0" applyNumberFormat="1" applyFont="1" applyBorder="1" applyAlignment="1">
      <alignment vertical="center" wrapText="1"/>
    </xf>
    <xf numFmtId="1" fontId="10" fillId="11" borderId="10" xfId="126" applyNumberFormat="1" applyFont="1" applyFill="1" applyBorder="1" applyAlignment="1" applyProtection="1">
      <alignment horizontal="right"/>
    </xf>
    <xf numFmtId="1" fontId="10" fillId="11" borderId="7" xfId="126" applyNumberFormat="1" applyFont="1" applyFill="1" applyBorder="1" applyAlignment="1" applyProtection="1">
      <alignment horizontal="right"/>
    </xf>
    <xf numFmtId="1" fontId="10" fillId="0" borderId="0" xfId="0" applyNumberFormat="1" applyFont="1" applyProtection="1">
      <protection hidden="1"/>
    </xf>
    <xf numFmtId="1" fontId="10" fillId="0" borderId="210" xfId="0" applyNumberFormat="1" applyFont="1" applyBorder="1" applyProtection="1">
      <protection hidden="1"/>
    </xf>
    <xf numFmtId="1" fontId="10" fillId="0" borderId="209" xfId="0" applyNumberFormat="1" applyFont="1" applyBorder="1" applyProtection="1">
      <protection hidden="1"/>
    </xf>
    <xf numFmtId="1" fontId="10" fillId="0" borderId="295" xfId="0" applyNumberFormat="1" applyFont="1" applyBorder="1" applyProtection="1">
      <protection hidden="1"/>
    </xf>
    <xf numFmtId="1" fontId="10" fillId="0" borderId="294" xfId="0" applyNumberFormat="1" applyFont="1" applyBorder="1" applyProtection="1">
      <protection hidden="1"/>
    </xf>
    <xf numFmtId="1" fontId="10" fillId="0" borderId="149" xfId="0" applyNumberFormat="1" applyFont="1" applyBorder="1" applyAlignment="1">
      <alignment horizontal="center" vertical="center" wrapText="1"/>
    </xf>
    <xf numFmtId="1" fontId="10" fillId="0" borderId="2" xfId="0" applyNumberFormat="1" applyFont="1" applyBorder="1" applyAlignment="1">
      <alignment horizontal="left"/>
    </xf>
    <xf numFmtId="1" fontId="10" fillId="0" borderId="14" xfId="0" applyNumberFormat="1" applyFont="1" applyBorder="1" applyAlignment="1" applyProtection="1">
      <alignment horizontal="left" vertical="center"/>
      <protection hidden="1"/>
    </xf>
    <xf numFmtId="1" fontId="10" fillId="0" borderId="2" xfId="0" applyNumberFormat="1" applyFont="1" applyBorder="1" applyAlignment="1">
      <alignment horizontal="left" vertical="center"/>
    </xf>
    <xf numFmtId="1" fontId="10" fillId="0" borderId="40" xfId="0" applyNumberFormat="1" applyFont="1" applyBorder="1" applyAlignment="1">
      <alignment horizontal="right"/>
    </xf>
    <xf numFmtId="1" fontId="10" fillId="0" borderId="2" xfId="0" applyNumberFormat="1" applyFont="1" applyBorder="1" applyAlignment="1" applyProtection="1">
      <alignment horizontal="left" vertical="center"/>
      <protection hidden="1"/>
    </xf>
    <xf numFmtId="1" fontId="10" fillId="6" borderId="29" xfId="0" applyNumberFormat="1" applyFont="1" applyFill="1" applyBorder="1" applyAlignment="1" applyProtection="1">
      <alignment horizontal="right"/>
      <protection locked="0"/>
    </xf>
    <xf numFmtId="1" fontId="10" fillId="6" borderId="28" xfId="0" applyNumberFormat="1" applyFont="1" applyFill="1" applyBorder="1" applyAlignment="1" applyProtection="1">
      <alignment horizontal="right"/>
      <protection locked="0"/>
    </xf>
    <xf numFmtId="1" fontId="10" fillId="6" borderId="8" xfId="0" applyNumberFormat="1" applyFont="1" applyFill="1" applyBorder="1" applyAlignment="1" applyProtection="1">
      <alignment horizontal="right"/>
      <protection locked="0"/>
    </xf>
    <xf numFmtId="1" fontId="10" fillId="15" borderId="37" xfId="0" applyNumberFormat="1" applyFont="1" applyFill="1" applyBorder="1" applyAlignment="1">
      <alignment horizontal="right" vertical="center" wrapText="1"/>
    </xf>
    <xf numFmtId="1" fontId="10" fillId="6" borderId="37" xfId="0" applyNumberFormat="1" applyFont="1" applyFill="1" applyBorder="1" applyProtection="1">
      <protection locked="0"/>
    </xf>
    <xf numFmtId="1" fontId="10" fillId="15" borderId="296" xfId="0" applyNumberFormat="1" applyFont="1" applyFill="1" applyBorder="1"/>
    <xf numFmtId="1" fontId="10" fillId="15" borderId="99" xfId="0" applyNumberFormat="1" applyFont="1" applyFill="1" applyBorder="1" applyAlignment="1">
      <alignment horizontal="right" vertical="center" wrapText="1"/>
    </xf>
    <xf numFmtId="1" fontId="10" fillId="6" borderId="99" xfId="0" applyNumberFormat="1" applyFont="1" applyFill="1" applyBorder="1" applyProtection="1">
      <protection locked="0"/>
    </xf>
    <xf numFmtId="1" fontId="10" fillId="15" borderId="297" xfId="0" applyNumberFormat="1" applyFont="1" applyFill="1" applyBorder="1"/>
    <xf numFmtId="1" fontId="10" fillId="15" borderId="51" xfId="0" applyNumberFormat="1" applyFont="1" applyFill="1" applyBorder="1" applyAlignment="1">
      <alignment horizontal="right" vertical="center" wrapText="1"/>
    </xf>
    <xf numFmtId="1" fontId="10" fillId="15" borderId="298" xfId="0" applyNumberFormat="1" applyFont="1" applyFill="1" applyBorder="1"/>
    <xf numFmtId="1" fontId="10" fillId="6" borderId="49" xfId="0" applyNumberFormat="1" applyFont="1" applyFill="1" applyBorder="1" applyProtection="1">
      <protection locked="0"/>
    </xf>
    <xf numFmtId="1" fontId="10" fillId="15" borderId="37" xfId="0" applyNumberFormat="1" applyFont="1" applyFill="1" applyBorder="1" applyAlignment="1">
      <alignment horizontal="right"/>
    </xf>
    <xf numFmtId="1" fontId="10" fillId="6" borderId="15" xfId="0" applyNumberFormat="1" applyFont="1" applyFill="1" applyBorder="1" applyProtection="1">
      <protection locked="0"/>
    </xf>
    <xf numFmtId="1" fontId="15" fillId="0" borderId="6" xfId="0" applyNumberFormat="1" applyFont="1" applyBorder="1" applyAlignment="1">
      <alignment vertical="center"/>
    </xf>
    <xf numFmtId="1" fontId="15" fillId="0" borderId="8" xfId="0" applyNumberFormat="1" applyFont="1" applyBorder="1" applyAlignment="1">
      <alignment vertical="center"/>
    </xf>
    <xf numFmtId="1" fontId="15" fillId="0" borderId="7" xfId="0" applyNumberFormat="1" applyFont="1" applyBorder="1" applyAlignment="1">
      <alignment vertical="center"/>
    </xf>
    <xf numFmtId="1" fontId="10" fillId="0" borderId="37" xfId="0" applyNumberFormat="1" applyFont="1" applyBorder="1" applyAlignment="1">
      <alignment horizontal="right" vertical="center" wrapText="1"/>
    </xf>
    <xf numFmtId="1" fontId="10" fillId="0" borderId="99" xfId="0" applyNumberFormat="1" applyFont="1" applyBorder="1" applyAlignment="1">
      <alignment horizontal="right" vertical="center" wrapText="1"/>
    </xf>
    <xf numFmtId="1" fontId="10" fillId="0" borderId="51" xfId="0" applyNumberFormat="1" applyFont="1" applyBorder="1" applyAlignment="1">
      <alignment horizontal="right" vertical="center" wrapText="1"/>
    </xf>
    <xf numFmtId="1" fontId="10" fillId="0" borderId="15" xfId="0" applyNumberFormat="1" applyFont="1" applyBorder="1" applyAlignment="1">
      <alignment horizontal="right" vertical="center" wrapText="1"/>
    </xf>
    <xf numFmtId="1" fontId="10" fillId="11" borderId="294" xfId="0" applyNumberFormat="1" applyFont="1" applyFill="1" applyBorder="1"/>
    <xf numFmtId="1" fontId="10" fillId="0" borderId="10" xfId="30" applyNumberFormat="1" applyFont="1" applyBorder="1" applyAlignment="1">
      <alignment horizontal="center" vertical="center" wrapText="1"/>
    </xf>
    <xf numFmtId="1" fontId="10" fillId="0" borderId="7" xfId="30" applyNumberFormat="1" applyFont="1" applyBorder="1" applyAlignment="1">
      <alignment horizontal="center" vertical="center" wrapText="1"/>
    </xf>
    <xf numFmtId="1" fontId="10" fillId="0" borderId="28" xfId="30" applyNumberFormat="1" applyFont="1" applyBorder="1" applyAlignment="1">
      <alignment horizontal="center" vertical="center" wrapText="1"/>
    </xf>
    <xf numFmtId="1" fontId="10" fillId="0" borderId="136" xfId="30" applyNumberFormat="1" applyFont="1" applyBorder="1" applyAlignment="1">
      <alignment horizontal="center" vertical="center" wrapText="1"/>
    </xf>
    <xf numFmtId="1" fontId="10" fillId="0" borderId="20" xfId="30" applyNumberFormat="1" applyFont="1" applyBorder="1" applyAlignment="1">
      <alignment horizontal="center" vertical="center" wrapText="1"/>
    </xf>
    <xf numFmtId="1" fontId="10" fillId="0" borderId="76" xfId="30" applyNumberFormat="1" applyFont="1" applyBorder="1" applyAlignment="1">
      <alignment horizontal="center" vertical="center" wrapText="1"/>
    </xf>
    <xf numFmtId="1" fontId="10" fillId="0" borderId="17" xfId="30" applyNumberFormat="1" applyFont="1" applyBorder="1" applyAlignment="1">
      <alignment horizontal="center" vertical="center" wrapText="1"/>
    </xf>
    <xf numFmtId="1" fontId="10" fillId="0" borderId="12" xfId="30" applyNumberFormat="1" applyFont="1" applyBorder="1" applyAlignment="1">
      <alignment horizontal="center" vertical="center" wrapText="1"/>
    </xf>
    <xf numFmtId="1" fontId="10" fillId="0" borderId="89" xfId="42" applyNumberFormat="1" applyFont="1" applyBorder="1" applyAlignment="1">
      <alignment vertical="center" wrapText="1"/>
    </xf>
    <xf numFmtId="1" fontId="10" fillId="11" borderId="64" xfId="29" applyNumberFormat="1" applyFont="1" applyFill="1" applyBorder="1" applyProtection="1"/>
    <xf numFmtId="1" fontId="10" fillId="6" borderId="38" xfId="29" applyNumberFormat="1" applyFont="1" applyFill="1" applyBorder="1" applyProtection="1">
      <protection locked="0"/>
    </xf>
    <xf numFmtId="1" fontId="10" fillId="6" borderId="98" xfId="29" applyNumberFormat="1" applyFont="1" applyFill="1" applyBorder="1" applyProtection="1">
      <protection locked="0"/>
    </xf>
    <xf numFmtId="1" fontId="10" fillId="6" borderId="42" xfId="29" applyNumberFormat="1" applyFont="1" applyFill="1" applyBorder="1" applyProtection="1">
      <protection locked="0"/>
    </xf>
    <xf numFmtId="1" fontId="10" fillId="6" borderId="113" xfId="29" applyNumberFormat="1" applyFont="1" applyFill="1" applyBorder="1" applyProtection="1">
      <protection locked="0"/>
    </xf>
    <xf numFmtId="1" fontId="10" fillId="6" borderId="43" xfId="29" applyNumberFormat="1" applyFont="1" applyFill="1" applyBorder="1" applyProtection="1">
      <protection locked="0"/>
    </xf>
    <xf numFmtId="1" fontId="10" fillId="6" borderId="39" xfId="29" applyNumberFormat="1" applyFont="1" applyFill="1" applyBorder="1" applyProtection="1">
      <protection locked="0"/>
    </xf>
    <xf numFmtId="1" fontId="10" fillId="6" borderId="112" xfId="29" applyNumberFormat="1" applyFont="1" applyFill="1" applyBorder="1" applyProtection="1">
      <protection locked="0"/>
    </xf>
    <xf numFmtId="1" fontId="10" fillId="15" borderId="64" xfId="29" applyNumberFormat="1" applyFont="1" applyFill="1" applyBorder="1" applyProtection="1"/>
    <xf numFmtId="1" fontId="10" fillId="15" borderId="118" xfId="29" applyNumberFormat="1" applyFont="1" applyFill="1" applyBorder="1" applyProtection="1"/>
    <xf numFmtId="1" fontId="10" fillId="0" borderId="99" xfId="42" applyNumberFormat="1" applyFont="1" applyBorder="1" applyAlignment="1">
      <alignment vertical="center" wrapText="1"/>
    </xf>
    <xf numFmtId="1" fontId="10" fillId="6" borderId="64" xfId="29" applyNumberFormat="1" applyFont="1" applyFill="1" applyBorder="1" applyProtection="1">
      <protection locked="0"/>
    </xf>
    <xf numFmtId="1" fontId="10" fillId="6" borderId="49" xfId="29" applyNumberFormat="1" applyFont="1" applyFill="1" applyBorder="1" applyProtection="1">
      <protection locked="0"/>
    </xf>
    <xf numFmtId="1" fontId="10" fillId="6" borderId="66" xfId="29" applyNumberFormat="1" applyFont="1" applyFill="1" applyBorder="1" applyProtection="1">
      <protection locked="0"/>
    </xf>
    <xf numFmtId="1" fontId="10" fillId="6" borderId="44" xfId="29" applyNumberFormat="1" applyFont="1" applyFill="1" applyBorder="1" applyProtection="1">
      <protection locked="0"/>
    </xf>
    <xf numFmtId="1" fontId="10" fillId="6" borderId="67" xfId="29" applyNumberFormat="1" applyFont="1" applyFill="1" applyBorder="1" applyProtection="1">
      <protection locked="0"/>
    </xf>
    <xf numFmtId="1" fontId="10" fillId="15" borderId="65" xfId="29" applyNumberFormat="1" applyFont="1" applyFill="1" applyBorder="1" applyProtection="1"/>
    <xf numFmtId="1" fontId="10" fillId="11" borderId="52" xfId="29" applyNumberFormat="1" applyFont="1" applyFill="1" applyBorder="1" applyProtection="1"/>
    <xf numFmtId="1" fontId="10" fillId="6" borderId="52" xfId="29" applyNumberFormat="1" applyFont="1" applyFill="1" applyBorder="1" applyProtection="1">
      <protection locked="0"/>
    </xf>
    <xf numFmtId="1" fontId="10" fillId="6" borderId="103" xfId="29" applyNumberFormat="1" applyFont="1" applyFill="1" applyBorder="1" applyProtection="1">
      <protection locked="0"/>
    </xf>
    <xf numFmtId="1" fontId="10" fillId="6" borderId="100" xfId="29" applyNumberFormat="1" applyFont="1" applyFill="1" applyBorder="1" applyProtection="1">
      <protection locked="0"/>
    </xf>
    <xf numFmtId="1" fontId="10" fillId="6" borderId="102" xfId="29" applyNumberFormat="1" applyFont="1" applyFill="1" applyBorder="1" applyProtection="1">
      <protection locked="0"/>
    </xf>
    <xf numFmtId="1" fontId="10" fillId="6" borderId="117" xfId="29" applyNumberFormat="1" applyFont="1" applyFill="1" applyBorder="1" applyProtection="1">
      <protection locked="0"/>
    </xf>
    <xf numFmtId="1" fontId="10" fillId="6" borderId="180" xfId="29" applyNumberFormat="1" applyFont="1" applyFill="1" applyBorder="1" applyProtection="1">
      <protection locked="0"/>
    </xf>
    <xf numFmtId="1" fontId="10" fillId="15" borderId="52" xfId="29" applyNumberFormat="1" applyFont="1" applyFill="1" applyBorder="1" applyProtection="1"/>
    <xf numFmtId="1" fontId="10" fillId="15" borderId="53" xfId="29" applyNumberFormat="1" applyFont="1" applyFill="1" applyBorder="1" applyProtection="1"/>
    <xf numFmtId="1" fontId="10" fillId="15" borderId="116" xfId="29" applyNumberFormat="1" applyFont="1" applyFill="1" applyBorder="1" applyProtection="1"/>
    <xf numFmtId="1" fontId="10" fillId="15" borderId="100" xfId="29" applyNumberFormat="1" applyFont="1" applyFill="1" applyBorder="1" applyProtection="1"/>
    <xf numFmtId="1" fontId="10" fillId="6" borderId="121" xfId="29" applyNumberFormat="1" applyFont="1" applyFill="1" applyBorder="1" applyProtection="1">
      <protection locked="0"/>
    </xf>
    <xf numFmtId="1" fontId="10" fillId="0" borderId="6" xfId="42" applyNumberFormat="1" applyFont="1" applyBorder="1" applyAlignment="1">
      <alignment horizontal="center" vertical="center" wrapText="1"/>
    </xf>
    <xf numFmtId="1" fontId="10" fillId="0" borderId="10" xfId="29" applyNumberFormat="1" applyFont="1" applyBorder="1" applyAlignment="1">
      <alignment horizontal="right"/>
    </xf>
    <xf numFmtId="1" fontId="10" fillId="0" borderId="7" xfId="29" applyNumberFormat="1" applyFont="1" applyBorder="1" applyAlignment="1">
      <alignment horizontal="right"/>
    </xf>
    <xf numFmtId="1" fontId="10" fillId="0" borderId="28" xfId="29" applyNumberFormat="1" applyFont="1" applyBorder="1" applyAlignment="1">
      <alignment horizontal="right"/>
    </xf>
    <xf numFmtId="1" fontId="10" fillId="0" borderId="136" xfId="29" applyNumberFormat="1" applyFont="1" applyBorder="1" applyAlignment="1">
      <alignment horizontal="right"/>
    </xf>
    <xf numFmtId="1" fontId="10" fillId="0" borderId="20" xfId="29" applyNumberFormat="1" applyFont="1" applyBorder="1" applyAlignment="1">
      <alignment horizontal="right"/>
    </xf>
    <xf numFmtId="1" fontId="10" fillId="0" borderId="29" xfId="29" applyNumberFormat="1" applyFont="1" applyBorder="1" applyAlignment="1">
      <alignment horizontal="right"/>
    </xf>
    <xf numFmtId="1" fontId="10" fillId="0" borderId="12" xfId="29" applyNumberFormat="1" applyFont="1" applyBorder="1" applyAlignment="1">
      <alignment horizontal="right"/>
    </xf>
    <xf numFmtId="1" fontId="10" fillId="0" borderId="0" xfId="29" applyNumberFormat="1" applyFont="1" applyAlignment="1">
      <alignment horizontal="right"/>
    </xf>
    <xf numFmtId="1" fontId="10" fillId="15" borderId="38" xfId="29" applyNumberFormat="1" applyFont="1" applyFill="1" applyBorder="1" applyProtection="1"/>
    <xf numFmtId="1" fontId="10" fillId="15" borderId="98" xfId="29" applyNumberFormat="1" applyFont="1" applyFill="1" applyBorder="1" applyProtection="1"/>
    <xf numFmtId="1" fontId="10" fillId="6" borderId="118" xfId="29" applyNumberFormat="1" applyFont="1" applyFill="1" applyBorder="1" applyProtection="1">
      <protection locked="0"/>
    </xf>
    <xf numFmtId="1" fontId="10" fillId="0" borderId="51" xfId="42" applyNumberFormat="1" applyFont="1" applyBorder="1" applyAlignment="1">
      <alignment vertical="center" wrapText="1"/>
    </xf>
    <xf numFmtId="1" fontId="10" fillId="6" borderId="62" xfId="29" applyNumberFormat="1" applyFont="1" applyFill="1" applyBorder="1" applyProtection="1">
      <protection locked="0"/>
    </xf>
    <xf numFmtId="1" fontId="10" fillId="15" borderId="62" xfId="29" applyNumberFormat="1" applyFont="1" applyFill="1" applyBorder="1" applyProtection="1"/>
    <xf numFmtId="1" fontId="10" fillId="6" borderId="55" xfId="29" applyNumberFormat="1" applyFont="1" applyFill="1" applyBorder="1" applyProtection="1">
      <protection locked="0"/>
    </xf>
    <xf numFmtId="1" fontId="42" fillId="7" borderId="14" xfId="0" applyNumberFormat="1" applyFont="1" applyFill="1" applyBorder="1" applyAlignment="1">
      <alignment vertical="center" wrapText="1"/>
    </xf>
    <xf numFmtId="1" fontId="42" fillId="7" borderId="0" xfId="0" applyNumberFormat="1" applyFont="1" applyFill="1" applyAlignment="1">
      <alignment vertical="center" wrapText="1"/>
    </xf>
    <xf numFmtId="1" fontId="23" fillId="0" borderId="210" xfId="0" applyNumberFormat="1" applyFont="1" applyBorder="1"/>
    <xf numFmtId="1" fontId="23" fillId="0" borderId="209" xfId="0" applyNumberFormat="1" applyFont="1" applyBorder="1"/>
    <xf numFmtId="1" fontId="10" fillId="7" borderId="0" xfId="0" applyNumberFormat="1" applyFont="1" applyFill="1"/>
    <xf numFmtId="1" fontId="10" fillId="6" borderId="41" xfId="29" applyNumberFormat="1" applyFont="1" applyFill="1" applyBorder="1" applyProtection="1">
      <protection locked="0"/>
    </xf>
    <xf numFmtId="1" fontId="10" fillId="6" borderId="37" xfId="29" applyNumberFormat="1" applyFont="1" applyFill="1" applyBorder="1" applyProtection="1">
      <protection locked="0"/>
    </xf>
    <xf numFmtId="1" fontId="10" fillId="6" borderId="101" xfId="29" applyNumberFormat="1" applyFont="1" applyFill="1" applyBorder="1" applyProtection="1">
      <protection locked="0"/>
    </xf>
    <xf numFmtId="1" fontId="10" fillId="6" borderId="99" xfId="29" applyNumberFormat="1" applyFont="1" applyFill="1" applyBorder="1" applyProtection="1">
      <protection locked="0"/>
    </xf>
    <xf numFmtId="1" fontId="10" fillId="6" borderId="54" xfId="29" applyNumberFormat="1" applyFont="1" applyFill="1" applyBorder="1" applyProtection="1">
      <protection locked="0"/>
    </xf>
    <xf numFmtId="1" fontId="10" fillId="6" borderId="51" xfId="29" applyNumberFormat="1" applyFont="1" applyFill="1" applyBorder="1" applyProtection="1">
      <protection locked="0"/>
    </xf>
    <xf numFmtId="1" fontId="23" fillId="0" borderId="14" xfId="0" applyNumberFormat="1" applyFont="1" applyBorder="1"/>
    <xf numFmtId="1" fontId="23" fillId="0" borderId="293" xfId="0" applyNumberFormat="1" applyFont="1" applyBorder="1"/>
    <xf numFmtId="1" fontId="10" fillId="0" borderId="103" xfId="0" applyNumberFormat="1" applyFont="1" applyBorder="1" applyAlignment="1">
      <alignment wrapText="1"/>
    </xf>
    <xf numFmtId="1" fontId="10" fillId="7" borderId="103" xfId="0" applyNumberFormat="1" applyFont="1" applyFill="1" applyBorder="1"/>
    <xf numFmtId="1" fontId="10" fillId="6" borderId="118" xfId="0" applyNumberFormat="1" applyFont="1" applyFill="1" applyBorder="1" applyProtection="1">
      <protection locked="0"/>
    </xf>
    <xf numFmtId="1" fontId="10" fillId="6" borderId="65" xfId="0" applyNumberFormat="1" applyFont="1" applyFill="1" applyBorder="1" applyProtection="1">
      <protection locked="0"/>
    </xf>
    <xf numFmtId="1" fontId="10" fillId="6" borderId="66" xfId="0" applyNumberFormat="1" applyFont="1" applyFill="1" applyBorder="1" applyProtection="1">
      <protection locked="0"/>
    </xf>
    <xf numFmtId="1" fontId="10" fillId="7" borderId="62" xfId="0" applyNumberFormat="1" applyFont="1" applyFill="1" applyBorder="1"/>
    <xf numFmtId="1" fontId="10" fillId="6" borderId="53" xfId="0" applyNumberFormat="1" applyFont="1" applyFill="1" applyBorder="1" applyProtection="1">
      <protection locked="0"/>
    </xf>
    <xf numFmtId="1" fontId="10" fillId="6" borderId="61" xfId="0" applyNumberFormat="1" applyFont="1" applyFill="1" applyBorder="1" applyAlignment="1" applyProtection="1">
      <alignment wrapText="1"/>
      <protection locked="0"/>
    </xf>
    <xf numFmtId="1" fontId="10" fillId="0" borderId="0" xfId="0" applyNumberFormat="1" applyFont="1" applyAlignment="1">
      <alignment horizontal="left" vertical="center" wrapText="1"/>
    </xf>
    <xf numFmtId="1" fontId="10" fillId="0" borderId="18" xfId="0" applyNumberFormat="1" applyFont="1" applyBorder="1" applyAlignment="1">
      <alignment horizontal="left" wrapText="1"/>
    </xf>
    <xf numFmtId="1" fontId="10" fillId="6" borderId="109" xfId="146" applyNumberFormat="1" applyFont="1" applyBorder="1" applyProtection="1">
      <protection locked="0"/>
    </xf>
    <xf numFmtId="1" fontId="10" fillId="6" borderId="299" xfId="146" applyNumberFormat="1" applyFont="1" applyBorder="1" applyProtection="1">
      <protection locked="0"/>
    </xf>
    <xf numFmtId="1" fontId="10" fillId="6" borderId="111" xfId="146" applyNumberFormat="1" applyFont="1" applyBorder="1" applyProtection="1">
      <protection locked="0"/>
    </xf>
    <xf numFmtId="1" fontId="10" fillId="15" borderId="48" xfId="29" applyNumberFormat="1" applyFont="1" applyFill="1" applyBorder="1" applyProtection="1"/>
    <xf numFmtId="1" fontId="10" fillId="6" borderId="300" xfId="146" applyNumberFormat="1" applyFont="1" applyBorder="1" applyProtection="1">
      <protection locked="0"/>
    </xf>
    <xf numFmtId="1" fontId="10" fillId="6" borderId="301" xfId="146" applyNumberFormat="1" applyFont="1" applyBorder="1" applyProtection="1">
      <protection locked="0"/>
    </xf>
    <xf numFmtId="1" fontId="10" fillId="0" borderId="100" xfId="0" applyNumberFormat="1" applyFont="1" applyBorder="1"/>
    <xf numFmtId="1" fontId="10" fillId="6" borderId="96" xfId="146" applyNumberFormat="1" applyFont="1" applyBorder="1" applyProtection="1">
      <protection locked="0"/>
    </xf>
    <xf numFmtId="1" fontId="10" fillId="6" borderId="302" xfId="146" applyNumberFormat="1" applyFont="1" applyBorder="1" applyProtection="1">
      <protection locked="0"/>
    </xf>
    <xf numFmtId="1" fontId="10" fillId="6" borderId="115" xfId="146" applyNumberFormat="1" applyFont="1" applyBorder="1" applyProtection="1">
      <protection locked="0"/>
    </xf>
    <xf numFmtId="1" fontId="10" fillId="6" borderId="303" xfId="146" applyNumberFormat="1" applyFont="1" applyBorder="1" applyProtection="1">
      <protection locked="0"/>
    </xf>
    <xf numFmtId="1" fontId="10" fillId="6" borderId="304" xfId="146" applyNumberFormat="1" applyFont="1" applyBorder="1" applyProtection="1">
      <protection locked="0"/>
    </xf>
    <xf numFmtId="1" fontId="10" fillId="0" borderId="80" xfId="0" applyNumberFormat="1" applyFont="1" applyBorder="1"/>
    <xf numFmtId="1" fontId="10" fillId="6" borderId="104" xfId="146" applyNumberFormat="1" applyFont="1" applyBorder="1" applyProtection="1">
      <protection locked="0"/>
    </xf>
    <xf numFmtId="1" fontId="10" fillId="6" borderId="305" xfId="146" applyNumberFormat="1" applyFont="1" applyBorder="1" applyProtection="1">
      <protection locked="0"/>
    </xf>
    <xf numFmtId="1" fontId="10" fillId="6" borderId="120" xfId="146" applyNumberFormat="1" applyFont="1" applyBorder="1" applyProtection="1">
      <protection locked="0"/>
    </xf>
    <xf numFmtId="1" fontId="10" fillId="6" borderId="306" xfId="146" applyNumberFormat="1" applyFont="1" applyBorder="1" applyProtection="1">
      <protection locked="0"/>
    </xf>
    <xf numFmtId="1" fontId="10" fillId="6" borderId="307" xfId="146" applyNumberFormat="1" applyFont="1" applyBorder="1" applyProtection="1">
      <protection locked="0"/>
    </xf>
    <xf numFmtId="1" fontId="10" fillId="0" borderId="37" xfId="0" applyNumberFormat="1" applyFont="1" applyBorder="1" applyAlignment="1">
      <alignment horizontal="left" wrapText="1"/>
    </xf>
    <xf numFmtId="1" fontId="10" fillId="15" borderId="41" xfId="29" applyNumberFormat="1" applyFont="1" applyFill="1" applyBorder="1" applyProtection="1"/>
    <xf numFmtId="1" fontId="10" fillId="15" borderId="112" xfId="29" applyNumberFormat="1" applyFont="1" applyFill="1" applyBorder="1" applyProtection="1"/>
    <xf numFmtId="1" fontId="10" fillId="6" borderId="138" xfId="146" applyNumberFormat="1" applyFont="1" applyBorder="1" applyProtection="1">
      <protection locked="0"/>
    </xf>
    <xf numFmtId="1" fontId="10" fillId="6" borderId="129" xfId="146" applyNumberFormat="1" applyFont="1" applyBorder="1" applyProtection="1">
      <protection locked="0"/>
    </xf>
    <xf numFmtId="1" fontId="10" fillId="6" borderId="18" xfId="146" applyNumberFormat="1" applyFont="1" applyBorder="1" applyProtection="1">
      <protection locked="0"/>
    </xf>
    <xf numFmtId="1" fontId="10" fillId="0" borderId="15" xfId="0" applyNumberFormat="1" applyFont="1" applyBorder="1" applyAlignment="1">
      <alignment horizontal="left" wrapText="1"/>
    </xf>
    <xf numFmtId="1" fontId="10" fillId="6" borderId="80" xfId="146" applyNumberFormat="1" applyFont="1" applyBorder="1" applyProtection="1">
      <protection locked="0"/>
    </xf>
    <xf numFmtId="1" fontId="10" fillId="6" borderId="31" xfId="146" applyNumberFormat="1" applyFont="1" applyBorder="1" applyProtection="1">
      <protection locked="0"/>
    </xf>
    <xf numFmtId="1" fontId="10" fillId="6" borderId="17" xfId="146" applyNumberFormat="1" applyFont="1" applyBorder="1" applyProtection="1">
      <protection locked="0"/>
    </xf>
    <xf numFmtId="1" fontId="10" fillId="15" borderId="14" xfId="29" applyNumberFormat="1" applyFont="1" applyFill="1" applyBorder="1" applyProtection="1"/>
    <xf numFmtId="1" fontId="10" fillId="6" borderId="308" xfId="146" applyNumberFormat="1" applyFont="1" applyBorder="1" applyProtection="1">
      <protection locked="0"/>
    </xf>
    <xf numFmtId="1" fontId="10" fillId="6" borderId="309" xfId="146" applyNumberFormat="1" applyFont="1" applyBorder="1" applyProtection="1">
      <protection locked="0"/>
    </xf>
    <xf numFmtId="1" fontId="10" fillId="6" borderId="310" xfId="146" applyNumberFormat="1" applyFont="1" applyBorder="1" applyProtection="1">
      <protection locked="0"/>
    </xf>
    <xf numFmtId="1" fontId="10" fillId="6" borderId="311" xfId="146" applyNumberFormat="1" applyFont="1" applyBorder="1" applyProtection="1">
      <protection locked="0"/>
    </xf>
    <xf numFmtId="1" fontId="10" fillId="6" borderId="312" xfId="146" applyNumberFormat="1" applyFont="1" applyBorder="1" applyProtection="1">
      <protection locked="0"/>
    </xf>
    <xf numFmtId="1" fontId="10" fillId="6" borderId="313" xfId="146" applyNumberFormat="1" applyFont="1" applyBorder="1" applyProtection="1">
      <protection locked="0"/>
    </xf>
    <xf numFmtId="1" fontId="10" fillId="6" borderId="114" xfId="146" applyNumberFormat="1" applyFont="1" applyBorder="1" applyProtection="1">
      <protection locked="0"/>
    </xf>
    <xf numFmtId="1" fontId="10" fillId="0" borderId="127" xfId="0" applyNumberFormat="1" applyFont="1" applyBorder="1"/>
    <xf numFmtId="1" fontId="10" fillId="6" borderId="119" xfId="146" applyNumberFormat="1" applyFont="1" applyBorder="1" applyProtection="1">
      <protection locked="0"/>
    </xf>
    <xf numFmtId="1" fontId="10" fillId="0" borderId="158" xfId="0" applyNumberFormat="1" applyFont="1" applyBorder="1" applyAlignment="1">
      <alignment horizontal="center" vertical="center" wrapText="1"/>
    </xf>
    <xf numFmtId="0" fontId="10" fillId="0" borderId="6" xfId="0" applyFont="1" applyBorder="1" applyAlignment="1">
      <alignment horizontal="center" vertical="center"/>
    </xf>
    <xf numFmtId="0" fontId="10" fillId="0" borderId="20" xfId="0" applyFont="1" applyBorder="1" applyAlignment="1">
      <alignment horizontal="center" vertical="center"/>
    </xf>
    <xf numFmtId="1" fontId="10" fillId="6" borderId="43" xfId="0" applyNumberFormat="1" applyFont="1" applyFill="1" applyBorder="1" applyProtection="1">
      <protection locked="0"/>
    </xf>
    <xf numFmtId="1" fontId="10" fillId="6" borderId="67" xfId="0" applyNumberFormat="1" applyFont="1" applyFill="1" applyBorder="1" applyProtection="1">
      <protection locked="0"/>
    </xf>
    <xf numFmtId="1" fontId="10" fillId="6" borderId="180" xfId="0" applyNumberFormat="1" applyFont="1" applyFill="1" applyBorder="1" applyProtection="1">
      <protection locked="0"/>
    </xf>
    <xf numFmtId="1" fontId="10" fillId="6" borderId="314" xfId="0" applyNumberFormat="1" applyFont="1" applyFill="1" applyBorder="1" applyProtection="1">
      <protection locked="0"/>
    </xf>
    <xf numFmtId="1" fontId="10" fillId="6" borderId="197" xfId="0" applyNumberFormat="1" applyFont="1" applyFill="1" applyBorder="1" applyProtection="1">
      <protection locked="0"/>
    </xf>
    <xf numFmtId="1" fontId="10" fillId="6" borderId="86" xfId="0" applyNumberFormat="1" applyFont="1" applyFill="1" applyBorder="1" applyProtection="1">
      <protection locked="0"/>
    </xf>
    <xf numFmtId="1" fontId="10" fillId="6" borderId="56" xfId="0" applyNumberFormat="1" applyFont="1" applyFill="1" applyBorder="1" applyProtection="1">
      <protection locked="0"/>
    </xf>
    <xf numFmtId="0" fontId="10" fillId="0" borderId="10" xfId="0" applyFont="1" applyBorder="1" applyAlignment="1">
      <alignment horizontal="center" vertical="center"/>
    </xf>
    <xf numFmtId="0" fontId="10" fillId="0" borderId="11" xfId="0" applyFont="1" applyBorder="1" applyAlignment="1">
      <alignment horizontal="center" vertical="center"/>
    </xf>
    <xf numFmtId="0" fontId="10" fillId="15" borderId="14" xfId="0" applyFont="1" applyFill="1" applyBorder="1" applyAlignment="1">
      <alignment horizontal="left" wrapText="1"/>
    </xf>
    <xf numFmtId="1" fontId="10" fillId="15" borderId="10" xfId="0" applyNumberFormat="1" applyFont="1" applyFill="1" applyBorder="1"/>
    <xf numFmtId="1" fontId="10" fillId="15" borderId="52" xfId="0" applyNumberFormat="1" applyFont="1" applyFill="1" applyBorder="1"/>
    <xf numFmtId="1" fontId="10" fillId="15" borderId="54" xfId="0" applyNumberFormat="1" applyFont="1" applyFill="1" applyBorder="1"/>
    <xf numFmtId="1" fontId="10" fillId="15" borderId="56" xfId="0" applyNumberFormat="1" applyFont="1" applyFill="1" applyBorder="1"/>
    <xf numFmtId="1" fontId="10" fillId="15" borderId="143" xfId="0" applyNumberFormat="1" applyFont="1" applyFill="1" applyBorder="1"/>
    <xf numFmtId="1" fontId="10" fillId="15" borderId="51" xfId="0" applyNumberFormat="1" applyFont="1" applyFill="1" applyBorder="1"/>
    <xf numFmtId="0" fontId="43" fillId="0" borderId="0" xfId="0" applyFont="1"/>
    <xf numFmtId="0" fontId="44" fillId="0" borderId="0" xfId="0" applyFont="1"/>
    <xf numFmtId="0" fontId="10" fillId="0" borderId="7" xfId="0" applyFont="1" applyBorder="1" applyAlignment="1">
      <alignment horizontal="center" vertical="center"/>
    </xf>
    <xf numFmtId="1" fontId="10" fillId="11" borderId="164" xfId="0" applyNumberFormat="1" applyFont="1" applyFill="1" applyBorder="1" applyAlignment="1">
      <alignment horizontal="center" vertical="center" wrapText="1"/>
    </xf>
    <xf numFmtId="1" fontId="10" fillId="11" borderId="158" xfId="0" applyNumberFormat="1" applyFont="1" applyFill="1" applyBorder="1" applyAlignment="1">
      <alignment horizontal="center" vertical="center" wrapText="1"/>
    </xf>
    <xf numFmtId="1" fontId="10" fillId="11" borderId="177" xfId="0" applyNumberFormat="1" applyFont="1" applyFill="1" applyBorder="1" applyAlignment="1">
      <alignment horizontal="center" vertical="center" wrapText="1"/>
    </xf>
    <xf numFmtId="1" fontId="10" fillId="11" borderId="12" xfId="0" applyNumberFormat="1" applyFont="1" applyFill="1" applyBorder="1" applyAlignment="1">
      <alignment horizontal="center" vertical="center" wrapText="1"/>
    </xf>
    <xf numFmtId="1" fontId="10" fillId="11" borderId="14" xfId="0" applyNumberFormat="1" applyFont="1" applyFill="1" applyBorder="1" applyAlignment="1">
      <alignment horizontal="center" vertical="center" wrapText="1"/>
    </xf>
    <xf numFmtId="1" fontId="10" fillId="11" borderId="28" xfId="0" applyNumberFormat="1" applyFont="1" applyFill="1" applyBorder="1" applyAlignment="1">
      <alignment horizontal="center" vertical="center" wrapText="1"/>
    </xf>
    <xf numFmtId="1" fontId="10" fillId="11" borderId="37" xfId="0" applyNumberFormat="1" applyFont="1" applyFill="1" applyBorder="1" applyAlignment="1">
      <alignment horizontal="right" wrapText="1"/>
    </xf>
    <xf numFmtId="1" fontId="10" fillId="11" borderId="38" xfId="0" applyNumberFormat="1" applyFont="1" applyFill="1" applyBorder="1" applyAlignment="1">
      <alignment horizontal="right" wrapText="1"/>
    </xf>
    <xf numFmtId="1" fontId="10" fillId="0" borderId="127" xfId="0" applyNumberFormat="1" applyFont="1" applyBorder="1" applyAlignment="1">
      <alignment horizontal="left" vertical="center" wrapText="1"/>
    </xf>
    <xf numFmtId="1" fontId="10" fillId="11" borderId="51" xfId="0" applyNumberFormat="1" applyFont="1" applyFill="1" applyBorder="1" applyAlignment="1">
      <alignment horizontal="right" wrapText="1"/>
    </xf>
    <xf numFmtId="1" fontId="10" fillId="11" borderId="52" xfId="0" applyNumberFormat="1" applyFont="1" applyFill="1" applyBorder="1" applyAlignment="1">
      <alignment horizontal="right" wrapText="1"/>
    </xf>
    <xf numFmtId="1" fontId="10" fillId="11" borderId="53" xfId="0" applyNumberFormat="1" applyFont="1" applyFill="1" applyBorder="1" applyAlignment="1">
      <alignment horizontal="right" wrapText="1"/>
    </xf>
    <xf numFmtId="1" fontId="10" fillId="11" borderId="121" xfId="0" applyNumberFormat="1" applyFont="1" applyFill="1" applyBorder="1" applyAlignment="1">
      <alignment horizontal="right" wrapText="1"/>
    </xf>
    <xf numFmtId="1" fontId="10" fillId="24" borderId="315" xfId="32" applyNumberFormat="1" applyFont="1" applyFill="1" applyBorder="1"/>
    <xf numFmtId="1" fontId="10" fillId="24" borderId="316" xfId="32" applyNumberFormat="1" applyFont="1" applyFill="1" applyBorder="1"/>
    <xf numFmtId="1" fontId="10" fillId="24" borderId="317" xfId="32" applyNumberFormat="1" applyFont="1" applyFill="1" applyBorder="1"/>
    <xf numFmtId="1" fontId="10" fillId="11" borderId="39" xfId="0" applyNumberFormat="1" applyFont="1" applyFill="1" applyBorder="1" applyAlignment="1">
      <alignment horizontal="right" wrapText="1"/>
    </xf>
    <xf numFmtId="1" fontId="10" fillId="11" borderId="112" xfId="0" applyNumberFormat="1" applyFont="1" applyFill="1" applyBorder="1" applyAlignment="1">
      <alignment horizontal="right" wrapText="1"/>
    </xf>
    <xf numFmtId="1" fontId="10" fillId="11" borderId="63" xfId="0" applyNumberFormat="1" applyFont="1" applyFill="1" applyBorder="1" applyAlignment="1">
      <alignment horizontal="right" wrapText="1"/>
    </xf>
    <xf numFmtId="1" fontId="10" fillId="11" borderId="65" xfId="0" applyNumberFormat="1" applyFont="1" applyFill="1" applyBorder="1" applyAlignment="1">
      <alignment horizontal="right" wrapText="1"/>
    </xf>
    <xf numFmtId="1" fontId="10" fillId="11" borderId="118" xfId="0" applyNumberFormat="1" applyFont="1" applyFill="1" applyBorder="1" applyAlignment="1">
      <alignment horizontal="right" wrapText="1"/>
    </xf>
    <xf numFmtId="1" fontId="10" fillId="24" borderId="318" xfId="32" applyNumberFormat="1" applyFont="1" applyFill="1" applyBorder="1"/>
    <xf numFmtId="1" fontId="10" fillId="24" borderId="53" xfId="32" applyNumberFormat="1" applyFont="1" applyFill="1" applyBorder="1"/>
    <xf numFmtId="1" fontId="10" fillId="24" borderId="319" xfId="32" applyNumberFormat="1" applyFont="1" applyFill="1" applyBorder="1"/>
    <xf numFmtId="1" fontId="10" fillId="24" borderId="62" xfId="32" applyNumberFormat="1" applyFont="1" applyFill="1" applyBorder="1"/>
    <xf numFmtId="1" fontId="12" fillId="0" borderId="14" xfId="0" applyNumberFormat="1" applyFont="1" applyBorder="1" applyAlignment="1">
      <alignment horizontal="left"/>
    </xf>
    <xf numFmtId="0" fontId="34" fillId="0" borderId="0" xfId="0" applyFont="1"/>
    <xf numFmtId="1" fontId="10" fillId="7" borderId="37" xfId="0" applyNumberFormat="1" applyFont="1" applyFill="1" applyBorder="1" applyAlignment="1">
      <alignment horizontal="right"/>
    </xf>
    <xf numFmtId="1" fontId="10" fillId="7" borderId="166" xfId="0" applyNumberFormat="1" applyFont="1" applyFill="1" applyBorder="1" applyAlignment="1">
      <alignment horizontal="right"/>
    </xf>
    <xf numFmtId="1" fontId="10" fillId="0" borderId="138" xfId="0" applyNumberFormat="1" applyFont="1" applyBorder="1" applyAlignment="1">
      <alignment horizontal="right" vertical="center" wrapText="1"/>
    </xf>
    <xf numFmtId="1" fontId="10" fillId="6" borderId="41" xfId="0" applyNumberFormat="1" applyFont="1" applyFill="1" applyBorder="1" applyProtection="1">
      <protection locked="0"/>
    </xf>
    <xf numFmtId="1" fontId="10" fillId="0" borderId="103" xfId="0" applyNumberFormat="1" applyFont="1" applyBorder="1" applyAlignment="1">
      <alignment vertical="center" wrapText="1"/>
    </xf>
    <xf numFmtId="1" fontId="10" fillId="7" borderId="140" xfId="0" applyNumberFormat="1" applyFont="1" applyFill="1" applyBorder="1" applyAlignment="1">
      <alignment horizontal="right"/>
    </xf>
    <xf numFmtId="1" fontId="10" fillId="6" borderId="101" xfId="0" applyNumberFormat="1" applyFont="1" applyFill="1" applyBorder="1" applyProtection="1">
      <protection locked="0"/>
    </xf>
    <xf numFmtId="1" fontId="10" fillId="0" borderId="103" xfId="0" applyNumberFormat="1" applyFont="1" applyBorder="1" applyAlignment="1">
      <alignment vertical="center"/>
    </xf>
    <xf numFmtId="1" fontId="10" fillId="7" borderId="48" xfId="0" applyNumberFormat="1" applyFont="1" applyFill="1" applyBorder="1" applyAlignment="1">
      <alignment horizontal="right"/>
    </xf>
    <xf numFmtId="1" fontId="10" fillId="6" borderId="40" xfId="0" applyNumberFormat="1" applyFont="1" applyFill="1" applyBorder="1" applyProtection="1">
      <protection locked="0"/>
    </xf>
    <xf numFmtId="1" fontId="10" fillId="7" borderId="14" xfId="0" applyNumberFormat="1" applyFont="1" applyFill="1" applyBorder="1" applyAlignment="1">
      <alignment horizontal="right"/>
    </xf>
    <xf numFmtId="1" fontId="10" fillId="6" borderId="31" xfId="0" applyNumberFormat="1" applyFont="1" applyFill="1" applyBorder="1" applyProtection="1">
      <protection locked="0"/>
    </xf>
    <xf numFmtId="1" fontId="10" fillId="6" borderId="92" xfId="0" applyNumberFormat="1" applyFont="1" applyFill="1" applyBorder="1" applyProtection="1">
      <protection locked="0"/>
    </xf>
    <xf numFmtId="1" fontId="10" fillId="6" borderId="76" xfId="0" applyNumberFormat="1" applyFont="1" applyFill="1" applyBorder="1" applyProtection="1">
      <protection locked="0"/>
    </xf>
    <xf numFmtId="1" fontId="10" fillId="7" borderId="63" xfId="0" applyNumberFormat="1" applyFont="1" applyFill="1" applyBorder="1" applyAlignment="1">
      <alignment horizontal="right"/>
    </xf>
    <xf numFmtId="1" fontId="10" fillId="6" borderId="54" xfId="0" applyNumberFormat="1" applyFont="1" applyFill="1" applyBorder="1" applyProtection="1">
      <protection locked="0"/>
    </xf>
    <xf numFmtId="1" fontId="12" fillId="0" borderId="0" xfId="0" applyNumberFormat="1" applyFont="1" applyAlignment="1">
      <alignment horizontal="left"/>
    </xf>
    <xf numFmtId="1" fontId="10" fillId="7" borderId="61" xfId="0" applyNumberFormat="1" applyFont="1" applyFill="1" applyBorder="1" applyAlignment="1">
      <alignment horizontal="right"/>
    </xf>
    <xf numFmtId="1" fontId="10" fillId="0" borderId="36" xfId="0" applyNumberFormat="1" applyFont="1" applyBorder="1" applyAlignment="1">
      <alignment vertical="center" wrapText="1"/>
    </xf>
    <xf numFmtId="0" fontId="22" fillId="0" borderId="14" xfId="0" applyFont="1" applyBorder="1"/>
    <xf numFmtId="0" fontId="34" fillId="0" borderId="8" xfId="0" applyFont="1" applyBorder="1"/>
    <xf numFmtId="0" fontId="22" fillId="0" borderId="13" xfId="0" applyFont="1" applyBorder="1"/>
    <xf numFmtId="1" fontId="10" fillId="0" borderId="99" xfId="0" applyNumberFormat="1" applyFont="1" applyBorder="1" applyAlignment="1">
      <alignment vertical="center" wrapText="1"/>
    </xf>
    <xf numFmtId="1" fontId="10" fillId="0" borderId="62" xfId="0" applyNumberFormat="1" applyFont="1" applyBorder="1" applyAlignment="1">
      <alignment horizontal="right" vertical="center" wrapText="1"/>
    </xf>
    <xf numFmtId="1" fontId="10" fillId="6" borderId="17" xfId="0" applyNumberFormat="1" applyFont="1" applyFill="1" applyBorder="1" applyProtection="1">
      <protection locked="0"/>
    </xf>
    <xf numFmtId="1" fontId="22" fillId="28" borderId="0" xfId="0" applyNumberFormat="1" applyFont="1" applyFill="1"/>
    <xf numFmtId="0" fontId="22" fillId="28" borderId="0" xfId="0" applyFont="1" applyFill="1"/>
    <xf numFmtId="0" fontId="31" fillId="0" borderId="0" xfId="0" applyFont="1"/>
    <xf numFmtId="1" fontId="29" fillId="0" borderId="108" xfId="0" applyNumberFormat="1" applyFont="1" applyBorder="1" applyAlignment="1">
      <alignment horizontal="center" vertical="center" wrapText="1"/>
    </xf>
    <xf numFmtId="1" fontId="29" fillId="0" borderId="27" xfId="0" applyNumberFormat="1" applyFont="1" applyBorder="1" applyAlignment="1">
      <alignment horizontal="center" vertical="center" wrapText="1"/>
    </xf>
    <xf numFmtId="1" fontId="29" fillId="0" borderId="20" xfId="0" applyNumberFormat="1" applyFont="1" applyBorder="1" applyAlignment="1">
      <alignment horizontal="center" vertical="center"/>
    </xf>
    <xf numFmtId="1" fontId="29" fillId="0" borderId="9" xfId="0" applyNumberFormat="1" applyFont="1" applyBorder="1" applyAlignment="1">
      <alignment horizontal="center" vertical="center" wrapText="1"/>
    </xf>
    <xf numFmtId="1" fontId="29" fillId="0" borderId="50" xfId="0" applyNumberFormat="1" applyFont="1" applyBorder="1" applyAlignment="1">
      <alignment horizontal="center" vertical="center" wrapText="1"/>
    </xf>
    <xf numFmtId="1" fontId="29" fillId="0" borderId="10" xfId="0" applyNumberFormat="1" applyFont="1" applyBorder="1" applyAlignment="1">
      <alignment horizontal="center" vertical="center" wrapText="1"/>
    </xf>
    <xf numFmtId="1" fontId="29" fillId="0" borderId="29" xfId="0" applyNumberFormat="1" applyFont="1" applyBorder="1" applyAlignment="1">
      <alignment horizontal="center" vertical="center" wrapText="1"/>
    </xf>
    <xf numFmtId="1" fontId="29" fillId="0" borderId="11" xfId="0" applyNumberFormat="1" applyFont="1" applyBorder="1" applyAlignment="1">
      <alignment horizontal="center" vertical="center"/>
    </xf>
    <xf numFmtId="1" fontId="29" fillId="0" borderId="28" xfId="0" applyNumberFormat="1" applyFont="1" applyBorder="1" applyAlignment="1">
      <alignment horizontal="center" vertical="center" wrapText="1"/>
    </xf>
    <xf numFmtId="1" fontId="29" fillId="0" borderId="14" xfId="0" applyNumberFormat="1" applyFont="1" applyBorder="1" applyAlignment="1">
      <alignment horizontal="center" vertical="center" wrapText="1"/>
    </xf>
    <xf numFmtId="0" fontId="29" fillId="0" borderId="76" xfId="0" applyFont="1" applyBorder="1" applyAlignment="1">
      <alignment horizontal="center" vertical="center" wrapText="1"/>
    </xf>
    <xf numFmtId="0" fontId="29" fillId="0" borderId="322" xfId="0" applyFont="1" applyBorder="1" applyAlignment="1">
      <alignment horizontal="center" vertical="center" wrapText="1"/>
    </xf>
    <xf numFmtId="1" fontId="29" fillId="0" borderId="36" xfId="0" applyNumberFormat="1" applyFont="1" applyBorder="1" applyAlignment="1">
      <alignment horizontal="center" vertical="center" wrapText="1"/>
    </xf>
    <xf numFmtId="1" fontId="29" fillId="0" borderId="18" xfId="0" applyNumberFormat="1" applyFont="1" applyBorder="1"/>
    <xf numFmtId="1" fontId="29" fillId="7" borderId="18" xfId="0" applyNumberFormat="1" applyFont="1" applyFill="1" applyBorder="1"/>
    <xf numFmtId="1" fontId="29" fillId="6" borderId="164" xfId="0" applyNumberFormat="1" applyFont="1" applyFill="1" applyBorder="1" applyProtection="1">
      <protection locked="0"/>
    </xf>
    <xf numFmtId="1" fontId="29" fillId="6" borderId="158" xfId="0" applyNumberFormat="1" applyFont="1" applyFill="1" applyBorder="1" applyProtection="1">
      <protection locked="0"/>
    </xf>
    <xf numFmtId="1" fontId="29" fillId="6" borderId="22" xfId="0" applyNumberFormat="1" applyFont="1" applyFill="1" applyBorder="1" applyProtection="1">
      <protection locked="0"/>
    </xf>
    <xf numFmtId="1" fontId="29" fillId="6" borderId="23" xfId="0" applyNumberFormat="1" applyFont="1" applyFill="1" applyBorder="1" applyProtection="1">
      <protection locked="0"/>
    </xf>
    <xf numFmtId="1" fontId="29" fillId="6" borderId="323" xfId="0" applyNumberFormat="1" applyFont="1" applyFill="1" applyBorder="1" applyProtection="1">
      <protection locked="0"/>
    </xf>
    <xf numFmtId="1" fontId="29" fillId="6" borderId="129" xfId="0" applyNumberFormat="1" applyFont="1" applyFill="1" applyBorder="1" applyProtection="1">
      <protection locked="0"/>
    </xf>
    <xf numFmtId="1" fontId="29" fillId="6" borderId="18" xfId="0" applyNumberFormat="1" applyFont="1" applyFill="1" applyBorder="1" applyProtection="1">
      <protection locked="0"/>
    </xf>
    <xf numFmtId="1" fontId="29" fillId="19" borderId="9" xfId="0" applyNumberFormat="1" applyFont="1" applyFill="1" applyBorder="1"/>
    <xf numFmtId="0" fontId="29" fillId="27" borderId="19" xfId="0" applyFont="1" applyFill="1" applyBorder="1" applyProtection="1">
      <protection locked="0"/>
    </xf>
    <xf numFmtId="0" fontId="29" fillId="27" borderId="74" xfId="0" applyFont="1" applyFill="1" applyBorder="1" applyProtection="1">
      <protection locked="0"/>
    </xf>
    <xf numFmtId="0" fontId="29" fillId="27" borderId="324" xfId="0" applyFont="1" applyFill="1" applyBorder="1" applyProtection="1">
      <protection locked="0"/>
    </xf>
    <xf numFmtId="0" fontId="29" fillId="27" borderId="79" xfId="0" applyFont="1" applyFill="1" applyBorder="1" applyProtection="1">
      <protection locked="0"/>
    </xf>
    <xf numFmtId="1" fontId="29" fillId="6" borderId="27" xfId="0" applyNumberFormat="1" applyFont="1" applyFill="1" applyBorder="1" applyProtection="1">
      <protection locked="0"/>
    </xf>
    <xf numFmtId="0" fontId="29" fillId="16" borderId="0" xfId="0" applyFont="1" applyFill="1"/>
    <xf numFmtId="0" fontId="29" fillId="29" borderId="0" xfId="0" applyFont="1" applyFill="1"/>
    <xf numFmtId="0" fontId="29" fillId="10" borderId="0" xfId="0" applyFont="1" applyFill="1"/>
    <xf numFmtId="0" fontId="29" fillId="21" borderId="0" xfId="0" applyFont="1" applyFill="1"/>
    <xf numFmtId="1" fontId="29" fillId="0" borderId="37" xfId="0" applyNumberFormat="1" applyFont="1" applyBorder="1"/>
    <xf numFmtId="1" fontId="29" fillId="7" borderId="37" xfId="0" applyNumberFormat="1" applyFont="1" applyFill="1" applyBorder="1"/>
    <xf numFmtId="1" fontId="29" fillId="6" borderId="38" xfId="0" applyNumberFormat="1" applyFont="1" applyFill="1" applyBorder="1" applyProtection="1">
      <protection locked="0"/>
    </xf>
    <xf numFmtId="1" fontId="29" fillId="6" borderId="39" xfId="0" applyNumberFormat="1" applyFont="1" applyFill="1" applyBorder="1" applyProtection="1">
      <protection locked="0"/>
    </xf>
    <xf numFmtId="1" fontId="29" fillId="6" borderId="41" xfId="0" applyNumberFormat="1" applyFont="1" applyFill="1" applyBorder="1" applyProtection="1">
      <protection locked="0"/>
    </xf>
    <xf numFmtId="1" fontId="29" fillId="6" borderId="75" xfId="0" applyNumberFormat="1" applyFont="1" applyFill="1" applyBorder="1" applyProtection="1">
      <protection locked="0"/>
    </xf>
    <xf numFmtId="1" fontId="29" fillId="6" borderId="42" xfId="0" applyNumberFormat="1" applyFont="1" applyFill="1" applyBorder="1" applyProtection="1">
      <protection locked="0"/>
    </xf>
    <xf numFmtId="1" fontId="29" fillId="6" borderId="137" xfId="0" applyNumberFormat="1" applyFont="1" applyFill="1" applyBorder="1" applyProtection="1">
      <protection locked="0"/>
    </xf>
    <xf numFmtId="1" fontId="29" fillId="6" borderId="37" xfId="0" applyNumberFormat="1" applyFont="1" applyFill="1" applyBorder="1" applyProtection="1">
      <protection locked="0"/>
    </xf>
    <xf numFmtId="1" fontId="29" fillId="19" borderId="138" xfId="0" applyNumberFormat="1" applyFont="1" applyFill="1" applyBorder="1"/>
    <xf numFmtId="0" fontId="29" fillId="27" borderId="37" xfId="0" applyFont="1" applyFill="1" applyBorder="1" applyProtection="1">
      <protection locked="0"/>
    </xf>
    <xf numFmtId="0" fontId="29" fillId="27" borderId="39" xfId="0" applyFont="1" applyFill="1" applyBorder="1" applyProtection="1">
      <protection locked="0"/>
    </xf>
    <xf numFmtId="0" fontId="29" fillId="27" borderId="325" xfId="0" applyFont="1" applyFill="1" applyBorder="1" applyProtection="1">
      <protection locked="0"/>
    </xf>
    <xf numFmtId="0" fontId="29" fillId="27" borderId="279" xfId="0" applyFont="1" applyFill="1" applyBorder="1" applyProtection="1">
      <protection locked="0"/>
    </xf>
    <xf numFmtId="1" fontId="29" fillId="6" borderId="98" xfId="0" applyNumberFormat="1" applyFont="1" applyFill="1" applyBorder="1" applyProtection="1">
      <protection locked="0"/>
    </xf>
    <xf numFmtId="1" fontId="29" fillId="0" borderId="128" xfId="0" applyNumberFormat="1" applyFont="1" applyBorder="1" applyAlignment="1">
      <alignment wrapText="1"/>
    </xf>
    <xf numFmtId="1" fontId="29" fillId="0" borderId="103" xfId="0" applyNumberFormat="1" applyFont="1" applyBorder="1" applyAlignment="1">
      <alignment wrapText="1"/>
    </xf>
    <xf numFmtId="1" fontId="29" fillId="7" borderId="99" xfId="0" applyNumberFormat="1" applyFont="1" applyFill="1" applyBorder="1"/>
    <xf numFmtId="1" fontId="29" fillId="6" borderId="100" xfId="0" applyNumberFormat="1" applyFont="1" applyFill="1" applyBorder="1" applyProtection="1">
      <protection locked="0"/>
    </xf>
    <xf numFmtId="1" fontId="29" fillId="6" borderId="131" xfId="0" applyNumberFormat="1" applyFont="1" applyFill="1" applyBorder="1" applyProtection="1">
      <protection locked="0"/>
    </xf>
    <xf numFmtId="1" fontId="29" fillId="6" borderId="101" xfId="0" applyNumberFormat="1" applyFont="1" applyFill="1" applyBorder="1" applyProtection="1">
      <protection locked="0"/>
    </xf>
    <xf numFmtId="1" fontId="29" fillId="6" borderId="142" xfId="0" applyNumberFormat="1" applyFont="1" applyFill="1" applyBorder="1" applyProtection="1">
      <protection locked="0"/>
    </xf>
    <xf numFmtId="1" fontId="29" fillId="6" borderId="102" xfId="0" applyNumberFormat="1" applyFont="1" applyFill="1" applyBorder="1" applyProtection="1">
      <protection locked="0"/>
    </xf>
    <xf numFmtId="1" fontId="29" fillId="6" borderId="139" xfId="0" applyNumberFormat="1" applyFont="1" applyFill="1" applyBorder="1" applyProtection="1">
      <protection locked="0"/>
    </xf>
    <xf numFmtId="1" fontId="29" fillId="6" borderId="99" xfId="0" applyNumberFormat="1" applyFont="1" applyFill="1" applyBorder="1" applyProtection="1">
      <protection locked="0"/>
    </xf>
    <xf numFmtId="1" fontId="29" fillId="6" borderId="140" xfId="0" applyNumberFormat="1" applyFont="1" applyFill="1" applyBorder="1" applyProtection="1">
      <protection locked="0"/>
    </xf>
    <xf numFmtId="0" fontId="29" fillId="27" borderId="63" xfId="0" applyFont="1" applyFill="1" applyBorder="1" applyProtection="1">
      <protection locked="0"/>
    </xf>
    <xf numFmtId="0" fontId="29" fillId="27" borderId="65" xfId="0" applyFont="1" applyFill="1" applyBorder="1" applyProtection="1">
      <protection locked="0"/>
    </xf>
    <xf numFmtId="0" fontId="29" fillId="27" borderId="326" xfId="0" applyFont="1" applyFill="1" applyBorder="1" applyProtection="1">
      <protection locked="0"/>
    </xf>
    <xf numFmtId="0" fontId="29" fillId="27" borderId="281" xfId="0" applyFont="1" applyFill="1" applyBorder="1" applyProtection="1">
      <protection locked="0"/>
    </xf>
    <xf numFmtId="1" fontId="29" fillId="6" borderId="103" xfId="0" applyNumberFormat="1" applyFont="1" applyFill="1" applyBorder="1" applyProtection="1">
      <protection locked="0"/>
    </xf>
    <xf numFmtId="1" fontId="29" fillId="0" borderId="62" xfId="0" applyNumberFormat="1" applyFont="1" applyBorder="1" applyAlignment="1">
      <alignment wrapText="1"/>
    </xf>
    <xf numFmtId="1" fontId="29" fillId="7" borderId="51" xfId="0" applyNumberFormat="1" applyFont="1" applyFill="1" applyBorder="1"/>
    <xf numFmtId="1" fontId="29" fillId="6" borderId="52" xfId="0" applyNumberFormat="1" applyFont="1" applyFill="1" applyBorder="1" applyProtection="1">
      <protection locked="0"/>
    </xf>
    <xf numFmtId="1" fontId="29" fillId="6" borderId="53" xfId="0" applyNumberFormat="1" applyFont="1" applyFill="1" applyBorder="1" applyProtection="1">
      <protection locked="0"/>
    </xf>
    <xf numFmtId="1" fontId="29" fillId="6" borderId="54" xfId="0" applyNumberFormat="1" applyFont="1" applyFill="1" applyBorder="1" applyProtection="1">
      <protection locked="0"/>
    </xf>
    <xf numFmtId="1" fontId="29" fillId="6" borderId="58" xfId="0" applyNumberFormat="1" applyFont="1" applyFill="1" applyBorder="1" applyProtection="1">
      <protection locked="0"/>
    </xf>
    <xf numFmtId="1" fontId="29" fillId="6" borderId="55" xfId="0" applyNumberFormat="1" applyFont="1" applyFill="1" applyBorder="1" applyProtection="1">
      <protection locked="0"/>
    </xf>
    <xf numFmtId="1" fontId="29" fillId="6" borderId="143" xfId="0" applyNumberFormat="1" applyFont="1" applyFill="1" applyBorder="1" applyProtection="1">
      <protection locked="0"/>
    </xf>
    <xf numFmtId="1" fontId="29" fillId="6" borderId="51" xfId="0" applyNumberFormat="1" applyFont="1" applyFill="1" applyBorder="1" applyProtection="1">
      <protection locked="0"/>
    </xf>
    <xf numFmtId="1" fontId="29" fillId="19" borderId="61" xfId="0" applyNumberFormat="1" applyFont="1" applyFill="1" applyBorder="1"/>
    <xf numFmtId="0" fontId="29" fillId="27" borderId="15" xfId="0" applyFont="1" applyFill="1" applyBorder="1" applyProtection="1">
      <protection locked="0"/>
    </xf>
    <xf numFmtId="0" fontId="29" fillId="27" borderId="76" xfId="0" applyFont="1" applyFill="1" applyBorder="1" applyProtection="1">
      <protection locked="0"/>
    </xf>
    <xf numFmtId="0" fontId="29" fillId="27" borderId="322" xfId="0" applyFont="1" applyFill="1" applyBorder="1" applyProtection="1">
      <protection locked="0"/>
    </xf>
    <xf numFmtId="0" fontId="29" fillId="27" borderId="277" xfId="0" applyFont="1" applyFill="1" applyBorder="1" applyProtection="1">
      <protection locked="0"/>
    </xf>
    <xf numFmtId="1" fontId="29" fillId="6" borderId="62" xfId="0" applyNumberFormat="1" applyFont="1" applyFill="1" applyBorder="1" applyProtection="1">
      <protection locked="0"/>
    </xf>
    <xf numFmtId="1" fontId="31" fillId="0" borderId="0" xfId="0" applyNumberFormat="1" applyFont="1"/>
    <xf numFmtId="1" fontId="45" fillId="0" borderId="0" xfId="0" applyNumberFormat="1" applyFont="1"/>
    <xf numFmtId="0" fontId="29" fillId="0" borderId="0" xfId="0" applyFont="1"/>
    <xf numFmtId="1" fontId="29" fillId="0" borderId="164" xfId="0" applyNumberFormat="1" applyFont="1" applyBorder="1" applyAlignment="1">
      <alignment horizontal="center" vertical="center" wrapText="1"/>
    </xf>
    <xf numFmtId="1" fontId="29" fillId="0" borderId="323" xfId="0" applyNumberFormat="1" applyFont="1" applyBorder="1" applyAlignment="1">
      <alignment horizontal="center" vertical="center" wrapText="1"/>
    </xf>
    <xf numFmtId="1" fontId="29" fillId="0" borderId="80" xfId="0" applyNumberFormat="1" applyFont="1" applyBorder="1" applyAlignment="1">
      <alignment horizontal="center" vertical="center" wrapText="1"/>
    </xf>
    <xf numFmtId="1" fontId="29" fillId="0" borderId="92" xfId="0" applyNumberFormat="1" applyFont="1" applyBorder="1" applyAlignment="1">
      <alignment horizontal="center" vertical="center" wrapText="1"/>
    </xf>
    <xf numFmtId="1" fontId="29" fillId="6" borderId="10" xfId="0" applyNumberFormat="1" applyFont="1" applyFill="1" applyBorder="1" applyProtection="1">
      <protection locked="0"/>
    </xf>
    <xf numFmtId="1" fontId="29" fillId="6" borderId="28" xfId="0" applyNumberFormat="1" applyFont="1" applyFill="1" applyBorder="1" applyProtection="1">
      <protection locked="0"/>
    </xf>
    <xf numFmtId="1" fontId="29" fillId="6" borderId="8" xfId="0" applyNumberFormat="1" applyFont="1" applyFill="1" applyBorder="1" applyProtection="1">
      <protection locked="0"/>
    </xf>
    <xf numFmtId="1" fontId="29" fillId="6" borderId="2" xfId="0" applyNumberFormat="1" applyFont="1" applyFill="1" applyBorder="1" applyProtection="1">
      <protection locked="0"/>
    </xf>
    <xf numFmtId="1" fontId="29" fillId="0" borderId="89" xfId="0" applyNumberFormat="1" applyFont="1" applyBorder="1" applyAlignment="1">
      <alignment horizontal="left" wrapText="1"/>
    </xf>
    <xf numFmtId="1" fontId="29" fillId="6" borderId="64" xfId="0" applyNumberFormat="1" applyFont="1" applyFill="1" applyBorder="1" applyProtection="1">
      <protection locked="0"/>
    </xf>
    <xf numFmtId="1" fontId="29" fillId="6" borderId="66" xfId="0" applyNumberFormat="1" applyFont="1" applyFill="1" applyBorder="1" applyProtection="1">
      <protection locked="0"/>
    </xf>
    <xf numFmtId="1" fontId="29" fillId="6" borderId="48" xfId="0" applyNumberFormat="1" applyFont="1" applyFill="1" applyBorder="1" applyProtection="1">
      <protection locked="0"/>
    </xf>
    <xf numFmtId="1" fontId="29" fillId="6" borderId="63" xfId="0" applyNumberFormat="1" applyFont="1" applyFill="1" applyBorder="1" applyProtection="1">
      <protection locked="0"/>
    </xf>
    <xf numFmtId="1" fontId="29" fillId="0" borderId="128" xfId="0" applyNumberFormat="1" applyFont="1" applyBorder="1" applyAlignment="1">
      <alignment horizontal="left" wrapText="1"/>
    </xf>
    <xf numFmtId="1" fontId="29" fillId="6" borderId="71" xfId="0" applyNumberFormat="1" applyFont="1" applyFill="1" applyBorder="1" applyProtection="1">
      <protection locked="0"/>
    </xf>
    <xf numFmtId="1" fontId="29" fillId="6" borderId="73" xfId="0" applyNumberFormat="1" applyFont="1" applyFill="1" applyBorder="1" applyProtection="1">
      <protection locked="0"/>
    </xf>
    <xf numFmtId="1" fontId="29" fillId="6" borderId="197" xfId="0" applyNumberFormat="1" applyFont="1" applyFill="1" applyBorder="1" applyProtection="1">
      <protection locked="0"/>
    </xf>
    <xf numFmtId="1" fontId="29" fillId="6" borderId="86" xfId="0" applyNumberFormat="1" applyFont="1" applyFill="1" applyBorder="1" applyProtection="1">
      <protection locked="0"/>
    </xf>
    <xf numFmtId="1" fontId="29" fillId="0" borderId="127" xfId="0" applyNumberFormat="1" applyFont="1" applyBorder="1" applyAlignment="1">
      <alignment horizontal="left" wrapText="1"/>
    </xf>
    <xf numFmtId="1" fontId="29" fillId="6" borderId="61" xfId="0" applyNumberFormat="1" applyFont="1" applyFill="1" applyBorder="1" applyProtection="1">
      <protection locked="0"/>
    </xf>
    <xf numFmtId="1" fontId="32" fillId="0" borderId="19" xfId="0" applyNumberFormat="1" applyFont="1" applyBorder="1"/>
    <xf numFmtId="1" fontId="32" fillId="0" borderId="13" xfId="0" applyNumberFormat="1" applyFont="1" applyBorder="1"/>
    <xf numFmtId="1" fontId="32" fillId="0" borderId="0" xfId="0" applyNumberFormat="1" applyFont="1"/>
    <xf numFmtId="0" fontId="29" fillId="0" borderId="164" xfId="0" applyFont="1" applyBorder="1" applyAlignment="1">
      <alignment horizontal="center" wrapText="1"/>
    </xf>
    <xf numFmtId="1" fontId="29" fillId="0" borderId="8" xfId="0" applyNumberFormat="1" applyFont="1" applyBorder="1" applyAlignment="1">
      <alignment horizontal="center" vertical="center" wrapText="1"/>
    </xf>
    <xf numFmtId="1" fontId="29" fillId="0" borderId="177" xfId="0" applyNumberFormat="1" applyFont="1" applyBorder="1" applyAlignment="1">
      <alignment horizontal="center" vertical="center" wrapText="1"/>
    </xf>
    <xf numFmtId="0" fontId="29" fillId="0" borderId="10" xfId="0" applyFont="1" applyBorder="1" applyAlignment="1">
      <alignment horizontal="center" vertical="center" wrapText="1"/>
    </xf>
    <xf numFmtId="0" fontId="29" fillId="0" borderId="11" xfId="0" applyFont="1" applyBorder="1" applyAlignment="1">
      <alignment horizontal="center" vertical="center" wrapText="1"/>
    </xf>
    <xf numFmtId="0" fontId="29" fillId="0" borderId="327" xfId="0" applyFont="1" applyBorder="1" applyAlignment="1">
      <alignment horizontal="center" vertical="center" wrapText="1"/>
    </xf>
    <xf numFmtId="1" fontId="29" fillId="0" borderId="17" xfId="0" applyNumberFormat="1" applyFont="1" applyBorder="1" applyAlignment="1">
      <alignment horizontal="center" vertical="center" wrapText="1"/>
    </xf>
    <xf numFmtId="1" fontId="29" fillId="0" borderId="11" xfId="0" applyNumberFormat="1" applyFont="1" applyBorder="1"/>
    <xf numFmtId="1" fontId="29" fillId="0" borderId="89" xfId="0" applyNumberFormat="1" applyFont="1" applyBorder="1"/>
    <xf numFmtId="1" fontId="29" fillId="15" borderId="41" xfId="0" applyNumberFormat="1" applyFont="1" applyFill="1" applyBorder="1"/>
    <xf numFmtId="1" fontId="29" fillId="15" borderId="42" xfId="0" applyNumberFormat="1" applyFont="1" applyFill="1" applyBorder="1"/>
    <xf numFmtId="1" fontId="29" fillId="0" borderId="127" xfId="0" applyNumberFormat="1" applyFont="1" applyBorder="1"/>
    <xf numFmtId="1" fontId="29" fillId="0" borderId="51" xfId="0" applyNumberFormat="1" applyFont="1" applyBorder="1"/>
    <xf numFmtId="1" fontId="29" fillId="15" borderId="54" xfId="0" applyNumberFormat="1" applyFont="1" applyFill="1" applyBorder="1"/>
    <xf numFmtId="1" fontId="29" fillId="15" borderId="55" xfId="0" applyNumberFormat="1" applyFont="1" applyFill="1" applyBorder="1"/>
    <xf numFmtId="1" fontId="29" fillId="0" borderId="2" xfId="0" applyNumberFormat="1" applyFont="1" applyBorder="1" applyAlignment="1">
      <alignment horizontal="left" vertical="center" wrapText="1"/>
    </xf>
    <xf numFmtId="1" fontId="29" fillId="0" borderId="98" xfId="0" applyNumberFormat="1" applyFont="1" applyBorder="1" applyAlignment="1" applyProtection="1">
      <alignment horizontal="left" wrapText="1"/>
      <protection hidden="1"/>
    </xf>
    <xf numFmtId="1" fontId="29" fillId="0" borderId="103" xfId="0" applyNumberFormat="1" applyFont="1" applyBorder="1" applyAlignment="1" applyProtection="1">
      <alignment horizontal="left" wrapText="1"/>
      <protection hidden="1"/>
    </xf>
    <xf numFmtId="1" fontId="29" fillId="0" borderId="99" xfId="0" applyNumberFormat="1" applyFont="1" applyBorder="1"/>
    <xf numFmtId="1" fontId="29" fillId="15" borderId="101" xfId="0" applyNumberFormat="1" applyFont="1" applyFill="1" applyBorder="1"/>
    <xf numFmtId="1" fontId="29" fillId="15" borderId="102" xfId="0" applyNumberFormat="1" applyFont="1" applyFill="1" applyBorder="1"/>
    <xf numFmtId="1" fontId="29" fillId="0" borderId="171" xfId="0" applyNumberFormat="1" applyFont="1" applyBorder="1" applyAlignment="1" applyProtection="1">
      <alignment horizontal="left" wrapText="1"/>
      <protection hidden="1"/>
    </xf>
    <xf numFmtId="1" fontId="29" fillId="0" borderId="19" xfId="0" applyNumberFormat="1" applyFont="1" applyBorder="1"/>
    <xf numFmtId="1" fontId="29" fillId="6" borderId="69" xfId="0" applyNumberFormat="1" applyFont="1" applyFill="1" applyBorder="1" applyProtection="1">
      <protection locked="0"/>
    </xf>
    <xf numFmtId="1" fontId="29" fillId="6" borderId="70" xfId="0" applyNumberFormat="1" applyFont="1" applyFill="1" applyBorder="1" applyProtection="1">
      <protection locked="0"/>
    </xf>
    <xf numFmtId="1" fontId="29" fillId="15" borderId="70" xfId="0" applyNumberFormat="1" applyFont="1" applyFill="1" applyBorder="1"/>
    <xf numFmtId="1" fontId="29" fillId="15" borderId="87" xfId="0" applyNumberFormat="1" applyFont="1" applyFill="1" applyBorder="1"/>
    <xf numFmtId="1" fontId="29" fillId="6" borderId="141" xfId="0" applyNumberFormat="1" applyFont="1" applyFill="1" applyBorder="1" applyProtection="1">
      <protection locked="0"/>
    </xf>
    <xf numFmtId="1" fontId="29" fillId="6" borderId="19" xfId="0" applyNumberFormat="1" applyFont="1" applyFill="1" applyBorder="1" applyProtection="1">
      <protection locked="0"/>
    </xf>
    <xf numFmtId="1" fontId="29" fillId="6" borderId="50" xfId="0" applyNumberFormat="1" applyFont="1" applyFill="1" applyBorder="1" applyProtection="1">
      <protection locked="0"/>
    </xf>
    <xf numFmtId="1" fontId="29" fillId="15" borderId="41" xfId="0" applyNumberFormat="1" applyFont="1" applyFill="1" applyBorder="1" applyProtection="1">
      <protection locked="0"/>
    </xf>
    <xf numFmtId="1" fontId="29" fillId="0" borderId="51" xfId="0" applyNumberFormat="1" applyFont="1" applyBorder="1" applyAlignment="1" applyProtection="1">
      <alignment horizontal="left" wrapText="1"/>
      <protection hidden="1"/>
    </xf>
    <xf numFmtId="1" fontId="29" fillId="0" borderId="36" xfId="0" applyNumberFormat="1" applyFont="1" applyBorder="1" applyAlignment="1" applyProtection="1">
      <alignment horizontal="left" wrapText="1"/>
      <protection hidden="1"/>
    </xf>
    <xf numFmtId="1" fontId="29" fillId="0" borderId="15" xfId="0" applyNumberFormat="1" applyFont="1" applyBorder="1"/>
    <xf numFmtId="1" fontId="29" fillId="6" borderId="80" xfId="0" applyNumberFormat="1" applyFont="1" applyFill="1" applyBorder="1" applyProtection="1">
      <protection locked="0"/>
    </xf>
    <xf numFmtId="1" fontId="29" fillId="6" borderId="31" xfId="0" applyNumberFormat="1" applyFont="1" applyFill="1" applyBorder="1" applyProtection="1">
      <protection locked="0"/>
    </xf>
    <xf numFmtId="1" fontId="29" fillId="15" borderId="31" xfId="0" applyNumberFormat="1" applyFont="1" applyFill="1" applyBorder="1"/>
    <xf numFmtId="1" fontId="29" fillId="15" borderId="92" xfId="0" applyNumberFormat="1" applyFont="1" applyFill="1" applyBorder="1"/>
    <xf numFmtId="1" fontId="29" fillId="6" borderId="130" xfId="0" applyNumberFormat="1" applyFont="1" applyFill="1" applyBorder="1" applyProtection="1">
      <protection locked="0"/>
    </xf>
    <xf numFmtId="1" fontId="29" fillId="6" borderId="15" xfId="0" applyNumberFormat="1" applyFont="1" applyFill="1" applyBorder="1" applyProtection="1">
      <protection locked="0"/>
    </xf>
    <xf numFmtId="1" fontId="29" fillId="6" borderId="36" xfId="0" applyNumberFormat="1" applyFont="1" applyFill="1" applyBorder="1" applyProtection="1">
      <protection locked="0"/>
    </xf>
    <xf numFmtId="1" fontId="29" fillId="6" borderId="11" xfId="0" applyNumberFormat="1" applyFont="1" applyFill="1" applyBorder="1" applyProtection="1">
      <protection locked="0"/>
    </xf>
    <xf numFmtId="1" fontId="29" fillId="15" borderId="11" xfId="0" applyNumberFormat="1" applyFont="1" applyFill="1" applyBorder="1"/>
    <xf numFmtId="1" fontId="29" fillId="15" borderId="28" xfId="0" applyNumberFormat="1" applyFont="1" applyFill="1" applyBorder="1"/>
    <xf numFmtId="1" fontId="29" fillId="6" borderId="135" xfId="0" applyNumberFormat="1" applyFont="1" applyFill="1" applyBorder="1" applyProtection="1">
      <protection locked="0"/>
    </xf>
    <xf numFmtId="1" fontId="29" fillId="6" borderId="7" xfId="0" applyNumberFormat="1" applyFont="1" applyFill="1" applyBorder="1" applyProtection="1">
      <protection locked="0"/>
    </xf>
    <xf numFmtId="1" fontId="29" fillId="0" borderId="63" xfId="0" applyNumberFormat="1" applyFont="1" applyBorder="1"/>
    <xf numFmtId="1" fontId="29" fillId="6" borderId="40" xfId="0" applyNumberFormat="1" applyFont="1" applyFill="1" applyBorder="1" applyProtection="1">
      <protection locked="0"/>
    </xf>
    <xf numFmtId="1" fontId="29" fillId="15" borderId="40" xfId="0" applyNumberFormat="1" applyFont="1" applyFill="1" applyBorder="1"/>
    <xf numFmtId="1" fontId="29" fillId="15" borderId="66" xfId="0" applyNumberFormat="1" applyFont="1" applyFill="1" applyBorder="1"/>
    <xf numFmtId="1" fontId="29" fillId="6" borderId="159" xfId="0" applyNumberFormat="1" applyFont="1" applyFill="1" applyBorder="1" applyProtection="1">
      <protection locked="0"/>
    </xf>
    <xf numFmtId="1" fontId="29" fillId="6" borderId="49" xfId="0" applyNumberFormat="1" applyFont="1" applyFill="1" applyBorder="1" applyProtection="1">
      <protection locked="0"/>
    </xf>
    <xf numFmtId="1" fontId="0" fillId="0" borderId="0" xfId="0" applyNumberFormat="1" applyAlignment="1">
      <alignment horizontal="right"/>
    </xf>
    <xf numFmtId="0" fontId="29" fillId="0" borderId="328" xfId="0" applyFont="1" applyBorder="1" applyAlignment="1">
      <alignment horizontal="center" vertical="center" wrapText="1"/>
    </xf>
    <xf numFmtId="1" fontId="29" fillId="0" borderId="37" xfId="0" applyNumberFormat="1" applyFont="1" applyBorder="1" applyAlignment="1" applyProtection="1">
      <alignment horizontal="left" wrapText="1"/>
      <protection hidden="1"/>
    </xf>
    <xf numFmtId="0" fontId="0" fillId="10" borderId="0" xfId="0" applyFill="1" applyAlignment="1">
      <alignment horizontal="right"/>
    </xf>
    <xf numFmtId="0" fontId="0" fillId="0" borderId="0" xfId="0" applyAlignment="1">
      <alignment horizontal="right"/>
    </xf>
    <xf numFmtId="1" fontId="29" fillId="0" borderId="86" xfId="0" applyNumberFormat="1" applyFont="1" applyBorder="1" applyAlignment="1" applyProtection="1">
      <alignment horizontal="left" wrapText="1"/>
      <protection hidden="1"/>
    </xf>
    <xf numFmtId="1" fontId="29" fillId="6" borderId="76" xfId="0" applyNumberFormat="1" applyFont="1" applyFill="1" applyBorder="1" applyProtection="1">
      <protection locked="0"/>
    </xf>
    <xf numFmtId="1" fontId="29" fillId="6" borderId="92" xfId="0" applyNumberFormat="1" applyFont="1" applyFill="1" applyBorder="1" applyProtection="1">
      <protection locked="0"/>
    </xf>
    <xf numFmtId="1" fontId="29" fillId="0" borderId="15" xfId="0" applyNumberFormat="1" applyFont="1" applyBorder="1" applyAlignment="1" applyProtection="1">
      <alignment horizontal="left" wrapText="1"/>
      <protection hidden="1"/>
    </xf>
    <xf numFmtId="1" fontId="29" fillId="0" borderId="6" xfId="0" applyNumberFormat="1" applyFont="1" applyBorder="1"/>
    <xf numFmtId="1" fontId="29" fillId="0" borderId="20" xfId="0" applyNumberFormat="1" applyFont="1" applyBorder="1"/>
    <xf numFmtId="1" fontId="29" fillId="15" borderId="39" xfId="0" applyNumberFormat="1" applyFont="1" applyFill="1" applyBorder="1"/>
    <xf numFmtId="1" fontId="29" fillId="15" borderId="53" xfId="0" applyNumberFormat="1" applyFont="1" applyFill="1" applyBorder="1"/>
    <xf numFmtId="1" fontId="29" fillId="0" borderId="19" xfId="0" applyNumberFormat="1" applyFont="1" applyBorder="1" applyAlignment="1">
      <alignment horizontal="left" vertical="center" wrapText="1"/>
    </xf>
    <xf numFmtId="1" fontId="29" fillId="15" borderId="131" xfId="0" applyNumberFormat="1" applyFont="1" applyFill="1" applyBorder="1"/>
    <xf numFmtId="1" fontId="29" fillId="15" borderId="74" xfId="0" applyNumberFormat="1" applyFont="1" applyFill="1" applyBorder="1"/>
    <xf numFmtId="1" fontId="29" fillId="0" borderId="330" xfId="0" applyNumberFormat="1" applyFont="1" applyBorder="1" applyAlignment="1" applyProtection="1">
      <alignment horizontal="left" wrapText="1"/>
      <protection hidden="1"/>
    </xf>
    <xf numFmtId="1" fontId="29" fillId="0" borderId="329" xfId="0" applyNumberFormat="1" applyFont="1" applyBorder="1"/>
    <xf numFmtId="1" fontId="29" fillId="6" borderId="331" xfId="0" applyNumberFormat="1" applyFont="1" applyFill="1" applyBorder="1" applyProtection="1">
      <protection locked="0"/>
    </xf>
    <xf numFmtId="1" fontId="29" fillId="15" borderId="332" xfId="0" applyNumberFormat="1" applyFont="1" applyFill="1" applyBorder="1"/>
    <xf numFmtId="1" fontId="29" fillId="15" borderId="331" xfId="0" applyNumberFormat="1" applyFont="1" applyFill="1" applyBorder="1"/>
    <xf numFmtId="1" fontId="29" fillId="15" borderId="333" xfId="0" applyNumberFormat="1" applyFont="1" applyFill="1" applyBorder="1"/>
    <xf numFmtId="1" fontId="29" fillId="6" borderId="334" xfId="0" applyNumberFormat="1" applyFont="1" applyFill="1" applyBorder="1" applyProtection="1">
      <protection locked="0"/>
    </xf>
    <xf numFmtId="1" fontId="29" fillId="6" borderId="335" xfId="0" applyNumberFormat="1" applyFont="1" applyFill="1" applyBorder="1" applyProtection="1">
      <protection locked="0"/>
    </xf>
    <xf numFmtId="1" fontId="29" fillId="15" borderId="65" xfId="0" applyNumberFormat="1" applyFont="1" applyFill="1" applyBorder="1"/>
    <xf numFmtId="1" fontId="29" fillId="0" borderId="127" xfId="0" applyNumberFormat="1" applyFont="1" applyBorder="1" applyAlignment="1">
      <alignment horizontal="left"/>
    </xf>
    <xf numFmtId="1" fontId="29" fillId="15" borderId="76" xfId="0" applyNumberFormat="1" applyFont="1" applyFill="1" applyBorder="1"/>
    <xf numFmtId="1" fontId="25" fillId="0" borderId="0" xfId="0" applyNumberFormat="1" applyFont="1"/>
    <xf numFmtId="1" fontId="29" fillId="0" borderId="2" xfId="0" applyNumberFormat="1" applyFont="1" applyBorder="1" applyAlignment="1">
      <alignment horizontal="center" vertical="center" wrapText="1"/>
    </xf>
    <xf numFmtId="1" fontId="29" fillId="0" borderId="134" xfId="0" applyNumberFormat="1" applyFont="1" applyBorder="1" applyAlignment="1">
      <alignment horizontal="center" vertical="center" wrapText="1"/>
    </xf>
    <xf numFmtId="0" fontId="29" fillId="0" borderId="136" xfId="0" applyFont="1" applyBorder="1" applyAlignment="1">
      <alignment horizontal="center" vertical="center" wrapText="1"/>
    </xf>
    <xf numFmtId="0" fontId="29" fillId="0" borderId="147" xfId="0" applyFont="1" applyBorder="1" applyAlignment="1">
      <alignment horizontal="center" wrapText="1"/>
    </xf>
    <xf numFmtId="1" fontId="29" fillId="6" borderId="134" xfId="0" applyNumberFormat="1" applyFont="1" applyFill="1" applyBorder="1" applyProtection="1">
      <protection locked="0"/>
    </xf>
    <xf numFmtId="0" fontId="29" fillId="27" borderId="136" xfId="0" applyFont="1" applyFill="1" applyBorder="1" applyProtection="1">
      <protection locked="0"/>
    </xf>
    <xf numFmtId="0" fontId="29" fillId="27" borderId="7" xfId="0" applyFont="1" applyFill="1" applyBorder="1" applyProtection="1">
      <protection locked="0"/>
    </xf>
    <xf numFmtId="1" fontId="31" fillId="0" borderId="162" xfId="0" applyNumberFormat="1" applyFont="1" applyBorder="1"/>
    <xf numFmtId="1" fontId="32" fillId="7" borderId="0" xfId="0" applyNumberFormat="1" applyFont="1" applyFill="1"/>
    <xf numFmtId="1" fontId="26" fillId="7" borderId="14" xfId="0" applyNumberFormat="1" applyFont="1" applyFill="1" applyBorder="1"/>
    <xf numFmtId="1" fontId="29" fillId="0" borderId="12" xfId="0" applyNumberFormat="1" applyFont="1" applyBorder="1" applyAlignment="1">
      <alignment horizontal="center" vertical="center" wrapText="1"/>
    </xf>
    <xf numFmtId="1" fontId="29" fillId="6" borderId="29" xfId="0" applyNumberFormat="1" applyFont="1" applyFill="1" applyBorder="1" applyProtection="1">
      <protection locked="0"/>
    </xf>
    <xf numFmtId="0" fontId="31" fillId="30" borderId="210" xfId="0" applyFont="1" applyFill="1" applyBorder="1"/>
    <xf numFmtId="0" fontId="46" fillId="0" borderId="0" xfId="0" applyFont="1"/>
    <xf numFmtId="0" fontId="29" fillId="0" borderId="108" xfId="0" applyFont="1" applyBorder="1" applyAlignment="1">
      <alignment horizontal="center" vertical="center" wrapText="1"/>
    </xf>
    <xf numFmtId="0" fontId="29" fillId="0" borderId="27" xfId="0" applyFont="1" applyBorder="1" applyAlignment="1">
      <alignment horizontal="center" vertical="center" wrapText="1"/>
    </xf>
    <xf numFmtId="0" fontId="29" fillId="0" borderId="9" xfId="0" applyFont="1" applyBorder="1" applyAlignment="1">
      <alignment horizontal="center" vertical="center" wrapText="1"/>
    </xf>
    <xf numFmtId="0" fontId="29" fillId="0" borderId="14" xfId="0" applyFont="1" applyBorder="1" applyAlignment="1">
      <alignment horizontal="center" vertical="center" wrapText="1"/>
    </xf>
    <xf numFmtId="0" fontId="29" fillId="0" borderId="36" xfId="0" applyFont="1" applyBorder="1" applyAlignment="1">
      <alignment horizontal="center" vertical="center" wrapText="1"/>
    </xf>
    <xf numFmtId="0" fontId="29" fillId="0" borderId="6" xfId="0" applyFont="1" applyBorder="1" applyAlignment="1">
      <alignment horizontal="center" vertical="center" wrapText="1"/>
    </xf>
    <xf numFmtId="0" fontId="29" fillId="0" borderId="7" xfId="0" applyFont="1" applyBorder="1" applyAlignment="1">
      <alignment horizontal="center" vertical="center" wrapText="1"/>
    </xf>
    <xf numFmtId="0" fontId="29" fillId="0" borderId="8" xfId="0" applyFont="1" applyBorder="1" applyAlignment="1">
      <alignment horizontal="center" vertical="center" wrapText="1"/>
    </xf>
    <xf numFmtId="0" fontId="29" fillId="0" borderId="149" xfId="0" applyFont="1" applyBorder="1" applyAlignment="1">
      <alignment horizontal="center" vertical="center" wrapText="1"/>
    </xf>
    <xf numFmtId="0" fontId="29" fillId="0" borderId="10" xfId="0" applyFont="1" applyBorder="1" applyAlignment="1">
      <alignment wrapText="1"/>
    </xf>
    <xf numFmtId="0" fontId="29" fillId="0" borderId="76" xfId="0" applyFont="1" applyBorder="1" applyAlignment="1">
      <alignment horizontal="center" wrapText="1"/>
    </xf>
    <xf numFmtId="0" fontId="29" fillId="0" borderId="36" xfId="0" applyFont="1" applyBorder="1" applyAlignment="1">
      <alignment horizontal="center" wrapText="1"/>
    </xf>
    <xf numFmtId="0" fontId="29" fillId="0" borderId="277" xfId="0" applyFont="1" applyBorder="1" applyAlignment="1">
      <alignment horizontal="center" wrapText="1"/>
    </xf>
    <xf numFmtId="0" fontId="29" fillId="0" borderId="12" xfId="0" applyFont="1" applyBorder="1" applyAlignment="1">
      <alignment horizontal="center" wrapText="1"/>
    </xf>
    <xf numFmtId="0" fontId="29" fillId="0" borderId="273" xfId="0" applyFont="1" applyBorder="1" applyAlignment="1">
      <alignment horizontal="center" wrapText="1"/>
    </xf>
    <xf numFmtId="0" fontId="29" fillId="0" borderId="158" xfId="0" applyFont="1" applyBorder="1" applyAlignment="1">
      <alignment horizontal="center" wrapText="1"/>
    </xf>
    <xf numFmtId="0" fontId="29" fillId="0" borderId="351" xfId="0" applyFont="1" applyBorder="1" applyAlignment="1">
      <alignment horizontal="center" wrapText="1"/>
    </xf>
    <xf numFmtId="0" fontId="29" fillId="0" borderId="38" xfId="0" applyFont="1" applyBorder="1"/>
    <xf numFmtId="0" fontId="29" fillId="0" borderId="39" xfId="0" applyFont="1" applyBorder="1"/>
    <xf numFmtId="0" fontId="29" fillId="0" borderId="98" xfId="0" applyFont="1" applyBorder="1"/>
    <xf numFmtId="0" fontId="29" fillId="27" borderId="38" xfId="0" applyFont="1" applyFill="1" applyBorder="1" applyProtection="1">
      <protection locked="0"/>
    </xf>
    <xf numFmtId="0" fontId="29" fillId="27" borderId="278" xfId="0" applyFont="1" applyFill="1" applyBorder="1" applyProtection="1">
      <protection locked="0"/>
    </xf>
    <xf numFmtId="0" fontId="29" fillId="27" borderId="49" xfId="0" applyFont="1" applyFill="1" applyBorder="1" applyProtection="1">
      <protection locked="0"/>
    </xf>
    <xf numFmtId="0" fontId="29" fillId="27" borderId="355" xfId="0" applyFont="1" applyFill="1" applyBorder="1" applyProtection="1">
      <protection locked="0"/>
    </xf>
    <xf numFmtId="0" fontId="29" fillId="27" borderId="356" xfId="0" applyFont="1" applyFill="1" applyBorder="1" applyProtection="1">
      <protection locked="0"/>
    </xf>
    <xf numFmtId="0" fontId="29" fillId="27" borderId="357" xfId="0" applyFont="1" applyFill="1" applyBorder="1" applyProtection="1">
      <protection locked="0"/>
    </xf>
    <xf numFmtId="0" fontId="29" fillId="27" borderId="358" xfId="0" applyFont="1" applyFill="1" applyBorder="1" applyProtection="1">
      <protection locked="0"/>
    </xf>
    <xf numFmtId="0" fontId="29" fillId="27" borderId="48" xfId="0" applyFont="1" applyFill="1" applyBorder="1" applyProtection="1">
      <protection locked="0"/>
    </xf>
    <xf numFmtId="0" fontId="30" fillId="13" borderId="0" xfId="0" applyFont="1" applyFill="1"/>
    <xf numFmtId="0" fontId="29" fillId="0" borderId="100" xfId="0" applyFont="1" applyBorder="1"/>
    <xf numFmtId="0" fontId="29" fillId="0" borderId="65" xfId="0" applyFont="1" applyBorder="1"/>
    <xf numFmtId="0" fontId="29" fillId="0" borderId="49" xfId="0" applyFont="1" applyBorder="1"/>
    <xf numFmtId="0" fontId="29" fillId="27" borderId="64" xfId="0" applyFont="1" applyFill="1" applyBorder="1" applyProtection="1">
      <protection locked="0"/>
    </xf>
    <xf numFmtId="0" fontId="29" fillId="27" borderId="283" xfId="0" applyFont="1" applyFill="1" applyBorder="1" applyProtection="1">
      <protection locked="0"/>
    </xf>
    <xf numFmtId="0" fontId="29" fillId="27" borderId="280" xfId="0" applyFont="1" applyFill="1" applyBorder="1" applyProtection="1">
      <protection locked="0"/>
    </xf>
    <xf numFmtId="0" fontId="29" fillId="27" borderId="103" xfId="0" applyFont="1" applyFill="1" applyBorder="1" applyProtection="1">
      <protection locked="0"/>
    </xf>
    <xf numFmtId="0" fontId="29" fillId="27" borderId="359" xfId="0" applyFont="1" applyFill="1" applyBorder="1" applyProtection="1">
      <protection locked="0"/>
    </xf>
    <xf numFmtId="0" fontId="29" fillId="0" borderId="64" xfId="0" applyFont="1" applyBorder="1"/>
    <xf numFmtId="0" fontId="29" fillId="0" borderId="80" xfId="0" applyFont="1" applyBorder="1"/>
    <xf numFmtId="0" fontId="29" fillId="0" borderId="76" xfId="0" applyFont="1" applyBorder="1"/>
    <xf numFmtId="0" fontId="29" fillId="0" borderId="62" xfId="0" applyFont="1" applyBorder="1"/>
    <xf numFmtId="0" fontId="29" fillId="27" borderId="80" xfId="0" applyFont="1" applyFill="1" applyBorder="1" applyProtection="1">
      <protection locked="0"/>
    </xf>
    <xf numFmtId="0" fontId="29" fillId="27" borderId="276" xfId="0" applyFont="1" applyFill="1" applyBorder="1" applyProtection="1">
      <protection locked="0"/>
    </xf>
    <xf numFmtId="0" fontId="29" fillId="27" borderId="36" xfId="0" applyFont="1" applyFill="1" applyBorder="1" applyProtection="1">
      <protection locked="0"/>
    </xf>
    <xf numFmtId="0" fontId="29" fillId="27" borderId="53" xfId="0" applyFont="1" applyFill="1" applyBorder="1" applyProtection="1">
      <protection locked="0"/>
    </xf>
    <xf numFmtId="0" fontId="29" fillId="27" borderId="319" xfId="0" applyFont="1" applyFill="1" applyBorder="1" applyProtection="1">
      <protection locked="0"/>
    </xf>
    <xf numFmtId="0" fontId="29" fillId="27" borderId="360" xfId="0" applyFont="1" applyFill="1" applyBorder="1" applyProtection="1">
      <protection locked="0"/>
    </xf>
    <xf numFmtId="0" fontId="29" fillId="27" borderId="361" xfId="0" applyFont="1" applyFill="1" applyBorder="1" applyProtection="1">
      <protection locked="0"/>
    </xf>
    <xf numFmtId="0" fontId="29" fillId="27" borderId="362" xfId="0" applyFont="1" applyFill="1" applyBorder="1" applyProtection="1">
      <protection locked="0"/>
    </xf>
    <xf numFmtId="0" fontId="29" fillId="27" borderId="363" xfId="0" applyFont="1" applyFill="1" applyBorder="1" applyProtection="1">
      <protection locked="0"/>
    </xf>
    <xf numFmtId="0" fontId="29" fillId="27" borderId="351" xfId="0" applyFont="1" applyFill="1" applyBorder="1" applyProtection="1">
      <protection locked="0"/>
    </xf>
    <xf numFmtId="0" fontId="29" fillId="27" borderId="14" xfId="0" applyFont="1" applyFill="1" applyBorder="1" applyProtection="1">
      <protection locked="0"/>
    </xf>
    <xf numFmtId="1" fontId="29" fillId="11" borderId="6" xfId="0" applyNumberFormat="1" applyFont="1" applyFill="1" applyBorder="1" applyAlignment="1">
      <alignment horizontal="center" vertical="center" wrapText="1"/>
    </xf>
    <xf numFmtId="1" fontId="29" fillId="11" borderId="8" xfId="0" applyNumberFormat="1" applyFont="1" applyFill="1" applyBorder="1" applyAlignment="1">
      <alignment horizontal="center" vertical="center" wrapText="1"/>
    </xf>
    <xf numFmtId="1" fontId="29" fillId="11" borderId="7" xfId="0" applyNumberFormat="1" applyFont="1" applyFill="1" applyBorder="1" applyAlignment="1">
      <alignment horizontal="center" vertical="center" wrapText="1"/>
    </xf>
    <xf numFmtId="1" fontId="29" fillId="11" borderId="2" xfId="0" applyNumberFormat="1" applyFont="1" applyFill="1" applyBorder="1" applyAlignment="1">
      <alignment horizontal="center" vertical="center" wrapText="1"/>
    </xf>
    <xf numFmtId="1" fontId="29" fillId="7" borderId="7" xfId="0" applyNumberFormat="1" applyFont="1" applyFill="1" applyBorder="1" applyAlignment="1">
      <alignment horizontal="center" vertical="center" wrapText="1"/>
    </xf>
    <xf numFmtId="1" fontId="29" fillId="0" borderId="0" xfId="0" applyNumberFormat="1" applyFont="1" applyAlignment="1">
      <alignment horizontal="center" vertical="center" wrapText="1"/>
    </xf>
    <xf numFmtId="1" fontId="29" fillId="0" borderId="11" xfId="0" applyNumberFormat="1" applyFont="1" applyBorder="1" applyAlignment="1">
      <alignment horizontal="center" vertical="center" wrapText="1"/>
    </xf>
    <xf numFmtId="1" fontId="29" fillId="0" borderId="158" xfId="0" applyNumberFormat="1" applyFont="1" applyBorder="1" applyAlignment="1">
      <alignment horizontal="center" vertical="center" wrapText="1"/>
    </xf>
    <xf numFmtId="1" fontId="29" fillId="0" borderId="133" xfId="0" applyNumberFormat="1" applyFont="1" applyBorder="1" applyAlignment="1">
      <alignment horizontal="center" vertical="center" wrapText="1"/>
    </xf>
    <xf numFmtId="1" fontId="29" fillId="0" borderId="112" xfId="0" applyNumberFormat="1" applyFont="1" applyBorder="1"/>
    <xf numFmtId="1" fontId="29" fillId="6" borderId="43" xfId="0" applyNumberFormat="1" applyFont="1" applyFill="1" applyBorder="1" applyProtection="1">
      <protection locked="0"/>
    </xf>
    <xf numFmtId="1" fontId="29" fillId="6" borderId="157" xfId="0" applyNumberFormat="1" applyFont="1" applyFill="1" applyBorder="1" applyProtection="1">
      <protection locked="0"/>
    </xf>
    <xf numFmtId="1" fontId="29" fillId="6" borderId="138" xfId="0" applyNumberFormat="1" applyFont="1" applyFill="1" applyBorder="1" applyProtection="1">
      <protection locked="0"/>
    </xf>
    <xf numFmtId="1" fontId="29" fillId="6" borderId="89" xfId="0" applyNumberFormat="1" applyFont="1" applyFill="1" applyBorder="1" applyProtection="1">
      <protection locked="0"/>
    </xf>
    <xf numFmtId="1" fontId="29" fillId="0" borderId="116" xfId="0" applyNumberFormat="1" applyFont="1" applyBorder="1"/>
    <xf numFmtId="1" fontId="29" fillId="6" borderId="180" xfId="0" applyNumberFormat="1" applyFont="1" applyFill="1" applyBorder="1" applyProtection="1">
      <protection locked="0"/>
    </xf>
    <xf numFmtId="1" fontId="29" fillId="6" borderId="271" xfId="0" applyNumberFormat="1" applyFont="1" applyFill="1" applyBorder="1" applyProtection="1">
      <protection locked="0"/>
    </xf>
    <xf numFmtId="1" fontId="29" fillId="6" borderId="128" xfId="0" applyNumberFormat="1" applyFont="1" applyFill="1" applyBorder="1" applyProtection="1">
      <protection locked="0"/>
    </xf>
    <xf numFmtId="1" fontId="29" fillId="0" borderId="80" xfId="0" applyNumberFormat="1" applyFont="1" applyBorder="1"/>
    <xf numFmtId="1" fontId="29" fillId="0" borderId="121" xfId="0" applyNumberFormat="1" applyFont="1" applyBorder="1"/>
    <xf numFmtId="1" fontId="29" fillId="6" borderId="56" xfId="0" applyNumberFormat="1" applyFont="1" applyFill="1" applyBorder="1" applyProtection="1">
      <protection locked="0"/>
    </xf>
    <xf numFmtId="1" fontId="29" fillId="6" borderId="181" xfId="0" applyNumberFormat="1" applyFont="1" applyFill="1" applyBorder="1" applyProtection="1">
      <protection locked="0"/>
    </xf>
    <xf numFmtId="1" fontId="29" fillId="14" borderId="80" xfId="0" applyNumberFormat="1" applyFont="1" applyFill="1" applyBorder="1"/>
    <xf numFmtId="1" fontId="29" fillId="14" borderId="36" xfId="0" applyNumberFormat="1" applyFont="1" applyFill="1" applyBorder="1"/>
    <xf numFmtId="1" fontId="29" fillId="6" borderId="127" xfId="0" applyNumberFormat="1" applyFont="1" applyFill="1" applyBorder="1" applyProtection="1">
      <protection locked="0"/>
    </xf>
    <xf numFmtId="1" fontId="32" fillId="0" borderId="0" xfId="0" applyNumberFormat="1" applyFont="1" applyAlignment="1">
      <alignment wrapText="1"/>
    </xf>
    <xf numFmtId="1" fontId="29" fillId="0" borderId="164" xfId="0" applyNumberFormat="1" applyFont="1" applyBorder="1" applyAlignment="1">
      <alignment horizontal="center" vertical="center"/>
    </xf>
    <xf numFmtId="1" fontId="29" fillId="0" borderId="7" xfId="0" applyNumberFormat="1" applyFont="1" applyBorder="1" applyAlignment="1">
      <alignment wrapText="1"/>
    </xf>
    <xf numFmtId="1" fontId="29" fillId="7" borderId="10" xfId="146" applyNumberFormat="1" applyFont="1" applyFill="1" applyBorder="1"/>
    <xf numFmtId="1" fontId="29" fillId="7" borderId="11" xfId="146" applyNumberFormat="1" applyFont="1" applyFill="1" applyBorder="1"/>
    <xf numFmtId="1" fontId="29" fillId="7" borderId="364" xfId="146" applyNumberFormat="1" applyFont="1" applyFill="1" applyBorder="1"/>
    <xf numFmtId="1" fontId="29" fillId="0" borderId="89" xfId="0" applyNumberFormat="1" applyFont="1" applyBorder="1" applyAlignment="1">
      <alignment wrapText="1"/>
    </xf>
    <xf numFmtId="1" fontId="29" fillId="0" borderId="98" xfId="0" applyNumberFormat="1" applyFont="1" applyBorder="1" applyAlignment="1">
      <alignment wrapText="1"/>
    </xf>
    <xf numFmtId="1" fontId="29" fillId="7" borderId="38" xfId="146" applyNumberFormat="1" applyFont="1" applyFill="1" applyBorder="1"/>
    <xf numFmtId="1" fontId="29" fillId="7" borderId="41" xfId="146" applyNumberFormat="1" applyFont="1" applyFill="1" applyBorder="1"/>
    <xf numFmtId="1" fontId="29" fillId="7" borderId="365" xfId="146" applyNumberFormat="1" applyFont="1" applyFill="1" applyBorder="1"/>
    <xf numFmtId="1" fontId="29" fillId="6" borderId="112" xfId="0" applyNumberFormat="1" applyFont="1" applyFill="1" applyBorder="1" applyProtection="1">
      <protection locked="0"/>
    </xf>
    <xf numFmtId="1" fontId="29" fillId="7" borderId="100" xfId="146" applyNumberFormat="1" applyFont="1" applyFill="1" applyBorder="1"/>
    <xf numFmtId="1" fontId="29" fillId="7" borderId="101" xfId="146" applyNumberFormat="1" applyFont="1" applyFill="1" applyBorder="1"/>
    <xf numFmtId="1" fontId="29" fillId="7" borderId="366" xfId="146" applyNumberFormat="1" applyFont="1" applyFill="1" applyBorder="1"/>
    <xf numFmtId="1" fontId="29" fillId="6" borderId="116" xfId="0" applyNumberFormat="1" applyFont="1" applyFill="1" applyBorder="1" applyProtection="1">
      <protection locked="0"/>
    </xf>
    <xf numFmtId="1" fontId="29" fillId="7" borderId="52" xfId="146" applyNumberFormat="1" applyFont="1" applyFill="1" applyBorder="1"/>
    <xf numFmtId="1" fontId="29" fillId="7" borderId="54" xfId="146" applyNumberFormat="1" applyFont="1" applyFill="1" applyBorder="1"/>
    <xf numFmtId="1" fontId="29" fillId="7" borderId="367" xfId="146" applyNumberFormat="1" applyFont="1" applyFill="1" applyBorder="1"/>
    <xf numFmtId="1" fontId="29" fillId="6" borderId="121" xfId="0" applyNumberFormat="1" applyFont="1" applyFill="1" applyBorder="1" applyProtection="1">
      <protection locked="0"/>
    </xf>
    <xf numFmtId="1" fontId="31" fillId="7" borderId="162" xfId="0" applyNumberFormat="1" applyFont="1" applyFill="1" applyBorder="1"/>
    <xf numFmtId="1" fontId="31" fillId="7" borderId="209" xfId="0" applyNumberFormat="1" applyFont="1" applyFill="1" applyBorder="1"/>
    <xf numFmtId="1" fontId="29" fillId="0" borderId="64" xfId="0" applyNumberFormat="1" applyFont="1" applyBorder="1"/>
    <xf numFmtId="1" fontId="29" fillId="0" borderId="40" xfId="0" applyNumberFormat="1" applyFont="1" applyBorder="1"/>
    <xf numFmtId="1" fontId="29" fillId="0" borderId="118" xfId="0" applyNumberFormat="1" applyFont="1" applyBorder="1"/>
    <xf numFmtId="1" fontId="29" fillId="0" borderId="101" xfId="0" applyNumberFormat="1" applyFont="1" applyBorder="1"/>
    <xf numFmtId="1" fontId="29" fillId="0" borderId="99" xfId="0" applyNumberFormat="1" applyFont="1" applyBorder="1" applyAlignment="1">
      <alignment wrapText="1"/>
    </xf>
    <xf numFmtId="1" fontId="29" fillId="6" borderId="171" xfId="0" applyNumberFormat="1" applyFont="1" applyFill="1" applyBorder="1" applyProtection="1">
      <protection locked="0"/>
    </xf>
    <xf numFmtId="1" fontId="29" fillId="6" borderId="170" xfId="0" applyNumberFormat="1" applyFont="1" applyFill="1" applyBorder="1" applyProtection="1">
      <protection locked="0"/>
    </xf>
    <xf numFmtId="1" fontId="29" fillId="0" borderId="86" xfId="0" applyNumberFormat="1" applyFont="1" applyBorder="1" applyAlignment="1">
      <alignment wrapText="1"/>
    </xf>
    <xf numFmtId="1" fontId="29" fillId="0" borderId="71" xfId="0" applyNumberFormat="1" applyFont="1" applyBorder="1"/>
    <xf numFmtId="1" fontId="29" fillId="0" borderId="78" xfId="0" applyNumberFormat="1" applyFont="1" applyBorder="1"/>
    <xf numFmtId="1" fontId="29" fillId="0" borderId="167" xfId="0" applyNumberFormat="1" applyFont="1" applyBorder="1"/>
    <xf numFmtId="1" fontId="29" fillId="32" borderId="52" xfId="0" applyNumberFormat="1" applyFont="1" applyFill="1" applyBorder="1"/>
    <xf numFmtId="1" fontId="29" fillId="32" borderId="62" xfId="0" applyNumberFormat="1" applyFont="1" applyFill="1" applyBorder="1"/>
    <xf numFmtId="1" fontId="32" fillId="0" borderId="294" xfId="0" applyNumberFormat="1" applyFont="1" applyBorder="1"/>
    <xf numFmtId="1" fontId="29" fillId="0" borderId="21" xfId="0" applyNumberFormat="1" applyFont="1" applyBorder="1" applyAlignment="1">
      <alignment horizontal="center" vertical="center" wrapText="1"/>
    </xf>
    <xf numFmtId="1" fontId="29" fillId="0" borderId="22" xfId="0" applyNumberFormat="1" applyFont="1" applyBorder="1" applyAlignment="1">
      <alignment horizontal="center" vertical="center" wrapText="1"/>
    </xf>
    <xf numFmtId="1" fontId="29" fillId="0" borderId="212" xfId="0" applyNumberFormat="1" applyFont="1" applyBorder="1" applyAlignment="1">
      <alignment horizontal="center" vertical="center" wrapText="1"/>
    </xf>
    <xf numFmtId="1" fontId="29" fillId="0" borderId="30" xfId="0" applyNumberFormat="1" applyFont="1" applyBorder="1" applyAlignment="1">
      <alignment horizontal="center" vertical="center" wrapText="1"/>
    </xf>
    <xf numFmtId="1" fontId="29" fillId="0" borderId="31" xfId="0" applyNumberFormat="1" applyFont="1" applyBorder="1" applyAlignment="1">
      <alignment horizontal="center" vertical="center" wrapText="1"/>
    </xf>
    <xf numFmtId="1" fontId="29" fillId="0" borderId="156" xfId="0" applyNumberFormat="1" applyFont="1" applyBorder="1" applyAlignment="1">
      <alignment horizontal="center" vertical="center" wrapText="1"/>
    </xf>
    <xf numFmtId="1" fontId="29" fillId="6" borderId="113" xfId="0" applyNumberFormat="1" applyFont="1" applyFill="1" applyBorder="1" applyProtection="1">
      <protection locked="0"/>
    </xf>
    <xf numFmtId="0" fontId="0" fillId="16" borderId="0" xfId="0" applyFill="1"/>
    <xf numFmtId="1" fontId="29" fillId="6" borderId="117" xfId="0" applyNumberFormat="1" applyFont="1" applyFill="1" applyBorder="1" applyProtection="1">
      <protection locked="0"/>
    </xf>
    <xf numFmtId="1" fontId="29" fillId="6" borderId="314" xfId="0" applyNumberFormat="1" applyFont="1" applyFill="1" applyBorder="1" applyProtection="1">
      <protection locked="0"/>
    </xf>
    <xf numFmtId="1" fontId="29" fillId="6" borderId="77" xfId="0" applyNumberFormat="1" applyFont="1" applyFill="1" applyBorder="1" applyProtection="1">
      <protection locked="0"/>
    </xf>
    <xf numFmtId="1" fontId="29" fillId="6" borderId="78" xfId="0" applyNumberFormat="1" applyFont="1" applyFill="1" applyBorder="1" applyProtection="1">
      <protection locked="0"/>
    </xf>
    <xf numFmtId="1" fontId="29" fillId="0" borderId="54" xfId="0" applyNumberFormat="1" applyFont="1" applyBorder="1"/>
    <xf numFmtId="1" fontId="29" fillId="6" borderId="57" xfId="0" applyNumberFormat="1" applyFont="1" applyFill="1" applyBorder="1" applyProtection="1">
      <protection locked="0"/>
    </xf>
    <xf numFmtId="1" fontId="29" fillId="0" borderId="2" xfId="0" applyNumberFormat="1" applyFont="1" applyBorder="1" applyAlignment="1">
      <alignment horizontal="center"/>
    </xf>
    <xf numFmtId="1" fontId="29" fillId="0" borderId="41" xfId="0" applyNumberFormat="1" applyFont="1" applyBorder="1"/>
    <xf numFmtId="1" fontId="29" fillId="0" borderId="171" xfId="0" applyNumberFormat="1" applyFont="1" applyBorder="1"/>
    <xf numFmtId="1" fontId="29" fillId="0" borderId="16" xfId="0" applyNumberFormat="1" applyFont="1" applyBorder="1"/>
    <xf numFmtId="1" fontId="29" fillId="0" borderId="36" xfId="0" applyNumberFormat="1" applyFont="1" applyBorder="1"/>
    <xf numFmtId="1" fontId="29" fillId="0" borderId="31" xfId="0" applyNumberFormat="1" applyFont="1" applyBorder="1"/>
    <xf numFmtId="1" fontId="29" fillId="6" borderId="156" xfId="0" applyNumberFormat="1" applyFont="1" applyFill="1" applyBorder="1" applyProtection="1">
      <protection locked="0"/>
    </xf>
    <xf numFmtId="1" fontId="29" fillId="6" borderId="30" xfId="0" applyNumberFormat="1" applyFont="1" applyFill="1" applyBorder="1" applyProtection="1">
      <protection locked="0"/>
    </xf>
    <xf numFmtId="1" fontId="32" fillId="0" borderId="8" xfId="0" applyNumberFormat="1" applyFont="1" applyBorder="1"/>
    <xf numFmtId="1" fontId="32" fillId="0" borderId="368" xfId="0" applyNumberFormat="1" applyFont="1" applyBorder="1"/>
    <xf numFmtId="1" fontId="29" fillId="6" borderId="67" xfId="0" applyNumberFormat="1" applyFont="1" applyFill="1" applyBorder="1" applyProtection="1">
      <protection locked="0"/>
    </xf>
    <xf numFmtId="1" fontId="29" fillId="0" borderId="86" xfId="0" applyNumberFormat="1" applyFont="1" applyBorder="1" applyAlignment="1" applyProtection="1">
      <alignment wrapText="1"/>
      <protection hidden="1"/>
    </xf>
    <xf numFmtId="0" fontId="47" fillId="0" borderId="0" xfId="0" applyFont="1"/>
    <xf numFmtId="1" fontId="29" fillId="0" borderId="49" xfId="0" applyNumberFormat="1" applyFont="1" applyBorder="1"/>
    <xf numFmtId="1" fontId="29" fillId="0" borderId="86" xfId="0" applyNumberFormat="1" applyFont="1" applyBorder="1"/>
    <xf numFmtId="1" fontId="29" fillId="0" borderId="156" xfId="0" applyNumberFormat="1" applyFont="1" applyBorder="1"/>
    <xf numFmtId="1" fontId="29" fillId="0" borderId="130" xfId="0" applyNumberFormat="1" applyFont="1" applyBorder="1"/>
    <xf numFmtId="1" fontId="29" fillId="0" borderId="135" xfId="0" applyNumberFormat="1" applyFont="1" applyBorder="1" applyAlignment="1">
      <alignment horizontal="center" vertical="center" wrapText="1"/>
    </xf>
    <xf numFmtId="1" fontId="29" fillId="0" borderId="136" xfId="0" applyNumberFormat="1" applyFont="1" applyBorder="1" applyAlignment="1">
      <alignment horizontal="center" vertical="center" wrapText="1"/>
    </xf>
    <xf numFmtId="1" fontId="29" fillId="0" borderId="38" xfId="0" applyNumberFormat="1" applyFont="1" applyBorder="1" applyAlignment="1">
      <alignment horizontal="right" vertical="center" wrapText="1"/>
    </xf>
    <xf numFmtId="1" fontId="29" fillId="0" borderId="41" xfId="0" applyNumberFormat="1" applyFont="1" applyBorder="1" applyAlignment="1">
      <alignment horizontal="right"/>
    </xf>
    <xf numFmtId="1" fontId="29" fillId="0" borderId="98" xfId="0" applyNumberFormat="1" applyFont="1" applyBorder="1" applyAlignment="1">
      <alignment horizontal="right"/>
    </xf>
    <xf numFmtId="1" fontId="29" fillId="0" borderId="100" xfId="0" applyNumberFormat="1" applyFont="1" applyBorder="1" applyAlignment="1">
      <alignment horizontal="right"/>
    </xf>
    <xf numFmtId="1" fontId="29" fillId="0" borderId="101" xfId="0" applyNumberFormat="1" applyFont="1" applyBorder="1" applyAlignment="1">
      <alignment horizontal="right"/>
    </xf>
    <xf numFmtId="1" fontId="29" fillId="0" borderId="103" xfId="0" applyNumberFormat="1" applyFont="1" applyBorder="1" applyAlignment="1">
      <alignment horizontal="right"/>
    </xf>
    <xf numFmtId="1" fontId="29" fillId="0" borderId="71" xfId="0" applyNumberFormat="1" applyFont="1" applyBorder="1" applyAlignment="1">
      <alignment horizontal="right"/>
    </xf>
    <xf numFmtId="1" fontId="29" fillId="0" borderId="78" xfId="0" applyNumberFormat="1" applyFont="1" applyBorder="1" applyAlignment="1">
      <alignment horizontal="right"/>
    </xf>
    <xf numFmtId="1" fontId="29" fillId="0" borderId="171" xfId="0" applyNumberFormat="1" applyFont="1" applyBorder="1" applyAlignment="1">
      <alignment horizontal="right"/>
    </xf>
    <xf numFmtId="1" fontId="29" fillId="0" borderId="10" xfId="0" applyNumberFormat="1" applyFont="1" applyBorder="1" applyAlignment="1">
      <alignment horizontal="right"/>
    </xf>
    <xf numFmtId="1" fontId="29" fillId="0" borderId="11" xfId="0" applyNumberFormat="1" applyFont="1" applyBorder="1" applyAlignment="1">
      <alignment horizontal="right"/>
    </xf>
    <xf numFmtId="1" fontId="29" fillId="0" borderId="7" xfId="0" applyNumberFormat="1" applyFont="1" applyBorder="1" applyAlignment="1">
      <alignment horizontal="right"/>
    </xf>
    <xf numFmtId="1" fontId="29" fillId="0" borderId="8" xfId="0" applyNumberFormat="1" applyFont="1" applyBorder="1" applyAlignment="1">
      <alignment horizontal="right"/>
    </xf>
    <xf numFmtId="1" fontId="29" fillId="0" borderId="136" xfId="0" applyNumberFormat="1" applyFont="1" applyBorder="1" applyAlignment="1">
      <alignment horizontal="right"/>
    </xf>
    <xf numFmtId="1" fontId="29" fillId="0" borderId="20" xfId="0" applyNumberFormat="1" applyFont="1" applyBorder="1" applyAlignment="1">
      <alignment horizontal="right"/>
    </xf>
    <xf numFmtId="1" fontId="29" fillId="0" borderId="135" xfId="0" applyNumberFormat="1" applyFont="1" applyBorder="1" applyAlignment="1">
      <alignment horizontal="right"/>
    </xf>
    <xf numFmtId="1" fontId="29" fillId="0" borderId="2" xfId="0" applyNumberFormat="1" applyFont="1" applyBorder="1" applyAlignment="1">
      <alignment horizontal="right"/>
    </xf>
    <xf numFmtId="1" fontId="29" fillId="0" borderId="64" xfId="0" applyNumberFormat="1" applyFont="1" applyBorder="1" applyAlignment="1">
      <alignment horizontal="right"/>
    </xf>
    <xf numFmtId="1" fontId="29" fillId="0" borderId="40" xfId="0" applyNumberFormat="1" applyFont="1" applyBorder="1" applyAlignment="1">
      <alignment horizontal="right"/>
    </xf>
    <xf numFmtId="1" fontId="29" fillId="0" borderId="49" xfId="0" applyNumberFormat="1" applyFont="1" applyBorder="1" applyAlignment="1">
      <alignment horizontal="right"/>
    </xf>
    <xf numFmtId="1" fontId="29" fillId="6" borderId="44" xfId="0" applyNumberFormat="1" applyFont="1" applyFill="1" applyBorder="1" applyProtection="1">
      <protection locked="0"/>
    </xf>
    <xf numFmtId="1" fontId="29" fillId="0" borderId="80" xfId="0" applyNumberFormat="1" applyFont="1" applyBorder="1" applyAlignment="1">
      <alignment horizontal="right"/>
    </xf>
    <xf numFmtId="1" fontId="29" fillId="0" borderId="31" xfId="0" applyNumberFormat="1" applyFont="1" applyBorder="1" applyAlignment="1">
      <alignment horizontal="right"/>
    </xf>
    <xf numFmtId="1" fontId="29" fillId="0" borderId="36" xfId="0" applyNumberFormat="1" applyFont="1" applyBorder="1" applyAlignment="1">
      <alignment horizontal="right"/>
    </xf>
    <xf numFmtId="1" fontId="29" fillId="0" borderId="14" xfId="0" applyNumberFormat="1" applyFont="1" applyBorder="1" applyAlignment="1">
      <alignment horizontal="right"/>
    </xf>
    <xf numFmtId="1" fontId="29" fillId="0" borderId="30" xfId="0" applyNumberFormat="1" applyFont="1" applyBorder="1" applyAlignment="1">
      <alignment horizontal="right"/>
    </xf>
    <xf numFmtId="1" fontId="29" fillId="0" borderId="156" xfId="0" applyNumberFormat="1" applyFont="1" applyBorder="1" applyAlignment="1">
      <alignment horizontal="right"/>
    </xf>
    <xf numFmtId="1" fontId="29" fillId="0" borderId="130" xfId="0" applyNumberFormat="1" applyFont="1" applyBorder="1" applyAlignment="1">
      <alignment horizontal="right"/>
    </xf>
    <xf numFmtId="1" fontId="29" fillId="0" borderId="15" xfId="0" applyNumberFormat="1" applyFont="1" applyBorder="1" applyAlignment="1">
      <alignment horizontal="right"/>
    </xf>
    <xf numFmtId="1" fontId="29" fillId="14" borderId="100" xfId="0" applyNumberFormat="1" applyFont="1" applyFill="1" applyBorder="1"/>
    <xf numFmtId="1" fontId="29" fillId="14" borderId="103" xfId="0" applyNumberFormat="1" applyFont="1" applyFill="1" applyBorder="1"/>
    <xf numFmtId="1" fontId="29" fillId="14" borderId="52" xfId="0" applyNumberFormat="1" applyFont="1" applyFill="1" applyBorder="1"/>
    <xf numFmtId="1" fontId="29" fillId="14" borderId="62" xfId="0" applyNumberFormat="1" applyFont="1" applyFill="1" applyBorder="1"/>
    <xf numFmtId="1" fontId="29" fillId="0" borderId="92" xfId="0" applyNumberFormat="1" applyFont="1" applyBorder="1"/>
    <xf numFmtId="1" fontId="29" fillId="6" borderId="166" xfId="0" applyNumberFormat="1" applyFont="1" applyFill="1" applyBorder="1" applyProtection="1">
      <protection locked="0"/>
    </xf>
    <xf numFmtId="1" fontId="29" fillId="6" borderId="118" xfId="0" applyNumberFormat="1" applyFont="1" applyFill="1" applyBorder="1" applyProtection="1">
      <protection locked="0"/>
    </xf>
    <xf numFmtId="1" fontId="29" fillId="6" borderId="0" xfId="0" applyNumberFormat="1" applyFont="1" applyFill="1" applyProtection="1">
      <protection locked="0"/>
    </xf>
    <xf numFmtId="1" fontId="29" fillId="6" borderId="13" xfId="0" applyNumberFormat="1" applyFont="1" applyFill="1" applyBorder="1" applyProtection="1">
      <protection locked="0"/>
    </xf>
    <xf numFmtId="1" fontId="29" fillId="0" borderId="64" xfId="0" applyNumberFormat="1" applyFont="1" applyBorder="1" applyAlignment="1">
      <alignment horizontal="right" vertical="center" wrapText="1"/>
    </xf>
    <xf numFmtId="1" fontId="29" fillId="0" borderId="52" xfId="0" applyNumberFormat="1" applyFont="1" applyBorder="1" applyAlignment="1">
      <alignment horizontal="right"/>
    </xf>
    <xf numFmtId="1" fontId="29" fillId="0" borderId="54" xfId="0" applyNumberFormat="1" applyFont="1" applyBorder="1" applyAlignment="1">
      <alignment horizontal="right"/>
    </xf>
    <xf numFmtId="1" fontId="29" fillId="0" borderId="62" xfId="0" applyNumberFormat="1" applyFont="1" applyBorder="1" applyAlignment="1">
      <alignment horizontal="right"/>
    </xf>
    <xf numFmtId="1" fontId="32" fillId="0" borderId="0" xfId="0" applyNumberFormat="1" applyFont="1" applyAlignment="1">
      <alignment vertical="top" wrapText="1"/>
    </xf>
    <xf numFmtId="1" fontId="29" fillId="0" borderId="37" xfId="0" applyNumberFormat="1" applyFont="1" applyBorder="1" applyAlignment="1">
      <alignment horizontal="center" vertical="center" wrapText="1"/>
    </xf>
    <xf numFmtId="1" fontId="29" fillId="0" borderId="36" xfId="0" applyNumberFormat="1" applyFont="1" applyBorder="1" applyAlignment="1">
      <alignment horizontal="center" vertical="center"/>
    </xf>
    <xf numFmtId="1" fontId="29" fillId="0" borderId="351" xfId="0" applyNumberFormat="1" applyFont="1" applyBorder="1" applyAlignment="1">
      <alignment horizontal="center" vertical="center"/>
    </xf>
    <xf numFmtId="1" fontId="29" fillId="0" borderId="51" xfId="0" applyNumberFormat="1" applyFont="1" applyBorder="1" applyAlignment="1">
      <alignment horizontal="center" vertical="center" wrapText="1"/>
    </xf>
    <xf numFmtId="1" fontId="29" fillId="0" borderId="76" xfId="0" applyNumberFormat="1" applyFont="1" applyBorder="1" applyAlignment="1">
      <alignment horizontal="center" vertical="center" wrapText="1"/>
    </xf>
    <xf numFmtId="1" fontId="31" fillId="0" borderId="8" xfId="0" applyNumberFormat="1" applyFont="1" applyBorder="1"/>
    <xf numFmtId="1" fontId="29" fillId="0" borderId="10" xfId="0" applyNumberFormat="1" applyFont="1" applyBorder="1" applyAlignment="1">
      <alignment wrapText="1"/>
    </xf>
    <xf numFmtId="1" fontId="29" fillId="0" borderId="11" xfId="0" applyNumberFormat="1" applyFont="1" applyBorder="1" applyAlignment="1">
      <alignment wrapText="1"/>
    </xf>
    <xf numFmtId="1" fontId="29" fillId="0" borderId="50" xfId="0" applyNumberFormat="1" applyFont="1" applyBorder="1" applyAlignment="1">
      <alignment wrapText="1"/>
    </xf>
    <xf numFmtId="1" fontId="29" fillId="6" borderId="12" xfId="0" applyNumberFormat="1" applyFont="1" applyFill="1" applyBorder="1" applyProtection="1">
      <protection locked="0"/>
    </xf>
    <xf numFmtId="1" fontId="32" fillId="15" borderId="6" xfId="0" applyNumberFormat="1" applyFont="1" applyFill="1" applyBorder="1" applyAlignment="1">
      <alignment horizontal="center"/>
    </xf>
    <xf numFmtId="1" fontId="32" fillId="15" borderId="8" xfId="0" applyNumberFormat="1" applyFont="1" applyFill="1" applyBorder="1" applyAlignment="1">
      <alignment horizontal="center"/>
    </xf>
    <xf numFmtId="1" fontId="32" fillId="15" borderId="2" xfId="0" applyNumberFormat="1" applyFont="1" applyFill="1" applyBorder="1" applyAlignment="1">
      <alignment horizontal="center"/>
    </xf>
    <xf numFmtId="1" fontId="32" fillId="15" borderId="7" xfId="0" applyNumberFormat="1" applyFont="1" applyFill="1" applyBorder="1" applyAlignment="1">
      <alignment horizontal="center"/>
    </xf>
    <xf numFmtId="1" fontId="29" fillId="0" borderId="38" xfId="0" applyNumberFormat="1" applyFont="1" applyBorder="1" applyAlignment="1">
      <alignment wrapText="1"/>
    </xf>
    <xf numFmtId="1" fontId="29" fillId="0" borderId="41" xfId="0" applyNumberFormat="1" applyFont="1" applyBorder="1" applyAlignment="1">
      <alignment wrapText="1"/>
    </xf>
    <xf numFmtId="1" fontId="29" fillId="0" borderId="64" xfId="0" applyNumberFormat="1" applyFont="1" applyBorder="1" applyAlignment="1">
      <alignment wrapText="1"/>
    </xf>
    <xf numFmtId="1" fontId="29" fillId="0" borderId="40" xfId="0" applyNumberFormat="1" applyFont="1" applyBorder="1" applyAlignment="1">
      <alignment wrapText="1"/>
    </xf>
    <xf numFmtId="1" fontId="29" fillId="0" borderId="49" xfId="0" applyNumberFormat="1" applyFont="1" applyBorder="1" applyAlignment="1">
      <alignment wrapText="1"/>
    </xf>
    <xf numFmtId="1" fontId="29" fillId="6" borderId="65" xfId="0" applyNumberFormat="1" applyFont="1" applyFill="1" applyBorder="1" applyProtection="1">
      <protection locked="0"/>
    </xf>
    <xf numFmtId="1" fontId="29" fillId="0" borderId="80" xfId="0" applyNumberFormat="1" applyFont="1" applyBorder="1" applyAlignment="1">
      <alignment wrapText="1"/>
    </xf>
    <xf numFmtId="1" fontId="29" fillId="0" borderId="31" xfId="0" applyNumberFormat="1" applyFont="1" applyBorder="1" applyAlignment="1">
      <alignment wrapText="1"/>
    </xf>
    <xf numFmtId="1" fontId="29" fillId="0" borderId="36" xfId="0" applyNumberFormat="1" applyFont="1" applyBorder="1" applyAlignment="1">
      <alignment wrapText="1"/>
    </xf>
    <xf numFmtId="1" fontId="29" fillId="6" borderId="14" xfId="0" applyNumberFormat="1" applyFont="1" applyFill="1" applyBorder="1" applyProtection="1">
      <protection locked="0"/>
    </xf>
    <xf numFmtId="1" fontId="29" fillId="6" borderId="17" xfId="0" applyNumberFormat="1" applyFont="1" applyFill="1" applyBorder="1" applyProtection="1">
      <protection locked="0"/>
    </xf>
    <xf numFmtId="1" fontId="29" fillId="15" borderId="7" xfId="0" applyNumberFormat="1" applyFont="1" applyFill="1" applyBorder="1" applyAlignment="1">
      <alignment wrapText="1"/>
    </xf>
    <xf numFmtId="1" fontId="29" fillId="15" borderId="10" xfId="0" applyNumberFormat="1" applyFont="1" applyFill="1" applyBorder="1" applyAlignment="1">
      <alignment wrapText="1"/>
    </xf>
    <xf numFmtId="1" fontId="29" fillId="15" borderId="11" xfId="0" applyNumberFormat="1" applyFont="1" applyFill="1" applyBorder="1" applyAlignment="1">
      <alignment wrapText="1"/>
    </xf>
    <xf numFmtId="1" fontId="29" fillId="15" borderId="10" xfId="0" applyNumberFormat="1" applyFont="1" applyFill="1" applyBorder="1"/>
    <xf numFmtId="1" fontId="29" fillId="15" borderId="7" xfId="0" applyNumberFormat="1" applyFont="1" applyFill="1" applyBorder="1"/>
    <xf numFmtId="1" fontId="29" fillId="15" borderId="8" xfId="0" applyNumberFormat="1" applyFont="1" applyFill="1" applyBorder="1"/>
    <xf numFmtId="1" fontId="29" fillId="15" borderId="135" xfId="0" applyNumberFormat="1" applyFont="1" applyFill="1" applyBorder="1"/>
    <xf numFmtId="1" fontId="29" fillId="15" borderId="2" xfId="0" applyNumberFormat="1" applyFont="1" applyFill="1" applyBorder="1"/>
    <xf numFmtId="1" fontId="29" fillId="15" borderId="29" xfId="0" applyNumberFormat="1" applyFont="1" applyFill="1" applyBorder="1"/>
    <xf numFmtId="1" fontId="29" fillId="15" borderId="12" xfId="0" applyNumberFormat="1" applyFont="1" applyFill="1" applyBorder="1"/>
    <xf numFmtId="0" fontId="29" fillId="14" borderId="0" xfId="0" applyFont="1" applyFill="1"/>
    <xf numFmtId="0" fontId="30" fillId="14" borderId="0" xfId="0" applyFont="1" applyFill="1"/>
    <xf numFmtId="1" fontId="29" fillId="15" borderId="38" xfId="0" applyNumberFormat="1" applyFont="1" applyFill="1" applyBorder="1"/>
    <xf numFmtId="1" fontId="29" fillId="15" borderId="98" xfId="0" applyNumberFormat="1" applyFont="1" applyFill="1" applyBorder="1"/>
    <xf numFmtId="1" fontId="29" fillId="0" borderId="69" xfId="0" applyNumberFormat="1" applyFont="1" applyBorder="1" applyAlignment="1">
      <alignment wrapText="1"/>
    </xf>
    <xf numFmtId="1" fontId="29" fillId="0" borderId="70" xfId="0" applyNumberFormat="1" applyFont="1" applyBorder="1" applyAlignment="1">
      <alignment wrapText="1"/>
    </xf>
    <xf numFmtId="1" fontId="29" fillId="15" borderId="69" xfId="0" applyNumberFormat="1" applyFont="1" applyFill="1" applyBorder="1"/>
    <xf numFmtId="1" fontId="29" fillId="15" borderId="50" xfId="0" applyNumberFormat="1" applyFont="1" applyFill="1" applyBorder="1"/>
    <xf numFmtId="1" fontId="31" fillId="0" borderId="6" xfId="0" applyNumberFormat="1" applyFont="1" applyBorder="1"/>
    <xf numFmtId="1" fontId="29" fillId="6" borderId="122" xfId="0" applyNumberFormat="1" applyFont="1" applyFill="1" applyBorder="1" applyProtection="1">
      <protection locked="0"/>
    </xf>
    <xf numFmtId="1" fontId="29" fillId="0" borderId="100" xfId="0" applyNumberFormat="1" applyFont="1" applyBorder="1" applyAlignment="1">
      <alignment wrapText="1"/>
    </xf>
    <xf numFmtId="1" fontId="29" fillId="0" borderId="101" xfId="0" applyNumberFormat="1" applyFont="1" applyBorder="1" applyAlignment="1">
      <alignment wrapText="1"/>
    </xf>
    <xf numFmtId="1" fontId="29" fillId="6" borderId="167" xfId="0" applyNumberFormat="1" applyFont="1" applyFill="1" applyBorder="1" applyProtection="1">
      <protection locked="0"/>
    </xf>
    <xf numFmtId="1" fontId="29" fillId="0" borderId="78" xfId="0" applyNumberFormat="1" applyFont="1" applyBorder="1" applyAlignment="1">
      <alignment wrapText="1"/>
    </xf>
    <xf numFmtId="1" fontId="29" fillId="6" borderId="72" xfId="0" applyNumberFormat="1" applyFont="1" applyFill="1" applyBorder="1" applyProtection="1">
      <protection locked="0"/>
    </xf>
    <xf numFmtId="1" fontId="29" fillId="0" borderId="140" xfId="0" applyNumberFormat="1" applyFont="1" applyBorder="1" applyAlignment="1">
      <alignment wrapText="1"/>
    </xf>
    <xf numFmtId="1" fontId="29" fillId="14" borderId="70" xfId="0" applyNumberFormat="1" applyFont="1" applyFill="1" applyBorder="1"/>
    <xf numFmtId="1" fontId="29" fillId="18" borderId="100" xfId="0" applyNumberFormat="1" applyFont="1" applyFill="1" applyBorder="1"/>
    <xf numFmtId="1" fontId="29" fillId="18" borderId="103" xfId="0" applyNumberFormat="1" applyFont="1" applyFill="1" applyBorder="1"/>
    <xf numFmtId="1" fontId="29" fillId="18" borderId="140" xfId="0" applyNumberFormat="1" applyFont="1" applyFill="1" applyBorder="1"/>
    <xf numFmtId="1" fontId="29" fillId="18" borderId="139" xfId="0" applyNumberFormat="1" applyFont="1" applyFill="1" applyBorder="1"/>
    <xf numFmtId="1" fontId="29" fillId="14" borderId="131" xfId="0" applyNumberFormat="1" applyFont="1" applyFill="1" applyBorder="1"/>
    <xf numFmtId="1" fontId="29" fillId="18" borderId="0" xfId="0" applyNumberFormat="1" applyFont="1" applyFill="1"/>
    <xf numFmtId="0" fontId="29" fillId="15" borderId="0" xfId="0" applyFont="1" applyFill="1"/>
    <xf numFmtId="0" fontId="30" fillId="17" borderId="0" xfId="0" applyFont="1" applyFill="1"/>
    <xf numFmtId="1" fontId="29" fillId="0" borderId="48" xfId="32" applyNumberFormat="1" applyFont="1" applyBorder="1" applyAlignment="1">
      <alignment wrapText="1"/>
    </xf>
    <xf numFmtId="1" fontId="29" fillId="0" borderId="140" xfId="32" applyNumberFormat="1" applyFont="1" applyBorder="1" applyAlignment="1">
      <alignment wrapText="1"/>
    </xf>
    <xf numFmtId="1" fontId="29" fillId="0" borderId="197" xfId="32" applyNumberFormat="1" applyFont="1" applyBorder="1" applyAlignment="1">
      <alignment wrapText="1"/>
    </xf>
    <xf numFmtId="1" fontId="29" fillId="0" borderId="71" xfId="0" applyNumberFormat="1" applyFont="1" applyBorder="1" applyAlignment="1">
      <alignment wrapText="1"/>
    </xf>
    <xf numFmtId="1" fontId="29" fillId="0" borderId="171" xfId="0" applyNumberFormat="1" applyFont="1" applyBorder="1" applyAlignment="1">
      <alignment wrapText="1"/>
    </xf>
    <xf numFmtId="1" fontId="29" fillId="32" borderId="71" xfId="0" applyNumberFormat="1" applyFont="1" applyFill="1" applyBorder="1"/>
    <xf numFmtId="1" fontId="29" fillId="32" borderId="171" xfId="0" applyNumberFormat="1" applyFont="1" applyFill="1" applyBorder="1"/>
    <xf numFmtId="1" fontId="29" fillId="0" borderId="138" xfId="0" applyNumberFormat="1" applyFont="1" applyBorder="1" applyAlignment="1">
      <alignment wrapText="1"/>
    </xf>
    <xf numFmtId="1" fontId="29" fillId="6" borderId="9" xfId="0" applyNumberFormat="1" applyFont="1" applyFill="1" applyBorder="1" applyProtection="1">
      <protection locked="0"/>
    </xf>
    <xf numFmtId="1" fontId="29" fillId="6" borderId="177" xfId="0" applyNumberFormat="1" applyFont="1" applyFill="1" applyBorder="1" applyProtection="1">
      <protection locked="0"/>
    </xf>
    <xf numFmtId="1" fontId="29" fillId="0" borderId="52" xfId="0" applyNumberFormat="1" applyFont="1" applyBorder="1" applyAlignment="1">
      <alignment wrapText="1"/>
    </xf>
    <xf numFmtId="1" fontId="29" fillId="0" borderId="54" xfId="0" applyNumberFormat="1" applyFont="1" applyBorder="1" applyAlignment="1">
      <alignment wrapText="1"/>
    </xf>
    <xf numFmtId="1" fontId="29" fillId="14" borderId="108" xfId="0" applyNumberFormat="1" applyFont="1" applyFill="1" applyBorder="1"/>
    <xf numFmtId="1" fontId="29" fillId="14" borderId="9" xfId="0" applyNumberFormat="1" applyFont="1" applyFill="1" applyBorder="1"/>
    <xf numFmtId="1" fontId="29" fillId="14" borderId="212" xfId="0" applyNumberFormat="1" applyFont="1" applyFill="1" applyBorder="1"/>
    <xf numFmtId="1" fontId="29" fillId="14" borderId="18" xfId="0" applyNumberFormat="1" applyFont="1" applyFill="1" applyBorder="1"/>
    <xf numFmtId="0" fontId="29" fillId="33" borderId="0" xfId="0" applyFont="1" applyFill="1"/>
    <xf numFmtId="1" fontId="29" fillId="14" borderId="13" xfId="0" applyNumberFormat="1" applyFont="1" applyFill="1" applyBorder="1"/>
    <xf numFmtId="1" fontId="29" fillId="14" borderId="0" xfId="0" applyNumberFormat="1" applyFont="1" applyFill="1"/>
    <xf numFmtId="1" fontId="29" fillId="14" borderId="213" xfId="0" applyNumberFormat="1" applyFont="1" applyFill="1" applyBorder="1"/>
    <xf numFmtId="1" fontId="29" fillId="14" borderId="19" xfId="0" applyNumberFormat="1" applyFont="1" applyFill="1" applyBorder="1"/>
    <xf numFmtId="1" fontId="29" fillId="14" borderId="16" xfId="0" applyNumberFormat="1" applyFont="1" applyFill="1" applyBorder="1"/>
    <xf numFmtId="1" fontId="29" fillId="14" borderId="14" xfId="0" applyNumberFormat="1" applyFont="1" applyFill="1" applyBorder="1"/>
    <xf numFmtId="1" fontId="29" fillId="14" borderId="156" xfId="0" applyNumberFormat="1" applyFont="1" applyFill="1" applyBorder="1"/>
    <xf numFmtId="1" fontId="29" fillId="14" borderId="15" xfId="0" applyNumberFormat="1" applyFont="1" applyFill="1" applyBorder="1"/>
    <xf numFmtId="1" fontId="29" fillId="0" borderId="37" xfId="0" applyNumberFormat="1" applyFont="1" applyBorder="1" applyAlignment="1">
      <alignment wrapText="1"/>
    </xf>
    <xf numFmtId="1" fontId="29" fillId="0" borderId="166" xfId="0" applyNumberFormat="1" applyFont="1" applyBorder="1" applyAlignment="1">
      <alignment wrapText="1"/>
    </xf>
    <xf numFmtId="1" fontId="29" fillId="0" borderId="14" xfId="0" applyNumberFormat="1" applyFont="1" applyBorder="1" applyAlignment="1">
      <alignment wrapText="1"/>
    </xf>
    <xf numFmtId="1" fontId="29" fillId="14" borderId="129" xfId="0" applyNumberFormat="1" applyFont="1" applyFill="1" applyBorder="1"/>
    <xf numFmtId="1" fontId="29" fillId="15" borderId="164" xfId="0" applyNumberFormat="1" applyFont="1" applyFill="1" applyBorder="1"/>
    <xf numFmtId="1" fontId="29" fillId="15" borderId="27" xfId="0" applyNumberFormat="1" applyFont="1" applyFill="1" applyBorder="1"/>
    <xf numFmtId="0" fontId="29" fillId="17" borderId="0" xfId="0" applyFont="1" applyFill="1"/>
    <xf numFmtId="1" fontId="29" fillId="15" borderId="100" xfId="0" applyNumberFormat="1" applyFont="1" applyFill="1" applyBorder="1"/>
    <xf numFmtId="1" fontId="29" fillId="15" borderId="103" xfId="0" applyNumberFormat="1" applyFont="1" applyFill="1" applyBorder="1"/>
    <xf numFmtId="1" fontId="29" fillId="14" borderId="141" xfId="0" applyNumberFormat="1" applyFont="1" applyFill="1" applyBorder="1"/>
    <xf numFmtId="1" fontId="29" fillId="15" borderId="71" xfId="0" applyNumberFormat="1" applyFont="1" applyFill="1" applyBorder="1"/>
    <xf numFmtId="1" fontId="29" fillId="15" borderId="171" xfId="0" applyNumberFormat="1" applyFont="1" applyFill="1" applyBorder="1"/>
    <xf numFmtId="1" fontId="29" fillId="0" borderId="61" xfId="0" applyNumberFormat="1" applyFont="1" applyBorder="1" applyAlignment="1">
      <alignment wrapText="1"/>
    </xf>
    <xf numFmtId="1" fontId="29" fillId="15" borderId="52" xfId="0" applyNumberFormat="1" applyFont="1" applyFill="1" applyBorder="1"/>
    <xf numFmtId="1" fontId="29" fillId="15" borderId="62" xfId="0" applyNumberFormat="1" applyFont="1" applyFill="1" applyBorder="1"/>
    <xf numFmtId="1" fontId="29" fillId="14" borderId="130" xfId="0" applyNumberFormat="1" applyFont="1" applyFill="1" applyBorder="1"/>
    <xf numFmtId="1" fontId="29" fillId="0" borderId="128" xfId="0" applyNumberFormat="1" applyFont="1" applyBorder="1" applyAlignment="1">
      <alignment horizontal="left" vertical="center" wrapText="1"/>
    </xf>
    <xf numFmtId="1" fontId="29" fillId="0" borderId="103" xfId="0" applyNumberFormat="1" applyFont="1" applyBorder="1" applyAlignment="1">
      <alignment horizontal="left" vertical="center" wrapText="1"/>
    </xf>
    <xf numFmtId="1" fontId="29" fillId="0" borderId="112" xfId="0" applyNumberFormat="1" applyFont="1" applyBorder="1" applyAlignment="1">
      <alignment wrapText="1"/>
    </xf>
    <xf numFmtId="1" fontId="29" fillId="6" borderId="74" xfId="0" applyNumberFormat="1" applyFont="1" applyFill="1" applyBorder="1" applyProtection="1">
      <protection locked="0"/>
    </xf>
    <xf numFmtId="1" fontId="29" fillId="0" borderId="116" xfId="0" applyNumberFormat="1" applyFont="1" applyBorder="1" applyAlignment="1">
      <alignment wrapText="1"/>
    </xf>
    <xf numFmtId="1" fontId="29" fillId="0" borderId="51" xfId="0" applyNumberFormat="1" applyFont="1" applyBorder="1" applyAlignment="1">
      <alignment wrapText="1"/>
    </xf>
    <xf numFmtId="1" fontId="29" fillId="0" borderId="121" xfId="0" applyNumberFormat="1" applyFont="1" applyBorder="1" applyAlignment="1">
      <alignment wrapText="1"/>
    </xf>
    <xf numFmtId="1" fontId="29" fillId="0" borderId="14" xfId="0" applyNumberFormat="1" applyFont="1" applyBorder="1" applyAlignment="1">
      <alignment horizontal="center" vertical="center"/>
    </xf>
    <xf numFmtId="0" fontId="30" fillId="21" borderId="0" xfId="0" applyFont="1" applyFill="1"/>
    <xf numFmtId="1" fontId="29" fillId="15" borderId="108" xfId="0" applyNumberFormat="1" applyFont="1" applyFill="1" applyBorder="1"/>
    <xf numFmtId="1" fontId="29" fillId="15" borderId="9" xfId="0" applyNumberFormat="1" applyFont="1" applyFill="1" applyBorder="1"/>
    <xf numFmtId="1" fontId="32" fillId="15" borderId="9" xfId="0" applyNumberFormat="1" applyFont="1" applyFill="1" applyBorder="1"/>
    <xf numFmtId="1" fontId="32" fillId="15" borderId="8" xfId="0" applyNumberFormat="1" applyFont="1" applyFill="1" applyBorder="1"/>
    <xf numFmtId="1" fontId="32" fillId="15" borderId="20" xfId="0" applyNumberFormat="1" applyFont="1" applyFill="1" applyBorder="1"/>
    <xf numFmtId="1" fontId="32" fillId="15" borderId="2" xfId="0" applyNumberFormat="1" applyFont="1" applyFill="1" applyBorder="1"/>
    <xf numFmtId="1" fontId="32" fillId="15" borderId="7" xfId="0" applyNumberFormat="1" applyFont="1" applyFill="1" applyBorder="1"/>
    <xf numFmtId="1" fontId="29" fillId="15" borderId="29" xfId="0" applyNumberFormat="1" applyFont="1" applyFill="1" applyBorder="1" applyAlignment="1">
      <alignment wrapText="1"/>
    </xf>
    <xf numFmtId="1" fontId="29" fillId="18" borderId="10" xfId="0" applyNumberFormat="1" applyFont="1" applyFill="1" applyBorder="1"/>
    <xf numFmtId="1" fontId="29" fillId="15" borderId="138" xfId="0" applyNumberFormat="1" applyFont="1" applyFill="1" applyBorder="1"/>
    <xf numFmtId="1" fontId="29" fillId="15" borderId="113" xfId="0" applyNumberFormat="1" applyFont="1" applyFill="1" applyBorder="1"/>
    <xf numFmtId="1" fontId="29" fillId="15" borderId="43" xfId="0" applyNumberFormat="1" applyFont="1" applyFill="1" applyBorder="1"/>
    <xf numFmtId="1" fontId="32" fillId="6" borderId="10" xfId="0" applyNumberFormat="1" applyFont="1" applyFill="1" applyBorder="1" applyProtection="1">
      <protection locked="0"/>
    </xf>
    <xf numFmtId="1" fontId="32" fillId="6" borderId="7" xfId="0" applyNumberFormat="1" applyFont="1" applyFill="1" applyBorder="1" applyProtection="1">
      <protection locked="0"/>
    </xf>
    <xf numFmtId="1" fontId="29" fillId="18" borderId="101" xfId="0" applyNumberFormat="1" applyFont="1" applyFill="1" applyBorder="1"/>
    <xf numFmtId="1" fontId="29" fillId="18" borderId="48" xfId="0" applyNumberFormat="1" applyFont="1" applyFill="1" applyBorder="1"/>
    <xf numFmtId="1" fontId="29" fillId="18" borderId="131" xfId="0" applyNumberFormat="1" applyFont="1" applyFill="1" applyBorder="1"/>
    <xf numFmtId="0" fontId="30" fillId="18" borderId="0" xfId="0" applyFont="1" applyFill="1"/>
    <xf numFmtId="1" fontId="29" fillId="18" borderId="71" xfId="0" applyNumberFormat="1" applyFont="1" applyFill="1" applyBorder="1"/>
    <xf numFmtId="1" fontId="29" fillId="18" borderId="171" xfId="0" applyNumberFormat="1" applyFont="1" applyFill="1" applyBorder="1"/>
    <xf numFmtId="1" fontId="29" fillId="6" borderId="123" xfId="0" applyNumberFormat="1" applyFont="1" applyFill="1" applyBorder="1" applyProtection="1">
      <protection locked="0"/>
    </xf>
    <xf numFmtId="1" fontId="29" fillId="6" borderId="213" xfId="0" applyNumberFormat="1" applyFont="1" applyFill="1" applyBorder="1" applyProtection="1">
      <protection locked="0"/>
    </xf>
    <xf numFmtId="0" fontId="29" fillId="34" borderId="0" xfId="0" applyFont="1" applyFill="1"/>
    <xf numFmtId="0" fontId="30" fillId="35" borderId="0" xfId="0" applyFont="1" applyFill="1"/>
    <xf numFmtId="1" fontId="29" fillId="15" borderId="64" xfId="0" applyNumberFormat="1" applyFont="1" applyFill="1" applyBorder="1"/>
    <xf numFmtId="1" fontId="29" fillId="15" borderId="49" xfId="0" applyNumberFormat="1" applyFont="1" applyFill="1" applyBorder="1"/>
    <xf numFmtId="1" fontId="29" fillId="15" borderId="80" xfId="0" applyNumberFormat="1" applyFont="1" applyFill="1" applyBorder="1"/>
    <xf numFmtId="1" fontId="29" fillId="15" borderId="36" xfId="0" applyNumberFormat="1" applyFont="1" applyFill="1" applyBorder="1"/>
    <xf numFmtId="1" fontId="29" fillId="0" borderId="18" xfId="0" applyNumberFormat="1" applyFont="1" applyBorder="1" applyAlignment="1" applyProtection="1">
      <alignment horizontal="center" vertical="center"/>
      <protection hidden="1"/>
    </xf>
    <xf numFmtId="1" fontId="29" fillId="0" borderId="18" xfId="0" applyNumberFormat="1" applyFont="1" applyBorder="1" applyAlignment="1" applyProtection="1">
      <alignment horizontal="center" vertical="center" wrapText="1"/>
      <protection hidden="1"/>
    </xf>
    <xf numFmtId="1" fontId="29" fillId="0" borderId="164" xfId="0" applyNumberFormat="1" applyFont="1" applyBorder="1" applyAlignment="1" applyProtection="1">
      <alignment horizontal="center" vertical="center" wrapText="1"/>
      <protection hidden="1"/>
    </xf>
    <xf numFmtId="1" fontId="29" fillId="0" borderId="22" xfId="0" applyNumberFormat="1" applyFont="1" applyBorder="1" applyAlignment="1" applyProtection="1">
      <alignment horizontal="center" vertical="center" wrapText="1"/>
      <protection hidden="1"/>
    </xf>
    <xf numFmtId="1" fontId="29" fillId="0" borderId="164" xfId="0" applyNumberFormat="1" applyFont="1" applyBorder="1" applyAlignment="1" applyProtection="1">
      <alignment horizontal="center" vertical="center"/>
      <protection hidden="1"/>
    </xf>
    <xf numFmtId="1" fontId="29" fillId="0" borderId="27" xfId="0" applyNumberFormat="1" applyFont="1" applyBorder="1" applyAlignment="1" applyProtection="1">
      <alignment horizontal="center" vertical="center"/>
      <protection hidden="1"/>
    </xf>
    <xf numFmtId="1" fontId="29" fillId="0" borderId="10" xfId="0" applyNumberFormat="1" applyFont="1" applyBorder="1" applyAlignment="1" applyProtection="1">
      <alignment horizontal="center" vertical="center"/>
      <protection hidden="1"/>
    </xf>
    <xf numFmtId="1" fontId="29" fillId="0" borderId="212" xfId="0" applyNumberFormat="1" applyFont="1" applyBorder="1" applyAlignment="1" applyProtection="1">
      <alignment horizontal="center" vertical="center"/>
      <protection hidden="1"/>
    </xf>
    <xf numFmtId="1" fontId="29" fillId="0" borderId="18" xfId="0" applyNumberFormat="1" applyFont="1" applyBorder="1" applyAlignment="1" applyProtection="1">
      <alignment wrapText="1"/>
      <protection hidden="1"/>
    </xf>
    <xf numFmtId="1" fontId="29" fillId="0" borderId="164" xfId="0" applyNumberFormat="1" applyFont="1" applyBorder="1" applyAlignment="1">
      <alignment horizontal="right" wrapText="1"/>
    </xf>
    <xf numFmtId="1" fontId="29" fillId="0" borderId="22" xfId="0" applyNumberFormat="1" applyFont="1" applyBorder="1" applyAlignment="1">
      <alignment horizontal="right" wrapText="1"/>
    </xf>
    <xf numFmtId="1" fontId="29" fillId="0" borderId="15" xfId="0" applyNumberFormat="1" applyFont="1" applyBorder="1" applyAlignment="1" applyProtection="1">
      <alignment horizontal="left" vertical="center" wrapText="1"/>
      <protection hidden="1"/>
    </xf>
    <xf numFmtId="1" fontId="29" fillId="0" borderId="51" xfId="0" applyNumberFormat="1" applyFont="1" applyBorder="1" applyAlignment="1" applyProtection="1">
      <alignment wrapText="1"/>
      <protection hidden="1"/>
    </xf>
    <xf numFmtId="1" fontId="29" fillId="0" borderId="52" xfId="0" applyNumberFormat="1" applyFont="1" applyBorder="1" applyAlignment="1">
      <alignment horizontal="right" wrapText="1"/>
    </xf>
    <xf numFmtId="1" fontId="29" fillId="0" borderId="54" xfId="0" applyNumberFormat="1" applyFont="1" applyBorder="1" applyAlignment="1">
      <alignment horizontal="right" wrapText="1"/>
    </xf>
    <xf numFmtId="1" fontId="29" fillId="0" borderId="69" xfId="0" applyNumberFormat="1" applyFont="1" applyBorder="1" applyAlignment="1">
      <alignment horizontal="right" wrapText="1"/>
    </xf>
    <xf numFmtId="1" fontId="29" fillId="0" borderId="70" xfId="0" applyNumberFormat="1" applyFont="1" applyBorder="1" applyAlignment="1">
      <alignment horizontal="right" wrapText="1"/>
    </xf>
    <xf numFmtId="1" fontId="29" fillId="0" borderId="79" xfId="0" applyNumberFormat="1" applyFont="1" applyBorder="1" applyAlignment="1">
      <alignment horizontal="center" vertical="center" wrapText="1"/>
    </xf>
    <xf numFmtId="1" fontId="29" fillId="0" borderId="74" xfId="0" applyNumberFormat="1" applyFont="1" applyBorder="1" applyAlignment="1">
      <alignment horizontal="center" vertical="center" wrapText="1"/>
    </xf>
    <xf numFmtId="1" fontId="29" fillId="0" borderId="12" xfId="0" applyNumberFormat="1" applyFont="1" applyBorder="1" applyAlignment="1">
      <alignment wrapText="1"/>
    </xf>
    <xf numFmtId="1" fontId="29" fillId="0" borderId="28" xfId="0" applyNumberFormat="1" applyFont="1" applyBorder="1" applyAlignment="1">
      <alignment wrapText="1"/>
    </xf>
    <xf numFmtId="1" fontId="29" fillId="0" borderId="29" xfId="0" applyNumberFormat="1" applyFont="1" applyBorder="1" applyAlignment="1">
      <alignment wrapText="1"/>
    </xf>
    <xf numFmtId="1" fontId="29" fillId="0" borderId="8" xfId="0" applyNumberFormat="1" applyFont="1" applyBorder="1" applyAlignment="1">
      <alignment wrapText="1"/>
    </xf>
    <xf numFmtId="1" fontId="29" fillId="0" borderId="2" xfId="0" applyNumberFormat="1" applyFont="1" applyBorder="1" applyAlignment="1">
      <alignment wrapText="1"/>
    </xf>
    <xf numFmtId="1" fontId="29" fillId="0" borderId="346" xfId="0" applyNumberFormat="1" applyFont="1" applyBorder="1" applyAlignment="1">
      <alignment wrapText="1"/>
    </xf>
    <xf numFmtId="1" fontId="29" fillId="14" borderId="70" xfId="0" applyNumberFormat="1" applyFont="1" applyFill="1" applyBorder="1" applyAlignment="1">
      <alignment wrapText="1"/>
    </xf>
    <xf numFmtId="1" fontId="29" fillId="14" borderId="74" xfId="0" applyNumberFormat="1" applyFont="1" applyFill="1" applyBorder="1"/>
    <xf numFmtId="1" fontId="29" fillId="14" borderId="69" xfId="0" applyNumberFormat="1" applyFont="1" applyFill="1" applyBorder="1"/>
    <xf numFmtId="1" fontId="29" fillId="6" borderId="281" xfId="0" applyNumberFormat="1" applyFont="1" applyFill="1" applyBorder="1" applyProtection="1">
      <protection locked="0"/>
    </xf>
    <xf numFmtId="0" fontId="0" fillId="17" borderId="0" xfId="0" applyFill="1"/>
    <xf numFmtId="0" fontId="0" fillId="13" borderId="0" xfId="0" applyFill="1"/>
    <xf numFmtId="1" fontId="29" fillId="0" borderId="166" xfId="0" applyNumberFormat="1" applyFont="1" applyBorder="1"/>
    <xf numFmtId="1" fontId="29" fillId="0" borderId="128" xfId="0" applyNumberFormat="1" applyFont="1" applyBorder="1"/>
    <xf numFmtId="1" fontId="29" fillId="6" borderId="283" xfId="0" applyNumberFormat="1" applyFont="1" applyFill="1" applyBorder="1" applyProtection="1">
      <protection locked="0"/>
    </xf>
    <xf numFmtId="1" fontId="29" fillId="14" borderId="31" xfId="0" applyNumberFormat="1" applyFont="1" applyFill="1" applyBorder="1" applyAlignment="1">
      <alignment wrapText="1"/>
    </xf>
    <xf numFmtId="1" fontId="29" fillId="14" borderId="76" xfId="0" applyNumberFormat="1" applyFont="1" applyFill="1" applyBorder="1"/>
    <xf numFmtId="1" fontId="29" fillId="6" borderId="319" xfId="0" applyNumberFormat="1" applyFont="1" applyFill="1" applyBorder="1" applyProtection="1">
      <protection locked="0"/>
    </xf>
    <xf numFmtId="1" fontId="29" fillId="0" borderId="27" xfId="0" applyNumberFormat="1" applyFont="1" applyBorder="1" applyAlignment="1">
      <alignment horizontal="left" vertical="center"/>
    </xf>
    <xf numFmtId="1" fontId="29" fillId="6" borderId="369" xfId="56" applyNumberFormat="1" applyFont="1" applyBorder="1" applyProtection="1">
      <protection locked="0"/>
    </xf>
    <xf numFmtId="1" fontId="29" fillId="6" borderId="370" xfId="56" applyNumberFormat="1" applyFont="1" applyBorder="1" applyProtection="1">
      <protection locked="0"/>
    </xf>
    <xf numFmtId="1" fontId="29" fillId="6" borderId="289" xfId="56" applyNumberFormat="1" applyFont="1" applyBorder="1" applyProtection="1">
      <protection locked="0"/>
    </xf>
    <xf numFmtId="1" fontId="29" fillId="6" borderId="371" xfId="56" applyNumberFormat="1" applyFont="1" applyBorder="1" applyProtection="1">
      <protection locked="0"/>
    </xf>
    <xf numFmtId="1" fontId="29" fillId="6" borderId="372" xfId="56" applyNumberFormat="1" applyFont="1" applyBorder="1" applyProtection="1">
      <protection locked="0"/>
    </xf>
    <xf numFmtId="1" fontId="29" fillId="6" borderId="373" xfId="56" applyNumberFormat="1" applyFont="1" applyBorder="1" applyProtection="1">
      <protection locked="0"/>
    </xf>
    <xf numFmtId="1" fontId="29" fillId="6" borderId="45" xfId="0" applyNumberFormat="1" applyFont="1" applyFill="1" applyBorder="1" applyProtection="1">
      <protection locked="0"/>
    </xf>
    <xf numFmtId="1" fontId="32" fillId="0" borderId="14" xfId="0" applyNumberFormat="1" applyFont="1" applyBorder="1"/>
    <xf numFmtId="1" fontId="29" fillId="0" borderId="9" xfId="0" applyNumberFormat="1" applyFont="1" applyBorder="1" applyAlignment="1">
      <alignment horizontal="center" vertical="center"/>
    </xf>
    <xf numFmtId="1" fontId="29" fillId="0" borderId="27" xfId="0" applyNumberFormat="1" applyFont="1" applyBorder="1" applyAlignment="1">
      <alignment horizontal="center" vertical="center"/>
    </xf>
    <xf numFmtId="1" fontId="29" fillId="0" borderId="16" xfId="0" applyNumberFormat="1" applyFont="1" applyBorder="1" applyAlignment="1">
      <alignment horizontal="center" vertical="center"/>
    </xf>
    <xf numFmtId="1" fontId="29" fillId="15" borderId="89" xfId="0" applyNumberFormat="1" applyFont="1" applyFill="1" applyBorder="1"/>
    <xf numFmtId="1" fontId="29" fillId="6" borderId="279" xfId="0" applyNumberFormat="1" applyFont="1" applyFill="1" applyBorder="1" applyProtection="1">
      <protection locked="0"/>
    </xf>
    <xf numFmtId="1" fontId="29" fillId="6" borderId="79" xfId="0" applyNumberFormat="1" applyFont="1" applyFill="1" applyBorder="1" applyProtection="1">
      <protection locked="0"/>
    </xf>
    <xf numFmtId="1" fontId="29" fillId="6" borderId="20" xfId="0" applyNumberFormat="1" applyFont="1" applyFill="1" applyBorder="1" applyProtection="1">
      <protection locked="0"/>
    </xf>
    <xf numFmtId="1" fontId="29" fillId="6" borderId="346" xfId="0" applyNumberFormat="1" applyFont="1" applyFill="1" applyBorder="1" applyProtection="1">
      <protection locked="0"/>
    </xf>
    <xf numFmtId="1" fontId="29" fillId="14" borderId="127" xfId="0" applyNumberFormat="1" applyFont="1" applyFill="1" applyBorder="1"/>
    <xf numFmtId="1" fontId="29" fillId="14" borderId="61" xfId="0" applyNumberFormat="1" applyFont="1" applyFill="1" applyBorder="1"/>
    <xf numFmtId="1" fontId="29" fillId="14" borderId="143" xfId="0" applyNumberFormat="1" applyFont="1" applyFill="1" applyBorder="1"/>
    <xf numFmtId="0" fontId="0" fillId="35" borderId="0" xfId="0" applyFill="1"/>
    <xf numFmtId="1" fontId="29" fillId="0" borderId="15" xfId="0" applyNumberFormat="1" applyFont="1" applyBorder="1" applyAlignment="1">
      <alignment wrapText="1"/>
    </xf>
    <xf numFmtId="1" fontId="29" fillId="6" borderId="277" xfId="0" applyNumberFormat="1" applyFont="1" applyFill="1" applyBorder="1" applyProtection="1">
      <protection locked="0"/>
    </xf>
    <xf numFmtId="1" fontId="29" fillId="6" borderId="6" xfId="0" applyNumberFormat="1" applyFont="1" applyFill="1" applyBorder="1" applyProtection="1">
      <protection locked="0"/>
    </xf>
    <xf numFmtId="1" fontId="31" fillId="0" borderId="374" xfId="0" applyNumberFormat="1" applyFont="1" applyBorder="1"/>
    <xf numFmtId="1" fontId="32" fillId="0" borderId="375" xfId="0" applyNumberFormat="1" applyFont="1" applyBorder="1"/>
    <xf numFmtId="1" fontId="29" fillId="0" borderId="380" xfId="0" applyNumberFormat="1" applyFont="1" applyBorder="1" applyProtection="1">
      <protection hidden="1"/>
    </xf>
    <xf numFmtId="1" fontId="29" fillId="0" borderId="76" xfId="0" applyNumberFormat="1" applyFont="1" applyBorder="1" applyAlignment="1">
      <alignment horizontal="center" vertical="center"/>
    </xf>
    <xf numFmtId="1" fontId="29" fillId="0" borderId="39" xfId="0" applyNumberFormat="1" applyFont="1" applyBorder="1" applyAlignment="1">
      <alignment horizontal="right" wrapText="1"/>
    </xf>
    <xf numFmtId="1" fontId="29" fillId="15" borderId="57" xfId="37" applyNumberFormat="1" applyFont="1" applyFill="1" applyBorder="1"/>
    <xf numFmtId="1" fontId="29" fillId="14" borderId="11" xfId="0" applyNumberFormat="1" applyFont="1" applyFill="1" applyBorder="1"/>
    <xf numFmtId="1" fontId="29" fillId="14" borderId="7" xfId="0" applyNumberFormat="1" applyFont="1" applyFill="1" applyBorder="1"/>
    <xf numFmtId="1" fontId="29" fillId="6" borderId="113" xfId="37" applyNumberFormat="1" applyFont="1" applyFill="1" applyBorder="1" applyProtection="1">
      <protection locked="0"/>
    </xf>
    <xf numFmtId="1" fontId="29" fillId="0" borderId="76" xfId="0" applyNumberFormat="1" applyFont="1" applyBorder="1" applyAlignment="1">
      <alignment horizontal="right" wrapText="1"/>
    </xf>
    <xf numFmtId="1" fontId="29" fillId="6" borderId="32" xfId="0" applyNumberFormat="1" applyFont="1" applyFill="1" applyBorder="1" applyProtection="1">
      <protection locked="0"/>
    </xf>
    <xf numFmtId="1" fontId="29" fillId="6" borderId="57" xfId="37" applyNumberFormat="1" applyFont="1" applyFill="1" applyBorder="1" applyProtection="1">
      <protection locked="0"/>
    </xf>
    <xf numFmtId="1" fontId="29" fillId="0" borderId="38" xfId="0" applyNumberFormat="1" applyFont="1" applyBorder="1" applyAlignment="1">
      <alignment horizontal="right" wrapText="1"/>
    </xf>
    <xf numFmtId="1" fontId="29" fillId="0" borderId="98" xfId="0" applyNumberFormat="1" applyFont="1" applyBorder="1" applyAlignment="1">
      <alignment horizontal="right" wrapText="1"/>
    </xf>
    <xf numFmtId="1" fontId="29" fillId="6" borderId="296" xfId="0" applyNumberFormat="1" applyFont="1" applyFill="1" applyBorder="1" applyProtection="1">
      <protection locked="0"/>
    </xf>
    <xf numFmtId="1" fontId="29" fillId="0" borderId="100" xfId="0" applyNumberFormat="1" applyFont="1" applyBorder="1" applyAlignment="1">
      <alignment horizontal="right" wrapText="1"/>
    </xf>
    <xf numFmtId="1" fontId="29" fillId="0" borderId="131" xfId="0" applyNumberFormat="1" applyFont="1" applyBorder="1" applyAlignment="1">
      <alignment horizontal="right" wrapText="1"/>
    </xf>
    <xf numFmtId="1" fontId="29" fillId="0" borderId="103" xfId="0" applyNumberFormat="1" applyFont="1" applyBorder="1" applyAlignment="1">
      <alignment horizontal="right" wrapText="1"/>
    </xf>
    <xf numFmtId="1" fontId="29" fillId="6" borderId="297" xfId="0" applyNumberFormat="1" applyFont="1" applyFill="1" applyBorder="1" applyProtection="1">
      <protection locked="0"/>
    </xf>
    <xf numFmtId="1" fontId="29" fillId="0" borderId="71" xfId="0" applyNumberFormat="1" applyFont="1" applyBorder="1" applyAlignment="1">
      <alignment horizontal="right" wrapText="1"/>
    </xf>
    <xf numFmtId="1" fontId="29" fillId="0" borderId="72" xfId="0" applyNumberFormat="1" applyFont="1" applyBorder="1" applyAlignment="1">
      <alignment horizontal="right" wrapText="1"/>
    </xf>
    <xf numFmtId="1" fontId="29" fillId="0" borderId="171" xfId="0" applyNumberFormat="1" applyFont="1" applyBorder="1" applyAlignment="1">
      <alignment horizontal="right" wrapText="1"/>
    </xf>
    <xf numFmtId="1" fontId="29" fillId="6" borderId="292" xfId="0" applyNumberFormat="1" applyFont="1" applyFill="1" applyBorder="1" applyProtection="1">
      <protection locked="0"/>
    </xf>
    <xf numFmtId="1" fontId="29" fillId="6" borderId="290" xfId="0" applyNumberFormat="1" applyFont="1" applyFill="1" applyBorder="1" applyProtection="1">
      <protection locked="0"/>
    </xf>
    <xf numFmtId="1" fontId="29" fillId="0" borderId="53" xfId="0" applyNumberFormat="1" applyFont="1" applyBorder="1" applyAlignment="1">
      <alignment horizontal="right" wrapText="1"/>
    </xf>
    <xf numFmtId="1" fontId="29" fillId="0" borderId="62" xfId="0" applyNumberFormat="1" applyFont="1" applyBorder="1" applyAlignment="1">
      <alignment horizontal="right" wrapText="1"/>
    </xf>
    <xf numFmtId="1" fontId="29" fillId="0" borderId="64" xfId="0" applyNumberFormat="1" applyFont="1" applyBorder="1" applyAlignment="1">
      <alignment horizontal="right" wrapText="1"/>
    </xf>
    <xf numFmtId="1" fontId="29" fillId="0" borderId="65" xfId="0" applyNumberFormat="1" applyFont="1" applyBorder="1" applyAlignment="1">
      <alignment horizontal="right" wrapText="1"/>
    </xf>
    <xf numFmtId="1" fontId="29" fillId="0" borderId="49" xfId="0" applyNumberFormat="1" applyFont="1" applyBorder="1" applyAlignment="1">
      <alignment horizontal="right" wrapText="1"/>
    </xf>
    <xf numFmtId="1" fontId="29" fillId="0" borderId="36" xfId="0" applyNumberFormat="1" applyFont="1" applyBorder="1" applyAlignment="1">
      <alignment horizontal="left" vertical="center" wrapText="1"/>
    </xf>
    <xf numFmtId="1" fontId="29" fillId="6" borderId="298" xfId="0" applyNumberFormat="1" applyFont="1" applyFill="1" applyBorder="1" applyProtection="1">
      <protection locked="0"/>
    </xf>
    <xf numFmtId="0" fontId="48" fillId="0" borderId="0" xfId="0" applyFont="1"/>
    <xf numFmtId="1" fontId="49" fillId="7" borderId="0" xfId="0" applyNumberFormat="1" applyFont="1" applyFill="1"/>
    <xf numFmtId="1" fontId="29" fillId="11" borderId="19" xfId="0" applyNumberFormat="1" applyFont="1" applyFill="1" applyBorder="1" applyAlignment="1">
      <alignment horizontal="center" vertical="center" wrapText="1"/>
    </xf>
    <xf numFmtId="1" fontId="25" fillId="11" borderId="2" xfId="0" applyNumberFormat="1" applyFont="1" applyFill="1" applyBorder="1"/>
    <xf numFmtId="1" fontId="29" fillId="15" borderId="20" xfId="0" applyNumberFormat="1" applyFont="1" applyFill="1" applyBorder="1"/>
    <xf numFmtId="1" fontId="29" fillId="15" borderId="136" xfId="0" applyNumberFormat="1" applyFont="1" applyFill="1" applyBorder="1"/>
    <xf numFmtId="1" fontId="29" fillId="15" borderId="134" xfId="0" applyNumberFormat="1" applyFont="1" applyFill="1" applyBorder="1"/>
    <xf numFmtId="1" fontId="29" fillId="11" borderId="63" xfId="0" applyNumberFormat="1" applyFont="1" applyFill="1" applyBorder="1" applyAlignment="1">
      <alignment vertical="center" wrapText="1"/>
    </xf>
    <xf numFmtId="1" fontId="29" fillId="0" borderId="38" xfId="0" applyNumberFormat="1" applyFont="1" applyBorder="1" applyAlignment="1">
      <alignment vertical="center" wrapText="1"/>
    </xf>
    <xf numFmtId="1" fontId="29" fillId="0" borderId="39" xfId="0" applyNumberFormat="1" applyFont="1" applyBorder="1" applyAlignment="1">
      <alignment vertical="center" wrapText="1"/>
    </xf>
    <xf numFmtId="1" fontId="29" fillId="11" borderId="19" xfId="0" applyNumberFormat="1" applyFont="1" applyFill="1" applyBorder="1" applyAlignment="1">
      <alignment vertical="center" wrapText="1"/>
    </xf>
    <xf numFmtId="1" fontId="29" fillId="15" borderId="57" xfId="0" applyNumberFormat="1" applyFont="1" applyFill="1" applyBorder="1"/>
    <xf numFmtId="1" fontId="25" fillId="11" borderId="2" xfId="0" applyNumberFormat="1" applyFont="1" applyFill="1" applyBorder="1" applyAlignment="1">
      <alignment vertical="center" wrapText="1"/>
    </xf>
    <xf numFmtId="1" fontId="29" fillId="15" borderId="10" xfId="0" applyNumberFormat="1" applyFont="1" applyFill="1" applyBorder="1" applyAlignment="1">
      <alignment vertical="center" wrapText="1"/>
    </xf>
    <xf numFmtId="1" fontId="29" fillId="15" borderId="29" xfId="0" applyNumberFormat="1" applyFont="1" applyFill="1" applyBorder="1" applyAlignment="1">
      <alignment vertical="center" wrapText="1"/>
    </xf>
    <xf numFmtId="0" fontId="0" fillId="36" borderId="0" xfId="0" applyFill="1"/>
    <xf numFmtId="1" fontId="29" fillId="7" borderId="64" xfId="0" applyNumberFormat="1" applyFont="1" applyFill="1" applyBorder="1" applyAlignment="1">
      <alignment vertical="center" wrapText="1"/>
    </xf>
    <xf numFmtId="1" fontId="29" fillId="7" borderId="74" xfId="0" applyNumberFormat="1" applyFont="1" applyFill="1" applyBorder="1" applyAlignment="1">
      <alignment vertical="center" wrapText="1"/>
    </xf>
    <xf numFmtId="1" fontId="29" fillId="15" borderId="44" xfId="0" applyNumberFormat="1" applyFont="1" applyFill="1" applyBorder="1"/>
    <xf numFmtId="1" fontId="29" fillId="11" borderId="86" xfId="0" applyNumberFormat="1" applyFont="1" applyFill="1" applyBorder="1" applyAlignment="1">
      <alignment vertical="center" wrapText="1"/>
    </xf>
    <xf numFmtId="1" fontId="29" fillId="7" borderId="71" xfId="0" applyNumberFormat="1" applyFont="1" applyFill="1" applyBorder="1" applyAlignment="1">
      <alignment vertical="center" wrapText="1"/>
    </xf>
    <xf numFmtId="1" fontId="29" fillId="7" borderId="72" xfId="0" applyNumberFormat="1" applyFont="1" applyFill="1" applyBorder="1" applyAlignment="1">
      <alignment vertical="center" wrapText="1"/>
    </xf>
    <xf numFmtId="1" fontId="29" fillId="15" borderId="77" xfId="0" applyNumberFormat="1" applyFont="1" applyFill="1" applyBorder="1"/>
    <xf numFmtId="1" fontId="29" fillId="15" borderId="78" xfId="0" applyNumberFormat="1" applyFont="1" applyFill="1" applyBorder="1"/>
    <xf numFmtId="1" fontId="29" fillId="6" borderId="383" xfId="0" applyNumberFormat="1" applyFont="1" applyFill="1" applyBorder="1" applyProtection="1">
      <protection locked="0"/>
    </xf>
    <xf numFmtId="1" fontId="29" fillId="7" borderId="69" xfId="0" applyNumberFormat="1" applyFont="1" applyFill="1" applyBorder="1" applyAlignment="1">
      <alignment vertical="center" wrapText="1"/>
    </xf>
    <xf numFmtId="1" fontId="29" fillId="0" borderId="122" xfId="0" applyNumberFormat="1" applyFont="1" applyBorder="1"/>
    <xf numFmtId="1" fontId="29" fillId="15" borderId="123" xfId="0" applyNumberFormat="1" applyFont="1" applyFill="1" applyBorder="1"/>
    <xf numFmtId="1" fontId="29" fillId="6" borderId="382" xfId="0" applyNumberFormat="1" applyFont="1" applyFill="1" applyBorder="1" applyProtection="1">
      <protection locked="0"/>
    </xf>
    <xf numFmtId="1" fontId="29" fillId="11" borderId="99" xfId="0" applyNumberFormat="1" applyFont="1" applyFill="1" applyBorder="1" applyAlignment="1">
      <alignment vertical="center" wrapText="1"/>
    </xf>
    <xf numFmtId="1" fontId="29" fillId="7" borderId="100" xfId="0" applyNumberFormat="1" applyFont="1" applyFill="1" applyBorder="1" applyAlignment="1">
      <alignment vertical="center" wrapText="1"/>
    </xf>
    <xf numFmtId="1" fontId="29" fillId="7" borderId="131" xfId="0" applyNumberFormat="1" applyFont="1" applyFill="1" applyBorder="1" applyAlignment="1">
      <alignment vertical="center" wrapText="1"/>
    </xf>
    <xf numFmtId="1" fontId="29" fillId="15" borderId="117" xfId="0" applyNumberFormat="1" applyFont="1" applyFill="1" applyBorder="1"/>
    <xf numFmtId="1" fontId="29" fillId="11" borderId="37" xfId="0" applyNumberFormat="1" applyFont="1" applyFill="1" applyBorder="1" applyAlignment="1">
      <alignment vertical="center" wrapText="1"/>
    </xf>
    <xf numFmtId="1" fontId="29" fillId="7" borderId="38" xfId="0" applyNumberFormat="1" applyFont="1" applyFill="1" applyBorder="1" applyAlignment="1">
      <alignment vertical="center" wrapText="1"/>
    </xf>
    <xf numFmtId="1" fontId="29" fillId="7" borderId="39" xfId="0" applyNumberFormat="1" applyFont="1" applyFill="1" applyBorder="1" applyAlignment="1">
      <alignment vertical="center" wrapText="1"/>
    </xf>
    <xf numFmtId="1" fontId="29" fillId="11" borderId="51" xfId="0" applyNumberFormat="1" applyFont="1" applyFill="1" applyBorder="1" applyAlignment="1">
      <alignment vertical="center" wrapText="1"/>
    </xf>
    <xf numFmtId="1" fontId="29" fillId="7" borderId="52" xfId="0" applyNumberFormat="1" applyFont="1" applyFill="1" applyBorder="1" applyAlignment="1">
      <alignment vertical="center" wrapText="1"/>
    </xf>
    <xf numFmtId="1" fontId="29" fillId="7" borderId="53" xfId="0" applyNumberFormat="1" applyFont="1" applyFill="1" applyBorder="1" applyAlignment="1">
      <alignment vertical="center" wrapText="1"/>
    </xf>
    <xf numFmtId="1" fontId="29" fillId="11" borderId="19" xfId="0" applyNumberFormat="1" applyFont="1" applyFill="1" applyBorder="1" applyAlignment="1">
      <alignment horizontal="left" vertical="center" wrapText="1"/>
    </xf>
    <xf numFmtId="1" fontId="29" fillId="0" borderId="15" xfId="0" applyNumberFormat="1" applyFont="1" applyBorder="1" applyAlignment="1">
      <alignment horizontal="right" vertical="center" wrapText="1"/>
    </xf>
    <xf numFmtId="1" fontId="29" fillId="6" borderId="136" xfId="0" applyNumberFormat="1" applyFont="1" applyFill="1" applyBorder="1" applyProtection="1">
      <protection locked="0"/>
    </xf>
    <xf numFmtId="1" fontId="29" fillId="15" borderId="384" xfId="0" applyNumberFormat="1" applyFont="1" applyFill="1" applyBorder="1"/>
    <xf numFmtId="1" fontId="29" fillId="15" borderId="388" xfId="0" applyNumberFormat="1" applyFont="1" applyFill="1" applyBorder="1"/>
    <xf numFmtId="1" fontId="29" fillId="15" borderId="112" xfId="0" applyNumberFormat="1" applyFont="1" applyFill="1" applyBorder="1"/>
    <xf numFmtId="1" fontId="29" fillId="0" borderId="30" xfId="0" applyNumberFormat="1" applyFont="1" applyBorder="1"/>
    <xf numFmtId="1" fontId="29" fillId="15" borderId="67" xfId="0" applyNumberFormat="1" applyFont="1" applyFill="1" applyBorder="1"/>
    <xf numFmtId="1" fontId="29" fillId="0" borderId="76" xfId="0" applyNumberFormat="1" applyFont="1" applyBorder="1"/>
    <xf numFmtId="1" fontId="29" fillId="0" borderId="389" xfId="0" applyNumberFormat="1" applyFont="1" applyBorder="1"/>
    <xf numFmtId="1" fontId="29" fillId="0" borderId="37" xfId="0" applyNumberFormat="1" applyFont="1" applyBorder="1" applyAlignment="1">
      <alignment vertical="center" wrapText="1"/>
    </xf>
    <xf numFmtId="1" fontId="29" fillId="0" borderId="99" xfId="0" applyNumberFormat="1" applyFont="1" applyBorder="1" applyAlignment="1">
      <alignment vertical="center" wrapText="1"/>
    </xf>
    <xf numFmtId="1" fontId="29" fillId="15" borderId="180" xfId="0" applyNumberFormat="1" applyFont="1" applyFill="1" applyBorder="1"/>
    <xf numFmtId="1" fontId="29" fillId="7" borderId="99" xfId="0" applyNumberFormat="1" applyFont="1" applyFill="1" applyBorder="1" applyAlignment="1">
      <alignment vertical="center" wrapText="1"/>
    </xf>
    <xf numFmtId="1" fontId="29" fillId="0" borderId="136" xfId="0" applyNumberFormat="1" applyFont="1" applyBorder="1"/>
    <xf numFmtId="1" fontId="29" fillId="0" borderId="164" xfId="0" applyNumberFormat="1" applyFont="1" applyBorder="1"/>
    <xf numFmtId="1" fontId="29" fillId="0" borderId="22" xfId="0" applyNumberFormat="1" applyFont="1" applyBorder="1"/>
    <xf numFmtId="1" fontId="29" fillId="0" borderId="158" xfId="0" applyNumberFormat="1" applyFont="1" applyBorder="1"/>
    <xf numFmtId="1" fontId="29" fillId="0" borderId="177" xfId="0" applyNumberFormat="1" applyFont="1" applyBorder="1"/>
    <xf numFmtId="1" fontId="29" fillId="0" borderId="27" xfId="0" applyNumberFormat="1" applyFont="1" applyBorder="1"/>
    <xf numFmtId="1" fontId="29" fillId="15" borderId="46" xfId="0" applyNumberFormat="1" applyFont="1" applyFill="1" applyBorder="1"/>
    <xf numFmtId="1" fontId="29" fillId="15" borderId="390" xfId="0" applyNumberFormat="1" applyFont="1" applyFill="1" applyBorder="1"/>
    <xf numFmtId="1" fontId="29" fillId="15" borderId="391" xfId="0" applyNumberFormat="1" applyFont="1" applyFill="1" applyBorder="1"/>
    <xf numFmtId="1" fontId="29" fillId="15" borderId="392" xfId="0" applyNumberFormat="1" applyFont="1" applyFill="1" applyBorder="1"/>
    <xf numFmtId="1" fontId="29" fillId="15" borderId="393" xfId="0" applyNumberFormat="1" applyFont="1" applyFill="1" applyBorder="1"/>
    <xf numFmtId="1" fontId="29" fillId="15" borderId="47" xfId="0" applyNumberFormat="1" applyFont="1" applyFill="1" applyBorder="1"/>
    <xf numFmtId="1" fontId="29" fillId="15" borderId="275" xfId="0" applyNumberFormat="1" applyFont="1" applyFill="1" applyBorder="1"/>
    <xf numFmtId="1" fontId="29" fillId="15" borderId="122" xfId="0" applyNumberFormat="1" applyFont="1" applyFill="1" applyBorder="1"/>
    <xf numFmtId="1" fontId="29" fillId="15" borderId="0" xfId="0" applyNumberFormat="1" applyFont="1" applyFill="1"/>
    <xf numFmtId="1" fontId="29" fillId="15" borderId="79" xfId="0" applyNumberFormat="1" applyFont="1" applyFill="1" applyBorder="1"/>
    <xf numFmtId="1" fontId="29" fillId="11" borderId="335" xfId="0" applyNumberFormat="1" applyFont="1" applyFill="1" applyBorder="1" applyAlignment="1">
      <alignment vertical="center" wrapText="1"/>
    </xf>
    <xf numFmtId="1" fontId="29" fillId="0" borderId="335" xfId="0" applyNumberFormat="1" applyFont="1" applyBorder="1" applyAlignment="1">
      <alignment vertical="center" wrapText="1"/>
    </xf>
    <xf numFmtId="1" fontId="29" fillId="6" borderId="394" xfId="0" applyNumberFormat="1" applyFont="1" applyFill="1" applyBorder="1" applyProtection="1">
      <protection locked="0"/>
    </xf>
    <xf numFmtId="1" fontId="29" fillId="6" borderId="395" xfId="0" applyNumberFormat="1" applyFont="1" applyFill="1" applyBorder="1" applyProtection="1">
      <protection locked="0"/>
    </xf>
    <xf numFmtId="1" fontId="29" fillId="6" borderId="396" xfId="0" applyNumberFormat="1" applyFont="1" applyFill="1" applyBorder="1" applyProtection="1">
      <protection locked="0"/>
    </xf>
    <xf numFmtId="1" fontId="29" fillId="6" borderId="397" xfId="0" applyNumberFormat="1" applyFont="1" applyFill="1" applyBorder="1" applyProtection="1">
      <protection locked="0"/>
    </xf>
    <xf numFmtId="1" fontId="29" fillId="6" borderId="398" xfId="0" applyNumberFormat="1" applyFont="1" applyFill="1" applyBorder="1" applyProtection="1">
      <protection locked="0"/>
    </xf>
    <xf numFmtId="1" fontId="29" fillId="6" borderId="399" xfId="0" applyNumberFormat="1" applyFont="1" applyFill="1" applyBorder="1" applyProtection="1">
      <protection locked="0"/>
    </xf>
    <xf numFmtId="1" fontId="29" fillId="15" borderId="400" xfId="0" applyNumberFormat="1" applyFont="1" applyFill="1" applyBorder="1"/>
    <xf numFmtId="1" fontId="29" fillId="15" borderId="401" xfId="0" applyNumberFormat="1" applyFont="1" applyFill="1" applyBorder="1"/>
    <xf numFmtId="1" fontId="29" fillId="15" borderId="402" xfId="0" applyNumberFormat="1" applyFont="1" applyFill="1" applyBorder="1"/>
    <xf numFmtId="1" fontId="29" fillId="15" borderId="403" xfId="0" applyNumberFormat="1" applyFont="1" applyFill="1" applyBorder="1"/>
    <xf numFmtId="1" fontId="29" fillId="11" borderId="15" xfId="0" applyNumberFormat="1" applyFont="1" applyFill="1" applyBorder="1" applyAlignment="1">
      <alignment vertical="center" wrapText="1"/>
    </xf>
    <xf numFmtId="1" fontId="29" fillId="0" borderId="15" xfId="0" applyNumberFormat="1" applyFont="1" applyBorder="1" applyAlignment="1">
      <alignment vertical="center" wrapText="1"/>
    </xf>
    <xf numFmtId="1" fontId="29" fillId="15" borderId="59" xfId="0" applyNumberFormat="1" applyFont="1" applyFill="1" applyBorder="1"/>
    <xf numFmtId="1" fontId="29" fillId="15" borderId="404" xfId="0" applyNumberFormat="1" applyFont="1" applyFill="1" applyBorder="1"/>
    <xf numFmtId="1" fontId="29" fillId="15" borderId="405" xfId="0" applyNumberFormat="1" applyFont="1" applyFill="1" applyBorder="1"/>
    <xf numFmtId="1" fontId="29" fillId="15" borderId="406" xfId="0" applyNumberFormat="1" applyFont="1" applyFill="1" applyBorder="1"/>
    <xf numFmtId="1" fontId="29" fillId="15" borderId="407" xfId="0" applyNumberFormat="1" applyFont="1" applyFill="1" applyBorder="1"/>
    <xf numFmtId="1" fontId="29" fillId="15" borderId="221" xfId="0" applyNumberFormat="1" applyFont="1" applyFill="1" applyBorder="1"/>
    <xf numFmtId="1" fontId="29" fillId="15" borderId="60" xfId="0" applyNumberFormat="1" applyFont="1" applyFill="1" applyBorder="1"/>
    <xf numFmtId="1" fontId="31" fillId="11" borderId="162" xfId="0" applyNumberFormat="1" applyFont="1" applyFill="1" applyBorder="1"/>
    <xf numFmtId="1" fontId="29" fillId="7" borderId="51" xfId="0" applyNumberFormat="1" applyFont="1" applyFill="1" applyBorder="1" applyAlignment="1">
      <alignment vertical="center" wrapText="1"/>
    </xf>
    <xf numFmtId="1" fontId="0" fillId="37" borderId="0" xfId="0" applyNumberFormat="1" applyFill="1"/>
    <xf numFmtId="0" fontId="0" fillId="37" borderId="0" xfId="0" applyFill="1"/>
    <xf numFmtId="1" fontId="31" fillId="0" borderId="0" xfId="0" applyNumberFormat="1" applyFont="1" applyAlignment="1">
      <alignment horizontal="left"/>
    </xf>
    <xf numFmtId="1" fontId="31" fillId="7" borderId="0" xfId="0" applyNumberFormat="1" applyFont="1" applyFill="1"/>
    <xf numFmtId="1" fontId="31" fillId="7" borderId="0" xfId="0" applyNumberFormat="1" applyFont="1" applyFill="1" applyAlignment="1">
      <alignment wrapText="1"/>
    </xf>
    <xf numFmtId="1" fontId="29" fillId="0" borderId="18" xfId="0" applyNumberFormat="1" applyFont="1" applyBorder="1" applyAlignment="1">
      <alignment horizontal="center" vertical="center"/>
    </xf>
    <xf numFmtId="1" fontId="29" fillId="0" borderId="70" xfId="0" applyNumberFormat="1" applyFont="1" applyBorder="1" applyAlignment="1">
      <alignment horizontal="center" vertical="center" wrapText="1"/>
    </xf>
    <xf numFmtId="1" fontId="29" fillId="0" borderId="15" xfId="0" applyNumberFormat="1" applyFont="1" applyBorder="1" applyAlignment="1">
      <alignment horizontal="center" vertical="center"/>
    </xf>
    <xf numFmtId="1" fontId="29" fillId="0" borderId="213" xfId="0" applyNumberFormat="1" applyFont="1" applyBorder="1" applyAlignment="1">
      <alignment horizontal="center" vertical="center" wrapText="1"/>
    </xf>
    <xf numFmtId="1" fontId="29" fillId="0" borderId="89" xfId="0" applyNumberFormat="1" applyFont="1" applyBorder="1" applyAlignment="1">
      <alignment vertical="center" wrapText="1"/>
    </xf>
    <xf numFmtId="1" fontId="29" fillId="0" borderId="41" xfId="0" applyNumberFormat="1" applyFont="1" applyBorder="1" applyAlignment="1">
      <alignment horizontal="right" wrapText="1"/>
    </xf>
    <xf numFmtId="1" fontId="29" fillId="6" borderId="418" xfId="0" applyNumberFormat="1" applyFont="1" applyFill="1" applyBorder="1" applyProtection="1">
      <protection locked="0"/>
    </xf>
    <xf numFmtId="1" fontId="29" fillId="6" borderId="325" xfId="0" applyNumberFormat="1" applyFont="1" applyFill="1" applyBorder="1" applyProtection="1">
      <protection locked="0"/>
    </xf>
    <xf numFmtId="1" fontId="29" fillId="6" borderId="419" xfId="0" applyNumberFormat="1" applyFont="1" applyFill="1" applyBorder="1" applyProtection="1">
      <protection locked="0"/>
    </xf>
    <xf numFmtId="1" fontId="29" fillId="6" borderId="420" xfId="0" applyNumberFormat="1" applyFont="1" applyFill="1" applyBorder="1" applyProtection="1">
      <protection locked="0"/>
    </xf>
    <xf numFmtId="1" fontId="29" fillId="0" borderId="128" xfId="0" applyNumberFormat="1" applyFont="1" applyBorder="1" applyAlignment="1">
      <alignment vertical="center" wrapText="1"/>
    </xf>
    <xf numFmtId="1" fontId="29" fillId="0" borderId="101" xfId="0" applyNumberFormat="1" applyFont="1" applyBorder="1" applyAlignment="1">
      <alignment horizontal="right" wrapText="1"/>
    </xf>
    <xf numFmtId="1" fontId="29" fillId="6" borderId="421" xfId="0" applyNumberFormat="1" applyFont="1" applyFill="1" applyBorder="1" applyProtection="1">
      <protection locked="0"/>
    </xf>
    <xf numFmtId="1" fontId="29" fillId="6" borderId="422" xfId="0" applyNumberFormat="1" applyFont="1" applyFill="1" applyBorder="1" applyProtection="1">
      <protection locked="0"/>
    </xf>
    <xf numFmtId="1" fontId="29" fillId="6" borderId="423" xfId="0" applyNumberFormat="1" applyFont="1" applyFill="1" applyBorder="1" applyProtection="1">
      <protection locked="0"/>
    </xf>
    <xf numFmtId="1" fontId="29" fillId="6" borderId="424" xfId="0" applyNumberFormat="1" applyFont="1" applyFill="1" applyBorder="1" applyProtection="1">
      <protection locked="0"/>
    </xf>
    <xf numFmtId="1" fontId="29" fillId="0" borderId="78" xfId="0" applyNumberFormat="1" applyFont="1" applyBorder="1" applyAlignment="1">
      <alignment horizontal="right" wrapText="1"/>
    </xf>
    <xf numFmtId="1" fontId="29" fillId="6" borderId="168" xfId="0" applyNumberFormat="1" applyFont="1" applyFill="1" applyBorder="1" applyProtection="1">
      <protection locked="0"/>
    </xf>
    <xf numFmtId="1" fontId="29" fillId="6" borderId="425" xfId="0" applyNumberFormat="1" applyFont="1" applyFill="1" applyBorder="1" applyProtection="1">
      <protection locked="0"/>
    </xf>
    <xf numFmtId="1" fontId="29" fillId="6" borderId="426" xfId="0" applyNumberFormat="1" applyFont="1" applyFill="1" applyBorder="1" applyProtection="1">
      <protection locked="0"/>
    </xf>
    <xf numFmtId="1" fontId="29" fillId="6" borderId="427" xfId="0" applyNumberFormat="1" applyFont="1" applyFill="1" applyBorder="1" applyProtection="1">
      <protection locked="0"/>
    </xf>
    <xf numFmtId="1" fontId="29" fillId="6" borderId="428" xfId="0" applyNumberFormat="1" applyFont="1" applyFill="1" applyBorder="1" applyProtection="1">
      <protection locked="0"/>
    </xf>
    <xf numFmtId="1" fontId="29" fillId="0" borderId="429" xfId="0" applyNumberFormat="1" applyFont="1" applyBorder="1"/>
    <xf numFmtId="1" fontId="29" fillId="0" borderId="430" xfId="0" applyNumberFormat="1" applyFont="1" applyBorder="1"/>
    <xf numFmtId="1" fontId="29" fillId="0" borderId="431" xfId="0" applyNumberFormat="1" applyFont="1" applyBorder="1"/>
    <xf numFmtId="1" fontId="29" fillId="0" borderId="432" xfId="0" applyNumberFormat="1" applyFont="1" applyBorder="1"/>
    <xf numFmtId="1" fontId="29" fillId="0" borderId="10" xfId="0" applyNumberFormat="1" applyFont="1" applyBorder="1" applyAlignment="1">
      <alignment horizontal="right" wrapText="1"/>
    </xf>
    <xf numFmtId="1" fontId="29" fillId="0" borderId="11" xfId="0" applyNumberFormat="1" applyFont="1" applyBorder="1" applyAlignment="1">
      <alignment horizontal="right" wrapText="1"/>
    </xf>
    <xf numFmtId="1" fontId="29" fillId="6" borderId="429" xfId="0" applyNumberFormat="1" applyFont="1" applyFill="1" applyBorder="1" applyProtection="1">
      <protection locked="0"/>
    </xf>
    <xf numFmtId="1" fontId="29" fillId="6" borderId="430" xfId="0" applyNumberFormat="1" applyFont="1" applyFill="1" applyBorder="1" applyProtection="1">
      <protection locked="0"/>
    </xf>
    <xf numFmtId="1" fontId="29" fillId="6" borderId="431" xfId="0" applyNumberFormat="1" applyFont="1" applyFill="1" applyBorder="1" applyProtection="1">
      <protection locked="0"/>
    </xf>
    <xf numFmtId="1" fontId="29" fillId="6" borderId="432" xfId="0" applyNumberFormat="1" applyFont="1" applyFill="1" applyBorder="1" applyProtection="1">
      <protection locked="0"/>
    </xf>
    <xf numFmtId="1" fontId="29" fillId="0" borderId="108" xfId="0" applyNumberFormat="1" applyFont="1" applyBorder="1" applyAlignment="1">
      <alignment horizontal="left" vertical="center" wrapText="1"/>
    </xf>
    <xf numFmtId="1" fontId="29" fillId="0" borderId="27" xfId="0" applyNumberFormat="1" applyFont="1" applyBorder="1" applyAlignment="1">
      <alignment horizontal="right"/>
    </xf>
    <xf numFmtId="1" fontId="29" fillId="6" borderId="108" xfId="0" applyNumberFormat="1" applyFont="1" applyFill="1" applyBorder="1" applyProtection="1">
      <protection locked="0"/>
    </xf>
    <xf numFmtId="1" fontId="29" fillId="6" borderId="408" xfId="0" applyNumberFormat="1" applyFont="1" applyFill="1" applyBorder="1" applyProtection="1">
      <protection locked="0"/>
    </xf>
    <xf numFmtId="1" fontId="29" fillId="6" borderId="409" xfId="0" applyNumberFormat="1" applyFont="1" applyFill="1" applyBorder="1" applyProtection="1">
      <protection locked="0"/>
    </xf>
    <xf numFmtId="1" fontId="29" fillId="6" borderId="410" xfId="0" applyNumberFormat="1" applyFont="1" applyFill="1" applyBorder="1" applyProtection="1">
      <protection locked="0"/>
    </xf>
    <xf numFmtId="1" fontId="29" fillId="6" borderId="411" xfId="0" applyNumberFormat="1" applyFont="1" applyFill="1" applyBorder="1" applyProtection="1">
      <protection locked="0"/>
    </xf>
    <xf numFmtId="1" fontId="29" fillId="0" borderId="16" xfId="0" applyNumberFormat="1" applyFont="1" applyBorder="1" applyAlignment="1">
      <alignment horizontal="left" vertical="center" wrapText="1"/>
    </xf>
    <xf numFmtId="1" fontId="29" fillId="0" borderId="80" xfId="0" applyNumberFormat="1" applyFont="1" applyBorder="1" applyAlignment="1">
      <alignment horizontal="right" wrapText="1"/>
    </xf>
    <xf numFmtId="1" fontId="29" fillId="0" borderId="31" xfId="0" applyNumberFormat="1" applyFont="1" applyBorder="1" applyAlignment="1">
      <alignment horizontal="right" wrapText="1"/>
    </xf>
    <xf numFmtId="1" fontId="29" fillId="6" borderId="16" xfId="0" applyNumberFormat="1" applyFont="1" applyFill="1" applyBorder="1" applyProtection="1">
      <protection locked="0"/>
    </xf>
    <xf numFmtId="1" fontId="29" fillId="6" borderId="433" xfId="0" applyNumberFormat="1" applyFont="1" applyFill="1" applyBorder="1" applyProtection="1">
      <protection locked="0"/>
    </xf>
    <xf numFmtId="1" fontId="29" fillId="6" borderId="434" xfId="0" applyNumberFormat="1" applyFont="1" applyFill="1" applyBorder="1" applyProtection="1">
      <protection locked="0"/>
    </xf>
    <xf numFmtId="1" fontId="29" fillId="6" borderId="435" xfId="0" applyNumberFormat="1" applyFont="1" applyFill="1" applyBorder="1" applyProtection="1">
      <protection locked="0"/>
    </xf>
    <xf numFmtId="1" fontId="29" fillId="6" borderId="436" xfId="0" applyNumberFormat="1" applyFont="1" applyFill="1" applyBorder="1" applyProtection="1">
      <protection locked="0"/>
    </xf>
    <xf numFmtId="1" fontId="31" fillId="0" borderId="0" xfId="0" applyNumberFormat="1" applyFont="1" applyAlignment="1">
      <alignment wrapText="1"/>
    </xf>
    <xf numFmtId="1" fontId="29" fillId="0" borderId="37" xfId="0" applyNumberFormat="1" applyFont="1" applyBorder="1" applyAlignment="1">
      <alignment horizontal="right" vertical="center" wrapText="1"/>
    </xf>
    <xf numFmtId="1" fontId="29" fillId="0" borderId="63" xfId="0" applyNumberFormat="1" applyFont="1" applyBorder="1" applyAlignment="1">
      <alignment horizontal="left" vertical="center" wrapText="1"/>
    </xf>
    <xf numFmtId="1" fontId="29" fillId="0" borderId="51" xfId="0" applyNumberFormat="1" applyFont="1" applyBorder="1" applyAlignment="1">
      <alignment horizontal="right" vertical="center" wrapText="1"/>
    </xf>
    <xf numFmtId="0" fontId="29" fillId="0" borderId="2" xfId="0" applyFont="1" applyBorder="1" applyAlignment="1">
      <alignment horizontal="center"/>
    </xf>
    <xf numFmtId="9" fontId="29" fillId="0" borderId="7" xfId="153" applyFont="1" applyBorder="1" applyAlignment="1">
      <alignment horizontal="center" vertical="center" wrapText="1"/>
    </xf>
    <xf numFmtId="1" fontId="29" fillId="11" borderId="10" xfId="0" applyNumberFormat="1" applyFont="1" applyFill="1" applyBorder="1"/>
    <xf numFmtId="1" fontId="29" fillId="11" borderId="7" xfId="0" applyNumberFormat="1" applyFont="1" applyFill="1" applyBorder="1"/>
    <xf numFmtId="1" fontId="29" fillId="11" borderId="29" xfId="0" applyNumberFormat="1" applyFont="1" applyFill="1" applyBorder="1"/>
    <xf numFmtId="1" fontId="29" fillId="11" borderId="11" xfId="0" applyNumberFormat="1" applyFont="1" applyFill="1" applyBorder="1"/>
    <xf numFmtId="1" fontId="29" fillId="11" borderId="12" xfId="0" applyNumberFormat="1" applyFont="1" applyFill="1" applyBorder="1"/>
    <xf numFmtId="1" fontId="31" fillId="7" borderId="0" xfId="0" applyNumberFormat="1" applyFont="1" applyFill="1" applyAlignment="1">
      <alignment horizontal="left"/>
    </xf>
    <xf numFmtId="1" fontId="31" fillId="7" borderId="8" xfId="0" applyNumberFormat="1" applyFont="1" applyFill="1" applyBorder="1" applyAlignment="1" applyProtection="1">
      <alignment horizontal="left"/>
      <protection hidden="1"/>
    </xf>
    <xf numFmtId="1" fontId="31" fillId="7" borderId="14" xfId="0" applyNumberFormat="1" applyFont="1" applyFill="1" applyBorder="1" applyAlignment="1" applyProtection="1">
      <alignment horizontal="left"/>
      <protection hidden="1"/>
    </xf>
    <xf numFmtId="1" fontId="31" fillId="7" borderId="14" xfId="0" applyNumberFormat="1" applyFont="1" applyFill="1" applyBorder="1" applyAlignment="1">
      <alignment horizontal="left" wrapText="1"/>
    </xf>
    <xf numFmtId="1" fontId="31" fillId="7" borderId="14" xfId="0" applyNumberFormat="1" applyFont="1" applyFill="1" applyBorder="1" applyAlignment="1" applyProtection="1">
      <alignment horizontal="left" wrapText="1"/>
      <protection hidden="1"/>
    </xf>
    <xf numFmtId="1" fontId="31" fillId="7" borderId="14" xfId="0" applyNumberFormat="1" applyFont="1" applyFill="1" applyBorder="1" applyProtection="1">
      <protection hidden="1"/>
    </xf>
    <xf numFmtId="1" fontId="32" fillId="7" borderId="14" xfId="0" applyNumberFormat="1" applyFont="1" applyFill="1" applyBorder="1" applyProtection="1">
      <protection hidden="1"/>
    </xf>
    <xf numFmtId="1" fontId="31" fillId="7" borderId="14" xfId="0" applyNumberFormat="1" applyFont="1" applyFill="1" applyBorder="1" applyAlignment="1" applyProtection="1">
      <alignment wrapText="1"/>
      <protection hidden="1"/>
    </xf>
    <xf numFmtId="1" fontId="32" fillId="7" borderId="0" xfId="0" applyNumberFormat="1" applyFont="1" applyFill="1" applyProtection="1">
      <protection hidden="1"/>
    </xf>
    <xf numFmtId="1" fontId="32" fillId="11" borderId="0" xfId="0" applyNumberFormat="1" applyFont="1" applyFill="1" applyProtection="1">
      <protection hidden="1"/>
    </xf>
    <xf numFmtId="1" fontId="29" fillId="0" borderId="36" xfId="0" applyNumberFormat="1" applyFont="1" applyBorder="1" applyAlignment="1" applyProtection="1">
      <alignment horizontal="center" vertical="center" wrapText="1"/>
      <protection hidden="1"/>
    </xf>
    <xf numFmtId="1" fontId="29" fillId="0" borderId="22" xfId="0" applyNumberFormat="1" applyFont="1" applyBorder="1" applyAlignment="1" applyProtection="1">
      <alignment horizontal="center" vertical="center"/>
      <protection hidden="1"/>
    </xf>
    <xf numFmtId="1" fontId="29" fillId="0" borderId="37" xfId="0" applyNumberFormat="1" applyFont="1" applyBorder="1" applyAlignment="1" applyProtection="1">
      <alignment horizontal="left" vertical="center" wrapText="1"/>
      <protection hidden="1"/>
    </xf>
    <xf numFmtId="1" fontId="29" fillId="6" borderId="113" xfId="0" applyNumberFormat="1" applyFont="1" applyFill="1" applyBorder="1" applyAlignment="1" applyProtection="1">
      <alignment wrapText="1"/>
      <protection locked="0"/>
    </xf>
    <xf numFmtId="1" fontId="29" fillId="6" borderId="41" xfId="0" applyNumberFormat="1" applyFont="1" applyFill="1" applyBorder="1" applyAlignment="1" applyProtection="1">
      <alignment wrapText="1"/>
      <protection locked="0"/>
    </xf>
    <xf numFmtId="1" fontId="29" fillId="6" borderId="98" xfId="0" applyNumberFormat="1" applyFont="1" applyFill="1" applyBorder="1" applyAlignment="1" applyProtection="1">
      <alignment wrapText="1"/>
      <protection locked="0"/>
    </xf>
    <xf numFmtId="1" fontId="29" fillId="6" borderId="30" xfId="0" applyNumberFormat="1" applyFont="1" applyFill="1" applyBorder="1" applyAlignment="1" applyProtection="1">
      <alignment wrapText="1"/>
      <protection locked="0"/>
    </xf>
    <xf numFmtId="1" fontId="29" fillId="6" borderId="31" xfId="0" applyNumberFormat="1" applyFont="1" applyFill="1" applyBorder="1" applyAlignment="1" applyProtection="1">
      <alignment wrapText="1"/>
      <protection locked="0"/>
    </xf>
    <xf numFmtId="1" fontId="29" fillId="6" borderId="36" xfId="0" applyNumberFormat="1" applyFont="1" applyFill="1" applyBorder="1" applyAlignment="1" applyProtection="1">
      <alignment wrapText="1"/>
      <protection locked="0"/>
    </xf>
    <xf numFmtId="1" fontId="31" fillId="0" borderId="8" xfId="0" applyNumberFormat="1" applyFont="1" applyBorder="1" applyAlignment="1" applyProtection="1">
      <alignment horizontal="left" wrapText="1"/>
      <protection hidden="1"/>
    </xf>
    <xf numFmtId="1" fontId="31" fillId="0" borderId="0" xfId="0" applyNumberFormat="1" applyFont="1" applyProtection="1">
      <protection hidden="1"/>
    </xf>
    <xf numFmtId="1" fontId="32" fillId="0" borderId="0" xfId="0" applyNumberFormat="1" applyFont="1" applyProtection="1">
      <protection hidden="1"/>
    </xf>
    <xf numFmtId="1" fontId="31" fillId="0" borderId="0" xfId="0" applyNumberFormat="1" applyFont="1" applyAlignment="1" applyProtection="1">
      <alignment wrapText="1"/>
      <protection hidden="1"/>
    </xf>
    <xf numFmtId="1" fontId="32" fillId="0" borderId="0" xfId="0" applyNumberFormat="1" applyFont="1" applyProtection="1">
      <protection locked="0"/>
    </xf>
    <xf numFmtId="1" fontId="29" fillId="0" borderId="6" xfId="0" applyNumberFormat="1" applyFont="1" applyBorder="1" applyAlignment="1" applyProtection="1">
      <alignment horizontal="center" vertical="center" wrapText="1"/>
      <protection hidden="1"/>
    </xf>
    <xf numFmtId="1" fontId="29" fillId="0" borderId="11" xfId="0" applyNumberFormat="1" applyFont="1" applyBorder="1" applyAlignment="1" applyProtection="1">
      <alignment horizontal="center" vertical="center"/>
      <protection hidden="1"/>
    </xf>
    <xf numFmtId="1" fontId="29" fillId="0" borderId="50" xfId="0" applyNumberFormat="1" applyFont="1" applyBorder="1" applyAlignment="1" applyProtection="1">
      <alignment horizontal="center" vertical="center" wrapText="1"/>
      <protection hidden="1"/>
    </xf>
    <xf numFmtId="1" fontId="29" fillId="0" borderId="87" xfId="0" applyNumberFormat="1" applyFont="1" applyBorder="1" applyAlignment="1">
      <alignment horizontal="center" vertical="center" wrapText="1"/>
    </xf>
    <xf numFmtId="1" fontId="29" fillId="0" borderId="89" xfId="0" applyNumberFormat="1" applyFont="1" applyBorder="1" applyAlignment="1" applyProtection="1">
      <alignment horizontal="left" vertical="center" wrapText="1"/>
      <protection hidden="1"/>
    </xf>
    <xf numFmtId="1" fontId="29" fillId="0" borderId="99" xfId="0" applyNumberFormat="1" applyFont="1" applyBorder="1" applyAlignment="1" applyProtection="1">
      <alignment horizontal="left" vertical="center" wrapText="1"/>
      <protection hidden="1"/>
    </xf>
    <xf numFmtId="1" fontId="29" fillId="6" borderId="117" xfId="0" applyNumberFormat="1" applyFont="1" applyFill="1" applyBorder="1" applyAlignment="1" applyProtection="1">
      <alignment wrapText="1"/>
      <protection locked="0"/>
    </xf>
    <xf numFmtId="1" fontId="29" fillId="6" borderId="103" xfId="0" applyNumberFormat="1" applyFont="1" applyFill="1" applyBorder="1" applyAlignment="1" applyProtection="1">
      <alignment wrapText="1"/>
      <protection locked="0"/>
    </xf>
    <xf numFmtId="1" fontId="29" fillId="0" borderId="51" xfId="0" applyNumberFormat="1" applyFont="1" applyBorder="1" applyAlignment="1" applyProtection="1">
      <alignment horizontal="left" vertical="center" wrapText="1"/>
      <protection hidden="1"/>
    </xf>
    <xf numFmtId="1" fontId="29" fillId="6" borderId="57" xfId="0" applyNumberFormat="1" applyFont="1" applyFill="1" applyBorder="1" applyAlignment="1" applyProtection="1">
      <alignment wrapText="1"/>
      <protection locked="0"/>
    </xf>
    <xf numFmtId="1" fontId="29" fillId="6" borderId="62" xfId="0" applyNumberFormat="1" applyFont="1" applyFill="1" applyBorder="1" applyAlignment="1" applyProtection="1">
      <alignment wrapText="1"/>
      <protection locked="0"/>
    </xf>
    <xf numFmtId="1" fontId="29" fillId="14" borderId="38" xfId="0" applyNumberFormat="1" applyFont="1" applyFill="1" applyBorder="1"/>
    <xf numFmtId="1" fontId="29" fillId="14" borderId="98" xfId="0" applyNumberFormat="1" applyFont="1" applyFill="1" applyBorder="1"/>
    <xf numFmtId="1" fontId="29" fillId="14" borderId="89" xfId="0" applyNumberFormat="1" applyFont="1" applyFill="1" applyBorder="1"/>
    <xf numFmtId="1" fontId="29" fillId="14" borderId="112" xfId="0" applyNumberFormat="1" applyFont="1" applyFill="1" applyBorder="1"/>
    <xf numFmtId="1" fontId="29" fillId="14" borderId="42" xfId="0" applyNumberFormat="1" applyFont="1" applyFill="1" applyBorder="1"/>
    <xf numFmtId="1" fontId="29" fillId="14" borderId="121" xfId="0" applyNumberFormat="1" applyFont="1" applyFill="1" applyBorder="1"/>
    <xf numFmtId="1" fontId="29" fillId="14" borderId="55" xfId="0" applyNumberFormat="1" applyFont="1" applyFill="1" applyBorder="1"/>
    <xf numFmtId="1" fontId="29" fillId="14" borderId="128" xfId="0" applyNumberFormat="1" applyFont="1" applyFill="1" applyBorder="1"/>
    <xf numFmtId="1" fontId="29" fillId="14" borderId="116" xfId="0" applyNumberFormat="1" applyFont="1" applyFill="1" applyBorder="1"/>
    <xf numFmtId="1" fontId="29" fillId="14" borderId="102" xfId="0" applyNumberFormat="1" applyFont="1" applyFill="1" applyBorder="1"/>
    <xf numFmtId="1" fontId="31" fillId="0" borderId="8" xfId="0" applyNumberFormat="1" applyFont="1" applyBorder="1" applyAlignment="1" applyProtection="1">
      <alignment horizontal="left"/>
      <protection hidden="1"/>
    </xf>
    <xf numFmtId="1" fontId="31" fillId="0" borderId="14" xfId="0" applyNumberFormat="1" applyFont="1" applyBorder="1" applyAlignment="1" applyProtection="1">
      <alignment horizontal="left" wrapText="1"/>
      <protection hidden="1"/>
    </xf>
    <xf numFmtId="1" fontId="29" fillId="0" borderId="2" xfId="0" applyNumberFormat="1" applyFont="1" applyBorder="1" applyAlignment="1" applyProtection="1">
      <alignment horizontal="center" vertical="center" wrapText="1"/>
      <protection hidden="1"/>
    </xf>
    <xf numFmtId="1" fontId="29" fillId="0" borderId="7" xfId="0" applyNumberFormat="1" applyFont="1" applyBorder="1" applyAlignment="1" applyProtection="1">
      <alignment horizontal="center" vertical="center" wrapText="1"/>
      <protection hidden="1"/>
    </xf>
    <xf numFmtId="1" fontId="29" fillId="0" borderId="10" xfId="0" applyNumberFormat="1" applyFont="1" applyBorder="1" applyAlignment="1" applyProtection="1">
      <alignment horizontal="center" vertical="center" wrapText="1"/>
      <protection hidden="1"/>
    </xf>
    <xf numFmtId="1" fontId="29" fillId="0" borderId="12" xfId="0" applyNumberFormat="1" applyFont="1" applyBorder="1" applyAlignment="1" applyProtection="1">
      <alignment horizontal="center" vertical="center" wrapText="1"/>
      <protection hidden="1"/>
    </xf>
    <xf numFmtId="1" fontId="29" fillId="0" borderId="28" xfId="0" applyNumberFormat="1" applyFont="1" applyBorder="1" applyAlignment="1" applyProtection="1">
      <alignment horizontal="center" vertical="center" wrapText="1"/>
      <protection hidden="1"/>
    </xf>
    <xf numFmtId="1" fontId="29" fillId="0" borderId="29" xfId="0" applyNumberFormat="1" applyFont="1" applyBorder="1" applyAlignment="1" applyProtection="1">
      <alignment horizontal="center" vertical="center" wrapText="1"/>
      <protection hidden="1"/>
    </xf>
    <xf numFmtId="1" fontId="29" fillId="0" borderId="37" xfId="0" applyNumberFormat="1" applyFont="1" applyBorder="1" applyAlignment="1" applyProtection="1">
      <alignment vertical="center" wrapText="1"/>
      <protection hidden="1"/>
    </xf>
    <xf numFmtId="1" fontId="29" fillId="6" borderId="38" xfId="0" applyNumberFormat="1" applyFont="1" applyFill="1" applyBorder="1" applyAlignment="1" applyProtection="1">
      <alignment wrapText="1"/>
      <protection locked="0"/>
    </xf>
    <xf numFmtId="1" fontId="29" fillId="6" borderId="112" xfId="0" applyNumberFormat="1" applyFont="1" applyFill="1" applyBorder="1" applyAlignment="1" applyProtection="1">
      <alignment wrapText="1"/>
      <protection locked="0"/>
    </xf>
    <xf numFmtId="1" fontId="29" fillId="6" borderId="42" xfId="0" applyNumberFormat="1" applyFont="1" applyFill="1" applyBorder="1" applyAlignment="1" applyProtection="1">
      <alignment wrapText="1"/>
      <protection locked="0"/>
    </xf>
    <xf numFmtId="1" fontId="29" fillId="6" borderId="39" xfId="0" applyNumberFormat="1" applyFont="1" applyFill="1" applyBorder="1" applyAlignment="1" applyProtection="1">
      <alignment wrapText="1"/>
      <protection locked="0"/>
    </xf>
    <xf numFmtId="1" fontId="29" fillId="0" borderId="99" xfId="0" applyNumberFormat="1" applyFont="1" applyBorder="1" applyAlignment="1" applyProtection="1">
      <alignment vertical="center" wrapText="1"/>
      <protection hidden="1"/>
    </xf>
    <xf numFmtId="1" fontId="29" fillId="6" borderId="100" xfId="0" applyNumberFormat="1" applyFont="1" applyFill="1" applyBorder="1" applyAlignment="1" applyProtection="1">
      <alignment wrapText="1"/>
      <protection locked="0"/>
    </xf>
    <xf numFmtId="1" fontId="29" fillId="6" borderId="116" xfId="0" applyNumberFormat="1" applyFont="1" applyFill="1" applyBorder="1" applyAlignment="1" applyProtection="1">
      <alignment wrapText="1"/>
      <protection locked="0"/>
    </xf>
    <xf numFmtId="1" fontId="29" fillId="6" borderId="102" xfId="0" applyNumberFormat="1" applyFont="1" applyFill="1" applyBorder="1" applyAlignment="1" applyProtection="1">
      <alignment wrapText="1"/>
      <protection locked="0"/>
    </xf>
    <xf numFmtId="1" fontId="29" fillId="6" borderId="131" xfId="0" applyNumberFormat="1" applyFont="1" applyFill="1" applyBorder="1" applyAlignment="1" applyProtection="1">
      <alignment wrapText="1"/>
      <protection locked="0"/>
    </xf>
    <xf numFmtId="1" fontId="29" fillId="0" borderId="51" xfId="0" applyNumberFormat="1" applyFont="1" applyBorder="1" applyAlignment="1" applyProtection="1">
      <alignment vertical="center" wrapText="1"/>
      <protection hidden="1"/>
    </xf>
    <xf numFmtId="1" fontId="29" fillId="0" borderId="177" xfId="0" applyNumberFormat="1" applyFont="1" applyBorder="1" applyAlignment="1" applyProtection="1">
      <alignment horizontal="center" vertical="center" wrapText="1"/>
      <protection hidden="1"/>
    </xf>
    <xf numFmtId="1" fontId="29" fillId="0" borderId="63" xfId="0" applyNumberFormat="1" applyFont="1" applyBorder="1" applyAlignment="1" applyProtection="1">
      <alignment vertical="center" wrapText="1"/>
      <protection hidden="1"/>
    </xf>
    <xf numFmtId="1" fontId="29" fillId="6" borderId="37" xfId="0" applyNumberFormat="1" applyFont="1" applyFill="1" applyBorder="1" applyAlignment="1" applyProtection="1">
      <alignment horizontal="right" wrapText="1"/>
      <protection locked="0"/>
    </xf>
    <xf numFmtId="1" fontId="29" fillId="6" borderId="98" xfId="0" applyNumberFormat="1" applyFont="1" applyFill="1" applyBorder="1" applyAlignment="1" applyProtection="1">
      <alignment horizontal="right"/>
      <protection locked="0"/>
    </xf>
    <xf numFmtId="1" fontId="29" fillId="6" borderId="99" xfId="0" applyNumberFormat="1" applyFont="1" applyFill="1" applyBorder="1" applyAlignment="1" applyProtection="1">
      <alignment horizontal="right" wrapText="1"/>
      <protection locked="0"/>
    </xf>
    <xf numFmtId="1" fontId="29" fillId="6" borderId="103" xfId="0" applyNumberFormat="1" applyFont="1" applyFill="1" applyBorder="1" applyAlignment="1" applyProtection="1">
      <alignment horizontal="right"/>
      <protection locked="0"/>
    </xf>
    <xf numFmtId="1" fontId="29" fillId="7" borderId="99" xfId="0" applyNumberFormat="1" applyFont="1" applyFill="1" applyBorder="1" applyAlignment="1" applyProtection="1">
      <alignment vertical="center" wrapText="1"/>
      <protection hidden="1"/>
    </xf>
    <xf numFmtId="1" fontId="29" fillId="6" borderId="103" xfId="0" applyNumberFormat="1" applyFont="1" applyFill="1" applyBorder="1" applyAlignment="1" applyProtection="1">
      <alignment horizontal="right" wrapText="1"/>
      <protection locked="0"/>
    </xf>
    <xf numFmtId="1" fontId="29" fillId="6" borderId="51" xfId="0" applyNumberFormat="1" applyFont="1" applyFill="1" applyBorder="1" applyAlignment="1" applyProtection="1">
      <alignment horizontal="right" wrapText="1"/>
      <protection locked="0"/>
    </xf>
    <xf numFmtId="1" fontId="29" fillId="6" borderId="62" xfId="0" applyNumberFormat="1" applyFont="1" applyFill="1" applyBorder="1" applyAlignment="1" applyProtection="1">
      <alignment horizontal="right"/>
      <protection locked="0"/>
    </xf>
    <xf numFmtId="1" fontId="29" fillId="0" borderId="89" xfId="0" applyNumberFormat="1" applyFont="1" applyBorder="1" applyAlignment="1">
      <alignment horizontal="left" vertical="center" wrapText="1"/>
    </xf>
    <xf numFmtId="1" fontId="29" fillId="0" borderId="99" xfId="0" applyNumberFormat="1" applyFont="1" applyBorder="1" applyAlignment="1">
      <alignment horizontal="left" vertical="center" wrapText="1"/>
    </xf>
    <xf numFmtId="1" fontId="29" fillId="0" borderId="10" xfId="0" applyNumberFormat="1" applyFont="1" applyBorder="1" applyAlignment="1">
      <alignment horizontal="right" vertical="center" wrapText="1"/>
    </xf>
    <xf numFmtId="1" fontId="29" fillId="0" borderId="11" xfId="0" applyNumberFormat="1" applyFont="1" applyBorder="1" applyAlignment="1">
      <alignment horizontal="right" vertical="center" wrapText="1"/>
    </xf>
    <xf numFmtId="1" fontId="29" fillId="0" borderId="8" xfId="0" applyNumberFormat="1" applyFont="1" applyBorder="1" applyAlignment="1">
      <alignment horizontal="right" vertical="center" wrapText="1"/>
    </xf>
    <xf numFmtId="1" fontId="29" fillId="0" borderId="12" xfId="0" applyNumberFormat="1" applyFont="1" applyBorder="1" applyAlignment="1">
      <alignment horizontal="right" vertical="center" wrapText="1"/>
    </xf>
    <xf numFmtId="1" fontId="29" fillId="0" borderId="134" xfId="0" applyNumberFormat="1" applyFont="1" applyBorder="1" applyAlignment="1">
      <alignment horizontal="right" vertical="center" wrapText="1"/>
    </xf>
    <xf numFmtId="1" fontId="29" fillId="0" borderId="29" xfId="0" applyNumberFormat="1" applyFont="1" applyBorder="1" applyAlignment="1">
      <alignment horizontal="right" vertical="center" wrapText="1"/>
    </xf>
    <xf numFmtId="1" fontId="31" fillId="0" borderId="295" xfId="0" applyNumberFormat="1" applyFont="1" applyBorder="1" applyAlignment="1">
      <alignment horizontal="left"/>
    </xf>
    <xf numFmtId="1" fontId="29" fillId="7" borderId="20" xfId="0" applyNumberFormat="1" applyFont="1" applyFill="1" applyBorder="1" applyProtection="1">
      <protection hidden="1"/>
    </xf>
    <xf numFmtId="1" fontId="29" fillId="6" borderId="89" xfId="0" applyNumberFormat="1" applyFont="1" applyFill="1" applyBorder="1" applyAlignment="1" applyProtection="1">
      <alignment horizontal="right"/>
      <protection locked="0"/>
    </xf>
    <xf numFmtId="1" fontId="29" fillId="6" borderId="419" xfId="0" applyNumberFormat="1" applyFont="1" applyFill="1" applyBorder="1" applyAlignment="1" applyProtection="1">
      <alignment horizontal="right"/>
      <protection locked="0"/>
    </xf>
    <xf numFmtId="1" fontId="29" fillId="6" borderId="440" xfId="0" applyNumberFormat="1" applyFont="1" applyFill="1" applyBorder="1" applyAlignment="1" applyProtection="1">
      <alignment horizontal="right"/>
      <protection locked="0"/>
    </xf>
    <xf numFmtId="1" fontId="29" fillId="6" borderId="140" xfId="0" applyNumberFormat="1" applyFont="1" applyFill="1" applyBorder="1" applyAlignment="1" applyProtection="1">
      <alignment horizontal="right"/>
      <protection locked="0"/>
    </xf>
    <xf numFmtId="1" fontId="29" fillId="6" borderId="423" xfId="0" applyNumberFormat="1" applyFont="1" applyFill="1" applyBorder="1" applyAlignment="1" applyProtection="1">
      <alignment horizontal="right"/>
      <protection locked="0"/>
    </xf>
    <xf numFmtId="1" fontId="29" fillId="6" borderId="441" xfId="0" applyNumberFormat="1" applyFont="1" applyFill="1" applyBorder="1" applyAlignment="1" applyProtection="1">
      <alignment horizontal="right"/>
      <protection locked="0"/>
    </xf>
    <xf numFmtId="1" fontId="29" fillId="6" borderId="36" xfId="0" applyNumberFormat="1" applyFont="1" applyFill="1" applyBorder="1" applyAlignment="1" applyProtection="1">
      <alignment horizontal="right"/>
      <protection locked="0"/>
    </xf>
    <xf numFmtId="1" fontId="29" fillId="6" borderId="14" xfId="0" applyNumberFormat="1" applyFont="1" applyFill="1" applyBorder="1" applyAlignment="1" applyProtection="1">
      <alignment horizontal="right"/>
      <protection locked="0"/>
    </xf>
    <xf numFmtId="1" fontId="29" fillId="6" borderId="416" xfId="0" applyNumberFormat="1" applyFont="1" applyFill="1" applyBorder="1" applyAlignment="1" applyProtection="1">
      <alignment horizontal="right"/>
      <protection locked="0"/>
    </xf>
    <xf numFmtId="1" fontId="29" fillId="6" borderId="439" xfId="0" applyNumberFormat="1" applyFont="1" applyFill="1" applyBorder="1" applyAlignment="1" applyProtection="1">
      <alignment horizontal="right"/>
      <protection locked="0"/>
    </xf>
    <xf numFmtId="1" fontId="29" fillId="6" borderId="10" xfId="0" applyNumberFormat="1" applyFont="1" applyFill="1" applyBorder="1" applyAlignment="1" applyProtection="1">
      <alignment horizontal="right"/>
      <protection locked="0"/>
    </xf>
    <xf numFmtId="1" fontId="29" fillId="6" borderId="11" xfId="0" applyNumberFormat="1" applyFont="1" applyFill="1" applyBorder="1" applyAlignment="1" applyProtection="1">
      <alignment horizontal="right"/>
      <protection locked="0"/>
    </xf>
    <xf numFmtId="1" fontId="29" fillId="6" borderId="20" xfId="0" applyNumberFormat="1" applyFont="1" applyFill="1" applyBorder="1" applyAlignment="1" applyProtection="1">
      <alignment horizontal="right"/>
      <protection locked="0"/>
    </xf>
    <xf numFmtId="1" fontId="29" fillId="6" borderId="133" xfId="0" applyNumberFormat="1" applyFont="1" applyFill="1" applyBorder="1" applyAlignment="1" applyProtection="1">
      <alignment horizontal="right"/>
      <protection locked="0"/>
    </xf>
    <xf numFmtId="1" fontId="29" fillId="0" borderId="86" xfId="0" applyNumberFormat="1" applyFont="1" applyBorder="1" applyAlignment="1">
      <alignment horizontal="left" vertical="center" wrapText="1"/>
    </xf>
    <xf numFmtId="1" fontId="29" fillId="6" borderId="49" xfId="0" applyNumberFormat="1" applyFont="1" applyFill="1" applyBorder="1" applyAlignment="1" applyProtection="1">
      <alignment horizontal="right"/>
      <protection locked="0"/>
    </xf>
    <xf numFmtId="1" fontId="50" fillId="0" borderId="284" xfId="0" applyNumberFormat="1" applyFont="1" applyBorder="1" applyAlignment="1">
      <alignment horizontal="center" vertical="center" wrapText="1"/>
    </xf>
    <xf numFmtId="1" fontId="50" fillId="0" borderId="0" xfId="0" applyNumberFormat="1" applyFont="1" applyAlignment="1">
      <alignment horizontal="center" vertical="center" wrapText="1"/>
    </xf>
    <xf numFmtId="1" fontId="50" fillId="0" borderId="14" xfId="0" applyNumberFormat="1" applyFont="1" applyBorder="1" applyAlignment="1">
      <alignment horizontal="center" vertical="center" wrapText="1"/>
    </xf>
    <xf numFmtId="1" fontId="50" fillId="7" borderId="14" xfId="0" applyNumberFormat="1" applyFont="1" applyFill="1" applyBorder="1" applyAlignment="1" applyProtection="1">
      <alignment horizontal="center" vertical="center" wrapText="1"/>
      <protection hidden="1"/>
    </xf>
    <xf numFmtId="1" fontId="29" fillId="0" borderId="2" xfId="0" applyNumberFormat="1" applyFont="1" applyBorder="1" applyAlignment="1">
      <alignment vertical="center" wrapText="1"/>
    </xf>
    <xf numFmtId="1" fontId="29" fillId="0" borderId="2" xfId="0" applyNumberFormat="1" applyFont="1" applyBorder="1" applyAlignment="1">
      <alignment horizontal="right" vertical="center" wrapText="1"/>
    </xf>
    <xf numFmtId="1" fontId="29" fillId="6" borderId="29" xfId="0" applyNumberFormat="1" applyFont="1" applyFill="1" applyBorder="1" applyAlignment="1" applyProtection="1">
      <alignment horizontal="right"/>
      <protection locked="0"/>
    </xf>
    <xf numFmtId="1" fontId="29" fillId="6" borderId="12" xfId="0" applyNumberFormat="1" applyFont="1" applyFill="1" applyBorder="1" applyAlignment="1" applyProtection="1">
      <alignment horizontal="right"/>
      <protection locked="0"/>
    </xf>
    <xf numFmtId="1" fontId="29" fillId="6" borderId="7" xfId="0" applyNumberFormat="1" applyFont="1" applyFill="1" applyBorder="1" applyAlignment="1" applyProtection="1">
      <alignment horizontal="right"/>
      <protection locked="0"/>
    </xf>
    <xf numFmtId="1" fontId="31" fillId="11" borderId="0" xfId="0" applyNumberFormat="1" applyFont="1" applyFill="1"/>
    <xf numFmtId="1" fontId="29" fillId="11" borderId="89" xfId="0" applyNumberFormat="1" applyFont="1" applyFill="1" applyBorder="1" applyAlignment="1">
      <alignment vertical="center" wrapText="1"/>
    </xf>
    <xf numFmtId="1" fontId="29" fillId="11" borderId="38" xfId="0" applyNumberFormat="1" applyFont="1" applyFill="1" applyBorder="1" applyAlignment="1">
      <alignment horizontal="right" wrapText="1"/>
    </xf>
    <xf numFmtId="1" fontId="29" fillId="11" borderId="41" xfId="0" applyNumberFormat="1" applyFont="1" applyFill="1" applyBorder="1" applyAlignment="1">
      <alignment horizontal="right" wrapText="1"/>
    </xf>
    <xf numFmtId="1" fontId="29" fillId="11" borderId="98" xfId="0" applyNumberFormat="1" applyFont="1" applyFill="1" applyBorder="1" applyAlignment="1">
      <alignment horizontal="right"/>
    </xf>
    <xf numFmtId="1" fontId="29" fillId="6" borderId="278" xfId="0" applyNumberFormat="1" applyFont="1" applyFill="1" applyBorder="1" applyProtection="1">
      <protection locked="0"/>
    </xf>
    <xf numFmtId="1" fontId="29" fillId="11" borderId="128" xfId="0" applyNumberFormat="1" applyFont="1" applyFill="1" applyBorder="1" applyAlignment="1">
      <alignment vertical="center" wrapText="1"/>
    </xf>
    <xf numFmtId="1" fontId="29" fillId="11" borderId="100" xfId="0" applyNumberFormat="1" applyFont="1" applyFill="1" applyBorder="1" applyAlignment="1">
      <alignment horizontal="right" wrapText="1"/>
    </xf>
    <xf numFmtId="1" fontId="29" fillId="11" borderId="101" xfId="0" applyNumberFormat="1" applyFont="1" applyFill="1" applyBorder="1" applyAlignment="1">
      <alignment horizontal="right" wrapText="1"/>
    </xf>
    <xf numFmtId="1" fontId="29" fillId="11" borderId="103" xfId="0" applyNumberFormat="1" applyFont="1" applyFill="1" applyBorder="1" applyAlignment="1">
      <alignment horizontal="right"/>
    </xf>
    <xf numFmtId="1" fontId="29" fillId="6" borderId="282" xfId="0" applyNumberFormat="1" applyFont="1" applyFill="1" applyBorder="1" applyProtection="1">
      <protection locked="0"/>
    </xf>
    <xf numFmtId="1" fontId="29" fillId="6" borderId="360" xfId="0" applyNumberFormat="1" applyFont="1" applyFill="1" applyBorder="1" applyProtection="1">
      <protection locked="0"/>
    </xf>
    <xf numFmtId="1" fontId="31" fillId="0" borderId="14" xfId="0" applyNumberFormat="1" applyFont="1" applyBorder="1"/>
    <xf numFmtId="1" fontId="29" fillId="7" borderId="128" xfId="0" applyNumberFormat="1" applyFont="1" applyFill="1" applyBorder="1"/>
    <xf numFmtId="1" fontId="29" fillId="0" borderId="128" xfId="0" quotePrefix="1" applyNumberFormat="1" applyFont="1" applyBorder="1"/>
    <xf numFmtId="1" fontId="29" fillId="7" borderId="168" xfId="0" applyNumberFormat="1" applyFont="1" applyFill="1" applyBorder="1"/>
    <xf numFmtId="1" fontId="29" fillId="7" borderId="127" xfId="0" applyNumberFormat="1" applyFont="1" applyFill="1" applyBorder="1"/>
    <xf numFmtId="1" fontId="31" fillId="7" borderId="14" xfId="0" applyNumberFormat="1" applyFont="1" applyFill="1" applyBorder="1"/>
    <xf numFmtId="0" fontId="29" fillId="0" borderId="18" xfId="0" applyFont="1" applyBorder="1" applyAlignment="1">
      <alignment horizontal="center" vertical="center"/>
    </xf>
    <xf numFmtId="0" fontId="29" fillId="0" borderId="2" xfId="0" applyFont="1" applyBorder="1" applyAlignment="1">
      <alignment horizontal="center" vertical="center" wrapText="1"/>
    </xf>
    <xf numFmtId="0" fontId="29" fillId="0" borderId="37" xfId="0" applyFont="1" applyBorder="1" applyAlignment="1">
      <alignment vertical="center" wrapText="1"/>
    </xf>
    <xf numFmtId="0" fontId="29" fillId="0" borderId="51" xfId="0" applyFont="1" applyBorder="1" applyAlignment="1">
      <alignment vertical="center" wrapText="1"/>
    </xf>
    <xf numFmtId="1" fontId="31" fillId="0" borderId="14" xfId="0" applyNumberFormat="1" applyFont="1" applyBorder="1" applyAlignment="1">
      <alignment horizontal="left"/>
    </xf>
    <xf numFmtId="1" fontId="29" fillId="0" borderId="112" xfId="0" applyNumberFormat="1" applyFont="1" applyBorder="1" applyAlignment="1">
      <alignment horizontal="right"/>
    </xf>
    <xf numFmtId="1" fontId="29" fillId="0" borderId="116" xfId="0" applyNumberFormat="1" applyFont="1" applyBorder="1" applyAlignment="1">
      <alignment horizontal="right"/>
    </xf>
    <xf numFmtId="1" fontId="29" fillId="0" borderId="121" xfId="0" applyNumberFormat="1" applyFont="1" applyBorder="1" applyAlignment="1">
      <alignment horizontal="right"/>
    </xf>
    <xf numFmtId="1" fontId="29" fillId="0" borderId="12" xfId="0" applyNumberFormat="1" applyFont="1" applyBorder="1" applyAlignment="1">
      <alignment horizontal="right"/>
    </xf>
    <xf numFmtId="1" fontId="29" fillId="0" borderId="444" xfId="0" applyNumberFormat="1" applyFont="1" applyBorder="1"/>
    <xf numFmtId="1" fontId="29" fillId="0" borderId="40" xfId="0" applyNumberFormat="1" applyFont="1" applyBorder="1" applyAlignment="1">
      <alignment horizontal="right" wrapText="1"/>
    </xf>
    <xf numFmtId="1" fontId="29" fillId="0" borderId="118" xfId="0" applyNumberFormat="1" applyFont="1" applyBorder="1" applyAlignment="1">
      <alignment horizontal="right"/>
    </xf>
    <xf numFmtId="1" fontId="29" fillId="6" borderId="444" xfId="0" applyNumberFormat="1" applyFont="1" applyFill="1" applyBorder="1" applyProtection="1">
      <protection locked="0"/>
    </xf>
    <xf numFmtId="1" fontId="51" fillId="0" borderId="14" xfId="0" applyNumberFormat="1" applyFont="1" applyBorder="1" applyAlignment="1" applyProtection="1">
      <alignment horizontal="left"/>
      <protection hidden="1"/>
    </xf>
    <xf numFmtId="1" fontId="29" fillId="0" borderId="51" xfId="0" applyNumberFormat="1" applyFont="1" applyBorder="1" applyAlignment="1">
      <alignment vertical="center" wrapText="1"/>
    </xf>
    <xf numFmtId="1" fontId="29" fillId="0" borderId="149" xfId="0" applyNumberFormat="1" applyFont="1" applyBorder="1" applyAlignment="1">
      <alignment vertical="center" wrapText="1"/>
    </xf>
    <xf numFmtId="1" fontId="29" fillId="0" borderId="149" xfId="0" applyNumberFormat="1" applyFont="1" applyBorder="1" applyAlignment="1">
      <alignment horizontal="center" vertical="center" wrapText="1"/>
    </xf>
    <xf numFmtId="1" fontId="29" fillId="6" borderId="445" xfId="0" applyNumberFormat="1" applyFont="1" applyFill="1" applyBorder="1" applyProtection="1">
      <protection locked="0"/>
    </xf>
    <xf numFmtId="1" fontId="29" fillId="6" borderId="39" xfId="0" applyNumberFormat="1" applyFont="1" applyFill="1" applyBorder="1" applyAlignment="1" applyProtection="1">
      <alignment horizontal="right"/>
      <protection locked="0"/>
    </xf>
    <xf numFmtId="1" fontId="29" fillId="6" borderId="446" xfId="0" applyNumberFormat="1" applyFont="1" applyFill="1" applyBorder="1" applyProtection="1">
      <protection locked="0"/>
    </xf>
    <xf numFmtId="1" fontId="29" fillId="0" borderId="149" xfId="0" applyNumberFormat="1" applyFont="1" applyBorder="1" applyAlignment="1">
      <alignment horizontal="right"/>
    </xf>
    <xf numFmtId="1" fontId="29" fillId="0" borderId="29" xfId="0" applyNumberFormat="1" applyFont="1" applyBorder="1" applyAlignment="1">
      <alignment horizontal="right"/>
    </xf>
    <xf numFmtId="1" fontId="27" fillId="7" borderId="0" xfId="0" applyNumberFormat="1" applyFont="1" applyFill="1" applyAlignment="1">
      <alignment vertical="center"/>
    </xf>
    <xf numFmtId="1" fontId="25" fillId="7" borderId="0" xfId="0" applyNumberFormat="1" applyFont="1" applyFill="1" applyAlignment="1">
      <alignment wrapText="1"/>
    </xf>
    <xf numFmtId="1" fontId="25" fillId="7" borderId="0" xfId="0" applyNumberFormat="1" applyFont="1" applyFill="1" applyAlignment="1">
      <alignment horizontal="left" wrapText="1"/>
    </xf>
    <xf numFmtId="1" fontId="32" fillId="7" borderId="0" xfId="0" applyNumberFormat="1" applyFont="1" applyFill="1" applyAlignment="1">
      <alignment vertical="center"/>
    </xf>
    <xf numFmtId="1" fontId="32" fillId="7" borderId="0" xfId="0" applyNumberFormat="1" applyFont="1" applyFill="1" applyAlignment="1">
      <alignment horizontal="center" vertical="center" wrapText="1"/>
    </xf>
    <xf numFmtId="1" fontId="29" fillId="0" borderId="212" xfId="0" applyNumberFormat="1" applyFont="1" applyBorder="1" applyAlignment="1">
      <alignment horizontal="center" vertical="center"/>
    </xf>
    <xf numFmtId="1" fontId="29" fillId="11" borderId="27" xfId="0" applyNumberFormat="1" applyFont="1" applyFill="1" applyBorder="1" applyAlignment="1">
      <alignment horizontal="center" vertical="center" wrapText="1"/>
    </xf>
    <xf numFmtId="1" fontId="29" fillId="0" borderId="135" xfId="0" applyNumberFormat="1" applyFont="1" applyBorder="1" applyAlignment="1">
      <alignment horizontal="center" vertical="center"/>
    </xf>
    <xf numFmtId="1" fontId="29" fillId="11" borderId="36" xfId="0" applyNumberFormat="1" applyFont="1" applyFill="1" applyBorder="1" applyAlignment="1">
      <alignment horizontal="center" vertical="center" wrapText="1"/>
    </xf>
    <xf numFmtId="1" fontId="29" fillId="0" borderId="165" xfId="0" applyNumberFormat="1" applyFont="1" applyBorder="1" applyAlignment="1">
      <alignment horizontal="center" vertical="center" wrapText="1"/>
    </xf>
    <xf numFmtId="1" fontId="29" fillId="0" borderId="430" xfId="0" applyNumberFormat="1" applyFont="1" applyBorder="1" applyAlignment="1">
      <alignment horizontal="center" vertical="center" wrapText="1"/>
    </xf>
    <xf numFmtId="1" fontId="29" fillId="6" borderId="41" xfId="93" applyNumberFormat="1" applyFont="1" applyBorder="1" applyProtection="1">
      <protection locked="0"/>
    </xf>
    <xf numFmtId="1" fontId="29" fillId="6" borderId="42" xfId="93" applyNumberFormat="1" applyFont="1" applyBorder="1" applyProtection="1">
      <protection locked="0"/>
    </xf>
    <xf numFmtId="1" fontId="29" fillId="0" borderId="159" xfId="0" applyNumberFormat="1" applyFont="1" applyBorder="1"/>
    <xf numFmtId="1" fontId="29" fillId="6" borderId="326" xfId="0" applyNumberFormat="1" applyFont="1" applyFill="1" applyBorder="1" applyProtection="1">
      <protection locked="0"/>
    </xf>
    <xf numFmtId="1" fontId="29" fillId="0" borderId="139" xfId="0" applyNumberFormat="1" applyFont="1" applyBorder="1"/>
    <xf numFmtId="1" fontId="29" fillId="14" borderId="101" xfId="0" applyNumberFormat="1" applyFont="1" applyFill="1" applyBorder="1"/>
    <xf numFmtId="1" fontId="29" fillId="0" borderId="13" xfId="0" applyNumberFormat="1" applyFont="1" applyBorder="1"/>
    <xf numFmtId="0" fontId="52" fillId="0" borderId="0" xfId="0" applyFont="1"/>
    <xf numFmtId="1" fontId="29" fillId="6" borderId="101" xfId="93" applyNumberFormat="1" applyFont="1" applyBorder="1" applyProtection="1">
      <protection locked="0"/>
    </xf>
    <xf numFmtId="1" fontId="29" fillId="6" borderId="100" xfId="93" applyNumberFormat="1" applyFont="1" applyBorder="1" applyProtection="1">
      <protection locked="0"/>
    </xf>
    <xf numFmtId="1" fontId="29" fillId="11" borderId="128" xfId="0" applyNumberFormat="1" applyFont="1" applyFill="1" applyBorder="1"/>
    <xf numFmtId="1" fontId="29" fillId="0" borderId="65" xfId="0" applyNumberFormat="1" applyFont="1" applyBorder="1"/>
    <xf numFmtId="1" fontId="29" fillId="0" borderId="143" xfId="0" applyNumberFormat="1" applyFont="1" applyBorder="1"/>
    <xf numFmtId="1" fontId="29" fillId="0" borderId="14" xfId="0" applyNumberFormat="1" applyFont="1" applyBorder="1"/>
    <xf numFmtId="1" fontId="29" fillId="7" borderId="76" xfId="0" applyNumberFormat="1" applyFont="1" applyFill="1" applyBorder="1"/>
    <xf numFmtId="1" fontId="29" fillId="7" borderId="36" xfId="0" applyNumberFormat="1" applyFont="1" applyFill="1" applyBorder="1"/>
    <xf numFmtId="1" fontId="31" fillId="0" borderId="13" xfId="0" applyNumberFormat="1" applyFont="1" applyBorder="1"/>
    <xf numFmtId="1" fontId="29" fillId="11" borderId="7" xfId="0" applyNumberFormat="1" applyFont="1" applyFill="1" applyBorder="1" applyAlignment="1">
      <alignment horizontal="center" vertical="center"/>
    </xf>
    <xf numFmtId="1" fontId="29" fillId="11" borderId="10" xfId="0" applyNumberFormat="1" applyFont="1" applyFill="1" applyBorder="1" applyAlignment="1">
      <alignment horizontal="center" vertical="center" wrapText="1"/>
    </xf>
    <xf numFmtId="1" fontId="29" fillId="11" borderId="11" xfId="0" applyNumberFormat="1" applyFont="1" applyFill="1" applyBorder="1" applyAlignment="1">
      <alignment horizontal="center" vertical="center" wrapText="1"/>
    </xf>
    <xf numFmtId="1" fontId="29" fillId="11" borderId="12" xfId="0" applyNumberFormat="1" applyFont="1" applyFill="1" applyBorder="1" applyAlignment="1">
      <alignment horizontal="center" vertical="center" wrapText="1"/>
    </xf>
    <xf numFmtId="1" fontId="29" fillId="11" borderId="76" xfId="0" applyNumberFormat="1" applyFont="1" applyFill="1" applyBorder="1" applyAlignment="1">
      <alignment horizontal="center" vertical="center" wrapText="1"/>
    </xf>
    <xf numFmtId="1" fontId="29" fillId="13" borderId="10" xfId="0" applyNumberFormat="1" applyFont="1" applyFill="1" applyBorder="1" applyAlignment="1">
      <alignment horizontal="center" vertical="center" wrapText="1"/>
    </xf>
    <xf numFmtId="1" fontId="29" fillId="13" borderId="7" xfId="0" applyNumberFormat="1" applyFont="1" applyFill="1" applyBorder="1" applyAlignment="1">
      <alignment horizontal="center" vertical="center" wrapText="1"/>
    </xf>
    <xf numFmtId="1" fontId="29" fillId="0" borderId="11" xfId="0" applyNumberFormat="1" applyFont="1" applyBorder="1" applyAlignment="1" applyProtection="1">
      <alignment horizontal="center" vertical="center" wrapText="1"/>
      <protection hidden="1"/>
    </xf>
    <xf numFmtId="1" fontId="29" fillId="11" borderId="18" xfId="0" applyNumberFormat="1" applyFont="1" applyFill="1" applyBorder="1"/>
    <xf numFmtId="1" fontId="29" fillId="11" borderId="37" xfId="0" applyNumberFormat="1" applyFont="1" applyFill="1" applyBorder="1"/>
    <xf numFmtId="1" fontId="29" fillId="13" borderId="64" xfId="0" applyNumberFormat="1" applyFont="1" applyFill="1" applyBorder="1" applyProtection="1">
      <protection locked="0"/>
    </xf>
    <xf numFmtId="1" fontId="29" fillId="13" borderId="49" xfId="0" applyNumberFormat="1" applyFont="1" applyFill="1" applyBorder="1" applyProtection="1">
      <protection locked="0"/>
    </xf>
    <xf numFmtId="1" fontId="29" fillId="11" borderId="86" xfId="0" applyNumberFormat="1" applyFont="1" applyFill="1" applyBorder="1"/>
    <xf numFmtId="1" fontId="29" fillId="6" borderId="169" xfId="0" applyNumberFormat="1" applyFont="1" applyFill="1" applyBorder="1" applyProtection="1">
      <protection locked="0"/>
    </xf>
    <xf numFmtId="1" fontId="29" fillId="11" borderId="99" xfId="0" applyNumberFormat="1" applyFont="1" applyFill="1" applyBorder="1"/>
    <xf numFmtId="1" fontId="29" fillId="11" borderId="19" xfId="0" applyNumberFormat="1" applyFont="1" applyFill="1" applyBorder="1"/>
    <xf numFmtId="1" fontId="29" fillId="6" borderId="68" xfId="0" applyNumberFormat="1" applyFont="1" applyFill="1" applyBorder="1" applyProtection="1">
      <protection locked="0"/>
    </xf>
    <xf numFmtId="1" fontId="29" fillId="11" borderId="63" xfId="0" applyNumberFormat="1" applyFont="1" applyFill="1" applyBorder="1"/>
    <xf numFmtId="1" fontId="29" fillId="13" borderId="100" xfId="0" applyNumberFormat="1" applyFont="1" applyFill="1" applyBorder="1" applyProtection="1">
      <protection locked="0"/>
    </xf>
    <xf numFmtId="1" fontId="29" fillId="13" borderId="116" xfId="0" applyNumberFormat="1" applyFont="1" applyFill="1" applyBorder="1" applyProtection="1">
      <protection locked="0"/>
    </xf>
    <xf numFmtId="1" fontId="29" fillId="13" borderId="48" xfId="0" applyNumberFormat="1" applyFont="1" applyFill="1" applyBorder="1" applyProtection="1">
      <protection locked="0"/>
    </xf>
    <xf numFmtId="1" fontId="29" fillId="11" borderId="51" xfId="0" applyNumberFormat="1" applyFont="1" applyFill="1" applyBorder="1"/>
    <xf numFmtId="1" fontId="29" fillId="13" borderId="52" xfId="0" applyNumberFormat="1" applyFont="1" applyFill="1" applyBorder="1" applyProtection="1">
      <protection locked="0"/>
    </xf>
    <xf numFmtId="1" fontId="29" fillId="13" borderId="61" xfId="0" applyNumberFormat="1" applyFont="1" applyFill="1" applyBorder="1" applyProtection="1">
      <protection locked="0"/>
    </xf>
    <xf numFmtId="1" fontId="29" fillId="0" borderId="17" xfId="0" applyNumberFormat="1" applyFont="1" applyBorder="1"/>
    <xf numFmtId="1" fontId="31" fillId="0" borderId="50" xfId="0" applyNumberFormat="1" applyFont="1" applyBorder="1"/>
    <xf numFmtId="1" fontId="32" fillId="0" borderId="36" xfId="0" applyNumberFormat="1" applyFont="1" applyBorder="1" applyProtection="1">
      <protection locked="0"/>
    </xf>
    <xf numFmtId="1" fontId="29" fillId="0" borderId="51" xfId="0" applyNumberFormat="1" applyFont="1" applyBorder="1" applyAlignment="1">
      <alignment horizontal="left" wrapText="1"/>
    </xf>
    <xf numFmtId="1" fontId="29" fillId="14" borderId="54" xfId="0" applyNumberFormat="1" applyFont="1" applyFill="1" applyBorder="1"/>
    <xf numFmtId="1" fontId="29" fillId="0" borderId="17" xfId="0" applyNumberFormat="1" applyFont="1" applyBorder="1" applyAlignment="1">
      <alignment horizontal="center" vertical="center"/>
    </xf>
    <xf numFmtId="1" fontId="29" fillId="0" borderId="52" xfId="0" applyNumberFormat="1" applyFont="1" applyBorder="1" applyAlignment="1">
      <alignment horizontal="center" vertical="center" wrapText="1"/>
    </xf>
    <xf numFmtId="1" fontId="29" fillId="0" borderId="121" xfId="0" applyNumberFormat="1" applyFont="1" applyBorder="1" applyAlignment="1">
      <alignment horizontal="center" vertical="center" wrapText="1"/>
    </xf>
    <xf numFmtId="1" fontId="29" fillId="0" borderId="22" xfId="0" applyNumberFormat="1" applyFont="1" applyBorder="1" applyAlignment="1">
      <alignment horizontal="right"/>
    </xf>
    <xf numFmtId="1" fontId="29" fillId="14" borderId="10" xfId="0" applyNumberFormat="1" applyFont="1" applyFill="1" applyBorder="1" applyAlignment="1">
      <alignment horizontal="right"/>
    </xf>
    <xf numFmtId="1" fontId="29" fillId="14" borderId="12" xfId="0" applyNumberFormat="1" applyFont="1" applyFill="1" applyBorder="1" applyAlignment="1">
      <alignment horizontal="right"/>
    </xf>
    <xf numFmtId="1" fontId="29" fillId="14" borderId="41" xfId="0" applyNumberFormat="1" applyFont="1" applyFill="1" applyBorder="1" applyAlignment="1">
      <alignment horizontal="right"/>
    </xf>
    <xf numFmtId="1" fontId="29" fillId="14" borderId="38" xfId="0" applyNumberFormat="1" applyFont="1" applyFill="1" applyBorder="1" applyAlignment="1">
      <alignment horizontal="right"/>
    </xf>
    <xf numFmtId="1" fontId="29" fillId="14" borderId="112" xfId="0" applyNumberFormat="1" applyFont="1" applyFill="1" applyBorder="1" applyAlignment="1">
      <alignment horizontal="right"/>
    </xf>
    <xf numFmtId="1" fontId="29" fillId="14" borderId="40" xfId="0" applyNumberFormat="1" applyFont="1" applyFill="1" applyBorder="1" applyAlignment="1">
      <alignment horizontal="right"/>
    </xf>
    <xf numFmtId="1" fontId="29" fillId="14" borderId="64" xfId="0" applyNumberFormat="1" applyFont="1" applyFill="1" applyBorder="1"/>
    <xf numFmtId="1" fontId="29" fillId="14" borderId="49" xfId="0" applyNumberFormat="1" applyFont="1" applyFill="1" applyBorder="1"/>
    <xf numFmtId="1" fontId="29" fillId="14" borderId="166" xfId="0" applyNumberFormat="1" applyFont="1" applyFill="1" applyBorder="1"/>
    <xf numFmtId="1" fontId="29" fillId="14" borderId="100" xfId="0" applyNumberFormat="1" applyFont="1" applyFill="1" applyBorder="1" applyAlignment="1">
      <alignment horizontal="right"/>
    </xf>
    <xf numFmtId="1" fontId="29" fillId="14" borderId="116" xfId="0" applyNumberFormat="1" applyFont="1" applyFill="1" applyBorder="1" applyAlignment="1">
      <alignment horizontal="right"/>
    </xf>
    <xf numFmtId="1" fontId="29" fillId="14" borderId="56" xfId="0" applyNumberFormat="1" applyFont="1" applyFill="1" applyBorder="1"/>
    <xf numFmtId="1" fontId="29" fillId="14" borderId="52" xfId="0" applyNumberFormat="1" applyFont="1" applyFill="1" applyBorder="1" applyAlignment="1">
      <alignment horizontal="right"/>
    </xf>
    <xf numFmtId="1" fontId="29" fillId="14" borderId="121" xfId="0" applyNumberFormat="1" applyFont="1" applyFill="1" applyBorder="1" applyAlignment="1">
      <alignment horizontal="right"/>
    </xf>
    <xf numFmtId="1" fontId="29" fillId="0" borderId="89" xfId="0" applyNumberFormat="1" applyFont="1" applyBorder="1" applyAlignment="1">
      <alignment horizontal="left" vertical="center"/>
    </xf>
    <xf numFmtId="1" fontId="29" fillId="0" borderId="128" xfId="0" applyNumberFormat="1" applyFont="1" applyBorder="1" applyAlignment="1">
      <alignment horizontal="left" vertical="center"/>
    </xf>
    <xf numFmtId="1" fontId="29" fillId="0" borderId="103" xfId="0" applyNumberFormat="1" applyFont="1" applyBorder="1" applyAlignment="1">
      <alignment horizontal="left" vertical="center"/>
    </xf>
    <xf numFmtId="1" fontId="29" fillId="0" borderId="100" xfId="0" applyNumberFormat="1" applyFont="1" applyBorder="1" applyAlignment="1">
      <alignment horizontal="right" shrinkToFit="1"/>
    </xf>
    <xf numFmtId="1" fontId="31" fillId="0" borderId="9" xfId="0" applyNumberFormat="1" applyFont="1" applyBorder="1"/>
    <xf numFmtId="1" fontId="29" fillId="0" borderId="0" xfId="0" applyNumberFormat="1" applyFont="1" applyAlignment="1">
      <alignment horizontal="center" vertical="center"/>
    </xf>
    <xf numFmtId="1" fontId="29" fillId="0" borderId="37" xfId="0" applyNumberFormat="1" applyFont="1" applyBorder="1" applyAlignment="1">
      <alignment vertical="center"/>
    </xf>
    <xf numFmtId="1" fontId="29" fillId="0" borderId="38" xfId="0" applyNumberFormat="1" applyFont="1" applyBorder="1" applyAlignment="1">
      <alignment horizontal="right"/>
    </xf>
    <xf numFmtId="1" fontId="29" fillId="6" borderId="456" xfId="0" applyNumberFormat="1" applyFont="1" applyFill="1" applyBorder="1" applyProtection="1">
      <protection locked="0"/>
    </xf>
    <xf numFmtId="1" fontId="29" fillId="6" borderId="440" xfId="0" applyNumberFormat="1" applyFont="1" applyFill="1" applyBorder="1" applyProtection="1">
      <protection locked="0"/>
    </xf>
    <xf numFmtId="1" fontId="29" fillId="0" borderId="51" xfId="0" applyNumberFormat="1" applyFont="1" applyBorder="1" applyAlignment="1">
      <alignment vertical="center"/>
    </xf>
    <xf numFmtId="1" fontId="29" fillId="6" borderId="457" xfId="0" applyNumberFormat="1" applyFont="1" applyFill="1" applyBorder="1" applyProtection="1">
      <protection locked="0"/>
    </xf>
    <xf numFmtId="1" fontId="29" fillId="6" borderId="458" xfId="0" applyNumberFormat="1" applyFont="1" applyFill="1" applyBorder="1" applyProtection="1">
      <protection locked="0"/>
    </xf>
    <xf numFmtId="1" fontId="29" fillId="0" borderId="86" xfId="0" applyNumberFormat="1" applyFont="1" applyBorder="1" applyAlignment="1">
      <alignment vertical="center"/>
    </xf>
    <xf numFmtId="1" fontId="29" fillId="6" borderId="459" xfId="0" applyNumberFormat="1" applyFont="1" applyFill="1" applyBorder="1" applyProtection="1">
      <protection locked="0"/>
    </xf>
    <xf numFmtId="1" fontId="29" fillId="6" borderId="441" xfId="0" applyNumberFormat="1" applyFont="1" applyFill="1" applyBorder="1" applyProtection="1">
      <protection locked="0"/>
    </xf>
    <xf numFmtId="1" fontId="29" fillId="6" borderId="460" xfId="0" applyNumberFormat="1" applyFont="1" applyFill="1" applyBorder="1" applyProtection="1">
      <protection locked="0"/>
    </xf>
    <xf numFmtId="1" fontId="29" fillId="6" borderId="461" xfId="0" applyNumberFormat="1" applyFont="1" applyFill="1" applyBorder="1" applyProtection="1">
      <protection locked="0"/>
    </xf>
    <xf numFmtId="1" fontId="29" fillId="0" borderId="164" xfId="0" applyNumberFormat="1" applyFont="1" applyBorder="1" applyAlignment="1">
      <alignment horizontal="right"/>
    </xf>
    <xf numFmtId="1" fontId="29" fillId="14" borderId="164" xfId="0" applyNumberFormat="1" applyFont="1" applyFill="1" applyBorder="1"/>
    <xf numFmtId="1" fontId="29" fillId="14" borderId="27" xfId="0" applyNumberFormat="1" applyFont="1" applyFill="1" applyBorder="1"/>
    <xf numFmtId="1" fontId="29" fillId="6" borderId="4" xfId="93" applyNumberFormat="1" applyFont="1" applyProtection="1">
      <protection locked="0"/>
    </xf>
    <xf numFmtId="1" fontId="29" fillId="6" borderId="449" xfId="0" applyNumberFormat="1" applyFont="1" applyFill="1" applyBorder="1" applyProtection="1">
      <protection locked="0"/>
    </xf>
    <xf numFmtId="1" fontId="29" fillId="6" borderId="437" xfId="0" applyNumberFormat="1" applyFont="1" applyFill="1" applyBorder="1" applyProtection="1">
      <protection locked="0"/>
    </xf>
    <xf numFmtId="1" fontId="29" fillId="6" borderId="462" xfId="93" applyNumberFormat="1" applyFont="1" applyBorder="1" applyProtection="1">
      <protection locked="0"/>
    </xf>
    <xf numFmtId="1" fontId="29" fillId="0" borderId="327" xfId="0" applyNumberFormat="1" applyFont="1" applyBorder="1" applyAlignment="1">
      <alignment horizontal="center" vertical="center" wrapText="1"/>
    </xf>
    <xf numFmtId="1" fontId="29" fillId="0" borderId="224" xfId="0" applyNumberFormat="1" applyFont="1" applyBorder="1" applyAlignment="1">
      <alignment horizontal="center" vertical="center"/>
    </xf>
    <xf numFmtId="1" fontId="29" fillId="0" borderId="470" xfId="0" applyNumberFormat="1" applyFont="1" applyBorder="1" applyAlignment="1">
      <alignment horizontal="center" vertical="center"/>
    </xf>
    <xf numFmtId="1" fontId="29" fillId="0" borderId="224" xfId="0" applyNumberFormat="1" applyFont="1" applyBorder="1" applyAlignment="1">
      <alignment horizontal="center" vertical="center" wrapText="1"/>
    </xf>
    <xf numFmtId="1" fontId="29" fillId="0" borderId="341" xfId="0" applyNumberFormat="1" applyFont="1" applyBorder="1" applyAlignment="1">
      <alignment horizontal="center" vertical="center" wrapText="1"/>
    </xf>
    <xf numFmtId="1" fontId="29" fillId="38" borderId="474" xfId="0" applyNumberFormat="1" applyFont="1" applyFill="1" applyBorder="1"/>
    <xf numFmtId="1" fontId="29" fillId="0" borderId="233" xfId="0" applyNumberFormat="1" applyFont="1" applyBorder="1" applyAlignment="1">
      <alignment horizontal="right" wrapText="1"/>
    </xf>
    <xf numFmtId="1" fontId="29" fillId="0" borderId="475" xfId="0" applyNumberFormat="1" applyFont="1" applyBorder="1" applyAlignment="1">
      <alignment horizontal="right" wrapText="1"/>
    </xf>
    <xf numFmtId="1" fontId="29" fillId="0" borderId="476" xfId="0" applyNumberFormat="1" applyFont="1" applyBorder="1" applyAlignment="1">
      <alignment horizontal="right" wrapText="1"/>
    </xf>
    <xf numFmtId="1" fontId="29" fillId="23" borderId="477" xfId="0" applyNumberFormat="1" applyFont="1" applyFill="1" applyBorder="1" applyProtection="1">
      <protection locked="0"/>
    </xf>
    <xf numFmtId="1" fontId="29" fillId="23" borderId="478" xfId="0" applyNumberFormat="1" applyFont="1" applyFill="1" applyBorder="1" applyProtection="1">
      <protection locked="0"/>
    </xf>
    <xf numFmtId="1" fontId="29" fillId="23" borderId="479" xfId="0" applyNumberFormat="1" applyFont="1" applyFill="1" applyBorder="1" applyProtection="1">
      <protection locked="0"/>
    </xf>
    <xf numFmtId="1" fontId="29" fillId="23" borderId="480" xfId="0" applyNumberFormat="1" applyFont="1" applyFill="1" applyBorder="1" applyProtection="1">
      <protection locked="0"/>
    </xf>
    <xf numFmtId="1" fontId="29" fillId="23" borderId="475" xfId="0" applyNumberFormat="1" applyFont="1" applyFill="1" applyBorder="1" applyProtection="1">
      <protection locked="0"/>
    </xf>
    <xf numFmtId="1" fontId="29" fillId="23" borderId="234" xfId="0" applyNumberFormat="1" applyFont="1" applyFill="1" applyBorder="1" applyProtection="1">
      <protection locked="0"/>
    </xf>
    <xf numFmtId="1" fontId="29" fillId="39" borderId="474" xfId="0" applyNumberFormat="1" applyFont="1" applyFill="1" applyBorder="1"/>
    <xf numFmtId="1" fontId="29" fillId="23" borderId="233" xfId="0" applyNumberFormat="1" applyFont="1" applyFill="1" applyBorder="1" applyProtection="1">
      <protection locked="0"/>
    </xf>
    <xf numFmtId="1" fontId="29" fillId="23" borderId="481" xfId="0" applyNumberFormat="1" applyFont="1" applyFill="1" applyBorder="1" applyProtection="1">
      <protection locked="0"/>
    </xf>
    <xf numFmtId="1" fontId="29" fillId="38" borderId="482" xfId="0" applyNumberFormat="1" applyFont="1" applyFill="1" applyBorder="1"/>
    <xf numFmtId="1" fontId="29" fillId="0" borderId="362" xfId="0" applyNumberFormat="1" applyFont="1" applyBorder="1" applyAlignment="1">
      <alignment horizontal="right" wrapText="1"/>
    </xf>
    <xf numFmtId="1" fontId="29" fillId="0" borderId="363" xfId="0" applyNumberFormat="1" applyFont="1" applyBorder="1" applyAlignment="1">
      <alignment horizontal="right" wrapText="1"/>
    </xf>
    <xf numFmtId="1" fontId="29" fillId="0" borderId="483" xfId="0" applyNumberFormat="1" applyFont="1" applyBorder="1" applyAlignment="1">
      <alignment horizontal="right" wrapText="1"/>
    </xf>
    <xf numFmtId="1" fontId="29" fillId="23" borderId="362" xfId="0" applyNumberFormat="1" applyFont="1" applyFill="1" applyBorder="1" applyProtection="1">
      <protection locked="0"/>
    </xf>
    <xf numFmtId="1" fontId="29" fillId="23" borderId="277" xfId="0" applyNumberFormat="1" applyFont="1" applyFill="1" applyBorder="1" applyProtection="1">
      <protection locked="0"/>
    </xf>
    <xf numFmtId="1" fontId="29" fillId="23" borderId="351" xfId="0" applyNumberFormat="1" applyFont="1" applyFill="1" applyBorder="1" applyProtection="1">
      <protection locked="0"/>
    </xf>
    <xf numFmtId="1" fontId="29" fillId="23" borderId="484" xfId="0" applyNumberFormat="1" applyFont="1" applyFill="1" applyBorder="1" applyProtection="1">
      <protection locked="0"/>
    </xf>
    <xf numFmtId="1" fontId="29" fillId="23" borderId="485" xfId="0" applyNumberFormat="1" applyFont="1" applyFill="1" applyBorder="1" applyProtection="1">
      <protection locked="0"/>
    </xf>
    <xf numFmtId="1" fontId="29" fillId="23" borderId="246" xfId="0" applyNumberFormat="1" applyFont="1" applyFill="1" applyBorder="1" applyProtection="1">
      <protection locked="0"/>
    </xf>
    <xf numFmtId="1" fontId="29" fillId="39" borderId="482" xfId="0" applyNumberFormat="1" applyFont="1" applyFill="1" applyBorder="1"/>
    <xf numFmtId="1" fontId="29" fillId="23" borderId="247" xfId="0" applyNumberFormat="1" applyFont="1" applyFill="1" applyBorder="1" applyProtection="1">
      <protection locked="0"/>
    </xf>
    <xf numFmtId="1" fontId="29" fillId="23" borderId="486" xfId="0" applyNumberFormat="1" applyFont="1" applyFill="1" applyBorder="1" applyProtection="1">
      <protection locked="0"/>
    </xf>
    <xf numFmtId="1" fontId="29" fillId="38" borderId="488" xfId="0" applyNumberFormat="1" applyFont="1" applyFill="1" applyBorder="1"/>
    <xf numFmtId="1" fontId="29" fillId="0" borderId="477" xfId="0" applyNumberFormat="1" applyFont="1" applyBorder="1" applyAlignment="1">
      <alignment horizontal="right" wrapText="1"/>
    </xf>
    <xf numFmtId="1" fontId="29" fillId="0" borderId="489" xfId="0" applyNumberFormat="1" applyFont="1" applyBorder="1" applyAlignment="1">
      <alignment horizontal="right" wrapText="1"/>
    </xf>
    <xf numFmtId="1" fontId="29" fillId="23" borderId="474" xfId="0" applyNumberFormat="1" applyFont="1" applyFill="1" applyBorder="1" applyProtection="1">
      <protection locked="0"/>
    </xf>
    <xf numFmtId="1" fontId="29" fillId="38" borderId="490" xfId="0" applyNumberFormat="1" applyFont="1" applyFill="1" applyBorder="1"/>
    <xf numFmtId="1" fontId="29" fillId="23" borderId="482" xfId="0" applyNumberFormat="1" applyFont="1" applyFill="1" applyBorder="1" applyProtection="1">
      <protection locked="0"/>
    </xf>
    <xf numFmtId="1" fontId="29" fillId="39" borderId="226" xfId="0" applyNumberFormat="1" applyFont="1" applyFill="1" applyBorder="1" applyAlignment="1">
      <alignment horizontal="center"/>
    </xf>
    <xf numFmtId="1" fontId="29" fillId="39" borderId="233" xfId="0" applyNumberFormat="1" applyFont="1" applyFill="1" applyBorder="1"/>
    <xf numFmtId="1" fontId="29" fillId="39" borderId="481" xfId="0" applyNumberFormat="1" applyFont="1" applyFill="1" applyBorder="1"/>
    <xf numFmtId="1" fontId="29" fillId="39" borderId="240" xfId="0" applyNumberFormat="1" applyFont="1" applyFill="1" applyBorder="1" applyAlignment="1">
      <alignment horizontal="center"/>
    </xf>
    <xf numFmtId="1" fontId="29" fillId="39" borderId="247" xfId="0" applyNumberFormat="1" applyFont="1" applyFill="1" applyBorder="1"/>
    <xf numFmtId="1" fontId="29" fillId="39" borderId="486" xfId="0" applyNumberFormat="1" applyFont="1" applyFill="1" applyBorder="1"/>
    <xf numFmtId="1" fontId="29" fillId="40" borderId="226" xfId="0" applyNumberFormat="1" applyFont="1" applyFill="1" applyBorder="1"/>
    <xf numFmtId="1" fontId="29" fillId="40" borderId="482" xfId="0" applyNumberFormat="1" applyFont="1" applyFill="1" applyBorder="1" applyAlignment="1">
      <alignment horizontal="center"/>
    </xf>
    <xf numFmtId="1" fontId="29" fillId="0" borderId="254" xfId="0" applyNumberFormat="1" applyFont="1" applyBorder="1" applyAlignment="1">
      <alignment horizontal="right" wrapText="1"/>
    </xf>
    <xf numFmtId="1" fontId="29" fillId="23" borderId="254" xfId="0" applyNumberFormat="1" applyFont="1" applyFill="1" applyBorder="1" applyProtection="1">
      <protection locked="0"/>
    </xf>
    <xf numFmtId="1" fontId="29" fillId="23" borderId="491" xfId="0" applyNumberFormat="1" applyFont="1" applyFill="1" applyBorder="1" applyProtection="1">
      <protection locked="0"/>
    </xf>
    <xf numFmtId="1" fontId="29" fillId="23" borderId="492" xfId="0" applyNumberFormat="1" applyFont="1" applyFill="1" applyBorder="1" applyProtection="1">
      <protection locked="0"/>
    </xf>
    <xf numFmtId="1" fontId="29" fillId="41" borderId="480" xfId="0" applyNumberFormat="1" applyFont="1" applyFill="1" applyBorder="1"/>
    <xf numFmtId="1" fontId="29" fillId="41" borderId="475" xfId="0" applyNumberFormat="1" applyFont="1" applyFill="1" applyBorder="1"/>
    <xf numFmtId="1" fontId="29" fillId="41" borderId="234" xfId="0" applyNumberFormat="1" applyFont="1" applyFill="1" applyBorder="1"/>
    <xf numFmtId="1" fontId="29" fillId="40" borderId="226" xfId="0" applyNumberFormat="1" applyFont="1" applyFill="1" applyBorder="1" applyAlignment="1">
      <alignment horizontal="center"/>
    </xf>
    <xf numFmtId="1" fontId="29" fillId="38" borderId="494" xfId="0" applyNumberFormat="1" applyFont="1" applyFill="1" applyBorder="1"/>
    <xf numFmtId="1" fontId="29" fillId="41" borderId="495" xfId="0" applyNumberFormat="1" applyFont="1" applyFill="1" applyBorder="1"/>
    <xf numFmtId="1" fontId="29" fillId="41" borderId="496" xfId="0" applyNumberFormat="1" applyFont="1" applyFill="1" applyBorder="1"/>
    <xf numFmtId="1" fontId="29" fillId="41" borderId="497" xfId="0" applyNumberFormat="1" applyFont="1" applyFill="1" applyBorder="1"/>
    <xf numFmtId="1" fontId="29" fillId="40" borderId="498" xfId="0" applyNumberFormat="1" applyFont="1" applyFill="1" applyBorder="1" applyAlignment="1">
      <alignment horizontal="center"/>
    </xf>
    <xf numFmtId="1" fontId="29" fillId="39" borderId="499" xfId="0" applyNumberFormat="1" applyFont="1" applyFill="1" applyBorder="1"/>
    <xf numFmtId="0" fontId="29" fillId="0" borderId="10" xfId="0" applyFont="1" applyBorder="1" applyAlignment="1">
      <alignment horizontal="center" vertical="center"/>
    </xf>
    <xf numFmtId="0" fontId="29" fillId="0" borderId="11" xfId="0" applyFont="1" applyBorder="1" applyAlignment="1">
      <alignment horizontal="center" vertical="center"/>
    </xf>
    <xf numFmtId="0" fontId="29" fillId="0" borderId="20" xfId="0" applyFont="1" applyBorder="1" applyAlignment="1">
      <alignment horizontal="center"/>
    </xf>
    <xf numFmtId="0" fontId="29" fillId="0" borderId="7" xfId="0" applyFont="1" applyBorder="1" applyAlignment="1">
      <alignment horizontal="center" vertical="center"/>
    </xf>
    <xf numFmtId="0" fontId="29" fillId="0" borderId="76" xfId="0" applyFont="1" applyBorder="1" applyAlignment="1">
      <alignment horizontal="center" vertical="center"/>
    </xf>
    <xf numFmtId="0" fontId="29" fillId="0" borderId="146" xfId="0" applyFont="1" applyBorder="1" applyAlignment="1">
      <alignment horizontal="center" vertical="center"/>
    </xf>
    <xf numFmtId="0" fontId="29" fillId="0" borderId="32" xfId="0" applyFont="1" applyBorder="1" applyAlignment="1">
      <alignment horizontal="center" vertical="center" wrapText="1"/>
    </xf>
    <xf numFmtId="0" fontId="29" fillId="30" borderId="29" xfId="0" applyFont="1" applyFill="1" applyBorder="1" applyAlignment="1">
      <alignment horizontal="center" vertical="center" wrapText="1"/>
    </xf>
    <xf numFmtId="0" fontId="29" fillId="30" borderId="12" xfId="0" applyFont="1" applyFill="1" applyBorder="1" applyAlignment="1">
      <alignment horizontal="center" vertical="center" wrapText="1"/>
    </xf>
    <xf numFmtId="1" fontId="29" fillId="7" borderId="10" xfId="0" applyNumberFormat="1" applyFont="1" applyFill="1" applyBorder="1"/>
    <xf numFmtId="0" fontId="29" fillId="0" borderId="11" xfId="0" applyFont="1" applyBorder="1"/>
    <xf numFmtId="0" fontId="29" fillId="0" borderId="7" xfId="0" applyFont="1" applyBorder="1"/>
    <xf numFmtId="0" fontId="29" fillId="27" borderId="10" xfId="0" applyFont="1" applyFill="1" applyBorder="1" applyProtection="1">
      <protection locked="0"/>
    </xf>
    <xf numFmtId="0" fontId="29" fillId="27" borderId="12" xfId="0" applyFont="1" applyFill="1" applyBorder="1" applyProtection="1">
      <protection locked="0"/>
    </xf>
    <xf numFmtId="0" fontId="29" fillId="27" borderId="29" xfId="0" applyFont="1" applyFill="1" applyBorder="1" applyProtection="1">
      <protection locked="0"/>
    </xf>
    <xf numFmtId="0" fontId="29" fillId="27" borderId="270" xfId="0" applyFont="1" applyFill="1" applyBorder="1" applyProtection="1">
      <protection locked="0"/>
    </xf>
    <xf numFmtId="0" fontId="29" fillId="27" borderId="500" xfId="0" applyFont="1" applyFill="1" applyBorder="1" applyProtection="1">
      <protection locked="0"/>
    </xf>
    <xf numFmtId="0" fontId="29" fillId="27" borderId="501" xfId="0" applyFont="1" applyFill="1" applyBorder="1" applyProtection="1">
      <protection locked="0"/>
    </xf>
    <xf numFmtId="0" fontId="29" fillId="27" borderId="502" xfId="0" applyFont="1" applyFill="1" applyBorder="1" applyProtection="1">
      <protection locked="0"/>
    </xf>
    <xf numFmtId="0" fontId="29" fillId="27" borderId="503" xfId="0" applyFont="1" applyFill="1" applyBorder="1" applyProtection="1">
      <protection locked="0"/>
    </xf>
    <xf numFmtId="0" fontId="29" fillId="27" borderId="504" xfId="0" applyFont="1" applyFill="1" applyBorder="1" applyProtection="1">
      <protection locked="0"/>
    </xf>
    <xf numFmtId="0" fontId="29" fillId="27" borderId="505" xfId="0" applyFont="1" applyFill="1" applyBorder="1" applyProtection="1">
      <protection locked="0"/>
    </xf>
    <xf numFmtId="0" fontId="29" fillId="27" borderId="506" xfId="0" applyFont="1" applyFill="1" applyBorder="1" applyProtection="1">
      <protection locked="0"/>
    </xf>
    <xf numFmtId="0" fontId="29" fillId="27" borderId="507" xfId="0" applyFont="1" applyFill="1" applyBorder="1" applyProtection="1">
      <protection locked="0"/>
    </xf>
    <xf numFmtId="0" fontId="29" fillId="0" borderId="63" xfId="0" applyFont="1" applyBorder="1" applyAlignment="1">
      <alignment wrapText="1"/>
    </xf>
    <xf numFmtId="0" fontId="29" fillId="27" borderId="118" xfId="0" applyFont="1" applyFill="1" applyBorder="1" applyProtection="1">
      <protection locked="0"/>
    </xf>
    <xf numFmtId="0" fontId="29" fillId="42" borderId="64" xfId="0" applyFont="1" applyFill="1" applyBorder="1"/>
    <xf numFmtId="0" fontId="29" fillId="42" borderId="118" xfId="0" applyFont="1" applyFill="1" applyBorder="1"/>
    <xf numFmtId="0" fontId="29" fillId="42" borderId="65" xfId="0" applyFont="1" applyFill="1" applyBorder="1"/>
    <xf numFmtId="0" fontId="29" fillId="42" borderId="508" xfId="0" applyFont="1" applyFill="1" applyBorder="1"/>
    <xf numFmtId="0" fontId="29" fillId="42" borderId="509" xfId="0" applyFont="1" applyFill="1" applyBorder="1"/>
    <xf numFmtId="0" fontId="29" fillId="27" borderId="491" xfId="0" applyFont="1" applyFill="1" applyBorder="1" applyProtection="1">
      <protection locked="0"/>
    </xf>
    <xf numFmtId="0" fontId="29" fillId="27" borderId="510" xfId="0" applyFont="1" applyFill="1" applyBorder="1" applyProtection="1">
      <protection locked="0"/>
    </xf>
    <xf numFmtId="0" fontId="29" fillId="27" borderId="511" xfId="0" applyFont="1" applyFill="1" applyBorder="1" applyProtection="1">
      <protection locked="0"/>
    </xf>
    <xf numFmtId="0" fontId="29" fillId="27" borderId="512" xfId="0" applyFont="1" applyFill="1" applyBorder="1" applyProtection="1">
      <protection locked="0"/>
    </xf>
    <xf numFmtId="0" fontId="29" fillId="27" borderId="513" xfId="0" applyFont="1" applyFill="1" applyBorder="1" applyProtection="1">
      <protection locked="0"/>
    </xf>
    <xf numFmtId="0" fontId="29" fillId="27" borderId="253" xfId="0" applyFont="1" applyFill="1" applyBorder="1" applyProtection="1">
      <protection locked="0"/>
    </xf>
    <xf numFmtId="0" fontId="29" fillId="27" borderId="252" xfId="0" applyFont="1" applyFill="1" applyBorder="1" applyProtection="1">
      <protection locked="0"/>
    </xf>
    <xf numFmtId="0" fontId="29" fillId="0" borderId="99" xfId="0" applyFont="1" applyBorder="1" applyAlignment="1">
      <alignment wrapText="1"/>
    </xf>
    <xf numFmtId="0" fontId="29" fillId="27" borderId="100" xfId="0" applyFont="1" applyFill="1" applyBorder="1" applyProtection="1">
      <protection locked="0"/>
    </xf>
    <xf numFmtId="0" fontId="29" fillId="27" borderId="116" xfId="0" applyFont="1" applyFill="1" applyBorder="1" applyProtection="1">
      <protection locked="0"/>
    </xf>
    <xf numFmtId="0" fontId="29" fillId="42" borderId="100" xfId="0" applyFont="1" applyFill="1" applyBorder="1"/>
    <xf numFmtId="0" fontId="29" fillId="42" borderId="116" xfId="0" applyFont="1" applyFill="1" applyBorder="1"/>
    <xf numFmtId="0" fontId="29" fillId="42" borderId="131" xfId="0" applyFont="1" applyFill="1" applyBorder="1"/>
    <xf numFmtId="0" fontId="29" fillId="42" borderId="514" xfId="0" applyFont="1" applyFill="1" applyBorder="1"/>
    <xf numFmtId="0" fontId="29" fillId="42" borderId="515" xfId="0" applyFont="1" applyFill="1" applyBorder="1"/>
    <xf numFmtId="0" fontId="29" fillId="27" borderId="317" xfId="0" applyFont="1" applyFill="1" applyBorder="1" applyProtection="1">
      <protection locked="0"/>
    </xf>
    <xf numFmtId="0" fontId="29" fillId="27" borderId="316" xfId="0" applyFont="1" applyFill="1" applyBorder="1" applyProtection="1">
      <protection locked="0"/>
    </xf>
    <xf numFmtId="0" fontId="29" fillId="27" borderId="516" xfId="0" applyFont="1" applyFill="1" applyBorder="1" applyProtection="1">
      <protection locked="0"/>
    </xf>
    <xf numFmtId="0" fontId="29" fillId="27" borderId="517" xfId="0" applyFont="1" applyFill="1" applyBorder="1" applyProtection="1">
      <protection locked="0"/>
    </xf>
    <xf numFmtId="0" fontId="29" fillId="27" borderId="518" xfId="0" applyFont="1" applyFill="1" applyBorder="1" applyProtection="1">
      <protection locked="0"/>
    </xf>
    <xf numFmtId="0" fontId="29" fillId="27" borderId="231" xfId="0" applyFont="1" applyFill="1" applyBorder="1" applyProtection="1">
      <protection locked="0"/>
    </xf>
    <xf numFmtId="0" fontId="29" fillId="27" borderId="261" xfId="0" applyFont="1" applyFill="1" applyBorder="1" applyProtection="1">
      <protection locked="0"/>
    </xf>
    <xf numFmtId="0" fontId="29" fillId="27" borderId="131" xfId="0" applyFont="1" applyFill="1" applyBorder="1" applyProtection="1">
      <protection locked="0"/>
    </xf>
    <xf numFmtId="0" fontId="29" fillId="27" borderId="514" xfId="0" applyFont="1" applyFill="1" applyBorder="1" applyProtection="1">
      <protection locked="0"/>
    </xf>
    <xf numFmtId="0" fontId="29" fillId="0" borderId="51" xfId="0" applyFont="1" applyBorder="1" applyAlignment="1">
      <alignment wrapText="1"/>
    </xf>
    <xf numFmtId="0" fontId="29" fillId="27" borderId="52" xfId="0" applyFont="1" applyFill="1" applyBorder="1" applyProtection="1">
      <protection locked="0"/>
    </xf>
    <xf numFmtId="0" fontId="29" fillId="27" borderId="121" xfId="0" applyFont="1" applyFill="1" applyBorder="1" applyProtection="1">
      <protection locked="0"/>
    </xf>
    <xf numFmtId="0" fontId="29" fillId="27" borderId="446" xfId="0" applyFont="1" applyFill="1" applyBorder="1" applyProtection="1">
      <protection locked="0"/>
    </xf>
    <xf numFmtId="0" fontId="29" fillId="42" borderId="519" xfId="0" applyFont="1" applyFill="1" applyBorder="1"/>
    <xf numFmtId="0" fontId="29" fillId="27" borderId="490" xfId="0" applyFont="1" applyFill="1" applyBorder="1" applyProtection="1">
      <protection locked="0"/>
    </xf>
    <xf numFmtId="0" fontId="29" fillId="27" borderId="520" xfId="0" applyFont="1" applyFill="1" applyBorder="1" applyProtection="1">
      <protection locked="0"/>
    </xf>
    <xf numFmtId="0" fontId="29" fillId="27" borderId="521" xfId="0" applyFont="1" applyFill="1" applyBorder="1" applyProtection="1">
      <protection locked="0"/>
    </xf>
    <xf numFmtId="0" fontId="29" fillId="27" borderId="522" xfId="0" applyFont="1" applyFill="1" applyBorder="1" applyProtection="1">
      <protection locked="0"/>
    </xf>
    <xf numFmtId="0" fontId="29" fillId="27" borderId="523" xfId="0" applyFont="1" applyFill="1" applyBorder="1" applyProtection="1">
      <protection locked="0"/>
    </xf>
    <xf numFmtId="0" fontId="29" fillId="27" borderId="243" xfId="0" applyFont="1" applyFill="1" applyBorder="1" applyProtection="1">
      <protection locked="0"/>
    </xf>
    <xf numFmtId="0" fontId="29" fillId="27" borderId="524" xfId="0" applyFont="1" applyFill="1" applyBorder="1" applyProtection="1">
      <protection locked="0"/>
    </xf>
    <xf numFmtId="0" fontId="29" fillId="0" borderId="2" xfId="0" applyFont="1" applyBorder="1" applyAlignment="1">
      <alignment horizontal="center" vertical="center"/>
    </xf>
    <xf numFmtId="0" fontId="29" fillId="0" borderId="12" xfId="0" applyFont="1" applyBorder="1" applyAlignment="1">
      <alignment horizontal="center" vertical="center" wrapText="1"/>
    </xf>
    <xf numFmtId="0" fontId="29" fillId="0" borderId="29" xfId="0" applyFont="1" applyBorder="1" applyAlignment="1">
      <alignment horizontal="center" vertical="center" wrapText="1"/>
    </xf>
    <xf numFmtId="0" fontId="29" fillId="0" borderId="37" xfId="0" applyFont="1" applyBorder="1" applyAlignment="1">
      <alignment horizontal="left" wrapText="1"/>
    </xf>
    <xf numFmtId="1" fontId="29" fillId="7" borderId="2" xfId="0" applyNumberFormat="1" applyFont="1" applyFill="1" applyBorder="1"/>
    <xf numFmtId="1" fontId="29" fillId="7" borderId="38" xfId="0" applyNumberFormat="1" applyFont="1" applyFill="1" applyBorder="1"/>
    <xf numFmtId="1" fontId="29" fillId="7" borderId="138" xfId="0" applyNumberFormat="1" applyFont="1" applyFill="1" applyBorder="1"/>
    <xf numFmtId="0" fontId="29" fillId="27" borderId="112" xfId="0" applyFont="1" applyFill="1" applyBorder="1" applyProtection="1">
      <protection locked="0"/>
    </xf>
    <xf numFmtId="0" fontId="29" fillId="27" borderId="98" xfId="0" applyFont="1" applyFill="1" applyBorder="1" applyProtection="1">
      <protection locked="0"/>
    </xf>
    <xf numFmtId="0" fontId="29" fillId="0" borderId="15" xfId="0" applyFont="1" applyBorder="1" applyAlignment="1">
      <alignment horizontal="left" wrapText="1"/>
    </xf>
    <xf numFmtId="0" fontId="29" fillId="27" borderId="17" xfId="0" applyFont="1" applyFill="1" applyBorder="1" applyProtection="1">
      <protection locked="0"/>
    </xf>
    <xf numFmtId="1" fontId="26" fillId="11" borderId="0" xfId="0" applyNumberFormat="1" applyFont="1" applyFill="1" applyProtection="1">
      <protection locked="0"/>
    </xf>
    <xf numFmtId="0" fontId="0" fillId="11" borderId="0" xfId="0" applyFill="1"/>
    <xf numFmtId="1" fontId="29" fillId="7" borderId="27" xfId="0" applyNumberFormat="1" applyFont="1" applyFill="1" applyBorder="1" applyAlignment="1">
      <alignment horizontal="center" vertical="center"/>
    </xf>
    <xf numFmtId="0" fontId="29" fillId="0" borderId="164" xfId="0" applyFont="1" applyBorder="1" applyAlignment="1">
      <alignment horizontal="center" vertical="center" wrapText="1"/>
    </xf>
    <xf numFmtId="0" fontId="29" fillId="0" borderId="212" xfId="0" applyFont="1" applyBorder="1" applyAlignment="1">
      <alignment horizontal="center" vertical="center" wrapText="1"/>
    </xf>
    <xf numFmtId="0" fontId="29" fillId="0" borderId="136" xfId="0" applyFont="1" applyBorder="1" applyAlignment="1">
      <alignment horizontal="center" wrapText="1"/>
    </xf>
    <xf numFmtId="0" fontId="29" fillId="0" borderId="11" xfId="0" applyFont="1" applyBorder="1" applyAlignment="1">
      <alignment horizontal="center" wrapText="1"/>
    </xf>
    <xf numFmtId="0" fontId="29" fillId="0" borderId="7" xfId="0" applyFont="1" applyBorder="1" applyAlignment="1">
      <alignment horizontal="center"/>
    </xf>
    <xf numFmtId="0" fontId="0" fillId="0" borderId="13" xfId="0" applyBorder="1" applyAlignment="1">
      <alignment wrapText="1"/>
    </xf>
    <xf numFmtId="1" fontId="23" fillId="11" borderId="0" xfId="0" applyNumberFormat="1" applyFont="1" applyFill="1" applyProtection="1">
      <protection locked="0"/>
    </xf>
    <xf numFmtId="1" fontId="34" fillId="7" borderId="0" xfId="0" applyNumberFormat="1" applyFont="1" applyFill="1"/>
    <xf numFmtId="1" fontId="15" fillId="7" borderId="0" xfId="0" applyNumberFormat="1" applyFont="1" applyFill="1" applyAlignment="1">
      <alignment horizontal="left"/>
    </xf>
    <xf numFmtId="1" fontId="23" fillId="7" borderId="0" xfId="0" applyNumberFormat="1" applyFont="1" applyFill="1" applyAlignment="1">
      <alignment horizontal="center"/>
    </xf>
    <xf numFmtId="1" fontId="10" fillId="7" borderId="0" xfId="0" applyNumberFormat="1" applyFont="1" applyFill="1" applyAlignment="1">
      <alignment horizontal="center" vertical="center"/>
    </xf>
    <xf numFmtId="1" fontId="10" fillId="7" borderId="0" xfId="0" applyNumberFormat="1" applyFont="1" applyFill="1" applyAlignment="1">
      <alignment horizontal="left"/>
    </xf>
    <xf numFmtId="1" fontId="34" fillId="11" borderId="0" xfId="0" applyNumberFormat="1" applyFont="1" applyFill="1"/>
    <xf numFmtId="1" fontId="10" fillId="0" borderId="22" xfId="0" applyNumberFormat="1" applyFont="1" applyBorder="1" applyAlignment="1">
      <alignment horizontal="center" vertical="center"/>
    </xf>
    <xf numFmtId="1" fontId="10" fillId="0" borderId="112" xfId="0" applyNumberFormat="1" applyFont="1" applyBorder="1" applyAlignment="1">
      <alignment horizontal="right"/>
    </xf>
    <xf numFmtId="1" fontId="10" fillId="11" borderId="0" xfId="0" applyNumberFormat="1" applyFont="1" applyFill="1" applyAlignment="1" applyProtection="1">
      <alignment vertical="center"/>
      <protection locked="0"/>
    </xf>
    <xf numFmtId="1" fontId="10" fillId="11" borderId="0" xfId="0" applyNumberFormat="1" applyFont="1" applyFill="1" applyAlignment="1">
      <alignment vertical="top" wrapText="1"/>
    </xf>
    <xf numFmtId="0" fontId="35" fillId="16" borderId="0" xfId="0" applyFont="1" applyFill="1"/>
    <xf numFmtId="0" fontId="35" fillId="21" borderId="0" xfId="0" applyFont="1" applyFill="1"/>
    <xf numFmtId="0" fontId="22" fillId="21" borderId="0" xfId="0" applyFont="1" applyFill="1"/>
    <xf numFmtId="1" fontId="10" fillId="0" borderId="122" xfId="0" applyNumberFormat="1" applyFont="1" applyBorder="1" applyAlignment="1">
      <alignment horizontal="right"/>
    </xf>
    <xf numFmtId="1" fontId="10" fillId="0" borderId="101" xfId="0" applyNumberFormat="1" applyFont="1" applyBorder="1" applyAlignment="1">
      <alignment horizontal="right"/>
    </xf>
    <xf numFmtId="1" fontId="10" fillId="0" borderId="116" xfId="0" applyNumberFormat="1" applyFont="1" applyBorder="1" applyAlignment="1">
      <alignment horizontal="right"/>
    </xf>
    <xf numFmtId="1" fontId="10" fillId="14" borderId="131" xfId="0" applyNumberFormat="1" applyFont="1" applyFill="1" applyBorder="1"/>
    <xf numFmtId="1" fontId="10" fillId="14" borderId="99" xfId="0" applyNumberFormat="1" applyFont="1" applyFill="1" applyBorder="1"/>
    <xf numFmtId="1" fontId="34" fillId="29" borderId="0" xfId="0" applyNumberFormat="1" applyFont="1" applyFill="1"/>
    <xf numFmtId="1" fontId="23" fillId="29" borderId="0" xfId="0" applyNumberFormat="1" applyFont="1" applyFill="1"/>
    <xf numFmtId="1" fontId="10" fillId="0" borderId="61" xfId="0" applyNumberFormat="1" applyFont="1" applyBorder="1" applyAlignment="1">
      <alignment horizontal="left" vertical="center"/>
    </xf>
    <xf numFmtId="1" fontId="10" fillId="0" borderId="54" xfId="0" applyNumberFormat="1" applyFont="1" applyBorder="1" applyAlignment="1">
      <alignment horizontal="right"/>
    </xf>
    <xf numFmtId="1" fontId="10" fillId="0" borderId="121" xfId="0" applyNumberFormat="1" applyFont="1" applyBorder="1" applyAlignment="1">
      <alignment horizontal="right"/>
    </xf>
    <xf numFmtId="1" fontId="10" fillId="0" borderId="346" xfId="0" applyNumberFormat="1" applyFont="1" applyBorder="1" applyAlignment="1">
      <alignment horizontal="center" vertical="center" wrapText="1"/>
    </xf>
    <xf numFmtId="1" fontId="10" fillId="7" borderId="164" xfId="0" applyNumberFormat="1" applyFont="1" applyFill="1" applyBorder="1" applyAlignment="1">
      <alignment horizontal="center" vertical="center"/>
    </xf>
    <xf numFmtId="1" fontId="10" fillId="6" borderId="166" xfId="0" applyNumberFormat="1" applyFont="1" applyFill="1" applyBorder="1" applyProtection="1">
      <protection locked="0"/>
    </xf>
    <xf numFmtId="1" fontId="10" fillId="6" borderId="281" xfId="0" applyNumberFormat="1" applyFont="1" applyFill="1" applyBorder="1" applyProtection="1">
      <protection locked="0"/>
    </xf>
    <xf numFmtId="1" fontId="10" fillId="6" borderId="525" xfId="0" applyNumberFormat="1" applyFont="1" applyFill="1" applyBorder="1" applyAlignment="1" applyProtection="1">
      <alignment horizontal="right"/>
      <protection locked="0"/>
    </xf>
    <xf numFmtId="1" fontId="10" fillId="11" borderId="37" xfId="0" applyNumberFormat="1" applyFont="1" applyFill="1" applyBorder="1" applyAlignment="1">
      <alignment horizontal="right"/>
    </xf>
    <xf numFmtId="1" fontId="10" fillId="6" borderId="279" xfId="0" applyNumberFormat="1" applyFont="1" applyFill="1" applyBorder="1" applyAlignment="1" applyProtection="1">
      <alignment horizontal="right"/>
      <protection locked="0"/>
    </xf>
    <xf numFmtId="1" fontId="10" fillId="6" borderId="198" xfId="0" applyNumberFormat="1" applyFont="1" applyFill="1" applyBorder="1" applyAlignment="1" applyProtection="1">
      <alignment horizontal="right"/>
      <protection locked="0"/>
    </xf>
    <xf numFmtId="1" fontId="10" fillId="15" borderId="128" xfId="0" applyNumberFormat="1" applyFont="1" applyFill="1" applyBorder="1"/>
    <xf numFmtId="1" fontId="10" fillId="15" borderId="283" xfId="0" applyNumberFormat="1" applyFont="1" applyFill="1" applyBorder="1"/>
    <xf numFmtId="1" fontId="10" fillId="15" borderId="100" xfId="0" applyNumberFormat="1" applyFont="1" applyFill="1" applyBorder="1" applyAlignment="1">
      <alignment horizontal="right" wrapText="1"/>
    </xf>
    <xf numFmtId="1" fontId="10" fillId="15" borderId="101" xfId="0" applyNumberFormat="1" applyFont="1" applyFill="1" applyBorder="1" applyAlignment="1">
      <alignment horizontal="right" wrapText="1"/>
    </xf>
    <xf numFmtId="1" fontId="10" fillId="15" borderId="102" xfId="0" applyNumberFormat="1" applyFont="1" applyFill="1" applyBorder="1"/>
    <xf numFmtId="1" fontId="10" fillId="15" borderId="99" xfId="0" applyNumberFormat="1" applyFont="1" applyFill="1" applyBorder="1"/>
    <xf numFmtId="1" fontId="10" fillId="15" borderId="198" xfId="0" applyNumberFormat="1" applyFont="1" applyFill="1" applyBorder="1" applyAlignment="1">
      <alignment horizontal="right"/>
    </xf>
    <xf numFmtId="0" fontId="35" fillId="29" borderId="0" xfId="0" applyFont="1" applyFill="1"/>
    <xf numFmtId="0" fontId="22" fillId="29" borderId="0" xfId="0" applyFont="1" applyFill="1"/>
    <xf numFmtId="1" fontId="10" fillId="0" borderId="335" xfId="0" applyNumberFormat="1" applyFont="1" applyBorder="1" applyAlignment="1">
      <alignment horizontal="left" vertical="center" wrapText="1"/>
    </xf>
    <xf numFmtId="1" fontId="10" fillId="6" borderId="526" xfId="0" applyNumberFormat="1" applyFont="1" applyFill="1" applyBorder="1" applyProtection="1">
      <protection locked="0"/>
    </xf>
    <xf numFmtId="1" fontId="10" fillId="6" borderId="35" xfId="0" applyNumberFormat="1" applyFont="1" applyFill="1" applyBorder="1" applyAlignment="1" applyProtection="1">
      <alignment horizontal="right"/>
      <protection locked="0"/>
    </xf>
    <xf numFmtId="1" fontId="10" fillId="0" borderId="527" xfId="0" applyNumberFormat="1" applyFont="1" applyBorder="1" applyAlignment="1">
      <alignment horizontal="right"/>
    </xf>
    <xf numFmtId="1" fontId="10" fillId="0" borderId="528" xfId="0" applyNumberFormat="1" applyFont="1" applyBorder="1" applyAlignment="1">
      <alignment horizontal="right"/>
    </xf>
    <xf numFmtId="1" fontId="10" fillId="0" borderId="337" xfId="0" applyNumberFormat="1" applyFont="1" applyBorder="1" applyAlignment="1">
      <alignment horizontal="right"/>
    </xf>
    <xf numFmtId="1" fontId="10" fillId="6" borderId="527" xfId="0" applyNumberFormat="1" applyFont="1" applyFill="1" applyBorder="1" applyProtection="1">
      <protection locked="0"/>
    </xf>
    <xf numFmtId="1" fontId="10" fillId="6" borderId="337" xfId="0" applyNumberFormat="1" applyFont="1" applyFill="1" applyBorder="1" applyProtection="1">
      <protection locked="0"/>
    </xf>
    <xf numFmtId="1" fontId="10" fillId="6" borderId="529" xfId="0" applyNumberFormat="1" applyFont="1" applyFill="1" applyBorder="1" applyProtection="1">
      <protection locked="0"/>
    </xf>
    <xf numFmtId="1" fontId="10" fillId="6" borderId="530" xfId="0" applyNumberFormat="1" applyFont="1" applyFill="1" applyBorder="1" applyProtection="1">
      <protection locked="0"/>
    </xf>
    <xf numFmtId="1" fontId="10" fillId="6" borderId="531" xfId="0" applyNumberFormat="1" applyFont="1" applyFill="1" applyBorder="1" applyProtection="1">
      <protection locked="0"/>
    </xf>
    <xf numFmtId="1" fontId="10" fillId="6" borderId="532" xfId="0" applyNumberFormat="1" applyFont="1" applyFill="1" applyBorder="1" applyProtection="1">
      <protection locked="0"/>
    </xf>
    <xf numFmtId="1" fontId="10" fillId="6" borderId="533" xfId="0" applyNumberFormat="1" applyFont="1" applyFill="1" applyBorder="1" applyProtection="1">
      <protection locked="0"/>
    </xf>
    <xf numFmtId="1" fontId="10" fillId="18" borderId="534" xfId="0" applyNumberFormat="1" applyFont="1" applyFill="1" applyBorder="1"/>
    <xf numFmtId="1" fontId="10" fillId="15" borderId="530" xfId="0" applyNumberFormat="1" applyFont="1" applyFill="1" applyBorder="1"/>
    <xf numFmtId="1" fontId="10" fillId="6" borderId="535" xfId="0" applyNumberFormat="1" applyFont="1" applyFill="1" applyBorder="1" applyProtection="1">
      <protection locked="0"/>
    </xf>
    <xf numFmtId="1" fontId="10" fillId="6" borderId="534" xfId="0" applyNumberFormat="1" applyFont="1" applyFill="1" applyBorder="1" applyProtection="1">
      <protection locked="0"/>
    </xf>
    <xf numFmtId="1" fontId="10" fillId="15" borderId="336" xfId="0" applyNumberFormat="1" applyFont="1" applyFill="1" applyBorder="1"/>
    <xf numFmtId="1" fontId="10" fillId="15" borderId="527" xfId="0" applyNumberFormat="1" applyFont="1" applyFill="1" applyBorder="1"/>
    <xf numFmtId="1" fontId="10" fillId="15" borderId="337" xfId="0" applyNumberFormat="1" applyFont="1" applyFill="1" applyBorder="1"/>
    <xf numFmtId="1" fontId="10" fillId="15" borderId="532" xfId="0" applyNumberFormat="1" applyFont="1" applyFill="1" applyBorder="1"/>
    <xf numFmtId="0" fontId="35" fillId="17" borderId="0" xfId="0" applyFont="1" applyFill="1"/>
    <xf numFmtId="1" fontId="10" fillId="6" borderId="283" xfId="0" applyNumberFormat="1" applyFont="1" applyFill="1" applyBorder="1" applyProtection="1">
      <protection locked="0"/>
    </xf>
    <xf numFmtId="1" fontId="10" fillId="0" borderId="14" xfId="0" applyNumberFormat="1" applyFont="1" applyBorder="1" applyAlignment="1">
      <alignment horizontal="left" vertical="center" wrapText="1"/>
    </xf>
    <xf numFmtId="1" fontId="10" fillId="0" borderId="36" xfId="0" applyNumberFormat="1" applyFont="1" applyBorder="1" applyAlignment="1">
      <alignment horizontal="right"/>
    </xf>
    <xf numFmtId="1" fontId="10" fillId="6" borderId="277" xfId="0" applyNumberFormat="1" applyFont="1" applyFill="1" applyBorder="1" applyProtection="1">
      <protection locked="0"/>
    </xf>
    <xf numFmtId="1" fontId="10" fillId="6" borderId="14" xfId="0" applyNumberFormat="1" applyFont="1" applyFill="1" applyBorder="1" applyProtection="1">
      <protection locked="0"/>
    </xf>
    <xf numFmtId="1" fontId="10" fillId="15" borderId="15" xfId="0" applyNumberFormat="1" applyFont="1" applyFill="1" applyBorder="1"/>
    <xf numFmtId="1" fontId="10" fillId="15" borderId="76" xfId="0" applyNumberFormat="1" applyFont="1" applyFill="1" applyBorder="1"/>
    <xf numFmtId="1" fontId="10" fillId="15" borderId="127" xfId="0" applyNumberFormat="1" applyFont="1" applyFill="1" applyBorder="1"/>
    <xf numFmtId="1" fontId="10" fillId="15" borderId="62" xfId="0" applyNumberFormat="1" applyFont="1" applyFill="1" applyBorder="1"/>
    <xf numFmtId="1" fontId="10" fillId="15" borderId="319" xfId="0" applyNumberFormat="1" applyFont="1" applyFill="1" applyBorder="1"/>
    <xf numFmtId="1" fontId="34" fillId="0" borderId="14" xfId="0" applyNumberFormat="1" applyFont="1" applyBorder="1"/>
    <xf numFmtId="1" fontId="34" fillId="0" borderId="0" xfId="0" applyNumberFormat="1" applyFont="1" applyProtection="1">
      <protection locked="0"/>
    </xf>
    <xf numFmtId="1" fontId="34" fillId="11" borderId="0" xfId="0" applyNumberFormat="1" applyFont="1" applyFill="1" applyAlignment="1" applyProtection="1">
      <alignment vertical="center"/>
      <protection locked="0"/>
    </xf>
    <xf numFmtId="1" fontId="34" fillId="11" borderId="0" xfId="0" applyNumberFormat="1" applyFont="1" applyFill="1" applyAlignment="1">
      <alignment vertical="top" wrapText="1"/>
    </xf>
    <xf numFmtId="1" fontId="34" fillId="11" borderId="0" xfId="0" applyNumberFormat="1" applyFont="1" applyFill="1" applyProtection="1">
      <protection locked="0"/>
    </xf>
    <xf numFmtId="1" fontId="10" fillId="0" borderId="0" xfId="0" applyNumberFormat="1" applyFont="1" applyProtection="1">
      <protection locked="0"/>
    </xf>
    <xf numFmtId="1" fontId="10" fillId="6" borderId="157" xfId="0" applyNumberFormat="1" applyFont="1" applyFill="1" applyBorder="1" applyProtection="1">
      <protection locked="0"/>
    </xf>
    <xf numFmtId="1" fontId="10" fillId="6" borderId="132" xfId="0" applyNumberFormat="1" applyFont="1" applyFill="1" applyBorder="1" applyProtection="1">
      <protection locked="0"/>
    </xf>
    <xf numFmtId="1" fontId="10" fillId="18" borderId="103" xfId="0" applyNumberFormat="1" applyFont="1" applyFill="1" applyBorder="1"/>
    <xf numFmtId="1" fontId="10" fillId="6" borderId="271" xfId="0" applyNumberFormat="1" applyFont="1" applyFill="1" applyBorder="1" applyProtection="1">
      <protection locked="0"/>
    </xf>
    <xf numFmtId="1" fontId="10" fillId="6" borderId="181" xfId="0" applyNumberFormat="1" applyFont="1" applyFill="1" applyBorder="1" applyProtection="1">
      <protection locked="0"/>
    </xf>
    <xf numFmtId="1" fontId="10" fillId="18" borderId="62" xfId="0" applyNumberFormat="1" applyFont="1" applyFill="1" applyBorder="1"/>
    <xf numFmtId="1" fontId="10" fillId="11" borderId="13" xfId="0" applyNumberFormat="1" applyFont="1" applyFill="1" applyBorder="1" applyAlignment="1" applyProtection="1">
      <alignment vertical="center"/>
      <protection locked="0"/>
    </xf>
    <xf numFmtId="1" fontId="12" fillId="0" borderId="9" xfId="0" applyNumberFormat="1" applyFont="1" applyBorder="1"/>
    <xf numFmtId="1" fontId="34" fillId="7" borderId="0" xfId="0" applyNumberFormat="1" applyFont="1" applyFill="1" applyAlignment="1">
      <alignment vertical="center"/>
    </xf>
    <xf numFmtId="1" fontId="10" fillId="7" borderId="2" xfId="0" applyNumberFormat="1" applyFont="1" applyFill="1" applyBorder="1" applyAlignment="1">
      <alignment horizontal="center" vertical="center"/>
    </xf>
    <xf numFmtId="1" fontId="10" fillId="11" borderId="0" xfId="0" applyNumberFormat="1" applyFont="1" applyFill="1" applyAlignment="1">
      <alignment horizontal="left"/>
    </xf>
    <xf numFmtId="1" fontId="10" fillId="0" borderId="89" xfId="0" applyNumberFormat="1" applyFont="1" applyBorder="1" applyAlignment="1">
      <alignment horizontal="center" vertical="center" wrapText="1"/>
    </xf>
    <xf numFmtId="1" fontId="10" fillId="6" borderId="75" xfId="0" applyNumberFormat="1" applyFont="1" applyFill="1" applyBorder="1" applyProtection="1">
      <protection locked="0"/>
    </xf>
    <xf numFmtId="1" fontId="10" fillId="6" borderId="89" xfId="0" applyNumberFormat="1" applyFont="1" applyFill="1" applyBorder="1" applyProtection="1">
      <protection locked="0"/>
    </xf>
    <xf numFmtId="1" fontId="10" fillId="0" borderId="128" xfId="0" applyNumberFormat="1" applyFont="1" applyBorder="1" applyAlignment="1">
      <alignment horizontal="center" vertical="center" wrapText="1"/>
    </xf>
    <xf numFmtId="1" fontId="10" fillId="6" borderId="142" xfId="0" applyNumberFormat="1" applyFont="1" applyFill="1" applyBorder="1" applyProtection="1">
      <protection locked="0"/>
    </xf>
    <xf numFmtId="1" fontId="10" fillId="0" borderId="168" xfId="0" applyNumberFormat="1" applyFont="1" applyBorder="1" applyAlignment="1">
      <alignment horizontal="center" vertical="center" wrapText="1"/>
    </xf>
    <xf numFmtId="1" fontId="10" fillId="6" borderId="169" xfId="0" applyNumberFormat="1" applyFont="1" applyFill="1" applyBorder="1" applyProtection="1">
      <protection locked="0"/>
    </xf>
    <xf numFmtId="1" fontId="10" fillId="0" borderId="127" xfId="0" applyNumberFormat="1" applyFont="1" applyBorder="1" applyAlignment="1">
      <alignment horizontal="center" vertical="center" wrapText="1"/>
    </xf>
    <xf numFmtId="1" fontId="10" fillId="6" borderId="58" xfId="0" applyNumberFormat="1" applyFont="1" applyFill="1" applyBorder="1" applyProtection="1">
      <protection locked="0"/>
    </xf>
    <xf numFmtId="1" fontId="10" fillId="14" borderId="53" xfId="0" applyNumberFormat="1" applyFont="1" applyFill="1" applyBorder="1"/>
    <xf numFmtId="1" fontId="10" fillId="14" borderId="54" xfId="0" applyNumberFormat="1" applyFont="1" applyFill="1" applyBorder="1"/>
    <xf numFmtId="1" fontId="10" fillId="11" borderId="13" xfId="0" applyNumberFormat="1" applyFont="1" applyFill="1" applyBorder="1" applyAlignment="1">
      <alignment vertical="center"/>
    </xf>
    <xf numFmtId="1" fontId="10" fillId="0" borderId="11" xfId="0" applyNumberFormat="1" applyFont="1" applyBorder="1" applyAlignment="1">
      <alignment horizontal="right" wrapText="1"/>
    </xf>
    <xf numFmtId="1" fontId="12" fillId="7" borderId="9" xfId="0" applyNumberFormat="1" applyFont="1" applyFill="1" applyBorder="1"/>
    <xf numFmtId="1" fontId="10" fillId="7" borderId="0" xfId="0" applyNumberFormat="1" applyFont="1" applyFill="1" applyAlignment="1">
      <alignment vertical="center"/>
    </xf>
    <xf numFmtId="1" fontId="10" fillId="7" borderId="0" xfId="0" applyNumberFormat="1" applyFont="1" applyFill="1" applyProtection="1">
      <protection locked="0"/>
    </xf>
    <xf numFmtId="1" fontId="10" fillId="0" borderId="13" xfId="0" applyNumberFormat="1" applyFont="1" applyBorder="1" applyAlignment="1">
      <alignment vertical="center" wrapText="1"/>
    </xf>
    <xf numFmtId="1" fontId="10" fillId="0" borderId="138" xfId="0" applyNumberFormat="1" applyFont="1" applyBorder="1" applyAlignment="1">
      <alignment horizontal="right" wrapText="1"/>
    </xf>
    <xf numFmtId="1" fontId="10" fillId="0" borderId="43" xfId="0" applyNumberFormat="1" applyFont="1" applyBorder="1" applyAlignment="1">
      <alignment horizontal="right" wrapText="1"/>
    </xf>
    <xf numFmtId="1" fontId="10" fillId="0" borderId="279" xfId="0" applyNumberFormat="1" applyFont="1" applyBorder="1" applyAlignment="1">
      <alignment horizontal="right" wrapText="1"/>
    </xf>
    <xf numFmtId="1" fontId="10" fillId="0" borderId="140" xfId="0" applyNumberFormat="1" applyFont="1" applyBorder="1" applyAlignment="1">
      <alignment horizontal="center" vertical="center" wrapText="1"/>
    </xf>
    <xf numFmtId="1" fontId="10" fillId="6" borderId="100" xfId="0" applyNumberFormat="1" applyFont="1" applyFill="1" applyBorder="1" applyAlignment="1" applyProtection="1">
      <alignment horizontal="right" wrapText="1"/>
      <protection locked="0"/>
    </xf>
    <xf numFmtId="1" fontId="10" fillId="6" borderId="103" xfId="0" applyNumberFormat="1" applyFont="1" applyFill="1" applyBorder="1" applyAlignment="1" applyProtection="1">
      <alignment horizontal="right" wrapText="1"/>
      <protection locked="0"/>
    </xf>
    <xf numFmtId="1" fontId="10" fillId="6" borderId="131" xfId="0" applyNumberFormat="1" applyFont="1" applyFill="1" applyBorder="1" applyAlignment="1" applyProtection="1">
      <alignment horizontal="right" wrapText="1"/>
      <protection locked="0"/>
    </xf>
    <xf numFmtId="1" fontId="10" fillId="6" borderId="140" xfId="0" applyNumberFormat="1" applyFont="1" applyFill="1" applyBorder="1" applyAlignment="1" applyProtection="1">
      <alignment horizontal="right" wrapText="1"/>
      <protection locked="0"/>
    </xf>
    <xf numFmtId="1" fontId="10" fillId="6" borderId="116" xfId="0" applyNumberFormat="1" applyFont="1" applyFill="1" applyBorder="1" applyAlignment="1" applyProtection="1">
      <alignment horizontal="right" wrapText="1"/>
      <protection locked="0"/>
    </xf>
    <xf numFmtId="1" fontId="10" fillId="6" borderId="142" xfId="0" applyNumberFormat="1" applyFont="1" applyFill="1" applyBorder="1" applyAlignment="1" applyProtection="1">
      <alignment horizontal="right" wrapText="1"/>
      <protection locked="0"/>
    </xf>
    <xf numFmtId="1" fontId="10" fillId="6" borderId="128" xfId="0" applyNumberFormat="1" applyFont="1" applyFill="1" applyBorder="1" applyAlignment="1" applyProtection="1">
      <alignment horizontal="right" wrapText="1"/>
      <protection locked="0"/>
    </xf>
    <xf numFmtId="1" fontId="10" fillId="6" borderId="102" xfId="0" applyNumberFormat="1" applyFont="1" applyFill="1" applyBorder="1" applyAlignment="1" applyProtection="1">
      <alignment horizontal="right" wrapText="1"/>
      <protection locked="0"/>
    </xf>
    <xf numFmtId="1" fontId="10" fillId="6" borderId="283" xfId="0" applyNumberFormat="1" applyFont="1" applyFill="1" applyBorder="1" applyAlignment="1" applyProtection="1">
      <alignment horizontal="right" wrapText="1"/>
      <protection locked="0"/>
    </xf>
    <xf numFmtId="1" fontId="10" fillId="0" borderId="394" xfId="0" applyNumberFormat="1" applyFont="1" applyBorder="1" applyAlignment="1">
      <alignment horizontal="right" wrapText="1"/>
    </xf>
    <xf numFmtId="1" fontId="10" fillId="0" borderId="537" xfId="0" applyNumberFormat="1" applyFont="1" applyBorder="1" applyAlignment="1">
      <alignment horizontal="right" wrapText="1"/>
    </xf>
    <xf numFmtId="1" fontId="10" fillId="0" borderId="395" xfId="0" applyNumberFormat="1" applyFont="1" applyBorder="1" applyAlignment="1">
      <alignment horizontal="right" wrapText="1"/>
    </xf>
    <xf numFmtId="1" fontId="10" fillId="6" borderId="538" xfId="0" applyNumberFormat="1" applyFont="1" applyFill="1" applyBorder="1" applyAlignment="1" applyProtection="1">
      <alignment horizontal="right" wrapText="1"/>
      <protection locked="0"/>
    </xf>
    <xf numFmtId="1" fontId="10" fillId="6" borderId="330" xfId="0" applyNumberFormat="1" applyFont="1" applyFill="1" applyBorder="1" applyAlignment="1" applyProtection="1">
      <alignment horizontal="right" wrapText="1"/>
      <protection locked="0"/>
    </xf>
    <xf numFmtId="1" fontId="10" fillId="6" borderId="332" xfId="0" applyNumberFormat="1" applyFont="1" applyFill="1" applyBorder="1" applyAlignment="1" applyProtection="1">
      <alignment horizontal="right" wrapText="1"/>
      <protection locked="0"/>
    </xf>
    <xf numFmtId="1" fontId="10" fillId="6" borderId="402" xfId="0" applyNumberFormat="1" applyFont="1" applyFill="1" applyBorder="1" applyAlignment="1" applyProtection="1">
      <alignment horizontal="right" wrapText="1"/>
      <protection locked="0"/>
    </xf>
    <xf numFmtId="1" fontId="10" fillId="6" borderId="401" xfId="0" applyNumberFormat="1" applyFont="1" applyFill="1" applyBorder="1" applyAlignment="1" applyProtection="1">
      <alignment horizontal="right" wrapText="1"/>
      <protection locked="0"/>
    </xf>
    <xf numFmtId="1" fontId="10" fillId="6" borderId="539" xfId="0" applyNumberFormat="1" applyFont="1" applyFill="1" applyBorder="1" applyAlignment="1" applyProtection="1">
      <alignment horizontal="right" wrapText="1"/>
      <protection locked="0"/>
    </xf>
    <xf numFmtId="1" fontId="10" fillId="6" borderId="540" xfId="0" applyNumberFormat="1" applyFont="1" applyFill="1" applyBorder="1" applyAlignment="1" applyProtection="1">
      <alignment horizontal="right" wrapText="1"/>
      <protection locked="0"/>
    </xf>
    <xf numFmtId="1" fontId="10" fillId="6" borderId="333" xfId="0" applyNumberFormat="1" applyFont="1" applyFill="1" applyBorder="1" applyAlignment="1" applyProtection="1">
      <alignment horizontal="right" wrapText="1"/>
      <protection locked="0"/>
    </xf>
    <xf numFmtId="1" fontId="10" fillId="6" borderId="403" xfId="0" applyNumberFormat="1" applyFont="1" applyFill="1" applyBorder="1" applyAlignment="1" applyProtection="1">
      <alignment horizontal="right" wrapText="1"/>
      <protection locked="0"/>
    </xf>
    <xf numFmtId="1" fontId="10" fillId="6" borderId="69" xfId="0" applyNumberFormat="1" applyFont="1" applyFill="1" applyBorder="1" applyAlignment="1" applyProtection="1">
      <alignment horizontal="right" wrapText="1"/>
      <protection locked="0"/>
    </xf>
    <xf numFmtId="1" fontId="10" fillId="6" borderId="529" xfId="0" applyNumberFormat="1" applyFont="1" applyFill="1" applyBorder="1" applyAlignment="1" applyProtection="1">
      <alignment horizontal="right" wrapText="1"/>
      <protection locked="0"/>
    </xf>
    <xf numFmtId="1" fontId="10" fillId="6" borderId="530" xfId="0" applyNumberFormat="1" applyFont="1" applyFill="1" applyBorder="1" applyAlignment="1" applyProtection="1">
      <alignment horizontal="right" wrapText="1"/>
      <protection locked="0"/>
    </xf>
    <xf numFmtId="1" fontId="10" fillId="6" borderId="533" xfId="0" applyNumberFormat="1" applyFont="1" applyFill="1" applyBorder="1" applyAlignment="1" applyProtection="1">
      <alignment horizontal="right" wrapText="1"/>
      <protection locked="0"/>
    </xf>
    <xf numFmtId="1" fontId="10" fillId="6" borderId="527" xfId="0" applyNumberFormat="1" applyFont="1" applyFill="1" applyBorder="1" applyAlignment="1" applyProtection="1">
      <alignment horizontal="right" wrapText="1"/>
      <protection locked="0"/>
    </xf>
    <xf numFmtId="1" fontId="10" fillId="6" borderId="541" xfId="0" applyNumberFormat="1" applyFont="1" applyFill="1" applyBorder="1" applyAlignment="1" applyProtection="1">
      <alignment horizontal="right" wrapText="1"/>
      <protection locked="0"/>
    </xf>
    <xf numFmtId="1" fontId="10" fillId="6" borderId="336" xfId="0" applyNumberFormat="1" applyFont="1" applyFill="1" applyBorder="1" applyAlignment="1" applyProtection="1">
      <alignment horizontal="right" wrapText="1"/>
      <protection locked="0"/>
    </xf>
    <xf numFmtId="1" fontId="10" fillId="6" borderId="542" xfId="0" applyNumberFormat="1" applyFont="1" applyFill="1" applyBorder="1" applyAlignment="1" applyProtection="1">
      <alignment horizontal="right" wrapText="1"/>
      <protection locked="0"/>
    </xf>
    <xf numFmtId="1" fontId="10" fillId="6" borderId="532" xfId="0" applyNumberFormat="1" applyFont="1" applyFill="1" applyBorder="1" applyAlignment="1" applyProtection="1">
      <alignment horizontal="right" wrapText="1"/>
      <protection locked="0"/>
    </xf>
    <xf numFmtId="1" fontId="10" fillId="15" borderId="337" xfId="0" applyNumberFormat="1" applyFont="1" applyFill="1" applyBorder="1" applyAlignment="1">
      <alignment horizontal="right" wrapText="1"/>
    </xf>
    <xf numFmtId="1" fontId="10" fillId="6" borderId="71" xfId="0" applyNumberFormat="1" applyFont="1" applyFill="1" applyBorder="1" applyAlignment="1" applyProtection="1">
      <alignment horizontal="right" wrapText="1"/>
      <protection locked="0"/>
    </xf>
    <xf numFmtId="1" fontId="10" fillId="6" borderId="50" xfId="0" applyNumberFormat="1" applyFont="1" applyFill="1" applyBorder="1" applyAlignment="1" applyProtection="1">
      <alignment horizontal="right" wrapText="1"/>
      <protection locked="0"/>
    </xf>
    <xf numFmtId="1" fontId="10" fillId="6" borderId="74" xfId="0" applyNumberFormat="1" applyFont="1" applyFill="1" applyBorder="1" applyAlignment="1" applyProtection="1">
      <alignment horizontal="right" wrapText="1"/>
      <protection locked="0"/>
    </xf>
    <xf numFmtId="1" fontId="10" fillId="6" borderId="0" xfId="0" applyNumberFormat="1" applyFont="1" applyFill="1" applyAlignment="1" applyProtection="1">
      <alignment horizontal="right" wrapText="1"/>
      <protection locked="0"/>
    </xf>
    <xf numFmtId="1" fontId="10" fillId="6" borderId="122" xfId="0" applyNumberFormat="1" applyFont="1" applyFill="1" applyBorder="1" applyAlignment="1" applyProtection="1">
      <alignment horizontal="right" wrapText="1"/>
      <protection locked="0"/>
    </xf>
    <xf numFmtId="1" fontId="10" fillId="6" borderId="68" xfId="0" applyNumberFormat="1" applyFont="1" applyFill="1" applyBorder="1" applyAlignment="1" applyProtection="1">
      <alignment horizontal="right" wrapText="1"/>
      <protection locked="0"/>
    </xf>
    <xf numFmtId="1" fontId="10" fillId="6" borderId="13" xfId="0" applyNumberFormat="1" applyFont="1" applyFill="1" applyBorder="1" applyAlignment="1" applyProtection="1">
      <alignment horizontal="right" wrapText="1"/>
      <protection locked="0"/>
    </xf>
    <xf numFmtId="1" fontId="10" fillId="6" borderId="87" xfId="0" applyNumberFormat="1" applyFont="1" applyFill="1" applyBorder="1" applyAlignment="1" applyProtection="1">
      <alignment horizontal="right" wrapText="1"/>
      <protection locked="0"/>
    </xf>
    <xf numFmtId="1" fontId="10" fillId="6" borderId="79" xfId="0" applyNumberFormat="1" applyFont="1" applyFill="1" applyBorder="1" applyAlignment="1" applyProtection="1">
      <alignment horizontal="right" wrapText="1"/>
      <protection locked="0"/>
    </xf>
    <xf numFmtId="1" fontId="10" fillId="15" borderId="50" xfId="0" applyNumberFormat="1" applyFont="1" applyFill="1" applyBorder="1" applyAlignment="1">
      <alignment horizontal="right" wrapText="1"/>
    </xf>
    <xf numFmtId="1" fontId="10" fillId="0" borderId="140" xfId="0" applyNumberFormat="1" applyFont="1" applyBorder="1" applyAlignment="1">
      <alignment horizontal="right" wrapText="1"/>
    </xf>
    <xf numFmtId="1" fontId="10" fillId="15" borderId="103" xfId="0" applyNumberFormat="1" applyFont="1" applyFill="1" applyBorder="1" applyAlignment="1">
      <alignment horizontal="right" wrapText="1"/>
    </xf>
    <xf numFmtId="1" fontId="10" fillId="6" borderId="80" xfId="0" applyNumberFormat="1" applyFont="1" applyFill="1" applyBorder="1" applyAlignment="1" applyProtection="1">
      <alignment horizontal="right" wrapText="1"/>
      <protection locked="0"/>
    </xf>
    <xf numFmtId="1" fontId="10" fillId="6" borderId="36" xfId="0" applyNumberFormat="1" applyFont="1" applyFill="1" applyBorder="1" applyAlignment="1" applyProtection="1">
      <alignment horizontal="right" wrapText="1"/>
      <protection locked="0"/>
    </xf>
    <xf numFmtId="1" fontId="10" fillId="6" borderId="76" xfId="0" applyNumberFormat="1" applyFont="1" applyFill="1" applyBorder="1" applyAlignment="1" applyProtection="1">
      <alignment horizontal="right" wrapText="1"/>
      <protection locked="0"/>
    </xf>
    <xf numFmtId="1" fontId="10" fillId="6" borderId="14" xfId="0" applyNumberFormat="1" applyFont="1" applyFill="1" applyBorder="1" applyAlignment="1" applyProtection="1">
      <alignment horizontal="right" wrapText="1"/>
      <protection locked="0"/>
    </xf>
    <xf numFmtId="1" fontId="10" fillId="6" borderId="17" xfId="0" applyNumberFormat="1" applyFont="1" applyFill="1" applyBorder="1" applyAlignment="1" applyProtection="1">
      <alignment horizontal="right" wrapText="1"/>
      <protection locked="0"/>
    </xf>
    <xf numFmtId="1" fontId="10" fillId="6" borderId="32" xfId="0" applyNumberFormat="1" applyFont="1" applyFill="1" applyBorder="1" applyAlignment="1" applyProtection="1">
      <alignment horizontal="right" wrapText="1"/>
      <protection locked="0"/>
    </xf>
    <xf numFmtId="1" fontId="10" fillId="6" borderId="16" xfId="0" applyNumberFormat="1" applyFont="1" applyFill="1" applyBorder="1" applyAlignment="1" applyProtection="1">
      <alignment horizontal="right" wrapText="1"/>
      <protection locked="0"/>
    </xf>
    <xf numFmtId="1" fontId="10" fillId="6" borderId="92" xfId="0" applyNumberFormat="1" applyFont="1" applyFill="1" applyBorder="1" applyAlignment="1" applyProtection="1">
      <alignment horizontal="right" wrapText="1"/>
      <protection locked="0"/>
    </xf>
    <xf numFmtId="1" fontId="10" fillId="6" borderId="277" xfId="0" applyNumberFormat="1" applyFont="1" applyFill="1" applyBorder="1" applyAlignment="1" applyProtection="1">
      <alignment horizontal="right" wrapText="1"/>
      <protection locked="0"/>
    </xf>
    <xf numFmtId="1" fontId="10" fillId="15" borderId="36" xfId="0" applyNumberFormat="1" applyFont="1" applyFill="1" applyBorder="1" applyAlignment="1">
      <alignment horizontal="right" wrapText="1"/>
    </xf>
    <xf numFmtId="1" fontId="10" fillId="6" borderId="37" xfId="0" applyNumberFormat="1" applyFont="1" applyFill="1" applyBorder="1" applyAlignment="1" applyProtection="1">
      <alignment horizontal="right" wrapText="1"/>
      <protection locked="0"/>
    </xf>
    <xf numFmtId="1" fontId="10" fillId="0" borderId="99" xfId="0" applyNumberFormat="1" applyFont="1" applyBorder="1" applyAlignment="1">
      <alignment horizontal="center" vertical="center" wrapText="1"/>
    </xf>
    <xf numFmtId="1" fontId="10" fillId="6" borderId="99" xfId="0" applyNumberFormat="1" applyFont="1" applyFill="1" applyBorder="1" applyAlignment="1" applyProtection="1">
      <alignment horizontal="right" wrapText="1"/>
      <protection locked="0"/>
    </xf>
    <xf numFmtId="1" fontId="10" fillId="0" borderId="51" xfId="0" applyNumberFormat="1" applyFont="1" applyBorder="1" applyAlignment="1">
      <alignment horizontal="center" vertical="center" wrapText="1"/>
    </xf>
    <xf numFmtId="1" fontId="10" fillId="6" borderId="51" xfId="0" applyNumberFormat="1" applyFont="1" applyFill="1" applyBorder="1" applyAlignment="1" applyProtection="1">
      <alignment horizontal="right" wrapText="1"/>
      <protection locked="0"/>
    </xf>
    <xf numFmtId="1" fontId="12" fillId="0" borderId="210" xfId="0" applyNumberFormat="1" applyFont="1" applyBorder="1"/>
    <xf numFmtId="1" fontId="34" fillId="0" borderId="210" xfId="0" applyNumberFormat="1" applyFont="1" applyBorder="1"/>
    <xf numFmtId="1" fontId="34" fillId="0" borderId="209" xfId="0" applyNumberFormat="1" applyFont="1" applyBorder="1"/>
    <xf numFmtId="1" fontId="34" fillId="0" borderId="211" xfId="0" applyNumberFormat="1" applyFont="1" applyBorder="1"/>
    <xf numFmtId="1" fontId="34" fillId="0" borderId="162" xfId="0" applyNumberFormat="1" applyFont="1" applyBorder="1"/>
    <xf numFmtId="1" fontId="23" fillId="7" borderId="13" xfId="0" applyNumberFormat="1" applyFont="1" applyFill="1" applyBorder="1"/>
    <xf numFmtId="1" fontId="23" fillId="11" borderId="13" xfId="0" applyNumberFormat="1" applyFont="1" applyFill="1" applyBorder="1"/>
    <xf numFmtId="1" fontId="10" fillId="7" borderId="22" xfId="0" applyNumberFormat="1" applyFont="1" applyFill="1" applyBorder="1" applyAlignment="1">
      <alignment horizontal="center" vertical="center" wrapText="1"/>
    </xf>
    <xf numFmtId="1" fontId="10" fillId="6" borderId="296" xfId="0" applyNumberFormat="1" applyFont="1" applyFill="1" applyBorder="1" applyAlignment="1" applyProtection="1">
      <alignment horizontal="right"/>
      <protection locked="0"/>
    </xf>
    <xf numFmtId="1" fontId="10" fillId="6" borderId="173" xfId="0" applyNumberFormat="1" applyFont="1" applyFill="1" applyBorder="1" applyAlignment="1" applyProtection="1">
      <alignment horizontal="right"/>
      <protection locked="0"/>
    </xf>
    <xf numFmtId="1" fontId="10" fillId="6" borderId="544" xfId="0" applyNumberFormat="1" applyFont="1" applyFill="1" applyBorder="1" applyAlignment="1" applyProtection="1">
      <alignment horizontal="right"/>
      <protection locked="0"/>
    </xf>
    <xf numFmtId="1" fontId="10" fillId="6" borderId="290" xfId="0" applyNumberFormat="1" applyFont="1" applyFill="1" applyBorder="1" applyAlignment="1" applyProtection="1">
      <alignment horizontal="right"/>
      <protection locked="0"/>
    </xf>
    <xf numFmtId="1" fontId="10" fillId="6" borderId="174" xfId="0" applyNumberFormat="1" applyFont="1" applyFill="1" applyBorder="1" applyAlignment="1" applyProtection="1">
      <alignment horizontal="right"/>
      <protection locked="0"/>
    </xf>
    <xf numFmtId="1" fontId="10" fillId="6" borderId="545" xfId="0" applyNumberFormat="1" applyFont="1" applyFill="1" applyBorder="1" applyAlignment="1" applyProtection="1">
      <alignment horizontal="right"/>
      <protection locked="0"/>
    </xf>
    <xf numFmtId="1" fontId="10" fillId="0" borderId="31" xfId="0" applyNumberFormat="1" applyFont="1" applyBorder="1" applyAlignment="1">
      <alignment horizontal="right" wrapText="1"/>
    </xf>
    <xf numFmtId="1" fontId="10" fillId="6" borderId="298" xfId="0" applyNumberFormat="1" applyFont="1" applyFill="1" applyBorder="1" applyAlignment="1" applyProtection="1">
      <alignment horizontal="right"/>
      <protection locked="0"/>
    </xf>
    <xf numFmtId="1" fontId="10" fillId="6" borderId="443" xfId="0" applyNumberFormat="1" applyFont="1" applyFill="1" applyBorder="1" applyAlignment="1" applyProtection="1">
      <alignment horizontal="right"/>
      <protection locked="0"/>
    </xf>
    <xf numFmtId="1" fontId="10" fillId="6" borderId="176" xfId="0" applyNumberFormat="1" applyFont="1" applyFill="1" applyBorder="1" applyAlignment="1" applyProtection="1">
      <alignment horizontal="right"/>
      <protection locked="0"/>
    </xf>
    <xf numFmtId="1" fontId="10" fillId="6" borderId="493" xfId="0" applyNumberFormat="1" applyFont="1" applyFill="1" applyBorder="1" applyAlignment="1" applyProtection="1">
      <alignment horizontal="right"/>
      <protection locked="0"/>
    </xf>
    <xf numFmtId="1" fontId="23" fillId="7" borderId="0" xfId="0" applyNumberFormat="1" applyFont="1" applyFill="1" applyProtection="1">
      <protection locked="0"/>
    </xf>
    <xf numFmtId="1" fontId="10" fillId="7" borderId="7" xfId="0" applyNumberFormat="1" applyFont="1" applyFill="1" applyBorder="1" applyAlignment="1">
      <alignment horizontal="center" vertical="center"/>
    </xf>
    <xf numFmtId="1" fontId="10" fillId="11" borderId="89" xfId="0" applyNumberFormat="1" applyFont="1" applyFill="1" applyBorder="1" applyAlignment="1">
      <alignment vertical="center" wrapText="1"/>
    </xf>
    <xf numFmtId="1" fontId="10" fillId="11" borderId="128" xfId="0" applyNumberFormat="1" applyFont="1" applyFill="1" applyBorder="1" applyAlignment="1">
      <alignment vertical="center"/>
    </xf>
    <xf numFmtId="1" fontId="10" fillId="15" borderId="101" xfId="0" applyNumberFormat="1" applyFont="1" applyFill="1" applyBorder="1" applyAlignment="1">
      <alignment horizontal="right"/>
    </xf>
    <xf numFmtId="1" fontId="10" fillId="0" borderId="37" xfId="0" applyNumberFormat="1" applyFont="1" applyBorder="1" applyAlignment="1">
      <alignment wrapText="1"/>
    </xf>
    <xf numFmtId="1" fontId="10" fillId="0" borderId="63" xfId="0" applyNumberFormat="1" applyFont="1" applyBorder="1" applyAlignment="1">
      <alignment wrapText="1"/>
    </xf>
    <xf numFmtId="1" fontId="10" fillId="0" borderId="99" xfId="0" applyNumberFormat="1" applyFont="1" applyBorder="1" applyAlignment="1">
      <alignment horizontal="left" wrapText="1"/>
    </xf>
    <xf numFmtId="1" fontId="10" fillId="0" borderId="2" xfId="0" applyNumberFormat="1" applyFont="1" applyBorder="1" applyAlignment="1">
      <alignment horizontal="center"/>
    </xf>
    <xf numFmtId="1" fontId="10" fillId="6" borderId="2" xfId="0" applyNumberFormat="1" applyFont="1" applyFill="1" applyBorder="1" applyProtection="1">
      <protection locked="0"/>
    </xf>
    <xf numFmtId="1" fontId="10" fillId="0" borderId="298" xfId="0" applyNumberFormat="1" applyFont="1" applyBorder="1" applyAlignment="1">
      <alignment horizontal="center" vertical="center" wrapText="1"/>
    </xf>
    <xf numFmtId="1" fontId="10" fillId="6" borderId="296" xfId="0" applyNumberFormat="1" applyFont="1" applyFill="1" applyBorder="1" applyProtection="1">
      <protection locked="0"/>
    </xf>
    <xf numFmtId="1" fontId="10" fillId="0" borderId="127" xfId="0" applyNumberFormat="1" applyFont="1" applyBorder="1" applyAlignment="1">
      <alignment vertical="center"/>
    </xf>
    <xf numFmtId="1" fontId="10" fillId="6" borderId="298" xfId="0" applyNumberFormat="1" applyFont="1" applyFill="1" applyBorder="1" applyProtection="1">
      <protection locked="0"/>
    </xf>
    <xf numFmtId="1" fontId="10" fillId="14" borderId="98" xfId="0" applyNumberFormat="1" applyFont="1" applyFill="1" applyBorder="1"/>
    <xf numFmtId="1" fontId="10" fillId="14" borderId="36" xfId="0" applyNumberFormat="1" applyFont="1" applyFill="1" applyBorder="1"/>
    <xf numFmtId="1" fontId="10" fillId="6" borderId="134" xfId="0" applyNumberFormat="1" applyFont="1" applyFill="1" applyBorder="1" applyProtection="1">
      <protection locked="0"/>
    </xf>
    <xf numFmtId="1" fontId="10" fillId="6" borderId="7" xfId="0" applyNumberFormat="1" applyFont="1" applyFill="1" applyBorder="1" applyProtection="1">
      <protection locked="0"/>
    </xf>
    <xf numFmtId="1" fontId="10" fillId="14" borderId="7" xfId="0" applyNumberFormat="1" applyFont="1" applyFill="1" applyBorder="1"/>
    <xf numFmtId="1" fontId="12" fillId="0" borderId="18" xfId="0" applyNumberFormat="1" applyFont="1" applyBorder="1"/>
    <xf numFmtId="1" fontId="10" fillId="6" borderId="297" xfId="0" applyNumberFormat="1" applyFont="1" applyFill="1" applyBorder="1" applyProtection="1">
      <protection locked="0"/>
    </xf>
    <xf numFmtId="1" fontId="10" fillId="7" borderId="7" xfId="0" applyNumberFormat="1" applyFont="1" applyFill="1" applyBorder="1" applyAlignment="1">
      <alignment horizontal="center"/>
    </xf>
    <xf numFmtId="1" fontId="10" fillId="7" borderId="10" xfId="0" applyNumberFormat="1" applyFont="1" applyFill="1" applyBorder="1" applyAlignment="1">
      <alignment horizontal="center" vertical="center" wrapText="1"/>
    </xf>
    <xf numFmtId="1" fontId="10" fillId="7" borderId="29" xfId="0" applyNumberFormat="1" applyFont="1" applyFill="1" applyBorder="1" applyAlignment="1">
      <alignment horizontal="center"/>
    </xf>
    <xf numFmtId="1" fontId="10" fillId="7" borderId="89" xfId="0" applyNumberFormat="1" applyFont="1" applyFill="1" applyBorder="1" applyAlignment="1">
      <alignment vertical="center" wrapText="1"/>
    </xf>
    <xf numFmtId="1" fontId="10" fillId="7" borderId="164" xfId="0" applyNumberFormat="1" applyFont="1" applyFill="1" applyBorder="1" applyAlignment="1">
      <alignment horizontal="right" wrapText="1"/>
    </xf>
    <xf numFmtId="1" fontId="10" fillId="7" borderId="158" xfId="0" applyNumberFormat="1" applyFont="1" applyFill="1" applyBorder="1" applyAlignment="1">
      <alignment horizontal="right"/>
    </xf>
    <xf numFmtId="1" fontId="10" fillId="14" borderId="109" xfId="0" applyNumberFormat="1" applyFont="1" applyFill="1" applyBorder="1" applyAlignment="1">
      <alignment horizontal="right"/>
    </xf>
    <xf numFmtId="1" fontId="10" fillId="14" borderId="49" xfId="0" applyNumberFormat="1" applyFont="1" applyFill="1" applyBorder="1" applyAlignment="1">
      <alignment horizontal="right"/>
    </xf>
    <xf numFmtId="1" fontId="10" fillId="14" borderId="45" xfId="0" applyNumberFormat="1" applyFont="1" applyFill="1" applyBorder="1" applyAlignment="1">
      <alignment horizontal="right"/>
    </xf>
    <xf numFmtId="1" fontId="10" fillId="14" borderId="111" xfId="0" applyNumberFormat="1" applyFont="1" applyFill="1" applyBorder="1" applyAlignment="1">
      <alignment horizontal="right"/>
    </xf>
    <xf numFmtId="1" fontId="10" fillId="6" borderId="546" xfId="55" applyNumberFormat="1" applyFont="1" applyBorder="1" applyAlignment="1" applyProtection="1">
      <alignment horizontal="right"/>
      <protection locked="0"/>
    </xf>
    <xf numFmtId="1" fontId="10" fillId="6" borderId="547" xfId="55" applyNumberFormat="1" applyFont="1" applyBorder="1" applyAlignment="1" applyProtection="1">
      <alignment horizontal="right"/>
      <protection locked="0"/>
    </xf>
    <xf numFmtId="1" fontId="10" fillId="6" borderId="548" xfId="55" applyNumberFormat="1" applyFont="1" applyBorder="1" applyAlignment="1" applyProtection="1">
      <alignment horizontal="right"/>
      <protection locked="0"/>
    </xf>
    <xf numFmtId="1" fontId="10" fillId="6" borderId="549" xfId="55" applyNumberFormat="1" applyFont="1" applyBorder="1" applyAlignment="1" applyProtection="1">
      <alignment horizontal="right"/>
      <protection locked="0"/>
    </xf>
    <xf numFmtId="1" fontId="10" fillId="7" borderId="13" xfId="0" applyNumberFormat="1" applyFont="1" applyFill="1" applyBorder="1" applyAlignment="1">
      <alignment vertical="center" wrapText="1"/>
    </xf>
    <xf numFmtId="1" fontId="10" fillId="7" borderId="71" xfId="0" applyNumberFormat="1" applyFont="1" applyFill="1" applyBorder="1" applyAlignment="1">
      <alignment horizontal="right" wrapText="1"/>
    </xf>
    <xf numFmtId="1" fontId="10" fillId="7" borderId="72" xfId="0" applyNumberFormat="1" applyFont="1" applyFill="1" applyBorder="1" applyAlignment="1">
      <alignment horizontal="right"/>
    </xf>
    <xf numFmtId="1" fontId="10" fillId="6" borderId="550" xfId="55" applyNumberFormat="1" applyFont="1" applyBorder="1" applyAlignment="1" applyProtection="1">
      <alignment horizontal="right"/>
      <protection locked="0"/>
    </xf>
    <xf numFmtId="1" fontId="10" fillId="6" borderId="551" xfId="55" applyNumberFormat="1" applyFont="1" applyBorder="1" applyAlignment="1" applyProtection="1">
      <alignment horizontal="right"/>
      <protection locked="0"/>
    </xf>
    <xf numFmtId="1" fontId="10" fillId="6" borderId="552" xfId="55" applyNumberFormat="1" applyFont="1" applyBorder="1" applyAlignment="1" applyProtection="1">
      <alignment horizontal="right"/>
      <protection locked="0"/>
    </xf>
    <xf numFmtId="1" fontId="10" fillId="6" borderId="553" xfId="55" applyNumberFormat="1" applyFont="1" applyBorder="1" applyAlignment="1" applyProtection="1">
      <alignment horizontal="right"/>
      <protection locked="0"/>
    </xf>
    <xf numFmtId="1" fontId="10" fillId="7" borderId="168" xfId="0" applyNumberFormat="1" applyFont="1" applyFill="1" applyBorder="1" applyAlignment="1">
      <alignment vertical="center" wrapText="1"/>
    </xf>
    <xf numFmtId="1" fontId="10" fillId="7" borderId="127" xfId="0" applyNumberFormat="1" applyFont="1" applyFill="1" applyBorder="1" applyAlignment="1">
      <alignment vertical="center" wrapText="1"/>
    </xf>
    <xf numFmtId="1" fontId="10" fillId="7" borderId="52" xfId="0" applyNumberFormat="1" applyFont="1" applyFill="1" applyBorder="1" applyAlignment="1">
      <alignment horizontal="right" wrapText="1"/>
    </xf>
    <xf numFmtId="1" fontId="10" fillId="7" borderId="53" xfId="0" applyNumberFormat="1" applyFont="1" applyFill="1" applyBorder="1" applyAlignment="1">
      <alignment horizontal="right"/>
    </xf>
    <xf numFmtId="1" fontId="10" fillId="6" borderId="462" xfId="55" applyNumberFormat="1" applyFont="1" applyBorder="1" applyAlignment="1" applyProtection="1">
      <alignment horizontal="right"/>
      <protection locked="0"/>
    </xf>
    <xf numFmtId="1" fontId="10" fillId="6" borderId="554" xfId="55" applyNumberFormat="1" applyFont="1" applyBorder="1" applyAlignment="1" applyProtection="1">
      <alignment horizontal="right"/>
      <protection locked="0"/>
    </xf>
    <xf numFmtId="1" fontId="10" fillId="6" borderId="555" xfId="55" applyNumberFormat="1" applyFont="1" applyBorder="1" applyAlignment="1" applyProtection="1">
      <alignment horizontal="right"/>
      <protection locked="0"/>
    </xf>
    <xf numFmtId="1" fontId="10" fillId="6" borderId="556" xfId="55" applyNumberFormat="1" applyFont="1" applyBorder="1" applyAlignment="1" applyProtection="1">
      <alignment horizontal="right"/>
      <protection locked="0"/>
    </xf>
    <xf numFmtId="1" fontId="34" fillId="0" borderId="8" xfId="0" applyNumberFormat="1" applyFont="1" applyBorder="1"/>
    <xf numFmtId="1" fontId="10" fillId="7" borderId="20" xfId="0" applyNumberFormat="1" applyFont="1" applyFill="1" applyBorder="1" applyAlignment="1">
      <alignment horizontal="center" vertical="center"/>
    </xf>
    <xf numFmtId="1" fontId="10" fillId="6" borderId="557" xfId="0" applyNumberFormat="1" applyFont="1" applyFill="1" applyBorder="1" applyAlignment="1" applyProtection="1">
      <alignment horizontal="right"/>
      <protection locked="0"/>
    </xf>
    <xf numFmtId="1" fontId="10" fillId="11" borderId="0" xfId="0" applyNumberFormat="1" applyFont="1" applyFill="1" applyAlignment="1">
      <alignment vertical="top"/>
    </xf>
    <xf numFmtId="1" fontId="10" fillId="0" borderId="31" xfId="0" applyNumberFormat="1" applyFont="1" applyBorder="1" applyAlignment="1">
      <alignment horizontal="right"/>
    </xf>
    <xf numFmtId="1" fontId="10" fillId="6" borderId="558" xfId="0" applyNumberFormat="1" applyFont="1" applyFill="1" applyBorder="1" applyAlignment="1" applyProtection="1">
      <alignment horizontal="right"/>
      <protection locked="0"/>
    </xf>
    <xf numFmtId="1" fontId="10" fillId="15" borderId="36" xfId="0" applyNumberFormat="1" applyFont="1" applyFill="1" applyBorder="1" applyAlignment="1">
      <alignment horizontal="right"/>
    </xf>
    <xf numFmtId="1" fontId="12" fillId="11" borderId="8" xfId="0" applyNumberFormat="1" applyFont="1" applyFill="1" applyBorder="1"/>
    <xf numFmtId="1" fontId="12" fillId="7" borderId="8" xfId="0" applyNumberFormat="1" applyFont="1" applyFill="1" applyBorder="1"/>
    <xf numFmtId="1" fontId="12" fillId="11" borderId="14" xfId="0" applyNumberFormat="1" applyFont="1" applyFill="1" applyBorder="1"/>
    <xf numFmtId="1" fontId="34" fillId="0" borderId="160" xfId="0" applyNumberFormat="1" applyFont="1" applyBorder="1"/>
    <xf numFmtId="1" fontId="34" fillId="0" borderId="161" xfId="0" applyNumberFormat="1" applyFont="1" applyBorder="1"/>
    <xf numFmtId="1" fontId="10" fillId="0" borderId="11" xfId="0" applyNumberFormat="1" applyFont="1" applyBorder="1" applyAlignment="1">
      <alignment horizontal="right"/>
    </xf>
    <xf numFmtId="1" fontId="10" fillId="6" borderId="20" xfId="0" applyNumberFormat="1" applyFont="1" applyFill="1" applyBorder="1" applyAlignment="1" applyProtection="1">
      <alignment horizontal="right"/>
      <protection locked="0"/>
    </xf>
    <xf numFmtId="1" fontId="10" fillId="0" borderId="80" xfId="0" applyNumberFormat="1" applyFont="1" applyBorder="1" applyAlignment="1">
      <alignment horizontal="right" vertical="center"/>
    </xf>
    <xf numFmtId="1" fontId="10" fillId="0" borderId="31" xfId="0" applyNumberFormat="1" applyFont="1" applyBorder="1" applyAlignment="1">
      <alignment horizontal="right" vertical="center"/>
    </xf>
    <xf numFmtId="1" fontId="10" fillId="7" borderId="10" xfId="0" applyNumberFormat="1" applyFont="1" applyFill="1" applyBorder="1"/>
    <xf numFmtId="1" fontId="10" fillId="7" borderId="7" xfId="0" applyNumberFormat="1" applyFont="1" applyFill="1" applyBorder="1"/>
    <xf numFmtId="1" fontId="10" fillId="7" borderId="12" xfId="0" applyNumberFormat="1" applyFont="1" applyFill="1" applyBorder="1"/>
    <xf numFmtId="1" fontId="10" fillId="0" borderId="20" xfId="0" applyNumberFormat="1" applyFont="1" applyBorder="1" applyAlignment="1">
      <alignment horizontal="right"/>
    </xf>
    <xf numFmtId="1" fontId="10" fillId="7" borderId="29" xfId="0" applyNumberFormat="1" applyFont="1" applyFill="1" applyBorder="1"/>
    <xf numFmtId="1" fontId="10" fillId="7" borderId="346" xfId="0" applyNumberFormat="1" applyFont="1" applyFill="1" applyBorder="1"/>
    <xf numFmtId="1" fontId="10" fillId="7" borderId="133" xfId="0" applyNumberFormat="1" applyFont="1" applyFill="1" applyBorder="1"/>
    <xf numFmtId="1" fontId="10" fillId="0" borderId="38" xfId="0" applyNumberFormat="1" applyFont="1" applyBorder="1" applyAlignment="1">
      <alignment horizontal="right" vertical="center" wrapText="1"/>
    </xf>
    <xf numFmtId="1" fontId="10" fillId="0" borderId="41" xfId="0" applyNumberFormat="1" applyFont="1" applyBorder="1" applyAlignment="1">
      <alignment horizontal="right" vertical="center" wrapText="1"/>
    </xf>
    <xf numFmtId="1" fontId="10" fillId="0" borderId="100" xfId="0" applyNumberFormat="1" applyFont="1" applyBorder="1" applyAlignment="1">
      <alignment horizontal="right" vertical="center" wrapText="1"/>
    </xf>
    <xf numFmtId="1" fontId="10" fillId="0" borderId="101" xfId="0" applyNumberFormat="1" applyFont="1" applyBorder="1" applyAlignment="1">
      <alignment horizontal="right" vertical="center" wrapText="1"/>
    </xf>
    <xf numFmtId="1" fontId="10" fillId="6" borderId="271" xfId="0" applyNumberFormat="1" applyFont="1" applyFill="1" applyBorder="1" applyAlignment="1" applyProtection="1">
      <alignment horizontal="right"/>
      <protection locked="0"/>
    </xf>
    <xf numFmtId="1" fontId="10" fillId="6" borderId="314" xfId="0" applyNumberFormat="1" applyFont="1" applyFill="1" applyBorder="1" applyAlignment="1" applyProtection="1">
      <alignment horizontal="right"/>
      <protection locked="0"/>
    </xf>
    <xf numFmtId="1" fontId="10" fillId="6" borderId="526" xfId="0" applyNumberFormat="1" applyFont="1" applyFill="1" applyBorder="1" applyAlignment="1" applyProtection="1">
      <alignment horizontal="right"/>
      <protection locked="0"/>
    </xf>
    <xf numFmtId="1" fontId="10" fillId="6" borderId="272" xfId="0" applyNumberFormat="1" applyFont="1" applyFill="1" applyBorder="1" applyAlignment="1" applyProtection="1">
      <alignment horizontal="right"/>
      <protection locked="0"/>
    </xf>
    <xf numFmtId="1" fontId="10" fillId="0" borderId="80" xfId="0" applyNumberFormat="1" applyFont="1" applyBorder="1" applyAlignment="1">
      <alignment horizontal="right" vertical="center" wrapText="1"/>
    </xf>
    <xf numFmtId="1" fontId="10" fillId="0" borderId="31" xfId="0" applyNumberFormat="1" applyFont="1" applyBorder="1" applyAlignment="1">
      <alignment horizontal="right" vertical="center" wrapText="1"/>
    </xf>
    <xf numFmtId="1" fontId="10" fillId="6" borderId="434" xfId="0" applyNumberFormat="1" applyFont="1" applyFill="1" applyBorder="1" applyAlignment="1" applyProtection="1">
      <alignment horizontal="right"/>
      <protection locked="0"/>
    </xf>
    <xf numFmtId="1" fontId="23" fillId="9" borderId="0" xfId="0" applyNumberFormat="1" applyFont="1" applyFill="1"/>
    <xf numFmtId="1" fontId="22" fillId="37" borderId="0" xfId="0" applyNumberFormat="1" applyFont="1" applyFill="1"/>
    <xf numFmtId="0" fontId="22" fillId="37" borderId="0" xfId="0" applyFont="1" applyFill="1"/>
    <xf numFmtId="0" fontId="32" fillId="0" borderId="0" xfId="0" applyFont="1"/>
    <xf numFmtId="0" fontId="0" fillId="0" borderId="559" xfId="0" applyBorder="1"/>
    <xf numFmtId="1" fontId="32" fillId="11" borderId="0" xfId="0" applyNumberFormat="1" applyFont="1" applyFill="1" applyAlignment="1">
      <alignment horizontal="left" vertical="top"/>
    </xf>
    <xf numFmtId="1" fontId="32" fillId="11" borderId="0" xfId="0" applyNumberFormat="1" applyFont="1" applyFill="1" applyAlignment="1">
      <alignment vertical="top"/>
    </xf>
    <xf numFmtId="1" fontId="32" fillId="7" borderId="0" xfId="0" applyNumberFormat="1" applyFont="1" applyFill="1" applyAlignment="1">
      <alignment vertical="top"/>
    </xf>
    <xf numFmtId="1" fontId="29" fillId="7" borderId="7" xfId="0" applyNumberFormat="1" applyFont="1" applyFill="1" applyBorder="1" applyAlignment="1">
      <alignment horizontal="center" vertical="center"/>
    </xf>
    <xf numFmtId="1" fontId="29" fillId="11" borderId="31" xfId="0" applyNumberFormat="1" applyFont="1" applyFill="1" applyBorder="1" applyAlignment="1">
      <alignment horizontal="center" vertical="center" wrapText="1"/>
    </xf>
    <xf numFmtId="1" fontId="29" fillId="0" borderId="75" xfId="0" applyNumberFormat="1" applyFont="1" applyBorder="1"/>
    <xf numFmtId="1" fontId="29" fillId="6" borderId="280" xfId="0" applyNumberFormat="1" applyFont="1" applyFill="1" applyBorder="1" applyProtection="1">
      <protection locked="0"/>
    </xf>
    <xf numFmtId="0" fontId="32" fillId="16" borderId="0" xfId="0" applyFont="1" applyFill="1"/>
    <xf numFmtId="0" fontId="32" fillId="10" borderId="0" xfId="0" applyFont="1" applyFill="1"/>
    <xf numFmtId="1" fontId="29" fillId="0" borderId="142" xfId="0" applyNumberFormat="1" applyFont="1" applyBorder="1"/>
    <xf numFmtId="1" fontId="29" fillId="0" borderId="140" xfId="0" applyNumberFormat="1" applyFont="1" applyBorder="1"/>
    <xf numFmtId="1" fontId="29" fillId="0" borderId="48" xfId="0" applyNumberFormat="1" applyFont="1" applyBorder="1"/>
    <xf numFmtId="1" fontId="32" fillId="7" borderId="0" xfId="0" applyNumberFormat="1" applyFont="1" applyFill="1" applyAlignment="1">
      <alignment horizontal="left" vertical="top"/>
    </xf>
    <xf numFmtId="1" fontId="32" fillId="7" borderId="8" xfId="0" applyNumberFormat="1" applyFont="1" applyFill="1" applyBorder="1" applyAlignment="1">
      <alignment vertical="top"/>
    </xf>
    <xf numFmtId="1" fontId="29" fillId="7" borderId="27" xfId="0" applyNumberFormat="1" applyFont="1" applyFill="1" applyBorder="1" applyAlignment="1">
      <alignment horizontal="center" vertical="center" wrapText="1"/>
    </xf>
    <xf numFmtId="1" fontId="29" fillId="7" borderId="100" xfId="0" applyNumberFormat="1" applyFont="1" applyFill="1" applyBorder="1"/>
    <xf numFmtId="1" fontId="29" fillId="7" borderId="140" xfId="0" applyNumberFormat="1" applyFont="1" applyFill="1" applyBorder="1" applyAlignment="1">
      <alignment horizontal="left" vertical="center" wrapText="1"/>
    </xf>
    <xf numFmtId="1" fontId="29" fillId="7" borderId="103" xfId="0" applyNumberFormat="1" applyFont="1" applyFill="1" applyBorder="1" applyAlignment="1">
      <alignment horizontal="left" vertical="center" wrapText="1"/>
    </xf>
    <xf numFmtId="1" fontId="29" fillId="7" borderId="127" xfId="0" applyNumberFormat="1" applyFont="1" applyFill="1" applyBorder="1" applyAlignment="1">
      <alignment horizontal="left" vertical="center" wrapText="1"/>
    </xf>
    <xf numFmtId="1" fontId="29" fillId="7" borderId="61" xfId="0" applyNumberFormat="1" applyFont="1" applyFill="1" applyBorder="1" applyAlignment="1">
      <alignment horizontal="left" vertical="center" wrapText="1"/>
    </xf>
    <xf numFmtId="1" fontId="29" fillId="7" borderId="62" xfId="0" applyNumberFormat="1" applyFont="1" applyFill="1" applyBorder="1" applyAlignment="1">
      <alignment horizontal="left" vertical="center" wrapText="1"/>
    </xf>
    <xf numFmtId="1" fontId="32" fillId="0" borderId="0" xfId="0" applyNumberFormat="1" applyFont="1" applyAlignment="1">
      <alignment horizontal="left"/>
    </xf>
    <xf numFmtId="1" fontId="29" fillId="0" borderId="0" xfId="0" applyNumberFormat="1" applyFont="1" applyAlignment="1">
      <alignment vertical="top" wrapText="1"/>
    </xf>
    <xf numFmtId="1" fontId="29" fillId="0" borderId="23" xfId="0" applyNumberFormat="1" applyFont="1" applyBorder="1" applyAlignment="1">
      <alignment horizontal="center" vertical="center" wrapText="1"/>
    </xf>
    <xf numFmtId="1" fontId="29" fillId="0" borderId="68" xfId="0" applyNumberFormat="1" applyFont="1" applyBorder="1" applyAlignment="1">
      <alignment horizontal="center" vertical="center" wrapText="1"/>
    </xf>
    <xf numFmtId="1" fontId="29" fillId="0" borderId="41" xfId="0" applyNumberFormat="1" applyFont="1" applyBorder="1" applyAlignment="1">
      <alignment horizontal="right" vertical="center" wrapText="1"/>
    </xf>
    <xf numFmtId="1" fontId="29" fillId="0" borderId="98" xfId="0" applyNumberFormat="1" applyFont="1" applyBorder="1" applyAlignment="1">
      <alignment horizontal="right" vertical="center" wrapText="1"/>
    </xf>
    <xf numFmtId="1" fontId="29" fillId="14" borderId="103" xfId="0" applyNumberFormat="1" applyFont="1" applyFill="1" applyBorder="1" applyAlignment="1">
      <alignment horizontal="right"/>
    </xf>
    <xf numFmtId="1" fontId="29" fillId="6" borderId="38" xfId="0" applyNumberFormat="1" applyFont="1" applyFill="1" applyBorder="1" applyAlignment="1" applyProtection="1">
      <alignment horizontal="right" vertical="center" wrapText="1"/>
      <protection locked="0"/>
    </xf>
    <xf numFmtId="1" fontId="29" fillId="6" borderId="112" xfId="0" applyNumberFormat="1" applyFont="1" applyFill="1" applyBorder="1" applyAlignment="1" applyProtection="1">
      <alignment horizontal="right" vertical="center" wrapText="1"/>
      <protection locked="0"/>
    </xf>
    <xf numFmtId="1" fontId="29" fillId="6" borderId="39" xfId="0" applyNumberFormat="1" applyFont="1" applyFill="1" applyBorder="1" applyAlignment="1" applyProtection="1">
      <alignment horizontal="right" vertical="center" wrapText="1"/>
      <protection locked="0"/>
    </xf>
    <xf numFmtId="1" fontId="29" fillId="6" borderId="89" xfId="0" applyNumberFormat="1" applyFont="1" applyFill="1" applyBorder="1" applyAlignment="1" applyProtection="1">
      <alignment horizontal="right" vertical="center" wrapText="1"/>
      <protection locked="0"/>
    </xf>
    <xf numFmtId="1" fontId="29" fillId="6" borderId="138" xfId="0" applyNumberFormat="1" applyFont="1" applyFill="1" applyBorder="1" applyAlignment="1" applyProtection="1">
      <alignment horizontal="right" vertical="center" wrapText="1"/>
      <protection locked="0"/>
    </xf>
    <xf numFmtId="1" fontId="29" fillId="6" borderId="42" xfId="0" applyNumberFormat="1" applyFont="1" applyFill="1" applyBorder="1" applyAlignment="1" applyProtection="1">
      <alignment horizontal="right" vertical="center" wrapText="1"/>
      <protection locked="0"/>
    </xf>
    <xf numFmtId="1" fontId="29" fillId="6" borderId="113" xfId="0" applyNumberFormat="1" applyFont="1" applyFill="1" applyBorder="1" applyAlignment="1" applyProtection="1">
      <alignment horizontal="right" vertical="center" wrapText="1"/>
      <protection locked="0"/>
    </xf>
    <xf numFmtId="1" fontId="29" fillId="6" borderId="41" xfId="0" applyNumberFormat="1" applyFont="1" applyFill="1" applyBorder="1" applyAlignment="1" applyProtection="1">
      <alignment horizontal="right" vertical="center" wrapText="1"/>
      <protection locked="0"/>
    </xf>
    <xf numFmtId="1" fontId="29" fillId="6" borderId="75" xfId="0" applyNumberFormat="1" applyFont="1" applyFill="1" applyBorder="1" applyAlignment="1" applyProtection="1">
      <alignment horizontal="right" vertical="center" wrapText="1"/>
      <protection locked="0"/>
    </xf>
    <xf numFmtId="1" fontId="29" fillId="6" borderId="278" xfId="0" applyNumberFormat="1" applyFont="1" applyFill="1" applyBorder="1" applyAlignment="1" applyProtection="1">
      <alignment horizontal="right" vertical="center" wrapText="1"/>
      <protection locked="0"/>
    </xf>
    <xf numFmtId="1" fontId="29" fillId="6" borderId="325" xfId="0" applyNumberFormat="1" applyFont="1" applyFill="1" applyBorder="1" applyAlignment="1" applyProtection="1">
      <alignment horizontal="right" vertical="center" wrapText="1"/>
      <protection locked="0"/>
    </xf>
    <xf numFmtId="1" fontId="29" fillId="6" borderId="98" xfId="0" applyNumberFormat="1" applyFont="1" applyFill="1" applyBorder="1" applyAlignment="1" applyProtection="1">
      <alignment horizontal="right" vertical="center" wrapText="1"/>
      <protection locked="0"/>
    </xf>
    <xf numFmtId="1" fontId="29" fillId="0" borderId="40" xfId="0" applyNumberFormat="1" applyFont="1" applyBorder="1" applyAlignment="1">
      <alignment horizontal="right" vertical="center" wrapText="1"/>
    </xf>
    <xf numFmtId="1" fontId="29" fillId="0" borderId="49" xfId="0" applyNumberFormat="1" applyFont="1" applyBorder="1" applyAlignment="1">
      <alignment horizontal="right" vertical="center" wrapText="1"/>
    </xf>
    <xf numFmtId="1" fontId="29" fillId="6" borderId="64" xfId="0" applyNumberFormat="1" applyFont="1" applyFill="1" applyBorder="1" applyAlignment="1" applyProtection="1">
      <alignment horizontal="right" vertical="center" wrapText="1"/>
      <protection locked="0"/>
    </xf>
    <xf numFmtId="1" fontId="29" fillId="6" borderId="49" xfId="0" applyNumberFormat="1" applyFont="1" applyFill="1" applyBorder="1" applyAlignment="1" applyProtection="1">
      <alignment horizontal="right" vertical="center" wrapText="1"/>
      <protection locked="0"/>
    </xf>
    <xf numFmtId="1" fontId="29" fillId="6" borderId="48" xfId="0" applyNumberFormat="1" applyFont="1" applyFill="1" applyBorder="1" applyAlignment="1" applyProtection="1">
      <alignment horizontal="right" vertical="center" wrapText="1"/>
      <protection locked="0"/>
    </xf>
    <xf numFmtId="1" fontId="29" fillId="6" borderId="118" xfId="0" applyNumberFormat="1" applyFont="1" applyFill="1" applyBorder="1" applyAlignment="1" applyProtection="1">
      <alignment horizontal="right" vertical="center" wrapText="1"/>
      <protection locked="0"/>
    </xf>
    <xf numFmtId="1" fontId="29" fillId="14" borderId="131" xfId="0" applyNumberFormat="1" applyFont="1" applyFill="1" applyBorder="1" applyAlignment="1">
      <alignment horizontal="right"/>
    </xf>
    <xf numFmtId="1" fontId="29" fillId="14" borderId="140" xfId="0" applyNumberFormat="1" applyFont="1" applyFill="1" applyBorder="1" applyAlignment="1">
      <alignment horizontal="right"/>
    </xf>
    <xf numFmtId="1" fontId="29" fillId="14" borderId="102" xfId="0" applyNumberFormat="1" applyFont="1" applyFill="1" applyBorder="1" applyAlignment="1">
      <alignment horizontal="right"/>
    </xf>
    <xf numFmtId="1" fontId="29" fillId="6" borderId="44" xfId="0" applyNumberFormat="1" applyFont="1" applyFill="1" applyBorder="1" applyAlignment="1" applyProtection="1">
      <alignment horizontal="right" vertical="center" wrapText="1"/>
      <protection locked="0"/>
    </xf>
    <xf numFmtId="1" fontId="29" fillId="6" borderId="101" xfId="0" applyNumberFormat="1" applyFont="1" applyFill="1" applyBorder="1" applyAlignment="1" applyProtection="1">
      <alignment horizontal="right" vertical="center" wrapText="1"/>
      <protection locked="0"/>
    </xf>
    <xf numFmtId="1" fontId="29" fillId="14" borderId="101" xfId="0" applyNumberFormat="1" applyFont="1" applyFill="1" applyBorder="1" applyAlignment="1">
      <alignment horizontal="right"/>
    </xf>
    <xf numFmtId="1" fontId="29" fillId="6" borderId="45" xfId="0" applyNumberFormat="1" applyFont="1" applyFill="1" applyBorder="1" applyAlignment="1" applyProtection="1">
      <alignment horizontal="right" vertical="center" wrapText="1"/>
      <protection locked="0"/>
    </xf>
    <xf numFmtId="1" fontId="29" fillId="6" borderId="280" xfId="0" applyNumberFormat="1" applyFont="1" applyFill="1" applyBorder="1" applyAlignment="1" applyProtection="1">
      <alignment horizontal="right" vertical="center" wrapText="1"/>
      <protection locked="0"/>
    </xf>
    <xf numFmtId="1" fontId="29" fillId="6" borderId="326" xfId="0" applyNumberFormat="1" applyFont="1" applyFill="1" applyBorder="1" applyAlignment="1" applyProtection="1">
      <alignment horizontal="right" vertical="center" wrapText="1"/>
      <protection locked="0"/>
    </xf>
    <xf numFmtId="1" fontId="29" fillId="6" borderId="40" xfId="0" applyNumberFormat="1" applyFont="1" applyFill="1" applyBorder="1" applyAlignment="1" applyProtection="1">
      <alignment horizontal="right" vertical="center" wrapText="1"/>
      <protection locked="0"/>
    </xf>
    <xf numFmtId="0" fontId="32" fillId="17" borderId="0" xfId="0" applyFont="1" applyFill="1"/>
    <xf numFmtId="1" fontId="29" fillId="6" borderId="100" xfId="0" applyNumberFormat="1" applyFont="1" applyFill="1" applyBorder="1" applyAlignment="1" applyProtection="1">
      <alignment horizontal="right" vertical="center" wrapText="1"/>
      <protection locked="0"/>
    </xf>
    <xf numFmtId="1" fontId="29" fillId="6" borderId="116" xfId="0" applyNumberFormat="1" applyFont="1" applyFill="1" applyBorder="1" applyAlignment="1" applyProtection="1">
      <alignment horizontal="right" vertical="center" wrapText="1"/>
      <protection locked="0"/>
    </xf>
    <xf numFmtId="1" fontId="29" fillId="6" borderId="131" xfId="0" applyNumberFormat="1" applyFont="1" applyFill="1" applyBorder="1" applyAlignment="1" applyProtection="1">
      <alignment horizontal="right" vertical="center" wrapText="1"/>
      <protection locked="0"/>
    </xf>
    <xf numFmtId="1" fontId="29" fillId="6" borderId="142" xfId="0" applyNumberFormat="1" applyFont="1" applyFill="1" applyBorder="1" applyAlignment="1" applyProtection="1">
      <alignment horizontal="right" vertical="center" wrapText="1"/>
      <protection locked="0"/>
    </xf>
    <xf numFmtId="1" fontId="29" fillId="6" borderId="102" xfId="0" applyNumberFormat="1" applyFont="1" applyFill="1" applyBorder="1" applyAlignment="1" applyProtection="1">
      <alignment horizontal="right" vertical="center" wrapText="1"/>
      <protection locked="0"/>
    </xf>
    <xf numFmtId="1" fontId="29" fillId="6" borderId="117" xfId="0" applyNumberFormat="1" applyFont="1" applyFill="1" applyBorder="1" applyAlignment="1" applyProtection="1">
      <alignment horizontal="right" vertical="center" wrapText="1"/>
      <protection locked="0"/>
    </xf>
    <xf numFmtId="1" fontId="29" fillId="6" borderId="282" xfId="0" applyNumberFormat="1" applyFont="1" applyFill="1" applyBorder="1" applyAlignment="1" applyProtection="1">
      <alignment horizontal="right" vertical="center" wrapText="1"/>
      <protection locked="0"/>
    </xf>
    <xf numFmtId="1" fontId="29" fillId="6" borderId="422" xfId="0" applyNumberFormat="1" applyFont="1" applyFill="1" applyBorder="1" applyAlignment="1" applyProtection="1">
      <alignment horizontal="right" vertical="center" wrapText="1"/>
      <protection locked="0"/>
    </xf>
    <xf numFmtId="1" fontId="29" fillId="6" borderId="103" xfId="0" applyNumberFormat="1" applyFont="1" applyFill="1" applyBorder="1" applyAlignment="1" applyProtection="1">
      <alignment horizontal="right" vertical="center" wrapText="1"/>
      <protection locked="0"/>
    </xf>
    <xf numFmtId="1" fontId="29" fillId="7" borderId="48" xfId="0" applyNumberFormat="1" applyFont="1" applyFill="1" applyBorder="1" applyAlignment="1">
      <alignment horizontal="left" vertical="center" wrapText="1"/>
    </xf>
    <xf numFmtId="1" fontId="29" fillId="0" borderId="65" xfId="0" applyNumberFormat="1" applyFont="1" applyBorder="1" applyAlignment="1">
      <alignment horizontal="right" vertical="center" wrapText="1"/>
    </xf>
    <xf numFmtId="1" fontId="29" fillId="6" borderId="140" xfId="0" applyNumberFormat="1" applyFont="1" applyFill="1" applyBorder="1" applyAlignment="1" applyProtection="1">
      <alignment horizontal="right" vertical="center" wrapText="1"/>
      <protection locked="0"/>
    </xf>
    <xf numFmtId="1" fontId="29" fillId="0" borderId="127" xfId="0" applyNumberFormat="1" applyFont="1" applyBorder="1" applyAlignment="1">
      <alignment horizontal="left" vertical="center" wrapText="1"/>
    </xf>
    <xf numFmtId="1" fontId="29" fillId="0" borderId="52" xfId="0" applyNumberFormat="1" applyFont="1" applyBorder="1" applyAlignment="1">
      <alignment horizontal="right" vertical="center" wrapText="1"/>
    </xf>
    <xf numFmtId="1" fontId="29" fillId="6" borderId="52" xfId="0" applyNumberFormat="1" applyFont="1" applyFill="1" applyBorder="1" applyAlignment="1" applyProtection="1">
      <alignment horizontal="right" vertical="center" wrapText="1"/>
      <protection locked="0"/>
    </xf>
    <xf numFmtId="1" fontId="29" fillId="6" borderId="80" xfId="0" applyNumberFormat="1" applyFont="1" applyFill="1" applyBorder="1" applyAlignment="1" applyProtection="1">
      <alignment horizontal="right" vertical="center" wrapText="1"/>
      <protection locked="0"/>
    </xf>
    <xf numFmtId="1" fontId="29" fillId="6" borderId="36" xfId="0" applyNumberFormat="1" applyFont="1" applyFill="1" applyBorder="1" applyAlignment="1" applyProtection="1">
      <alignment horizontal="right" vertical="center" wrapText="1"/>
      <protection locked="0"/>
    </xf>
    <xf numFmtId="1" fontId="29" fillId="6" borderId="76" xfId="0" applyNumberFormat="1" applyFont="1" applyFill="1" applyBorder="1" applyAlignment="1" applyProtection="1">
      <alignment horizontal="right" vertical="center" wrapText="1"/>
      <protection locked="0"/>
    </xf>
    <xf numFmtId="1" fontId="29" fillId="6" borderId="14" xfId="0" applyNumberFormat="1" applyFont="1" applyFill="1" applyBorder="1" applyAlignment="1" applyProtection="1">
      <alignment horizontal="right" vertical="center" wrapText="1"/>
      <protection locked="0"/>
    </xf>
    <xf numFmtId="1" fontId="29" fillId="6" borderId="74" xfId="0" applyNumberFormat="1" applyFont="1" applyFill="1" applyBorder="1" applyAlignment="1" applyProtection="1">
      <alignment horizontal="right" vertical="center" wrapText="1"/>
      <protection locked="0"/>
    </xf>
    <xf numFmtId="1" fontId="29" fillId="6" borderId="0" xfId="0" applyNumberFormat="1" applyFont="1" applyFill="1" applyAlignment="1" applyProtection="1">
      <alignment horizontal="right" vertical="center" wrapText="1"/>
      <protection locked="0"/>
    </xf>
    <xf numFmtId="1" fontId="29" fillId="6" borderId="92" xfId="0" applyNumberFormat="1" applyFont="1" applyFill="1" applyBorder="1" applyAlignment="1" applyProtection="1">
      <alignment horizontal="right" vertical="center" wrapText="1"/>
      <protection locked="0"/>
    </xf>
    <xf numFmtId="1" fontId="29" fillId="6" borderId="30" xfId="0" applyNumberFormat="1" applyFont="1" applyFill="1" applyBorder="1" applyAlignment="1" applyProtection="1">
      <alignment horizontal="right" vertical="center" wrapText="1"/>
      <protection locked="0"/>
    </xf>
    <xf numFmtId="1" fontId="29" fillId="6" borderId="31" xfId="0" applyNumberFormat="1" applyFont="1" applyFill="1" applyBorder="1" applyAlignment="1" applyProtection="1">
      <alignment horizontal="right" vertical="center" wrapText="1"/>
      <protection locked="0"/>
    </xf>
    <xf numFmtId="1" fontId="29" fillId="6" borderId="32" xfId="0" applyNumberFormat="1" applyFont="1" applyFill="1" applyBorder="1" applyAlignment="1" applyProtection="1">
      <alignment horizontal="right" vertical="center" wrapText="1"/>
      <protection locked="0"/>
    </xf>
    <xf numFmtId="1" fontId="29" fillId="6" borderId="276" xfId="0" applyNumberFormat="1" applyFont="1" applyFill="1" applyBorder="1" applyAlignment="1" applyProtection="1">
      <alignment horizontal="right" vertical="center" wrapText="1"/>
      <protection locked="0"/>
    </xf>
    <xf numFmtId="1" fontId="29" fillId="6" borderId="322" xfId="0" applyNumberFormat="1" applyFont="1" applyFill="1" applyBorder="1" applyAlignment="1" applyProtection="1">
      <alignment horizontal="right" vertical="center" wrapText="1"/>
      <protection locked="0"/>
    </xf>
    <xf numFmtId="1" fontId="29" fillId="0" borderId="7" xfId="0" applyNumberFormat="1" applyFont="1" applyBorder="1" applyAlignment="1">
      <alignment horizontal="right" vertical="center" wrapText="1"/>
    </xf>
    <xf numFmtId="1" fontId="29" fillId="6" borderId="10" xfId="0" applyNumberFormat="1" applyFont="1" applyFill="1" applyBorder="1" applyAlignment="1" applyProtection="1">
      <alignment horizontal="right" vertical="center" wrapText="1"/>
      <protection locked="0"/>
    </xf>
    <xf numFmtId="1" fontId="29" fillId="6" borderId="7" xfId="0" applyNumberFormat="1" applyFont="1" applyFill="1" applyBorder="1" applyAlignment="1" applyProtection="1">
      <alignment horizontal="right" vertical="center" wrapText="1"/>
      <protection locked="0"/>
    </xf>
    <xf numFmtId="1" fontId="29" fillId="6" borderId="8" xfId="0" applyNumberFormat="1" applyFont="1" applyFill="1" applyBorder="1" applyAlignment="1" applyProtection="1">
      <alignment horizontal="right" vertical="center" wrapText="1"/>
      <protection locked="0"/>
    </xf>
    <xf numFmtId="1" fontId="29" fillId="6" borderId="12" xfId="0" applyNumberFormat="1" applyFont="1" applyFill="1" applyBorder="1" applyAlignment="1" applyProtection="1">
      <alignment horizontal="right" vertical="center" wrapText="1"/>
      <protection locked="0"/>
    </xf>
    <xf numFmtId="1" fontId="29" fillId="6" borderId="6" xfId="0" applyNumberFormat="1" applyFont="1" applyFill="1" applyBorder="1" applyAlignment="1" applyProtection="1">
      <alignment horizontal="right" vertical="center" wrapText="1"/>
      <protection locked="0"/>
    </xf>
    <xf numFmtId="1" fontId="29" fillId="6" borderId="29" xfId="0" applyNumberFormat="1" applyFont="1" applyFill="1" applyBorder="1" applyAlignment="1" applyProtection="1">
      <alignment horizontal="right" vertical="center" wrapText="1"/>
      <protection locked="0"/>
    </xf>
    <xf numFmtId="1" fontId="29" fillId="6" borderId="28" xfId="0" applyNumberFormat="1" applyFont="1" applyFill="1" applyBorder="1" applyAlignment="1" applyProtection="1">
      <alignment horizontal="right" vertical="center" wrapText="1"/>
      <protection locked="0"/>
    </xf>
    <xf numFmtId="1" fontId="29" fillId="6" borderId="136" xfId="0" applyNumberFormat="1" applyFont="1" applyFill="1" applyBorder="1" applyAlignment="1" applyProtection="1">
      <alignment horizontal="right" vertical="center" wrapText="1"/>
      <protection locked="0"/>
    </xf>
    <xf numFmtId="1" fontId="29" fillId="6" borderId="11" xfId="0" applyNumberFormat="1" applyFont="1" applyFill="1" applyBorder="1" applyAlignment="1" applyProtection="1">
      <alignment horizontal="right" vertical="center" wrapText="1"/>
      <protection locked="0"/>
    </xf>
    <xf numFmtId="1" fontId="29" fillId="6" borderId="165" xfId="0" applyNumberFormat="1" applyFont="1" applyFill="1" applyBorder="1" applyAlignment="1" applyProtection="1">
      <alignment horizontal="right" vertical="center" wrapText="1"/>
      <protection locked="0"/>
    </xf>
    <xf numFmtId="1" fontId="29" fillId="6" borderId="444" xfId="0" applyNumberFormat="1" applyFont="1" applyFill="1" applyBorder="1" applyAlignment="1" applyProtection="1">
      <alignment horizontal="right" vertical="center" wrapText="1"/>
      <protection locked="0"/>
    </xf>
    <xf numFmtId="1" fontId="29" fillId="6" borderId="430" xfId="0" applyNumberFormat="1" applyFont="1" applyFill="1" applyBorder="1" applyAlignment="1" applyProtection="1">
      <alignment horizontal="right" vertical="center" wrapText="1"/>
      <protection locked="0"/>
    </xf>
    <xf numFmtId="1" fontId="29" fillId="7" borderId="63" xfId="0" applyNumberFormat="1" applyFont="1" applyFill="1" applyBorder="1" applyAlignment="1">
      <alignment horizontal="center" vertical="center" wrapText="1"/>
    </xf>
    <xf numFmtId="1" fontId="29" fillId="7" borderId="64" xfId="0" applyNumberFormat="1" applyFont="1" applyFill="1" applyBorder="1" applyAlignment="1">
      <alignment horizontal="right" vertical="center" wrapText="1"/>
    </xf>
    <xf numFmtId="1" fontId="29" fillId="7" borderId="40" xfId="0" applyNumberFormat="1" applyFont="1" applyFill="1" applyBorder="1" applyAlignment="1">
      <alignment horizontal="right" vertical="center" wrapText="1"/>
    </xf>
    <xf numFmtId="1" fontId="29" fillId="6" borderId="166" xfId="0" applyNumberFormat="1" applyFont="1" applyFill="1" applyBorder="1" applyAlignment="1" applyProtection="1">
      <alignment horizontal="right" vertical="center" wrapText="1"/>
      <protection locked="0"/>
    </xf>
    <xf numFmtId="1" fontId="29" fillId="6" borderId="65" xfId="0" applyNumberFormat="1" applyFont="1" applyFill="1" applyBorder="1" applyAlignment="1" applyProtection="1">
      <alignment horizontal="right" vertical="center" wrapText="1"/>
      <protection locked="0"/>
    </xf>
    <xf numFmtId="1" fontId="29" fillId="6" borderId="66" xfId="0" applyNumberFormat="1" applyFont="1" applyFill="1" applyBorder="1" applyAlignment="1" applyProtection="1">
      <alignment horizontal="right" vertical="center" wrapText="1"/>
      <protection locked="0"/>
    </xf>
    <xf numFmtId="1" fontId="29" fillId="0" borderId="99" xfId="0" applyNumberFormat="1" applyFont="1" applyBorder="1" applyAlignment="1">
      <alignment horizontal="center" vertical="center" wrapText="1"/>
    </xf>
    <xf numFmtId="1" fontId="29" fillId="0" borderId="100" xfId="0" applyNumberFormat="1" applyFont="1" applyBorder="1" applyAlignment="1">
      <alignment horizontal="right" vertical="center" wrapText="1"/>
    </xf>
    <xf numFmtId="1" fontId="29" fillId="6" borderId="128" xfId="0" applyNumberFormat="1" applyFont="1" applyFill="1" applyBorder="1" applyAlignment="1" applyProtection="1">
      <alignment horizontal="right" vertical="center" wrapText="1"/>
      <protection locked="0"/>
    </xf>
    <xf numFmtId="1" fontId="29" fillId="0" borderId="86" xfId="0" applyNumberFormat="1" applyFont="1" applyBorder="1" applyAlignment="1">
      <alignment horizontal="center" vertical="center" wrapText="1"/>
    </xf>
    <xf numFmtId="1" fontId="29" fillId="0" borderId="71" xfId="0" applyNumberFormat="1" applyFont="1" applyBorder="1" applyAlignment="1">
      <alignment horizontal="right" vertical="center" wrapText="1"/>
    </xf>
    <xf numFmtId="1" fontId="29" fillId="6" borderId="71" xfId="0" applyNumberFormat="1" applyFont="1" applyFill="1" applyBorder="1" applyAlignment="1" applyProtection="1">
      <alignment horizontal="right" vertical="center" wrapText="1"/>
      <protection locked="0"/>
    </xf>
    <xf numFmtId="1" fontId="29" fillId="6" borderId="171" xfId="0" applyNumberFormat="1" applyFont="1" applyFill="1" applyBorder="1" applyAlignment="1" applyProtection="1">
      <alignment horizontal="right" vertical="center" wrapText="1"/>
      <protection locked="0"/>
    </xf>
    <xf numFmtId="1" fontId="29" fillId="6" borderId="167" xfId="0" applyNumberFormat="1" applyFont="1" applyFill="1" applyBorder="1" applyAlignment="1" applyProtection="1">
      <alignment horizontal="right" vertical="center" wrapText="1"/>
      <protection locked="0"/>
    </xf>
    <xf numFmtId="1" fontId="29" fillId="6" borderId="168" xfId="0" applyNumberFormat="1" applyFont="1" applyFill="1" applyBorder="1" applyAlignment="1" applyProtection="1">
      <alignment horizontal="right" vertical="center" wrapText="1"/>
      <protection locked="0"/>
    </xf>
    <xf numFmtId="1" fontId="29" fillId="6" borderId="72" xfId="0" applyNumberFormat="1" applyFont="1" applyFill="1" applyBorder="1" applyAlignment="1" applyProtection="1">
      <alignment horizontal="right" vertical="center" wrapText="1"/>
      <protection locked="0"/>
    </xf>
    <xf numFmtId="1" fontId="29" fillId="6" borderId="197" xfId="0" applyNumberFormat="1" applyFont="1" applyFill="1" applyBorder="1" applyAlignment="1" applyProtection="1">
      <alignment horizontal="right" vertical="center" wrapText="1"/>
      <protection locked="0"/>
    </xf>
    <xf numFmtId="1" fontId="29" fillId="6" borderId="73" xfId="0" applyNumberFormat="1" applyFont="1" applyFill="1" applyBorder="1" applyAlignment="1" applyProtection="1">
      <alignment horizontal="right" vertical="center" wrapText="1"/>
      <protection locked="0"/>
    </xf>
    <xf numFmtId="1" fontId="29" fillId="6" borderId="77" xfId="0" applyNumberFormat="1" applyFont="1" applyFill="1" applyBorder="1" applyAlignment="1" applyProtection="1">
      <alignment horizontal="right" vertical="center" wrapText="1"/>
      <protection locked="0"/>
    </xf>
    <xf numFmtId="1" fontId="29" fillId="6" borderId="78" xfId="0" applyNumberFormat="1" applyFont="1" applyFill="1" applyBorder="1" applyAlignment="1" applyProtection="1">
      <alignment horizontal="right" vertical="center" wrapText="1"/>
      <protection locked="0"/>
    </xf>
    <xf numFmtId="1" fontId="29" fillId="6" borderId="169" xfId="0" applyNumberFormat="1" applyFont="1" applyFill="1" applyBorder="1" applyAlignment="1" applyProtection="1">
      <alignment horizontal="right" vertical="center" wrapText="1"/>
      <protection locked="0"/>
    </xf>
    <xf numFmtId="1" fontId="29" fillId="6" borderId="560" xfId="0" applyNumberFormat="1" applyFont="1" applyFill="1" applyBorder="1" applyAlignment="1" applyProtection="1">
      <alignment horizontal="right" vertical="center" wrapText="1"/>
      <protection locked="0"/>
    </xf>
    <xf numFmtId="1" fontId="29" fillId="6" borderId="426" xfId="0" applyNumberFormat="1" applyFont="1" applyFill="1" applyBorder="1" applyAlignment="1" applyProtection="1">
      <alignment horizontal="right" vertical="center" wrapText="1"/>
      <protection locked="0"/>
    </xf>
    <xf numFmtId="1" fontId="29" fillId="7" borderId="54" xfId="0" applyNumberFormat="1" applyFont="1" applyFill="1" applyBorder="1" applyAlignment="1">
      <alignment horizontal="right" vertical="center" wrapText="1"/>
    </xf>
    <xf numFmtId="1" fontId="29" fillId="0" borderId="62" xfId="0" applyNumberFormat="1" applyFont="1" applyBorder="1" applyAlignment="1">
      <alignment horizontal="right" vertical="center" wrapText="1"/>
    </xf>
    <xf numFmtId="1" fontId="29" fillId="18" borderId="52" xfId="0" applyNumberFormat="1" applyFont="1" applyFill="1" applyBorder="1" applyAlignment="1">
      <alignment horizontal="right" vertical="center" wrapText="1"/>
    </xf>
    <xf numFmtId="1" fontId="29" fillId="18" borderId="62" xfId="0" applyNumberFormat="1" applyFont="1" applyFill="1" applyBorder="1" applyAlignment="1">
      <alignment horizontal="right" vertical="center" wrapText="1"/>
    </xf>
    <xf numFmtId="1" fontId="29" fillId="6" borderId="62" xfId="0" applyNumberFormat="1" applyFont="1" applyFill="1" applyBorder="1" applyAlignment="1" applyProtection="1">
      <alignment horizontal="right" vertical="center" wrapText="1"/>
      <protection locked="0"/>
    </xf>
    <xf numFmtId="1" fontId="29" fillId="6" borderId="121" xfId="0" applyNumberFormat="1" applyFont="1" applyFill="1" applyBorder="1" applyAlignment="1" applyProtection="1">
      <alignment horizontal="right" vertical="center" wrapText="1"/>
      <protection locked="0"/>
    </xf>
    <xf numFmtId="1" fontId="29" fillId="6" borderId="127" xfId="0" applyNumberFormat="1" applyFont="1" applyFill="1" applyBorder="1" applyAlignment="1" applyProtection="1">
      <alignment horizontal="right" vertical="center" wrapText="1"/>
      <protection locked="0"/>
    </xf>
    <xf numFmtId="1" fontId="29" fillId="6" borderId="53" xfId="0" applyNumberFormat="1" applyFont="1" applyFill="1" applyBorder="1" applyAlignment="1" applyProtection="1">
      <alignment horizontal="right" vertical="center" wrapText="1"/>
      <protection locked="0"/>
    </xf>
    <xf numFmtId="1" fontId="29" fillId="6" borderId="61" xfId="0" applyNumberFormat="1" applyFont="1" applyFill="1" applyBorder="1" applyAlignment="1" applyProtection="1">
      <alignment horizontal="right" vertical="center" wrapText="1"/>
      <protection locked="0"/>
    </xf>
    <xf numFmtId="1" fontId="29" fillId="6" borderId="55" xfId="0" applyNumberFormat="1" applyFont="1" applyFill="1" applyBorder="1" applyAlignment="1" applyProtection="1">
      <alignment horizontal="right" vertical="center" wrapText="1"/>
      <protection locked="0"/>
    </xf>
    <xf numFmtId="1" fontId="29" fillId="6" borderId="57" xfId="0" applyNumberFormat="1" applyFont="1" applyFill="1" applyBorder="1" applyAlignment="1" applyProtection="1">
      <alignment horizontal="right" vertical="center" wrapText="1"/>
      <protection locked="0"/>
    </xf>
    <xf numFmtId="1" fontId="29" fillId="6" borderId="54" xfId="0" applyNumberFormat="1" applyFont="1" applyFill="1" applyBorder="1" applyAlignment="1" applyProtection="1">
      <alignment horizontal="right" vertical="center" wrapText="1"/>
      <protection locked="0"/>
    </xf>
    <xf numFmtId="1" fontId="29" fillId="6" borderId="58" xfId="0" applyNumberFormat="1" applyFont="1" applyFill="1" applyBorder="1" applyAlignment="1" applyProtection="1">
      <alignment horizontal="right" vertical="center" wrapText="1"/>
      <protection locked="0"/>
    </xf>
    <xf numFmtId="1" fontId="29" fillId="6" borderId="360" xfId="0" applyNumberFormat="1" applyFont="1" applyFill="1" applyBorder="1" applyAlignment="1" applyProtection="1">
      <alignment horizontal="right" vertical="center" wrapText="1"/>
      <protection locked="0"/>
    </xf>
    <xf numFmtId="1" fontId="29" fillId="6" borderId="434" xfId="0" applyNumberFormat="1" applyFont="1" applyFill="1" applyBorder="1" applyAlignment="1" applyProtection="1">
      <alignment horizontal="right" vertical="center" wrapText="1"/>
      <protection locked="0"/>
    </xf>
    <xf numFmtId="1" fontId="29" fillId="0" borderId="28" xfId="0" applyNumberFormat="1" applyFont="1" applyBorder="1" applyAlignment="1">
      <alignment horizontal="right" vertical="center" wrapText="1"/>
    </xf>
    <xf numFmtId="1" fontId="29" fillId="0" borderId="136" xfId="0" applyNumberFormat="1" applyFont="1" applyBorder="1" applyAlignment="1">
      <alignment horizontal="right" vertical="center" wrapText="1"/>
    </xf>
    <xf numFmtId="1" fontId="29" fillId="0" borderId="165" xfId="0" applyNumberFormat="1" applyFont="1" applyBorder="1" applyAlignment="1">
      <alignment horizontal="right" vertical="center" wrapText="1"/>
    </xf>
    <xf numFmtId="1" fontId="29" fillId="0" borderId="444" xfId="0" applyNumberFormat="1" applyFont="1" applyBorder="1" applyAlignment="1">
      <alignment horizontal="right" vertical="center" wrapText="1"/>
    </xf>
    <xf numFmtId="1" fontId="29" fillId="0" borderId="430" xfId="0" applyNumberFormat="1" applyFont="1" applyBorder="1" applyAlignment="1">
      <alignment horizontal="right" vertical="center" wrapText="1"/>
    </xf>
    <xf numFmtId="1" fontId="29" fillId="0" borderId="63" xfId="0" applyNumberFormat="1" applyFont="1" applyBorder="1" applyAlignment="1">
      <alignment horizontal="center" vertical="center" wrapText="1"/>
    </xf>
    <xf numFmtId="1" fontId="29" fillId="7" borderId="41" xfId="0" applyNumberFormat="1" applyFont="1" applyFill="1" applyBorder="1" applyAlignment="1">
      <alignment horizontal="right" vertical="center" wrapText="1"/>
    </xf>
    <xf numFmtId="1" fontId="29" fillId="0" borderId="112" xfId="0" applyNumberFormat="1" applyFont="1" applyBorder="1" applyAlignment="1">
      <alignment horizontal="right" vertical="center" wrapText="1"/>
    </xf>
    <xf numFmtId="1" fontId="29" fillId="7" borderId="101" xfId="0" applyNumberFormat="1" applyFont="1" applyFill="1" applyBorder="1" applyAlignment="1">
      <alignment horizontal="right" vertical="center" wrapText="1"/>
    </xf>
    <xf numFmtId="1" fontId="29" fillId="0" borderId="116" xfId="0" applyNumberFormat="1" applyFont="1" applyBorder="1" applyAlignment="1">
      <alignment horizontal="right" vertical="center" wrapText="1"/>
    </xf>
    <xf numFmtId="1" fontId="29" fillId="18" borderId="100" xfId="0" applyNumberFormat="1" applyFont="1" applyFill="1" applyBorder="1" applyAlignment="1">
      <alignment horizontal="right" vertical="center" wrapText="1"/>
    </xf>
    <xf numFmtId="1" fontId="29" fillId="18" borderId="116" xfId="0" applyNumberFormat="1" applyFont="1" applyFill="1" applyBorder="1" applyAlignment="1">
      <alignment horizontal="right" vertical="center" wrapText="1"/>
    </xf>
    <xf numFmtId="1" fontId="29" fillId="0" borderId="121" xfId="0" applyNumberFormat="1" applyFont="1" applyBorder="1" applyAlignment="1">
      <alignment horizontal="right" vertical="center" wrapText="1"/>
    </xf>
    <xf numFmtId="1" fontId="29" fillId="18" borderId="121" xfId="0" applyNumberFormat="1" applyFont="1" applyFill="1" applyBorder="1" applyAlignment="1">
      <alignment horizontal="right" vertical="center" wrapText="1"/>
    </xf>
    <xf numFmtId="1" fontId="29" fillId="0" borderId="78" xfId="0" applyNumberFormat="1" applyFont="1" applyBorder="1" applyAlignment="1">
      <alignment horizontal="right" vertical="center" wrapText="1"/>
    </xf>
    <xf numFmtId="1" fontId="29" fillId="0" borderId="103" xfId="0" applyNumberFormat="1" applyFont="1" applyBorder="1" applyAlignment="1">
      <alignment horizontal="right" vertical="center" wrapText="1"/>
    </xf>
    <xf numFmtId="0" fontId="0" fillId="19" borderId="38" xfId="0" applyFill="1" applyBorder="1" applyAlignment="1">
      <alignment horizontal="right"/>
    </xf>
    <xf numFmtId="0" fontId="0" fillId="19" borderId="112" xfId="0" applyFill="1" applyBorder="1" applyAlignment="1">
      <alignment horizontal="right"/>
    </xf>
    <xf numFmtId="0" fontId="0" fillId="19" borderId="39" xfId="0" applyFill="1" applyBorder="1" applyAlignment="1">
      <alignment horizontal="right"/>
    </xf>
    <xf numFmtId="1" fontId="29" fillId="15" borderId="71" xfId="0" applyNumberFormat="1" applyFont="1" applyFill="1" applyBorder="1" applyAlignment="1">
      <alignment horizontal="right" vertical="center" wrapText="1"/>
    </xf>
    <xf numFmtId="1" fontId="29" fillId="15" borderId="167" xfId="0" applyNumberFormat="1" applyFont="1" applyFill="1" applyBorder="1" applyAlignment="1">
      <alignment horizontal="right" vertical="center" wrapText="1"/>
    </xf>
    <xf numFmtId="1" fontId="29" fillId="6" borderId="164" xfId="0" applyNumberFormat="1" applyFont="1" applyFill="1" applyBorder="1" applyAlignment="1" applyProtection="1">
      <alignment horizontal="right" vertical="center" wrapText="1"/>
      <protection locked="0"/>
    </xf>
    <xf numFmtId="1" fontId="29" fillId="6" borderId="177" xfId="0" applyNumberFormat="1" applyFont="1" applyFill="1" applyBorder="1" applyAlignment="1" applyProtection="1">
      <alignment horizontal="right" vertical="center" wrapText="1"/>
      <protection locked="0"/>
    </xf>
    <xf numFmtId="1" fontId="29" fillId="6" borderId="122" xfId="0" applyNumberFormat="1" applyFont="1" applyFill="1" applyBorder="1" applyAlignment="1" applyProtection="1">
      <alignment horizontal="right" vertical="center" wrapText="1"/>
      <protection locked="0"/>
    </xf>
    <xf numFmtId="1" fontId="29" fillId="43" borderId="21" xfId="0" applyNumberFormat="1" applyFont="1" applyFill="1" applyBorder="1" applyAlignment="1">
      <alignment horizontal="right" vertical="center" wrapText="1"/>
    </xf>
    <xf numFmtId="1" fontId="29" fillId="6" borderId="23" xfId="0" applyNumberFormat="1" applyFont="1" applyFill="1" applyBorder="1" applyAlignment="1" applyProtection="1">
      <alignment horizontal="right" vertical="center" wrapText="1"/>
      <protection locked="0"/>
    </xf>
    <xf numFmtId="1" fontId="29" fillId="6" borderId="22" xfId="0" applyNumberFormat="1" applyFont="1" applyFill="1" applyBorder="1" applyAlignment="1" applyProtection="1">
      <alignment horizontal="right" vertical="center" wrapText="1"/>
      <protection locked="0"/>
    </xf>
    <xf numFmtId="1" fontId="29" fillId="6" borderId="27" xfId="0" applyNumberFormat="1" applyFont="1" applyFill="1" applyBorder="1" applyAlignment="1" applyProtection="1">
      <alignment horizontal="right" vertical="center" wrapText="1"/>
      <protection locked="0"/>
    </xf>
    <xf numFmtId="0" fontId="32" fillId="43" borderId="0" xfId="0" applyFont="1" applyFill="1"/>
    <xf numFmtId="0" fontId="0" fillId="19" borderId="100" xfId="0" applyFill="1" applyBorder="1" applyAlignment="1">
      <alignment horizontal="right"/>
    </xf>
    <xf numFmtId="0" fontId="0" fillId="19" borderId="116" xfId="0" applyFill="1" applyBorder="1" applyAlignment="1">
      <alignment horizontal="right"/>
    </xf>
    <xf numFmtId="1" fontId="29" fillId="43" borderId="77" xfId="0" applyNumberFormat="1" applyFont="1" applyFill="1" applyBorder="1" applyAlignment="1">
      <alignment horizontal="right" vertical="center" wrapText="1"/>
    </xf>
    <xf numFmtId="1" fontId="29" fillId="43" borderId="57" xfId="0" applyNumberFormat="1" applyFont="1" applyFill="1" applyBorder="1" applyAlignment="1">
      <alignment horizontal="right" vertical="center" wrapText="1"/>
    </xf>
    <xf numFmtId="1" fontId="29" fillId="43" borderId="136" xfId="0" applyNumberFormat="1" applyFont="1" applyFill="1" applyBorder="1" applyAlignment="1">
      <alignment horizontal="right" vertical="center" wrapText="1"/>
    </xf>
    <xf numFmtId="1" fontId="32" fillId="0" borderId="0" xfId="0" applyNumberFormat="1" applyFont="1" applyAlignment="1">
      <alignment horizontal="left" vertical="center" wrapText="1"/>
    </xf>
    <xf numFmtId="1" fontId="32" fillId="0" borderId="0" xfId="0" applyNumberFormat="1" applyFont="1" applyAlignment="1">
      <alignment horizontal="right"/>
    </xf>
    <xf numFmtId="1" fontId="29" fillId="11" borderId="80" xfId="0" applyNumberFormat="1" applyFont="1" applyFill="1" applyBorder="1" applyAlignment="1">
      <alignment horizontal="center" vertical="center" wrapText="1"/>
    </xf>
    <xf numFmtId="1" fontId="29" fillId="11" borderId="32" xfId="0" applyNumberFormat="1" applyFont="1" applyFill="1" applyBorder="1" applyAlignment="1">
      <alignment horizontal="center" vertical="center" wrapText="1"/>
    </xf>
    <xf numFmtId="1" fontId="29" fillId="11" borderId="17" xfId="0" applyNumberFormat="1" applyFont="1" applyFill="1" applyBorder="1" applyAlignment="1">
      <alignment horizontal="center" vertical="center" wrapText="1"/>
    </xf>
    <xf numFmtId="1" fontId="29" fillId="11" borderId="92" xfId="0" applyNumberFormat="1" applyFont="1" applyFill="1" applyBorder="1" applyAlignment="1">
      <alignment horizontal="center" vertical="center" wrapText="1"/>
    </xf>
    <xf numFmtId="1" fontId="29" fillId="0" borderId="18" xfId="0" applyNumberFormat="1" applyFont="1" applyBorder="1" applyAlignment="1">
      <alignment horizontal="right" vertical="center" wrapText="1"/>
    </xf>
    <xf numFmtId="1" fontId="29" fillId="0" borderId="69" xfId="0" applyNumberFormat="1" applyFont="1" applyBorder="1" applyAlignment="1">
      <alignment horizontal="right" vertical="center" wrapText="1"/>
    </xf>
    <xf numFmtId="0" fontId="32" fillId="21" borderId="0" xfId="0" applyFont="1" applyFill="1"/>
    <xf numFmtId="1" fontId="29" fillId="0" borderId="86" xfId="0" applyNumberFormat="1" applyFont="1" applyBorder="1" applyAlignment="1">
      <alignment horizontal="right" vertical="center" wrapText="1"/>
    </xf>
    <xf numFmtId="1" fontId="32" fillId="11" borderId="0" xfId="0" applyNumberFormat="1" applyFont="1" applyFill="1" applyAlignment="1">
      <alignment horizontal="left"/>
    </xf>
    <xf numFmtId="1" fontId="29" fillId="0" borderId="166" xfId="0" applyNumberFormat="1" applyFont="1" applyBorder="1" applyAlignment="1">
      <alignment horizontal="left" vertical="center" wrapText="1"/>
    </xf>
    <xf numFmtId="1" fontId="29" fillId="6" borderId="87" xfId="0" applyNumberFormat="1" applyFont="1" applyFill="1" applyBorder="1" applyProtection="1">
      <protection locked="0"/>
    </xf>
    <xf numFmtId="1" fontId="29" fillId="6" borderId="275" xfId="0" applyNumberFormat="1" applyFont="1" applyFill="1" applyBorder="1" applyProtection="1">
      <protection locked="0"/>
    </xf>
    <xf numFmtId="1" fontId="29" fillId="6" borderId="324" xfId="0" applyNumberFormat="1" applyFont="1" applyFill="1" applyBorder="1" applyProtection="1">
      <protection locked="0"/>
    </xf>
    <xf numFmtId="1" fontId="29" fillId="6" borderId="276" xfId="0" applyNumberFormat="1" applyFont="1" applyFill="1" applyBorder="1" applyProtection="1">
      <protection locked="0"/>
    </xf>
    <xf numFmtId="1" fontId="29" fillId="6" borderId="322" xfId="0" applyNumberFormat="1" applyFont="1" applyFill="1" applyBorder="1" applyProtection="1">
      <protection locked="0"/>
    </xf>
    <xf numFmtId="1" fontId="29" fillId="11" borderId="128" xfId="0" applyNumberFormat="1" applyFont="1" applyFill="1" applyBorder="1" applyAlignment="1">
      <alignment horizontal="left" vertical="center" wrapText="1"/>
    </xf>
    <xf numFmtId="1" fontId="29" fillId="11" borderId="140" xfId="0" applyNumberFormat="1" applyFont="1" applyFill="1" applyBorder="1" applyAlignment="1">
      <alignment horizontal="left" vertical="center" wrapText="1"/>
    </xf>
    <xf numFmtId="1" fontId="29" fillId="11" borderId="103" xfId="0" applyNumberFormat="1" applyFont="1" applyFill="1" applyBorder="1" applyAlignment="1">
      <alignment horizontal="left" vertical="center" wrapText="1"/>
    </xf>
    <xf numFmtId="1" fontId="29" fillId="15" borderId="116" xfId="0" applyNumberFormat="1" applyFont="1" applyFill="1" applyBorder="1"/>
    <xf numFmtId="1" fontId="29" fillId="15" borderId="142" xfId="0" applyNumberFormat="1" applyFont="1" applyFill="1" applyBorder="1"/>
    <xf numFmtId="1" fontId="29" fillId="14" borderId="142" xfId="0" applyNumberFormat="1" applyFont="1" applyFill="1" applyBorder="1"/>
    <xf numFmtId="0" fontId="32" fillId="33" borderId="0" xfId="0" applyFont="1" applyFill="1"/>
    <xf numFmtId="1" fontId="29" fillId="0" borderId="7" xfId="0" applyNumberFormat="1" applyFont="1" applyBorder="1" applyAlignment="1">
      <alignment horizontal="right" wrapText="1"/>
    </xf>
    <xf numFmtId="1" fontId="29" fillId="0" borderId="8" xfId="0" applyNumberFormat="1" applyFont="1" applyBorder="1" applyAlignment="1">
      <alignment horizontal="right" wrapText="1"/>
    </xf>
    <xf numFmtId="1" fontId="29" fillId="0" borderId="165" xfId="0" applyNumberFormat="1" applyFont="1" applyBorder="1" applyAlignment="1">
      <alignment horizontal="right"/>
    </xf>
    <xf numFmtId="1" fontId="29" fillId="0" borderId="444" xfId="0" applyNumberFormat="1" applyFont="1" applyBorder="1" applyAlignment="1">
      <alignment horizontal="right"/>
    </xf>
    <xf numFmtId="1" fontId="29" fillId="0" borderId="430" xfId="0" applyNumberFormat="1" applyFont="1" applyBorder="1" applyAlignment="1">
      <alignment horizontal="right"/>
    </xf>
    <xf numFmtId="1" fontId="29" fillId="0" borderId="0" xfId="0" applyNumberFormat="1" applyFont="1" applyAlignment="1">
      <alignment horizontal="right" wrapText="1"/>
    </xf>
    <xf numFmtId="1" fontId="29" fillId="0" borderId="0" xfId="0" applyNumberFormat="1" applyFont="1" applyAlignment="1">
      <alignment horizontal="right"/>
    </xf>
    <xf numFmtId="1" fontId="29" fillId="0" borderId="177" xfId="0" applyNumberFormat="1" applyFont="1" applyBorder="1" applyAlignment="1">
      <alignment horizontal="center" vertical="center"/>
    </xf>
    <xf numFmtId="1" fontId="29" fillId="0" borderId="0" xfId="0" applyNumberFormat="1" applyFont="1" applyAlignment="1">
      <alignment vertical="center" wrapText="1"/>
    </xf>
    <xf numFmtId="1" fontId="29" fillId="0" borderId="69" xfId="0" applyNumberFormat="1" applyFont="1" applyBorder="1" applyAlignment="1">
      <alignment horizontal="center" vertical="center" wrapText="1"/>
    </xf>
    <xf numFmtId="1" fontId="29" fillId="0" borderId="0" xfId="0" applyNumberFormat="1" applyFont="1" applyAlignment="1">
      <alignment vertical="center"/>
    </xf>
    <xf numFmtId="1" fontId="29" fillId="11" borderId="86" xfId="0" applyNumberFormat="1" applyFont="1" applyFill="1" applyBorder="1" applyProtection="1">
      <protection locked="0"/>
    </xf>
    <xf numFmtId="1" fontId="29" fillId="6" borderId="38" xfId="0" applyNumberFormat="1" applyFont="1" applyFill="1" applyBorder="1" applyAlignment="1" applyProtection="1">
      <alignment horizontal="right" wrapText="1"/>
      <protection locked="0"/>
    </xf>
    <xf numFmtId="1" fontId="29" fillId="0" borderId="0" xfId="0" applyNumberFormat="1" applyFont="1" applyProtection="1">
      <protection locked="0"/>
    </xf>
    <xf numFmtId="1" fontId="29" fillId="6" borderId="100" xfId="0" applyNumberFormat="1" applyFont="1" applyFill="1" applyBorder="1" applyAlignment="1" applyProtection="1">
      <alignment horizontal="right" wrapText="1"/>
      <protection locked="0"/>
    </xf>
    <xf numFmtId="1" fontId="29" fillId="6" borderId="71" xfId="0" applyNumberFormat="1" applyFont="1" applyFill="1" applyBorder="1" applyAlignment="1" applyProtection="1">
      <alignment horizontal="right" wrapText="1"/>
      <protection locked="0"/>
    </xf>
    <xf numFmtId="1" fontId="29" fillId="11" borderId="86" xfId="0" applyNumberFormat="1" applyFont="1" applyFill="1" applyBorder="1" applyAlignment="1" applyProtection="1">
      <alignment vertical="top" wrapText="1"/>
      <protection locked="0"/>
    </xf>
    <xf numFmtId="1" fontId="29" fillId="6" borderId="52" xfId="0" applyNumberFormat="1" applyFont="1" applyFill="1" applyBorder="1" applyAlignment="1" applyProtection="1">
      <alignment horizontal="right" wrapText="1"/>
      <protection locked="0"/>
    </xf>
    <xf numFmtId="1" fontId="29" fillId="0" borderId="2" xfId="0" applyNumberFormat="1" applyFont="1" applyBorder="1" applyAlignment="1">
      <alignment horizontal="right" wrapText="1"/>
    </xf>
    <xf numFmtId="1" fontId="29" fillId="7" borderId="0" xfId="0" applyNumberFormat="1" applyFont="1" applyFill="1" applyAlignment="1">
      <alignment horizontal="right"/>
    </xf>
    <xf numFmtId="1" fontId="29" fillId="6" borderId="561" xfId="0" applyNumberFormat="1" applyFont="1" applyFill="1" applyBorder="1" applyProtection="1">
      <protection locked="0"/>
    </xf>
    <xf numFmtId="1" fontId="29" fillId="6" borderId="562" xfId="0" applyNumberFormat="1" applyFont="1" applyFill="1" applyBorder="1" applyProtection="1">
      <protection locked="0"/>
    </xf>
    <xf numFmtId="1" fontId="29" fillId="0" borderId="14" xfId="0" applyNumberFormat="1" applyFont="1" applyBorder="1" applyAlignment="1">
      <alignment vertical="center" wrapText="1"/>
    </xf>
    <xf numFmtId="1" fontId="29" fillId="0" borderId="62" xfId="0" applyNumberFormat="1" applyFont="1" applyBorder="1" applyAlignment="1">
      <alignment vertical="center" wrapText="1"/>
    </xf>
    <xf numFmtId="1" fontId="29" fillId="0" borderId="72" xfId="0" applyNumberFormat="1" applyFont="1" applyBorder="1"/>
    <xf numFmtId="1" fontId="29" fillId="0" borderId="29" xfId="0" applyNumberFormat="1" applyFont="1" applyBorder="1" applyAlignment="1">
      <alignment horizontal="right" wrapText="1"/>
    </xf>
    <xf numFmtId="1" fontId="29" fillId="7" borderId="11" xfId="0" applyNumberFormat="1" applyFont="1" applyFill="1" applyBorder="1" applyAlignment="1">
      <alignment horizontal="right"/>
    </xf>
    <xf numFmtId="1" fontId="29" fillId="7" borderId="165" xfId="0" applyNumberFormat="1" applyFont="1" applyFill="1" applyBorder="1" applyAlignment="1">
      <alignment horizontal="right"/>
    </xf>
    <xf numFmtId="1" fontId="29" fillId="7" borderId="444" xfId="0" applyNumberFormat="1" applyFont="1" applyFill="1" applyBorder="1" applyAlignment="1">
      <alignment horizontal="right"/>
    </xf>
    <xf numFmtId="1" fontId="29" fillId="7" borderId="430" xfId="0" applyNumberFormat="1" applyFont="1" applyFill="1" applyBorder="1" applyAlignment="1">
      <alignment horizontal="right"/>
    </xf>
    <xf numFmtId="1" fontId="29" fillId="7" borderId="7" xfId="0" applyNumberFormat="1" applyFont="1" applyFill="1" applyBorder="1" applyAlignment="1">
      <alignment horizontal="right"/>
    </xf>
    <xf numFmtId="1" fontId="32" fillId="7" borderId="0" xfId="0" applyNumberFormat="1" applyFont="1" applyFill="1" applyAlignment="1">
      <alignment horizontal="left"/>
    </xf>
    <xf numFmtId="1" fontId="29" fillId="11" borderId="0" xfId="0" applyNumberFormat="1" applyFont="1" applyFill="1" applyAlignment="1">
      <alignment vertical="top" wrapText="1"/>
    </xf>
    <xf numFmtId="1" fontId="29" fillId="11" borderId="0" xfId="0" applyNumberFormat="1" applyFont="1" applyFill="1" applyAlignment="1">
      <alignment horizontal="center" vertical="center" wrapText="1"/>
    </xf>
    <xf numFmtId="0" fontId="0" fillId="15" borderId="0" xfId="0" applyFill="1"/>
    <xf numFmtId="1" fontId="29" fillId="15" borderId="37" xfId="0" applyNumberFormat="1" applyFont="1" applyFill="1" applyBorder="1" applyAlignment="1">
      <alignment horizontal="right" wrapText="1"/>
    </xf>
    <xf numFmtId="1" fontId="29" fillId="15" borderId="39" xfId="0" applyNumberFormat="1" applyFont="1" applyFill="1" applyBorder="1" applyAlignment="1">
      <alignment horizontal="right" wrapText="1"/>
    </xf>
    <xf numFmtId="1" fontId="29" fillId="15" borderId="112" xfId="0" applyNumberFormat="1" applyFont="1" applyFill="1" applyBorder="1" applyAlignment="1">
      <alignment horizontal="right" wrapText="1"/>
    </xf>
    <xf numFmtId="1" fontId="29" fillId="15" borderId="112" xfId="0" applyNumberFormat="1" applyFont="1" applyFill="1" applyBorder="1" applyProtection="1">
      <protection locked="0"/>
    </xf>
    <xf numFmtId="1" fontId="29" fillId="15" borderId="137" xfId="0" applyNumberFormat="1" applyFont="1" applyFill="1" applyBorder="1" applyProtection="1">
      <protection locked="0"/>
    </xf>
    <xf numFmtId="1" fontId="29" fillId="15" borderId="37" xfId="0" applyNumberFormat="1" applyFont="1" applyFill="1" applyBorder="1" applyProtection="1">
      <protection locked="0"/>
    </xf>
    <xf numFmtId="1" fontId="29" fillId="15" borderId="138" xfId="0" applyNumberFormat="1" applyFont="1" applyFill="1" applyBorder="1" applyProtection="1">
      <protection locked="0"/>
    </xf>
    <xf numFmtId="1" fontId="29" fillId="15" borderId="63" xfId="0" applyNumberFormat="1" applyFont="1" applyFill="1" applyBorder="1" applyProtection="1">
      <protection locked="0"/>
    </xf>
    <xf numFmtId="1" fontId="29" fillId="15" borderId="49" xfId="0" applyNumberFormat="1" applyFont="1" applyFill="1" applyBorder="1" applyProtection="1">
      <protection locked="0"/>
    </xf>
    <xf numFmtId="1" fontId="29" fillId="15" borderId="19" xfId="0" applyNumberFormat="1" applyFont="1" applyFill="1" applyBorder="1" applyAlignment="1">
      <alignment vertical="center" wrapText="1"/>
    </xf>
    <xf numFmtId="1" fontId="29" fillId="15" borderId="99" xfId="0" applyNumberFormat="1" applyFont="1" applyFill="1" applyBorder="1" applyAlignment="1">
      <alignment horizontal="right" wrapText="1"/>
    </xf>
    <xf numFmtId="1" fontId="29" fillId="15" borderId="131" xfId="0" applyNumberFormat="1" applyFont="1" applyFill="1" applyBorder="1" applyAlignment="1">
      <alignment horizontal="right" wrapText="1"/>
    </xf>
    <xf numFmtId="1" fontId="29" fillId="15" borderId="116" xfId="0" applyNumberFormat="1" applyFont="1" applyFill="1" applyBorder="1" applyAlignment="1">
      <alignment horizontal="right" wrapText="1"/>
    </xf>
    <xf numFmtId="1" fontId="29" fillId="15" borderId="118" xfId="0" applyNumberFormat="1" applyFont="1" applyFill="1" applyBorder="1" applyProtection="1">
      <protection locked="0"/>
    </xf>
    <xf numFmtId="1" fontId="29" fillId="15" borderId="159" xfId="0" applyNumberFormat="1" applyFont="1" applyFill="1" applyBorder="1" applyProtection="1">
      <protection locked="0"/>
    </xf>
    <xf numFmtId="1" fontId="29" fillId="15" borderId="48" xfId="0" applyNumberFormat="1" applyFont="1" applyFill="1" applyBorder="1" applyProtection="1">
      <protection locked="0"/>
    </xf>
    <xf numFmtId="1" fontId="29" fillId="15" borderId="99" xfId="0" applyNumberFormat="1" applyFont="1" applyFill="1" applyBorder="1" applyProtection="1">
      <protection locked="0"/>
    </xf>
    <xf numFmtId="1" fontId="29" fillId="15" borderId="48" xfId="0" applyNumberFormat="1" applyFont="1" applyFill="1" applyBorder="1"/>
    <xf numFmtId="1" fontId="29" fillId="15" borderId="122" xfId="0" applyNumberFormat="1" applyFont="1" applyFill="1" applyBorder="1" applyProtection="1">
      <protection locked="0"/>
    </xf>
    <xf numFmtId="1" fontId="29" fillId="15" borderId="139" xfId="0" applyNumberFormat="1" applyFont="1" applyFill="1" applyBorder="1" applyProtection="1">
      <protection locked="0"/>
    </xf>
    <xf numFmtId="1" fontId="29" fillId="15" borderId="140" xfId="0" applyNumberFormat="1" applyFont="1" applyFill="1" applyBorder="1" applyProtection="1">
      <protection locked="0"/>
    </xf>
    <xf numFmtId="1" fontId="29" fillId="15" borderId="19" xfId="0" applyNumberFormat="1" applyFont="1" applyFill="1" applyBorder="1" applyProtection="1">
      <protection locked="0"/>
    </xf>
    <xf numFmtId="1" fontId="29" fillId="15" borderId="50" xfId="0" applyNumberFormat="1" applyFont="1" applyFill="1" applyBorder="1" applyProtection="1">
      <protection locked="0"/>
    </xf>
    <xf numFmtId="1" fontId="29" fillId="7" borderId="86" xfId="0" applyNumberFormat="1" applyFont="1" applyFill="1" applyBorder="1" applyAlignment="1">
      <alignment horizontal="right" wrapText="1"/>
    </xf>
    <xf numFmtId="1" fontId="29" fillId="15" borderId="72" xfId="0" applyNumberFormat="1" applyFont="1" applyFill="1" applyBorder="1" applyAlignment="1">
      <alignment horizontal="right" wrapText="1"/>
    </xf>
    <xf numFmtId="1" fontId="29" fillId="7" borderId="171" xfId="0" applyNumberFormat="1" applyFont="1" applyFill="1" applyBorder="1" applyAlignment="1">
      <alignment horizontal="right"/>
    </xf>
    <xf numFmtId="1" fontId="29" fillId="14" borderId="72" xfId="0" applyNumberFormat="1" applyFont="1" applyFill="1" applyBorder="1"/>
    <xf numFmtId="1" fontId="29" fillId="14" borderId="167" xfId="0" applyNumberFormat="1" applyFont="1" applyFill="1" applyBorder="1"/>
    <xf numFmtId="1" fontId="29" fillId="15" borderId="72" xfId="0" applyNumberFormat="1" applyFont="1" applyFill="1" applyBorder="1"/>
    <xf numFmtId="1" fontId="29" fillId="7" borderId="2" xfId="0" applyNumberFormat="1" applyFont="1" applyFill="1" applyBorder="1" applyAlignment="1">
      <alignment horizontal="right" wrapText="1"/>
    </xf>
    <xf numFmtId="1" fontId="29" fillId="15" borderId="29" xfId="0" applyNumberFormat="1" applyFont="1" applyFill="1" applyBorder="1" applyAlignment="1">
      <alignment horizontal="right" wrapText="1"/>
    </xf>
    <xf numFmtId="1" fontId="29" fillId="14" borderId="29" xfId="0" applyNumberFormat="1" applyFont="1" applyFill="1" applyBorder="1"/>
    <xf numFmtId="1" fontId="29" fillId="14" borderId="12" xfId="0" applyNumberFormat="1" applyFont="1" applyFill="1" applyBorder="1"/>
    <xf numFmtId="1" fontId="29" fillId="7" borderId="63" xfId="0" applyNumberFormat="1" applyFont="1" applyFill="1" applyBorder="1" applyAlignment="1">
      <alignment horizontal="right" wrapText="1"/>
    </xf>
    <xf numFmtId="1" fontId="29" fillId="15" borderId="65" xfId="0" applyNumberFormat="1" applyFont="1" applyFill="1" applyBorder="1" applyAlignment="1">
      <alignment horizontal="right" wrapText="1"/>
    </xf>
    <xf numFmtId="1" fontId="29" fillId="7" borderId="49" xfId="0" applyNumberFormat="1" applyFont="1" applyFill="1" applyBorder="1" applyAlignment="1">
      <alignment horizontal="right"/>
    </xf>
    <xf numFmtId="1" fontId="29" fillId="14" borderId="65" xfId="0" applyNumberFormat="1" applyFont="1" applyFill="1" applyBorder="1"/>
    <xf numFmtId="1" fontId="29" fillId="14" borderId="118" xfId="0" applyNumberFormat="1" applyFont="1" applyFill="1" applyBorder="1"/>
    <xf numFmtId="1" fontId="29" fillId="7" borderId="103" xfId="0" applyNumberFormat="1" applyFont="1" applyFill="1" applyBorder="1" applyAlignment="1">
      <alignment horizontal="right"/>
    </xf>
    <xf numFmtId="1" fontId="29" fillId="15" borderId="99" xfId="0" applyNumberFormat="1" applyFont="1" applyFill="1" applyBorder="1" applyAlignment="1">
      <alignment horizontal="left" vertical="center" wrapText="1"/>
    </xf>
    <xf numFmtId="1" fontId="29" fillId="15" borderId="103" xfId="0" applyNumberFormat="1" applyFont="1" applyFill="1" applyBorder="1" applyAlignment="1">
      <alignment horizontal="right" wrapText="1"/>
    </xf>
    <xf numFmtId="1" fontId="29" fillId="15" borderId="103" xfId="0" applyNumberFormat="1" applyFont="1" applyFill="1" applyBorder="1" applyAlignment="1">
      <alignment horizontal="right"/>
    </xf>
    <xf numFmtId="1" fontId="29" fillId="15" borderId="118" xfId="0" applyNumberFormat="1" applyFont="1" applyFill="1" applyBorder="1"/>
    <xf numFmtId="1" fontId="29" fillId="15" borderId="139" xfId="0" applyNumberFormat="1" applyFont="1" applyFill="1" applyBorder="1"/>
    <xf numFmtId="1" fontId="29" fillId="15" borderId="63" xfId="0" applyNumberFormat="1" applyFont="1" applyFill="1" applyBorder="1"/>
    <xf numFmtId="1" fontId="29" fillId="15" borderId="140" xfId="0" applyNumberFormat="1" applyFont="1" applyFill="1" applyBorder="1"/>
    <xf numFmtId="1" fontId="29" fillId="15" borderId="99" xfId="0" applyNumberFormat="1" applyFont="1" applyFill="1" applyBorder="1"/>
    <xf numFmtId="1" fontId="29" fillId="15" borderId="15" xfId="0" applyNumberFormat="1" applyFont="1" applyFill="1" applyBorder="1" applyAlignment="1">
      <alignment vertical="center" wrapText="1"/>
    </xf>
    <xf numFmtId="1" fontId="29" fillId="15" borderId="15" xfId="0" applyNumberFormat="1" applyFont="1" applyFill="1" applyBorder="1" applyAlignment="1">
      <alignment horizontal="left" vertical="center" wrapText="1"/>
    </xf>
    <xf numFmtId="1" fontId="29" fillId="15" borderId="62" xfId="0" applyNumberFormat="1" applyFont="1" applyFill="1" applyBorder="1" applyAlignment="1">
      <alignment horizontal="right" wrapText="1"/>
    </xf>
    <xf numFmtId="1" fontId="29" fillId="15" borderId="50" xfId="0" applyNumberFormat="1" applyFont="1" applyFill="1" applyBorder="1" applyAlignment="1">
      <alignment horizontal="right"/>
    </xf>
    <xf numFmtId="1" fontId="29" fillId="15" borderId="17" xfId="0" applyNumberFormat="1" applyFont="1" applyFill="1" applyBorder="1"/>
    <xf numFmtId="1" fontId="29" fillId="15" borderId="170" xfId="0" applyNumberFormat="1" applyFont="1" applyFill="1" applyBorder="1"/>
    <xf numFmtId="1" fontId="29" fillId="15" borderId="19" xfId="0" applyNumberFormat="1" applyFont="1" applyFill="1" applyBorder="1"/>
    <xf numFmtId="1" fontId="29" fillId="15" borderId="197" xfId="0" applyNumberFormat="1" applyFont="1" applyFill="1" applyBorder="1"/>
    <xf numFmtId="1" fontId="29" fillId="15" borderId="86" xfId="0" applyNumberFormat="1" applyFont="1" applyFill="1" applyBorder="1"/>
    <xf numFmtId="1" fontId="29" fillId="15" borderId="98" xfId="0" applyNumberFormat="1" applyFont="1" applyFill="1" applyBorder="1" applyAlignment="1">
      <alignment horizontal="right" wrapText="1"/>
    </xf>
    <xf numFmtId="1" fontId="29" fillId="15" borderId="37" xfId="0" applyNumberFormat="1" applyFont="1" applyFill="1" applyBorder="1"/>
    <xf numFmtId="1" fontId="29" fillId="15" borderId="137" xfId="0" applyNumberFormat="1" applyFont="1" applyFill="1" applyBorder="1"/>
    <xf numFmtId="1" fontId="29" fillId="15" borderId="63" xfId="0" applyNumberFormat="1" applyFont="1" applyFill="1" applyBorder="1" applyAlignment="1">
      <alignment horizontal="right" wrapText="1"/>
    </xf>
    <xf numFmtId="1" fontId="29" fillId="15" borderId="128" xfId="0" applyNumberFormat="1" applyFont="1" applyFill="1" applyBorder="1"/>
    <xf numFmtId="1" fontId="29" fillId="15" borderId="168" xfId="0" applyNumberFormat="1" applyFont="1" applyFill="1" applyBorder="1"/>
    <xf numFmtId="1" fontId="29" fillId="7" borderId="15" xfId="0" applyNumberFormat="1" applyFont="1" applyFill="1" applyBorder="1" applyAlignment="1">
      <alignment horizontal="right" wrapText="1"/>
    </xf>
    <xf numFmtId="1" fontId="29" fillId="7" borderId="76" xfId="0" applyNumberFormat="1" applyFont="1" applyFill="1" applyBorder="1" applyAlignment="1">
      <alignment horizontal="right" wrapText="1"/>
    </xf>
    <xf numFmtId="1" fontId="29" fillId="14" borderId="53" xfId="0" applyNumberFormat="1" applyFont="1" applyFill="1" applyBorder="1"/>
    <xf numFmtId="1" fontId="29" fillId="15" borderId="15" xfId="0" applyNumberFormat="1" applyFont="1" applyFill="1" applyBorder="1"/>
    <xf numFmtId="1" fontId="29" fillId="15" borderId="298" xfId="0" applyNumberFormat="1" applyFont="1" applyFill="1" applyBorder="1"/>
    <xf numFmtId="1" fontId="29" fillId="11" borderId="563" xfId="0" applyNumberFormat="1" applyFont="1" applyFill="1" applyBorder="1" applyAlignment="1">
      <alignment horizontal="center" vertical="center"/>
    </xf>
    <xf numFmtId="1" fontId="29" fillId="7" borderId="153" xfId="0" applyNumberFormat="1" applyFont="1" applyFill="1" applyBorder="1" applyAlignment="1">
      <alignment horizontal="right" wrapText="1"/>
    </xf>
    <xf numFmtId="1" fontId="29" fillId="7" borderId="502" xfId="0" applyNumberFormat="1" applyFont="1" applyFill="1" applyBorder="1" applyAlignment="1">
      <alignment horizontal="right" wrapText="1"/>
    </xf>
    <xf numFmtId="1" fontId="29" fillId="15" borderId="153" xfId="0" applyNumberFormat="1" applyFont="1" applyFill="1" applyBorder="1" applyAlignment="1">
      <alignment horizontal="right" wrapText="1"/>
    </xf>
    <xf numFmtId="1" fontId="29" fillId="14" borderId="152" xfId="0" applyNumberFormat="1" applyFont="1" applyFill="1" applyBorder="1"/>
    <xf numFmtId="1" fontId="29" fillId="14" borderId="564" xfId="0" applyNumberFormat="1" applyFont="1" applyFill="1" applyBorder="1"/>
    <xf numFmtId="1" fontId="29" fillId="14" borderId="502" xfId="0" applyNumberFormat="1" applyFont="1" applyFill="1" applyBorder="1"/>
    <xf numFmtId="1" fontId="29" fillId="15" borderId="564" xfId="0" applyNumberFormat="1" applyFont="1" applyFill="1" applyBorder="1"/>
    <xf numFmtId="1" fontId="29" fillId="0" borderId="152" xfId="0" applyNumberFormat="1" applyFont="1" applyBorder="1"/>
    <xf numFmtId="1" fontId="29" fillId="15" borderId="153" xfId="0" applyNumberFormat="1" applyFont="1" applyFill="1" applyBorder="1"/>
    <xf numFmtId="1" fontId="29" fillId="0" borderId="189" xfId="0" applyNumberFormat="1" applyFont="1" applyBorder="1"/>
    <xf numFmtId="1" fontId="29" fillId="15" borderId="189" xfId="0" applyNumberFormat="1" applyFont="1" applyFill="1" applyBorder="1"/>
    <xf numFmtId="1" fontId="29" fillId="15" borderId="565" xfId="0" applyNumberFormat="1" applyFont="1" applyFill="1" applyBorder="1"/>
    <xf numFmtId="1" fontId="29" fillId="0" borderId="214" xfId="0" applyNumberFormat="1" applyFont="1" applyBorder="1"/>
    <xf numFmtId="1" fontId="29" fillId="0" borderId="385" xfId="0" applyNumberFormat="1" applyFont="1" applyBorder="1"/>
    <xf numFmtId="1" fontId="29" fillId="0" borderId="153" xfId="0" applyNumberFormat="1" applyFont="1" applyBorder="1"/>
    <xf numFmtId="1" fontId="29" fillId="7" borderId="65" xfId="0" applyNumberFormat="1" applyFont="1" applyFill="1" applyBorder="1" applyAlignment="1">
      <alignment horizontal="right" wrapText="1"/>
    </xf>
    <xf numFmtId="1" fontId="29" fillId="14" borderId="40" xfId="0" applyNumberFormat="1" applyFont="1" applyFill="1" applyBorder="1"/>
    <xf numFmtId="1" fontId="29" fillId="15" borderId="290" xfId="0" applyNumberFormat="1" applyFont="1" applyFill="1" applyBorder="1"/>
    <xf numFmtId="1" fontId="29" fillId="15" borderId="166" xfId="0" applyNumberFormat="1" applyFont="1" applyFill="1" applyBorder="1" applyAlignment="1">
      <alignment vertical="center" wrapText="1"/>
    </xf>
    <xf numFmtId="1" fontId="29" fillId="15" borderId="51" xfId="0" applyNumberFormat="1" applyFont="1" applyFill="1" applyBorder="1" applyAlignment="1">
      <alignment horizontal="right" wrapText="1"/>
    </xf>
    <xf numFmtId="1" fontId="29" fillId="15" borderId="53" xfId="0" applyNumberFormat="1" applyFont="1" applyFill="1" applyBorder="1" applyAlignment="1">
      <alignment horizontal="right" wrapText="1"/>
    </xf>
    <xf numFmtId="1" fontId="29" fillId="15" borderId="36" xfId="0" applyNumberFormat="1" applyFont="1" applyFill="1" applyBorder="1" applyAlignment="1">
      <alignment horizontal="right"/>
    </xf>
    <xf numFmtId="1" fontId="29" fillId="15" borderId="121" xfId="0" applyNumberFormat="1" applyFont="1" applyFill="1" applyBorder="1"/>
    <xf numFmtId="1" fontId="29" fillId="15" borderId="16" xfId="0" applyNumberFormat="1" applyFont="1" applyFill="1" applyBorder="1"/>
    <xf numFmtId="1" fontId="29" fillId="15" borderId="51" xfId="0" applyNumberFormat="1" applyFont="1" applyFill="1" applyBorder="1"/>
    <xf numFmtId="1" fontId="29" fillId="15" borderId="143" xfId="0" applyNumberFormat="1" applyFont="1" applyFill="1" applyBorder="1"/>
    <xf numFmtId="1" fontId="29" fillId="15" borderId="61" xfId="0" applyNumberFormat="1" applyFont="1" applyFill="1" applyBorder="1"/>
    <xf numFmtId="1" fontId="29" fillId="15" borderId="14" xfId="0" applyNumberFormat="1" applyFont="1" applyFill="1" applyBorder="1"/>
    <xf numFmtId="1" fontId="29" fillId="11" borderId="37" xfId="0" applyNumberFormat="1" applyFont="1" applyFill="1" applyBorder="1" applyAlignment="1">
      <alignment horizontal="center" vertical="center"/>
    </xf>
    <xf numFmtId="1" fontId="29" fillId="0" borderId="15" xfId="0" applyNumberFormat="1" applyFont="1" applyBorder="1" applyAlignment="1">
      <alignment horizontal="right" wrapText="1"/>
    </xf>
    <xf numFmtId="1" fontId="29" fillId="7" borderId="36" xfId="0" applyNumberFormat="1" applyFont="1" applyFill="1" applyBorder="1" applyAlignment="1">
      <alignment horizontal="right"/>
    </xf>
    <xf numFmtId="1" fontId="29" fillId="11" borderId="76" xfId="0" applyNumberFormat="1" applyFont="1" applyFill="1" applyBorder="1"/>
    <xf numFmtId="1" fontId="29" fillId="11" borderId="17" xfId="0" applyNumberFormat="1" applyFont="1" applyFill="1" applyBorder="1"/>
    <xf numFmtId="1" fontId="29" fillId="11" borderId="36" xfId="0" applyNumberFormat="1" applyFont="1" applyFill="1" applyBorder="1"/>
    <xf numFmtId="1" fontId="29" fillId="11" borderId="80" xfId="0" applyNumberFormat="1" applyFont="1" applyFill="1" applyBorder="1"/>
    <xf numFmtId="1" fontId="29" fillId="11" borderId="130" xfId="0" applyNumberFormat="1" applyFont="1" applyFill="1" applyBorder="1"/>
    <xf numFmtId="1" fontId="29" fillId="11" borderId="15" xfId="0" applyNumberFormat="1" applyFont="1" applyFill="1" applyBorder="1"/>
    <xf numFmtId="1" fontId="29" fillId="11" borderId="14" xfId="0" applyNumberFormat="1" applyFont="1" applyFill="1" applyBorder="1"/>
    <xf numFmtId="1" fontId="29" fillId="11" borderId="37" xfId="0" applyNumberFormat="1" applyFont="1" applyFill="1" applyBorder="1" applyAlignment="1">
      <alignment horizontal="left" vertical="center"/>
    </xf>
    <xf numFmtId="1" fontId="29" fillId="7" borderId="98" xfId="0" applyNumberFormat="1" applyFont="1" applyFill="1" applyBorder="1" applyAlignment="1">
      <alignment horizontal="right" wrapText="1"/>
    </xf>
    <xf numFmtId="1" fontId="29" fillId="11" borderId="63" xfId="0" applyNumberFormat="1" applyFont="1" applyFill="1" applyBorder="1" applyAlignment="1">
      <alignment horizontal="left" vertical="center" wrapText="1"/>
    </xf>
    <xf numFmtId="1" fontId="29" fillId="7" borderId="51" xfId="0" applyNumberFormat="1" applyFont="1" applyFill="1" applyBorder="1" applyAlignment="1">
      <alignment horizontal="right" wrapText="1"/>
    </xf>
    <xf numFmtId="1" fontId="29" fillId="7" borderId="53" xfId="0" applyNumberFormat="1" applyFont="1" applyFill="1" applyBorder="1" applyAlignment="1">
      <alignment horizontal="right" wrapText="1"/>
    </xf>
    <xf numFmtId="1" fontId="29" fillId="7" borderId="62" xfId="0" applyNumberFormat="1" applyFont="1" applyFill="1" applyBorder="1" applyAlignment="1">
      <alignment horizontal="right" wrapText="1"/>
    </xf>
    <xf numFmtId="1" fontId="29" fillId="7" borderId="49" xfId="0" applyNumberFormat="1" applyFont="1" applyFill="1" applyBorder="1" applyAlignment="1">
      <alignment horizontal="right" wrapText="1"/>
    </xf>
    <xf numFmtId="0" fontId="32" fillId="29" borderId="0" xfId="0" applyFont="1" applyFill="1"/>
    <xf numFmtId="1" fontId="29" fillId="0" borderId="19" xfId="0" applyNumberFormat="1" applyFont="1" applyBorder="1" applyAlignment="1">
      <alignment horizontal="left" vertical="center"/>
    </xf>
    <xf numFmtId="1" fontId="29" fillId="7" borderId="37" xfId="0" applyNumberFormat="1" applyFont="1" applyFill="1" applyBorder="1" applyAlignment="1">
      <alignment horizontal="right" wrapText="1"/>
    </xf>
    <xf numFmtId="1" fontId="29" fillId="11" borderId="51" xfId="0" applyNumberFormat="1" applyFont="1" applyFill="1" applyBorder="1" applyAlignment="1">
      <alignment horizontal="left" vertical="center" wrapText="1"/>
    </xf>
    <xf numFmtId="1" fontId="29" fillId="7" borderId="29" xfId="0" applyNumberFormat="1" applyFont="1" applyFill="1" applyBorder="1" applyAlignment="1">
      <alignment horizontal="right" wrapText="1"/>
    </xf>
    <xf numFmtId="1" fontId="29" fillId="7" borderId="7" xfId="0" applyNumberFormat="1" applyFont="1" applyFill="1" applyBorder="1" applyAlignment="1">
      <alignment horizontal="right" wrapText="1"/>
    </xf>
    <xf numFmtId="1" fontId="29" fillId="14" borderId="39" xfId="0" applyNumberFormat="1" applyFont="1" applyFill="1" applyBorder="1"/>
    <xf numFmtId="1" fontId="29" fillId="14" borderId="41" xfId="0" applyNumberFormat="1" applyFont="1" applyFill="1" applyBorder="1"/>
    <xf numFmtId="1" fontId="29" fillId="14" borderId="140" xfId="0" applyNumberFormat="1" applyFont="1" applyFill="1" applyBorder="1"/>
    <xf numFmtId="1" fontId="29" fillId="14" borderId="99" xfId="0" applyNumberFormat="1" applyFont="1" applyFill="1" applyBorder="1"/>
    <xf numFmtId="1" fontId="29" fillId="7" borderId="39" xfId="0" applyNumberFormat="1" applyFont="1" applyFill="1" applyBorder="1" applyAlignment="1">
      <alignment horizontal="right" wrapText="1"/>
    </xf>
    <xf numFmtId="1" fontId="29" fillId="14" borderId="51" xfId="0" applyNumberFormat="1" applyFont="1" applyFill="1" applyBorder="1"/>
    <xf numFmtId="1" fontId="29" fillId="7" borderId="98" xfId="0" applyNumberFormat="1" applyFont="1" applyFill="1" applyBorder="1" applyAlignment="1">
      <alignment horizontal="right"/>
    </xf>
    <xf numFmtId="1" fontId="29" fillId="7" borderId="99" xfId="0" applyNumberFormat="1" applyFont="1" applyFill="1" applyBorder="1" applyAlignment="1">
      <alignment horizontal="right" wrapText="1"/>
    </xf>
    <xf numFmtId="1" fontId="29" fillId="7" borderId="131" xfId="0" applyNumberFormat="1" applyFont="1" applyFill="1" applyBorder="1" applyAlignment="1">
      <alignment horizontal="right" wrapText="1"/>
    </xf>
    <xf numFmtId="1" fontId="29" fillId="7" borderId="62" xfId="0" applyNumberFormat="1" applyFont="1" applyFill="1" applyBorder="1" applyAlignment="1">
      <alignment horizontal="right"/>
    </xf>
    <xf numFmtId="1" fontId="29" fillId="14" borderId="138" xfId="0" applyNumberFormat="1" applyFont="1" applyFill="1" applyBorder="1"/>
    <xf numFmtId="1" fontId="29" fillId="7" borderId="38" xfId="0" applyNumberFormat="1" applyFont="1" applyFill="1" applyBorder="1" applyAlignment="1">
      <alignment horizontal="right" wrapText="1"/>
    </xf>
    <xf numFmtId="1" fontId="29" fillId="0" borderId="16" xfId="0" applyNumberFormat="1" applyFont="1" applyBorder="1" applyAlignment="1">
      <alignment vertical="center" wrapText="1"/>
    </xf>
    <xf numFmtId="1" fontId="29" fillId="7" borderId="19" xfId="0" applyNumberFormat="1" applyFont="1" applyFill="1" applyBorder="1" applyAlignment="1">
      <alignment horizontal="right" wrapText="1"/>
    </xf>
    <xf numFmtId="1" fontId="29" fillId="7" borderId="80" xfId="0" applyNumberFormat="1" applyFont="1" applyFill="1" applyBorder="1" applyAlignment="1">
      <alignment horizontal="right" wrapText="1"/>
    </xf>
    <xf numFmtId="1" fontId="29" fillId="15" borderId="167" xfId="0" applyNumberFormat="1" applyFont="1" applyFill="1" applyBorder="1"/>
    <xf numFmtId="1" fontId="29" fillId="0" borderId="13" xfId="0" applyNumberFormat="1" applyFont="1" applyBorder="1" applyAlignment="1">
      <alignment vertical="center" wrapText="1"/>
    </xf>
    <xf numFmtId="1" fontId="29" fillId="7" borderId="52" xfId="0" applyNumberFormat="1" applyFont="1" applyFill="1" applyBorder="1" applyAlignment="1">
      <alignment horizontal="right" wrapText="1"/>
    </xf>
    <xf numFmtId="1" fontId="29" fillId="14" borderId="197" xfId="0" applyNumberFormat="1" applyFont="1" applyFill="1" applyBorder="1"/>
    <xf numFmtId="1" fontId="29" fillId="7" borderId="61" xfId="0" applyNumberFormat="1" applyFont="1" applyFill="1" applyBorder="1" applyAlignment="1">
      <alignment horizontal="right"/>
    </xf>
    <xf numFmtId="1" fontId="29" fillId="15" borderId="6" xfId="0" applyNumberFormat="1" applyFont="1" applyFill="1" applyBorder="1"/>
    <xf numFmtId="1" fontId="29" fillId="0" borderId="131" xfId="0" applyNumberFormat="1" applyFont="1" applyBorder="1" applyAlignment="1">
      <alignment horizontal="right"/>
    </xf>
    <xf numFmtId="1" fontId="29" fillId="15" borderId="86" xfId="0" applyNumberFormat="1" applyFont="1" applyFill="1" applyBorder="1" applyAlignment="1">
      <alignment horizontal="right" wrapText="1"/>
    </xf>
    <xf numFmtId="1" fontId="29" fillId="15" borderId="72" xfId="0" applyNumberFormat="1" applyFont="1" applyFill="1" applyBorder="1" applyAlignment="1">
      <alignment horizontal="right"/>
    </xf>
    <xf numFmtId="1" fontId="29" fillId="15" borderId="171" xfId="0" applyNumberFormat="1" applyFont="1" applyFill="1" applyBorder="1" applyAlignment="1">
      <alignment horizontal="right"/>
    </xf>
    <xf numFmtId="1" fontId="29" fillId="14" borderId="171" xfId="0" applyNumberFormat="1" applyFont="1" applyFill="1" applyBorder="1"/>
    <xf numFmtId="1" fontId="29" fillId="14" borderId="71" xfId="0" applyNumberFormat="1" applyFont="1" applyFill="1" applyBorder="1"/>
    <xf numFmtId="1" fontId="29" fillId="14" borderId="169" xfId="0" applyNumberFormat="1" applyFont="1" applyFill="1" applyBorder="1"/>
    <xf numFmtId="1" fontId="29" fillId="14" borderId="170" xfId="0" applyNumberFormat="1" applyFont="1" applyFill="1" applyBorder="1"/>
    <xf numFmtId="1" fontId="29" fillId="14" borderId="86" xfId="0" applyNumberFormat="1" applyFont="1" applyFill="1" applyBorder="1"/>
    <xf numFmtId="1" fontId="29" fillId="15" borderId="53" xfId="0" applyNumberFormat="1" applyFont="1" applyFill="1" applyBorder="1" applyAlignment="1">
      <alignment horizontal="right"/>
    </xf>
    <xf numFmtId="1" fontId="29" fillId="15" borderId="62" xfId="0" applyNumberFormat="1" applyFont="1" applyFill="1" applyBorder="1" applyAlignment="1">
      <alignment horizontal="right"/>
    </xf>
    <xf numFmtId="1" fontId="29" fillId="14" borderId="58" xfId="0" applyNumberFormat="1" applyFont="1" applyFill="1" applyBorder="1"/>
    <xf numFmtId="1" fontId="32" fillId="0" borderId="566" xfId="0" applyNumberFormat="1" applyFont="1" applyBorder="1"/>
    <xf numFmtId="1" fontId="32" fillId="0" borderId="567" xfId="0" applyNumberFormat="1" applyFont="1" applyBorder="1"/>
    <xf numFmtId="1" fontId="29" fillId="0" borderId="37" xfId="0" applyNumberFormat="1" applyFont="1" applyBorder="1" applyAlignment="1">
      <alignment horizontal="right" wrapText="1"/>
    </xf>
    <xf numFmtId="1" fontId="29" fillId="0" borderId="99" xfId="0" applyNumberFormat="1" applyFont="1" applyBorder="1" applyAlignment="1">
      <alignment horizontal="right" wrapText="1"/>
    </xf>
    <xf numFmtId="1" fontId="29" fillId="0" borderId="51" xfId="0" applyNumberFormat="1" applyFont="1" applyBorder="1" applyAlignment="1">
      <alignment horizontal="right" wrapText="1"/>
    </xf>
    <xf numFmtId="1" fontId="29" fillId="11" borderId="0" xfId="0" applyNumberFormat="1" applyFont="1" applyFill="1" applyAlignment="1">
      <alignment horizontal="left" wrapText="1"/>
    </xf>
    <xf numFmtId="1" fontId="29" fillId="11" borderId="14" xfId="0" applyNumberFormat="1" applyFont="1" applyFill="1" applyBorder="1" applyAlignment="1">
      <alignment wrapText="1"/>
    </xf>
    <xf numFmtId="1" fontId="29" fillId="11" borderId="568" xfId="0" applyNumberFormat="1" applyFont="1" applyFill="1" applyBorder="1" applyAlignment="1">
      <alignment wrapText="1"/>
    </xf>
    <xf numFmtId="1" fontId="29" fillId="11" borderId="569" xfId="0" applyNumberFormat="1" applyFont="1" applyFill="1" applyBorder="1" applyAlignment="1">
      <alignment wrapText="1"/>
    </xf>
    <xf numFmtId="1" fontId="29" fillId="7" borderId="164" xfId="0" applyNumberFormat="1" applyFont="1" applyFill="1" applyBorder="1" applyAlignment="1">
      <alignment horizontal="center" vertical="center" wrapText="1"/>
    </xf>
    <xf numFmtId="1" fontId="29" fillId="7" borderId="22" xfId="0" applyNumberFormat="1" applyFont="1" applyFill="1" applyBorder="1" applyAlignment="1">
      <alignment horizontal="center" vertical="center" wrapText="1"/>
    </xf>
    <xf numFmtId="1" fontId="29" fillId="7" borderId="38" xfId="0" applyNumberFormat="1" applyFont="1" applyFill="1" applyBorder="1" applyAlignment="1">
      <alignment horizontal="right" vertical="center" wrapText="1"/>
    </xf>
    <xf numFmtId="1" fontId="29" fillId="6" borderId="75" xfId="0" applyNumberFormat="1" applyFont="1" applyFill="1" applyBorder="1" applyAlignment="1" applyProtection="1">
      <alignment wrapText="1"/>
      <protection locked="0"/>
    </xf>
    <xf numFmtId="1" fontId="29" fillId="15" borderId="100" xfId="0" applyNumberFormat="1" applyFont="1" applyFill="1" applyBorder="1" applyAlignment="1">
      <alignment wrapText="1"/>
    </xf>
    <xf numFmtId="1" fontId="29" fillId="15" borderId="116" xfId="0" applyNumberFormat="1" applyFont="1" applyFill="1" applyBorder="1" applyAlignment="1">
      <alignment wrapText="1"/>
    </xf>
    <xf numFmtId="1" fontId="29" fillId="15" borderId="140" xfId="0" applyNumberFormat="1" applyFont="1" applyFill="1" applyBorder="1" applyAlignment="1">
      <alignment wrapText="1"/>
    </xf>
    <xf numFmtId="1" fontId="29" fillId="6" borderId="37" xfId="0" applyNumberFormat="1" applyFont="1" applyFill="1" applyBorder="1" applyAlignment="1" applyProtection="1">
      <alignment wrapText="1"/>
      <protection locked="0"/>
    </xf>
    <xf numFmtId="1" fontId="29" fillId="15" borderId="98" xfId="0" applyNumberFormat="1" applyFont="1" applyFill="1" applyBorder="1" applyAlignment="1">
      <alignment wrapText="1"/>
    </xf>
    <xf numFmtId="1" fontId="29" fillId="15" borderId="112" xfId="0" applyNumberFormat="1" applyFont="1" applyFill="1" applyBorder="1" applyAlignment="1">
      <alignment wrapText="1"/>
    </xf>
    <xf numFmtId="1" fontId="29" fillId="7" borderId="52" xfId="0" applyNumberFormat="1" applyFont="1" applyFill="1" applyBorder="1" applyAlignment="1">
      <alignment horizontal="right" vertical="center" wrapText="1"/>
    </xf>
    <xf numFmtId="1" fontId="29" fillId="6" borderId="52" xfId="0" applyNumberFormat="1" applyFont="1" applyFill="1" applyBorder="1" applyAlignment="1" applyProtection="1">
      <alignment wrapText="1"/>
      <protection locked="0"/>
    </xf>
    <xf numFmtId="1" fontId="29" fillId="6" borderId="121" xfId="0" applyNumberFormat="1" applyFont="1" applyFill="1" applyBorder="1" applyAlignment="1" applyProtection="1">
      <alignment wrapText="1"/>
      <protection locked="0"/>
    </xf>
    <xf numFmtId="1" fontId="29" fillId="6" borderId="53" xfId="0" applyNumberFormat="1" applyFont="1" applyFill="1" applyBorder="1" applyAlignment="1" applyProtection="1">
      <alignment wrapText="1"/>
      <protection locked="0"/>
    </xf>
    <xf numFmtId="1" fontId="29" fillId="6" borderId="58" xfId="0" applyNumberFormat="1" applyFont="1" applyFill="1" applyBorder="1" applyAlignment="1" applyProtection="1">
      <alignment wrapText="1"/>
      <protection locked="0"/>
    </xf>
    <xf numFmtId="1" fontId="29" fillId="15" borderId="121" xfId="0" applyNumberFormat="1" applyFont="1" applyFill="1" applyBorder="1" applyAlignment="1">
      <alignment wrapText="1"/>
    </xf>
    <xf numFmtId="1" fontId="29" fillId="6" borderId="51" xfId="0" applyNumberFormat="1" applyFont="1" applyFill="1" applyBorder="1" applyAlignment="1" applyProtection="1">
      <alignment wrapText="1"/>
      <protection locked="0"/>
    </xf>
    <xf numFmtId="1" fontId="29" fillId="15" borderId="62" xfId="0" applyNumberFormat="1" applyFont="1" applyFill="1" applyBorder="1" applyAlignment="1">
      <alignment wrapText="1"/>
    </xf>
    <xf numFmtId="1" fontId="29" fillId="7" borderId="63" xfId="0" applyNumberFormat="1" applyFont="1" applyFill="1" applyBorder="1" applyAlignment="1">
      <alignment horizontal="left" vertical="center" wrapText="1"/>
    </xf>
    <xf numFmtId="1" fontId="29" fillId="6" borderId="64" xfId="0" applyNumberFormat="1" applyFont="1" applyFill="1" applyBorder="1" applyAlignment="1" applyProtection="1">
      <alignment wrapText="1"/>
      <protection locked="0"/>
    </xf>
    <xf numFmtId="1" fontId="29" fillId="6" borderId="118" xfId="0" applyNumberFormat="1" applyFont="1" applyFill="1" applyBorder="1" applyAlignment="1" applyProtection="1">
      <alignment wrapText="1"/>
      <protection locked="0"/>
    </xf>
    <xf numFmtId="1" fontId="29" fillId="6" borderId="44" xfId="0" applyNumberFormat="1" applyFont="1" applyFill="1" applyBorder="1" applyAlignment="1" applyProtection="1">
      <alignment wrapText="1"/>
      <protection locked="0"/>
    </xf>
    <xf numFmtId="1" fontId="29" fillId="6" borderId="45" xfId="0" applyNumberFormat="1" applyFont="1" applyFill="1" applyBorder="1" applyAlignment="1" applyProtection="1">
      <alignment wrapText="1"/>
      <protection locked="0"/>
    </xf>
    <xf numFmtId="1" fontId="29" fillId="6" borderId="138" xfId="0" applyNumberFormat="1" applyFont="1" applyFill="1" applyBorder="1" applyAlignment="1" applyProtection="1">
      <alignment wrapText="1"/>
      <protection locked="0"/>
    </xf>
    <xf numFmtId="1" fontId="29" fillId="6" borderId="63" xfId="0" applyNumberFormat="1" applyFont="1" applyFill="1" applyBorder="1" applyAlignment="1" applyProtection="1">
      <alignment wrapText="1"/>
      <protection locked="0"/>
    </xf>
    <xf numFmtId="1" fontId="29" fillId="15" borderId="103" xfId="0" applyNumberFormat="1" applyFont="1" applyFill="1" applyBorder="1" applyAlignment="1">
      <alignment wrapText="1"/>
    </xf>
    <xf numFmtId="1" fontId="29" fillId="6" borderId="49" xfId="0" applyNumberFormat="1" applyFont="1" applyFill="1" applyBorder="1" applyAlignment="1" applyProtection="1">
      <alignment wrapText="1"/>
      <protection locked="0"/>
    </xf>
    <xf numFmtId="1" fontId="29" fillId="7" borderId="99" xfId="0" applyNumberFormat="1" applyFont="1" applyFill="1" applyBorder="1" applyAlignment="1">
      <alignment horizontal="left" vertical="center" wrapText="1"/>
    </xf>
    <xf numFmtId="1" fontId="29" fillId="7" borderId="100" xfId="0" applyNumberFormat="1" applyFont="1" applyFill="1" applyBorder="1" applyAlignment="1">
      <alignment horizontal="right" wrapText="1"/>
    </xf>
    <xf numFmtId="1" fontId="29" fillId="6" borderId="142" xfId="0" applyNumberFormat="1" applyFont="1" applyFill="1" applyBorder="1" applyAlignment="1" applyProtection="1">
      <alignment wrapText="1"/>
      <protection locked="0"/>
    </xf>
    <xf numFmtId="1" fontId="29" fillId="6" borderId="48" xfId="0" applyNumberFormat="1" applyFont="1" applyFill="1" applyBorder="1" applyAlignment="1" applyProtection="1">
      <alignment wrapText="1"/>
      <protection locked="0"/>
    </xf>
    <xf numFmtId="1" fontId="29" fillId="6" borderId="99" xfId="0" applyNumberFormat="1" applyFont="1" applyFill="1" applyBorder="1" applyAlignment="1" applyProtection="1">
      <alignment wrapText="1"/>
      <protection locked="0"/>
    </xf>
    <xf numFmtId="1" fontId="29" fillId="6" borderId="71" xfId="0" applyNumberFormat="1" applyFont="1" applyFill="1" applyBorder="1" applyAlignment="1" applyProtection="1">
      <alignment wrapText="1"/>
      <protection locked="0"/>
    </xf>
    <xf numFmtId="1" fontId="29" fillId="6" borderId="167" xfId="0" applyNumberFormat="1" applyFont="1" applyFill="1" applyBorder="1" applyAlignment="1" applyProtection="1">
      <alignment wrapText="1"/>
      <protection locked="0"/>
    </xf>
    <xf numFmtId="1" fontId="29" fillId="6" borderId="72" xfId="0" applyNumberFormat="1" applyFont="1" applyFill="1" applyBorder="1" applyAlignment="1" applyProtection="1">
      <alignment wrapText="1"/>
      <protection locked="0"/>
    </xf>
    <xf numFmtId="1" fontId="29" fillId="6" borderId="171" xfId="0" applyNumberFormat="1" applyFont="1" applyFill="1" applyBorder="1" applyAlignment="1" applyProtection="1">
      <alignment wrapText="1"/>
      <protection locked="0"/>
    </xf>
    <xf numFmtId="1" fontId="29" fillId="6" borderId="77" xfId="0" applyNumberFormat="1" applyFont="1" applyFill="1" applyBorder="1" applyAlignment="1" applyProtection="1">
      <alignment wrapText="1"/>
      <protection locked="0"/>
    </xf>
    <xf numFmtId="1" fontId="29" fillId="6" borderId="169" xfId="0" applyNumberFormat="1" applyFont="1" applyFill="1" applyBorder="1" applyAlignment="1" applyProtection="1">
      <alignment wrapText="1"/>
      <protection locked="0"/>
    </xf>
    <xf numFmtId="1" fontId="29" fillId="6" borderId="86" xfId="0" applyNumberFormat="1" applyFont="1" applyFill="1" applyBorder="1" applyAlignment="1" applyProtection="1">
      <alignment wrapText="1"/>
      <protection locked="0"/>
    </xf>
    <xf numFmtId="1" fontId="29" fillId="15" borderId="71" xfId="0" applyNumberFormat="1" applyFont="1" applyFill="1" applyBorder="1" applyAlignment="1">
      <alignment wrapText="1"/>
    </xf>
    <xf numFmtId="1" fontId="29" fillId="15" borderId="167" xfId="0" applyNumberFormat="1" applyFont="1" applyFill="1" applyBorder="1" applyAlignment="1">
      <alignment wrapText="1"/>
    </xf>
    <xf numFmtId="1" fontId="29" fillId="15" borderId="197" xfId="0" applyNumberFormat="1" applyFont="1" applyFill="1" applyBorder="1" applyAlignment="1">
      <alignment wrapText="1"/>
    </xf>
    <xf numFmtId="1" fontId="29" fillId="15" borderId="171" xfId="0" applyNumberFormat="1" applyFont="1" applyFill="1" applyBorder="1" applyAlignment="1">
      <alignment wrapText="1"/>
    </xf>
    <xf numFmtId="1" fontId="29" fillId="15" borderId="52" xfId="0" applyNumberFormat="1" applyFont="1" applyFill="1" applyBorder="1" applyAlignment="1">
      <alignment wrapText="1"/>
    </xf>
    <xf numFmtId="1" fontId="29" fillId="15" borderId="61" xfId="0" applyNumberFormat="1" applyFont="1" applyFill="1" applyBorder="1" applyAlignment="1">
      <alignment wrapText="1"/>
    </xf>
    <xf numFmtId="1" fontId="29" fillId="6" borderId="109" xfId="146" applyNumberFormat="1" applyFont="1" applyBorder="1" applyAlignment="1" applyProtection="1">
      <alignment wrapText="1"/>
      <protection locked="0"/>
    </xf>
    <xf numFmtId="1" fontId="29" fillId="6" borderId="111" xfId="146" applyNumberFormat="1" applyFont="1" applyBorder="1" applyAlignment="1" applyProtection="1">
      <alignment wrapText="1"/>
      <protection locked="0"/>
    </xf>
    <xf numFmtId="1" fontId="29" fillId="6" borderId="96" xfId="146" applyNumberFormat="1" applyFont="1" applyBorder="1" applyAlignment="1" applyProtection="1">
      <alignment wrapText="1"/>
      <protection locked="0"/>
    </xf>
    <xf numFmtId="1" fontId="29" fillId="6" borderId="115" xfId="146" applyNumberFormat="1" applyFont="1" applyBorder="1" applyAlignment="1" applyProtection="1">
      <alignment wrapText="1"/>
      <protection locked="0"/>
    </xf>
    <xf numFmtId="1" fontId="29" fillId="6" borderId="570" xfId="146" applyNumberFormat="1" applyFont="1" applyBorder="1" applyAlignment="1" applyProtection="1">
      <alignment wrapText="1"/>
      <protection locked="0"/>
    </xf>
    <xf numFmtId="1" fontId="29" fillId="6" borderId="571" xfId="146" applyNumberFormat="1" applyFont="1" applyBorder="1" applyAlignment="1" applyProtection="1">
      <alignment wrapText="1"/>
      <protection locked="0"/>
    </xf>
    <xf numFmtId="1" fontId="29" fillId="6" borderId="104" xfId="146" applyNumberFormat="1" applyFont="1" applyBorder="1" applyAlignment="1" applyProtection="1">
      <alignment wrapText="1"/>
      <protection locked="0"/>
    </xf>
    <xf numFmtId="1" fontId="29" fillId="6" borderId="120" xfId="146" applyNumberFormat="1" applyFont="1" applyBorder="1" applyAlignment="1" applyProtection="1">
      <alignment wrapText="1"/>
      <protection locked="0"/>
    </xf>
    <xf numFmtId="1" fontId="29" fillId="7" borderId="22" xfId="0" applyNumberFormat="1" applyFont="1" applyFill="1" applyBorder="1" applyAlignment="1">
      <alignment horizontal="right" vertical="center" wrapText="1"/>
    </xf>
    <xf numFmtId="1" fontId="29" fillId="0" borderId="177" xfId="0" applyNumberFormat="1" applyFont="1" applyBorder="1" applyAlignment="1">
      <alignment horizontal="right" vertical="center" wrapText="1"/>
    </xf>
    <xf numFmtId="1" fontId="29" fillId="6" borderId="65" xfId="0" applyNumberFormat="1" applyFont="1" applyFill="1" applyBorder="1" applyAlignment="1" applyProtection="1">
      <alignment wrapText="1"/>
      <protection locked="0"/>
    </xf>
    <xf numFmtId="1" fontId="29" fillId="7" borderId="70" xfId="0" applyNumberFormat="1" applyFont="1" applyFill="1" applyBorder="1" applyAlignment="1">
      <alignment horizontal="right" vertical="center" wrapText="1"/>
    </xf>
    <xf numFmtId="1" fontId="29" fillId="0" borderId="50" xfId="0" applyNumberFormat="1" applyFont="1" applyBorder="1" applyAlignment="1">
      <alignment horizontal="right" vertical="center" wrapText="1"/>
    </xf>
    <xf numFmtId="1" fontId="29" fillId="6" borderId="73" xfId="0" applyNumberFormat="1" applyFont="1" applyFill="1" applyBorder="1" applyAlignment="1" applyProtection="1">
      <alignment wrapText="1"/>
      <protection locked="0"/>
    </xf>
    <xf numFmtId="1" fontId="29" fillId="0" borderId="118" xfId="0" applyNumberFormat="1" applyFont="1" applyBorder="1" applyAlignment="1">
      <alignment horizontal="right" vertical="center" wrapText="1"/>
    </xf>
    <xf numFmtId="1" fontId="29" fillId="6" borderId="55" xfId="0" applyNumberFormat="1" applyFont="1" applyFill="1" applyBorder="1" applyAlignment="1" applyProtection="1">
      <alignment wrapText="1"/>
      <protection locked="0"/>
    </xf>
    <xf numFmtId="1" fontId="29" fillId="0" borderId="122" xfId="0" applyNumberFormat="1" applyFont="1" applyBorder="1" applyAlignment="1">
      <alignment horizontal="right" vertical="center" wrapText="1"/>
    </xf>
    <xf numFmtId="1" fontId="29" fillId="6" borderId="76" xfId="0" applyNumberFormat="1" applyFont="1" applyFill="1" applyBorder="1" applyAlignment="1" applyProtection="1">
      <alignment wrapText="1"/>
      <protection locked="0"/>
    </xf>
    <xf numFmtId="1" fontId="29" fillId="6" borderId="92" xfId="0" applyNumberFormat="1" applyFont="1" applyFill="1" applyBorder="1" applyAlignment="1" applyProtection="1">
      <alignment wrapText="1"/>
      <protection locked="0"/>
    </xf>
    <xf numFmtId="1" fontId="29" fillId="15" borderId="80" xfId="0" applyNumberFormat="1" applyFont="1" applyFill="1" applyBorder="1" applyAlignment="1">
      <alignment wrapText="1"/>
    </xf>
    <xf numFmtId="1" fontId="29" fillId="15" borderId="17" xfId="0" applyNumberFormat="1" applyFont="1" applyFill="1" applyBorder="1" applyAlignment="1">
      <alignment wrapText="1"/>
    </xf>
    <xf numFmtId="1" fontId="29" fillId="6" borderId="15" xfId="0" applyNumberFormat="1" applyFont="1" applyFill="1" applyBorder="1" applyAlignment="1" applyProtection="1">
      <alignment wrapText="1"/>
      <protection locked="0"/>
    </xf>
    <xf numFmtId="1" fontId="29" fillId="7" borderId="64" xfId="0" applyNumberFormat="1" applyFont="1" applyFill="1" applyBorder="1" applyAlignment="1">
      <alignment horizontal="right" wrapText="1"/>
    </xf>
    <xf numFmtId="1" fontId="29" fillId="0" borderId="27" xfId="0" applyNumberFormat="1" applyFont="1" applyBorder="1" applyAlignment="1">
      <alignment horizontal="right" vertical="center" wrapText="1"/>
    </xf>
    <xf numFmtId="1" fontId="29" fillId="7" borderId="71" xfId="0" applyNumberFormat="1" applyFont="1" applyFill="1" applyBorder="1" applyAlignment="1">
      <alignment horizontal="right" wrapText="1"/>
    </xf>
    <xf numFmtId="1" fontId="29" fillId="14" borderId="38" xfId="0" applyNumberFormat="1" applyFont="1" applyFill="1" applyBorder="1" applyAlignment="1">
      <alignment wrapText="1"/>
    </xf>
    <xf numFmtId="1" fontId="29" fillId="14" borderId="112" xfId="0" applyNumberFormat="1" applyFont="1" applyFill="1" applyBorder="1" applyAlignment="1">
      <alignment wrapText="1"/>
    </xf>
    <xf numFmtId="1" fontId="29" fillId="14" borderId="39" xfId="0" applyNumberFormat="1" applyFont="1" applyFill="1" applyBorder="1" applyAlignment="1">
      <alignment wrapText="1"/>
    </xf>
    <xf numFmtId="1" fontId="29" fillId="15" borderId="38" xfId="0" applyNumberFormat="1" applyFont="1" applyFill="1" applyBorder="1" applyAlignment="1">
      <alignment wrapText="1"/>
    </xf>
    <xf numFmtId="1" fontId="29" fillId="15" borderId="39" xfId="0" applyNumberFormat="1" applyFont="1" applyFill="1" applyBorder="1" applyAlignment="1">
      <alignment wrapText="1"/>
    </xf>
    <xf numFmtId="1" fontId="29" fillId="14" borderId="131" xfId="0" applyNumberFormat="1" applyFont="1" applyFill="1" applyBorder="1" applyAlignment="1">
      <alignment wrapText="1"/>
    </xf>
    <xf numFmtId="1" fontId="29" fillId="14" borderId="116" xfId="0" applyNumberFormat="1" applyFont="1" applyFill="1" applyBorder="1" applyAlignment="1">
      <alignment wrapText="1"/>
    </xf>
    <xf numFmtId="1" fontId="29" fillId="15" borderId="131" xfId="0" applyNumberFormat="1" applyFont="1" applyFill="1" applyBorder="1" applyAlignment="1">
      <alignment wrapText="1"/>
    </xf>
    <xf numFmtId="1" fontId="29" fillId="14" borderId="72" xfId="0" applyNumberFormat="1" applyFont="1" applyFill="1" applyBorder="1" applyAlignment="1">
      <alignment wrapText="1"/>
    </xf>
    <xf numFmtId="1" fontId="29" fillId="14" borderId="167" xfId="0" applyNumberFormat="1" applyFont="1" applyFill="1" applyBorder="1" applyAlignment="1">
      <alignment wrapText="1"/>
    </xf>
    <xf numFmtId="1" fontId="29" fillId="14" borderId="52" xfId="0" applyNumberFormat="1" applyFont="1" applyFill="1" applyBorder="1" applyAlignment="1">
      <alignment wrapText="1"/>
    </xf>
    <xf numFmtId="1" fontId="29" fillId="14" borderId="121" xfId="0" applyNumberFormat="1" applyFont="1" applyFill="1" applyBorder="1" applyAlignment="1">
      <alignment wrapText="1"/>
    </xf>
    <xf numFmtId="1" fontId="29" fillId="14" borderId="53" xfId="0" applyNumberFormat="1" applyFont="1" applyFill="1" applyBorder="1" applyAlignment="1">
      <alignment wrapText="1"/>
    </xf>
    <xf numFmtId="1" fontId="29" fillId="14" borderId="64" xfId="0" applyNumberFormat="1" applyFont="1" applyFill="1" applyBorder="1" applyAlignment="1">
      <alignment wrapText="1"/>
    </xf>
    <xf numFmtId="1" fontId="29" fillId="14" borderId="118" xfId="0" applyNumberFormat="1" applyFont="1" applyFill="1" applyBorder="1" applyAlignment="1">
      <alignment wrapText="1"/>
    </xf>
    <xf numFmtId="1" fontId="29" fillId="14" borderId="65" xfId="0" applyNumberFormat="1" applyFont="1" applyFill="1" applyBorder="1" applyAlignment="1">
      <alignment wrapText="1"/>
    </xf>
    <xf numFmtId="1" fontId="29" fillId="15" borderId="65" xfId="0" applyNumberFormat="1" applyFont="1" applyFill="1" applyBorder="1" applyAlignment="1">
      <alignment wrapText="1"/>
    </xf>
    <xf numFmtId="1" fontId="29" fillId="15" borderId="118" xfId="0" applyNumberFormat="1" applyFont="1" applyFill="1" applyBorder="1" applyAlignment="1">
      <alignment wrapText="1"/>
    </xf>
    <xf numFmtId="1" fontId="29" fillId="14" borderId="100" xfId="0" applyNumberFormat="1" applyFont="1" applyFill="1" applyBorder="1" applyAlignment="1">
      <alignment wrapText="1"/>
    </xf>
    <xf numFmtId="1" fontId="29" fillId="14" borderId="71" xfId="0" applyNumberFormat="1" applyFont="1" applyFill="1" applyBorder="1" applyAlignment="1">
      <alignment wrapText="1"/>
    </xf>
    <xf numFmtId="1" fontId="29" fillId="15" borderId="64" xfId="0" applyNumberFormat="1" applyFont="1" applyFill="1" applyBorder="1" applyAlignment="1">
      <alignment wrapText="1"/>
    </xf>
    <xf numFmtId="1" fontId="29" fillId="15" borderId="69" xfId="0" applyNumberFormat="1" applyFont="1" applyFill="1" applyBorder="1" applyAlignment="1">
      <alignment wrapText="1"/>
    </xf>
    <xf numFmtId="1" fontId="29" fillId="15" borderId="122" xfId="0" applyNumberFormat="1" applyFont="1" applyFill="1" applyBorder="1" applyAlignment="1">
      <alignment wrapText="1"/>
    </xf>
    <xf numFmtId="1" fontId="29" fillId="15" borderId="74" xfId="0" applyNumberFormat="1" applyFont="1" applyFill="1" applyBorder="1" applyAlignment="1">
      <alignment wrapText="1"/>
    </xf>
    <xf numFmtId="1" fontId="29" fillId="15" borderId="76" xfId="0" applyNumberFormat="1" applyFont="1" applyFill="1" applyBorder="1" applyAlignment="1">
      <alignment wrapText="1"/>
    </xf>
    <xf numFmtId="1" fontId="29" fillId="7" borderId="37" xfId="0" applyNumberFormat="1" applyFont="1" applyFill="1" applyBorder="1" applyAlignment="1">
      <alignment horizontal="left" vertical="center" wrapText="1"/>
    </xf>
    <xf numFmtId="1" fontId="29" fillId="6" borderId="572" xfId="146" applyNumberFormat="1" applyFont="1" applyBorder="1" applyAlignment="1" applyProtection="1">
      <alignment wrapText="1"/>
      <protection locked="0"/>
    </xf>
    <xf numFmtId="1" fontId="29" fillId="6" borderId="573" xfId="146" applyNumberFormat="1" applyFont="1" applyBorder="1" applyAlignment="1" applyProtection="1">
      <alignment wrapText="1"/>
      <protection locked="0"/>
    </xf>
    <xf numFmtId="1" fontId="29" fillId="6" borderId="574" xfId="146" applyNumberFormat="1" applyFont="1" applyBorder="1" applyAlignment="1" applyProtection="1">
      <alignment wrapText="1"/>
      <protection locked="0"/>
    </xf>
    <xf numFmtId="1" fontId="29" fillId="6" borderId="177" xfId="146" applyNumberFormat="1" applyFont="1" applyBorder="1" applyAlignment="1" applyProtection="1">
      <alignment wrapText="1"/>
      <protection locked="0"/>
    </xf>
    <xf numFmtId="1" fontId="29" fillId="6" borderId="575" xfId="146" applyNumberFormat="1" applyFont="1" applyBorder="1" applyAlignment="1" applyProtection="1">
      <alignment wrapText="1"/>
      <protection locked="0"/>
    </xf>
    <xf numFmtId="1" fontId="29" fillId="6" borderId="576" xfId="146" applyNumberFormat="1" applyFont="1" applyBorder="1" applyAlignment="1" applyProtection="1">
      <alignment wrapText="1"/>
      <protection locked="0"/>
    </xf>
    <xf numFmtId="1" fontId="29" fillId="6" borderId="577" xfId="146" applyNumberFormat="1" applyFont="1" applyBorder="1" applyAlignment="1" applyProtection="1">
      <alignment wrapText="1"/>
      <protection locked="0"/>
    </xf>
    <xf numFmtId="1" fontId="29" fillId="6" borderId="578" xfId="146" applyNumberFormat="1" applyFont="1" applyBorder="1" applyAlignment="1" applyProtection="1">
      <alignment wrapText="1"/>
      <protection locked="0"/>
    </xf>
    <xf numFmtId="1" fontId="29" fillId="6" borderId="579" xfId="0" applyNumberFormat="1" applyFont="1" applyFill="1" applyBorder="1" applyAlignment="1" applyProtection="1">
      <alignment wrapText="1"/>
      <protection locked="0"/>
    </xf>
    <xf numFmtId="1" fontId="29" fillId="6" borderId="580" xfId="0" applyNumberFormat="1" applyFont="1" applyFill="1" applyBorder="1" applyAlignment="1" applyProtection="1">
      <alignment wrapText="1"/>
      <protection locked="0"/>
    </xf>
    <xf numFmtId="1" fontId="29" fillId="6" borderId="581" xfId="0" applyNumberFormat="1" applyFont="1" applyFill="1" applyBorder="1" applyAlignment="1" applyProtection="1">
      <alignment wrapText="1"/>
      <protection locked="0"/>
    </xf>
    <xf numFmtId="1" fontId="29" fillId="6" borderId="582" xfId="0" applyNumberFormat="1" applyFont="1" applyFill="1" applyBorder="1" applyAlignment="1" applyProtection="1">
      <alignment wrapText="1"/>
      <protection locked="0"/>
    </xf>
    <xf numFmtId="1" fontId="29" fillId="6" borderId="583" xfId="146" applyNumberFormat="1" applyFont="1" applyBorder="1" applyAlignment="1" applyProtection="1">
      <alignment wrapText="1"/>
      <protection locked="0"/>
    </xf>
    <xf numFmtId="1" fontId="29" fillId="6" borderId="74" xfId="0" applyNumberFormat="1" applyFont="1" applyFill="1" applyBorder="1" applyAlignment="1" applyProtection="1">
      <alignment wrapText="1"/>
      <protection locked="0"/>
    </xf>
    <xf numFmtId="1" fontId="29" fillId="6" borderId="68" xfId="0" applyNumberFormat="1" applyFont="1" applyFill="1" applyBorder="1" applyAlignment="1" applyProtection="1">
      <alignment wrapText="1"/>
      <protection locked="0"/>
    </xf>
    <xf numFmtId="1" fontId="29" fillId="6" borderId="19" xfId="0" applyNumberFormat="1" applyFont="1" applyFill="1" applyBorder="1" applyAlignment="1" applyProtection="1">
      <alignment wrapText="1"/>
      <protection locked="0"/>
    </xf>
    <xf numFmtId="1" fontId="29" fillId="6" borderId="50" xfId="0" applyNumberFormat="1" applyFont="1" applyFill="1" applyBorder="1" applyAlignment="1" applyProtection="1">
      <alignment wrapText="1"/>
      <protection locked="0"/>
    </xf>
    <xf numFmtId="1" fontId="29" fillId="6" borderId="584" xfId="146" applyNumberFormat="1" applyFont="1" applyBorder="1" applyAlignment="1" applyProtection="1">
      <alignment wrapText="1"/>
      <protection locked="0"/>
    </xf>
    <xf numFmtId="1" fontId="29" fillId="6" borderId="140" xfId="0" applyNumberFormat="1" applyFont="1" applyFill="1" applyBorder="1" applyAlignment="1" applyProtection="1">
      <alignment wrapText="1"/>
      <protection locked="0"/>
    </xf>
    <xf numFmtId="1" fontId="29" fillId="6" borderId="126" xfId="0" applyNumberFormat="1" applyFont="1" applyFill="1" applyBorder="1" applyAlignment="1" applyProtection="1">
      <alignment wrapText="1"/>
      <protection locked="0"/>
    </xf>
    <xf numFmtId="1" fontId="29" fillId="6" borderId="197" xfId="0" applyNumberFormat="1" applyFont="1" applyFill="1" applyBorder="1" applyAlignment="1" applyProtection="1">
      <alignment wrapText="1"/>
      <protection locked="0"/>
    </xf>
    <xf numFmtId="1" fontId="29" fillId="6" borderId="122" xfId="0" applyNumberFormat="1" applyFont="1" applyFill="1" applyBorder="1" applyAlignment="1" applyProtection="1">
      <alignment wrapText="1"/>
      <protection locked="0"/>
    </xf>
    <xf numFmtId="1" fontId="29" fillId="6" borderId="291" xfId="146" applyNumberFormat="1" applyFont="1" applyBorder="1" applyAlignment="1" applyProtection="1">
      <alignment wrapText="1"/>
      <protection locked="0"/>
    </xf>
    <xf numFmtId="1" fontId="29" fillId="6" borderId="61" xfId="0" applyNumberFormat="1" applyFont="1" applyFill="1" applyBorder="1" applyAlignment="1" applyProtection="1">
      <alignment wrapText="1"/>
      <protection locked="0"/>
    </xf>
    <xf numFmtId="1" fontId="29" fillId="7" borderId="41" xfId="0" applyNumberFormat="1" applyFont="1" applyFill="1" applyBorder="1" applyAlignment="1">
      <alignment horizontal="right" wrapText="1"/>
    </xf>
    <xf numFmtId="1" fontId="29" fillId="7" borderId="112" xfId="0" applyNumberFormat="1" applyFont="1" applyFill="1" applyBorder="1" applyAlignment="1">
      <alignment horizontal="right" wrapText="1"/>
    </xf>
    <xf numFmtId="1" fontId="29" fillId="7" borderId="42" xfId="0" applyNumberFormat="1" applyFont="1" applyFill="1" applyBorder="1" applyAlignment="1">
      <alignment horizontal="right" wrapText="1"/>
    </xf>
    <xf numFmtId="1" fontId="29" fillId="7" borderId="40" xfId="0" applyNumberFormat="1" applyFont="1" applyFill="1" applyBorder="1" applyAlignment="1">
      <alignment horizontal="right" wrapText="1"/>
    </xf>
    <xf numFmtId="1" fontId="29" fillId="7" borderId="118" xfId="0" applyNumberFormat="1" applyFont="1" applyFill="1" applyBorder="1" applyAlignment="1">
      <alignment horizontal="right" wrapText="1"/>
    </xf>
    <xf numFmtId="1" fontId="29" fillId="7" borderId="102" xfId="0" applyNumberFormat="1" applyFont="1" applyFill="1" applyBorder="1" applyAlignment="1">
      <alignment horizontal="right" wrapText="1"/>
    </xf>
    <xf numFmtId="1" fontId="29" fillId="15" borderId="100" xfId="0" applyNumberFormat="1" applyFont="1" applyFill="1" applyBorder="1" applyAlignment="1">
      <alignment horizontal="right" wrapText="1"/>
    </xf>
    <xf numFmtId="1" fontId="29" fillId="7" borderId="116" xfId="0" applyNumberFormat="1" applyFont="1" applyFill="1" applyBorder="1" applyAlignment="1">
      <alignment horizontal="right" wrapText="1"/>
    </xf>
    <xf numFmtId="1" fontId="29" fillId="7" borderId="103" xfId="0" applyNumberFormat="1" applyFont="1" applyFill="1" applyBorder="1" applyAlignment="1">
      <alignment horizontal="right" wrapText="1"/>
    </xf>
    <xf numFmtId="1" fontId="29" fillId="7" borderId="15" xfId="0" applyNumberFormat="1" applyFont="1" applyFill="1" applyBorder="1" applyAlignment="1">
      <alignment horizontal="left" vertical="center" wrapText="1"/>
    </xf>
    <xf numFmtId="1" fontId="29" fillId="7" borderId="31" xfId="0" applyNumberFormat="1" applyFont="1" applyFill="1" applyBorder="1" applyAlignment="1">
      <alignment horizontal="right" wrapText="1"/>
    </xf>
    <xf numFmtId="1" fontId="29" fillId="7" borderId="17" xfId="0" applyNumberFormat="1" applyFont="1" applyFill="1" applyBorder="1" applyAlignment="1">
      <alignment horizontal="right" wrapText="1"/>
    </xf>
    <xf numFmtId="1" fontId="29" fillId="7" borderId="55" xfId="0" applyNumberFormat="1" applyFont="1" applyFill="1" applyBorder="1" applyAlignment="1">
      <alignment horizontal="right" wrapText="1"/>
    </xf>
    <xf numFmtId="1" fontId="29" fillId="15" borderId="52" xfId="0" applyNumberFormat="1" applyFont="1" applyFill="1" applyBorder="1" applyAlignment="1">
      <alignment horizontal="right" wrapText="1"/>
    </xf>
    <xf numFmtId="1" fontId="29" fillId="15" borderId="121" xfId="0" applyNumberFormat="1" applyFont="1" applyFill="1" applyBorder="1" applyAlignment="1">
      <alignment horizontal="right" wrapText="1"/>
    </xf>
    <xf numFmtId="1" fontId="29" fillId="7" borderId="121" xfId="0" applyNumberFormat="1" applyFont="1" applyFill="1" applyBorder="1" applyAlignment="1">
      <alignment horizontal="right" wrapText="1"/>
    </xf>
    <xf numFmtId="1" fontId="27" fillId="11" borderId="14" xfId="0" applyNumberFormat="1" applyFont="1" applyFill="1" applyBorder="1" applyAlignment="1">
      <alignment horizontal="left"/>
    </xf>
    <xf numFmtId="1" fontId="27" fillId="7" borderId="14" xfId="0" applyNumberFormat="1" applyFont="1" applyFill="1" applyBorder="1" applyAlignment="1">
      <alignment horizontal="left"/>
    </xf>
    <xf numFmtId="1" fontId="27" fillId="7" borderId="0" xfId="0" applyNumberFormat="1" applyFont="1" applyFill="1"/>
    <xf numFmtId="1" fontId="54" fillId="7" borderId="0" xfId="0" applyNumberFormat="1" applyFont="1" applyFill="1"/>
    <xf numFmtId="1" fontId="48" fillId="7" borderId="0" xfId="0" applyNumberFormat="1" applyFont="1" applyFill="1"/>
    <xf numFmtId="1" fontId="0" fillId="11" borderId="0" xfId="0" applyNumberFormat="1" applyFill="1" applyProtection="1">
      <protection locked="0"/>
    </xf>
    <xf numFmtId="1" fontId="0" fillId="0" borderId="0" xfId="0" applyNumberFormat="1" applyProtection="1">
      <protection locked="0"/>
    </xf>
    <xf numFmtId="0" fontId="0" fillId="0" borderId="0" xfId="0" applyAlignment="1">
      <alignment vertical="center"/>
    </xf>
    <xf numFmtId="1" fontId="31" fillId="11" borderId="0" xfId="0" applyNumberFormat="1" applyFont="1" applyFill="1" applyAlignment="1">
      <alignment vertical="center"/>
    </xf>
    <xf numFmtId="1" fontId="29" fillId="14" borderId="64" xfId="0" applyNumberFormat="1" applyFont="1" applyFill="1" applyBorder="1" applyAlignment="1">
      <alignment horizontal="right"/>
    </xf>
    <xf numFmtId="1" fontId="29" fillId="14" borderId="118" xfId="0" applyNumberFormat="1" applyFont="1" applyFill="1" applyBorder="1" applyAlignment="1">
      <alignment horizontal="right"/>
    </xf>
    <xf numFmtId="1" fontId="29" fillId="6" borderId="40" xfId="0" applyNumberFormat="1" applyFont="1" applyFill="1" applyBorder="1" applyAlignment="1" applyProtection="1">
      <alignment horizontal="right"/>
      <protection locked="0"/>
    </xf>
    <xf numFmtId="1" fontId="29" fillId="15" borderId="131" xfId="0" applyNumberFormat="1" applyFont="1" applyFill="1" applyBorder="1" applyAlignment="1">
      <alignment horizontal="right"/>
    </xf>
    <xf numFmtId="1" fontId="29" fillId="6" borderId="117" xfId="0" applyNumberFormat="1" applyFont="1" applyFill="1" applyBorder="1" applyAlignment="1" applyProtection="1">
      <alignment horizontal="right"/>
      <protection locked="0"/>
    </xf>
    <xf numFmtId="1" fontId="29" fillId="11" borderId="0" xfId="0" applyNumberFormat="1" applyFont="1" applyFill="1" applyAlignment="1">
      <alignment vertical="center"/>
    </xf>
    <xf numFmtId="1" fontId="0" fillId="14" borderId="0" xfId="0" applyNumberFormat="1" applyFill="1"/>
    <xf numFmtId="1" fontId="0" fillId="10" borderId="0" xfId="0" applyNumberFormat="1" applyFill="1"/>
    <xf numFmtId="1" fontId="29" fillId="6" borderId="101" xfId="0" applyNumberFormat="1" applyFont="1" applyFill="1" applyBorder="1" applyAlignment="1" applyProtection="1">
      <alignment horizontal="right"/>
      <protection locked="0"/>
    </xf>
    <xf numFmtId="1" fontId="29" fillId="15" borderId="100" xfId="0" applyNumberFormat="1" applyFont="1" applyFill="1" applyBorder="1" applyAlignment="1">
      <alignment horizontal="right"/>
    </xf>
    <xf numFmtId="1" fontId="29" fillId="15" borderId="101" xfId="0" applyNumberFormat="1" applyFont="1" applyFill="1" applyBorder="1" applyAlignment="1">
      <alignment horizontal="right"/>
    </xf>
    <xf numFmtId="1" fontId="29" fillId="15" borderId="102" xfId="0" applyNumberFormat="1" applyFont="1" applyFill="1" applyBorder="1" applyAlignment="1">
      <alignment horizontal="right"/>
    </xf>
    <xf numFmtId="0" fontId="0" fillId="14" borderId="0" xfId="0" applyFill="1"/>
    <xf numFmtId="0" fontId="0" fillId="14" borderId="0" xfId="0" applyFill="1" applyAlignment="1">
      <alignment vertical="center"/>
    </xf>
    <xf numFmtId="1" fontId="29" fillId="15" borderId="116" xfId="0" applyNumberFormat="1" applyFont="1" applyFill="1" applyBorder="1" applyAlignment="1">
      <alignment horizontal="right"/>
    </xf>
    <xf numFmtId="1" fontId="29" fillId="0" borderId="16" xfId="0" applyNumberFormat="1" applyFont="1" applyBorder="1" applyAlignment="1">
      <alignment horizontal="left" vertical="center"/>
    </xf>
    <xf numFmtId="1" fontId="29" fillId="6" borderId="54" xfId="0" applyNumberFormat="1" applyFont="1" applyFill="1" applyBorder="1" applyAlignment="1" applyProtection="1">
      <alignment horizontal="right"/>
      <protection locked="0"/>
    </xf>
    <xf numFmtId="1" fontId="29" fillId="6" borderId="53" xfId="0" applyNumberFormat="1" applyFont="1" applyFill="1" applyBorder="1" applyAlignment="1" applyProtection="1">
      <alignment horizontal="right"/>
      <protection locked="0"/>
    </xf>
    <xf numFmtId="1" fontId="29" fillId="6" borderId="57" xfId="0" applyNumberFormat="1" applyFont="1" applyFill="1" applyBorder="1" applyAlignment="1" applyProtection="1">
      <alignment horizontal="right"/>
      <protection locked="0"/>
    </xf>
    <xf numFmtId="1" fontId="29" fillId="6" borderId="61" xfId="0" applyNumberFormat="1" applyFont="1" applyFill="1" applyBorder="1" applyAlignment="1" applyProtection="1">
      <alignment horizontal="right"/>
      <protection locked="0"/>
    </xf>
    <xf numFmtId="1" fontId="31" fillId="0" borderId="8" xfId="0" applyNumberFormat="1" applyFont="1" applyBorder="1" applyAlignment="1">
      <alignment vertical="center"/>
    </xf>
    <xf numFmtId="1" fontId="0" fillId="21" borderId="0" xfId="0" applyNumberFormat="1" applyFill="1"/>
    <xf numFmtId="1" fontId="29" fillId="0" borderId="15" xfId="0" applyNumberFormat="1" applyFont="1" applyBorder="1" applyAlignment="1">
      <alignment horizontal="left" vertical="center"/>
    </xf>
    <xf numFmtId="1" fontId="29" fillId="6" borderId="157" xfId="0" applyNumberFormat="1" applyFont="1" applyFill="1" applyBorder="1" applyAlignment="1" applyProtection="1">
      <alignment horizontal="right"/>
      <protection locked="0"/>
    </xf>
    <xf numFmtId="1" fontId="29" fillId="6" borderId="271" xfId="0" applyNumberFormat="1" applyFont="1" applyFill="1" applyBorder="1" applyAlignment="1" applyProtection="1">
      <alignment horizontal="right"/>
      <protection locked="0"/>
    </xf>
    <xf numFmtId="1" fontId="29" fillId="6" borderId="181" xfId="0" applyNumberFormat="1" applyFont="1" applyFill="1" applyBorder="1" applyAlignment="1" applyProtection="1">
      <alignment horizontal="right"/>
      <protection locked="0"/>
    </xf>
    <xf numFmtId="1" fontId="29" fillId="6" borderId="164" xfId="0" applyNumberFormat="1" applyFont="1" applyFill="1" applyBorder="1" applyAlignment="1" applyProtection="1">
      <alignment horizontal="right"/>
      <protection locked="0"/>
    </xf>
    <xf numFmtId="1" fontId="29" fillId="6" borderId="22" xfId="0" applyNumberFormat="1" applyFont="1" applyFill="1" applyBorder="1" applyAlignment="1" applyProtection="1">
      <alignment horizontal="right"/>
      <protection locked="0"/>
    </xf>
    <xf numFmtId="1" fontId="29" fillId="6" borderId="50" xfId="0" applyNumberFormat="1" applyFont="1" applyFill="1" applyBorder="1" applyAlignment="1" applyProtection="1">
      <alignment horizontal="right"/>
      <protection locked="0"/>
    </xf>
    <xf numFmtId="1" fontId="29" fillId="6" borderId="177" xfId="0" applyNumberFormat="1" applyFont="1" applyFill="1" applyBorder="1" applyAlignment="1" applyProtection="1">
      <alignment horizontal="right"/>
      <protection locked="0"/>
    </xf>
    <xf numFmtId="1" fontId="29" fillId="6" borderId="41" xfId="0" applyNumberFormat="1" applyFont="1" applyFill="1" applyBorder="1" applyAlignment="1" applyProtection="1">
      <alignment horizontal="right"/>
      <protection locked="0"/>
    </xf>
    <xf numFmtId="1" fontId="29" fillId="6" borderId="31" xfId="0" applyNumberFormat="1" applyFont="1" applyFill="1" applyBorder="1" applyAlignment="1" applyProtection="1">
      <alignment horizontal="right"/>
      <protection locked="0"/>
    </xf>
    <xf numFmtId="1" fontId="29" fillId="0" borderId="10" xfId="0" applyNumberFormat="1" applyFont="1" applyBorder="1" applyAlignment="1">
      <alignment horizontal="center" wrapText="1"/>
    </xf>
    <xf numFmtId="1" fontId="29" fillId="0" borderId="11" xfId="0" applyNumberFormat="1" applyFont="1" applyBorder="1" applyAlignment="1">
      <alignment horizontal="center" wrapText="1"/>
    </xf>
    <xf numFmtId="1" fontId="29" fillId="0" borderId="7" xfId="0" applyNumberFormat="1" applyFont="1" applyBorder="1" applyAlignment="1">
      <alignment horizontal="center" wrapText="1"/>
    </xf>
    <xf numFmtId="1" fontId="29" fillId="0" borderId="12" xfId="0" applyNumberFormat="1" applyFont="1" applyBorder="1" applyAlignment="1">
      <alignment horizontal="center" wrapText="1"/>
    </xf>
    <xf numFmtId="1" fontId="29" fillId="0" borderId="36" xfId="0" applyNumberFormat="1" applyFont="1" applyBorder="1" applyAlignment="1">
      <alignment vertical="center" wrapText="1"/>
    </xf>
    <xf numFmtId="1" fontId="31" fillId="7" borderId="14" xfId="0" applyNumberFormat="1" applyFont="1" applyFill="1" applyBorder="1" applyAlignment="1">
      <alignment vertical="center" wrapText="1"/>
    </xf>
    <xf numFmtId="0" fontId="29" fillId="0" borderId="135" xfId="0" applyFont="1" applyBorder="1" applyAlignment="1">
      <alignment horizontal="center" vertical="center" wrapText="1"/>
    </xf>
    <xf numFmtId="0" fontId="29" fillId="0" borderId="20" xfId="0" applyFont="1" applyBorder="1" applyAlignment="1">
      <alignment horizontal="center" vertical="center" wrapText="1"/>
    </xf>
    <xf numFmtId="1" fontId="29" fillId="14" borderId="42" xfId="0" applyNumberFormat="1" applyFont="1" applyFill="1" applyBorder="1" applyAlignment="1">
      <alignment horizontal="right"/>
    </xf>
    <xf numFmtId="1" fontId="29" fillId="15" borderId="65" xfId="0" applyNumberFormat="1" applyFont="1" applyFill="1" applyBorder="1" applyAlignment="1">
      <alignment horizontal="right"/>
    </xf>
    <xf numFmtId="1" fontId="29" fillId="15" borderId="49" xfId="0" applyNumberFormat="1" applyFont="1" applyFill="1" applyBorder="1" applyAlignment="1">
      <alignment horizontal="right"/>
    </xf>
    <xf numFmtId="1" fontId="29" fillId="6" borderId="67" xfId="0" applyNumberFormat="1" applyFont="1" applyFill="1" applyBorder="1" applyAlignment="1" applyProtection="1">
      <alignment horizontal="right"/>
      <protection locked="0"/>
    </xf>
    <xf numFmtId="1" fontId="29" fillId="6" borderId="180" xfId="0" applyNumberFormat="1" applyFont="1" applyFill="1" applyBorder="1" applyAlignment="1" applyProtection="1">
      <alignment horizontal="right"/>
      <protection locked="0"/>
    </xf>
    <xf numFmtId="0" fontId="0" fillId="16" borderId="0" xfId="0" applyFill="1" applyAlignment="1">
      <alignment vertical="center"/>
    </xf>
    <xf numFmtId="0" fontId="0" fillId="44" borderId="0" xfId="0" applyFill="1"/>
    <xf numFmtId="0" fontId="0" fillId="21" borderId="0" xfId="0" applyFill="1" applyAlignment="1">
      <alignment vertical="center"/>
    </xf>
    <xf numFmtId="0" fontId="0" fillId="21" borderId="0" xfId="0" applyFill="1"/>
    <xf numFmtId="1" fontId="29" fillId="6" borderId="117" xfId="0" applyNumberFormat="1" applyFont="1" applyFill="1" applyBorder="1" applyAlignment="1" applyProtection="1">
      <alignment horizontal="right" wrapText="1"/>
      <protection locked="0"/>
    </xf>
    <xf numFmtId="1" fontId="29" fillId="0" borderId="122" xfId="0" applyNumberFormat="1" applyFont="1" applyBorder="1" applyAlignment="1">
      <alignment horizontal="right"/>
    </xf>
    <xf numFmtId="1" fontId="29" fillId="6" borderId="71" xfId="0" applyNumberFormat="1" applyFont="1" applyFill="1" applyBorder="1" applyAlignment="1" applyProtection="1">
      <alignment horizontal="right"/>
      <protection locked="0"/>
    </xf>
    <xf numFmtId="1" fontId="29" fillId="6" borderId="78" xfId="0" applyNumberFormat="1" applyFont="1" applyFill="1" applyBorder="1" applyAlignment="1" applyProtection="1">
      <alignment horizontal="right"/>
      <protection locked="0"/>
    </xf>
    <xf numFmtId="1" fontId="29" fillId="6" borderId="77" xfId="0" applyNumberFormat="1" applyFont="1" applyFill="1" applyBorder="1" applyAlignment="1" applyProtection="1">
      <alignment horizontal="right"/>
      <protection locked="0"/>
    </xf>
    <xf numFmtId="1" fontId="29" fillId="6" borderId="171" xfId="0" applyNumberFormat="1" applyFont="1" applyFill="1" applyBorder="1" applyAlignment="1" applyProtection="1">
      <alignment horizontal="right"/>
      <protection locked="0"/>
    </xf>
    <xf numFmtId="1" fontId="29" fillId="6" borderId="314" xfId="0" applyNumberFormat="1" applyFont="1" applyFill="1" applyBorder="1" applyAlignment="1" applyProtection="1">
      <alignment horizontal="right"/>
      <protection locked="0"/>
    </xf>
    <xf numFmtId="1" fontId="29" fillId="6" borderId="72" xfId="0" applyNumberFormat="1" applyFont="1" applyFill="1" applyBorder="1" applyAlignment="1" applyProtection="1">
      <alignment horizontal="right"/>
      <protection locked="0"/>
    </xf>
    <xf numFmtId="1" fontId="29" fillId="6" borderId="56" xfId="0" applyNumberFormat="1" applyFont="1" applyFill="1" applyBorder="1" applyAlignment="1" applyProtection="1">
      <alignment horizontal="right"/>
      <protection locked="0"/>
    </xf>
    <xf numFmtId="1" fontId="29" fillId="14" borderId="164" xfId="0" applyNumberFormat="1" applyFont="1" applyFill="1" applyBorder="1" applyAlignment="1">
      <alignment horizontal="right"/>
    </xf>
    <xf numFmtId="1" fontId="29" fillId="14" borderId="177" xfId="0" applyNumberFormat="1" applyFont="1" applyFill="1" applyBorder="1" applyAlignment="1">
      <alignment horizontal="right"/>
    </xf>
    <xf numFmtId="1" fontId="29" fillId="6" borderId="113" xfId="0" applyNumberFormat="1" applyFont="1" applyFill="1" applyBorder="1" applyAlignment="1" applyProtection="1">
      <alignment horizontal="right"/>
      <protection locked="0"/>
    </xf>
    <xf numFmtId="1" fontId="29" fillId="6" borderId="43" xfId="0" applyNumberFormat="1" applyFont="1" applyFill="1" applyBorder="1" applyAlignment="1" applyProtection="1">
      <alignment horizontal="right"/>
      <protection locked="0"/>
    </xf>
    <xf numFmtId="1" fontId="29" fillId="6" borderId="44" xfId="0" applyNumberFormat="1" applyFont="1" applyFill="1" applyBorder="1" applyAlignment="1" applyProtection="1">
      <alignment horizontal="right"/>
      <protection locked="0"/>
    </xf>
    <xf numFmtId="1" fontId="29" fillId="15" borderId="113" xfId="0" applyNumberFormat="1" applyFont="1" applyFill="1" applyBorder="1" applyAlignment="1">
      <alignment horizontal="right"/>
    </xf>
    <xf numFmtId="1" fontId="29" fillId="15" borderId="98" xfId="0" applyNumberFormat="1" applyFont="1" applyFill="1" applyBorder="1" applyAlignment="1">
      <alignment horizontal="right"/>
    </xf>
    <xf numFmtId="1" fontId="29" fillId="15" borderId="117" xfId="0" applyNumberFormat="1" applyFont="1" applyFill="1" applyBorder="1" applyAlignment="1">
      <alignment horizontal="right"/>
    </xf>
    <xf numFmtId="1" fontId="29" fillId="14" borderId="54" xfId="0" applyNumberFormat="1" applyFont="1" applyFill="1" applyBorder="1" applyAlignment="1">
      <alignment horizontal="right"/>
    </xf>
    <xf numFmtId="1" fontId="29" fillId="14" borderId="55" xfId="0" applyNumberFormat="1" applyFont="1" applyFill="1" applyBorder="1" applyAlignment="1">
      <alignment horizontal="right"/>
    </xf>
    <xf numFmtId="1" fontId="29" fillId="15" borderId="57" xfId="0" applyNumberFormat="1" applyFont="1" applyFill="1" applyBorder="1" applyAlignment="1">
      <alignment horizontal="right"/>
    </xf>
    <xf numFmtId="1" fontId="29" fillId="6" borderId="69" xfId="0" applyNumberFormat="1" applyFont="1" applyFill="1" applyBorder="1" applyAlignment="1" applyProtection="1">
      <alignment horizontal="right"/>
      <protection locked="0"/>
    </xf>
    <xf numFmtId="1" fontId="29" fillId="6" borderId="70" xfId="0" applyNumberFormat="1" applyFont="1" applyFill="1" applyBorder="1" applyAlignment="1" applyProtection="1">
      <alignment horizontal="right"/>
      <protection locked="0"/>
    </xf>
    <xf numFmtId="1" fontId="29" fillId="6" borderId="68" xfId="0" applyNumberFormat="1" applyFont="1" applyFill="1" applyBorder="1" applyAlignment="1" applyProtection="1">
      <alignment horizontal="right"/>
      <protection locked="0"/>
    </xf>
    <xf numFmtId="1" fontId="29" fillId="6" borderId="169" xfId="0" applyNumberFormat="1" applyFont="1" applyFill="1" applyBorder="1" applyAlignment="1" applyProtection="1">
      <alignment horizontal="right"/>
      <protection locked="0"/>
    </xf>
    <xf numFmtId="1" fontId="29" fillId="6" borderId="167" xfId="0" applyNumberFormat="1" applyFont="1" applyFill="1" applyBorder="1" applyAlignment="1" applyProtection="1">
      <alignment horizontal="right"/>
      <protection locked="0"/>
    </xf>
    <xf numFmtId="1" fontId="29" fillId="0" borderId="167" xfId="0" applyNumberFormat="1" applyFont="1" applyBorder="1" applyAlignment="1">
      <alignment horizontal="right"/>
    </xf>
    <xf numFmtId="1" fontId="29" fillId="6" borderId="58" xfId="0" applyNumberFormat="1" applyFont="1" applyFill="1" applyBorder="1" applyAlignment="1" applyProtection="1">
      <alignment horizontal="right"/>
      <protection locked="0"/>
    </xf>
    <xf numFmtId="1" fontId="31" fillId="7" borderId="8" xfId="0" applyNumberFormat="1" applyFont="1" applyFill="1" applyBorder="1" applyAlignment="1">
      <alignment vertical="center" wrapText="1"/>
    </xf>
    <xf numFmtId="0" fontId="0" fillId="0" borderId="0" xfId="0" applyAlignment="1">
      <alignment horizontal="left" vertical="center"/>
    </xf>
    <xf numFmtId="1" fontId="31" fillId="7" borderId="8" xfId="0" applyNumberFormat="1" applyFont="1" applyFill="1" applyBorder="1" applyAlignment="1">
      <alignment vertical="center"/>
    </xf>
    <xf numFmtId="0" fontId="29" fillId="0" borderId="134" xfId="0" applyFont="1" applyBorder="1" applyAlignment="1">
      <alignment horizontal="center" vertical="center" wrapText="1"/>
    </xf>
    <xf numFmtId="1" fontId="29" fillId="0" borderId="128" xfId="0" applyNumberFormat="1" applyFont="1" applyBorder="1" applyAlignment="1">
      <alignment horizontal="left"/>
    </xf>
    <xf numFmtId="1" fontId="31" fillId="7" borderId="8" xfId="0" applyNumberFormat="1" applyFont="1" applyFill="1" applyBorder="1"/>
    <xf numFmtId="0" fontId="29" fillId="0" borderId="6" xfId="0" applyFont="1" applyBorder="1" applyAlignment="1">
      <alignment horizontal="center" vertical="center"/>
    </xf>
    <xf numFmtId="0" fontId="29" fillId="0" borderId="20" xfId="0" applyFont="1" applyBorder="1" applyAlignment="1">
      <alignment horizontal="center" vertical="center"/>
    </xf>
    <xf numFmtId="0" fontId="29" fillId="0" borderId="14" xfId="0" applyFont="1" applyBorder="1" applyAlignment="1">
      <alignment horizontal="center" vertical="center"/>
    </xf>
    <xf numFmtId="1" fontId="29" fillId="0" borderId="39" xfId="0" applyNumberFormat="1" applyFont="1" applyBorder="1" applyAlignment="1">
      <alignment horizontal="right"/>
    </xf>
    <xf numFmtId="0" fontId="48" fillId="15" borderId="585" xfId="3" applyFont="1" applyFill="1" applyBorder="1" applyAlignment="1">
      <alignment horizontal="right"/>
    </xf>
    <xf numFmtId="0" fontId="48" fillId="15" borderId="586" xfId="3" applyFont="1" applyFill="1" applyBorder="1" applyAlignment="1">
      <alignment horizontal="right"/>
    </xf>
    <xf numFmtId="0" fontId="48" fillId="15" borderId="587" xfId="3" applyFont="1" applyFill="1" applyBorder="1" applyAlignment="1">
      <alignment horizontal="right"/>
    </xf>
    <xf numFmtId="1" fontId="29" fillId="15" borderId="180" xfId="0" applyNumberFormat="1" applyFont="1" applyFill="1" applyBorder="1" applyAlignment="1">
      <alignment horizontal="right"/>
    </xf>
    <xf numFmtId="0" fontId="48" fillId="15" borderId="588" xfId="3" applyFont="1" applyFill="1" applyBorder="1" applyAlignment="1">
      <alignment horizontal="right"/>
    </xf>
    <xf numFmtId="0" fontId="48" fillId="15" borderId="589" xfId="3" applyFont="1" applyFill="1" applyBorder="1" applyAlignment="1">
      <alignment horizontal="right"/>
    </xf>
    <xf numFmtId="0" fontId="48" fillId="15" borderId="590" xfId="3" applyFont="1" applyFill="1" applyBorder="1" applyAlignment="1">
      <alignment horizontal="right"/>
    </xf>
    <xf numFmtId="1" fontId="29" fillId="6" borderId="591" xfId="0" applyNumberFormat="1" applyFont="1" applyFill="1" applyBorder="1" applyAlignment="1" applyProtection="1">
      <alignment horizontal="right"/>
      <protection locked="0"/>
    </xf>
    <xf numFmtId="1" fontId="29" fillId="6" borderId="592" xfId="0" applyNumberFormat="1" applyFont="1" applyFill="1" applyBorder="1" applyAlignment="1" applyProtection="1">
      <alignment horizontal="right"/>
      <protection locked="0"/>
    </xf>
    <xf numFmtId="0" fontId="48" fillId="15" borderId="593" xfId="3" applyFont="1" applyFill="1" applyBorder="1" applyAlignment="1">
      <alignment horizontal="right"/>
    </xf>
    <xf numFmtId="0" fontId="48" fillId="15" borderId="594" xfId="3" applyFont="1" applyFill="1" applyBorder="1" applyAlignment="1">
      <alignment horizontal="right"/>
    </xf>
    <xf numFmtId="0" fontId="29" fillId="0" borderId="103" xfId="0" applyFont="1" applyBorder="1" applyAlignment="1">
      <alignment horizontal="right"/>
    </xf>
    <xf numFmtId="1" fontId="29" fillId="0" borderId="99" xfId="0" applyNumberFormat="1" applyFont="1" applyBorder="1" applyAlignment="1">
      <alignment vertical="top" wrapText="1"/>
    </xf>
    <xf numFmtId="0" fontId="48" fillId="15" borderId="595" xfId="3" applyFont="1" applyFill="1" applyBorder="1" applyAlignment="1">
      <alignment horizontal="right"/>
    </xf>
    <xf numFmtId="0" fontId="48" fillId="15" borderId="596" xfId="3" applyFont="1" applyFill="1" applyBorder="1" applyAlignment="1">
      <alignment horizontal="right"/>
    </xf>
    <xf numFmtId="0" fontId="29" fillId="0" borderId="131" xfId="0" applyFont="1" applyBorder="1" applyAlignment="1">
      <alignment horizontal="right"/>
    </xf>
    <xf numFmtId="0" fontId="48" fillId="15" borderId="597" xfId="3" applyFont="1" applyFill="1" applyBorder="1" applyAlignment="1">
      <alignment horizontal="right"/>
    </xf>
    <xf numFmtId="1" fontId="29" fillId="0" borderId="53" xfId="0" applyNumberFormat="1" applyFont="1" applyBorder="1" applyAlignment="1">
      <alignment horizontal="right"/>
    </xf>
    <xf numFmtId="0" fontId="48" fillId="15" borderId="80" xfId="3" applyFont="1" applyFill="1" applyBorder="1" applyAlignment="1">
      <alignment horizontal="right"/>
    </xf>
    <xf numFmtId="0" fontId="48" fillId="15" borderId="17" xfId="3" applyFont="1" applyFill="1" applyBorder="1" applyAlignment="1">
      <alignment horizontal="right"/>
    </xf>
    <xf numFmtId="0" fontId="48" fillId="15" borderId="76" xfId="3" applyFont="1" applyFill="1" applyBorder="1" applyAlignment="1">
      <alignment horizontal="right"/>
    </xf>
    <xf numFmtId="0" fontId="29" fillId="0" borderId="65" xfId="0" applyFont="1" applyBorder="1" applyAlignment="1">
      <alignment horizontal="right"/>
    </xf>
    <xf numFmtId="0" fontId="29" fillId="0" borderId="49" xfId="0" applyFont="1" applyBorder="1" applyAlignment="1">
      <alignment horizontal="right"/>
    </xf>
    <xf numFmtId="0" fontId="29" fillId="0" borderId="51" xfId="0" applyFont="1" applyBorder="1"/>
    <xf numFmtId="0" fontId="29" fillId="0" borderId="53" xfId="0" applyFont="1" applyBorder="1" applyAlignment="1">
      <alignment horizontal="right"/>
    </xf>
    <xf numFmtId="0" fontId="29" fillId="0" borderId="62" xfId="0" applyFont="1" applyBorder="1" applyAlignment="1">
      <alignment horizontal="right"/>
    </xf>
    <xf numFmtId="0" fontId="29" fillId="0" borderId="10" xfId="0" applyFont="1" applyBorder="1" applyAlignment="1">
      <alignment horizontal="center"/>
    </xf>
    <xf numFmtId="0" fontId="29" fillId="0" borderId="98" xfId="0" applyFont="1" applyBorder="1" applyAlignment="1">
      <alignment horizontal="right"/>
    </xf>
    <xf numFmtId="0" fontId="29" fillId="0" borderId="80" xfId="0" applyFont="1" applyBorder="1" applyAlignment="1">
      <alignment horizontal="right" wrapText="1"/>
    </xf>
    <xf numFmtId="0" fontId="29" fillId="0" borderId="76" xfId="0" applyFont="1" applyBorder="1" applyAlignment="1">
      <alignment horizontal="right" wrapText="1"/>
    </xf>
    <xf numFmtId="1" fontId="29" fillId="0" borderId="36" xfId="0" applyNumberFormat="1" applyFont="1" applyBorder="1" applyAlignment="1">
      <alignment horizontal="right" wrapText="1"/>
    </xf>
    <xf numFmtId="1" fontId="29" fillId="0" borderId="39" xfId="0" applyNumberFormat="1" applyFont="1" applyBorder="1" applyAlignment="1">
      <alignment horizontal="right" vertical="center" wrapText="1"/>
    </xf>
    <xf numFmtId="0" fontId="29" fillId="0" borderId="99" xfId="0" applyFont="1" applyBorder="1" applyAlignment="1">
      <alignment horizontal="left" wrapText="1"/>
    </xf>
    <xf numFmtId="0" fontId="29" fillId="0" borderId="100" xfId="0" applyFont="1" applyBorder="1" applyAlignment="1">
      <alignment horizontal="right" wrapText="1"/>
    </xf>
    <xf numFmtId="0" fontId="29" fillId="0" borderId="131" xfId="0" applyFont="1" applyBorder="1" applyAlignment="1">
      <alignment horizontal="right" wrapText="1"/>
    </xf>
    <xf numFmtId="0" fontId="29" fillId="0" borderId="51" xfId="0" applyFont="1" applyBorder="1" applyAlignment="1">
      <alignment horizontal="left" wrapText="1"/>
    </xf>
    <xf numFmtId="0" fontId="29" fillId="0" borderId="80" xfId="0" applyFont="1" applyBorder="1" applyAlignment="1">
      <alignment horizontal="right"/>
    </xf>
    <xf numFmtId="0" fontId="29" fillId="0" borderId="76" xfId="0" applyFont="1" applyBorder="1" applyAlignment="1">
      <alignment horizontal="right"/>
    </xf>
    <xf numFmtId="1" fontId="29" fillId="6" borderId="443" xfId="0" applyNumberFormat="1" applyFont="1" applyFill="1" applyBorder="1" applyProtection="1">
      <protection locked="0"/>
    </xf>
    <xf numFmtId="0" fontId="45" fillId="11" borderId="14" xfId="0" applyFont="1" applyFill="1" applyBorder="1" applyAlignment="1">
      <alignment wrapText="1"/>
    </xf>
    <xf numFmtId="0" fontId="29" fillId="0" borderId="18" xfId="0" applyFont="1" applyBorder="1" applyAlignment="1">
      <alignment horizontal="center" vertical="center" wrapText="1"/>
    </xf>
    <xf numFmtId="0" fontId="29" fillId="0" borderId="15" xfId="0" applyFont="1" applyBorder="1" applyAlignment="1">
      <alignment horizontal="center" vertical="center" wrapText="1"/>
    </xf>
    <xf numFmtId="0" fontId="29" fillId="0" borderId="18" xfId="0" applyFont="1" applyBorder="1" applyAlignment="1">
      <alignment vertical="center"/>
    </xf>
    <xf numFmtId="0" fontId="29" fillId="15" borderId="6" xfId="0" applyFont="1" applyFill="1" applyBorder="1" applyAlignment="1">
      <alignment vertical="center"/>
    </xf>
    <xf numFmtId="0" fontId="29" fillId="15" borderId="8" xfId="0" applyFont="1" applyFill="1" applyBorder="1" applyAlignment="1">
      <alignment vertical="center"/>
    </xf>
    <xf numFmtId="0" fontId="29" fillId="15" borderId="20" xfId="0" applyFont="1" applyFill="1" applyBorder="1" applyAlignment="1">
      <alignment vertical="center"/>
    </xf>
    <xf numFmtId="0" fontId="29" fillId="15" borderId="135" xfId="0" applyFont="1" applyFill="1" applyBorder="1" applyAlignment="1">
      <alignment horizontal="center" vertical="center" wrapText="1"/>
    </xf>
    <xf numFmtId="0" fontId="29" fillId="15" borderId="2" xfId="0" applyFont="1" applyFill="1" applyBorder="1" applyAlignment="1">
      <alignment horizontal="center" vertical="center" wrapText="1"/>
    </xf>
    <xf numFmtId="0" fontId="29" fillId="0" borderId="37" xfId="0" applyFont="1" applyBorder="1" applyAlignment="1">
      <alignment wrapText="1"/>
    </xf>
    <xf numFmtId="0" fontId="29" fillId="0" borderId="15" xfId="0" applyFont="1" applyBorder="1" applyAlignment="1">
      <alignment wrapText="1"/>
    </xf>
    <xf numFmtId="1" fontId="29" fillId="6" borderId="156" xfId="0" applyNumberFormat="1" applyFont="1" applyFill="1" applyBorder="1" applyAlignment="1" applyProtection="1">
      <alignment horizontal="right"/>
      <protection locked="0"/>
    </xf>
    <xf numFmtId="0" fontId="29" fillId="0" borderId="19" xfId="0" applyFont="1" applyBorder="1" applyAlignment="1">
      <alignment vertical="center"/>
    </xf>
    <xf numFmtId="0" fontId="29" fillId="15" borderId="16" xfId="0" applyFont="1" applyFill="1" applyBorder="1" applyAlignment="1">
      <alignment vertical="center"/>
    </xf>
    <xf numFmtId="1" fontId="29" fillId="15" borderId="156" xfId="0" applyNumberFormat="1" applyFont="1" applyFill="1" applyBorder="1"/>
    <xf numFmtId="1" fontId="29" fillId="15" borderId="130" xfId="0" applyNumberFormat="1" applyFont="1" applyFill="1" applyBorder="1"/>
    <xf numFmtId="0" fontId="29" fillId="0" borderId="15" xfId="0" applyFont="1" applyBorder="1" applyAlignment="1">
      <alignment vertical="center"/>
    </xf>
    <xf numFmtId="0" fontId="0" fillId="0" borderId="2" xfId="0" applyBorder="1" applyAlignment="1">
      <alignment horizontal="center" vertical="center" wrapText="1"/>
    </xf>
    <xf numFmtId="1" fontId="29" fillId="6" borderId="296" xfId="0" applyNumberFormat="1" applyFont="1" applyFill="1" applyBorder="1" applyAlignment="1" applyProtection="1">
      <alignment horizontal="right"/>
      <protection locked="0"/>
    </xf>
    <xf numFmtId="1" fontId="29" fillId="6" borderId="298" xfId="0" applyNumberFormat="1" applyFont="1" applyFill="1" applyBorder="1" applyAlignment="1" applyProtection="1">
      <alignment horizontal="right"/>
      <protection locked="0"/>
    </xf>
    <xf numFmtId="0" fontId="29" fillId="0" borderId="29" xfId="0" applyFont="1" applyBorder="1" applyAlignment="1">
      <alignment horizontal="center" vertical="center"/>
    </xf>
    <xf numFmtId="0" fontId="48" fillId="0" borderId="2" xfId="0" applyFont="1" applyBorder="1" applyAlignment="1">
      <alignment wrapText="1"/>
    </xf>
    <xf numFmtId="1" fontId="29" fillId="6" borderId="290" xfId="0" applyNumberFormat="1" applyFont="1" applyFill="1" applyBorder="1" applyAlignment="1" applyProtection="1">
      <alignment horizontal="right"/>
      <protection locked="0"/>
    </xf>
    <xf numFmtId="1" fontId="29" fillId="6" borderId="292" xfId="0" applyNumberFormat="1" applyFont="1" applyFill="1" applyBorder="1" applyAlignment="1" applyProtection="1">
      <alignment horizontal="right"/>
      <protection locked="0"/>
    </xf>
    <xf numFmtId="1" fontId="29" fillId="0" borderId="99" xfId="0" applyNumberFormat="1" applyFont="1" applyBorder="1" applyAlignment="1">
      <alignment horizontal="right"/>
    </xf>
    <xf numFmtId="1" fontId="29" fillId="0" borderId="51" xfId="0" applyNumberFormat="1" applyFont="1" applyBorder="1" applyAlignment="1">
      <alignment horizontal="right"/>
    </xf>
    <xf numFmtId="1" fontId="29" fillId="6" borderId="76" xfId="0" applyNumberFormat="1" applyFont="1" applyFill="1" applyBorder="1" applyAlignment="1" applyProtection="1">
      <alignment horizontal="right"/>
      <protection locked="0"/>
    </xf>
    <xf numFmtId="1" fontId="29" fillId="0" borderId="63" xfId="0" applyNumberFormat="1" applyFont="1" applyBorder="1" applyAlignment="1">
      <alignment horizontal="right"/>
    </xf>
    <xf numFmtId="0" fontId="55" fillId="0" borderId="2" xfId="0" applyFont="1" applyBorder="1" applyAlignment="1">
      <alignment horizontal="center" vertical="center" wrapText="1"/>
    </xf>
    <xf numFmtId="0" fontId="29" fillId="0" borderId="28" xfId="0" applyFont="1" applyBorder="1" applyAlignment="1">
      <alignment horizontal="center" vertical="center"/>
    </xf>
    <xf numFmtId="0" fontId="29" fillId="0" borderId="2" xfId="0" applyFont="1" applyBorder="1" applyAlignment="1">
      <alignment vertical="center" wrapText="1"/>
    </xf>
    <xf numFmtId="0" fontId="29" fillId="15" borderId="6" xfId="0" applyFont="1" applyFill="1" applyBorder="1" applyAlignment="1">
      <alignment horizontal="center" vertical="center"/>
    </xf>
    <xf numFmtId="0" fontId="29" fillId="15" borderId="8" xfId="0" applyFont="1" applyFill="1" applyBorder="1" applyAlignment="1">
      <alignment horizontal="center" vertical="center"/>
    </xf>
    <xf numFmtId="0" fontId="29" fillId="15" borderId="20" xfId="0" applyFont="1" applyFill="1" applyBorder="1" applyAlignment="1">
      <alignment horizontal="center" vertical="center"/>
    </xf>
    <xf numFmtId="0" fontId="29" fillId="15" borderId="8" xfId="0" applyFont="1" applyFill="1" applyBorder="1" applyAlignment="1">
      <alignment horizontal="center" vertical="center" wrapText="1"/>
    </xf>
    <xf numFmtId="1" fontId="29" fillId="6" borderId="138" xfId="0" applyNumberFormat="1" applyFont="1" applyFill="1" applyBorder="1" applyAlignment="1" applyProtection="1">
      <alignment horizontal="right"/>
      <protection locked="0"/>
    </xf>
    <xf numFmtId="1" fontId="29" fillId="11" borderId="62" xfId="0" applyNumberFormat="1" applyFont="1" applyFill="1" applyBorder="1" applyAlignment="1">
      <alignment horizontal="right"/>
    </xf>
    <xf numFmtId="0" fontId="29" fillId="0" borderId="15" xfId="0" applyFont="1" applyBorder="1" applyAlignment="1">
      <alignment vertical="center" wrapText="1"/>
    </xf>
    <xf numFmtId="0" fontId="29" fillId="15" borderId="14" xfId="0" applyFont="1" applyFill="1" applyBorder="1" applyAlignment="1">
      <alignment horizontal="right" vertical="center"/>
    </xf>
    <xf numFmtId="1" fontId="29" fillId="15" borderId="76" xfId="0" applyNumberFormat="1" applyFont="1" applyFill="1" applyBorder="1" applyAlignment="1">
      <alignment horizontal="right"/>
    </xf>
    <xf numFmtId="1" fontId="29" fillId="15" borderId="32" xfId="0" applyNumberFormat="1" applyFont="1" applyFill="1" applyBorder="1" applyAlignment="1">
      <alignment horizontal="right"/>
    </xf>
    <xf numFmtId="1" fontId="29" fillId="15" borderId="156" xfId="0" applyNumberFormat="1" applyFont="1" applyFill="1" applyBorder="1" applyAlignment="1">
      <alignment horizontal="right"/>
    </xf>
    <xf numFmtId="1" fontId="29" fillId="15" borderId="14" xfId="0" applyNumberFormat="1" applyFont="1" applyFill="1" applyBorder="1" applyAlignment="1">
      <alignment horizontal="right"/>
    </xf>
    <xf numFmtId="1" fontId="29" fillId="15" borderId="15" xfId="0" applyNumberFormat="1" applyFont="1" applyFill="1" applyBorder="1" applyAlignment="1">
      <alignment horizontal="right"/>
    </xf>
    <xf numFmtId="1" fontId="29" fillId="15" borderId="130" xfId="0" applyNumberFormat="1" applyFont="1" applyFill="1" applyBorder="1" applyAlignment="1">
      <alignment horizontal="right"/>
    </xf>
    <xf numFmtId="1" fontId="29" fillId="11" borderId="36" xfId="0" applyNumberFormat="1" applyFont="1" applyFill="1" applyBorder="1" applyAlignment="1">
      <alignment horizontal="right"/>
    </xf>
    <xf numFmtId="0" fontId="29" fillId="0" borderId="7" xfId="0" applyFont="1" applyBorder="1" applyAlignment="1">
      <alignment vertical="center" wrapText="1"/>
    </xf>
    <xf numFmtId="0" fontId="29" fillId="15" borderId="6" xfId="0" applyFont="1" applyFill="1" applyBorder="1" applyAlignment="1">
      <alignment horizontal="center"/>
    </xf>
    <xf numFmtId="0" fontId="29" fillId="15" borderId="28" xfId="0" applyFont="1" applyFill="1" applyBorder="1" applyAlignment="1">
      <alignment horizontal="center" vertical="center"/>
    </xf>
    <xf numFmtId="1" fontId="29" fillId="11" borderId="63" xfId="0" applyNumberFormat="1" applyFont="1" applyFill="1" applyBorder="1" applyAlignment="1">
      <alignment horizontal="right"/>
    </xf>
    <xf numFmtId="1" fontId="29" fillId="6" borderId="48" xfId="0" applyNumberFormat="1" applyFont="1" applyFill="1" applyBorder="1" applyAlignment="1" applyProtection="1">
      <alignment horizontal="right"/>
      <protection locked="0"/>
    </xf>
    <xf numFmtId="0" fontId="29" fillId="0" borderId="51" xfId="0" applyFont="1" applyBorder="1" applyAlignment="1">
      <alignment vertical="top" wrapText="1"/>
    </xf>
    <xf numFmtId="1" fontId="29" fillId="11" borderId="51" xfId="0" applyNumberFormat="1" applyFont="1" applyFill="1" applyBorder="1" applyAlignment="1">
      <alignment horizontal="right"/>
    </xf>
    <xf numFmtId="1" fontId="29" fillId="15" borderId="16" xfId="0" applyNumberFormat="1" applyFont="1" applyFill="1" applyBorder="1" applyAlignment="1">
      <alignment horizontal="right"/>
    </xf>
    <xf numFmtId="1" fontId="29" fillId="15" borderId="92" xfId="0" applyNumberFormat="1" applyFont="1" applyFill="1" applyBorder="1" applyAlignment="1">
      <alignment horizontal="right"/>
    </xf>
    <xf numFmtId="0" fontId="29" fillId="0" borderId="37" xfId="0" applyFont="1" applyBorder="1" applyAlignment="1">
      <alignment horizontal="left" vertical="center" wrapText="1"/>
    </xf>
    <xf numFmtId="0" fontId="29" fillId="0" borderId="99" xfId="0" applyFont="1" applyBorder="1" applyAlignment="1">
      <alignment horizontal="left" vertical="center" wrapText="1"/>
    </xf>
    <xf numFmtId="3" fontId="29" fillId="0" borderId="99" xfId="0" applyNumberFormat="1" applyFont="1" applyBorder="1" applyAlignment="1">
      <alignment horizontal="right" wrapText="1"/>
    </xf>
    <xf numFmtId="0" fontId="29" fillId="0" borderId="99" xfId="0" applyFont="1" applyBorder="1" applyAlignment="1">
      <alignment horizontal="right"/>
    </xf>
    <xf numFmtId="0" fontId="29" fillId="0" borderId="15" xfId="0" applyFont="1" applyBorder="1" applyAlignment="1">
      <alignment horizontal="left" vertical="center" wrapText="1"/>
    </xf>
    <xf numFmtId="0" fontId="29" fillId="0" borderId="51" xfId="0" applyFont="1" applyBorder="1" applyAlignment="1">
      <alignment horizontal="right"/>
    </xf>
    <xf numFmtId="0" fontId="29" fillId="0" borderId="11" xfId="0" applyFont="1" applyBorder="1" applyAlignment="1">
      <alignment horizontal="center"/>
    </xf>
    <xf numFmtId="1" fontId="29" fillId="0" borderId="99" xfId="0" applyNumberFormat="1" applyFont="1" applyBorder="1" applyAlignment="1">
      <alignment horizontal="right" vertical="center" wrapText="1"/>
    </xf>
    <xf numFmtId="0" fontId="29" fillId="0" borderId="15" xfId="0" applyFont="1" applyBorder="1" applyAlignment="1">
      <alignment horizontal="right"/>
    </xf>
    <xf numFmtId="0" fontId="29" fillId="0" borderId="64" xfId="0" applyFont="1" applyBorder="1" applyAlignment="1">
      <alignment horizontal="right" wrapText="1"/>
    </xf>
    <xf numFmtId="0" fontId="29" fillId="0" borderId="65" xfId="0" applyFont="1" applyBorder="1" applyAlignment="1">
      <alignment horizontal="right" wrapText="1"/>
    </xf>
    <xf numFmtId="1" fontId="33" fillId="20" borderId="0" xfId="0" applyNumberFormat="1" applyFont="1" applyFill="1" applyAlignment="1">
      <alignment wrapText="1"/>
    </xf>
    <xf numFmtId="1" fontId="33" fillId="45" borderId="0" xfId="0" applyNumberFormat="1" applyFont="1" applyFill="1"/>
    <xf numFmtId="1" fontId="0" fillId="7" borderId="0" xfId="0" applyNumberFormat="1" applyFill="1" applyProtection="1">
      <protection locked="0"/>
    </xf>
    <xf numFmtId="1" fontId="29" fillId="0" borderId="138" xfId="0" applyNumberFormat="1" applyFont="1" applyBorder="1" applyAlignment="1">
      <alignment horizontal="right"/>
    </xf>
    <xf numFmtId="1" fontId="29" fillId="6" borderId="27" xfId="0" applyNumberFormat="1" applyFont="1" applyFill="1" applyBorder="1" applyAlignment="1" applyProtection="1">
      <alignment horizontal="right"/>
      <protection locked="0"/>
    </xf>
    <xf numFmtId="1" fontId="29" fillId="6" borderId="108" xfId="0" applyNumberFormat="1" applyFont="1" applyFill="1" applyBorder="1" applyAlignment="1" applyProtection="1">
      <alignment horizontal="right"/>
      <protection locked="0"/>
    </xf>
    <xf numFmtId="1" fontId="29" fillId="6" borderId="323" xfId="0" applyNumberFormat="1" applyFont="1" applyFill="1" applyBorder="1" applyAlignment="1" applyProtection="1">
      <alignment horizontal="right"/>
      <protection locked="0"/>
    </xf>
    <xf numFmtId="1" fontId="29" fillId="6" borderId="158" xfId="0" applyNumberFormat="1" applyFont="1" applyFill="1" applyBorder="1" applyAlignment="1" applyProtection="1">
      <alignment horizontal="right"/>
      <protection locked="0"/>
    </xf>
    <xf numFmtId="1" fontId="29" fillId="15" borderId="89" xfId="0" applyNumberFormat="1" applyFont="1" applyFill="1" applyBorder="1" applyAlignment="1">
      <alignment horizontal="right"/>
    </xf>
    <xf numFmtId="1" fontId="29" fillId="6" borderId="128" xfId="0" applyNumberFormat="1" applyFont="1" applyFill="1" applyBorder="1" applyAlignment="1" applyProtection="1">
      <alignment horizontal="right"/>
      <protection locked="0"/>
    </xf>
    <xf numFmtId="1" fontId="29" fillId="0" borderId="140" xfId="0" applyNumberFormat="1" applyFont="1" applyBorder="1" applyAlignment="1">
      <alignment horizontal="right"/>
    </xf>
    <xf numFmtId="1" fontId="29" fillId="15" borderId="128" xfId="0" applyNumberFormat="1" applyFont="1" applyFill="1" applyBorder="1" applyAlignment="1">
      <alignment horizontal="right"/>
    </xf>
    <xf numFmtId="1" fontId="29" fillId="0" borderId="140" xfId="0" applyNumberFormat="1" applyFont="1" applyBorder="1" applyAlignment="1">
      <alignment horizontal="right" wrapText="1"/>
    </xf>
    <xf numFmtId="1" fontId="29" fillId="6" borderId="168" xfId="0" applyNumberFormat="1" applyFont="1" applyFill="1" applyBorder="1" applyAlignment="1" applyProtection="1">
      <alignment horizontal="right"/>
      <protection locked="0"/>
    </xf>
    <xf numFmtId="1" fontId="29" fillId="6" borderId="73" xfId="0" applyNumberFormat="1" applyFont="1" applyFill="1" applyBorder="1" applyAlignment="1" applyProtection="1">
      <alignment horizontal="right"/>
      <protection locked="0"/>
    </xf>
    <xf numFmtId="1" fontId="29" fillId="0" borderId="74" xfId="0" applyNumberFormat="1" applyFont="1" applyBorder="1" applyAlignment="1">
      <alignment horizontal="right"/>
    </xf>
    <xf numFmtId="1" fontId="29" fillId="0" borderId="197" xfId="0" applyNumberFormat="1" applyFont="1" applyBorder="1" applyAlignment="1">
      <alignment horizontal="right"/>
    </xf>
    <xf numFmtId="1" fontId="29" fillId="6" borderId="13" xfId="0" applyNumberFormat="1" applyFont="1" applyFill="1" applyBorder="1" applyAlignment="1" applyProtection="1">
      <alignment horizontal="right"/>
      <protection locked="0"/>
    </xf>
    <xf numFmtId="1" fontId="29" fillId="0" borderId="61" xfId="0" applyNumberFormat="1" applyFont="1" applyBorder="1" applyAlignment="1">
      <alignment horizontal="right"/>
    </xf>
    <xf numFmtId="1" fontId="29" fillId="6" borderId="127" xfId="0" applyNumberFormat="1" applyFont="1" applyFill="1" applyBorder="1" applyAlignment="1" applyProtection="1">
      <alignment horizontal="right"/>
      <protection locked="0"/>
    </xf>
    <xf numFmtId="1" fontId="29" fillId="15" borderId="127" xfId="0" applyNumberFormat="1" applyFont="1" applyFill="1" applyBorder="1" applyAlignment="1">
      <alignment horizontal="right"/>
    </xf>
    <xf numFmtId="1" fontId="29" fillId="14" borderId="27" xfId="0" applyNumberFormat="1" applyFont="1" applyFill="1" applyBorder="1" applyAlignment="1">
      <alignment horizontal="right"/>
    </xf>
    <xf numFmtId="1" fontId="29" fillId="6" borderId="132" xfId="0" applyNumberFormat="1" applyFont="1" applyFill="1" applyBorder="1" applyAlignment="1" applyProtection="1">
      <alignment horizontal="right"/>
      <protection locked="0"/>
    </xf>
    <xf numFmtId="1" fontId="29" fillId="6" borderId="166" xfId="0" applyNumberFormat="1" applyFont="1" applyFill="1" applyBorder="1" applyAlignment="1" applyProtection="1">
      <alignment horizontal="right"/>
      <protection locked="0"/>
    </xf>
    <xf numFmtId="1" fontId="29" fillId="14" borderId="71" xfId="0" applyNumberFormat="1" applyFont="1" applyFill="1" applyBorder="1" applyAlignment="1">
      <alignment horizontal="right"/>
    </xf>
    <xf numFmtId="1" fontId="29" fillId="14" borderId="171" xfId="0" applyNumberFormat="1" applyFont="1" applyFill="1" applyBorder="1" applyAlignment="1">
      <alignment horizontal="right"/>
    </xf>
    <xf numFmtId="1" fontId="29" fillId="14" borderId="36" xfId="0" applyNumberFormat="1" applyFont="1" applyFill="1" applyBorder="1" applyAlignment="1">
      <alignment horizontal="right"/>
    </xf>
    <xf numFmtId="1" fontId="29" fillId="6" borderId="16" xfId="0" applyNumberFormat="1" applyFont="1" applyFill="1" applyBorder="1" applyAlignment="1" applyProtection="1">
      <alignment horizontal="right"/>
      <protection locked="0"/>
    </xf>
    <xf numFmtId="1" fontId="29" fillId="15" borderId="166" xfId="0" applyNumberFormat="1" applyFont="1" applyFill="1" applyBorder="1" applyAlignment="1">
      <alignment horizontal="right"/>
    </xf>
    <xf numFmtId="1" fontId="29" fillId="6" borderId="142" xfId="0" applyNumberFormat="1" applyFont="1" applyFill="1" applyBorder="1" applyAlignment="1" applyProtection="1">
      <alignment horizontal="right"/>
      <protection locked="0"/>
    </xf>
    <xf numFmtId="1" fontId="29" fillId="6" borderId="18" xfId="0" applyNumberFormat="1" applyFont="1" applyFill="1" applyBorder="1" applyAlignment="1" applyProtection="1">
      <alignment horizontal="right"/>
      <protection locked="0"/>
    </xf>
    <xf numFmtId="1" fontId="0" fillId="46" borderId="0" xfId="0" applyNumberFormat="1" applyFill="1"/>
    <xf numFmtId="1" fontId="29" fillId="0" borderId="69" xfId="0" applyNumberFormat="1" applyFont="1" applyBorder="1" applyAlignment="1">
      <alignment horizontal="right"/>
    </xf>
    <xf numFmtId="1" fontId="29" fillId="6" borderId="86" xfId="0" applyNumberFormat="1" applyFont="1" applyFill="1" applyBorder="1" applyAlignment="1" applyProtection="1">
      <alignment horizontal="right"/>
      <protection locked="0"/>
    </xf>
    <xf numFmtId="1" fontId="29" fillId="14" borderId="62" xfId="0" applyNumberFormat="1" applyFont="1" applyFill="1" applyBorder="1" applyAlignment="1">
      <alignment horizontal="right"/>
    </xf>
    <xf numFmtId="1" fontId="29" fillId="14" borderId="89" xfId="0" applyNumberFormat="1" applyFont="1" applyFill="1" applyBorder="1" applyAlignment="1">
      <alignment horizontal="right"/>
    </xf>
    <xf numFmtId="1" fontId="29" fillId="14" borderId="128" xfId="0" applyNumberFormat="1" applyFont="1" applyFill="1" applyBorder="1" applyAlignment="1">
      <alignment horizontal="right"/>
    </xf>
    <xf numFmtId="1" fontId="29" fillId="14" borderId="167" xfId="0" applyNumberFormat="1" applyFont="1" applyFill="1" applyBorder="1" applyAlignment="1">
      <alignment horizontal="right"/>
    </xf>
    <xf numFmtId="1" fontId="29" fillId="14" borderId="168" xfId="0" applyNumberFormat="1" applyFont="1" applyFill="1" applyBorder="1" applyAlignment="1">
      <alignment horizontal="right"/>
    </xf>
    <xf numFmtId="1" fontId="29" fillId="14" borderId="73" xfId="0" applyNumberFormat="1" applyFont="1" applyFill="1" applyBorder="1" applyAlignment="1">
      <alignment horizontal="right"/>
    </xf>
    <xf numFmtId="1" fontId="29" fillId="14" borderId="127" xfId="0" applyNumberFormat="1" applyFont="1" applyFill="1" applyBorder="1" applyAlignment="1">
      <alignment horizontal="right"/>
    </xf>
    <xf numFmtId="1" fontId="29" fillId="6" borderId="74" xfId="0" applyNumberFormat="1" applyFont="1" applyFill="1" applyBorder="1" applyAlignment="1" applyProtection="1">
      <alignment horizontal="right"/>
      <protection locked="0"/>
    </xf>
    <xf numFmtId="1" fontId="29" fillId="6" borderId="19" xfId="0" applyNumberFormat="1" applyFont="1" applyFill="1" applyBorder="1" applyAlignment="1" applyProtection="1">
      <alignment horizontal="right"/>
      <protection locked="0"/>
    </xf>
    <xf numFmtId="1" fontId="29" fillId="14" borderId="158" xfId="0" applyNumberFormat="1" applyFont="1" applyFill="1" applyBorder="1" applyAlignment="1">
      <alignment horizontal="right"/>
    </xf>
    <xf numFmtId="1" fontId="29" fillId="15" borderId="71" xfId="0" applyNumberFormat="1" applyFont="1" applyFill="1" applyBorder="1" applyAlignment="1">
      <alignment horizontal="right"/>
    </xf>
    <xf numFmtId="1" fontId="29" fillId="15" borderId="167" xfId="0" applyNumberFormat="1" applyFont="1" applyFill="1" applyBorder="1" applyAlignment="1">
      <alignment horizontal="right"/>
    </xf>
    <xf numFmtId="1" fontId="0" fillId="17" borderId="0" xfId="0" applyNumberFormat="1" applyFill="1"/>
    <xf numFmtId="1" fontId="29" fillId="14" borderId="72" xfId="0" applyNumberFormat="1" applyFont="1" applyFill="1" applyBorder="1" applyAlignment="1">
      <alignment horizontal="right"/>
    </xf>
    <xf numFmtId="1" fontId="29" fillId="0" borderId="168" xfId="0" applyNumberFormat="1" applyFont="1" applyBorder="1"/>
    <xf numFmtId="1" fontId="29" fillId="14" borderId="53" xfId="0" applyNumberFormat="1" applyFont="1" applyFill="1" applyBorder="1" applyAlignment="1">
      <alignment horizontal="right"/>
    </xf>
    <xf numFmtId="1" fontId="29" fillId="15" borderId="52" xfId="0" applyNumberFormat="1" applyFont="1" applyFill="1" applyBorder="1" applyAlignment="1">
      <alignment horizontal="right"/>
    </xf>
    <xf numFmtId="1" fontId="29" fillId="15" borderId="121" xfId="0" applyNumberFormat="1" applyFont="1" applyFill="1" applyBorder="1" applyAlignment="1">
      <alignment horizontal="right"/>
    </xf>
    <xf numFmtId="1" fontId="29" fillId="0" borderId="197" xfId="0" applyNumberFormat="1" applyFont="1" applyBorder="1"/>
    <xf numFmtId="1" fontId="29" fillId="0" borderId="61" xfId="0" applyNumberFormat="1" applyFont="1" applyBorder="1"/>
    <xf numFmtId="1" fontId="29" fillId="0" borderId="89" xfId="0" applyNumberFormat="1" applyFont="1" applyBorder="1" applyAlignment="1">
      <alignment vertical="top" wrapText="1"/>
    </xf>
    <xf numFmtId="1" fontId="29" fillId="15" borderId="38" xfId="0" applyNumberFormat="1" applyFont="1" applyFill="1" applyBorder="1" applyAlignment="1">
      <alignment horizontal="right"/>
    </xf>
    <xf numFmtId="1" fontId="29" fillId="15" borderId="138" xfId="0" applyNumberFormat="1" applyFont="1" applyFill="1" applyBorder="1" applyAlignment="1">
      <alignment horizontal="right"/>
    </xf>
    <xf numFmtId="1" fontId="29" fillId="6" borderId="75" xfId="0" applyNumberFormat="1" applyFont="1" applyFill="1" applyBorder="1" applyAlignment="1" applyProtection="1">
      <alignment horizontal="right"/>
      <protection locked="0"/>
    </xf>
    <xf numFmtId="1" fontId="29" fillId="15" borderId="42" xfId="0" applyNumberFormat="1" applyFont="1" applyFill="1" applyBorder="1" applyAlignment="1">
      <alignment horizontal="right"/>
    </xf>
    <xf numFmtId="1" fontId="29" fillId="0" borderId="72" xfId="0" applyNumberFormat="1" applyFont="1" applyBorder="1" applyAlignment="1">
      <alignment horizontal="right"/>
    </xf>
    <xf numFmtId="1" fontId="29" fillId="14" borderId="197" xfId="0" applyNumberFormat="1" applyFont="1" applyFill="1" applyBorder="1" applyAlignment="1">
      <alignment horizontal="right"/>
    </xf>
    <xf numFmtId="1" fontId="29" fillId="14" borderId="169" xfId="0" applyNumberFormat="1" applyFont="1" applyFill="1" applyBorder="1" applyAlignment="1">
      <alignment horizontal="right"/>
    </xf>
    <xf numFmtId="1" fontId="29" fillId="15" borderId="168" xfId="0" applyNumberFormat="1" applyFont="1" applyFill="1" applyBorder="1" applyAlignment="1">
      <alignment horizontal="right"/>
    </xf>
    <xf numFmtId="1" fontId="29" fillId="15" borderId="197" xfId="0" applyNumberFormat="1" applyFont="1" applyFill="1" applyBorder="1" applyAlignment="1">
      <alignment horizontal="right"/>
    </xf>
    <xf numFmtId="1" fontId="29" fillId="15" borderId="169" xfId="0" applyNumberFormat="1" applyFont="1" applyFill="1" applyBorder="1" applyAlignment="1">
      <alignment horizontal="right"/>
    </xf>
    <xf numFmtId="1" fontId="29" fillId="15" borderId="73" xfId="0" applyNumberFormat="1" applyFont="1" applyFill="1" applyBorder="1" applyAlignment="1">
      <alignment horizontal="right"/>
    </xf>
    <xf numFmtId="1" fontId="0" fillId="46" borderId="0" xfId="0" applyNumberFormat="1" applyFill="1" applyProtection="1">
      <protection locked="0"/>
    </xf>
    <xf numFmtId="1" fontId="0" fillId="10" borderId="0" xfId="0" applyNumberFormat="1" applyFill="1" applyProtection="1">
      <protection locked="0"/>
    </xf>
    <xf numFmtId="1" fontId="29" fillId="14" borderId="99" xfId="0" applyNumberFormat="1" applyFont="1" applyFill="1" applyBorder="1" applyAlignment="1">
      <alignment horizontal="right"/>
    </xf>
    <xf numFmtId="1" fontId="29" fillId="6" borderId="9" xfId="0" applyNumberFormat="1" applyFont="1" applyFill="1" applyBorder="1" applyAlignment="1" applyProtection="1">
      <alignment horizontal="right"/>
      <protection locked="0"/>
    </xf>
    <xf numFmtId="1" fontId="29" fillId="6" borderId="23" xfId="0" applyNumberFormat="1" applyFont="1" applyFill="1" applyBorder="1" applyAlignment="1" applyProtection="1">
      <alignment horizontal="right"/>
      <protection locked="0"/>
    </xf>
    <xf numFmtId="1" fontId="31" fillId="7" borderId="9" xfId="0" applyNumberFormat="1" applyFont="1" applyFill="1" applyBorder="1" applyAlignment="1">
      <alignment horizontal="left"/>
    </xf>
    <xf numFmtId="1" fontId="29" fillId="0" borderId="18" xfId="0" applyNumberFormat="1" applyFont="1" applyBorder="1" applyAlignment="1">
      <alignment horizontal="right"/>
    </xf>
    <xf numFmtId="1" fontId="29" fillId="6" borderId="381" xfId="0" applyNumberFormat="1" applyFont="1" applyFill="1" applyBorder="1" applyAlignment="1" applyProtection="1">
      <alignment horizontal="right"/>
      <protection locked="0"/>
    </xf>
    <xf numFmtId="1" fontId="29" fillId="0" borderId="86" xfId="0" applyNumberFormat="1" applyFont="1" applyBorder="1" applyAlignment="1">
      <alignment horizontal="right"/>
    </xf>
    <xf numFmtId="1" fontId="29" fillId="6" borderId="297" xfId="0" applyNumberFormat="1" applyFont="1" applyFill="1" applyBorder="1" applyAlignment="1" applyProtection="1">
      <alignment horizontal="right"/>
      <protection locked="0"/>
    </xf>
    <xf numFmtId="1" fontId="29" fillId="0" borderId="19" xfId="0" applyNumberFormat="1" applyFont="1" applyBorder="1" applyAlignment="1">
      <alignment horizontal="right"/>
    </xf>
    <xf numFmtId="1" fontId="29" fillId="6" borderId="32" xfId="0" applyNumberFormat="1" applyFont="1" applyFill="1" applyBorder="1" applyAlignment="1" applyProtection="1">
      <alignment horizontal="right"/>
      <protection locked="0"/>
    </xf>
    <xf numFmtId="1" fontId="29" fillId="6" borderId="122" xfId="0" applyNumberFormat="1" applyFont="1" applyFill="1" applyBorder="1" applyAlignment="1" applyProtection="1">
      <alignment horizontal="right"/>
      <protection locked="0"/>
    </xf>
    <xf numFmtId="1" fontId="29" fillId="6" borderId="382" xfId="0" applyNumberFormat="1" applyFont="1" applyFill="1" applyBorder="1" applyAlignment="1" applyProtection="1">
      <alignment horizontal="right"/>
      <protection locked="0"/>
    </xf>
    <xf numFmtId="1" fontId="29" fillId="0" borderId="37" xfId="0" applyNumberFormat="1" applyFont="1" applyBorder="1" applyAlignment="1">
      <alignment horizontal="right"/>
    </xf>
    <xf numFmtId="1" fontId="29" fillId="6" borderId="383" xfId="0" applyNumberFormat="1" applyFont="1" applyFill="1" applyBorder="1" applyAlignment="1" applyProtection="1">
      <alignment horizontal="right"/>
      <protection locked="0"/>
    </xf>
    <xf numFmtId="1" fontId="29" fillId="47" borderId="40" xfId="0" applyNumberFormat="1" applyFont="1" applyFill="1" applyBorder="1" applyAlignment="1" applyProtection="1">
      <alignment horizontal="right"/>
      <protection locked="0"/>
    </xf>
    <xf numFmtId="1" fontId="29" fillId="47" borderId="41" xfId="0" applyNumberFormat="1" applyFont="1" applyFill="1" applyBorder="1" applyAlignment="1" applyProtection="1">
      <alignment horizontal="right"/>
      <protection locked="0"/>
    </xf>
    <xf numFmtId="1" fontId="29" fillId="47" borderId="112" xfId="0" applyNumberFormat="1" applyFont="1" applyFill="1" applyBorder="1" applyAlignment="1" applyProtection="1">
      <alignment horizontal="right"/>
      <protection locked="0"/>
    </xf>
    <xf numFmtId="1" fontId="29" fillId="47" borderId="41" xfId="0" applyNumberFormat="1" applyFont="1" applyFill="1" applyBorder="1" applyProtection="1">
      <protection locked="0"/>
    </xf>
    <xf numFmtId="1" fontId="29" fillId="47" borderId="98" xfId="0" applyNumberFormat="1" applyFont="1" applyFill="1" applyBorder="1" applyProtection="1">
      <protection locked="0"/>
    </xf>
    <xf numFmtId="1" fontId="29" fillId="0" borderId="18" xfId="0" applyNumberFormat="1" applyFont="1" applyBorder="1" applyAlignment="1">
      <alignment vertical="center" wrapText="1"/>
    </xf>
    <xf numFmtId="1" fontId="29" fillId="0" borderId="9" xfId="0" applyNumberFormat="1" applyFont="1" applyBorder="1" applyAlignment="1">
      <alignment horizontal="right"/>
    </xf>
    <xf numFmtId="1" fontId="29" fillId="0" borderId="86" xfId="0" applyNumberFormat="1" applyFont="1" applyBorder="1" applyAlignment="1">
      <alignment vertical="center" wrapText="1"/>
    </xf>
    <xf numFmtId="1" fontId="29" fillId="0" borderId="76" xfId="0" applyNumberFormat="1" applyFont="1" applyBorder="1" applyAlignment="1">
      <alignment horizontal="right"/>
    </xf>
    <xf numFmtId="1" fontId="29" fillId="0" borderId="17" xfId="0" applyNumberFormat="1" applyFont="1" applyBorder="1" applyAlignment="1">
      <alignment horizontal="right"/>
    </xf>
    <xf numFmtId="1" fontId="29" fillId="0" borderId="16" xfId="0" applyNumberFormat="1" applyFont="1" applyBorder="1" applyAlignment="1">
      <alignment horizontal="right"/>
    </xf>
    <xf numFmtId="1" fontId="29" fillId="0" borderId="127" xfId="0" applyNumberFormat="1" applyFont="1" applyBorder="1" applyAlignment="1">
      <alignment horizontal="right"/>
    </xf>
    <xf numFmtId="1" fontId="29" fillId="7" borderId="37" xfId="0" applyNumberFormat="1" applyFont="1" applyFill="1" applyBorder="1" applyAlignment="1">
      <alignment horizontal="right"/>
    </xf>
    <xf numFmtId="1" fontId="29" fillId="0" borderId="166" xfId="0" applyNumberFormat="1" applyFont="1" applyBorder="1" applyAlignment="1">
      <alignment vertical="center" wrapText="1"/>
    </xf>
    <xf numFmtId="1" fontId="29" fillId="7" borderId="166" xfId="0" applyNumberFormat="1" applyFont="1" applyFill="1" applyBorder="1" applyAlignment="1">
      <alignment horizontal="right"/>
    </xf>
    <xf numFmtId="1" fontId="29" fillId="0" borderId="127" xfId="0" applyNumberFormat="1" applyFont="1" applyBorder="1" applyAlignment="1">
      <alignment vertical="center" wrapText="1"/>
    </xf>
    <xf numFmtId="1" fontId="29" fillId="0" borderId="136" xfId="0" applyNumberFormat="1" applyFont="1" applyBorder="1" applyAlignment="1">
      <alignment horizontal="center" vertical="center"/>
    </xf>
    <xf numFmtId="1" fontId="29" fillId="7" borderId="6" xfId="0" applyNumberFormat="1" applyFont="1" applyFill="1" applyBorder="1" applyAlignment="1">
      <alignment horizontal="right"/>
    </xf>
    <xf numFmtId="1" fontId="29" fillId="7" borderId="10" xfId="0" applyNumberFormat="1" applyFont="1" applyFill="1" applyBorder="1" applyAlignment="1">
      <alignment horizontal="right"/>
    </xf>
    <xf numFmtId="1" fontId="29" fillId="7" borderId="12" xfId="0" applyNumberFormat="1" applyFont="1" applyFill="1" applyBorder="1" applyAlignment="1">
      <alignment horizontal="right"/>
    </xf>
    <xf numFmtId="1" fontId="29" fillId="7" borderId="28" xfId="0" applyNumberFormat="1" applyFont="1" applyFill="1" applyBorder="1" applyAlignment="1">
      <alignment horizontal="right"/>
    </xf>
    <xf numFmtId="1" fontId="29" fillId="7" borderId="136" xfId="0" applyNumberFormat="1" applyFont="1" applyFill="1" applyBorder="1" applyAlignment="1">
      <alignment horizontal="right"/>
    </xf>
    <xf numFmtId="1" fontId="29" fillId="7" borderId="2" xfId="0" applyNumberFormat="1" applyFont="1" applyFill="1" applyBorder="1" applyAlignment="1">
      <alignment horizontal="right"/>
    </xf>
    <xf numFmtId="1" fontId="29" fillId="0" borderId="166" xfId="0" applyNumberFormat="1" applyFont="1" applyBorder="1" applyAlignment="1">
      <alignment horizontal="right"/>
    </xf>
    <xf numFmtId="1" fontId="29" fillId="6" borderId="45" xfId="0" applyNumberFormat="1" applyFont="1" applyFill="1" applyBorder="1" applyAlignment="1" applyProtection="1">
      <alignment horizontal="right"/>
      <protection locked="0"/>
    </xf>
    <xf numFmtId="1" fontId="32" fillId="16" borderId="0" xfId="0" applyNumberFormat="1" applyFont="1" applyFill="1"/>
    <xf numFmtId="1" fontId="29" fillId="0" borderId="128" xfId="0" applyNumberFormat="1" applyFont="1" applyBorder="1" applyAlignment="1">
      <alignment horizontal="right"/>
    </xf>
    <xf numFmtId="0" fontId="0" fillId="0" borderId="8" xfId="0" applyBorder="1"/>
    <xf numFmtId="1" fontId="29" fillId="7" borderId="29" xfId="0" applyNumberFormat="1" applyFont="1" applyFill="1" applyBorder="1" applyAlignment="1">
      <alignment horizontal="right"/>
    </xf>
    <xf numFmtId="1" fontId="29" fillId="7" borderId="8" xfId="0" applyNumberFormat="1" applyFont="1" applyFill="1" applyBorder="1" applyAlignment="1">
      <alignment horizontal="right"/>
    </xf>
    <xf numFmtId="1" fontId="32" fillId="25" borderId="0" xfId="0" applyNumberFormat="1" applyFont="1" applyFill="1"/>
    <xf numFmtId="0" fontId="32" fillId="13" borderId="0" xfId="0" applyFont="1" applyFill="1"/>
    <xf numFmtId="1" fontId="29" fillId="0" borderId="63" xfId="0" applyNumberFormat="1" applyFont="1" applyBorder="1" applyAlignment="1">
      <alignment vertical="center" wrapText="1"/>
    </xf>
    <xf numFmtId="1" fontId="56" fillId="6" borderId="118" xfId="0" applyNumberFormat="1" applyFont="1" applyFill="1" applyBorder="1" applyAlignment="1" applyProtection="1">
      <alignment horizontal="left"/>
      <protection locked="0"/>
    </xf>
    <xf numFmtId="1" fontId="29" fillId="14" borderId="49" xfId="0" applyNumberFormat="1" applyFont="1" applyFill="1" applyBorder="1" applyAlignment="1">
      <alignment horizontal="right"/>
    </xf>
    <xf numFmtId="1" fontId="29" fillId="14" borderId="66" xfId="0" applyNumberFormat="1" applyFont="1" applyFill="1" applyBorder="1" applyAlignment="1">
      <alignment horizontal="right"/>
    </xf>
    <xf numFmtId="0" fontId="0" fillId="0" borderId="13" xfId="0" applyBorder="1"/>
    <xf numFmtId="1" fontId="29" fillId="6" borderId="557" xfId="0" applyNumberFormat="1" applyFont="1" applyFill="1" applyBorder="1" applyAlignment="1" applyProtection="1">
      <alignment horizontal="right"/>
      <protection locked="0"/>
    </xf>
    <xf numFmtId="1" fontId="29" fillId="6" borderId="598" xfId="0" applyNumberFormat="1" applyFont="1" applyFill="1" applyBorder="1" applyAlignment="1" applyProtection="1">
      <alignment horizontal="right"/>
      <protection locked="0"/>
    </xf>
    <xf numFmtId="1" fontId="29" fillId="6" borderId="272" xfId="0" applyNumberFormat="1" applyFont="1" applyFill="1" applyBorder="1" applyAlignment="1" applyProtection="1">
      <alignment horizontal="right"/>
      <protection locked="0"/>
    </xf>
    <xf numFmtId="1" fontId="29" fillId="0" borderId="2" xfId="0" applyNumberFormat="1" applyFont="1" applyBorder="1" applyAlignment="1">
      <alignment horizontal="center" wrapText="1"/>
    </xf>
    <xf numFmtId="1" fontId="29" fillId="0" borderId="28" xfId="0" applyNumberFormat="1" applyFont="1" applyBorder="1" applyAlignment="1">
      <alignment horizontal="right"/>
    </xf>
    <xf numFmtId="1" fontId="29" fillId="0" borderId="168" xfId="0" applyNumberFormat="1" applyFont="1" applyBorder="1" applyAlignment="1">
      <alignment wrapText="1"/>
    </xf>
    <xf numFmtId="1" fontId="29" fillId="6" borderId="30" xfId="0" applyNumberFormat="1" applyFont="1" applyFill="1" applyBorder="1" applyAlignment="1" applyProtection="1">
      <alignment horizontal="right"/>
      <protection locked="0"/>
    </xf>
    <xf numFmtId="0" fontId="29" fillId="0" borderId="31" xfId="0" applyFont="1" applyBorder="1" applyAlignment="1">
      <alignment horizontal="center" vertical="center" wrapText="1"/>
    </xf>
    <xf numFmtId="1" fontId="29" fillId="0" borderId="19" xfId="0" applyNumberFormat="1" applyFont="1" applyBorder="1" applyAlignment="1">
      <alignment wrapText="1"/>
    </xf>
    <xf numFmtId="1" fontId="29" fillId="6" borderId="212" xfId="0" applyNumberFormat="1" applyFont="1" applyFill="1" applyBorder="1" applyAlignment="1" applyProtection="1">
      <alignment horizontal="right"/>
      <protection locked="0"/>
    </xf>
    <xf numFmtId="1" fontId="29" fillId="6" borderId="87" xfId="0" applyNumberFormat="1" applyFont="1" applyFill="1" applyBorder="1" applyAlignment="1" applyProtection="1">
      <alignment horizontal="right"/>
      <protection locked="0"/>
    </xf>
    <xf numFmtId="1" fontId="29" fillId="6" borderId="0" xfId="0" applyNumberFormat="1" applyFont="1" applyFill="1" applyAlignment="1" applyProtection="1">
      <alignment horizontal="right"/>
      <protection locked="0"/>
    </xf>
    <xf numFmtId="1" fontId="29" fillId="6" borderId="213" xfId="0" applyNumberFormat="1" applyFont="1" applyFill="1" applyBorder="1" applyAlignment="1" applyProtection="1">
      <alignment horizontal="right"/>
      <protection locked="0"/>
    </xf>
    <xf numFmtId="1" fontId="29" fillId="6" borderId="123" xfId="0" applyNumberFormat="1" applyFont="1" applyFill="1" applyBorder="1" applyAlignment="1" applyProtection="1">
      <alignment horizontal="right"/>
      <protection locked="0"/>
    </xf>
    <xf numFmtId="1" fontId="29" fillId="0" borderId="20" xfId="0" applyNumberFormat="1" applyFont="1" applyBorder="1" applyAlignment="1">
      <alignment wrapText="1"/>
    </xf>
    <xf numFmtId="1" fontId="31" fillId="11" borderId="14" xfId="44" applyNumberFormat="1" applyFont="1" applyFill="1" applyBorder="1"/>
    <xf numFmtId="1" fontId="29" fillId="7" borderId="158" xfId="0" applyNumberFormat="1" applyFont="1" applyFill="1" applyBorder="1" applyAlignment="1">
      <alignment horizontal="center" vertical="center" wrapText="1"/>
    </xf>
    <xf numFmtId="1" fontId="29" fillId="7" borderId="31" xfId="0" applyNumberFormat="1" applyFont="1" applyFill="1" applyBorder="1" applyAlignment="1">
      <alignment horizontal="center" vertical="center" wrapText="1"/>
    </xf>
    <xf numFmtId="1" fontId="29" fillId="7" borderId="10" xfId="0" applyNumberFormat="1" applyFont="1" applyFill="1" applyBorder="1" applyAlignment="1">
      <alignment horizontal="center" vertical="center" wrapText="1"/>
    </xf>
    <xf numFmtId="1" fontId="29" fillId="7" borderId="11" xfId="0" applyNumberFormat="1" applyFont="1" applyFill="1" applyBorder="1" applyAlignment="1">
      <alignment horizontal="center" vertical="center" wrapText="1"/>
    </xf>
    <xf numFmtId="1" fontId="29" fillId="7" borderId="20" xfId="0" applyNumberFormat="1" applyFont="1" applyFill="1" applyBorder="1" applyAlignment="1">
      <alignment horizontal="center" vertical="center" wrapText="1"/>
    </xf>
    <xf numFmtId="1" fontId="29" fillId="7" borderId="29" xfId="0" applyNumberFormat="1" applyFont="1" applyFill="1" applyBorder="1" applyAlignment="1">
      <alignment horizontal="center" vertical="center" wrapText="1"/>
    </xf>
    <xf numFmtId="1" fontId="29" fillId="7" borderId="12" xfId="0" applyNumberFormat="1" applyFont="1" applyFill="1" applyBorder="1" applyAlignment="1">
      <alignment horizontal="center" vertical="center" wrapText="1"/>
    </xf>
    <xf numFmtId="1" fontId="29" fillId="7" borderId="2" xfId="0" applyNumberFormat="1" applyFont="1" applyFill="1" applyBorder="1" applyAlignment="1">
      <alignment horizontal="center" vertical="center"/>
    </xf>
    <xf numFmtId="1" fontId="29" fillId="7" borderId="10" xfId="0" applyNumberFormat="1" applyFont="1" applyFill="1" applyBorder="1" applyAlignment="1">
      <alignment horizontal="right" vertical="center"/>
    </xf>
    <xf numFmtId="2" fontId="29" fillId="7" borderId="29" xfId="0" applyNumberFormat="1" applyFont="1" applyFill="1" applyBorder="1" applyAlignment="1">
      <alignment horizontal="right" vertical="center"/>
    </xf>
    <xf numFmtId="2" fontId="29" fillId="7" borderId="11" xfId="0" applyNumberFormat="1" applyFont="1" applyFill="1" applyBorder="1" applyAlignment="1">
      <alignment horizontal="right" vertical="center"/>
    </xf>
    <xf numFmtId="2" fontId="29" fillId="7" borderId="7" xfId="0" applyNumberFormat="1" applyFont="1" applyFill="1" applyBorder="1" applyAlignment="1">
      <alignment horizontal="right" vertical="center"/>
    </xf>
    <xf numFmtId="2" fontId="29" fillId="7" borderId="10" xfId="0" applyNumberFormat="1" applyFont="1" applyFill="1" applyBorder="1" applyAlignment="1">
      <alignment horizontal="right" vertical="center"/>
    </xf>
    <xf numFmtId="2" fontId="29" fillId="7" borderId="20" xfId="0" applyNumberFormat="1" applyFont="1" applyFill="1" applyBorder="1" applyAlignment="1">
      <alignment horizontal="right" vertical="center"/>
    </xf>
    <xf numFmtId="2" fontId="29" fillId="7" borderId="12" xfId="0" applyNumberFormat="1" applyFont="1" applyFill="1" applyBorder="1" applyAlignment="1">
      <alignment horizontal="right" vertical="center"/>
    </xf>
    <xf numFmtId="1" fontId="29" fillId="7" borderId="63" xfId="0" applyNumberFormat="1" applyFont="1" applyFill="1" applyBorder="1" applyAlignment="1">
      <alignment horizontal="left" vertical="center"/>
    </xf>
    <xf numFmtId="1" fontId="29" fillId="6" borderId="371" xfId="146" applyNumberFormat="1" applyFont="1" applyBorder="1" applyAlignment="1" applyProtection="1">
      <alignment horizontal="right" vertical="center"/>
      <protection locked="0"/>
    </xf>
    <xf numFmtId="2" fontId="29" fillId="6" borderId="371" xfId="146" applyNumberFormat="1" applyFont="1" applyBorder="1" applyAlignment="1" applyProtection="1">
      <alignment horizontal="right" vertical="center"/>
      <protection locked="0"/>
    </xf>
    <xf numFmtId="2" fontId="29" fillId="7" borderId="64" xfId="0" applyNumberFormat="1" applyFont="1" applyFill="1" applyBorder="1" applyAlignment="1">
      <alignment horizontal="right" vertical="center"/>
    </xf>
    <xf numFmtId="2" fontId="29" fillId="6" borderId="289" xfId="146" applyNumberFormat="1" applyFont="1" applyBorder="1" applyAlignment="1" applyProtection="1">
      <alignment horizontal="right" vertical="center"/>
      <protection locked="0"/>
    </xf>
    <xf numFmtId="2" fontId="29" fillId="7" borderId="38" xfId="0" applyNumberFormat="1" applyFont="1" applyFill="1" applyBorder="1" applyAlignment="1">
      <alignment horizontal="right" vertical="center"/>
    </xf>
    <xf numFmtId="2" fontId="29" fillId="6" borderId="599" xfId="146" applyNumberFormat="1" applyFont="1" applyBorder="1" applyAlignment="1" applyProtection="1">
      <alignment horizontal="right" vertical="center"/>
      <protection locked="0"/>
    </xf>
    <xf numFmtId="2" fontId="29" fillId="6" borderId="600" xfId="146" applyNumberFormat="1" applyFont="1" applyBorder="1" applyAlignment="1" applyProtection="1">
      <alignment horizontal="right" vertical="center"/>
      <protection locked="0"/>
    </xf>
    <xf numFmtId="2" fontId="29" fillId="6" borderId="601" xfId="146" applyNumberFormat="1" applyFont="1" applyBorder="1" applyAlignment="1" applyProtection="1">
      <alignment horizontal="right" vertical="center"/>
      <protection locked="0"/>
    </xf>
    <xf numFmtId="2" fontId="29" fillId="7" borderId="39" xfId="0" applyNumberFormat="1" applyFont="1" applyFill="1" applyBorder="1" applyAlignment="1">
      <alignment horizontal="right" vertical="center"/>
    </xf>
    <xf numFmtId="2" fontId="29" fillId="6" borderId="50" xfId="146" applyNumberFormat="1" applyFont="1" applyBorder="1" applyAlignment="1" applyProtection="1">
      <alignment horizontal="right" vertical="center"/>
      <protection locked="0"/>
    </xf>
    <xf numFmtId="1" fontId="29" fillId="7" borderId="99" xfId="0" applyNumberFormat="1" applyFont="1" applyFill="1" applyBorder="1" applyAlignment="1">
      <alignment horizontal="left" vertical="center"/>
    </xf>
    <xf numFmtId="1" fontId="29" fillId="6" borderId="5" xfId="146" applyNumberFormat="1" applyFont="1" applyAlignment="1" applyProtection="1">
      <alignment horizontal="right" vertical="center"/>
      <protection locked="0"/>
    </xf>
    <xf numFmtId="2" fontId="29" fillId="6" borderId="5" xfId="146" applyNumberFormat="1" applyFont="1" applyAlignment="1" applyProtection="1">
      <alignment horizontal="right" vertical="center"/>
      <protection locked="0"/>
    </xf>
    <xf numFmtId="2" fontId="29" fillId="7" borderId="100" xfId="0" applyNumberFormat="1" applyFont="1" applyFill="1" applyBorder="1" applyAlignment="1">
      <alignment horizontal="right" vertical="center"/>
    </xf>
    <xf numFmtId="2" fontId="29" fillId="6" borderId="602" xfId="146" applyNumberFormat="1" applyFont="1" applyBorder="1" applyAlignment="1" applyProtection="1">
      <alignment horizontal="right" vertical="center"/>
      <protection locked="0"/>
    </xf>
    <xf numFmtId="2" fontId="29" fillId="6" borderId="603" xfId="146" applyNumberFormat="1" applyFont="1" applyBorder="1" applyAlignment="1" applyProtection="1">
      <alignment horizontal="right" vertical="center"/>
      <protection locked="0"/>
    </xf>
    <xf numFmtId="2" fontId="29" fillId="6" borderId="97" xfId="146" applyNumberFormat="1" applyFont="1" applyBorder="1" applyAlignment="1" applyProtection="1">
      <alignment horizontal="right" vertical="center"/>
      <protection locked="0"/>
    </xf>
    <xf numFmtId="2" fontId="29" fillId="6" borderId="575" xfId="146" applyNumberFormat="1" applyFont="1" applyBorder="1" applyAlignment="1" applyProtection="1">
      <alignment horizontal="right" vertical="center"/>
      <protection locked="0"/>
    </xf>
    <xf numFmtId="2" fontId="29" fillId="7" borderId="131" xfId="0" applyNumberFormat="1" applyFont="1" applyFill="1" applyBorder="1" applyAlignment="1">
      <alignment horizontal="right" vertical="center"/>
    </xf>
    <xf numFmtId="2" fontId="29" fillId="6" borderId="604" xfId="146" applyNumberFormat="1" applyFont="1" applyBorder="1" applyAlignment="1" applyProtection="1">
      <alignment horizontal="right" vertical="center"/>
      <protection locked="0"/>
    </xf>
    <xf numFmtId="1" fontId="29" fillId="11" borderId="99" xfId="0" applyNumberFormat="1" applyFont="1" applyFill="1" applyBorder="1" applyAlignment="1">
      <alignment horizontal="left" vertical="center"/>
    </xf>
    <xf numFmtId="2" fontId="29" fillId="6" borderId="0" xfId="146" applyNumberFormat="1" applyFont="1" applyBorder="1" applyAlignment="1" applyProtection="1">
      <alignment horizontal="right" vertical="center"/>
      <protection locked="0"/>
    </xf>
    <xf numFmtId="2" fontId="29" fillId="6" borderId="605" xfId="146" applyNumberFormat="1" applyFont="1" applyBorder="1" applyAlignment="1" applyProtection="1">
      <alignment horizontal="right" vertical="center"/>
      <protection locked="0"/>
    </xf>
    <xf numFmtId="2" fontId="29" fillId="6" borderId="606" xfId="146" applyNumberFormat="1" applyFont="1" applyBorder="1" applyAlignment="1" applyProtection="1">
      <alignment horizontal="right" vertical="center"/>
      <protection locked="0"/>
    </xf>
    <xf numFmtId="2" fontId="29" fillId="6" borderId="607" xfId="146" applyNumberFormat="1" applyFont="1" applyBorder="1" applyAlignment="1" applyProtection="1">
      <alignment horizontal="right" vertical="center"/>
      <protection locked="0"/>
    </xf>
    <xf numFmtId="1" fontId="29" fillId="7" borderId="51" xfId="44" applyNumberFormat="1" applyFont="1" applyFill="1" applyBorder="1" applyAlignment="1">
      <alignment horizontal="left" vertical="center"/>
    </xf>
    <xf numFmtId="1" fontId="29" fillId="6" borderId="462" xfId="146" applyNumberFormat="1" applyFont="1" applyBorder="1" applyAlignment="1" applyProtection="1">
      <alignment horizontal="right" vertical="center"/>
      <protection locked="0"/>
    </xf>
    <xf numFmtId="2" fontId="29" fillId="6" borderId="608" xfId="146" applyNumberFormat="1" applyFont="1" applyBorder="1" applyAlignment="1" applyProtection="1">
      <alignment horizontal="right" vertical="center"/>
      <protection locked="0"/>
    </xf>
    <xf numFmtId="2" fontId="29" fillId="6" borderId="609" xfId="146" applyNumberFormat="1" applyFont="1" applyBorder="1" applyAlignment="1" applyProtection="1">
      <alignment horizontal="right" vertical="center"/>
      <protection locked="0"/>
    </xf>
    <xf numFmtId="2" fontId="29" fillId="6" borderId="610" xfId="146" applyNumberFormat="1" applyFont="1" applyBorder="1" applyAlignment="1" applyProtection="1">
      <alignment horizontal="right" vertical="center"/>
      <protection locked="0"/>
    </xf>
    <xf numFmtId="2" fontId="29" fillId="7" borderId="80" xfId="0" applyNumberFormat="1" applyFont="1" applyFill="1" applyBorder="1" applyAlignment="1">
      <alignment horizontal="right" vertical="center"/>
    </xf>
    <xf numFmtId="2" fontId="29" fillId="6" borderId="611" xfId="146" applyNumberFormat="1" applyFont="1" applyBorder="1" applyAlignment="1" applyProtection="1">
      <alignment horizontal="right" vertical="center"/>
      <protection locked="0"/>
    </xf>
    <xf numFmtId="2" fontId="29" fillId="6" borderId="612" xfId="146" applyNumberFormat="1" applyFont="1" applyBorder="1" applyAlignment="1" applyProtection="1">
      <alignment horizontal="right" vertical="center"/>
      <protection locked="0"/>
    </xf>
    <xf numFmtId="2" fontId="29" fillId="6" borderId="105" xfId="146" applyNumberFormat="1" applyFont="1" applyBorder="1" applyAlignment="1" applyProtection="1">
      <alignment horizontal="right" vertical="center"/>
      <protection locked="0"/>
    </xf>
    <xf numFmtId="2" fontId="29" fillId="7" borderId="52" xfId="0" applyNumberFormat="1" applyFont="1" applyFill="1" applyBorder="1" applyAlignment="1">
      <alignment horizontal="right" vertical="center"/>
    </xf>
    <xf numFmtId="2" fontId="29" fillId="6" borderId="555" xfId="146" applyNumberFormat="1" applyFont="1" applyBorder="1" applyAlignment="1" applyProtection="1">
      <alignment horizontal="right" vertical="center"/>
      <protection locked="0"/>
    </xf>
    <xf numFmtId="2" fontId="29" fillId="6" borderId="613" xfId="146" applyNumberFormat="1" applyFont="1" applyBorder="1" applyAlignment="1" applyProtection="1">
      <alignment horizontal="right" vertical="center"/>
      <protection locked="0"/>
    </xf>
    <xf numFmtId="2" fontId="29" fillId="6" borderId="614" xfId="146" applyNumberFormat="1" applyFont="1" applyBorder="1" applyAlignment="1" applyProtection="1">
      <alignment horizontal="right" vertical="center"/>
      <protection locked="0"/>
    </xf>
    <xf numFmtId="2" fontId="29" fillId="7" borderId="76" xfId="0" applyNumberFormat="1" applyFont="1" applyFill="1" applyBorder="1" applyAlignment="1">
      <alignment horizontal="right" vertical="center"/>
    </xf>
    <xf numFmtId="2" fontId="29" fillId="6" borderId="36" xfId="146" applyNumberFormat="1" applyFont="1" applyBorder="1" applyAlignment="1" applyProtection="1">
      <alignment horizontal="right" vertical="center"/>
      <protection locked="0"/>
    </xf>
    <xf numFmtId="1" fontId="27" fillId="7" borderId="0" xfId="44" applyNumberFormat="1" applyFont="1" applyFill="1" applyAlignment="1">
      <alignment horizontal="left" vertical="center"/>
    </xf>
    <xf numFmtId="1" fontId="31" fillId="0" borderId="0" xfId="44" applyNumberFormat="1" applyFont="1"/>
    <xf numFmtId="1" fontId="31" fillId="0" borderId="0" xfId="44" applyNumberFormat="1" applyFont="1" applyAlignment="1">
      <alignment horizontal="center"/>
    </xf>
    <xf numFmtId="1" fontId="32" fillId="0" borderId="615" xfId="44" applyNumberFormat="1" applyFont="1" applyBorder="1" applyProtection="1">
      <protection hidden="1"/>
    </xf>
    <xf numFmtId="1" fontId="29" fillId="0" borderId="108" xfId="44" applyNumberFormat="1" applyFont="1" applyBorder="1" applyAlignment="1">
      <alignment horizontal="center" vertical="center" wrapText="1"/>
    </xf>
    <xf numFmtId="1" fontId="29" fillId="0" borderId="18" xfId="44" applyNumberFormat="1" applyFont="1" applyBorder="1" applyAlignment="1">
      <alignment horizontal="center" vertical="center" wrapText="1"/>
    </xf>
    <xf numFmtId="1" fontId="29" fillId="0" borderId="22" xfId="44" applyNumberFormat="1" applyFont="1" applyBorder="1" applyAlignment="1">
      <alignment horizontal="center" vertical="center" wrapText="1"/>
    </xf>
    <xf numFmtId="1" fontId="29" fillId="0" borderId="177" xfId="44" applyNumberFormat="1" applyFont="1" applyBorder="1" applyAlignment="1">
      <alignment horizontal="center" vertical="center" wrapText="1"/>
    </xf>
    <xf numFmtId="1" fontId="29" fillId="0" borderId="89" xfId="44" applyNumberFormat="1" applyFont="1" applyBorder="1"/>
    <xf numFmtId="1" fontId="29" fillId="0" borderId="37" xfId="44" applyNumberFormat="1" applyFont="1" applyBorder="1"/>
    <xf numFmtId="1" fontId="29" fillId="6" borderId="41" xfId="44" applyNumberFormat="1" applyFont="1" applyFill="1" applyBorder="1" applyProtection="1">
      <protection locked="0"/>
    </xf>
    <xf numFmtId="1" fontId="29" fillId="6" borderId="112" xfId="44" applyNumberFormat="1" applyFont="1" applyFill="1" applyBorder="1" applyProtection="1">
      <protection locked="0"/>
    </xf>
    <xf numFmtId="1" fontId="29" fillId="0" borderId="128" xfId="44" applyNumberFormat="1" applyFont="1" applyBorder="1"/>
    <xf numFmtId="1" fontId="29" fillId="0" borderId="99" xfId="44" applyNumberFormat="1" applyFont="1" applyBorder="1"/>
    <xf numFmtId="1" fontId="29" fillId="6" borderId="101" xfId="44" applyNumberFormat="1" applyFont="1" applyFill="1" applyBorder="1" applyProtection="1">
      <protection locked="0"/>
    </xf>
    <xf numFmtId="1" fontId="29" fillId="6" borderId="116" xfId="44" applyNumberFormat="1" applyFont="1" applyFill="1" applyBorder="1" applyProtection="1">
      <protection locked="0"/>
    </xf>
    <xf numFmtId="1" fontId="29" fillId="0" borderId="16" xfId="44" applyNumberFormat="1" applyFont="1" applyBorder="1"/>
    <xf numFmtId="1" fontId="29" fillId="0" borderId="51" xfId="44" applyNumberFormat="1" applyFont="1" applyBorder="1"/>
    <xf numFmtId="1" fontId="29" fillId="6" borderId="31" xfId="44" applyNumberFormat="1" applyFont="1" applyFill="1" applyBorder="1" applyProtection="1">
      <protection locked="0"/>
    </xf>
    <xf numFmtId="1" fontId="29" fillId="6" borderId="17" xfId="44" applyNumberFormat="1" applyFont="1" applyFill="1" applyBorder="1" applyProtection="1">
      <protection locked="0"/>
    </xf>
    <xf numFmtId="1" fontId="32" fillId="0" borderId="0" xfId="44" applyNumberFormat="1" applyFont="1"/>
    <xf numFmtId="1" fontId="32" fillId="0" borderId="616" xfId="44" applyNumberFormat="1" applyFont="1" applyBorder="1"/>
    <xf numFmtId="1" fontId="32" fillId="0" borderId="617" xfId="44" applyNumberFormat="1" applyFont="1" applyBorder="1"/>
    <xf numFmtId="1" fontId="32" fillId="0" borderId="618" xfId="44" applyNumberFormat="1" applyFont="1" applyBorder="1"/>
    <xf numFmtId="1" fontId="29" fillId="0" borderId="27" xfId="44" applyNumberFormat="1" applyFont="1" applyBorder="1" applyAlignment="1">
      <alignment horizontal="center" vertical="center" wrapText="1"/>
    </xf>
    <xf numFmtId="1" fontId="29" fillId="0" borderId="6" xfId="44" applyNumberFormat="1" applyFont="1" applyBorder="1" applyAlignment="1">
      <alignment horizontal="center" vertical="center" wrapText="1"/>
    </xf>
    <xf numFmtId="1" fontId="29" fillId="0" borderId="8" xfId="44" applyNumberFormat="1" applyFont="1" applyBorder="1" applyAlignment="1">
      <alignment horizontal="center" vertical="center" wrapText="1"/>
    </xf>
    <xf numFmtId="1" fontId="29" fillId="0" borderId="20" xfId="44" applyNumberFormat="1" applyFont="1" applyBorder="1" applyAlignment="1">
      <alignment horizontal="center" vertical="center" wrapText="1"/>
    </xf>
    <xf numFmtId="1" fontId="29" fillId="0" borderId="10" xfId="44" applyNumberFormat="1" applyFont="1" applyBorder="1" applyAlignment="1">
      <alignment horizontal="center" vertical="center" wrapText="1"/>
    </xf>
    <xf numFmtId="1" fontId="29" fillId="0" borderId="11" xfId="44" applyNumberFormat="1" applyFont="1" applyBorder="1" applyAlignment="1">
      <alignment horizontal="center" vertical="center" wrapText="1"/>
    </xf>
    <xf numFmtId="1" fontId="29" fillId="0" borderId="28" xfId="44" applyNumberFormat="1" applyFont="1" applyBorder="1" applyAlignment="1">
      <alignment horizontal="center" vertical="center" wrapText="1"/>
    </xf>
    <xf numFmtId="1" fontId="29" fillId="0" borderId="7" xfId="44" applyNumberFormat="1" applyFont="1" applyBorder="1" applyAlignment="1">
      <alignment horizontal="center" vertical="center" wrapText="1"/>
    </xf>
    <xf numFmtId="1" fontId="29" fillId="0" borderId="2" xfId="44" applyNumberFormat="1" applyFont="1" applyBorder="1" applyAlignment="1">
      <alignment horizontal="center" vertical="center" wrapText="1"/>
    </xf>
    <xf numFmtId="1" fontId="29" fillId="0" borderId="166" xfId="44" applyNumberFormat="1" applyFont="1" applyBorder="1"/>
    <xf numFmtId="1" fontId="29" fillId="6" borderId="64" xfId="44" applyNumberFormat="1" applyFont="1" applyFill="1" applyBorder="1" applyAlignment="1" applyProtection="1">
      <alignment horizontal="right"/>
      <protection locked="0"/>
    </xf>
    <xf numFmtId="1" fontId="29" fillId="6" borderId="40" xfId="44" applyNumberFormat="1" applyFont="1" applyFill="1" applyBorder="1" applyAlignment="1" applyProtection="1">
      <alignment horizontal="right"/>
      <protection locked="0"/>
    </xf>
    <xf numFmtId="1" fontId="29" fillId="6" borderId="66" xfId="44" applyNumberFormat="1" applyFont="1" applyFill="1" applyBorder="1" applyAlignment="1" applyProtection="1">
      <alignment horizontal="right"/>
      <protection locked="0"/>
    </xf>
    <xf numFmtId="1" fontId="29" fillId="6" borderId="49" xfId="44" applyNumberFormat="1" applyFont="1" applyFill="1" applyBorder="1" applyAlignment="1" applyProtection="1">
      <alignment horizontal="right"/>
      <protection locked="0"/>
    </xf>
    <xf numFmtId="1" fontId="29" fillId="6" borderId="63" xfId="44" applyNumberFormat="1" applyFont="1" applyFill="1" applyBorder="1" applyAlignment="1" applyProtection="1">
      <alignment horizontal="right"/>
      <protection locked="0"/>
    </xf>
    <xf numFmtId="0" fontId="30" fillId="16" borderId="0" xfId="0" applyFont="1" applyFill="1"/>
    <xf numFmtId="1" fontId="29" fillId="6" borderId="100" xfId="44" applyNumberFormat="1" applyFont="1" applyFill="1" applyBorder="1" applyAlignment="1" applyProtection="1">
      <alignment horizontal="right"/>
      <protection locked="0"/>
    </xf>
    <xf numFmtId="1" fontId="29" fillId="6" borderId="101" xfId="44" applyNumberFormat="1" applyFont="1" applyFill="1" applyBorder="1" applyAlignment="1" applyProtection="1">
      <alignment horizontal="right"/>
      <protection locked="0"/>
    </xf>
    <xf numFmtId="1" fontId="29" fillId="6" borderId="102" xfId="44" applyNumberFormat="1" applyFont="1" applyFill="1" applyBorder="1" applyAlignment="1" applyProtection="1">
      <alignment horizontal="right"/>
      <protection locked="0"/>
    </xf>
    <xf numFmtId="1" fontId="29" fillId="34" borderId="49" xfId="44" applyNumberFormat="1" applyFont="1" applyFill="1" applyBorder="1" applyAlignment="1">
      <alignment horizontal="right"/>
    </xf>
    <xf numFmtId="1" fontId="29" fillId="34" borderId="63" xfId="44" applyNumberFormat="1" applyFont="1" applyFill="1" applyBorder="1" applyAlignment="1">
      <alignment horizontal="right"/>
    </xf>
    <xf numFmtId="1" fontId="29" fillId="0" borderId="127" xfId="44" applyNumberFormat="1" applyFont="1" applyBorder="1" applyAlignment="1">
      <alignment horizontal="left"/>
    </xf>
    <xf numFmtId="1" fontId="29" fillId="0" borderId="13" xfId="44" applyNumberFormat="1" applyFont="1" applyBorder="1"/>
    <xf numFmtId="1" fontId="29" fillId="6" borderId="52" xfId="44" applyNumberFormat="1" applyFont="1" applyFill="1" applyBorder="1" applyAlignment="1" applyProtection="1">
      <alignment horizontal="right"/>
      <protection locked="0"/>
    </xf>
    <xf numFmtId="1" fontId="29" fillId="6" borderId="54" xfId="44" applyNumberFormat="1" applyFont="1" applyFill="1" applyBorder="1" applyAlignment="1" applyProtection="1">
      <alignment horizontal="right"/>
      <protection locked="0"/>
    </xf>
    <xf numFmtId="1" fontId="29" fillId="6" borderId="55" xfId="44" applyNumberFormat="1" applyFont="1" applyFill="1" applyBorder="1" applyAlignment="1" applyProtection="1">
      <alignment horizontal="right"/>
      <protection locked="0"/>
    </xf>
    <xf numFmtId="1" fontId="29" fillId="34" borderId="62" xfId="44" applyNumberFormat="1" applyFont="1" applyFill="1" applyBorder="1" applyAlignment="1">
      <alignment horizontal="right"/>
    </xf>
    <xf numFmtId="1" fontId="29" fillId="34" borderId="51" xfId="44" applyNumberFormat="1" applyFont="1" applyFill="1" applyBorder="1" applyAlignment="1">
      <alignment horizontal="right"/>
    </xf>
    <xf numFmtId="1" fontId="29" fillId="6" borderId="51" xfId="44" applyNumberFormat="1" applyFont="1" applyFill="1" applyBorder="1" applyAlignment="1" applyProtection="1">
      <alignment horizontal="right"/>
      <protection locked="0"/>
    </xf>
    <xf numFmtId="1" fontId="29" fillId="0" borderId="13" xfId="44" applyNumberFormat="1" applyFont="1" applyBorder="1" applyAlignment="1">
      <alignment horizontal="left"/>
    </xf>
    <xf numFmtId="1" fontId="29" fillId="0" borderId="15" xfId="44" applyNumberFormat="1" applyFont="1" applyBorder="1"/>
    <xf numFmtId="1" fontId="29" fillId="34" borderId="36" xfId="44" applyNumberFormat="1" applyFont="1" applyFill="1" applyBorder="1" applyAlignment="1">
      <alignment horizontal="right"/>
    </xf>
    <xf numFmtId="1" fontId="29" fillId="34" borderId="15" xfId="44" applyNumberFormat="1" applyFont="1" applyFill="1" applyBorder="1" applyAlignment="1">
      <alignment horizontal="right"/>
    </xf>
    <xf numFmtId="1" fontId="29" fillId="0" borderId="2" xfId="44" applyNumberFormat="1" applyFont="1" applyBorder="1"/>
    <xf numFmtId="1" fontId="29" fillId="6" borderId="80" xfId="44" applyNumberFormat="1" applyFont="1" applyFill="1" applyBorder="1" applyAlignment="1" applyProtection="1">
      <alignment horizontal="right"/>
      <protection locked="0"/>
    </xf>
    <xf numFmtId="1" fontId="29" fillId="6" borderId="31" xfId="44" applyNumberFormat="1" applyFont="1" applyFill="1" applyBorder="1" applyAlignment="1" applyProtection="1">
      <alignment horizontal="right"/>
      <protection locked="0"/>
    </xf>
    <xf numFmtId="1" fontId="29" fillId="6" borderId="92" xfId="44" applyNumberFormat="1" applyFont="1" applyFill="1" applyBorder="1" applyAlignment="1" applyProtection="1">
      <alignment horizontal="right"/>
      <protection locked="0"/>
    </xf>
    <xf numFmtId="1" fontId="29" fillId="6" borderId="2" xfId="44" applyNumberFormat="1" applyFont="1" applyFill="1" applyBorder="1" applyAlignment="1" applyProtection="1">
      <alignment horizontal="right"/>
      <protection locked="0"/>
    </xf>
    <xf numFmtId="1" fontId="31" fillId="0" borderId="618" xfId="44" applyNumberFormat="1" applyFont="1" applyBorder="1" applyProtection="1">
      <protection hidden="1"/>
    </xf>
    <xf numFmtId="1" fontId="32" fillId="0" borderId="618" xfId="44" applyNumberFormat="1" applyFont="1" applyBorder="1" applyProtection="1">
      <protection hidden="1"/>
    </xf>
    <xf numFmtId="1" fontId="29" fillId="6" borderId="19" xfId="44" applyNumberFormat="1" applyFont="1" applyFill="1" applyBorder="1" applyAlignment="1" applyProtection="1">
      <alignment horizontal="right"/>
      <protection locked="0"/>
    </xf>
    <xf numFmtId="1" fontId="29" fillId="0" borderId="127" xfId="44" applyNumberFormat="1" applyFont="1" applyBorder="1"/>
    <xf numFmtId="1" fontId="31" fillId="11" borderId="619" xfId="44" applyNumberFormat="1" applyFont="1" applyFill="1" applyBorder="1" applyProtection="1">
      <protection hidden="1"/>
    </xf>
    <xf numFmtId="1" fontId="32" fillId="0" borderId="619" xfId="44" applyNumberFormat="1" applyFont="1" applyBorder="1" applyProtection="1">
      <protection hidden="1"/>
    </xf>
    <xf numFmtId="1" fontId="32" fillId="0" borderId="620" xfId="44" applyNumberFormat="1" applyFont="1" applyBorder="1" applyProtection="1">
      <protection hidden="1"/>
    </xf>
    <xf numFmtId="1" fontId="29" fillId="0" borderId="134" xfId="44" applyNumberFormat="1" applyFont="1" applyBorder="1" applyAlignment="1">
      <alignment horizontal="center" vertical="center" wrapText="1"/>
    </xf>
    <xf numFmtId="1" fontId="29" fillId="0" borderId="63" xfId="44" applyNumberFormat="1" applyFont="1" applyBorder="1" applyAlignment="1">
      <alignment horizontal="right"/>
    </xf>
    <xf numFmtId="1" fontId="29" fillId="6" borderId="63" xfId="44" applyNumberFormat="1" applyFont="1" applyFill="1" applyBorder="1" applyProtection="1">
      <protection locked="0"/>
    </xf>
    <xf numFmtId="1" fontId="29" fillId="15" borderId="63" xfId="44" applyNumberFormat="1" applyFont="1" applyFill="1" applyBorder="1"/>
    <xf numFmtId="1" fontId="29" fillId="6" borderId="290" xfId="44" applyNumberFormat="1" applyFont="1" applyFill="1" applyBorder="1" applyProtection="1">
      <protection locked="0"/>
    </xf>
    <xf numFmtId="1" fontId="29" fillId="6" borderId="49" xfId="44" applyNumberFormat="1" applyFont="1" applyFill="1" applyBorder="1" applyProtection="1">
      <protection locked="0"/>
    </xf>
    <xf numFmtId="1" fontId="29" fillId="0" borderId="51" xfId="44" applyNumberFormat="1" applyFont="1" applyBorder="1" applyAlignment="1">
      <alignment horizontal="right"/>
    </xf>
    <xf numFmtId="1" fontId="29" fillId="6" borderId="51" xfId="44" applyNumberFormat="1" applyFont="1" applyFill="1" applyBorder="1" applyProtection="1">
      <protection locked="0"/>
    </xf>
    <xf numFmtId="1" fontId="29" fillId="15" borderId="51" xfId="44" applyNumberFormat="1" applyFont="1" applyFill="1" applyBorder="1"/>
    <xf numFmtId="1" fontId="29" fillId="6" borderId="292" xfId="44" applyNumberFormat="1" applyFont="1" applyFill="1" applyBorder="1" applyProtection="1">
      <protection locked="0"/>
    </xf>
    <xf numFmtId="1" fontId="29" fillId="6" borderId="62" xfId="44" applyNumberFormat="1" applyFont="1" applyFill="1" applyBorder="1" applyProtection="1">
      <protection locked="0"/>
    </xf>
    <xf numFmtId="1" fontId="31" fillId="0" borderId="619" xfId="44" applyNumberFormat="1" applyFont="1" applyBorder="1" applyProtection="1">
      <protection hidden="1"/>
    </xf>
    <xf numFmtId="1" fontId="29" fillId="0" borderId="0" xfId="44" applyNumberFormat="1" applyFont="1" applyAlignment="1">
      <alignment horizontal="right"/>
    </xf>
    <xf numFmtId="1" fontId="32" fillId="0" borderId="0" xfId="44" applyNumberFormat="1" applyFont="1" applyAlignment="1">
      <alignment horizontal="right"/>
    </xf>
    <xf numFmtId="1" fontId="32" fillId="0" borderId="0" xfId="44" applyNumberFormat="1" applyFont="1" applyProtection="1">
      <protection locked="0"/>
    </xf>
    <xf numFmtId="1" fontId="32" fillId="0" borderId="616" xfId="44" applyNumberFormat="1" applyFont="1" applyBorder="1" applyProtection="1">
      <protection hidden="1"/>
    </xf>
    <xf numFmtId="1" fontId="29" fillId="0" borderId="29" xfId="44" applyNumberFormat="1" applyFont="1" applyBorder="1" applyAlignment="1">
      <alignment horizontal="center" vertical="center" wrapText="1"/>
    </xf>
    <xf numFmtId="0" fontId="29" fillId="0" borderId="99" xfId="0" applyFont="1" applyBorder="1" applyAlignment="1">
      <alignment vertical="center" wrapText="1"/>
    </xf>
    <xf numFmtId="1" fontId="29" fillId="0" borderId="99" xfId="0" applyNumberFormat="1" applyFont="1" applyBorder="1" applyAlignment="1">
      <alignment horizontal="right" vertical="center"/>
    </xf>
    <xf numFmtId="1" fontId="29" fillId="0" borderId="15" xfId="0" applyNumberFormat="1" applyFont="1" applyBorder="1" applyAlignment="1">
      <alignment horizontal="right" vertical="center"/>
    </xf>
    <xf numFmtId="1" fontId="31" fillId="0" borderId="620" xfId="44" applyNumberFormat="1" applyFont="1" applyBorder="1" applyProtection="1">
      <protection hidden="1"/>
    </xf>
    <xf numFmtId="0" fontId="29" fillId="0" borderId="80" xfId="0" applyFont="1" applyBorder="1" applyAlignment="1">
      <alignment horizontal="center" wrapText="1"/>
    </xf>
    <xf numFmtId="1" fontId="29" fillId="0" borderId="352" xfId="0" applyNumberFormat="1" applyFont="1" applyBorder="1" applyAlignment="1">
      <alignment horizontal="center" vertical="center" wrapText="1"/>
    </xf>
    <xf numFmtId="1" fontId="29" fillId="0" borderId="466" xfId="0" applyNumberFormat="1" applyFont="1" applyBorder="1" applyAlignment="1">
      <alignment horizontal="center" vertical="center" wrapText="1"/>
    </xf>
    <xf numFmtId="1" fontId="29" fillId="6" borderId="621" xfId="0" applyNumberFormat="1" applyFont="1" applyFill="1" applyBorder="1" applyProtection="1">
      <protection locked="0"/>
    </xf>
    <xf numFmtId="1" fontId="29" fillId="6" borderId="622" xfId="0" applyNumberFormat="1" applyFont="1" applyFill="1" applyBorder="1" applyProtection="1">
      <protection locked="0"/>
    </xf>
    <xf numFmtId="1" fontId="29" fillId="6" borderId="623" xfId="0" applyNumberFormat="1" applyFont="1" applyFill="1" applyBorder="1" applyProtection="1">
      <protection locked="0"/>
    </xf>
    <xf numFmtId="1" fontId="29" fillId="0" borderId="6" xfId="0" applyNumberFormat="1" applyFont="1" applyBorder="1" applyAlignment="1">
      <alignment horizontal="center"/>
    </xf>
    <xf numFmtId="1" fontId="29" fillId="0" borderId="624" xfId="0" applyNumberFormat="1" applyFont="1" applyBorder="1"/>
    <xf numFmtId="0" fontId="31" fillId="0" borderId="619" xfId="0" applyFont="1" applyBorder="1"/>
    <xf numFmtId="1" fontId="29" fillId="0" borderId="384" xfId="44" applyNumberFormat="1" applyFont="1" applyBorder="1" applyAlignment="1">
      <alignment horizontal="center" vertical="center" wrapText="1"/>
    </xf>
    <xf numFmtId="1" fontId="29" fillId="0" borderId="224" xfId="44" applyNumberFormat="1" applyFont="1" applyBorder="1" applyAlignment="1">
      <alignment horizontal="center" vertical="center" wrapText="1"/>
    </xf>
    <xf numFmtId="1" fontId="29" fillId="0" borderId="625" xfId="44" applyNumberFormat="1" applyFont="1" applyBorder="1" applyAlignment="1">
      <alignment horizontal="center" vertical="center" wrapText="1"/>
    </xf>
    <xf numFmtId="1" fontId="29" fillId="0" borderId="470" xfId="44" applyNumberFormat="1" applyFont="1" applyBorder="1" applyAlignment="1">
      <alignment horizontal="center" vertical="center" wrapText="1"/>
    </xf>
    <xf numFmtId="1" fontId="29" fillId="0" borderId="341" xfId="44" applyNumberFormat="1" applyFont="1" applyBorder="1" applyAlignment="1">
      <alignment horizontal="center" vertical="center" wrapText="1"/>
    </xf>
    <xf numFmtId="1" fontId="29" fillId="0" borderId="327" xfId="44" applyNumberFormat="1" applyFont="1" applyBorder="1" applyAlignment="1">
      <alignment horizontal="center" vertical="center" wrapText="1"/>
    </xf>
    <xf numFmtId="1" fontId="29" fillId="0" borderId="186" xfId="44" applyNumberFormat="1" applyFont="1" applyBorder="1" applyAlignment="1">
      <alignment horizontal="center" vertical="center" wrapText="1"/>
    </xf>
    <xf numFmtId="1" fontId="29" fillId="6" borderId="626" xfId="0" applyNumberFormat="1" applyFont="1" applyFill="1" applyBorder="1" applyProtection="1">
      <protection locked="0"/>
    </xf>
    <xf numFmtId="1" fontId="29" fillId="6" borderId="357" xfId="0" applyNumberFormat="1" applyFont="1" applyFill="1" applyBorder="1" applyProtection="1">
      <protection locked="0"/>
    </xf>
    <xf numFmtId="1" fontId="29" fillId="6" borderId="173" xfId="0" applyNumberFormat="1" applyFont="1" applyFill="1" applyBorder="1" applyProtection="1">
      <protection locked="0"/>
    </xf>
    <xf numFmtId="1" fontId="29" fillId="6" borderId="627" xfId="0" applyNumberFormat="1" applyFont="1" applyFill="1" applyBorder="1" applyProtection="1">
      <protection locked="0"/>
    </xf>
    <xf numFmtId="1" fontId="29" fillId="6" borderId="628" xfId="0" applyNumberFormat="1" applyFont="1" applyFill="1" applyBorder="1" applyProtection="1">
      <protection locked="0"/>
    </xf>
    <xf numFmtId="1" fontId="29" fillId="6" borderId="629" xfId="0" applyNumberFormat="1" applyFont="1" applyFill="1" applyBorder="1" applyProtection="1">
      <protection locked="0"/>
    </xf>
    <xf numFmtId="1" fontId="29" fillId="6" borderId="175" xfId="0" applyNumberFormat="1" applyFont="1" applyFill="1" applyBorder="1" applyProtection="1">
      <protection locked="0"/>
    </xf>
    <xf numFmtId="1" fontId="29" fillId="6" borderId="630" xfId="0" applyNumberFormat="1" applyFont="1" applyFill="1" applyBorder="1" applyProtection="1">
      <protection locked="0"/>
    </xf>
    <xf numFmtId="1" fontId="29" fillId="6" borderId="631" xfId="0" applyNumberFormat="1" applyFont="1" applyFill="1" applyBorder="1" applyProtection="1">
      <protection locked="0"/>
    </xf>
    <xf numFmtId="1" fontId="29" fillId="6" borderId="361" xfId="0" applyNumberFormat="1" applyFont="1" applyFill="1" applyBorder="1" applyProtection="1">
      <protection locked="0"/>
    </xf>
    <xf numFmtId="1" fontId="29" fillId="6" borderId="179" xfId="0" applyNumberFormat="1" applyFont="1" applyFill="1" applyBorder="1" applyProtection="1">
      <protection locked="0"/>
    </xf>
    <xf numFmtId="1" fontId="29" fillId="0" borderId="10" xfId="44" applyNumberFormat="1" applyFont="1" applyBorder="1" applyAlignment="1">
      <alignment horizontal="center" vertical="center"/>
    </xf>
    <xf numFmtId="1" fontId="29" fillId="0" borderId="11" xfId="35" applyNumberFormat="1" applyFont="1" applyBorder="1" applyAlignment="1">
      <alignment horizontal="center" vertical="center" wrapText="1"/>
    </xf>
    <xf numFmtId="1" fontId="29" fillId="0" borderId="11" xfId="35" applyNumberFormat="1" applyFont="1" applyBorder="1" applyAlignment="1">
      <alignment horizontal="center" vertical="center"/>
    </xf>
    <xf numFmtId="1" fontId="29" fillId="0" borderId="7" xfId="35" applyNumberFormat="1" applyFont="1" applyBorder="1" applyAlignment="1">
      <alignment horizontal="center" vertical="center"/>
    </xf>
    <xf numFmtId="1" fontId="29" fillId="0" borderId="2" xfId="44" applyNumberFormat="1" applyFont="1" applyBorder="1" applyAlignment="1">
      <alignment horizontal="right"/>
    </xf>
    <xf numFmtId="1" fontId="29" fillId="6" borderId="10" xfId="44" applyNumberFormat="1" applyFont="1" applyFill="1" applyBorder="1" applyAlignment="1" applyProtection="1">
      <alignment horizontal="right"/>
      <protection locked="0"/>
    </xf>
    <xf numFmtId="1" fontId="29" fillId="6" borderId="11" xfId="44" applyNumberFormat="1" applyFont="1" applyFill="1" applyBorder="1" applyAlignment="1" applyProtection="1">
      <alignment horizontal="right"/>
      <protection locked="0"/>
    </xf>
    <xf numFmtId="1" fontId="29" fillId="6" borderId="7" xfId="44" applyNumberFormat="1" applyFont="1" applyFill="1" applyBorder="1" applyAlignment="1" applyProtection="1">
      <alignment horizontal="right"/>
      <protection locked="0"/>
    </xf>
    <xf numFmtId="1" fontId="29" fillId="0" borderId="89" xfId="44" applyNumberFormat="1" applyFont="1" applyBorder="1" applyAlignment="1">
      <alignment wrapText="1"/>
    </xf>
    <xf numFmtId="1" fontId="29" fillId="0" borderId="37" xfId="44" applyNumberFormat="1" applyFont="1" applyBorder="1" applyAlignment="1">
      <alignment horizontal="right"/>
    </xf>
    <xf numFmtId="1" fontId="29" fillId="0" borderId="13" xfId="44" applyNumberFormat="1" applyFont="1" applyBorder="1" applyAlignment="1">
      <alignment wrapText="1"/>
    </xf>
    <xf numFmtId="1" fontId="29" fillId="0" borderId="19" xfId="44" applyNumberFormat="1" applyFont="1" applyBorder="1" applyAlignment="1">
      <alignment horizontal="right"/>
    </xf>
    <xf numFmtId="1" fontId="29" fillId="6" borderId="69" xfId="44" applyNumberFormat="1" applyFont="1" applyFill="1" applyBorder="1" applyAlignment="1" applyProtection="1">
      <alignment horizontal="right"/>
      <protection locked="0"/>
    </xf>
    <xf numFmtId="1" fontId="29" fillId="6" borderId="70" xfId="44" applyNumberFormat="1" applyFont="1" applyFill="1" applyBorder="1" applyAlignment="1" applyProtection="1">
      <alignment horizontal="right"/>
      <protection locked="0"/>
    </xf>
    <xf numFmtId="1" fontId="29" fillId="6" borderId="50" xfId="44" applyNumberFormat="1" applyFont="1" applyFill="1" applyBorder="1" applyAlignment="1" applyProtection="1">
      <alignment horizontal="right"/>
      <protection locked="0"/>
    </xf>
    <xf numFmtId="1" fontId="29" fillId="6" borderId="38" xfId="44" applyNumberFormat="1" applyFont="1" applyFill="1" applyBorder="1" applyAlignment="1" applyProtection="1">
      <alignment horizontal="right"/>
      <protection locked="0"/>
    </xf>
    <xf numFmtId="1" fontId="29" fillId="6" borderId="41" xfId="44" applyNumberFormat="1" applyFont="1" applyFill="1" applyBorder="1" applyAlignment="1" applyProtection="1">
      <alignment horizontal="right"/>
      <protection locked="0"/>
    </xf>
    <xf numFmtId="1" fontId="29" fillId="6" borderId="98" xfId="44" applyNumberFormat="1" applyFont="1" applyFill="1" applyBorder="1" applyAlignment="1" applyProtection="1">
      <alignment horizontal="right"/>
      <protection locked="0"/>
    </xf>
    <xf numFmtId="1" fontId="29" fillId="0" borderId="16" xfId="44" applyNumberFormat="1" applyFont="1" applyBorder="1" applyAlignment="1">
      <alignment wrapText="1"/>
    </xf>
    <xf numFmtId="1" fontId="29" fillId="0" borderId="15" xfId="44" applyNumberFormat="1" applyFont="1" applyBorder="1" applyAlignment="1">
      <alignment horizontal="right"/>
    </xf>
    <xf numFmtId="1" fontId="29" fillId="6" borderId="62" xfId="44" applyNumberFormat="1" applyFont="1" applyFill="1" applyBorder="1" applyAlignment="1" applyProtection="1">
      <alignment horizontal="right"/>
      <protection locked="0"/>
    </xf>
    <xf numFmtId="1" fontId="32" fillId="0" borderId="634" xfId="44" applyNumberFormat="1" applyFont="1" applyBorder="1"/>
    <xf numFmtId="1" fontId="29" fillId="0" borderId="12" xfId="44" applyNumberFormat="1" applyFont="1" applyBorder="1" applyAlignment="1">
      <alignment horizontal="center" vertical="center" wrapText="1"/>
    </xf>
    <xf numFmtId="1" fontId="29" fillId="0" borderId="37" xfId="44" applyNumberFormat="1" applyFont="1" applyBorder="1" applyAlignment="1">
      <alignment wrapText="1"/>
    </xf>
    <xf numFmtId="1" fontId="29" fillId="6" borderId="64" xfId="44" applyNumberFormat="1" applyFont="1" applyFill="1" applyBorder="1" applyProtection="1">
      <protection locked="0"/>
    </xf>
    <xf numFmtId="0" fontId="0" fillId="48" borderId="0" xfId="0" applyFill="1"/>
    <xf numFmtId="1" fontId="29" fillId="0" borderId="86" xfId="44" applyNumberFormat="1" applyFont="1" applyBorder="1" applyAlignment="1">
      <alignment wrapText="1"/>
    </xf>
    <xf numFmtId="1" fontId="29" fillId="6" borderId="71" xfId="44" applyNumberFormat="1" applyFont="1" applyFill="1" applyBorder="1" applyAlignment="1" applyProtection="1">
      <alignment horizontal="right"/>
      <protection locked="0"/>
    </xf>
    <xf numFmtId="1" fontId="29" fillId="6" borderId="171" xfId="44" applyNumberFormat="1" applyFont="1" applyFill="1" applyBorder="1" applyAlignment="1" applyProtection="1">
      <alignment horizontal="right"/>
      <protection locked="0"/>
    </xf>
    <xf numFmtId="1" fontId="29" fillId="6" borderId="71" xfId="44" applyNumberFormat="1" applyFont="1" applyFill="1" applyBorder="1" applyProtection="1">
      <protection locked="0"/>
    </xf>
    <xf numFmtId="1" fontId="29" fillId="6" borderId="171" xfId="44" applyNumberFormat="1" applyFont="1" applyFill="1" applyBorder="1" applyProtection="1">
      <protection locked="0"/>
    </xf>
    <xf numFmtId="1" fontId="29" fillId="0" borderId="2" xfId="44" applyNumberFormat="1" applyFont="1" applyBorder="1" applyAlignment="1">
      <alignment horizontal="center" wrapText="1"/>
    </xf>
    <xf numFmtId="1" fontId="29" fillId="0" borderId="10" xfId="44" applyNumberFormat="1" applyFont="1" applyBorder="1" applyAlignment="1">
      <alignment horizontal="right"/>
    </xf>
    <xf numFmtId="1" fontId="29" fillId="0" borderId="29" xfId="44" applyNumberFormat="1" applyFont="1" applyBorder="1" applyAlignment="1">
      <alignment horizontal="right"/>
    </xf>
    <xf numFmtId="1" fontId="29" fillId="0" borderId="7" xfId="44" applyNumberFormat="1" applyFont="1" applyBorder="1" applyAlignment="1">
      <alignment horizontal="right"/>
    </xf>
    <xf numFmtId="1" fontId="29" fillId="6" borderId="67" xfId="44" applyNumberFormat="1" applyFont="1" applyFill="1" applyBorder="1" applyProtection="1">
      <protection locked="0"/>
    </xf>
    <xf numFmtId="1" fontId="29" fillId="6" borderId="65" xfId="44" applyNumberFormat="1" applyFont="1" applyFill="1" applyBorder="1" applyProtection="1">
      <protection locked="0"/>
    </xf>
    <xf numFmtId="1" fontId="29" fillId="6" borderId="118" xfId="44" applyNumberFormat="1" applyFont="1" applyFill="1" applyBorder="1" applyProtection="1">
      <protection locked="0"/>
    </xf>
    <xf numFmtId="1" fontId="29" fillId="0" borderId="99" xfId="44" applyNumberFormat="1" applyFont="1" applyBorder="1" applyAlignment="1">
      <alignment wrapText="1"/>
    </xf>
    <xf numFmtId="1" fontId="29" fillId="6" borderId="180" xfId="44" applyNumberFormat="1" applyFont="1" applyFill="1" applyBorder="1" applyProtection="1">
      <protection locked="0"/>
    </xf>
    <xf numFmtId="1" fontId="29" fillId="6" borderId="131" xfId="44" applyNumberFormat="1" applyFont="1" applyFill="1" applyBorder="1" applyProtection="1">
      <protection locked="0"/>
    </xf>
    <xf numFmtId="1" fontId="29" fillId="0" borderId="15" xfId="44" applyNumberFormat="1" applyFont="1" applyBorder="1" applyAlignment="1">
      <alignment wrapText="1"/>
    </xf>
    <xf numFmtId="1" fontId="29" fillId="6" borderId="121" xfId="44" applyNumberFormat="1" applyFont="1" applyFill="1" applyBorder="1" applyProtection="1">
      <protection locked="0"/>
    </xf>
    <xf numFmtId="1" fontId="29" fillId="0" borderId="51" xfId="44" applyNumberFormat="1" applyFont="1" applyBorder="1" applyAlignment="1">
      <alignment horizontal="center" wrapText="1"/>
    </xf>
    <xf numFmtId="1" fontId="29" fillId="0" borderId="10" xfId="44" applyNumberFormat="1" applyFont="1" applyBorder="1"/>
    <xf numFmtId="1" fontId="29" fillId="0" borderId="20" xfId="44" applyNumberFormat="1" applyFont="1" applyBorder="1"/>
    <xf numFmtId="1" fontId="29" fillId="0" borderId="29" xfId="44" applyNumberFormat="1" applyFont="1" applyBorder="1"/>
    <xf numFmtId="1" fontId="29" fillId="0" borderId="12" xfId="44" applyNumberFormat="1" applyFont="1" applyBorder="1"/>
    <xf numFmtId="1" fontId="29" fillId="0" borderId="0" xfId="44" applyNumberFormat="1" applyFont="1"/>
    <xf numFmtId="1" fontId="29" fillId="0" borderId="37" xfId="0" applyNumberFormat="1" applyFont="1" applyBorder="1" applyAlignment="1">
      <alignment horizontal="left"/>
    </xf>
    <xf numFmtId="1" fontId="29" fillId="0" borderId="51" xfId="0" applyNumberFormat="1" applyFont="1" applyBorder="1" applyAlignment="1">
      <alignment horizontal="left"/>
    </xf>
    <xf numFmtId="1" fontId="29" fillId="14" borderId="57" xfId="0" applyNumberFormat="1" applyFont="1" applyFill="1" applyBorder="1"/>
    <xf numFmtId="1" fontId="31" fillId="11" borderId="0" xfId="0" applyNumberFormat="1" applyFont="1" applyFill="1" applyAlignment="1">
      <alignment horizontal="left"/>
    </xf>
    <xf numFmtId="1" fontId="29" fillId="11" borderId="2" xfId="44" applyNumberFormat="1" applyFont="1" applyFill="1" applyBorder="1" applyAlignment="1">
      <alignment horizontal="center" vertical="center" wrapText="1"/>
    </xf>
    <xf numFmtId="2" fontId="29" fillId="11" borderId="29" xfId="0" applyNumberFormat="1" applyFont="1" applyFill="1" applyBorder="1" applyAlignment="1">
      <alignment horizontal="center" vertical="center" wrapText="1"/>
    </xf>
    <xf numFmtId="2" fontId="29" fillId="0" borderId="2" xfId="0" applyNumberFormat="1" applyFont="1" applyBorder="1"/>
    <xf numFmtId="2" fontId="29" fillId="0" borderId="29" xfId="0" applyNumberFormat="1" applyFont="1" applyBorder="1"/>
    <xf numFmtId="2" fontId="29" fillId="0" borderId="11" xfId="0" applyNumberFormat="1" applyFont="1" applyBorder="1"/>
    <xf numFmtId="2" fontId="29" fillId="0" borderId="12" xfId="0" applyNumberFormat="1" applyFont="1" applyBorder="1"/>
    <xf numFmtId="1" fontId="29" fillId="0" borderId="37" xfId="44" applyNumberFormat="1" applyFont="1" applyBorder="1" applyAlignment="1">
      <alignment horizontal="left" vertical="center" wrapText="1"/>
    </xf>
    <xf numFmtId="2" fontId="29" fillId="6" borderId="37" xfId="44" applyNumberFormat="1" applyFont="1" applyFill="1" applyBorder="1" applyAlignment="1" applyProtection="1">
      <alignment horizontal="right"/>
      <protection locked="0"/>
    </xf>
    <xf numFmtId="2" fontId="29" fillId="6" borderId="39" xfId="44" applyNumberFormat="1" applyFont="1" applyFill="1" applyBorder="1" applyAlignment="1" applyProtection="1">
      <alignment horizontal="right"/>
      <protection locked="0"/>
    </xf>
    <xf numFmtId="2" fontId="29" fillId="6" borderId="41" xfId="44" applyNumberFormat="1" applyFont="1" applyFill="1" applyBorder="1" applyAlignment="1" applyProtection="1">
      <alignment horizontal="right"/>
      <protection locked="0"/>
    </xf>
    <xf numFmtId="2" fontId="29" fillId="6" borderId="112" xfId="44" applyNumberFormat="1" applyFont="1" applyFill="1" applyBorder="1" applyAlignment="1" applyProtection="1">
      <alignment horizontal="right"/>
      <protection locked="0"/>
    </xf>
    <xf numFmtId="1" fontId="29" fillId="11" borderId="0" xfId="44" applyNumberFormat="1" applyFont="1" applyFill="1" applyAlignment="1" applyProtection="1">
      <alignment horizontal="left"/>
      <protection locked="0"/>
    </xf>
    <xf numFmtId="2" fontId="29" fillId="6" borderId="51" xfId="44" applyNumberFormat="1" applyFont="1" applyFill="1" applyBorder="1" applyAlignment="1" applyProtection="1">
      <alignment horizontal="right"/>
      <protection locked="0"/>
    </xf>
    <xf numFmtId="2" fontId="29" fillId="6" borderId="53" xfId="0" applyNumberFormat="1" applyFont="1" applyFill="1" applyBorder="1" applyProtection="1">
      <protection locked="0"/>
    </xf>
    <xf numFmtId="2" fontId="29" fillId="6" borderId="54" xfId="0" applyNumberFormat="1" applyFont="1" applyFill="1" applyBorder="1" applyProtection="1">
      <protection locked="0"/>
    </xf>
    <xf numFmtId="2" fontId="29" fillId="6" borderId="121" xfId="0" applyNumberFormat="1" applyFont="1" applyFill="1" applyBorder="1" applyProtection="1">
      <protection locked="0"/>
    </xf>
    <xf numFmtId="2" fontId="29" fillId="6" borderId="121" xfId="44" applyNumberFormat="1" applyFont="1" applyFill="1" applyBorder="1" applyAlignment="1" applyProtection="1">
      <alignment horizontal="right"/>
      <protection locked="0"/>
    </xf>
    <xf numFmtId="0" fontId="31" fillId="0" borderId="635" xfId="0" applyFont="1" applyBorder="1"/>
    <xf numFmtId="1" fontId="31" fillId="11" borderId="0" xfId="44" applyNumberFormat="1" applyFont="1" applyFill="1" applyAlignment="1" applyProtection="1">
      <alignment wrapText="1"/>
      <protection hidden="1"/>
    </xf>
    <xf numFmtId="1" fontId="29" fillId="11" borderId="10" xfId="44" applyNumberFormat="1" applyFont="1" applyFill="1" applyBorder="1" applyAlignment="1">
      <alignment horizontal="center" vertical="center" wrapText="1"/>
    </xf>
    <xf numFmtId="1" fontId="29" fillId="11" borderId="29" xfId="44" applyNumberFormat="1" applyFont="1" applyFill="1" applyBorder="1" applyAlignment="1">
      <alignment horizontal="center" vertical="center" wrapText="1"/>
    </xf>
    <xf numFmtId="1" fontId="29" fillId="11" borderId="7" xfId="44" applyNumberFormat="1" applyFont="1" applyFill="1" applyBorder="1" applyAlignment="1">
      <alignment horizontal="center" vertical="center" wrapText="1"/>
    </xf>
    <xf numFmtId="1" fontId="29" fillId="6" borderId="103" xfId="44" applyNumberFormat="1" applyFont="1" applyFill="1" applyBorder="1" applyProtection="1">
      <protection locked="0"/>
    </xf>
    <xf numFmtId="1" fontId="29" fillId="6" borderId="50" xfId="44" applyNumberFormat="1" applyFont="1" applyFill="1" applyBorder="1" applyProtection="1">
      <protection locked="0"/>
    </xf>
    <xf numFmtId="1" fontId="29" fillId="11" borderId="2" xfId="44" applyNumberFormat="1" applyFont="1" applyFill="1" applyBorder="1" applyAlignment="1">
      <alignment horizontal="center" wrapText="1"/>
    </xf>
    <xf numFmtId="1" fontId="29" fillId="11" borderId="10" xfId="44" applyNumberFormat="1" applyFont="1" applyFill="1" applyBorder="1" applyAlignment="1">
      <alignment horizontal="right"/>
    </xf>
    <xf numFmtId="1" fontId="29" fillId="11" borderId="7" xfId="44" applyNumberFormat="1" applyFont="1" applyFill="1" applyBorder="1" applyAlignment="1">
      <alignment horizontal="right"/>
    </xf>
    <xf numFmtId="1" fontId="29" fillId="0" borderId="48" xfId="44" applyNumberFormat="1" applyFont="1" applyBorder="1"/>
    <xf numFmtId="1" fontId="29" fillId="6" borderId="46" xfId="44" applyNumberFormat="1" applyFont="1" applyFill="1" applyBorder="1" applyProtection="1">
      <protection locked="0"/>
    </xf>
    <xf numFmtId="1" fontId="29" fillId="6" borderId="393" xfId="44" applyNumberFormat="1" applyFont="1" applyFill="1" applyBorder="1" applyProtection="1">
      <protection locked="0"/>
    </xf>
    <xf numFmtId="1" fontId="29" fillId="6" borderId="636" xfId="44" applyNumberFormat="1" applyFont="1" applyFill="1" applyBorder="1" applyProtection="1">
      <protection locked="0"/>
    </xf>
    <xf numFmtId="1" fontId="29" fillId="6" borderId="545" xfId="44" applyNumberFormat="1" applyFont="1" applyFill="1" applyBorder="1" applyProtection="1">
      <protection locked="0"/>
    </xf>
    <xf numFmtId="1" fontId="29" fillId="15" borderId="637" xfId="44" applyNumberFormat="1" applyFont="1" applyFill="1" applyBorder="1"/>
    <xf numFmtId="1" fontId="29" fillId="15" borderId="49" xfId="44" applyNumberFormat="1" applyFont="1" applyFill="1" applyBorder="1"/>
    <xf numFmtId="1" fontId="29" fillId="6" borderId="282" xfId="44" applyNumberFormat="1" applyFont="1" applyFill="1" applyBorder="1" applyProtection="1">
      <protection locked="0"/>
    </xf>
    <xf numFmtId="1" fontId="29" fillId="6" borderId="140" xfId="44" applyNumberFormat="1" applyFont="1" applyFill="1" applyBorder="1" applyProtection="1">
      <protection locked="0"/>
    </xf>
    <xf numFmtId="1" fontId="29" fillId="6" borderId="638" xfId="44" applyNumberFormat="1" applyFont="1" applyFill="1" applyBorder="1" applyProtection="1">
      <protection locked="0"/>
    </xf>
    <xf numFmtId="1" fontId="29" fillId="6" borderId="639" xfId="44" applyNumberFormat="1" applyFont="1" applyFill="1" applyBorder="1" applyProtection="1">
      <protection locked="0"/>
    </xf>
    <xf numFmtId="1" fontId="29" fillId="15" borderId="639" xfId="44" applyNumberFormat="1" applyFont="1" applyFill="1" applyBorder="1"/>
    <xf numFmtId="1" fontId="29" fillId="6" borderId="198" xfId="44" applyNumberFormat="1" applyFont="1" applyFill="1" applyBorder="1" applyProtection="1">
      <protection locked="0"/>
    </xf>
    <xf numFmtId="1" fontId="29" fillId="11" borderId="20" xfId="44" applyNumberFormat="1" applyFont="1" applyFill="1" applyBorder="1" applyAlignment="1">
      <alignment horizontal="right"/>
    </xf>
    <xf numFmtId="1" fontId="29" fillId="11" borderId="7" xfId="44" applyNumberFormat="1" applyFont="1" applyFill="1" applyBorder="1" applyAlignment="1">
      <alignment horizontal="center"/>
    </xf>
    <xf numFmtId="1" fontId="29" fillId="11" borderId="640" xfId="44" applyNumberFormat="1" applyFont="1" applyFill="1" applyBorder="1"/>
    <xf numFmtId="1" fontId="29" fillId="11" borderId="134" xfId="44" applyNumberFormat="1" applyFont="1" applyFill="1" applyBorder="1" applyAlignment="1">
      <alignment horizontal="right"/>
    </xf>
    <xf numFmtId="1" fontId="29" fillId="0" borderId="74" xfId="0" applyNumberFormat="1" applyFont="1" applyBorder="1" applyAlignment="1">
      <alignment horizontal="center" vertical="center"/>
    </xf>
    <xf numFmtId="1" fontId="29" fillId="0" borderId="270" xfId="0" applyNumberFormat="1" applyFont="1" applyBorder="1" applyAlignment="1">
      <alignment horizontal="center" vertical="center"/>
    </xf>
    <xf numFmtId="1" fontId="29" fillId="0" borderId="38" xfId="0" applyNumberFormat="1" applyFont="1" applyBorder="1" applyAlignment="1">
      <alignment vertical="center"/>
    </xf>
    <xf numFmtId="1" fontId="29" fillId="0" borderId="38" xfId="0" applyNumberFormat="1" applyFont="1" applyBorder="1" applyAlignment="1">
      <alignment horizontal="right" vertical="center"/>
    </xf>
    <xf numFmtId="1" fontId="29" fillId="0" borderId="39" xfId="0" applyNumberFormat="1" applyFont="1" applyBorder="1" applyAlignment="1">
      <alignment horizontal="right" vertical="center"/>
    </xf>
    <xf numFmtId="1" fontId="29" fillId="0" borderId="98" xfId="0" applyNumberFormat="1" applyFont="1" applyBorder="1" applyAlignment="1">
      <alignment horizontal="right" vertical="center"/>
    </xf>
    <xf numFmtId="1" fontId="29" fillId="0" borderId="128" xfId="0" applyNumberFormat="1" applyFont="1" applyBorder="1" applyAlignment="1">
      <alignment vertical="center"/>
    </xf>
    <xf numFmtId="1" fontId="29" fillId="0" borderId="100" xfId="0" applyNumberFormat="1" applyFont="1" applyBorder="1" applyAlignment="1">
      <alignment horizontal="right" vertical="center"/>
    </xf>
    <xf numFmtId="1" fontId="29" fillId="0" borderId="131" xfId="0" applyNumberFormat="1" applyFont="1" applyBorder="1" applyAlignment="1">
      <alignment horizontal="right" vertical="center"/>
    </xf>
    <xf numFmtId="1" fontId="29" fillId="0" borderId="103" xfId="0" applyNumberFormat="1" applyFont="1" applyBorder="1" applyAlignment="1">
      <alignment horizontal="right" vertical="center"/>
    </xf>
    <xf numFmtId="1" fontId="29" fillId="0" borderId="131" xfId="0" applyNumberFormat="1" applyFont="1" applyBorder="1" applyAlignment="1">
      <alignment horizontal="right" vertical="center" wrapText="1"/>
    </xf>
    <xf numFmtId="1" fontId="29" fillId="0" borderId="100" xfId="0" applyNumberFormat="1" applyFont="1" applyBorder="1" applyAlignment="1">
      <alignment vertical="center"/>
    </xf>
    <xf numFmtId="1" fontId="29" fillId="0" borderId="100" xfId="0" applyNumberFormat="1" applyFont="1" applyBorder="1" applyAlignment="1">
      <alignment vertical="center" wrapText="1"/>
    </xf>
    <xf numFmtId="1" fontId="29" fillId="14" borderId="142" xfId="0" applyNumberFormat="1" applyFont="1" applyFill="1" applyBorder="1" applyAlignment="1">
      <alignment horizontal="right"/>
    </xf>
    <xf numFmtId="1" fontId="29" fillId="0" borderId="52" xfId="0" applyNumberFormat="1" applyFont="1" applyBorder="1" applyAlignment="1">
      <alignment vertical="center" wrapText="1"/>
    </xf>
    <xf numFmtId="1" fontId="29" fillId="0" borderId="53" xfId="0" applyNumberFormat="1" applyFont="1" applyBorder="1" applyAlignment="1">
      <alignment horizontal="right" vertical="center" wrapText="1"/>
    </xf>
    <xf numFmtId="1" fontId="29" fillId="0" borderId="62" xfId="0" applyNumberFormat="1" applyFont="1" applyBorder="1" applyAlignment="1">
      <alignment horizontal="right" vertical="center"/>
    </xf>
    <xf numFmtId="1" fontId="29" fillId="0" borderId="80" xfId="0" applyNumberFormat="1" applyFont="1" applyBorder="1" applyAlignment="1">
      <alignment horizontal="right" vertical="center"/>
    </xf>
    <xf numFmtId="1" fontId="29" fillId="0" borderId="76" xfId="0" applyNumberFormat="1" applyFont="1" applyBorder="1" applyAlignment="1">
      <alignment horizontal="right" vertical="center"/>
    </xf>
    <xf numFmtId="1" fontId="29" fillId="0" borderId="36" xfId="0" applyNumberFormat="1" applyFont="1" applyBorder="1" applyAlignment="1">
      <alignment horizontal="right" vertical="center"/>
    </xf>
    <xf numFmtId="1" fontId="29" fillId="0" borderId="49" xfId="0" applyNumberFormat="1" applyFont="1" applyBorder="1" applyAlignment="1">
      <alignment horizontal="right" vertical="center"/>
    </xf>
    <xf numFmtId="1" fontId="29" fillId="14" borderId="166" xfId="0" applyNumberFormat="1" applyFont="1" applyFill="1" applyBorder="1" applyAlignment="1">
      <alignment horizontal="right"/>
    </xf>
    <xf numFmtId="0" fontId="29" fillId="11" borderId="0" xfId="0" applyFont="1" applyFill="1"/>
    <xf numFmtId="1" fontId="29" fillId="0" borderId="70" xfId="0" applyNumberFormat="1" applyFont="1" applyBorder="1" applyAlignment="1">
      <alignment horizontal="right" vertical="center" wrapText="1"/>
    </xf>
    <xf numFmtId="1" fontId="29" fillId="0" borderId="50" xfId="0" applyNumberFormat="1" applyFont="1" applyBorder="1" applyAlignment="1">
      <alignment horizontal="right" vertical="center"/>
    </xf>
    <xf numFmtId="1" fontId="29" fillId="14" borderId="69" xfId="0" applyNumberFormat="1" applyFont="1" applyFill="1" applyBorder="1" applyAlignment="1">
      <alignment horizontal="right"/>
    </xf>
    <xf numFmtId="1" fontId="29" fillId="14" borderId="122" xfId="0" applyNumberFormat="1" applyFont="1" applyFill="1" applyBorder="1" applyAlignment="1">
      <alignment horizontal="right"/>
    </xf>
    <xf numFmtId="1" fontId="29" fillId="14" borderId="13" xfId="0" applyNumberFormat="1" applyFont="1" applyFill="1" applyBorder="1" applyAlignment="1">
      <alignment horizontal="right"/>
    </xf>
    <xf numFmtId="1" fontId="29" fillId="14" borderId="87" xfId="0" applyNumberFormat="1" applyFont="1" applyFill="1" applyBorder="1" applyAlignment="1">
      <alignment horizontal="right"/>
    </xf>
    <xf numFmtId="1" fontId="29" fillId="6" borderId="170" xfId="0" applyNumberFormat="1" applyFont="1" applyFill="1" applyBorder="1" applyAlignment="1" applyProtection="1">
      <alignment horizontal="right"/>
      <protection locked="0"/>
    </xf>
    <xf numFmtId="1" fontId="29" fillId="14" borderId="38" xfId="38" applyNumberFormat="1" applyFont="1" applyFill="1" applyBorder="1"/>
    <xf numFmtId="1" fontId="29" fillId="14" borderId="98" xfId="38" applyNumberFormat="1" applyFont="1" applyFill="1" applyBorder="1"/>
    <xf numFmtId="1" fontId="29" fillId="14" borderId="100" xfId="38" applyNumberFormat="1" applyFont="1" applyFill="1" applyBorder="1"/>
    <xf numFmtId="1" fontId="29" fillId="14" borderId="103" xfId="38" applyNumberFormat="1" applyFont="1" applyFill="1" applyBorder="1"/>
    <xf numFmtId="1" fontId="29" fillId="14" borderId="171" xfId="38" applyNumberFormat="1" applyFont="1" applyFill="1" applyBorder="1"/>
    <xf numFmtId="1" fontId="29" fillId="0" borderId="54" xfId="0" applyNumberFormat="1" applyFont="1" applyBorder="1" applyAlignment="1">
      <alignment horizontal="right" vertical="center" wrapText="1"/>
    </xf>
    <xf numFmtId="1" fontId="29" fillId="0" borderId="64" xfId="0" applyNumberFormat="1" applyFont="1" applyBorder="1" applyAlignment="1">
      <alignment horizontal="right" vertical="center"/>
    </xf>
    <xf numFmtId="1" fontId="29" fillId="0" borderId="40" xfId="0" applyNumberFormat="1" applyFont="1" applyBorder="1" applyAlignment="1">
      <alignment horizontal="right" vertical="center"/>
    </xf>
    <xf numFmtId="1" fontId="29" fillId="0" borderId="101" xfId="0" applyNumberFormat="1" applyFont="1" applyBorder="1" applyAlignment="1">
      <alignment horizontal="right" vertical="center"/>
    </xf>
    <xf numFmtId="1" fontId="29" fillId="0" borderId="101" xfId="0" applyNumberFormat="1" applyFont="1" applyBorder="1" applyAlignment="1">
      <alignment horizontal="right" vertical="center" wrapText="1"/>
    </xf>
    <xf numFmtId="1" fontId="29" fillId="0" borderId="52" xfId="0" applyNumberFormat="1" applyFont="1" applyBorder="1" applyAlignment="1">
      <alignment horizontal="right" vertical="center"/>
    </xf>
    <xf numFmtId="1" fontId="29" fillId="0" borderId="78" xfId="0" applyNumberFormat="1" applyFont="1" applyBorder="1" applyAlignment="1">
      <alignment horizontal="right" vertical="center"/>
    </xf>
    <xf numFmtId="1" fontId="29" fillId="0" borderId="6" xfId="0" applyNumberFormat="1" applyFont="1" applyBorder="1" applyAlignment="1">
      <alignment horizontal="right"/>
    </xf>
    <xf numFmtId="1" fontId="29" fillId="0" borderId="164" xfId="38" applyNumberFormat="1" applyFont="1" applyBorder="1" applyAlignment="1">
      <alignment horizontal="center" vertical="center" wrapText="1"/>
    </xf>
    <xf numFmtId="1" fontId="29" fillId="0" borderId="74" xfId="38" applyNumberFormat="1" applyFont="1" applyBorder="1" applyAlignment="1">
      <alignment horizontal="center" vertical="center" wrapText="1"/>
    </xf>
    <xf numFmtId="1" fontId="29" fillId="0" borderId="50" xfId="38" applyNumberFormat="1" applyFont="1" applyBorder="1" applyAlignment="1">
      <alignment horizontal="center" vertical="center"/>
    </xf>
    <xf numFmtId="1" fontId="29" fillId="0" borderId="136" xfId="38" applyNumberFormat="1" applyFont="1" applyBorder="1" applyAlignment="1" applyProtection="1">
      <alignment horizontal="center" vertical="center"/>
      <protection hidden="1"/>
    </xf>
    <xf numFmtId="1" fontId="29" fillId="0" borderId="12" xfId="38" applyNumberFormat="1" applyFont="1" applyBorder="1" applyAlignment="1" applyProtection="1">
      <alignment horizontal="center" vertical="center"/>
      <protection hidden="1"/>
    </xf>
    <xf numFmtId="1" fontId="29" fillId="0" borderId="89" xfId="37" applyNumberFormat="1" applyFont="1" applyBorder="1" applyAlignment="1">
      <alignment wrapText="1"/>
    </xf>
    <xf numFmtId="1" fontId="29" fillId="0" borderId="38" xfId="37" applyNumberFormat="1" applyFont="1" applyBorder="1" applyAlignment="1">
      <alignment horizontal="right" wrapText="1"/>
    </xf>
    <xf numFmtId="1" fontId="29" fillId="0" borderId="39" xfId="37" applyNumberFormat="1" applyFont="1" applyBorder="1" applyAlignment="1">
      <alignment horizontal="right" wrapText="1"/>
    </xf>
    <xf numFmtId="1" fontId="29" fillId="0" borderId="98" xfId="38" applyNumberFormat="1" applyFont="1" applyBorder="1" applyAlignment="1">
      <alignment horizontal="right"/>
    </xf>
    <xf numFmtId="1" fontId="29" fillId="6" borderId="38" xfId="38" applyNumberFormat="1" applyFont="1" applyFill="1" applyBorder="1" applyProtection="1">
      <protection locked="0"/>
    </xf>
    <xf numFmtId="1" fontId="29" fillId="6" borderId="98" xfId="38" applyNumberFormat="1" applyFont="1" applyFill="1" applyBorder="1" applyProtection="1">
      <protection locked="0"/>
    </xf>
    <xf numFmtId="1" fontId="29" fillId="14" borderId="49" xfId="38" applyNumberFormat="1" applyFont="1" applyFill="1" applyBorder="1"/>
    <xf numFmtId="1" fontId="29" fillId="14" borderId="138" xfId="38" applyNumberFormat="1" applyFont="1" applyFill="1" applyBorder="1"/>
    <xf numFmtId="1" fontId="29" fillId="6" borderId="44" xfId="38" applyNumberFormat="1" applyFont="1" applyFill="1" applyBorder="1" applyProtection="1">
      <protection locked="0"/>
    </xf>
    <xf numFmtId="1" fontId="29" fillId="6" borderId="118" xfId="38" applyNumberFormat="1" applyFont="1" applyFill="1" applyBorder="1" applyProtection="1">
      <protection locked="0"/>
    </xf>
    <xf numFmtId="1" fontId="29" fillId="6" borderId="48" xfId="38" applyNumberFormat="1" applyFont="1" applyFill="1" applyBorder="1" applyProtection="1">
      <protection locked="0"/>
    </xf>
    <xf numFmtId="1" fontId="29" fillId="6" borderId="63" xfId="38" applyNumberFormat="1" applyFont="1" applyFill="1" applyBorder="1" applyProtection="1">
      <protection locked="0"/>
    </xf>
    <xf numFmtId="1" fontId="29" fillId="0" borderId="128" xfId="39" applyNumberFormat="1" applyFont="1" applyBorder="1" applyAlignment="1">
      <alignment vertical="center" wrapText="1"/>
    </xf>
    <xf numFmtId="1" fontId="29" fillId="0" borderId="100" xfId="39" applyNumberFormat="1" applyFont="1" applyBorder="1" applyAlignment="1">
      <alignment horizontal="right" wrapText="1"/>
    </xf>
    <xf numFmtId="1" fontId="29" fillId="0" borderId="131" xfId="39" applyNumberFormat="1" applyFont="1" applyBorder="1" applyAlignment="1">
      <alignment horizontal="right" wrapText="1"/>
    </xf>
    <xf numFmtId="1" fontId="29" fillId="0" borderId="103" xfId="38" applyNumberFormat="1" applyFont="1" applyBorder="1" applyAlignment="1">
      <alignment horizontal="right"/>
    </xf>
    <xf numFmtId="1" fontId="29" fillId="14" borderId="50" xfId="38" applyNumberFormat="1" applyFont="1" applyFill="1" applyBorder="1"/>
    <xf numFmtId="1" fontId="29" fillId="6" borderId="69" xfId="38" applyNumberFormat="1" applyFont="1" applyFill="1" applyBorder="1" applyProtection="1">
      <protection locked="0"/>
    </xf>
    <xf numFmtId="1" fontId="29" fillId="6" borderId="50" xfId="38" applyNumberFormat="1" applyFont="1" applyFill="1" applyBorder="1" applyProtection="1">
      <protection locked="0"/>
    </xf>
    <xf numFmtId="1" fontId="29" fillId="6" borderId="71" xfId="38" applyNumberFormat="1" applyFont="1" applyFill="1" applyBorder="1" applyProtection="1">
      <protection locked="0"/>
    </xf>
    <xf numFmtId="1" fontId="29" fillId="6" borderId="171" xfId="38" applyNumberFormat="1" applyFont="1" applyFill="1" applyBorder="1" applyProtection="1">
      <protection locked="0"/>
    </xf>
    <xf numFmtId="1" fontId="29" fillId="6" borderId="100" xfId="38" applyNumberFormat="1" applyFont="1" applyFill="1" applyBorder="1" applyProtection="1">
      <protection locked="0"/>
    </xf>
    <xf numFmtId="1" fontId="29" fillId="6" borderId="103" xfId="38" applyNumberFormat="1" applyFont="1" applyFill="1" applyBorder="1" applyProtection="1">
      <protection locked="0"/>
    </xf>
    <xf numFmtId="1" fontId="29" fillId="6" borderId="140" xfId="38" applyNumberFormat="1" applyFont="1" applyFill="1" applyBorder="1" applyProtection="1">
      <protection locked="0"/>
    </xf>
    <xf numFmtId="1" fontId="29" fillId="6" borderId="117" xfId="38" applyNumberFormat="1" applyFont="1" applyFill="1" applyBorder="1" applyProtection="1">
      <protection locked="0"/>
    </xf>
    <xf numFmtId="1" fontId="29" fillId="6" borderId="116" xfId="38" applyNumberFormat="1" applyFont="1" applyFill="1" applyBorder="1" applyProtection="1">
      <protection locked="0"/>
    </xf>
    <xf numFmtId="1" fontId="29" fillId="6" borderId="99" xfId="38" applyNumberFormat="1" applyFont="1" applyFill="1" applyBorder="1" applyProtection="1">
      <protection locked="0"/>
    </xf>
    <xf numFmtId="1" fontId="29" fillId="0" borderId="64" xfId="39" applyNumberFormat="1" applyFont="1" applyBorder="1" applyAlignment="1">
      <alignment horizontal="right" wrapText="1"/>
    </xf>
    <xf numFmtId="1" fontId="29" fillId="0" borderId="65" xfId="39" applyNumberFormat="1" applyFont="1" applyBorder="1" applyAlignment="1">
      <alignment horizontal="right" wrapText="1"/>
    </xf>
    <xf numFmtId="1" fontId="29" fillId="0" borderId="49" xfId="38" applyNumberFormat="1" applyFont="1" applyBorder="1" applyAlignment="1">
      <alignment horizontal="right"/>
    </xf>
    <xf numFmtId="1" fontId="29" fillId="14" borderId="64" xfId="38" applyNumberFormat="1" applyFont="1" applyFill="1" applyBorder="1"/>
    <xf numFmtId="1" fontId="29" fillId="6" borderId="64" xfId="38" applyNumberFormat="1" applyFont="1" applyFill="1" applyBorder="1" applyProtection="1">
      <protection locked="0"/>
    </xf>
    <xf numFmtId="1" fontId="29" fillId="6" borderId="49" xfId="38" applyNumberFormat="1" applyFont="1" applyFill="1" applyBorder="1" applyProtection="1">
      <protection locked="0"/>
    </xf>
    <xf numFmtId="1" fontId="29" fillId="0" borderId="166" xfId="0" applyNumberFormat="1" applyFont="1" applyBorder="1" applyAlignment="1">
      <alignment vertical="center"/>
    </xf>
    <xf numFmtId="1" fontId="29" fillId="0" borderId="65" xfId="0" applyNumberFormat="1" applyFont="1" applyBorder="1" applyAlignment="1">
      <alignment horizontal="right"/>
    </xf>
    <xf numFmtId="1" fontId="29" fillId="0" borderId="128" xfId="37" applyNumberFormat="1" applyFont="1" applyBorder="1" applyAlignment="1">
      <alignment vertical="center" wrapText="1"/>
    </xf>
    <xf numFmtId="1" fontId="29" fillId="0" borderId="99" xfId="37" applyNumberFormat="1" applyFont="1" applyBorder="1" applyAlignment="1">
      <alignment vertical="center" wrapText="1"/>
    </xf>
    <xf numFmtId="1" fontId="29" fillId="6" borderId="77" xfId="38" applyNumberFormat="1" applyFont="1" applyFill="1" applyBorder="1" applyProtection="1">
      <protection locked="0"/>
    </xf>
    <xf numFmtId="1" fontId="29" fillId="6" borderId="167" xfId="38" applyNumberFormat="1" applyFont="1" applyFill="1" applyBorder="1" applyProtection="1">
      <protection locked="0"/>
    </xf>
    <xf numFmtId="1" fontId="29" fillId="6" borderId="197" xfId="38" applyNumberFormat="1" applyFont="1" applyFill="1" applyBorder="1" applyProtection="1">
      <protection locked="0"/>
    </xf>
    <xf numFmtId="1" fontId="29" fillId="6" borderId="86" xfId="38" applyNumberFormat="1" applyFont="1" applyFill="1" applyBorder="1" applyProtection="1">
      <protection locked="0"/>
    </xf>
    <xf numFmtId="1" fontId="29" fillId="0" borderId="140" xfId="0" applyNumberFormat="1" applyFont="1" applyBorder="1" applyAlignment="1">
      <alignment vertical="center" wrapText="1"/>
    </xf>
    <xf numFmtId="1" fontId="29" fillId="0" borderId="51" xfId="37" applyNumberFormat="1" applyFont="1" applyBorder="1" applyAlignment="1">
      <alignment vertical="center" wrapText="1"/>
    </xf>
    <xf numFmtId="1" fontId="29" fillId="0" borderId="62" xfId="38" applyNumberFormat="1" applyFont="1" applyBorder="1" applyAlignment="1">
      <alignment horizontal="right"/>
    </xf>
    <xf numFmtId="1" fontId="29" fillId="6" borderId="52" xfId="38" applyNumberFormat="1" applyFont="1" applyFill="1" applyBorder="1" applyProtection="1">
      <protection locked="0"/>
    </xf>
    <xf numFmtId="1" fontId="29" fillId="6" borderId="62" xfId="38" applyNumberFormat="1" applyFont="1" applyFill="1" applyBorder="1" applyProtection="1">
      <protection locked="0"/>
    </xf>
    <xf numFmtId="1" fontId="29" fillId="6" borderId="61" xfId="38" applyNumberFormat="1" applyFont="1" applyFill="1" applyBorder="1" applyProtection="1">
      <protection locked="0"/>
    </xf>
    <xf numFmtId="1" fontId="29" fillId="6" borderId="57" xfId="38" applyNumberFormat="1" applyFont="1" applyFill="1" applyBorder="1" applyProtection="1">
      <protection locked="0"/>
    </xf>
    <xf numFmtId="1" fontId="29" fillId="6" borderId="121" xfId="38" applyNumberFormat="1" applyFont="1" applyFill="1" applyBorder="1" applyProtection="1">
      <protection locked="0"/>
    </xf>
    <xf numFmtId="1" fontId="29" fillId="6" borderId="51" xfId="38" applyNumberFormat="1" applyFont="1" applyFill="1" applyBorder="1" applyProtection="1">
      <protection locked="0"/>
    </xf>
    <xf numFmtId="1" fontId="29" fillId="0" borderId="158" xfId="0" applyNumberFormat="1" applyFont="1" applyBorder="1" applyAlignment="1">
      <alignment horizontal="center" vertical="center"/>
    </xf>
    <xf numFmtId="1" fontId="29" fillId="6" borderId="165" xfId="0" applyNumberFormat="1" applyFont="1" applyFill="1" applyBorder="1" applyProtection="1">
      <protection locked="0"/>
    </xf>
    <xf numFmtId="1" fontId="29" fillId="0" borderId="165" xfId="0" applyNumberFormat="1" applyFont="1" applyBorder="1"/>
    <xf numFmtId="1" fontId="29" fillId="0" borderId="50" xfId="0" applyNumberFormat="1" applyFont="1" applyBorder="1" applyAlignment="1">
      <alignment horizontal="right"/>
    </xf>
    <xf numFmtId="1" fontId="29" fillId="0" borderId="89" xfId="0" applyNumberFormat="1" applyFont="1" applyBorder="1" applyAlignment="1">
      <alignment vertical="center"/>
    </xf>
    <xf numFmtId="1" fontId="29" fillId="14" borderId="112" xfId="38" applyNumberFormat="1" applyFont="1" applyFill="1" applyBorder="1"/>
    <xf numFmtId="1" fontId="29" fillId="14" borderId="39" xfId="38" applyNumberFormat="1" applyFont="1" applyFill="1" applyBorder="1"/>
    <xf numFmtId="1" fontId="29" fillId="14" borderId="75" xfId="38" applyNumberFormat="1" applyFont="1" applyFill="1" applyBorder="1"/>
    <xf numFmtId="1" fontId="29" fillId="14" borderId="89" xfId="38" applyNumberFormat="1" applyFont="1" applyFill="1" applyBorder="1"/>
    <xf numFmtId="1" fontId="29" fillId="14" borderId="131" xfId="38" applyNumberFormat="1" applyFont="1" applyFill="1" applyBorder="1"/>
    <xf numFmtId="1" fontId="29" fillId="14" borderId="142" xfId="38" applyNumberFormat="1" applyFont="1" applyFill="1" applyBorder="1"/>
    <xf numFmtId="1" fontId="29" fillId="14" borderId="116" xfId="38" applyNumberFormat="1" applyFont="1" applyFill="1" applyBorder="1"/>
    <xf numFmtId="1" fontId="29" fillId="0" borderId="168" xfId="0" applyNumberFormat="1" applyFont="1" applyBorder="1" applyAlignment="1">
      <alignment vertical="center"/>
    </xf>
    <xf numFmtId="1" fontId="29" fillId="0" borderId="10" xfId="0" applyNumberFormat="1" applyFont="1" applyBorder="1" applyAlignment="1">
      <alignment horizontal="right" vertical="center"/>
    </xf>
    <xf numFmtId="1" fontId="31" fillId="7" borderId="9" xfId="0" applyNumberFormat="1" applyFont="1" applyFill="1" applyBorder="1"/>
    <xf numFmtId="1" fontId="29" fillId="14" borderId="98" xfId="0" applyNumberFormat="1" applyFont="1" applyFill="1" applyBorder="1" applyAlignment="1">
      <alignment horizontal="right"/>
    </xf>
    <xf numFmtId="1" fontId="29" fillId="7" borderId="128" xfId="0" applyNumberFormat="1" applyFont="1" applyFill="1" applyBorder="1" applyAlignment="1">
      <alignment vertical="center" wrapText="1"/>
    </xf>
    <xf numFmtId="1" fontId="29" fillId="6" borderId="197" xfId="0" applyNumberFormat="1" applyFont="1" applyFill="1" applyBorder="1" applyAlignment="1" applyProtection="1">
      <alignment horizontal="right"/>
      <protection locked="0"/>
    </xf>
    <xf numFmtId="1" fontId="29" fillId="7" borderId="127" xfId="0" applyNumberFormat="1" applyFont="1" applyFill="1" applyBorder="1" applyAlignment="1">
      <alignment vertical="center" wrapText="1"/>
    </xf>
    <xf numFmtId="1" fontId="29" fillId="0" borderId="53" xfId="0" applyNumberFormat="1" applyFont="1" applyBorder="1" applyAlignment="1">
      <alignment horizontal="right" vertical="center"/>
    </xf>
    <xf numFmtId="1" fontId="29" fillId="7" borderId="52" xfId="0" applyNumberFormat="1" applyFont="1" applyFill="1" applyBorder="1" applyAlignment="1">
      <alignment horizontal="right" vertical="center"/>
    </xf>
    <xf numFmtId="1" fontId="29" fillId="7" borderId="89" xfId="0" applyNumberFormat="1" applyFont="1" applyFill="1" applyBorder="1" applyAlignment="1">
      <alignment vertical="center" wrapText="1"/>
    </xf>
    <xf numFmtId="1" fontId="29" fillId="7" borderId="128" xfId="0" applyNumberFormat="1" applyFont="1" applyFill="1" applyBorder="1" applyAlignment="1">
      <alignment vertical="center"/>
    </xf>
    <xf numFmtId="1" fontId="29" fillId="7" borderId="100" xfId="0" applyNumberFormat="1" applyFont="1" applyFill="1" applyBorder="1" applyAlignment="1">
      <alignment horizontal="right"/>
    </xf>
    <xf numFmtId="1" fontId="29" fillId="7" borderId="131" xfId="0" applyNumberFormat="1" applyFont="1" applyFill="1" applyBorder="1" applyAlignment="1">
      <alignment horizontal="right"/>
    </xf>
    <xf numFmtId="1" fontId="29" fillId="7" borderId="127" xfId="0" applyNumberFormat="1" applyFont="1" applyFill="1" applyBorder="1" applyAlignment="1">
      <alignment vertical="center"/>
    </xf>
    <xf numFmtId="1" fontId="29" fillId="0" borderId="133" xfId="0" applyNumberFormat="1" applyFont="1" applyBorder="1" applyAlignment="1">
      <alignment horizontal="right"/>
    </xf>
    <xf numFmtId="1" fontId="32" fillId="0" borderId="0" xfId="0" applyNumberFormat="1" applyFont="1" applyAlignment="1">
      <alignment horizontal="left" wrapText="1"/>
    </xf>
    <xf numFmtId="1" fontId="29" fillId="7" borderId="51" xfId="0" applyNumberFormat="1" applyFont="1" applyFill="1" applyBorder="1" applyAlignment="1">
      <alignment horizontal="left" vertical="center" wrapText="1"/>
    </xf>
    <xf numFmtId="1" fontId="29" fillId="7" borderId="80" xfId="0" applyNumberFormat="1" applyFont="1" applyFill="1" applyBorder="1" applyAlignment="1">
      <alignment horizontal="right"/>
    </xf>
    <xf numFmtId="1" fontId="29" fillId="7" borderId="17" xfId="0" applyNumberFormat="1" applyFont="1" applyFill="1" applyBorder="1" applyAlignment="1">
      <alignment horizontal="right"/>
    </xf>
    <xf numFmtId="1" fontId="29" fillId="7" borderId="10" xfId="0" applyNumberFormat="1" applyFont="1" applyFill="1" applyBorder="1" applyAlignment="1">
      <alignment horizontal="center" vertical="center"/>
    </xf>
    <xf numFmtId="1" fontId="29" fillId="7" borderId="29" xfId="0" applyNumberFormat="1" applyFont="1" applyFill="1" applyBorder="1" applyAlignment="1">
      <alignment horizontal="center" vertical="center"/>
    </xf>
    <xf numFmtId="1" fontId="29" fillId="7" borderId="12" xfId="0" applyNumberFormat="1" applyFont="1" applyFill="1" applyBorder="1" applyAlignment="1">
      <alignment horizontal="center" vertical="center"/>
    </xf>
    <xf numFmtId="1" fontId="29" fillId="7" borderId="37" xfId="0" applyNumberFormat="1" applyFont="1" applyFill="1" applyBorder="1" applyAlignment="1">
      <alignment vertical="center" wrapText="1"/>
    </xf>
    <xf numFmtId="1" fontId="29" fillId="11" borderId="65" xfId="0" applyNumberFormat="1" applyFont="1" applyFill="1" applyBorder="1" applyAlignment="1">
      <alignment horizontal="right"/>
    </xf>
    <xf numFmtId="1" fontId="29" fillId="11" borderId="118" xfId="0" applyNumberFormat="1" applyFont="1" applyFill="1" applyBorder="1" applyAlignment="1">
      <alignment horizontal="right"/>
    </xf>
    <xf numFmtId="1" fontId="29" fillId="11" borderId="131" xfId="0" applyNumberFormat="1" applyFont="1" applyFill="1" applyBorder="1" applyAlignment="1">
      <alignment horizontal="right"/>
    </xf>
    <xf numFmtId="1" fontId="29" fillId="11" borderId="116" xfId="0" applyNumberFormat="1" applyFont="1" applyFill="1" applyBorder="1" applyAlignment="1">
      <alignment horizontal="right"/>
    </xf>
    <xf numFmtId="1" fontId="29" fillId="11" borderId="72" xfId="0" applyNumberFormat="1" applyFont="1" applyFill="1" applyBorder="1" applyAlignment="1">
      <alignment horizontal="right"/>
    </xf>
    <xf numFmtId="1" fontId="29" fillId="11" borderId="167" xfId="0" applyNumberFormat="1" applyFont="1" applyFill="1" applyBorder="1" applyAlignment="1">
      <alignment horizontal="right"/>
    </xf>
    <xf numFmtId="1" fontId="29" fillId="11" borderId="53" xfId="0" applyNumberFormat="1" applyFont="1" applyFill="1" applyBorder="1" applyAlignment="1">
      <alignment horizontal="right"/>
    </xf>
    <xf numFmtId="1" fontId="29" fillId="11" borderId="121" xfId="0" applyNumberFormat="1" applyFont="1" applyFill="1" applyBorder="1" applyAlignment="1">
      <alignment horizontal="right"/>
    </xf>
    <xf numFmtId="1" fontId="29" fillId="7" borderId="164" xfId="0" applyNumberFormat="1" applyFont="1" applyFill="1" applyBorder="1" applyAlignment="1">
      <alignment horizontal="center" vertical="center"/>
    </xf>
    <xf numFmtId="1" fontId="29" fillId="7" borderId="22" xfId="0" applyNumberFormat="1" applyFont="1" applyFill="1" applyBorder="1" applyAlignment="1">
      <alignment horizontal="center" vertical="center"/>
    </xf>
    <xf numFmtId="1" fontId="29" fillId="11" borderId="37" xfId="0" applyNumberFormat="1" applyFont="1" applyFill="1" applyBorder="1" applyAlignment="1">
      <alignment horizontal="right"/>
    </xf>
    <xf numFmtId="1" fontId="29" fillId="11" borderId="99" xfId="0" applyNumberFormat="1" applyFont="1" applyFill="1" applyBorder="1" applyAlignment="1">
      <alignment horizontal="right"/>
    </xf>
    <xf numFmtId="1" fontId="29" fillId="11" borderId="64" xfId="0" applyNumberFormat="1" applyFont="1" applyFill="1" applyBorder="1" applyAlignment="1">
      <alignment horizontal="right"/>
    </xf>
    <xf numFmtId="1" fontId="29" fillId="11" borderId="49" xfId="0" applyNumberFormat="1" applyFont="1" applyFill="1" applyBorder="1" applyAlignment="1">
      <alignment horizontal="right"/>
    </xf>
    <xf numFmtId="1" fontId="29" fillId="11" borderId="52" xfId="0" applyNumberFormat="1" applyFont="1" applyFill="1" applyBorder="1" applyAlignment="1">
      <alignment horizontal="right"/>
    </xf>
    <xf numFmtId="1" fontId="29" fillId="0" borderId="37" xfId="0" applyNumberFormat="1" applyFont="1" applyBorder="1" applyAlignment="1">
      <alignment horizontal="center" vertical="center"/>
    </xf>
    <xf numFmtId="1" fontId="29" fillId="7" borderId="98" xfId="0" applyNumberFormat="1" applyFont="1" applyFill="1" applyBorder="1" applyAlignment="1">
      <alignment vertical="center" wrapText="1"/>
    </xf>
    <xf numFmtId="1" fontId="29" fillId="7" borderId="62" xfId="0" applyNumberFormat="1" applyFont="1" applyFill="1" applyBorder="1" applyAlignment="1">
      <alignment vertical="center" wrapText="1"/>
    </xf>
    <xf numFmtId="1" fontId="29" fillId="7" borderId="65" xfId="0" applyNumberFormat="1" applyFont="1" applyFill="1" applyBorder="1" applyAlignment="1">
      <alignment vertical="center" wrapText="1"/>
    </xf>
    <xf numFmtId="1" fontId="29" fillId="7" borderId="49" xfId="0" applyNumberFormat="1" applyFont="1" applyFill="1" applyBorder="1" applyAlignment="1">
      <alignment vertical="center" wrapText="1"/>
    </xf>
    <xf numFmtId="1" fontId="0" fillId="45" borderId="0" xfId="0" applyNumberFormat="1" applyFill="1"/>
    <xf numFmtId="0" fontId="0" fillId="45" borderId="0" xfId="0" applyFill="1"/>
    <xf numFmtId="1" fontId="12" fillId="7" borderId="161" xfId="0" applyNumberFormat="1" applyFont="1" applyFill="1" applyBorder="1" applyAlignment="1">
      <alignment horizontal="left"/>
    </xf>
    <xf numFmtId="1" fontId="10" fillId="0" borderId="6" xfId="0" applyNumberFormat="1" applyFont="1" applyBorder="1" applyAlignment="1">
      <alignment wrapText="1"/>
    </xf>
    <xf numFmtId="1" fontId="10" fillId="0" borderId="10" xfId="0" applyNumberFormat="1" applyFont="1" applyBorder="1" applyAlignment="1">
      <alignment wrapText="1"/>
    </xf>
    <xf numFmtId="1" fontId="10" fillId="0" borderId="11" xfId="0" applyNumberFormat="1" applyFont="1" applyBorder="1" applyAlignment="1">
      <alignment wrapText="1"/>
    </xf>
    <xf numFmtId="1" fontId="10" fillId="0" borderId="29" xfId="0" applyNumberFormat="1" applyFont="1" applyBorder="1" applyAlignment="1">
      <alignment wrapText="1"/>
    </xf>
    <xf numFmtId="1" fontId="10" fillId="0" borderId="7" xfId="0" applyNumberFormat="1" applyFont="1" applyBorder="1" applyAlignment="1">
      <alignment wrapText="1"/>
    </xf>
    <xf numFmtId="1" fontId="10" fillId="0" borderId="165" xfId="0" applyNumberFormat="1" applyFont="1" applyBorder="1" applyAlignment="1">
      <alignment wrapText="1"/>
    </xf>
    <xf numFmtId="1" fontId="10" fillId="0" borderId="12" xfId="0" applyNumberFormat="1" applyFont="1" applyBorder="1" applyAlignment="1">
      <alignment wrapText="1"/>
    </xf>
    <xf numFmtId="1" fontId="10" fillId="0" borderId="2" xfId="0" applyNumberFormat="1" applyFont="1" applyBorder="1" applyAlignment="1">
      <alignment wrapText="1"/>
    </xf>
    <xf numFmtId="1" fontId="10" fillId="0" borderId="28" xfId="0" applyNumberFormat="1" applyFont="1" applyBorder="1" applyAlignment="1">
      <alignment wrapText="1"/>
    </xf>
    <xf numFmtId="1" fontId="10" fillId="0" borderId="136" xfId="0" applyNumberFormat="1" applyFont="1" applyBorder="1" applyAlignment="1">
      <alignment wrapText="1"/>
    </xf>
    <xf numFmtId="1" fontId="10" fillId="0" borderId="20" xfId="0" applyNumberFormat="1" applyFont="1" applyBorder="1" applyAlignment="1">
      <alignment wrapText="1"/>
    </xf>
    <xf numFmtId="1" fontId="10" fillId="0" borderId="8" xfId="0" applyNumberFormat="1" applyFont="1" applyBorder="1" applyAlignment="1">
      <alignment wrapText="1"/>
    </xf>
    <xf numFmtId="1" fontId="10" fillId="0" borderId="135" xfId="0" applyNumberFormat="1" applyFont="1" applyBorder="1" applyAlignment="1">
      <alignment wrapText="1"/>
    </xf>
    <xf numFmtId="1" fontId="10" fillId="6" borderId="113" xfId="0" applyNumberFormat="1" applyFont="1" applyFill="1" applyBorder="1" applyProtection="1">
      <protection locked="0"/>
    </xf>
    <xf numFmtId="1" fontId="10" fillId="6" borderId="137" xfId="0" applyNumberFormat="1" applyFont="1" applyFill="1" applyBorder="1" applyProtection="1">
      <protection locked="0"/>
    </xf>
    <xf numFmtId="0" fontId="22" fillId="16" borderId="0" xfId="0" applyFont="1" applyFill="1" applyAlignment="1">
      <alignment vertical="center"/>
    </xf>
    <xf numFmtId="1" fontId="10" fillId="6" borderId="117" xfId="0" applyNumberFormat="1" applyFont="1" applyFill="1" applyBorder="1" applyProtection="1">
      <protection locked="0"/>
    </xf>
    <xf numFmtId="1" fontId="10" fillId="6" borderId="139" xfId="0" applyNumberFormat="1" applyFont="1" applyFill="1" applyBorder="1" applyProtection="1">
      <protection locked="0"/>
    </xf>
    <xf numFmtId="1" fontId="10" fillId="6" borderId="57" xfId="0" applyNumberFormat="1" applyFont="1" applyFill="1" applyBorder="1" applyProtection="1">
      <protection locked="0"/>
    </xf>
    <xf numFmtId="1" fontId="10" fillId="6" borderId="13" xfId="0" applyNumberFormat="1" applyFont="1" applyFill="1" applyBorder="1" applyProtection="1">
      <protection locked="0"/>
    </xf>
    <xf numFmtId="1" fontId="10" fillId="6" borderId="78" xfId="0" applyNumberFormat="1" applyFont="1" applyFill="1" applyBorder="1" applyProtection="1">
      <protection locked="0"/>
    </xf>
    <xf numFmtId="1" fontId="10" fillId="6" borderId="77" xfId="0" applyNumberFormat="1" applyFont="1" applyFill="1" applyBorder="1" applyProtection="1">
      <protection locked="0"/>
    </xf>
    <xf numFmtId="1" fontId="10" fillId="6" borderId="170" xfId="0" applyNumberFormat="1" applyFont="1" applyFill="1" applyBorder="1" applyProtection="1">
      <protection locked="0"/>
    </xf>
    <xf numFmtId="1" fontId="10" fillId="6" borderId="10" xfId="0" applyNumberFormat="1" applyFont="1" applyFill="1" applyBorder="1" applyProtection="1">
      <protection locked="0"/>
    </xf>
    <xf numFmtId="1" fontId="10" fillId="6" borderId="29" xfId="0" applyNumberFormat="1" applyFont="1" applyFill="1" applyBorder="1" applyProtection="1">
      <protection locked="0"/>
    </xf>
    <xf numFmtId="1" fontId="10" fillId="6" borderId="11" xfId="0" applyNumberFormat="1" applyFont="1" applyFill="1" applyBorder="1" applyProtection="1">
      <protection locked="0"/>
    </xf>
    <xf numFmtId="1" fontId="10" fillId="6" borderId="28" xfId="0" applyNumberFormat="1" applyFont="1" applyFill="1" applyBorder="1" applyProtection="1">
      <protection locked="0"/>
    </xf>
    <xf numFmtId="1" fontId="10" fillId="6" borderId="136" xfId="0" applyNumberFormat="1" applyFont="1" applyFill="1" applyBorder="1" applyProtection="1">
      <protection locked="0"/>
    </xf>
    <xf numFmtId="1" fontId="10" fillId="6" borderId="12" xfId="0" applyNumberFormat="1" applyFont="1" applyFill="1" applyBorder="1" applyProtection="1">
      <protection locked="0"/>
    </xf>
    <xf numFmtId="1" fontId="10" fillId="6" borderId="20" xfId="0" applyNumberFormat="1" applyFont="1" applyFill="1" applyBorder="1" applyProtection="1">
      <protection locked="0"/>
    </xf>
    <xf numFmtId="1" fontId="10" fillId="6" borderId="8" xfId="0" applyNumberFormat="1" applyFont="1" applyFill="1" applyBorder="1" applyProtection="1">
      <protection locked="0"/>
    </xf>
    <xf numFmtId="1" fontId="10" fillId="6" borderId="135" xfId="0" applyNumberFormat="1" applyFont="1" applyFill="1" applyBorder="1" applyProtection="1">
      <protection locked="0"/>
    </xf>
    <xf numFmtId="1" fontId="10" fillId="6" borderId="164" xfId="0" applyNumberFormat="1" applyFont="1" applyFill="1" applyBorder="1" applyProtection="1">
      <protection locked="0"/>
    </xf>
    <xf numFmtId="1" fontId="10" fillId="6" borderId="22" xfId="0" applyNumberFormat="1" applyFont="1" applyFill="1" applyBorder="1" applyProtection="1">
      <protection locked="0"/>
    </xf>
    <xf numFmtId="1" fontId="10" fillId="6" borderId="27" xfId="0" applyNumberFormat="1" applyFont="1" applyFill="1" applyBorder="1" applyProtection="1">
      <protection locked="0"/>
    </xf>
    <xf numFmtId="1" fontId="10" fillId="6" borderId="18" xfId="0" applyNumberFormat="1" applyFont="1" applyFill="1" applyBorder="1" applyProtection="1">
      <protection locked="0"/>
    </xf>
    <xf numFmtId="1" fontId="10" fillId="6" borderId="323" xfId="0" applyNumberFormat="1" applyFont="1" applyFill="1" applyBorder="1" applyProtection="1">
      <protection locked="0"/>
    </xf>
    <xf numFmtId="1" fontId="10" fillId="6" borderId="21" xfId="0" applyNumberFormat="1" applyFont="1" applyFill="1" applyBorder="1" applyProtection="1">
      <protection locked="0"/>
    </xf>
    <xf numFmtId="1" fontId="10" fillId="6" borderId="177" xfId="0" applyNumberFormat="1" applyFont="1" applyFill="1" applyBorder="1" applyProtection="1">
      <protection locked="0"/>
    </xf>
    <xf numFmtId="1" fontId="10" fillId="6" borderId="158" xfId="0" applyNumberFormat="1" applyFont="1" applyFill="1" applyBorder="1" applyProtection="1">
      <protection locked="0"/>
    </xf>
    <xf numFmtId="1" fontId="10" fillId="6" borderId="212" xfId="0" applyNumberFormat="1" applyFont="1" applyFill="1" applyBorder="1" applyProtection="1">
      <protection locked="0"/>
    </xf>
    <xf numFmtId="1" fontId="10" fillId="6" borderId="9" xfId="0" applyNumberFormat="1" applyFont="1" applyFill="1" applyBorder="1" applyProtection="1">
      <protection locked="0"/>
    </xf>
    <xf numFmtId="1" fontId="10" fillId="6" borderId="129" xfId="0" applyNumberFormat="1" applyFont="1" applyFill="1" applyBorder="1" applyProtection="1">
      <protection locked="0"/>
    </xf>
    <xf numFmtId="1" fontId="10" fillId="0" borderId="49" xfId="0" applyNumberFormat="1" applyFont="1" applyBorder="1" applyAlignment="1">
      <alignment vertical="center" wrapText="1"/>
    </xf>
    <xf numFmtId="1" fontId="10" fillId="6" borderId="69" xfId="0" applyNumberFormat="1" applyFont="1" applyFill="1" applyBorder="1" applyProtection="1">
      <protection locked="0"/>
    </xf>
    <xf numFmtId="1" fontId="10" fillId="6" borderId="74" xfId="0" applyNumberFormat="1" applyFont="1" applyFill="1" applyBorder="1" applyProtection="1">
      <protection locked="0"/>
    </xf>
    <xf numFmtId="1" fontId="10" fillId="6" borderId="50" xfId="0" applyNumberFormat="1" applyFont="1" applyFill="1" applyBorder="1" applyProtection="1">
      <protection locked="0"/>
    </xf>
    <xf numFmtId="1" fontId="10" fillId="6" borderId="70" xfId="0" applyNumberFormat="1" applyFont="1" applyFill="1" applyBorder="1" applyProtection="1">
      <protection locked="0"/>
    </xf>
    <xf numFmtId="1" fontId="10" fillId="6" borderId="19" xfId="0" applyNumberFormat="1" applyFont="1" applyFill="1" applyBorder="1" applyProtection="1">
      <protection locked="0"/>
    </xf>
    <xf numFmtId="1" fontId="10" fillId="6" borderId="87" xfId="0" applyNumberFormat="1" applyFont="1" applyFill="1" applyBorder="1" applyProtection="1">
      <protection locked="0"/>
    </xf>
    <xf numFmtId="1" fontId="10" fillId="6" borderId="44" xfId="0" applyNumberFormat="1" applyFont="1" applyFill="1" applyBorder="1" applyProtection="1">
      <protection locked="0"/>
    </xf>
    <xf numFmtId="1" fontId="10" fillId="6" borderId="213" xfId="0" applyNumberFormat="1" applyFont="1" applyFill="1" applyBorder="1" applyProtection="1">
      <protection locked="0"/>
    </xf>
    <xf numFmtId="1" fontId="10" fillId="6" borderId="123" xfId="0" applyNumberFormat="1" applyFont="1" applyFill="1" applyBorder="1" applyProtection="1">
      <protection locked="0"/>
    </xf>
    <xf numFmtId="1" fontId="10" fillId="6" borderId="0" xfId="0" applyNumberFormat="1" applyFont="1" applyFill="1" applyProtection="1">
      <protection locked="0"/>
    </xf>
    <xf numFmtId="1" fontId="10" fillId="6" borderId="141" xfId="0" applyNumberFormat="1" applyFont="1" applyFill="1" applyBorder="1" applyProtection="1">
      <protection locked="0"/>
    </xf>
    <xf numFmtId="1" fontId="10" fillId="0" borderId="62" xfId="0" applyNumberFormat="1" applyFont="1" applyBorder="1" applyAlignment="1">
      <alignment vertical="center" wrapText="1"/>
    </xf>
    <xf numFmtId="1" fontId="34" fillId="7" borderId="0" xfId="0" applyNumberFormat="1" applyFont="1" applyFill="1" applyAlignment="1">
      <alignment horizontal="left" vertical="center"/>
    </xf>
    <xf numFmtId="1" fontId="34" fillId="7" borderId="0" xfId="0" applyNumberFormat="1" applyFont="1" applyFill="1" applyAlignment="1" applyProtection="1">
      <alignment horizontal="right"/>
      <protection locked="0"/>
    </xf>
    <xf numFmtId="1" fontId="34" fillId="7" borderId="0" xfId="0" applyNumberFormat="1" applyFont="1" applyFill="1" applyAlignment="1">
      <alignment horizontal="right"/>
    </xf>
    <xf numFmtId="1" fontId="10" fillId="7" borderId="11" xfId="0" applyNumberFormat="1" applyFont="1" applyFill="1" applyBorder="1" applyAlignment="1">
      <alignment horizontal="center" vertical="center" wrapText="1"/>
    </xf>
    <xf numFmtId="1" fontId="10" fillId="0" borderId="18" xfId="0" applyNumberFormat="1" applyFont="1" applyBorder="1"/>
    <xf numFmtId="1" fontId="10" fillId="6" borderId="10" xfId="0" applyNumberFormat="1" applyFont="1" applyFill="1" applyBorder="1" applyAlignment="1" applyProtection="1">
      <alignment vertical="center" wrapText="1"/>
      <protection locked="0"/>
    </xf>
    <xf numFmtId="1" fontId="10" fillId="6" borderId="11" xfId="0" applyNumberFormat="1" applyFont="1" applyFill="1" applyBorder="1" applyAlignment="1" applyProtection="1">
      <alignment vertical="center" wrapText="1"/>
      <protection locked="0"/>
    </xf>
    <xf numFmtId="1" fontId="10" fillId="6" borderId="7" xfId="0" applyNumberFormat="1" applyFont="1" applyFill="1" applyBorder="1" applyAlignment="1" applyProtection="1">
      <alignment vertical="center" wrapText="1"/>
      <protection locked="0"/>
    </xf>
    <xf numFmtId="1" fontId="10" fillId="6" borderId="38" xfId="0" applyNumberFormat="1" applyFont="1" applyFill="1" applyBorder="1" applyAlignment="1" applyProtection="1">
      <alignment vertical="center" wrapText="1"/>
      <protection locked="0"/>
    </xf>
    <xf numFmtId="1" fontId="10" fillId="6" borderId="41" xfId="0" applyNumberFormat="1" applyFont="1" applyFill="1" applyBorder="1" applyAlignment="1" applyProtection="1">
      <alignment vertical="center" wrapText="1"/>
      <protection locked="0"/>
    </xf>
    <xf numFmtId="1" fontId="10" fillId="6" borderId="98" xfId="0" applyNumberFormat="1" applyFont="1" applyFill="1" applyBorder="1" applyAlignment="1" applyProtection="1">
      <alignment vertical="center" wrapText="1"/>
      <protection locked="0"/>
    </xf>
    <xf numFmtId="1" fontId="10" fillId="6" borderId="80" xfId="0" applyNumberFormat="1" applyFont="1" applyFill="1" applyBorder="1" applyAlignment="1" applyProtection="1">
      <alignment vertical="center" wrapText="1"/>
      <protection locked="0"/>
    </xf>
    <xf numFmtId="1" fontId="10" fillId="6" borderId="31" xfId="0" applyNumberFormat="1" applyFont="1" applyFill="1" applyBorder="1" applyAlignment="1" applyProtection="1">
      <alignment vertical="center" wrapText="1"/>
      <protection locked="0"/>
    </xf>
    <xf numFmtId="1" fontId="10" fillId="6" borderId="36" xfId="0" applyNumberFormat="1" applyFont="1" applyFill="1" applyBorder="1" applyAlignment="1" applyProtection="1">
      <alignment vertical="center" wrapText="1"/>
      <protection locked="0"/>
    </xf>
    <xf numFmtId="1" fontId="10" fillId="6" borderId="100" xfId="0" applyNumberFormat="1" applyFont="1" applyFill="1" applyBorder="1" applyAlignment="1" applyProtection="1">
      <alignment vertical="center" wrapText="1"/>
      <protection locked="0"/>
    </xf>
    <xf numFmtId="1" fontId="10" fillId="6" borderId="101" xfId="0" applyNumberFormat="1" applyFont="1" applyFill="1" applyBorder="1" applyAlignment="1" applyProtection="1">
      <alignment vertical="center" wrapText="1"/>
      <protection locked="0"/>
    </xf>
    <xf numFmtId="1" fontId="10" fillId="6" borderId="103" xfId="0" applyNumberFormat="1" applyFont="1" applyFill="1" applyBorder="1" applyAlignment="1" applyProtection="1">
      <alignment vertical="center" wrapText="1"/>
      <protection locked="0"/>
    </xf>
    <xf numFmtId="1" fontId="10" fillId="0" borderId="37" xfId="0" applyNumberFormat="1" applyFont="1" applyBorder="1" applyAlignment="1">
      <alignment vertical="center"/>
    </xf>
    <xf numFmtId="0" fontId="57" fillId="0" borderId="0" xfId="0" applyFont="1"/>
    <xf numFmtId="1" fontId="12" fillId="11" borderId="0" xfId="0" applyNumberFormat="1" applyFont="1" applyFill="1" applyAlignment="1">
      <alignment horizontal="left"/>
    </xf>
    <xf numFmtId="1" fontId="34" fillId="11" borderId="0" xfId="0" applyNumberFormat="1" applyFont="1" applyFill="1" applyAlignment="1">
      <alignment horizontal="left" vertical="center"/>
    </xf>
    <xf numFmtId="1" fontId="34" fillId="11" borderId="0" xfId="0" applyNumberFormat="1" applyFont="1" applyFill="1" applyAlignment="1" applyProtection="1">
      <alignment horizontal="right"/>
      <protection locked="0"/>
    </xf>
    <xf numFmtId="1" fontId="10" fillId="11" borderId="19" xfId="0" applyNumberFormat="1" applyFont="1" applyFill="1" applyBorder="1" applyAlignment="1">
      <alignment vertical="center" wrapText="1"/>
    </xf>
    <xf numFmtId="1" fontId="10" fillId="11" borderId="15" xfId="0" applyNumberFormat="1" applyFont="1" applyFill="1" applyBorder="1" applyAlignment="1">
      <alignment horizontal="left" vertical="center" wrapText="1"/>
    </xf>
    <xf numFmtId="1" fontId="10" fillId="11" borderId="51" xfId="0" applyNumberFormat="1" applyFont="1" applyFill="1" applyBorder="1" applyAlignment="1">
      <alignment horizontal="left" vertical="center"/>
    </xf>
    <xf numFmtId="1" fontId="10" fillId="15" borderId="38" xfId="0" applyNumberFormat="1" applyFont="1" applyFill="1" applyBorder="1"/>
    <xf numFmtId="1" fontId="10" fillId="15" borderId="36" xfId="0" applyNumberFormat="1" applyFont="1" applyFill="1" applyBorder="1"/>
    <xf numFmtId="1" fontId="10" fillId="11" borderId="37" xfId="0" applyNumberFormat="1" applyFont="1" applyFill="1" applyBorder="1" applyAlignment="1">
      <alignment horizontal="left" vertical="center"/>
    </xf>
    <xf numFmtId="1" fontId="10" fillId="11" borderId="49" xfId="0" applyNumberFormat="1" applyFont="1" applyFill="1" applyBorder="1" applyAlignment="1">
      <alignment horizontal="left" vertical="center"/>
    </xf>
    <xf numFmtId="1" fontId="10" fillId="11" borderId="103" xfId="0" applyNumberFormat="1" applyFont="1" applyFill="1" applyBorder="1" applyAlignment="1">
      <alignment vertical="center"/>
    </xf>
    <xf numFmtId="1" fontId="10" fillId="11" borderId="62" xfId="0" applyNumberFormat="1" applyFont="1" applyFill="1" applyBorder="1" applyAlignment="1">
      <alignment vertical="center" wrapText="1"/>
    </xf>
    <xf numFmtId="1" fontId="12" fillId="11" borderId="8" xfId="0" applyNumberFormat="1" applyFont="1" applyFill="1" applyBorder="1" applyAlignment="1">
      <alignment horizontal="left"/>
    </xf>
    <xf numFmtId="1" fontId="34" fillId="7" borderId="8" xfId="0" applyNumberFormat="1" applyFont="1" applyFill="1" applyBorder="1" applyAlignment="1">
      <alignment horizontal="left" vertical="center"/>
    </xf>
    <xf numFmtId="1" fontId="34" fillId="7" borderId="8" xfId="0" applyNumberFormat="1" applyFont="1" applyFill="1" applyBorder="1" applyAlignment="1" applyProtection="1">
      <alignment horizontal="right"/>
      <protection locked="0"/>
    </xf>
    <xf numFmtId="1" fontId="34" fillId="7" borderId="9" xfId="0" applyNumberFormat="1" applyFont="1" applyFill="1" applyBorder="1" applyAlignment="1">
      <alignment horizontal="right"/>
    </xf>
    <xf numFmtId="1" fontId="34" fillId="7" borderId="14" xfId="0" applyNumberFormat="1" applyFont="1" applyFill="1" applyBorder="1" applyAlignment="1" applyProtection="1">
      <alignment horizontal="right"/>
      <protection locked="0"/>
    </xf>
    <xf numFmtId="1" fontId="34" fillId="7" borderId="13" xfId="0" applyNumberFormat="1" applyFont="1" applyFill="1" applyBorder="1"/>
    <xf numFmtId="1" fontId="10" fillId="0" borderId="645" xfId="0" applyNumberFormat="1" applyFont="1" applyBorder="1" applyAlignment="1">
      <alignment horizontal="center" vertical="center" wrapText="1"/>
    </xf>
    <xf numFmtId="1" fontId="10" fillId="0" borderId="164" xfId="0" applyNumberFormat="1" applyFont="1" applyBorder="1" applyAlignment="1">
      <alignment horizontal="right" vertical="center" wrapText="1"/>
    </xf>
    <xf numFmtId="1" fontId="10" fillId="0" borderId="22" xfId="0" applyNumberFormat="1" applyFont="1" applyBorder="1" applyAlignment="1">
      <alignment horizontal="right" vertical="center" wrapText="1"/>
    </xf>
    <xf numFmtId="1" fontId="10" fillId="0" borderId="23" xfId="0" applyNumberFormat="1" applyFont="1" applyBorder="1" applyAlignment="1">
      <alignment horizontal="right" vertical="center" wrapText="1"/>
    </xf>
    <xf numFmtId="1" fontId="10" fillId="0" borderId="646" xfId="0" applyNumberFormat="1" applyFont="1" applyBorder="1" applyAlignment="1">
      <alignment horizontal="right" vertical="center" wrapText="1"/>
    </xf>
    <xf numFmtId="1" fontId="10" fillId="0" borderId="412" xfId="0" applyNumberFormat="1" applyFont="1" applyBorder="1" applyAlignment="1">
      <alignment horizontal="right" vertical="center" wrapText="1"/>
    </xf>
    <xf numFmtId="1" fontId="10" fillId="0" borderId="148" xfId="0" applyNumberFormat="1" applyFont="1" applyBorder="1" applyAlignment="1">
      <alignment horizontal="right" vertical="center" wrapText="1"/>
    </xf>
    <xf numFmtId="1" fontId="10" fillId="0" borderId="274" xfId="0" applyNumberFormat="1" applyFont="1" applyBorder="1" applyAlignment="1">
      <alignment horizontal="right" vertical="center" wrapText="1"/>
    </xf>
    <xf numFmtId="1" fontId="10" fillId="0" borderId="9" xfId="0" applyNumberFormat="1" applyFont="1" applyBorder="1" applyAlignment="1">
      <alignment horizontal="right" vertical="center" wrapText="1"/>
    </xf>
    <xf numFmtId="1" fontId="10" fillId="0" borderId="647" xfId="0" applyNumberFormat="1" applyFont="1" applyBorder="1" applyAlignment="1">
      <alignment horizontal="left" vertical="center"/>
    </xf>
    <xf numFmtId="1" fontId="10" fillId="6" borderId="274" xfId="0" applyNumberFormat="1" applyFont="1" applyFill="1" applyBorder="1" applyProtection="1">
      <protection locked="0"/>
    </xf>
    <xf numFmtId="1" fontId="10" fillId="6" borderId="273" xfId="0" applyNumberFormat="1" applyFont="1" applyFill="1" applyBorder="1" applyProtection="1">
      <protection locked="0"/>
    </xf>
    <xf numFmtId="1" fontId="10" fillId="6" borderId="641" xfId="0" applyNumberFormat="1" applyFont="1" applyFill="1" applyBorder="1" applyProtection="1">
      <protection locked="0"/>
    </xf>
    <xf numFmtId="1" fontId="10" fillId="6" borderId="411" xfId="0" applyNumberFormat="1" applyFont="1" applyFill="1" applyBorder="1" applyProtection="1">
      <protection locked="0"/>
    </xf>
    <xf numFmtId="1" fontId="10" fillId="6" borderId="148" xfId="0" applyNumberFormat="1" applyFont="1" applyFill="1" applyBorder="1" applyProtection="1">
      <protection locked="0"/>
    </xf>
    <xf numFmtId="1" fontId="22" fillId="0" borderId="13" xfId="0" applyNumberFormat="1" applyFont="1" applyBorder="1"/>
    <xf numFmtId="1" fontId="10" fillId="0" borderId="648" xfId="0" applyNumberFormat="1" applyFont="1" applyBorder="1" applyAlignment="1">
      <alignment horizontal="left" vertical="center"/>
    </xf>
    <xf numFmtId="1" fontId="10" fillId="6" borderId="282" xfId="0" applyNumberFormat="1" applyFont="1" applyFill="1" applyBorder="1" applyProtection="1">
      <protection locked="0"/>
    </xf>
    <xf numFmtId="1" fontId="10" fillId="6" borderId="629" xfId="0" applyNumberFormat="1" applyFont="1" applyFill="1" applyBorder="1" applyProtection="1">
      <protection locked="0"/>
    </xf>
    <xf numFmtId="1" fontId="10" fillId="6" borderId="424" xfId="0" applyNumberFormat="1" applyFont="1" applyFill="1" applyBorder="1" applyProtection="1">
      <protection locked="0"/>
    </xf>
    <xf numFmtId="1" fontId="10" fillId="6" borderId="196" xfId="0" applyNumberFormat="1" applyFont="1" applyFill="1" applyBorder="1" applyProtection="1">
      <protection locked="0"/>
    </xf>
    <xf numFmtId="1" fontId="10" fillId="0" borderId="649" xfId="0" applyNumberFormat="1" applyFont="1" applyBorder="1" applyAlignment="1">
      <alignment horizontal="left" vertical="center"/>
    </xf>
    <xf numFmtId="1" fontId="10" fillId="6" borderId="319" xfId="0" applyNumberFormat="1" applyFont="1" applyFill="1" applyBorder="1" applyProtection="1">
      <protection locked="0"/>
    </xf>
    <xf numFmtId="1" fontId="10" fillId="6" borderId="360" xfId="0" applyNumberFormat="1" applyFont="1" applyFill="1" applyBorder="1" applyProtection="1">
      <protection locked="0"/>
    </xf>
    <xf numFmtId="1" fontId="10" fillId="6" borderId="361" xfId="0" applyNumberFormat="1" applyFont="1" applyFill="1" applyBorder="1" applyProtection="1">
      <protection locked="0"/>
    </xf>
    <xf numFmtId="1" fontId="10" fillId="6" borderId="436" xfId="0" applyNumberFormat="1" applyFont="1" applyFill="1" applyBorder="1" applyProtection="1">
      <protection locked="0"/>
    </xf>
    <xf numFmtId="1" fontId="10" fillId="6" borderId="650" xfId="0" applyNumberFormat="1" applyFont="1" applyFill="1" applyBorder="1" applyProtection="1">
      <protection locked="0"/>
    </xf>
    <xf numFmtId="1" fontId="10" fillId="0" borderId="10" xfId="0" applyNumberFormat="1" applyFont="1" applyBorder="1" applyAlignment="1">
      <alignment horizontal="right" vertical="center" wrapText="1"/>
    </xf>
    <xf numFmtId="1" fontId="10" fillId="0" borderId="8" xfId="0" applyNumberFormat="1" applyFont="1" applyBorder="1" applyAlignment="1">
      <alignment horizontal="right" vertical="center" wrapText="1"/>
    </xf>
    <xf numFmtId="1" fontId="10" fillId="0" borderId="12" xfId="0" applyNumberFormat="1" applyFont="1" applyBorder="1" applyAlignment="1">
      <alignment horizontal="right" vertical="center" wrapText="1"/>
    </xf>
    <xf numFmtId="1" fontId="10" fillId="0" borderId="11" xfId="0" applyNumberFormat="1" applyFont="1" applyBorder="1" applyAlignment="1">
      <alignment horizontal="right" vertical="center" wrapText="1"/>
    </xf>
    <xf numFmtId="1" fontId="10" fillId="0" borderId="7" xfId="0" applyNumberFormat="1" applyFont="1" applyBorder="1" applyAlignment="1">
      <alignment horizontal="right" vertical="center" wrapText="1"/>
    </xf>
    <xf numFmtId="1" fontId="10" fillId="6" borderId="45" xfId="0" applyNumberFormat="1" applyFont="1" applyFill="1" applyBorder="1" applyProtection="1">
      <protection locked="0"/>
    </xf>
    <xf numFmtId="1" fontId="10" fillId="6" borderId="68" xfId="0" applyNumberFormat="1" applyFont="1" applyFill="1" applyBorder="1" applyProtection="1">
      <protection locked="0"/>
    </xf>
    <xf numFmtId="1" fontId="10" fillId="0" borderId="86" xfId="0" applyNumberFormat="1" applyFont="1" applyBorder="1" applyAlignment="1">
      <alignment horizontal="left" vertical="center"/>
    </xf>
    <xf numFmtId="1" fontId="10" fillId="6" borderId="32" xfId="0" applyNumberFormat="1" applyFont="1" applyFill="1" applyBorder="1" applyProtection="1">
      <protection locked="0"/>
    </xf>
    <xf numFmtId="1" fontId="34" fillId="11" borderId="14" xfId="0" applyNumberFormat="1" applyFont="1" applyFill="1" applyBorder="1"/>
    <xf numFmtId="1" fontId="34" fillId="11" borderId="0" xfId="0" applyNumberFormat="1" applyFont="1" applyFill="1" applyAlignment="1">
      <alignment vertical="center" wrapText="1"/>
    </xf>
    <xf numFmtId="1" fontId="10" fillId="15" borderId="41" xfId="0" applyNumberFormat="1" applyFont="1" applyFill="1" applyBorder="1"/>
    <xf numFmtId="1" fontId="10" fillId="15" borderId="40" xfId="0" applyNumberFormat="1" applyFont="1" applyFill="1" applyBorder="1"/>
    <xf numFmtId="1" fontId="10" fillId="15" borderId="101" xfId="0" applyNumberFormat="1" applyFont="1" applyFill="1" applyBorder="1"/>
    <xf numFmtId="1" fontId="10" fillId="11" borderId="103" xfId="0" applyNumberFormat="1" applyFont="1" applyFill="1" applyBorder="1" applyAlignment="1">
      <alignment horizontal="left" vertical="center"/>
    </xf>
    <xf numFmtId="1" fontId="10" fillId="11" borderId="50" xfId="0" applyNumberFormat="1" applyFont="1" applyFill="1" applyBorder="1" applyAlignment="1">
      <alignment horizontal="left" vertical="center" wrapText="1"/>
    </xf>
    <xf numFmtId="1" fontId="10" fillId="11" borderId="171" xfId="0" applyNumberFormat="1" applyFont="1" applyFill="1" applyBorder="1" applyAlignment="1">
      <alignment horizontal="left" vertical="center" wrapText="1"/>
    </xf>
    <xf numFmtId="1" fontId="10" fillId="15" borderId="11" xfId="0" applyNumberFormat="1" applyFont="1" applyFill="1" applyBorder="1"/>
    <xf numFmtId="1" fontId="10" fillId="11" borderId="80" xfId="0" applyNumberFormat="1" applyFont="1" applyFill="1" applyBorder="1"/>
    <xf numFmtId="1" fontId="10" fillId="11" borderId="31" xfId="0" applyNumberFormat="1" applyFont="1" applyFill="1" applyBorder="1"/>
    <xf numFmtId="1" fontId="10" fillId="11" borderId="17" xfId="0" applyNumberFormat="1" applyFont="1" applyFill="1" applyBorder="1"/>
    <xf numFmtId="1" fontId="10" fillId="11" borderId="7" xfId="0" applyNumberFormat="1" applyFont="1" applyFill="1" applyBorder="1"/>
    <xf numFmtId="1" fontId="12" fillId="11" borderId="0" xfId="0" applyNumberFormat="1" applyFont="1" applyFill="1" applyAlignment="1">
      <alignment horizontal="left" wrapText="1"/>
    </xf>
    <xf numFmtId="1" fontId="15" fillId="11" borderId="0" xfId="0" applyNumberFormat="1" applyFont="1" applyFill="1"/>
    <xf numFmtId="1" fontId="34" fillId="7" borderId="0" xfId="0" applyNumberFormat="1" applyFont="1" applyFill="1" applyAlignment="1">
      <alignment horizontal="center"/>
    </xf>
    <xf numFmtId="1" fontId="34" fillId="7" borderId="0" xfId="0" applyNumberFormat="1" applyFont="1" applyFill="1" applyAlignment="1">
      <alignment horizontal="left"/>
    </xf>
    <xf numFmtId="1" fontId="34" fillId="6" borderId="10" xfId="0" applyNumberFormat="1" applyFont="1" applyFill="1" applyBorder="1" applyProtection="1">
      <protection locked="0"/>
    </xf>
    <xf numFmtId="1" fontId="34" fillId="6" borderId="7" xfId="0" applyNumberFormat="1" applyFont="1" applyFill="1" applyBorder="1" applyProtection="1">
      <protection locked="0"/>
    </xf>
    <xf numFmtId="1" fontId="34" fillId="6" borderId="11" xfId="0" applyNumberFormat="1" applyFont="1" applyFill="1" applyBorder="1" applyProtection="1">
      <protection locked="0"/>
    </xf>
    <xf numFmtId="1" fontId="10" fillId="0" borderId="37" xfId="0" applyNumberFormat="1" applyFont="1" applyBorder="1" applyAlignment="1">
      <alignment horizontal="right" vertical="center"/>
    </xf>
    <xf numFmtId="1" fontId="10" fillId="0" borderId="166" xfId="0" applyNumberFormat="1" applyFont="1" applyBorder="1" applyAlignment="1">
      <alignment wrapText="1"/>
    </xf>
    <xf numFmtId="1" fontId="10" fillId="0" borderId="61" xfId="0" applyNumberFormat="1" applyFont="1" applyBorder="1" applyAlignment="1">
      <alignment wrapText="1"/>
    </xf>
    <xf numFmtId="1" fontId="34" fillId="16" borderId="0" xfId="0" applyNumberFormat="1" applyFont="1" applyFill="1"/>
    <xf numFmtId="1" fontId="34" fillId="10" borderId="0" xfId="0" applyNumberFormat="1" applyFont="1" applyFill="1"/>
    <xf numFmtId="1" fontId="10" fillId="0" borderId="19" xfId="0" applyNumberFormat="1" applyFont="1" applyBorder="1" applyAlignment="1">
      <alignment vertical="center" wrapText="1"/>
    </xf>
    <xf numFmtId="1" fontId="10" fillId="0" borderId="15" xfId="0" applyNumberFormat="1" applyFont="1" applyBorder="1" applyAlignment="1">
      <alignment vertical="center" wrapText="1"/>
    </xf>
    <xf numFmtId="1" fontId="10" fillId="6" borderId="30" xfId="0" applyNumberFormat="1" applyFont="1" applyFill="1" applyBorder="1" applyProtection="1">
      <protection locked="0"/>
    </xf>
    <xf numFmtId="0" fontId="10" fillId="0" borderId="10" xfId="0" applyFont="1" applyBorder="1" applyAlignment="1">
      <alignment horizontal="center" vertical="center" wrapText="1"/>
    </xf>
    <xf numFmtId="1" fontId="10" fillId="11" borderId="37" xfId="0" applyNumberFormat="1" applyFont="1" applyFill="1" applyBorder="1" applyAlignment="1">
      <alignment horizontal="left" wrapText="1"/>
    </xf>
    <xf numFmtId="1" fontId="10" fillId="11" borderId="15" xfId="0" applyNumberFormat="1" applyFont="1" applyFill="1" applyBorder="1" applyAlignment="1">
      <alignment horizontal="left" wrapText="1"/>
    </xf>
    <xf numFmtId="1" fontId="10" fillId="11" borderId="37" xfId="0" applyNumberFormat="1" applyFont="1" applyFill="1" applyBorder="1"/>
    <xf numFmtId="1" fontId="10" fillId="11" borderId="99" xfId="0" applyNumberFormat="1" applyFont="1" applyFill="1" applyBorder="1"/>
    <xf numFmtId="1" fontId="10" fillId="11" borderId="15" xfId="0" applyNumberFormat="1" applyFont="1" applyFill="1" applyBorder="1"/>
    <xf numFmtId="0" fontId="10" fillId="0" borderId="28" xfId="0" applyFont="1" applyBorder="1" applyAlignment="1">
      <alignment horizontal="center" vertical="center"/>
    </xf>
    <xf numFmtId="1" fontId="10" fillId="15" borderId="42" xfId="0" applyNumberFormat="1" applyFont="1" applyFill="1" applyBorder="1"/>
    <xf numFmtId="1" fontId="10" fillId="15" borderId="137" xfId="0" applyNumberFormat="1" applyFont="1" applyFill="1" applyBorder="1"/>
    <xf numFmtId="1" fontId="10" fillId="15" borderId="37" xfId="0" applyNumberFormat="1" applyFont="1" applyFill="1" applyBorder="1"/>
    <xf numFmtId="1" fontId="10" fillId="15" borderId="29" xfId="0" applyNumberFormat="1" applyFont="1" applyFill="1" applyBorder="1"/>
    <xf numFmtId="1" fontId="10" fillId="15" borderId="12" xfId="0" applyNumberFormat="1" applyFont="1" applyFill="1" applyBorder="1" applyProtection="1">
      <protection locked="0"/>
    </xf>
    <xf numFmtId="1" fontId="10" fillId="0" borderId="63" xfId="0" applyNumberFormat="1" applyFont="1" applyBorder="1" applyAlignment="1">
      <alignment horizontal="left" vertical="center"/>
    </xf>
    <xf numFmtId="1" fontId="10" fillId="0" borderId="78" xfId="0" applyNumberFormat="1" applyFont="1" applyBorder="1" applyAlignment="1">
      <alignment horizontal="right"/>
    </xf>
    <xf numFmtId="1" fontId="10" fillId="0" borderId="167" xfId="0" applyNumberFormat="1" applyFont="1" applyBorder="1" applyAlignment="1">
      <alignment horizontal="right"/>
    </xf>
    <xf numFmtId="1" fontId="10" fillId="0" borderId="12" xfId="0" applyNumberFormat="1" applyFont="1" applyBorder="1" applyAlignment="1">
      <alignment horizontal="right"/>
    </xf>
    <xf numFmtId="1" fontId="10" fillId="14" borderId="41" xfId="0" applyNumberFormat="1" applyFont="1" applyFill="1" applyBorder="1"/>
    <xf numFmtId="1" fontId="10" fillId="14" borderId="112" xfId="0" applyNumberFormat="1" applyFont="1" applyFill="1" applyBorder="1"/>
    <xf numFmtId="1" fontId="10" fillId="14" borderId="138" xfId="0" applyNumberFormat="1" applyFont="1" applyFill="1" applyBorder="1"/>
    <xf numFmtId="1" fontId="10" fillId="14" borderId="39" xfId="0" applyNumberFormat="1" applyFont="1" applyFill="1" applyBorder="1"/>
    <xf numFmtId="1" fontId="10" fillId="14" borderId="40" xfId="0" applyNumberFormat="1" applyFont="1" applyFill="1" applyBorder="1"/>
    <xf numFmtId="1" fontId="10" fillId="14" borderId="49" xfId="0" applyNumberFormat="1" applyFont="1" applyFill="1" applyBorder="1"/>
    <xf numFmtId="1" fontId="10" fillId="14" borderId="31" xfId="0" applyNumberFormat="1" applyFont="1" applyFill="1" applyBorder="1"/>
    <xf numFmtId="1" fontId="10" fillId="14" borderId="17" xfId="0" applyNumberFormat="1" applyFont="1" applyFill="1" applyBorder="1"/>
    <xf numFmtId="1" fontId="10" fillId="14" borderId="14" xfId="0" applyNumberFormat="1" applyFont="1" applyFill="1" applyBorder="1"/>
    <xf numFmtId="1" fontId="10" fillId="14" borderId="76" xfId="0" applyNumberFormat="1" applyFont="1" applyFill="1" applyBorder="1"/>
    <xf numFmtId="1" fontId="10" fillId="0" borderId="166" xfId="0" applyNumberFormat="1" applyFont="1" applyBorder="1" applyAlignment="1">
      <alignment horizontal="left" wrapText="1"/>
    </xf>
    <xf numFmtId="1" fontId="10" fillId="0" borderId="127" xfId="0" applyNumberFormat="1" applyFont="1" applyBorder="1" applyAlignment="1">
      <alignment horizontal="left" wrapText="1"/>
    </xf>
    <xf numFmtId="1" fontId="10" fillId="6" borderId="122" xfId="0" applyNumberFormat="1" applyFont="1" applyFill="1" applyBorder="1" applyProtection="1">
      <protection locked="0"/>
    </xf>
    <xf numFmtId="1" fontId="10" fillId="0" borderId="127" xfId="0" applyNumberFormat="1" applyFont="1" applyBorder="1" applyAlignment="1">
      <alignment wrapText="1"/>
    </xf>
    <xf numFmtId="1" fontId="10" fillId="0" borderId="14" xfId="0" applyNumberFormat="1" applyFont="1" applyBorder="1" applyAlignment="1">
      <alignment horizontal="right"/>
    </xf>
    <xf numFmtId="1" fontId="10" fillId="0" borderId="17" xfId="0" applyNumberFormat="1" applyFont="1" applyBorder="1"/>
    <xf numFmtId="1" fontId="10" fillId="11" borderId="2" xfId="38" applyNumberFormat="1" applyFont="1" applyFill="1" applyBorder="1" applyAlignment="1">
      <alignment horizontal="center" wrapText="1"/>
    </xf>
    <xf numFmtId="1" fontId="10" fillId="11" borderId="2" xfId="33" applyNumberFormat="1" applyFont="1" applyFill="1" applyBorder="1" applyAlignment="1">
      <alignment horizontal="center" vertical="center" wrapText="1"/>
    </xf>
    <xf numFmtId="1" fontId="10" fillId="11" borderId="10" xfId="38" applyNumberFormat="1" applyFont="1" applyFill="1" applyBorder="1" applyAlignment="1">
      <alignment horizontal="center" vertical="center" wrapText="1"/>
    </xf>
    <xf numFmtId="1" fontId="10" fillId="11" borderId="7" xfId="38" applyNumberFormat="1" applyFont="1" applyFill="1" applyBorder="1" applyAlignment="1">
      <alignment horizontal="center" vertical="center" wrapText="1"/>
    </xf>
    <xf numFmtId="1" fontId="10" fillId="11" borderId="2" xfId="0" applyNumberFormat="1" applyFont="1" applyFill="1" applyBorder="1" applyAlignment="1">
      <alignment horizontal="left" vertical="center" wrapText="1"/>
    </xf>
    <xf numFmtId="1" fontId="10" fillId="11" borderId="99" xfId="0" applyNumberFormat="1" applyFont="1" applyFill="1" applyBorder="1" applyAlignment="1">
      <alignment horizontal="right"/>
    </xf>
    <xf numFmtId="1" fontId="10" fillId="11" borderId="51" xfId="0" applyNumberFormat="1" applyFont="1" applyFill="1" applyBorder="1" applyAlignment="1">
      <alignment horizontal="right"/>
    </xf>
    <xf numFmtId="1" fontId="10" fillId="11" borderId="63" xfId="0" applyNumberFormat="1" applyFont="1" applyFill="1" applyBorder="1" applyAlignment="1">
      <alignment horizontal="right"/>
    </xf>
    <xf numFmtId="1" fontId="10" fillId="11" borderId="2" xfId="0" applyNumberFormat="1" applyFont="1" applyFill="1" applyBorder="1" applyAlignment="1">
      <alignment horizontal="right"/>
    </xf>
    <xf numFmtId="1" fontId="10" fillId="11" borderId="2" xfId="38" applyNumberFormat="1" applyFont="1" applyFill="1" applyBorder="1" applyAlignment="1">
      <alignment horizontal="left" vertical="center" wrapText="1"/>
    </xf>
    <xf numFmtId="1" fontId="10" fillId="11" borderId="15" xfId="0" applyNumberFormat="1" applyFont="1" applyFill="1" applyBorder="1" applyAlignment="1">
      <alignment horizontal="right"/>
    </xf>
    <xf numFmtId="1" fontId="10" fillId="11" borderId="15" xfId="38" applyNumberFormat="1" applyFont="1" applyFill="1" applyBorder="1" applyAlignment="1">
      <alignment horizontal="left" vertical="center" wrapText="1"/>
    </xf>
    <xf numFmtId="1" fontId="12" fillId="7" borderId="0" xfId="38" applyNumberFormat="1" applyFont="1" applyFill="1" applyAlignment="1">
      <alignment wrapText="1"/>
    </xf>
    <xf numFmtId="1" fontId="10" fillId="7" borderId="18" xfId="33" applyNumberFormat="1" applyFont="1" applyFill="1" applyBorder="1" applyAlignment="1">
      <alignment horizontal="center" vertical="center" wrapText="1"/>
    </xf>
    <xf numFmtId="1" fontId="10" fillId="0" borderId="15" xfId="0" applyNumberFormat="1" applyFont="1" applyBorder="1" applyAlignment="1">
      <alignment horizontal="right" vertical="center"/>
    </xf>
    <xf numFmtId="1" fontId="10" fillId="0" borderId="98" xfId="0" applyNumberFormat="1" applyFont="1" applyBorder="1" applyAlignment="1">
      <alignment vertical="center" wrapText="1"/>
    </xf>
    <xf numFmtId="1" fontId="10" fillId="7" borderId="7" xfId="38" applyNumberFormat="1" applyFont="1" applyFill="1" applyBorder="1" applyAlignment="1">
      <alignment horizontal="center" vertical="center" wrapText="1"/>
    </xf>
    <xf numFmtId="1" fontId="10" fillId="7" borderId="10" xfId="38" applyNumberFormat="1" applyFont="1" applyFill="1" applyBorder="1" applyAlignment="1">
      <alignment horizontal="center" vertical="center" wrapText="1"/>
    </xf>
    <xf numFmtId="1" fontId="10" fillId="7" borderId="11" xfId="38" applyNumberFormat="1" applyFont="1" applyFill="1" applyBorder="1" applyAlignment="1">
      <alignment horizontal="center" vertical="center" wrapText="1"/>
    </xf>
    <xf numFmtId="1" fontId="10" fillId="6" borderId="38" xfId="0" applyNumberFormat="1" applyFont="1" applyFill="1" applyBorder="1" applyAlignment="1" applyProtection="1">
      <alignment horizontal="right" vertical="center" wrapText="1"/>
      <protection locked="0"/>
    </xf>
    <xf numFmtId="1" fontId="10" fillId="6" borderId="98" xfId="0" applyNumberFormat="1" applyFont="1" applyFill="1" applyBorder="1" applyAlignment="1" applyProtection="1">
      <alignment horizontal="right" vertical="center" wrapText="1"/>
      <protection locked="0"/>
    </xf>
    <xf numFmtId="1" fontId="10" fillId="6" borderId="41" xfId="0" applyNumberFormat="1" applyFont="1" applyFill="1" applyBorder="1" applyAlignment="1" applyProtection="1">
      <alignment horizontal="right" vertical="center" wrapText="1"/>
      <protection locked="0"/>
    </xf>
    <xf numFmtId="1" fontId="10" fillId="6" borderId="100" xfId="0" applyNumberFormat="1" applyFont="1" applyFill="1" applyBorder="1" applyAlignment="1" applyProtection="1">
      <alignment horizontal="right" vertical="center" wrapText="1"/>
      <protection locked="0"/>
    </xf>
    <xf numFmtId="1" fontId="10" fillId="6" borderId="103" xfId="0" applyNumberFormat="1" applyFont="1" applyFill="1" applyBorder="1" applyAlignment="1" applyProtection="1">
      <alignment horizontal="right" vertical="center" wrapText="1"/>
      <protection locked="0"/>
    </xf>
    <xf numFmtId="1" fontId="10" fillId="6" borderId="101" xfId="0" applyNumberFormat="1" applyFont="1" applyFill="1" applyBorder="1" applyAlignment="1" applyProtection="1">
      <alignment horizontal="right" vertical="center" wrapText="1"/>
      <protection locked="0"/>
    </xf>
    <xf numFmtId="1" fontId="10" fillId="6" borderId="71" xfId="0" applyNumberFormat="1" applyFont="1" applyFill="1" applyBorder="1" applyAlignment="1" applyProtection="1">
      <alignment horizontal="right" vertical="center" wrapText="1"/>
      <protection locked="0"/>
    </xf>
    <xf numFmtId="1" fontId="10" fillId="6" borderId="171" xfId="0" applyNumberFormat="1" applyFont="1" applyFill="1" applyBorder="1" applyAlignment="1" applyProtection="1">
      <alignment horizontal="right" vertical="center" wrapText="1"/>
      <protection locked="0"/>
    </xf>
    <xf numFmtId="1" fontId="10" fillId="6" borderId="78" xfId="0" applyNumberFormat="1" applyFont="1" applyFill="1" applyBorder="1" applyAlignment="1" applyProtection="1">
      <alignment horizontal="right" vertical="center" wrapText="1"/>
      <protection locked="0"/>
    </xf>
    <xf numFmtId="1" fontId="10" fillId="6" borderId="39" xfId="0" applyNumberFormat="1" applyFont="1" applyFill="1" applyBorder="1" applyAlignment="1" applyProtection="1">
      <alignment horizontal="right" vertical="center" wrapText="1"/>
      <protection locked="0"/>
    </xf>
    <xf numFmtId="1" fontId="10" fillId="6" borderId="112" xfId="0" applyNumberFormat="1" applyFont="1" applyFill="1" applyBorder="1" applyAlignment="1" applyProtection="1">
      <alignment horizontal="right" vertical="center" wrapText="1"/>
      <protection locked="0"/>
    </xf>
    <xf numFmtId="1" fontId="10" fillId="7" borderId="18" xfId="38" applyNumberFormat="1" applyFont="1" applyFill="1" applyBorder="1" applyAlignment="1">
      <alignment horizontal="center" vertical="center" wrapText="1"/>
    </xf>
    <xf numFmtId="1" fontId="10" fillId="7" borderId="22" xfId="38" applyNumberFormat="1" applyFont="1" applyFill="1" applyBorder="1" applyAlignment="1">
      <alignment horizontal="center" vertical="center" wrapText="1"/>
    </xf>
    <xf numFmtId="1" fontId="10" fillId="0" borderId="2" xfId="0" applyNumberFormat="1" applyFont="1" applyBorder="1" applyAlignment="1">
      <alignment horizontal="right" vertical="center" wrapText="1"/>
    </xf>
    <xf numFmtId="1" fontId="10" fillId="6" borderId="10" xfId="0" applyNumberFormat="1" applyFont="1" applyFill="1" applyBorder="1" applyAlignment="1" applyProtection="1">
      <alignment horizontal="right" vertical="center" wrapText="1"/>
      <protection locked="0"/>
    </xf>
    <xf numFmtId="1" fontId="10" fillId="6" borderId="11" xfId="0" applyNumberFormat="1" applyFont="1" applyFill="1" applyBorder="1" applyAlignment="1" applyProtection="1">
      <alignment horizontal="right" vertical="center" wrapText="1"/>
      <protection locked="0"/>
    </xf>
    <xf numFmtId="1" fontId="10" fillId="6" borderId="36" xfId="0" applyNumberFormat="1" applyFont="1" applyFill="1" applyBorder="1" applyAlignment="1" applyProtection="1">
      <alignment horizontal="right" vertical="center" wrapText="1"/>
      <protection locked="0"/>
    </xf>
    <xf numFmtId="1" fontId="10" fillId="7" borderId="37" xfId="0" applyNumberFormat="1" applyFont="1" applyFill="1" applyBorder="1" applyAlignment="1">
      <alignment horizontal="left" vertical="center" wrapText="1"/>
    </xf>
    <xf numFmtId="1" fontId="10" fillId="6" borderId="64" xfId="0" applyNumberFormat="1" applyFont="1" applyFill="1" applyBorder="1" applyAlignment="1" applyProtection="1">
      <alignment horizontal="right" vertical="center" wrapText="1"/>
      <protection locked="0"/>
    </xf>
    <xf numFmtId="1" fontId="10" fillId="6" borderId="40" xfId="0" applyNumberFormat="1" applyFont="1" applyFill="1" applyBorder="1" applyAlignment="1" applyProtection="1">
      <alignment horizontal="right" vertical="center" wrapText="1"/>
      <protection locked="0"/>
    </xf>
    <xf numFmtId="1" fontId="10" fillId="6" borderId="49" xfId="0" applyNumberFormat="1" applyFont="1" applyFill="1" applyBorder="1" applyAlignment="1" applyProtection="1">
      <alignment horizontal="right" vertical="center" wrapText="1"/>
      <protection locked="0"/>
    </xf>
    <xf numFmtId="1" fontId="10" fillId="7" borderId="99" xfId="0" applyNumberFormat="1" applyFont="1" applyFill="1" applyBorder="1" applyAlignment="1">
      <alignment horizontal="left" vertical="center" wrapText="1"/>
    </xf>
    <xf numFmtId="1" fontId="10" fillId="7" borderId="51" xfId="0" applyNumberFormat="1" applyFont="1" applyFill="1" applyBorder="1" applyAlignment="1">
      <alignment horizontal="left" vertical="center" wrapText="1"/>
    </xf>
    <xf numFmtId="1" fontId="10" fillId="6" borderId="52" xfId="0" applyNumberFormat="1" applyFont="1" applyFill="1" applyBorder="1" applyAlignment="1" applyProtection="1">
      <alignment horizontal="right" vertical="center" wrapText="1"/>
      <protection locked="0"/>
    </xf>
    <xf numFmtId="1" fontId="10" fillId="6" borderId="54" xfId="0" applyNumberFormat="1" applyFont="1" applyFill="1" applyBorder="1" applyAlignment="1" applyProtection="1">
      <alignment horizontal="right" vertical="center" wrapText="1"/>
      <protection locked="0"/>
    </xf>
    <xf numFmtId="1" fontId="10" fillId="6" borderId="62" xfId="0" applyNumberFormat="1" applyFont="1" applyFill="1" applyBorder="1" applyAlignment="1" applyProtection="1">
      <alignment horizontal="right" vertical="center" wrapText="1"/>
      <protection locked="0"/>
    </xf>
    <xf numFmtId="1" fontId="10" fillId="15" borderId="49" xfId="0" applyNumberFormat="1" applyFont="1" applyFill="1" applyBorder="1" applyAlignment="1">
      <alignment horizontal="left" vertical="center" wrapText="1"/>
    </xf>
    <xf numFmtId="1" fontId="10" fillId="15" borderId="62" xfId="0" applyNumberFormat="1" applyFont="1" applyFill="1" applyBorder="1" applyAlignment="1">
      <alignment horizontal="left"/>
    </xf>
    <xf numFmtId="1" fontId="10" fillId="6" borderId="7" xfId="0" applyNumberFormat="1" applyFont="1" applyFill="1" applyBorder="1" applyAlignment="1" applyProtection="1">
      <alignment horizontal="right" vertical="center" wrapText="1"/>
      <protection locked="0"/>
    </xf>
    <xf numFmtId="1" fontId="12" fillId="11" borderId="0" xfId="38" applyNumberFormat="1" applyFont="1" applyFill="1"/>
    <xf numFmtId="1" fontId="12" fillId="11" borderId="0" xfId="38" applyNumberFormat="1" applyFont="1" applyFill="1" applyAlignment="1">
      <alignment wrapText="1"/>
    </xf>
    <xf numFmtId="1" fontId="10" fillId="6" borderId="37" xfId="0" applyNumberFormat="1" applyFont="1" applyFill="1" applyBorder="1" applyAlignment="1" applyProtection="1">
      <alignment vertical="center" wrapText="1"/>
      <protection locked="0"/>
    </xf>
    <xf numFmtId="1" fontId="10" fillId="6" borderId="99" xfId="0" applyNumberFormat="1" applyFont="1" applyFill="1" applyBorder="1" applyAlignment="1" applyProtection="1">
      <alignment vertical="center" wrapText="1"/>
      <protection locked="0"/>
    </xf>
    <xf numFmtId="1" fontId="10" fillId="6" borderId="51" xfId="0" applyNumberFormat="1" applyFont="1" applyFill="1" applyBorder="1" applyAlignment="1" applyProtection="1">
      <alignment vertical="center" wrapText="1"/>
      <protection locked="0"/>
    </xf>
    <xf numFmtId="1" fontId="34" fillId="11" borderId="0" xfId="0" applyNumberFormat="1" applyFont="1" applyFill="1" applyAlignment="1">
      <alignment wrapText="1"/>
    </xf>
    <xf numFmtId="1" fontId="12" fillId="7" borderId="14" xfId="38" applyNumberFormat="1" applyFont="1" applyFill="1" applyBorder="1"/>
    <xf numFmtId="1" fontId="10" fillId="7" borderId="18" xfId="0" applyNumberFormat="1" applyFont="1" applyFill="1" applyBorder="1" applyAlignment="1">
      <alignment horizontal="right" vertical="center" wrapText="1"/>
    </xf>
    <xf numFmtId="1" fontId="10" fillId="6" borderId="164" xfId="0" applyNumberFormat="1" applyFont="1" applyFill="1" applyBorder="1" applyAlignment="1" applyProtection="1">
      <alignment horizontal="right" vertical="center" wrapText="1"/>
      <protection locked="0"/>
    </xf>
    <xf numFmtId="1" fontId="10" fillId="6" borderId="22" xfId="0" applyNumberFormat="1" applyFont="1" applyFill="1" applyBorder="1" applyAlignment="1" applyProtection="1">
      <alignment horizontal="right" vertical="center" wrapText="1"/>
      <protection locked="0"/>
    </xf>
    <xf numFmtId="1" fontId="10" fillId="6" borderId="27" xfId="0" applyNumberFormat="1" applyFont="1" applyFill="1" applyBorder="1" applyAlignment="1" applyProtection="1">
      <alignment horizontal="right" vertical="center" wrapText="1"/>
      <protection locked="0"/>
    </xf>
    <xf numFmtId="1" fontId="10" fillId="7" borderId="37" xfId="0" applyNumberFormat="1" applyFont="1" applyFill="1" applyBorder="1" applyAlignment="1">
      <alignment horizontal="right" vertical="center" wrapText="1"/>
    </xf>
    <xf numFmtId="1" fontId="10" fillId="7" borderId="51" xfId="0" applyNumberFormat="1" applyFont="1" applyFill="1" applyBorder="1"/>
    <xf numFmtId="1" fontId="34" fillId="7" borderId="0" xfId="0" applyNumberFormat="1" applyFont="1" applyFill="1" applyProtection="1">
      <protection locked="0"/>
    </xf>
    <xf numFmtId="1" fontId="10" fillId="6" borderId="38" xfId="0" applyNumberFormat="1" applyFont="1" applyFill="1" applyBorder="1" applyAlignment="1" applyProtection="1">
      <alignment wrapText="1"/>
      <protection locked="0"/>
    </xf>
    <xf numFmtId="1" fontId="10" fillId="6" borderId="41" xfId="0" applyNumberFormat="1" applyFont="1" applyFill="1" applyBorder="1" applyAlignment="1" applyProtection="1">
      <alignment wrapText="1"/>
      <protection locked="0"/>
    </xf>
    <xf numFmtId="1" fontId="10" fillId="6" borderId="100" xfId="0" applyNumberFormat="1" applyFont="1" applyFill="1" applyBorder="1" applyAlignment="1" applyProtection="1">
      <alignment wrapText="1"/>
      <protection locked="0"/>
    </xf>
    <xf numFmtId="1" fontId="10" fillId="6" borderId="101" xfId="0" applyNumberFormat="1" applyFont="1" applyFill="1" applyBorder="1" applyAlignment="1" applyProtection="1">
      <alignment wrapText="1"/>
      <protection locked="0"/>
    </xf>
    <xf numFmtId="1" fontId="10" fillId="6" borderId="52" xfId="0" applyNumberFormat="1" applyFont="1" applyFill="1" applyBorder="1" applyAlignment="1" applyProtection="1">
      <alignment wrapText="1"/>
      <protection locked="0"/>
    </xf>
    <xf numFmtId="1" fontId="10" fillId="6" borderId="54" xfId="0" applyNumberFormat="1" applyFont="1" applyFill="1" applyBorder="1" applyAlignment="1" applyProtection="1">
      <alignment wrapText="1"/>
      <protection locked="0"/>
    </xf>
    <xf numFmtId="1" fontId="10" fillId="15" borderId="98" xfId="0" applyNumberFormat="1" applyFont="1" applyFill="1" applyBorder="1"/>
    <xf numFmtId="1" fontId="10" fillId="15" borderId="31" xfId="0" applyNumberFormat="1" applyFont="1" applyFill="1" applyBorder="1"/>
    <xf numFmtId="1" fontId="10" fillId="0" borderId="138" xfId="0" applyNumberFormat="1" applyFont="1" applyBorder="1"/>
    <xf numFmtId="1" fontId="34" fillId="6" borderId="37" xfId="0" applyNumberFormat="1" applyFont="1" applyFill="1" applyBorder="1" applyAlignment="1" applyProtection="1">
      <alignment wrapText="1"/>
      <protection locked="0"/>
    </xf>
    <xf numFmtId="1" fontId="10" fillId="0" borderId="61" xfId="0" applyNumberFormat="1" applyFont="1" applyBorder="1" applyAlignment="1">
      <alignment vertical="center" wrapText="1"/>
    </xf>
    <xf numFmtId="1" fontId="34" fillId="6" borderId="51" xfId="0" applyNumberFormat="1" applyFont="1" applyFill="1" applyBorder="1" applyAlignment="1" applyProtection="1">
      <alignment wrapText="1"/>
      <protection locked="0"/>
    </xf>
    <xf numFmtId="1" fontId="10" fillId="7" borderId="18" xfId="0" applyNumberFormat="1" applyFont="1" applyFill="1" applyBorder="1" applyAlignment="1">
      <alignment horizontal="center" vertical="center"/>
    </xf>
    <xf numFmtId="0" fontId="10" fillId="0" borderId="29" xfId="0" applyFont="1" applyBorder="1" applyAlignment="1">
      <alignment horizontal="center" vertical="center" wrapText="1"/>
    </xf>
    <xf numFmtId="1" fontId="10" fillId="6" borderId="64" xfId="0" applyNumberFormat="1" applyFont="1" applyFill="1" applyBorder="1" applyAlignment="1" applyProtection="1">
      <alignment wrapText="1"/>
      <protection locked="0"/>
    </xf>
    <xf numFmtId="1" fontId="10" fillId="6" borderId="40" xfId="0" applyNumberFormat="1" applyFont="1" applyFill="1" applyBorder="1" applyAlignment="1" applyProtection="1">
      <alignment wrapText="1"/>
      <protection locked="0"/>
    </xf>
    <xf numFmtId="1" fontId="10" fillId="7" borderId="16" xfId="0" applyNumberFormat="1" applyFont="1" applyFill="1" applyBorder="1"/>
    <xf numFmtId="1" fontId="10" fillId="7" borderId="14" xfId="0" applyNumberFormat="1" applyFont="1" applyFill="1" applyBorder="1"/>
    <xf numFmtId="1" fontId="10" fillId="7" borderId="36" xfId="0" applyNumberFormat="1" applyFont="1" applyFill="1" applyBorder="1"/>
    <xf numFmtId="1" fontId="10" fillId="0" borderId="19" xfId="0" applyNumberFormat="1" applyFont="1" applyBorder="1" applyAlignment="1">
      <alignment wrapText="1"/>
    </xf>
    <xf numFmtId="1" fontId="10" fillId="0" borderId="15" xfId="0" applyNumberFormat="1" applyFont="1" applyBorder="1" applyAlignment="1">
      <alignment wrapText="1"/>
    </xf>
    <xf numFmtId="1" fontId="15" fillId="7" borderId="8" xfId="0" applyNumberFormat="1" applyFont="1" applyFill="1" applyBorder="1"/>
    <xf numFmtId="1" fontId="15" fillId="7" borderId="7" xfId="0" applyNumberFormat="1" applyFont="1" applyFill="1" applyBorder="1"/>
    <xf numFmtId="1" fontId="10" fillId="7" borderId="2" xfId="0" applyNumberFormat="1" applyFont="1" applyFill="1" applyBorder="1"/>
    <xf numFmtId="1" fontId="10" fillId="7" borderId="11" xfId="0" applyNumberFormat="1" applyFont="1" applyFill="1" applyBorder="1"/>
    <xf numFmtId="0" fontId="10" fillId="0" borderId="2" xfId="0" applyFont="1" applyBorder="1" applyAlignment="1">
      <alignment horizontal="center"/>
    </xf>
    <xf numFmtId="0" fontId="10" fillId="0" borderId="37" xfId="0" applyFont="1" applyBorder="1" applyAlignment="1">
      <alignment vertical="center"/>
    </xf>
    <xf numFmtId="0" fontId="10" fillId="0" borderId="99" xfId="0" applyFont="1" applyBorder="1" applyAlignment="1">
      <alignment vertical="center"/>
    </xf>
    <xf numFmtId="0" fontId="10" fillId="0" borderId="15" xfId="0" applyFont="1" applyBorder="1" applyAlignment="1">
      <alignment vertical="center"/>
    </xf>
    <xf numFmtId="0" fontId="10" fillId="0" borderId="2" xfId="0" applyFont="1" applyBorder="1" applyAlignment="1">
      <alignment horizontal="center" vertical="center"/>
    </xf>
    <xf numFmtId="0" fontId="10" fillId="0" borderId="37" xfId="0" applyFont="1" applyBorder="1"/>
    <xf numFmtId="0" fontId="10" fillId="0" borderId="37" xfId="0" applyFont="1" applyBorder="1" applyAlignment="1">
      <alignment horizontal="left" vertical="center"/>
    </xf>
    <xf numFmtId="0" fontId="10" fillId="0" borderId="99" xfId="0" applyFont="1" applyBorder="1" applyAlignment="1">
      <alignment horizontal="left" vertical="center"/>
    </xf>
    <xf numFmtId="0" fontId="10" fillId="0" borderId="63" xfId="0" applyFont="1" applyBorder="1" applyAlignment="1">
      <alignment horizontal="left" vertical="center"/>
    </xf>
    <xf numFmtId="0" fontId="10" fillId="0" borderId="15" xfId="0" applyFont="1" applyBorder="1" applyAlignment="1">
      <alignment horizontal="left" vertical="center"/>
    </xf>
    <xf numFmtId="0" fontId="10" fillId="0" borderId="2" xfId="0" applyFont="1" applyBorder="1" applyAlignment="1">
      <alignment horizontal="left" vertical="center"/>
    </xf>
    <xf numFmtId="1" fontId="10" fillId="6" borderId="10" xfId="0" applyNumberFormat="1" applyFont="1" applyFill="1" applyBorder="1" applyAlignment="1" applyProtection="1">
      <alignment wrapText="1"/>
      <protection locked="0"/>
    </xf>
    <xf numFmtId="1" fontId="10" fillId="6" borderId="11" xfId="0" applyNumberFormat="1" applyFont="1" applyFill="1" applyBorder="1" applyAlignment="1" applyProtection="1">
      <alignment wrapText="1"/>
      <protection locked="0"/>
    </xf>
    <xf numFmtId="1" fontId="10" fillId="6" borderId="80" xfId="0" applyNumberFormat="1" applyFont="1" applyFill="1" applyBorder="1" applyAlignment="1" applyProtection="1">
      <alignment wrapText="1"/>
      <protection locked="0"/>
    </xf>
    <xf numFmtId="1" fontId="10" fillId="6" borderId="31" xfId="0" applyNumberFormat="1" applyFont="1" applyFill="1" applyBorder="1" applyAlignment="1" applyProtection="1">
      <alignment wrapText="1"/>
      <protection locked="0"/>
    </xf>
    <xf numFmtId="0" fontId="10" fillId="0" borderId="51" xfId="0" applyFont="1" applyBorder="1" applyAlignment="1">
      <alignment horizontal="left" vertical="center"/>
    </xf>
    <xf numFmtId="1" fontId="10" fillId="0" borderId="100" xfId="0" applyNumberFormat="1" applyFont="1" applyBorder="1" applyAlignment="1">
      <alignment wrapText="1"/>
    </xf>
    <xf numFmtId="1" fontId="10" fillId="6" borderId="131" xfId="0" applyNumberFormat="1" applyFont="1" applyFill="1" applyBorder="1" applyAlignment="1" applyProtection="1">
      <alignment wrapText="1"/>
      <protection locked="0"/>
    </xf>
    <xf numFmtId="1" fontId="10" fillId="11" borderId="80" xfId="0" applyNumberFormat="1" applyFont="1" applyFill="1" applyBorder="1" applyAlignment="1">
      <alignment wrapText="1"/>
    </xf>
    <xf numFmtId="1" fontId="10" fillId="11" borderId="36" xfId="0" applyNumberFormat="1" applyFont="1" applyFill="1" applyBorder="1" applyAlignment="1">
      <alignment wrapText="1"/>
    </xf>
    <xf numFmtId="1" fontId="10" fillId="11" borderId="64" xfId="0" applyNumberFormat="1" applyFont="1" applyFill="1" applyBorder="1" applyAlignment="1">
      <alignment wrapText="1"/>
    </xf>
    <xf numFmtId="0" fontId="10" fillId="0" borderId="11" xfId="0" applyFont="1" applyBorder="1" applyAlignment="1">
      <alignment horizontal="center" vertical="center" wrapText="1"/>
    </xf>
    <xf numFmtId="0" fontId="10" fillId="0" borderId="63" xfId="0" applyFont="1" applyBorder="1"/>
    <xf numFmtId="1" fontId="22" fillId="45" borderId="0" xfId="0" applyNumberFormat="1" applyFont="1" applyFill="1"/>
    <xf numFmtId="1" fontId="29" fillId="0" borderId="651" xfId="0" applyNumberFormat="1" applyFont="1" applyBorder="1" applyAlignment="1">
      <alignment horizontal="center" vertical="center" wrapText="1"/>
    </xf>
    <xf numFmtId="1" fontId="29" fillId="0" borderId="347" xfId="0" applyNumberFormat="1" applyFont="1" applyBorder="1" applyAlignment="1">
      <alignment horizontal="center" vertical="center" wrapText="1"/>
    </xf>
    <xf numFmtId="1" fontId="29" fillId="0" borderId="346" xfId="0" applyNumberFormat="1" applyFont="1" applyBorder="1" applyAlignment="1">
      <alignment horizontal="center" vertical="center" wrapText="1"/>
    </xf>
    <xf numFmtId="1" fontId="29" fillId="6" borderId="101" xfId="0" applyNumberFormat="1" applyFont="1" applyFill="1" applyBorder="1" applyAlignment="1" applyProtection="1">
      <alignment horizontal="right" vertical="center"/>
      <protection locked="0"/>
    </xf>
    <xf numFmtId="1" fontId="29" fillId="6" borderId="652" xfId="0" applyNumberFormat="1" applyFont="1" applyFill="1" applyBorder="1" applyAlignment="1" applyProtection="1">
      <alignment horizontal="right"/>
      <protection locked="0"/>
    </xf>
    <xf numFmtId="1" fontId="29" fillId="14" borderId="137" xfId="0" applyNumberFormat="1" applyFont="1" applyFill="1" applyBorder="1" applyAlignment="1">
      <alignment horizontal="right"/>
    </xf>
    <xf numFmtId="1" fontId="29" fillId="6" borderId="198" xfId="0" applyNumberFormat="1" applyFont="1" applyFill="1" applyBorder="1" applyAlignment="1" applyProtection="1">
      <alignment horizontal="right"/>
      <protection locked="0"/>
    </xf>
    <xf numFmtId="1" fontId="29" fillId="15" borderId="279" xfId="0" applyNumberFormat="1" applyFont="1" applyFill="1" applyBorder="1" applyAlignment="1">
      <alignment horizontal="right"/>
    </xf>
    <xf numFmtId="0" fontId="29" fillId="25" borderId="0" xfId="0" applyFont="1" applyFill="1"/>
    <xf numFmtId="0" fontId="29" fillId="13" borderId="0" xfId="0" applyFont="1" applyFill="1"/>
    <xf numFmtId="1" fontId="29" fillId="14" borderId="139" xfId="0" applyNumberFormat="1" applyFont="1" applyFill="1" applyBorder="1" applyAlignment="1">
      <alignment horizontal="right"/>
    </xf>
    <xf numFmtId="1" fontId="29" fillId="15" borderId="283" xfId="0" applyNumberFormat="1" applyFont="1" applyFill="1" applyBorder="1" applyAlignment="1">
      <alignment horizontal="right"/>
    </xf>
    <xf numFmtId="1" fontId="29" fillId="6" borderId="283" xfId="0" applyNumberFormat="1" applyFont="1" applyFill="1" applyBorder="1" applyAlignment="1" applyProtection="1">
      <alignment horizontal="right"/>
      <protection locked="0"/>
    </xf>
    <xf numFmtId="1" fontId="29" fillId="14" borderId="283" xfId="0" applyNumberFormat="1" applyFont="1" applyFill="1" applyBorder="1" applyAlignment="1">
      <alignment horizontal="right"/>
    </xf>
    <xf numFmtId="1" fontId="29" fillId="15" borderId="139" xfId="0" applyNumberFormat="1" applyFont="1" applyFill="1" applyBorder="1" applyAlignment="1">
      <alignment horizontal="right"/>
    </xf>
    <xf numFmtId="1" fontId="29" fillId="0" borderId="63" xfId="0" applyNumberFormat="1" applyFont="1" applyBorder="1" applyAlignment="1">
      <alignment horizontal="right" vertical="center" wrapText="1"/>
    </xf>
    <xf numFmtId="1" fontId="29" fillId="6" borderId="561" xfId="0" applyNumberFormat="1" applyFont="1" applyFill="1" applyBorder="1" applyAlignment="1" applyProtection="1">
      <alignment horizontal="right"/>
      <protection locked="0"/>
    </xf>
    <xf numFmtId="1" fontId="29" fillId="6" borderId="653" xfId="0" applyNumberFormat="1" applyFont="1" applyFill="1" applyBorder="1" applyAlignment="1" applyProtection="1">
      <alignment horizontal="right"/>
      <protection locked="0"/>
    </xf>
    <xf numFmtId="1" fontId="29" fillId="6" borderId="654" xfId="0" applyNumberFormat="1" applyFont="1" applyFill="1" applyBorder="1" applyAlignment="1" applyProtection="1">
      <alignment horizontal="right"/>
      <protection locked="0"/>
    </xf>
    <xf numFmtId="1" fontId="29" fillId="14" borderId="94" xfId="0" applyNumberFormat="1" applyFont="1" applyFill="1" applyBorder="1" applyAlignment="1">
      <alignment horizontal="right"/>
    </xf>
    <xf numFmtId="1" fontId="29" fillId="6" borderId="206" xfId="0" applyNumberFormat="1" applyFont="1" applyFill="1" applyBorder="1" applyAlignment="1" applyProtection="1">
      <alignment horizontal="right"/>
      <protection locked="0"/>
    </xf>
    <xf numFmtId="1" fontId="29" fillId="0" borderId="98" xfId="0" applyNumberFormat="1" applyFont="1" applyBorder="1" applyAlignment="1">
      <alignment vertical="center" wrapText="1"/>
    </xf>
    <xf numFmtId="1" fontId="29" fillId="6" borderId="37" xfId="0" applyNumberFormat="1" applyFont="1" applyFill="1" applyBorder="1" applyAlignment="1" applyProtection="1">
      <alignment horizontal="right" vertical="center"/>
      <protection locked="0"/>
    </xf>
    <xf numFmtId="1" fontId="29" fillId="6" borderId="39" xfId="0" applyNumberFormat="1" applyFont="1" applyFill="1" applyBorder="1" applyAlignment="1" applyProtection="1">
      <alignment horizontal="right" vertical="center"/>
      <protection locked="0"/>
    </xf>
    <xf numFmtId="1" fontId="29" fillId="6" borderId="41" xfId="0" applyNumberFormat="1" applyFont="1" applyFill="1" applyBorder="1" applyAlignment="1" applyProtection="1">
      <alignment horizontal="right" vertical="center"/>
      <protection locked="0"/>
    </xf>
    <xf numFmtId="1" fontId="29" fillId="6" borderId="112" xfId="0" applyNumberFormat="1" applyFont="1" applyFill="1" applyBorder="1" applyAlignment="1" applyProtection="1">
      <alignment horizontal="right" vertical="center"/>
      <protection locked="0"/>
    </xf>
    <xf numFmtId="1" fontId="29" fillId="6" borderId="75" xfId="0" applyNumberFormat="1" applyFont="1" applyFill="1" applyBorder="1" applyAlignment="1" applyProtection="1">
      <alignment horizontal="right" vertical="center"/>
      <protection locked="0"/>
    </xf>
    <xf numFmtId="1" fontId="29" fillId="6" borderId="138" xfId="0" applyNumberFormat="1" applyFont="1" applyFill="1" applyBorder="1" applyAlignment="1" applyProtection="1">
      <alignment horizontal="right" vertical="center"/>
      <protection locked="0"/>
    </xf>
    <xf numFmtId="1" fontId="29" fillId="6" borderId="98" xfId="0" applyNumberFormat="1" applyFont="1" applyFill="1" applyBorder="1" applyAlignment="1" applyProtection="1">
      <alignment horizontal="right" vertical="center"/>
      <protection locked="0"/>
    </xf>
    <xf numFmtId="1" fontId="29" fillId="0" borderId="103" xfId="0" applyNumberFormat="1" applyFont="1" applyBorder="1" applyAlignment="1">
      <alignment vertical="center" wrapText="1"/>
    </xf>
    <xf numFmtId="1" fontId="29" fillId="6" borderId="99" xfId="0" applyNumberFormat="1" applyFont="1" applyFill="1" applyBorder="1" applyAlignment="1" applyProtection="1">
      <alignment horizontal="right" vertical="center"/>
      <protection locked="0"/>
    </xf>
    <xf numFmtId="1" fontId="29" fillId="6" borderId="131" xfId="0" applyNumberFormat="1" applyFont="1" applyFill="1" applyBorder="1" applyAlignment="1" applyProtection="1">
      <alignment horizontal="right" vertical="center"/>
      <protection locked="0"/>
    </xf>
    <xf numFmtId="1" fontId="29" fillId="6" borderId="116" xfId="0" applyNumberFormat="1" applyFont="1" applyFill="1" applyBorder="1" applyAlignment="1" applyProtection="1">
      <alignment horizontal="right" vertical="center"/>
      <protection locked="0"/>
    </xf>
    <xf numFmtId="1" fontId="29" fillId="6" borderId="78" xfId="0" applyNumberFormat="1" applyFont="1" applyFill="1" applyBorder="1" applyAlignment="1" applyProtection="1">
      <alignment horizontal="right" vertical="center"/>
      <protection locked="0"/>
    </xf>
    <xf numFmtId="1" fontId="29" fillId="6" borderId="169" xfId="0" applyNumberFormat="1" applyFont="1" applyFill="1" applyBorder="1" applyAlignment="1" applyProtection="1">
      <alignment horizontal="right" vertical="center"/>
      <protection locked="0"/>
    </xf>
    <xf numFmtId="1" fontId="29" fillId="6" borderId="86" xfId="0" applyNumberFormat="1" applyFont="1" applyFill="1" applyBorder="1" applyAlignment="1" applyProtection="1">
      <alignment horizontal="right" vertical="center"/>
      <protection locked="0"/>
    </xf>
    <xf numFmtId="1" fontId="29" fillId="6" borderId="140" xfId="0" applyNumberFormat="1" applyFont="1" applyFill="1" applyBorder="1" applyAlignment="1" applyProtection="1">
      <alignment horizontal="right" vertical="center"/>
      <protection locked="0"/>
    </xf>
    <xf numFmtId="1" fontId="29" fillId="6" borderId="103" xfId="0" applyNumberFormat="1" applyFont="1" applyFill="1" applyBorder="1" applyAlignment="1" applyProtection="1">
      <alignment horizontal="right" vertical="center"/>
      <protection locked="0"/>
    </xf>
    <xf numFmtId="1" fontId="29" fillId="0" borderId="49" xfId="0" applyNumberFormat="1" applyFont="1" applyBorder="1" applyAlignment="1">
      <alignment vertical="center" wrapText="1"/>
    </xf>
    <xf numFmtId="1" fontId="29" fillId="6" borderId="15" xfId="0" applyNumberFormat="1" applyFont="1" applyFill="1" applyBorder="1" applyAlignment="1" applyProtection="1">
      <alignment horizontal="right" vertical="center"/>
      <protection locked="0"/>
    </xf>
    <xf numFmtId="1" fontId="29" fillId="6" borderId="53" xfId="0" applyNumberFormat="1" applyFont="1" applyFill="1" applyBorder="1" applyAlignment="1" applyProtection="1">
      <alignment horizontal="right" vertical="center"/>
      <protection locked="0"/>
    </xf>
    <xf numFmtId="1" fontId="29" fillId="6" borderId="31" xfId="0" applyNumberFormat="1" applyFont="1" applyFill="1" applyBorder="1" applyAlignment="1" applyProtection="1">
      <alignment horizontal="right" vertical="center"/>
      <protection locked="0"/>
    </xf>
    <xf numFmtId="1" fontId="29" fillId="6" borderId="17" xfId="0" applyNumberFormat="1" applyFont="1" applyFill="1" applyBorder="1" applyAlignment="1" applyProtection="1">
      <alignment horizontal="right" vertical="center"/>
      <protection locked="0"/>
    </xf>
    <xf numFmtId="1" fontId="29" fillId="6" borderId="54" xfId="0" applyNumberFormat="1" applyFont="1" applyFill="1" applyBorder="1" applyAlignment="1" applyProtection="1">
      <alignment horizontal="right" vertical="center"/>
      <protection locked="0"/>
    </xf>
    <xf numFmtId="1" fontId="29" fillId="6" borderId="58" xfId="0" applyNumberFormat="1" applyFont="1" applyFill="1" applyBorder="1" applyAlignment="1" applyProtection="1">
      <alignment horizontal="right" vertical="center"/>
      <protection locked="0"/>
    </xf>
    <xf numFmtId="1" fontId="29" fillId="6" borderId="51" xfId="0" applyNumberFormat="1" applyFont="1" applyFill="1" applyBorder="1" applyAlignment="1" applyProtection="1">
      <alignment horizontal="right" vertical="center"/>
      <protection locked="0"/>
    </xf>
    <xf numFmtId="1" fontId="29" fillId="6" borderId="14" xfId="0" applyNumberFormat="1" applyFont="1" applyFill="1" applyBorder="1" applyAlignment="1" applyProtection="1">
      <alignment horizontal="right" vertical="center"/>
      <protection locked="0"/>
    </xf>
    <xf numFmtId="1" fontId="29" fillId="6" borderId="36" xfId="0" applyNumberFormat="1" applyFont="1" applyFill="1" applyBorder="1" applyAlignment="1" applyProtection="1">
      <alignment horizontal="right" vertical="center"/>
      <protection locked="0"/>
    </xf>
    <xf numFmtId="1" fontId="29" fillId="0" borderId="108" xfId="0" applyNumberFormat="1" applyFont="1" applyBorder="1"/>
    <xf numFmtId="1" fontId="29" fillId="6" borderId="69" xfId="0" applyNumberFormat="1" applyFont="1" applyFill="1" applyBorder="1" applyAlignment="1" applyProtection="1">
      <alignment horizontal="right" vertical="center"/>
      <protection locked="0"/>
    </xf>
    <xf numFmtId="1" fontId="29" fillId="6" borderId="40" xfId="0" applyNumberFormat="1" applyFont="1" applyFill="1" applyBorder="1" applyAlignment="1" applyProtection="1">
      <alignment horizontal="right" vertical="center"/>
      <protection locked="0"/>
    </xf>
    <xf numFmtId="1" fontId="29" fillId="6" borderId="122" xfId="0" applyNumberFormat="1" applyFont="1" applyFill="1" applyBorder="1" applyAlignment="1" applyProtection="1">
      <alignment horizontal="right" vertical="center"/>
      <protection locked="0"/>
    </xf>
    <xf numFmtId="1" fontId="29" fillId="6" borderId="74" xfId="0" applyNumberFormat="1" applyFont="1" applyFill="1" applyBorder="1" applyAlignment="1" applyProtection="1">
      <alignment horizontal="right" vertical="center"/>
      <protection locked="0"/>
    </xf>
    <xf numFmtId="1" fontId="29" fillId="6" borderId="70" xfId="0" applyNumberFormat="1" applyFont="1" applyFill="1" applyBorder="1" applyAlignment="1" applyProtection="1">
      <alignment horizontal="right" vertical="center"/>
      <protection locked="0"/>
    </xf>
    <xf numFmtId="1" fontId="29" fillId="6" borderId="68" xfId="0" applyNumberFormat="1" applyFont="1" applyFill="1" applyBorder="1" applyAlignment="1" applyProtection="1">
      <alignment horizontal="right" vertical="center"/>
      <protection locked="0"/>
    </xf>
    <xf numFmtId="1" fontId="29" fillId="6" borderId="63" xfId="0" applyNumberFormat="1" applyFont="1" applyFill="1" applyBorder="1" applyAlignment="1" applyProtection="1">
      <alignment horizontal="right" vertical="center"/>
      <protection locked="0"/>
    </xf>
    <xf numFmtId="1" fontId="29" fillId="6" borderId="0" xfId="0" applyNumberFormat="1" applyFont="1" applyFill="1" applyAlignment="1" applyProtection="1">
      <alignment horizontal="right" vertical="center"/>
      <protection locked="0"/>
    </xf>
    <xf numFmtId="1" fontId="29" fillId="6" borderId="19" xfId="0" applyNumberFormat="1" applyFont="1" applyFill="1" applyBorder="1" applyAlignment="1" applyProtection="1">
      <alignment horizontal="right" vertical="center"/>
      <protection locked="0"/>
    </xf>
    <xf numFmtId="1" fontId="29" fillId="0" borderId="86" xfId="0" quotePrefix="1" applyNumberFormat="1" applyFont="1" applyBorder="1"/>
    <xf numFmtId="1" fontId="29" fillId="6" borderId="100" xfId="0" applyNumberFormat="1" applyFont="1" applyFill="1" applyBorder="1" applyAlignment="1" applyProtection="1">
      <alignment horizontal="right" vertical="center"/>
      <protection locked="0"/>
    </xf>
    <xf numFmtId="1" fontId="29" fillId="6" borderId="72" xfId="0" applyNumberFormat="1" applyFont="1" applyFill="1" applyBorder="1" applyAlignment="1" applyProtection="1">
      <alignment horizontal="right" vertical="center"/>
      <protection locked="0"/>
    </xf>
    <xf numFmtId="1" fontId="29" fillId="6" borderId="142" xfId="0" applyNumberFormat="1" applyFont="1" applyFill="1" applyBorder="1" applyAlignment="1" applyProtection="1">
      <alignment horizontal="right" vertical="center"/>
      <protection locked="0"/>
    </xf>
    <xf numFmtId="1" fontId="29" fillId="0" borderId="99" xfId="0" quotePrefix="1" applyNumberFormat="1" applyFont="1" applyBorder="1"/>
    <xf numFmtId="1" fontId="29" fillId="6" borderId="118" xfId="0" applyNumberFormat="1" applyFont="1" applyFill="1" applyBorder="1" applyAlignment="1" applyProtection="1">
      <alignment horizontal="right" vertical="center"/>
      <protection locked="0"/>
    </xf>
    <xf numFmtId="1" fontId="29" fillId="6" borderId="45" xfId="0" applyNumberFormat="1" applyFont="1" applyFill="1" applyBorder="1" applyAlignment="1" applyProtection="1">
      <alignment horizontal="right" vertical="center"/>
      <protection locked="0"/>
    </xf>
    <xf numFmtId="1" fontId="29" fillId="6" borderId="52" xfId="0" applyNumberFormat="1" applyFont="1" applyFill="1" applyBorder="1" applyAlignment="1" applyProtection="1">
      <alignment horizontal="right" vertical="center"/>
      <protection locked="0"/>
    </xf>
    <xf numFmtId="1" fontId="29" fillId="6" borderId="76" xfId="0" applyNumberFormat="1" applyFont="1" applyFill="1" applyBorder="1" applyAlignment="1" applyProtection="1">
      <alignment horizontal="right" vertical="center"/>
      <protection locked="0"/>
    </xf>
    <xf numFmtId="1" fontId="29" fillId="6" borderId="32" xfId="0" applyNumberFormat="1" applyFont="1" applyFill="1" applyBorder="1" applyAlignment="1" applyProtection="1">
      <alignment horizontal="right" vertical="center"/>
      <protection locked="0"/>
    </xf>
    <xf numFmtId="1" fontId="29" fillId="0" borderId="16" xfId="0" applyNumberFormat="1" applyFont="1" applyBorder="1" applyAlignment="1">
      <alignment horizontal="right" vertical="center"/>
    </xf>
    <xf numFmtId="1" fontId="29" fillId="0" borderId="165" xfId="0" applyNumberFormat="1" applyFont="1" applyBorder="1" applyAlignment="1">
      <alignment horizontal="right" vertical="center"/>
    </xf>
    <xf numFmtId="1" fontId="29" fillId="0" borderId="12" xfId="0" applyNumberFormat="1" applyFont="1" applyBorder="1" applyAlignment="1">
      <alignment horizontal="right" vertical="center"/>
    </xf>
    <xf numFmtId="1" fontId="29" fillId="0" borderId="2" xfId="0" applyNumberFormat="1" applyFont="1" applyBorder="1" applyAlignment="1">
      <alignment horizontal="right" vertical="center"/>
    </xf>
    <xf numFmtId="1" fontId="29" fillId="0" borderId="14" xfId="0" applyNumberFormat="1" applyFont="1" applyBorder="1" applyAlignment="1">
      <alignment horizontal="right" vertical="center"/>
    </xf>
    <xf numFmtId="1" fontId="29" fillId="7" borderId="89" xfId="0" applyNumberFormat="1" applyFont="1" applyFill="1" applyBorder="1" applyAlignment="1">
      <alignment horizontal="right"/>
    </xf>
    <xf numFmtId="1" fontId="29" fillId="14" borderId="279" xfId="0" applyNumberFormat="1" applyFont="1" applyFill="1" applyBorder="1"/>
    <xf numFmtId="1" fontId="29" fillId="7" borderId="128" xfId="0" applyNumberFormat="1" applyFont="1" applyFill="1" applyBorder="1" applyAlignment="1">
      <alignment horizontal="right"/>
    </xf>
    <xf numFmtId="1" fontId="29" fillId="14" borderId="283" xfId="0" applyNumberFormat="1" applyFont="1" applyFill="1" applyBorder="1"/>
    <xf numFmtId="1" fontId="29" fillId="14" borderId="526" xfId="0" applyNumberFormat="1" applyFont="1" applyFill="1" applyBorder="1"/>
    <xf numFmtId="1" fontId="29" fillId="14" borderId="319" xfId="0" applyNumberFormat="1" applyFont="1" applyFill="1" applyBorder="1"/>
    <xf numFmtId="0" fontId="25" fillId="0" borderId="0" xfId="0" applyFont="1"/>
    <xf numFmtId="1" fontId="29" fillId="7" borderId="15" xfId="0" applyNumberFormat="1" applyFont="1" applyFill="1" applyBorder="1"/>
    <xf numFmtId="1" fontId="29" fillId="6" borderId="61" xfId="0" applyNumberFormat="1" applyFont="1" applyFill="1" applyBorder="1" applyAlignment="1" applyProtection="1">
      <alignment horizontal="right" vertical="center"/>
      <protection locked="0"/>
    </xf>
    <xf numFmtId="1" fontId="29" fillId="6" borderId="48" xfId="0" applyNumberFormat="1" applyFont="1" applyFill="1" applyBorder="1" applyAlignment="1" applyProtection="1">
      <alignment horizontal="right" vertical="center"/>
      <protection locked="0"/>
    </xf>
    <xf numFmtId="1" fontId="29" fillId="6" borderId="51" xfId="0" applyNumberFormat="1" applyFont="1" applyFill="1" applyBorder="1" applyAlignment="1" applyProtection="1">
      <alignment horizontal="right" vertical="center" wrapText="1"/>
      <protection locked="0"/>
    </xf>
    <xf numFmtId="1" fontId="29" fillId="6" borderId="63" xfId="0" applyNumberFormat="1" applyFont="1" applyFill="1" applyBorder="1" applyAlignment="1" applyProtection="1">
      <alignment horizontal="right" vertical="center" wrapText="1"/>
      <protection locked="0"/>
    </xf>
    <xf numFmtId="1" fontId="29" fillId="7" borderId="63" xfId="0" applyNumberFormat="1" applyFont="1" applyFill="1" applyBorder="1"/>
    <xf numFmtId="1" fontId="29" fillId="6" borderId="15" xfId="0" applyNumberFormat="1" applyFont="1" applyFill="1" applyBorder="1" applyAlignment="1" applyProtection="1">
      <alignment horizontal="right" vertical="center" wrapText="1"/>
      <protection locked="0"/>
    </xf>
    <xf numFmtId="1" fontId="29" fillId="0" borderId="128" xfId="0" quotePrefix="1" applyNumberFormat="1" applyFont="1" applyBorder="1" applyAlignment="1">
      <alignment horizontal="left"/>
    </xf>
    <xf numFmtId="1" fontId="29" fillId="7" borderId="127" xfId="0" applyNumberFormat="1" applyFont="1" applyFill="1" applyBorder="1" applyAlignment="1">
      <alignment horizontal="right"/>
    </xf>
    <xf numFmtId="1" fontId="29" fillId="6" borderId="2" xfId="0" applyNumberFormat="1" applyFont="1" applyFill="1" applyBorder="1" applyAlignment="1" applyProtection="1">
      <alignment horizontal="right"/>
      <protection locked="0"/>
    </xf>
    <xf numFmtId="164" fontId="29" fillId="0" borderId="6" xfId="45" applyNumberFormat="1" applyFont="1" applyBorder="1" applyAlignment="1" applyProtection="1">
      <alignment horizontal="center" vertical="center" wrapText="1"/>
    </xf>
    <xf numFmtId="164" fontId="29" fillId="0" borderId="10" xfId="45" applyNumberFormat="1" applyFont="1" applyBorder="1" applyAlignment="1" applyProtection="1">
      <alignment horizontal="center" vertical="center" wrapText="1"/>
    </xf>
    <xf numFmtId="164" fontId="29" fillId="0" borderId="7" xfId="45" applyNumberFormat="1" applyFont="1" applyBorder="1" applyAlignment="1" applyProtection="1">
      <alignment horizontal="center" vertical="center"/>
    </xf>
    <xf numFmtId="1" fontId="29" fillId="0" borderId="128" xfId="0" quotePrefix="1" applyNumberFormat="1" applyFont="1" applyBorder="1" applyAlignment="1">
      <alignment horizontal="left" wrapText="1"/>
    </xf>
    <xf numFmtId="166" fontId="29" fillId="11" borderId="63" xfId="45" applyNumberFormat="1" applyFont="1" applyFill="1" applyBorder="1" applyAlignment="1" applyProtection="1">
      <alignment horizontal="right"/>
    </xf>
    <xf numFmtId="166" fontId="29" fillId="0" borderId="2" xfId="31" applyNumberFormat="1" applyFont="1" applyBorder="1" applyAlignment="1" applyProtection="1">
      <alignment horizontal="right"/>
    </xf>
    <xf numFmtId="166" fontId="29" fillId="0" borderId="10" xfId="31" applyNumberFormat="1" applyFont="1" applyBorder="1" applyAlignment="1" applyProtection="1">
      <alignment horizontal="right"/>
    </xf>
    <xf numFmtId="166" fontId="29" fillId="0" borderId="11" xfId="31" applyNumberFormat="1" applyFont="1" applyBorder="1" applyAlignment="1" applyProtection="1">
      <alignment horizontal="right"/>
    </xf>
    <xf numFmtId="166" fontId="29" fillId="0" borderId="29" xfId="31" applyNumberFormat="1" applyFont="1" applyBorder="1" applyAlignment="1" applyProtection="1">
      <alignment horizontal="right"/>
    </xf>
    <xf numFmtId="166" fontId="29" fillId="0" borderId="7" xfId="31" applyNumberFormat="1" applyFont="1" applyBorder="1" applyAlignment="1" applyProtection="1">
      <alignment horizontal="right"/>
    </xf>
    <xf numFmtId="1" fontId="29" fillId="0" borderId="13" xfId="0" applyNumberFormat="1" applyFont="1" applyBorder="1" applyAlignment="1">
      <alignment vertical="center"/>
    </xf>
    <xf numFmtId="1" fontId="29" fillId="0" borderId="640" xfId="0" applyNumberFormat="1" applyFont="1" applyBorder="1" applyAlignment="1">
      <alignment vertical="center" wrapText="1"/>
    </xf>
    <xf numFmtId="1" fontId="29" fillId="6" borderId="342" xfId="0" applyNumberFormat="1" applyFont="1" applyFill="1" applyBorder="1" applyProtection="1">
      <protection locked="0"/>
    </xf>
    <xf numFmtId="1" fontId="29" fillId="6" borderId="389" xfId="0" applyNumberFormat="1" applyFont="1" applyFill="1" applyBorder="1" applyProtection="1">
      <protection locked="0"/>
    </xf>
    <xf numFmtId="1" fontId="29" fillId="15" borderId="391" xfId="0" applyNumberFormat="1" applyFont="1" applyFill="1" applyBorder="1" applyAlignment="1">
      <alignment horizontal="right"/>
    </xf>
    <xf numFmtId="1" fontId="29" fillId="15" borderId="655" xfId="0" applyNumberFormat="1" applyFont="1" applyFill="1" applyBorder="1" applyAlignment="1">
      <alignment horizontal="right"/>
    </xf>
    <xf numFmtId="1" fontId="29" fillId="15" borderId="390" xfId="0" applyNumberFormat="1" applyFont="1" applyFill="1" applyBorder="1" applyAlignment="1">
      <alignment horizontal="right"/>
    </xf>
    <xf numFmtId="1" fontId="29" fillId="15" borderId="656" xfId="0" applyNumberFormat="1" applyFont="1" applyFill="1" applyBorder="1" applyAlignment="1">
      <alignment horizontal="right"/>
    </xf>
    <xf numFmtId="1" fontId="29" fillId="15" borderId="389" xfId="0" applyNumberFormat="1" applyFont="1" applyFill="1" applyBorder="1" applyAlignment="1">
      <alignment horizontal="right"/>
    </xf>
    <xf numFmtId="1" fontId="29" fillId="15" borderId="393" xfId="0" applyNumberFormat="1" applyFont="1" applyFill="1" applyBorder="1" applyAlignment="1">
      <alignment horizontal="right"/>
    </xf>
    <xf numFmtId="0" fontId="29" fillId="0" borderId="13" xfId="0" applyFont="1" applyBorder="1"/>
    <xf numFmtId="1" fontId="29" fillId="14" borderId="158" xfId="0" applyNumberFormat="1" applyFont="1" applyFill="1" applyBorder="1"/>
    <xf numFmtId="1" fontId="29" fillId="14" borderId="177" xfId="0" applyNumberFormat="1" applyFont="1" applyFill="1" applyBorder="1"/>
    <xf numFmtId="1" fontId="29" fillId="14" borderId="22" xfId="0" applyNumberFormat="1" applyFont="1" applyFill="1" applyBorder="1"/>
    <xf numFmtId="1" fontId="29" fillId="14" borderId="23" xfId="0" applyNumberFormat="1" applyFont="1" applyFill="1" applyBorder="1"/>
    <xf numFmtId="1" fontId="29" fillId="14" borderId="323" xfId="0" applyNumberFormat="1" applyFont="1" applyFill="1" applyBorder="1"/>
    <xf numFmtId="1" fontId="0" fillId="15" borderId="0" xfId="0" applyNumberFormat="1" applyFill="1"/>
    <xf numFmtId="1" fontId="29" fillId="0" borderId="171" xfId="0" applyNumberFormat="1" applyFont="1" applyBorder="1" applyAlignment="1">
      <alignment horizontal="left" vertical="center"/>
    </xf>
    <xf numFmtId="1" fontId="29" fillId="14" borderId="78" xfId="0" applyNumberFormat="1" applyFont="1" applyFill="1" applyBorder="1"/>
    <xf numFmtId="1" fontId="29" fillId="14" borderId="68" xfId="0" applyNumberFormat="1" applyFont="1" applyFill="1" applyBorder="1"/>
    <xf numFmtId="1" fontId="29" fillId="14" borderId="75" xfId="0" applyNumberFormat="1" applyFont="1" applyFill="1" applyBorder="1"/>
    <xf numFmtId="1" fontId="29" fillId="14" borderId="31" xfId="0" applyNumberFormat="1" applyFont="1" applyFill="1" applyBorder="1"/>
    <xf numFmtId="1" fontId="29" fillId="14" borderId="122" xfId="0" applyNumberFormat="1" applyFont="1" applyFill="1" applyBorder="1"/>
    <xf numFmtId="1" fontId="29" fillId="14" borderId="87" xfId="0" applyNumberFormat="1" applyFont="1" applyFill="1" applyBorder="1"/>
    <xf numFmtId="1" fontId="29" fillId="14" borderId="73" xfId="0" applyNumberFormat="1" applyFont="1" applyFill="1" applyBorder="1"/>
    <xf numFmtId="1" fontId="29" fillId="6" borderId="21" xfId="0" applyNumberFormat="1" applyFont="1" applyFill="1" applyBorder="1" applyProtection="1">
      <protection locked="0"/>
    </xf>
    <xf numFmtId="1" fontId="29" fillId="0" borderId="138" xfId="0" applyNumberFormat="1" applyFont="1" applyBorder="1" applyAlignment="1">
      <alignment horizontal="left" wrapText="1"/>
    </xf>
    <xf numFmtId="1" fontId="29" fillId="7" borderId="140" xfId="0" applyNumberFormat="1" applyFont="1" applyFill="1" applyBorder="1" applyAlignment="1">
      <alignment horizontal="left" wrapText="1"/>
    </xf>
    <xf numFmtId="1" fontId="29" fillId="0" borderId="99" xfId="0" applyNumberFormat="1" applyFont="1" applyBorder="1" applyAlignment="1">
      <alignment horizontal="left" wrapText="1"/>
    </xf>
    <xf numFmtId="1" fontId="29" fillId="0" borderId="0" xfId="0" applyNumberFormat="1" applyFont="1" applyAlignment="1">
      <alignment horizontal="left" wrapText="1"/>
    </xf>
    <xf numFmtId="1" fontId="29" fillId="14" borderId="50" xfId="0" applyNumberFormat="1" applyFont="1" applyFill="1" applyBorder="1"/>
    <xf numFmtId="1" fontId="29" fillId="7" borderId="37" xfId="0" applyNumberFormat="1" applyFont="1" applyFill="1" applyBorder="1" applyAlignment="1">
      <alignment horizontal="left" vertical="top" wrapText="1"/>
    </xf>
    <xf numFmtId="1" fontId="29" fillId="7" borderId="99" xfId="0" applyNumberFormat="1" applyFont="1" applyFill="1" applyBorder="1" applyAlignment="1">
      <alignment horizontal="left" wrapText="1"/>
    </xf>
    <xf numFmtId="1" fontId="29" fillId="7" borderId="99" xfId="0" applyNumberFormat="1" applyFont="1" applyFill="1" applyBorder="1" applyAlignment="1">
      <alignment horizontal="left" vertical="top" wrapText="1"/>
    </xf>
    <xf numFmtId="1" fontId="29" fillId="7" borderId="86" xfId="0" applyNumberFormat="1" applyFont="1" applyFill="1" applyBorder="1" applyAlignment="1">
      <alignment horizontal="left" vertical="top" wrapText="1"/>
    </xf>
    <xf numFmtId="1" fontId="29" fillId="14" borderId="137" xfId="0" applyNumberFormat="1" applyFont="1" applyFill="1" applyBorder="1"/>
    <xf numFmtId="1" fontId="32" fillId="7" borderId="14" xfId="0" applyNumberFormat="1" applyFont="1" applyFill="1" applyBorder="1"/>
    <xf numFmtId="1" fontId="29" fillId="6" borderId="442" xfId="0" applyNumberFormat="1" applyFont="1" applyFill="1" applyBorder="1" applyProtection="1">
      <protection locked="0"/>
    </xf>
    <xf numFmtId="1" fontId="29" fillId="6" borderId="132" xfId="0" applyNumberFormat="1" applyFont="1" applyFill="1" applyBorder="1" applyProtection="1">
      <protection locked="0"/>
    </xf>
    <xf numFmtId="1" fontId="29" fillId="6" borderId="272" xfId="0" applyNumberFormat="1" applyFont="1" applyFill="1" applyBorder="1" applyProtection="1">
      <protection locked="0"/>
    </xf>
    <xf numFmtId="1" fontId="29" fillId="6" borderId="536" xfId="0" applyNumberFormat="1" applyFont="1" applyFill="1" applyBorder="1" applyProtection="1">
      <protection locked="0"/>
    </xf>
    <xf numFmtId="1" fontId="29" fillId="6" borderId="133" xfId="0" applyNumberFormat="1" applyFont="1" applyFill="1" applyBorder="1" applyProtection="1">
      <protection locked="0"/>
    </xf>
    <xf numFmtId="1" fontId="32" fillId="7" borderId="0" xfId="0" applyNumberFormat="1" applyFont="1" applyFill="1" applyAlignment="1">
      <alignment wrapText="1"/>
    </xf>
    <xf numFmtId="1" fontId="32" fillId="6" borderId="63" xfId="0" applyNumberFormat="1" applyFont="1" applyFill="1" applyBorder="1" applyProtection="1">
      <protection locked="0"/>
    </xf>
    <xf numFmtId="1" fontId="32" fillId="6" borderId="51" xfId="0" applyNumberFormat="1" applyFont="1" applyFill="1" applyBorder="1" applyProtection="1">
      <protection locked="0"/>
    </xf>
    <xf numFmtId="1" fontId="45" fillId="7" borderId="8" xfId="0" applyNumberFormat="1" applyFont="1" applyFill="1" applyBorder="1"/>
    <xf numFmtId="1" fontId="51" fillId="7" borderId="8" xfId="0" applyNumberFormat="1" applyFont="1" applyFill="1" applyBorder="1"/>
    <xf numFmtId="1" fontId="33" fillId="0" borderId="0" xfId="0" applyNumberFormat="1" applyFont="1" applyAlignment="1">
      <alignment wrapText="1"/>
    </xf>
    <xf numFmtId="1" fontId="29" fillId="7" borderId="154" xfId="0" applyNumberFormat="1" applyFont="1" applyFill="1" applyBorder="1" applyAlignment="1">
      <alignment horizontal="center" vertical="center" wrapText="1"/>
    </xf>
    <xf numFmtId="1" fontId="29" fillId="11" borderId="37" xfId="0" applyNumberFormat="1" applyFont="1" applyFill="1" applyBorder="1" applyAlignment="1">
      <alignment vertical="center"/>
    </xf>
    <xf numFmtId="1" fontId="29" fillId="6" borderId="38" xfId="0" applyNumberFormat="1" applyFont="1" applyFill="1" applyBorder="1" applyAlignment="1" applyProtection="1">
      <alignment vertical="center"/>
      <protection locked="0"/>
    </xf>
    <xf numFmtId="1" fontId="29" fillId="6" borderId="41" xfId="0" applyNumberFormat="1" applyFont="1" applyFill="1" applyBorder="1" applyAlignment="1" applyProtection="1">
      <alignment vertical="center"/>
      <protection locked="0"/>
    </xf>
    <xf numFmtId="1" fontId="29" fillId="6" borderId="43" xfId="0" applyNumberFormat="1" applyFont="1" applyFill="1" applyBorder="1" applyAlignment="1" applyProtection="1">
      <alignment vertical="center"/>
      <protection locked="0"/>
    </xf>
    <xf numFmtId="1" fontId="29" fillId="6" borderId="281" xfId="0" applyNumberFormat="1" applyFont="1" applyFill="1" applyBorder="1" applyAlignment="1" applyProtection="1">
      <alignment vertical="center"/>
      <protection locked="0"/>
    </xf>
    <xf numFmtId="1" fontId="29" fillId="11" borderId="99" xfId="0" applyNumberFormat="1" applyFont="1" applyFill="1" applyBorder="1" applyAlignment="1">
      <alignment vertical="center"/>
    </xf>
    <xf numFmtId="1" fontId="29" fillId="6" borderId="100" xfId="0" applyNumberFormat="1" applyFont="1" applyFill="1" applyBorder="1" applyAlignment="1" applyProtection="1">
      <alignment vertical="center"/>
      <protection locked="0"/>
    </xf>
    <xf numFmtId="1" fontId="29" fillId="6" borderId="101" xfId="0" applyNumberFormat="1" applyFont="1" applyFill="1" applyBorder="1" applyAlignment="1" applyProtection="1">
      <alignment vertical="center"/>
      <protection locked="0"/>
    </xf>
    <xf numFmtId="1" fontId="29" fillId="6" borderId="180" xfId="0" applyNumberFormat="1" applyFont="1" applyFill="1" applyBorder="1" applyAlignment="1" applyProtection="1">
      <alignment vertical="center"/>
      <protection locked="0"/>
    </xf>
    <xf numFmtId="1" fontId="29" fillId="6" borderId="283" xfId="0" applyNumberFormat="1" applyFont="1" applyFill="1" applyBorder="1" applyAlignment="1" applyProtection="1">
      <alignment vertical="center"/>
      <protection locked="0"/>
    </xf>
    <xf numFmtId="1" fontId="29" fillId="11" borderId="15" xfId="0" applyNumberFormat="1" applyFont="1" applyFill="1" applyBorder="1" applyAlignment="1">
      <alignment vertical="center"/>
    </xf>
    <xf numFmtId="1" fontId="29" fillId="6" borderId="52" xfId="0" applyNumberFormat="1" applyFont="1" applyFill="1" applyBorder="1" applyAlignment="1" applyProtection="1">
      <alignment vertical="center"/>
      <protection locked="0"/>
    </xf>
    <xf numFmtId="1" fontId="29" fillId="6" borderId="54" xfId="0" applyNumberFormat="1" applyFont="1" applyFill="1" applyBorder="1" applyAlignment="1" applyProtection="1">
      <alignment vertical="center"/>
      <protection locked="0"/>
    </xf>
    <xf numFmtId="1" fontId="29" fillId="6" borderId="56" xfId="0" applyNumberFormat="1" applyFont="1" applyFill="1" applyBorder="1" applyAlignment="1" applyProtection="1">
      <alignment vertical="center"/>
      <protection locked="0"/>
    </xf>
    <xf numFmtId="1" fontId="29" fillId="6" borderId="319" xfId="0" applyNumberFormat="1" applyFont="1" applyFill="1" applyBorder="1" applyAlignment="1" applyProtection="1">
      <alignment vertical="center"/>
      <protection locked="0"/>
    </xf>
    <xf numFmtId="1" fontId="29" fillId="0" borderId="6" xfId="0" applyNumberFormat="1" applyFont="1" applyBorder="1" applyAlignment="1">
      <alignment vertical="center"/>
    </xf>
    <xf numFmtId="1" fontId="29" fillId="0" borderId="8" xfId="0" applyNumberFormat="1" applyFont="1" applyBorder="1" applyAlignment="1">
      <alignment vertical="center"/>
    </xf>
    <xf numFmtId="1" fontId="29" fillId="0" borderId="20" xfId="0" applyNumberFormat="1" applyFont="1" applyBorder="1" applyAlignment="1">
      <alignment vertical="center"/>
    </xf>
    <xf numFmtId="1" fontId="29" fillId="0" borderId="7" xfId="0" applyNumberFormat="1" applyFont="1" applyBorder="1" applyAlignment="1">
      <alignment vertical="center"/>
    </xf>
    <xf numFmtId="1" fontId="29" fillId="11" borderId="13" xfId="0" applyNumberFormat="1" applyFont="1" applyFill="1" applyBorder="1" applyAlignment="1">
      <alignment vertical="center"/>
    </xf>
    <xf numFmtId="1" fontId="29" fillId="11" borderId="63" xfId="0" applyNumberFormat="1" applyFont="1" applyFill="1" applyBorder="1" applyAlignment="1">
      <alignment vertical="center"/>
    </xf>
    <xf numFmtId="1" fontId="29" fillId="6" borderId="67" xfId="0" applyNumberFormat="1" applyFont="1" applyFill="1" applyBorder="1" applyAlignment="1" applyProtection="1">
      <alignment vertical="center"/>
      <protection locked="0"/>
    </xf>
    <xf numFmtId="1" fontId="29" fillId="11" borderId="51" xfId="0" applyNumberFormat="1" applyFont="1" applyFill="1" applyBorder="1" applyAlignment="1">
      <alignment vertical="center"/>
    </xf>
    <xf numFmtId="1" fontId="29" fillId="6" borderId="94" xfId="0" applyNumberFormat="1" applyFont="1" applyFill="1" applyBorder="1" applyAlignment="1" applyProtection="1">
      <alignment vertical="center"/>
      <protection locked="0"/>
    </xf>
    <xf numFmtId="1" fontId="29" fillId="6" borderId="37" xfId="0" applyNumberFormat="1" applyFont="1" applyFill="1" applyBorder="1" applyAlignment="1" applyProtection="1">
      <alignment vertical="center"/>
      <protection locked="0"/>
    </xf>
    <xf numFmtId="1" fontId="29" fillId="11" borderId="98" xfId="0" applyNumberFormat="1" applyFont="1" applyFill="1" applyBorder="1" applyAlignment="1">
      <alignment vertical="center"/>
    </xf>
    <xf numFmtId="1" fontId="29" fillId="6" borderId="98" xfId="0" applyNumberFormat="1" applyFont="1" applyFill="1" applyBorder="1" applyAlignment="1" applyProtection="1">
      <alignment vertical="center"/>
      <protection locked="0"/>
    </xf>
    <xf numFmtId="1" fontId="29" fillId="6" borderId="39" xfId="0" applyNumberFormat="1" applyFont="1" applyFill="1" applyBorder="1" applyAlignment="1" applyProtection="1">
      <alignment vertical="center"/>
      <protection locked="0"/>
    </xf>
    <xf numFmtId="1" fontId="29" fillId="6" borderId="42" xfId="0" applyNumberFormat="1" applyFont="1" applyFill="1" applyBorder="1" applyAlignment="1" applyProtection="1">
      <alignment vertical="center"/>
      <protection locked="0"/>
    </xf>
    <xf numFmtId="1" fontId="29" fillId="6" borderId="157" xfId="0" applyNumberFormat="1" applyFont="1" applyFill="1" applyBorder="1" applyAlignment="1" applyProtection="1">
      <alignment vertical="center"/>
      <protection locked="0"/>
    </xf>
    <xf numFmtId="1" fontId="29" fillId="6" borderId="99" xfId="0" applyNumberFormat="1" applyFont="1" applyFill="1" applyBorder="1" applyAlignment="1" applyProtection="1">
      <alignment vertical="center"/>
      <protection locked="0"/>
    </xf>
    <xf numFmtId="1" fontId="29" fillId="11" borderId="103" xfId="0" applyNumberFormat="1" applyFont="1" applyFill="1" applyBorder="1" applyAlignment="1">
      <alignment vertical="center"/>
    </xf>
    <xf numFmtId="1" fontId="29" fillId="6" borderId="103" xfId="0" applyNumberFormat="1" applyFont="1" applyFill="1" applyBorder="1" applyAlignment="1" applyProtection="1">
      <alignment vertical="center"/>
      <protection locked="0"/>
    </xf>
    <xf numFmtId="1" fontId="29" fillId="6" borderId="131" xfId="0" applyNumberFormat="1" applyFont="1" applyFill="1" applyBorder="1" applyAlignment="1" applyProtection="1">
      <alignment vertical="center"/>
      <protection locked="0"/>
    </xf>
    <xf numFmtId="1" fontId="29" fillId="6" borderId="102" xfId="0" applyNumberFormat="1" applyFont="1" applyFill="1" applyBorder="1" applyAlignment="1" applyProtection="1">
      <alignment vertical="center"/>
      <protection locked="0"/>
    </xf>
    <xf numFmtId="1" fontId="29" fillId="6" borderId="271" xfId="0" applyNumberFormat="1" applyFont="1" applyFill="1" applyBorder="1" applyAlignment="1" applyProtection="1">
      <alignment vertical="center"/>
      <protection locked="0"/>
    </xf>
    <xf numFmtId="1" fontId="29" fillId="6" borderId="51" xfId="0" applyNumberFormat="1" applyFont="1" applyFill="1" applyBorder="1" applyAlignment="1" applyProtection="1">
      <alignment vertical="center"/>
      <protection locked="0"/>
    </xf>
    <xf numFmtId="1" fontId="29" fillId="11" borderId="62" xfId="0" applyNumberFormat="1" applyFont="1" applyFill="1" applyBorder="1" applyAlignment="1">
      <alignment vertical="center"/>
    </xf>
    <xf numFmtId="1" fontId="29" fillId="6" borderId="62" xfId="0" applyNumberFormat="1" applyFont="1" applyFill="1" applyBorder="1" applyAlignment="1" applyProtection="1">
      <alignment vertical="center"/>
      <protection locked="0"/>
    </xf>
    <xf numFmtId="1" fontId="29" fillId="6" borderId="53" xfId="0" applyNumberFormat="1" applyFont="1" applyFill="1" applyBorder="1" applyAlignment="1" applyProtection="1">
      <alignment vertical="center"/>
      <protection locked="0"/>
    </xf>
    <xf numFmtId="1" fontId="29" fillId="6" borderId="55" xfId="0" applyNumberFormat="1" applyFont="1" applyFill="1" applyBorder="1" applyAlignment="1" applyProtection="1">
      <alignment vertical="center"/>
      <protection locked="0"/>
    </xf>
    <xf numFmtId="1" fontId="29" fillId="6" borderId="181" xfId="0" applyNumberFormat="1" applyFont="1" applyFill="1" applyBorder="1" applyAlignment="1" applyProtection="1">
      <alignment vertical="center"/>
      <protection locked="0"/>
    </xf>
    <xf numFmtId="1" fontId="58" fillId="0" borderId="0" xfId="0" applyNumberFormat="1" applyFont="1" applyAlignment="1">
      <alignment wrapText="1"/>
    </xf>
    <xf numFmtId="1" fontId="29" fillId="0" borderId="99" xfId="0" applyNumberFormat="1" applyFont="1" applyBorder="1" applyAlignment="1">
      <alignment vertical="center"/>
    </xf>
    <xf numFmtId="1" fontId="45" fillId="7" borderId="9" xfId="0" applyNumberFormat="1" applyFont="1" applyFill="1" applyBorder="1"/>
    <xf numFmtId="1" fontId="29" fillId="0" borderId="2" xfId="0" applyNumberFormat="1" applyFont="1" applyBorder="1" applyAlignment="1">
      <alignment vertical="center"/>
    </xf>
    <xf numFmtId="1" fontId="0" fillId="7" borderId="13" xfId="0" applyNumberFormat="1" applyFill="1" applyBorder="1"/>
    <xf numFmtId="1" fontId="45" fillId="7" borderId="14" xfId="0" applyNumberFormat="1" applyFont="1" applyFill="1" applyBorder="1"/>
    <xf numFmtId="1" fontId="29" fillId="7" borderId="15" xfId="0" applyNumberFormat="1" applyFont="1" applyFill="1" applyBorder="1" applyAlignment="1">
      <alignment vertical="center"/>
    </xf>
    <xf numFmtId="1" fontId="45" fillId="7" borderId="0" xfId="0" applyNumberFormat="1" applyFont="1" applyFill="1"/>
    <xf numFmtId="0" fontId="25" fillId="15" borderId="298" xfId="3" applyFont="1" applyFill="1" applyBorder="1" applyProtection="1"/>
    <xf numFmtId="1" fontId="51" fillId="22" borderId="339" xfId="32" applyNumberFormat="1" applyFont="1" applyFill="1" applyBorder="1"/>
    <xf numFmtId="1" fontId="58" fillId="0" borderId="0" xfId="32" applyNumberFormat="1" applyFont="1" applyAlignment="1">
      <alignment wrapText="1"/>
    </xf>
    <xf numFmtId="1" fontId="53" fillId="22" borderId="0" xfId="32" applyNumberFormat="1" applyFont="1" applyFill="1"/>
    <xf numFmtId="1" fontId="32" fillId="0" borderId="0" xfId="32" applyNumberFormat="1" applyFont="1"/>
    <xf numFmtId="1" fontId="29" fillId="0" borderId="352" xfId="32" applyNumberFormat="1" applyFont="1" applyBorder="1" applyAlignment="1">
      <alignment horizontal="center" vertical="center" wrapText="1"/>
    </xf>
    <xf numFmtId="1" fontId="29" fillId="0" borderId="353" xfId="32" applyNumberFormat="1" applyFont="1" applyBorder="1" applyAlignment="1">
      <alignment horizontal="center" vertical="center" wrapText="1"/>
    </xf>
    <xf numFmtId="1" fontId="29" fillId="0" borderId="466" xfId="32" applyNumberFormat="1" applyFont="1" applyBorder="1" applyAlignment="1">
      <alignment horizontal="center" vertical="center" wrapText="1"/>
    </xf>
    <xf numFmtId="1" fontId="29" fillId="0" borderId="625" xfId="32" applyNumberFormat="1" applyFont="1" applyBorder="1" applyAlignment="1">
      <alignment horizontal="center" vertical="center" wrapText="1"/>
    </xf>
    <xf numFmtId="1" fontId="29" fillId="0" borderId="327" xfId="32" applyNumberFormat="1" applyFont="1" applyBorder="1" applyAlignment="1">
      <alignment horizontal="center" vertical="center" wrapText="1"/>
    </xf>
    <xf numFmtId="1" fontId="29" fillId="0" borderId="474" xfId="32" applyNumberFormat="1" applyFont="1" applyBorder="1" applyAlignment="1">
      <alignment vertical="center"/>
    </xf>
    <xf numFmtId="1" fontId="29" fillId="0" borderId="235" xfId="32" applyNumberFormat="1" applyFont="1" applyBorder="1"/>
    <xf numFmtId="1" fontId="29" fillId="23" borderId="233" xfId="32" applyNumberFormat="1" applyFont="1" applyFill="1" applyBorder="1" applyProtection="1">
      <protection locked="0"/>
    </xf>
    <xf numFmtId="1" fontId="29" fillId="24" borderId="475" xfId="32" applyNumberFormat="1" applyFont="1" applyFill="1" applyBorder="1"/>
    <xf numFmtId="1" fontId="29" fillId="24" borderId="657" xfId="32" applyNumberFormat="1" applyFont="1" applyFill="1" applyBorder="1"/>
    <xf numFmtId="1" fontId="29" fillId="23" borderId="476" xfId="32" applyNumberFormat="1" applyFont="1" applyFill="1" applyBorder="1" applyProtection="1">
      <protection locked="0"/>
    </xf>
    <xf numFmtId="1" fontId="29" fillId="23" borderId="234" xfId="32" applyNumberFormat="1" applyFont="1" applyFill="1" applyBorder="1" applyProtection="1">
      <protection locked="0"/>
    </xf>
    <xf numFmtId="0" fontId="53" fillId="48" borderId="0" xfId="0" applyFont="1" applyFill="1"/>
    <xf numFmtId="1" fontId="29" fillId="0" borderId="658" xfId="32" applyNumberFormat="1" applyFont="1" applyBorder="1" applyAlignment="1">
      <alignment vertical="center"/>
    </xf>
    <xf numFmtId="1" fontId="29" fillId="24" borderId="239" xfId="32" applyNumberFormat="1" applyFont="1" applyFill="1" applyBorder="1"/>
    <xf numFmtId="1" fontId="29" fillId="23" borderId="659" xfId="32" applyNumberFormat="1" applyFont="1" applyFill="1" applyBorder="1" applyProtection="1">
      <protection locked="0"/>
    </xf>
    <xf numFmtId="1" fontId="29" fillId="24" borderId="659" xfId="32" applyNumberFormat="1" applyFont="1" applyFill="1" applyBorder="1"/>
    <xf numFmtId="1" fontId="29" fillId="24" borderId="660" xfId="32" applyNumberFormat="1" applyFont="1" applyFill="1" applyBorder="1"/>
    <xf numFmtId="1" fontId="29" fillId="23" borderId="231" xfId="32" applyNumberFormat="1" applyFont="1" applyFill="1" applyBorder="1" applyProtection="1">
      <protection locked="0"/>
    </xf>
    <xf numFmtId="1" fontId="29" fillId="23" borderId="238" xfId="32" applyNumberFormat="1" applyFont="1" applyFill="1" applyBorder="1" applyProtection="1">
      <protection locked="0"/>
    </xf>
    <xf numFmtId="0" fontId="29" fillId="48" borderId="0" xfId="0" applyFont="1" applyFill="1"/>
    <xf numFmtId="1" fontId="29" fillId="0" borderId="235" xfId="32" applyNumberFormat="1" applyFont="1" applyBorder="1" applyAlignment="1">
      <alignment vertical="center" wrapText="1"/>
    </xf>
    <xf numFmtId="1" fontId="29" fillId="0" borderId="235" xfId="32" applyNumberFormat="1" applyFont="1" applyBorder="1" applyAlignment="1">
      <alignment vertical="center"/>
    </xf>
    <xf numFmtId="1" fontId="29" fillId="23" borderId="661" xfId="32" applyNumberFormat="1" applyFont="1" applyFill="1" applyBorder="1" applyProtection="1">
      <protection locked="0"/>
    </xf>
    <xf numFmtId="1" fontId="29" fillId="23" borderId="662" xfId="32" applyNumberFormat="1" applyFont="1" applyFill="1" applyBorder="1" applyProtection="1">
      <protection locked="0"/>
    </xf>
    <xf numFmtId="1" fontId="29" fillId="23" borderId="249" xfId="32" applyNumberFormat="1" applyFont="1" applyFill="1" applyBorder="1" applyProtection="1">
      <protection locked="0"/>
    </xf>
    <xf numFmtId="1" fontId="29" fillId="0" borderId="663" xfId="32" applyNumberFormat="1" applyFont="1" applyBorder="1" applyAlignment="1">
      <alignment vertical="center" wrapText="1"/>
    </xf>
    <xf numFmtId="1" fontId="29" fillId="0" borderId="664" xfId="32" applyNumberFormat="1" applyFont="1" applyBorder="1"/>
    <xf numFmtId="1" fontId="29" fillId="24" borderId="247" xfId="32" applyNumberFormat="1" applyFont="1" applyFill="1" applyBorder="1"/>
    <xf numFmtId="1" fontId="29" fillId="24" borderId="485" xfId="32" applyNumberFormat="1" applyFont="1" applyFill="1" applyBorder="1"/>
    <xf numFmtId="1" fontId="29" fillId="23" borderId="485" xfId="32" applyNumberFormat="1" applyFont="1" applyFill="1" applyBorder="1" applyProtection="1">
      <protection locked="0"/>
    </xf>
    <xf numFmtId="1" fontId="29" fillId="23" borderId="354" xfId="32" applyNumberFormat="1" applyFont="1" applyFill="1" applyBorder="1" applyProtection="1">
      <protection locked="0"/>
    </xf>
    <xf numFmtId="1" fontId="29" fillId="23" borderId="245" xfId="32" applyNumberFormat="1" applyFont="1" applyFill="1" applyBorder="1" applyProtection="1">
      <protection locked="0"/>
    </xf>
    <xf numFmtId="1" fontId="29" fillId="23" borderId="246" xfId="32" applyNumberFormat="1" applyFont="1" applyFill="1" applyBorder="1" applyProtection="1">
      <protection locked="0"/>
    </xf>
    <xf numFmtId="1" fontId="29" fillId="0" borderId="665" xfId="32" applyNumberFormat="1" applyFont="1" applyBorder="1" applyAlignment="1">
      <alignment vertical="center"/>
    </xf>
    <xf numFmtId="1" fontId="29" fillId="0" borderId="666" xfId="32" applyNumberFormat="1" applyFont="1" applyBorder="1"/>
    <xf numFmtId="1" fontId="29" fillId="23" borderId="253" xfId="32" applyNumberFormat="1" applyFont="1" applyFill="1" applyBorder="1" applyProtection="1">
      <protection locked="0"/>
    </xf>
    <xf numFmtId="1" fontId="29" fillId="24" borderId="667" xfId="32" applyNumberFormat="1" applyFont="1" applyFill="1" applyBorder="1"/>
    <xf numFmtId="1" fontId="29" fillId="24" borderId="492" xfId="32" applyNumberFormat="1" applyFont="1" applyFill="1" applyBorder="1"/>
    <xf numFmtId="1" fontId="29" fillId="23" borderId="232" xfId="32" applyNumberFormat="1" applyFont="1" applyFill="1" applyBorder="1" applyProtection="1">
      <protection locked="0"/>
    </xf>
    <xf numFmtId="1" fontId="29" fillId="0" borderId="668" xfId="32" applyNumberFormat="1" applyFont="1" applyBorder="1"/>
    <xf numFmtId="1" fontId="29" fillId="24" borderId="231" xfId="32" applyNumberFormat="1" applyFont="1" applyFill="1" applyBorder="1"/>
    <xf numFmtId="1" fontId="29" fillId="49" borderId="659" xfId="32" applyNumberFormat="1" applyFont="1" applyFill="1" applyBorder="1" applyProtection="1">
      <protection locked="0"/>
    </xf>
    <xf numFmtId="1" fontId="29" fillId="49" borderId="660" xfId="32" applyNumberFormat="1" applyFont="1" applyFill="1" applyBorder="1" applyProtection="1">
      <protection locked="0"/>
    </xf>
    <xf numFmtId="1" fontId="29" fillId="0" borderId="498" xfId="32" applyNumberFormat="1" applyFont="1" applyBorder="1" applyAlignment="1">
      <alignment vertical="center" wrapText="1"/>
    </xf>
    <xf numFmtId="1" fontId="29" fillId="0" borderId="669" xfId="32" applyNumberFormat="1" applyFont="1" applyBorder="1"/>
    <xf numFmtId="1" fontId="29" fillId="24" borderId="245" xfId="32" applyNumberFormat="1" applyFont="1" applyFill="1" applyBorder="1"/>
    <xf numFmtId="1" fontId="29" fillId="24" borderId="353" xfId="32" applyNumberFormat="1" applyFont="1" applyFill="1" applyBorder="1"/>
    <xf numFmtId="1" fontId="29" fillId="50" borderId="353" xfId="32" applyNumberFormat="1" applyFont="1" applyFill="1" applyBorder="1"/>
    <xf numFmtId="1" fontId="29" fillId="23" borderId="353" xfId="32" applyNumberFormat="1" applyFont="1" applyFill="1" applyBorder="1" applyProtection="1">
      <protection locked="0"/>
    </xf>
    <xf numFmtId="1" fontId="51" fillId="0" borderId="0" xfId="0" applyNumberFormat="1" applyFont="1"/>
    <xf numFmtId="1" fontId="29" fillId="0" borderId="133" xfId="0" applyNumberFormat="1" applyFont="1" applyBorder="1"/>
    <xf numFmtId="1" fontId="45" fillId="7" borderId="284" xfId="0" applyNumberFormat="1" applyFont="1" applyFill="1" applyBorder="1"/>
    <xf numFmtId="1" fontId="29" fillId="7" borderId="14" xfId="0" applyNumberFormat="1" applyFont="1" applyFill="1" applyBorder="1"/>
    <xf numFmtId="1" fontId="29" fillId="7" borderId="96" xfId="146" applyNumberFormat="1" applyFont="1" applyFill="1" applyBorder="1" applyAlignment="1">
      <alignment horizontal="right"/>
    </xf>
    <xf numFmtId="1" fontId="29" fillId="7" borderId="131" xfId="146" applyNumberFormat="1" applyFont="1" applyFill="1" applyBorder="1" applyAlignment="1">
      <alignment horizontal="right"/>
    </xf>
    <xf numFmtId="1" fontId="29" fillId="7" borderId="103" xfId="146" applyNumberFormat="1" applyFont="1" applyFill="1" applyBorder="1" applyAlignment="1">
      <alignment horizontal="right"/>
    </xf>
    <xf numFmtId="1" fontId="29" fillId="0" borderId="99" xfId="0" applyNumberFormat="1" applyFont="1" applyBorder="1" applyAlignment="1">
      <alignment horizontal="left"/>
    </xf>
    <xf numFmtId="1" fontId="29" fillId="7" borderId="570" xfId="146" applyNumberFormat="1" applyFont="1" applyFill="1" applyBorder="1" applyAlignment="1">
      <alignment horizontal="right"/>
    </xf>
    <xf numFmtId="1" fontId="29" fillId="7" borderId="72" xfId="146" applyNumberFormat="1" applyFont="1" applyFill="1" applyBorder="1" applyAlignment="1">
      <alignment horizontal="right"/>
    </xf>
    <xf numFmtId="1" fontId="29" fillId="7" borderId="171" xfId="146" applyNumberFormat="1" applyFont="1" applyFill="1" applyBorder="1" applyAlignment="1">
      <alignment horizontal="right"/>
    </xf>
    <xf numFmtId="1" fontId="29" fillId="0" borderId="86" xfId="0" applyNumberFormat="1" applyFont="1" applyBorder="1" applyAlignment="1">
      <alignment horizontal="left"/>
    </xf>
    <xf numFmtId="1" fontId="29" fillId="7" borderId="100" xfId="146" applyNumberFormat="1" applyFont="1" applyFill="1" applyBorder="1" applyAlignment="1">
      <alignment horizontal="right"/>
    </xf>
    <xf numFmtId="1" fontId="29" fillId="7" borderId="38" xfId="146" applyNumberFormat="1" applyFont="1" applyFill="1" applyBorder="1" applyAlignment="1">
      <alignment horizontal="right"/>
    </xf>
    <xf numFmtId="1" fontId="29" fillId="7" borderId="39" xfId="146" applyNumberFormat="1" applyFont="1" applyFill="1" applyBorder="1" applyAlignment="1">
      <alignment horizontal="right"/>
    </xf>
    <xf numFmtId="1" fontId="29" fillId="7" borderId="98" xfId="146" applyNumberFormat="1" applyFont="1" applyFill="1" applyBorder="1" applyAlignment="1">
      <alignment horizontal="right"/>
    </xf>
    <xf numFmtId="1" fontId="29" fillId="7" borderId="52" xfId="146" applyNumberFormat="1" applyFont="1" applyFill="1" applyBorder="1" applyAlignment="1">
      <alignment horizontal="right"/>
    </xf>
    <xf numFmtId="1" fontId="29" fillId="7" borderId="53" xfId="146" applyNumberFormat="1" applyFont="1" applyFill="1" applyBorder="1" applyAlignment="1">
      <alignment horizontal="right"/>
    </xf>
    <xf numFmtId="1" fontId="29" fillId="7" borderId="62" xfId="146" applyNumberFormat="1" applyFont="1" applyFill="1" applyBorder="1" applyAlignment="1">
      <alignment horizontal="right"/>
    </xf>
    <xf numFmtId="1" fontId="0" fillId="20" borderId="0" xfId="0" applyNumberFormat="1" applyFill="1"/>
    <xf numFmtId="1" fontId="25" fillId="7" borderId="0" xfId="0" applyNumberFormat="1" applyFont="1" applyFill="1" applyAlignment="1">
      <alignment vertical="center" wrapText="1"/>
    </xf>
    <xf numFmtId="1" fontId="25" fillId="0" borderId="2" xfId="0" applyNumberFormat="1" applyFont="1" applyBorder="1"/>
    <xf numFmtId="1" fontId="29" fillId="0" borderId="64" xfId="0" applyNumberFormat="1" applyFont="1" applyBorder="1" applyAlignment="1">
      <alignment vertical="center" wrapText="1"/>
    </xf>
    <xf numFmtId="1" fontId="29" fillId="0" borderId="65" xfId="0" applyNumberFormat="1" applyFont="1" applyBorder="1" applyAlignment="1">
      <alignment vertical="center" wrapText="1"/>
    </xf>
    <xf numFmtId="1" fontId="29" fillId="0" borderId="131" xfId="0" applyNumberFormat="1" applyFont="1" applyBorder="1" applyAlignment="1">
      <alignment vertical="center" wrapText="1"/>
    </xf>
    <xf numFmtId="1" fontId="29" fillId="7" borderId="76" xfId="0" applyNumberFormat="1" applyFont="1" applyFill="1" applyBorder="1" applyAlignment="1">
      <alignment vertical="center" wrapText="1"/>
    </xf>
    <xf numFmtId="1" fontId="29" fillId="14" borderId="17" xfId="0" applyNumberFormat="1" applyFont="1" applyFill="1" applyBorder="1"/>
    <xf numFmtId="1" fontId="29" fillId="0" borderId="50" xfId="0" applyNumberFormat="1" applyFont="1" applyBorder="1"/>
    <xf numFmtId="1" fontId="29" fillId="0" borderId="116" xfId="0" applyNumberFormat="1" applyFont="1" applyBorder="1" applyAlignment="1">
      <alignment vertical="center" wrapText="1"/>
    </xf>
    <xf numFmtId="1" fontId="0" fillId="51" borderId="0" xfId="0" applyNumberFormat="1" applyFill="1"/>
    <xf numFmtId="1" fontId="29" fillId="0" borderId="158" xfId="0" applyNumberFormat="1" applyFont="1" applyBorder="1" applyAlignment="1">
      <alignment horizontal="right" vertical="center"/>
    </xf>
    <xf numFmtId="1" fontId="29" fillId="0" borderId="27" xfId="0" applyNumberFormat="1" applyFont="1" applyBorder="1" applyAlignment="1">
      <alignment horizontal="right" vertical="center"/>
    </xf>
    <xf numFmtId="1" fontId="29" fillId="6" borderId="8" xfId="0" applyNumberFormat="1" applyFont="1" applyFill="1" applyBorder="1" applyAlignment="1" applyProtection="1">
      <alignment horizontal="right"/>
      <protection locked="0"/>
    </xf>
    <xf numFmtId="1" fontId="26" fillId="46" borderId="0" xfId="0" applyNumberFormat="1" applyFont="1" applyFill="1"/>
    <xf numFmtId="1" fontId="29" fillId="11" borderId="103" xfId="0" applyNumberFormat="1" applyFont="1" applyFill="1" applyBorder="1" applyAlignment="1">
      <alignment horizontal="left"/>
    </xf>
    <xf numFmtId="1" fontId="29" fillId="11" borderId="100" xfId="0" applyNumberFormat="1" applyFont="1" applyFill="1" applyBorder="1" applyAlignment="1">
      <alignment horizontal="right"/>
    </xf>
    <xf numFmtId="1" fontId="29" fillId="11" borderId="103" xfId="0" applyNumberFormat="1" applyFont="1" applyFill="1" applyBorder="1" applyAlignment="1">
      <alignment horizontal="left" wrapText="1"/>
    </xf>
    <xf numFmtId="1" fontId="29" fillId="11" borderId="171" xfId="0" applyNumberFormat="1" applyFont="1" applyFill="1" applyBorder="1" applyAlignment="1">
      <alignment horizontal="left" vertical="center" wrapText="1"/>
    </xf>
    <xf numFmtId="1" fontId="29" fillId="11" borderId="100" xfId="0" applyNumberFormat="1" applyFont="1" applyFill="1" applyBorder="1" applyAlignment="1">
      <alignment horizontal="right" vertical="center" wrapText="1"/>
    </xf>
    <xf numFmtId="1" fontId="29" fillId="0" borderId="65" xfId="0" applyNumberFormat="1" applyFont="1" applyBorder="1" applyAlignment="1">
      <alignment horizontal="right" vertical="center"/>
    </xf>
    <xf numFmtId="1" fontId="29" fillId="11" borderId="99" xfId="0" applyNumberFormat="1" applyFont="1" applyFill="1" applyBorder="1" applyAlignment="1">
      <alignment horizontal="left"/>
    </xf>
    <xf numFmtId="1" fontId="29" fillId="15" borderId="99" xfId="0" applyNumberFormat="1" applyFont="1" applyFill="1" applyBorder="1" applyAlignment="1">
      <alignment horizontal="left"/>
    </xf>
    <xf numFmtId="1" fontId="0" fillId="48" borderId="0" xfId="0" applyNumberFormat="1" applyFill="1"/>
    <xf numFmtId="1" fontId="0" fillId="13" borderId="0" xfId="0" applyNumberFormat="1" applyFill="1"/>
    <xf numFmtId="1" fontId="29" fillId="11" borderId="69" xfId="0" applyNumberFormat="1" applyFont="1" applyFill="1" applyBorder="1" applyAlignment="1">
      <alignment horizontal="right"/>
    </xf>
    <xf numFmtId="1" fontId="29" fillId="0" borderId="74" xfId="0" applyNumberFormat="1" applyFont="1" applyBorder="1" applyAlignment="1">
      <alignment horizontal="right" vertical="center"/>
    </xf>
    <xf numFmtId="1" fontId="29" fillId="0" borderId="63" xfId="0" applyNumberFormat="1" applyFont="1" applyBorder="1" applyAlignment="1">
      <alignment vertical="center"/>
    </xf>
    <xf numFmtId="1" fontId="29" fillId="0" borderId="64" xfId="0" applyNumberFormat="1" applyFont="1" applyBorder="1" applyAlignment="1">
      <alignment vertical="center"/>
    </xf>
    <xf numFmtId="1" fontId="29" fillId="0" borderId="52" xfId="0" applyNumberFormat="1" applyFont="1" applyBorder="1" applyAlignment="1">
      <alignment vertical="center"/>
    </xf>
    <xf numFmtId="1" fontId="29" fillId="0" borderId="0" xfId="0" applyNumberFormat="1" applyFont="1" applyAlignment="1">
      <alignment horizontal="left" vertical="center"/>
    </xf>
    <xf numFmtId="1" fontId="29" fillId="11" borderId="136" xfId="0" applyNumberFormat="1" applyFont="1" applyFill="1" applyBorder="1" applyAlignment="1">
      <alignment horizontal="center" vertical="center" wrapText="1"/>
    </xf>
    <xf numFmtId="1" fontId="29" fillId="0" borderId="63" xfId="0" applyNumberFormat="1" applyFont="1" applyBorder="1" applyAlignment="1">
      <alignment horizontal="left"/>
    </xf>
    <xf numFmtId="1" fontId="29" fillId="6" borderId="40" xfId="0" applyNumberFormat="1" applyFont="1" applyFill="1" applyBorder="1" applyAlignment="1" applyProtection="1">
      <alignment wrapText="1"/>
      <protection locked="0"/>
    </xf>
    <xf numFmtId="1" fontId="29" fillId="6" borderId="66" xfId="0" applyNumberFormat="1" applyFont="1" applyFill="1" applyBorder="1" applyAlignment="1" applyProtection="1">
      <alignment wrapText="1"/>
      <protection locked="0"/>
    </xf>
    <xf numFmtId="1" fontId="29" fillId="6" borderId="101" xfId="0" applyNumberFormat="1" applyFont="1" applyFill="1" applyBorder="1" applyAlignment="1" applyProtection="1">
      <alignment wrapText="1"/>
      <protection locked="0"/>
    </xf>
    <xf numFmtId="1" fontId="29" fillId="6" borderId="54" xfId="0" applyNumberFormat="1" applyFont="1" applyFill="1" applyBorder="1" applyAlignment="1" applyProtection="1">
      <alignment wrapText="1"/>
      <protection locked="0"/>
    </xf>
    <xf numFmtId="1" fontId="29" fillId="7" borderId="6" xfId="0" applyNumberFormat="1" applyFont="1" applyFill="1" applyBorder="1" applyAlignment="1">
      <alignment horizontal="center" wrapText="1"/>
    </xf>
    <xf numFmtId="1" fontId="29" fillId="0" borderId="56" xfId="0" applyNumberFormat="1" applyFont="1" applyBorder="1" applyAlignment="1">
      <alignment wrapText="1"/>
    </xf>
    <xf numFmtId="1" fontId="29" fillId="0" borderId="57" xfId="0" applyNumberFormat="1" applyFont="1" applyBorder="1" applyAlignment="1">
      <alignment wrapText="1"/>
    </xf>
    <xf numFmtId="1" fontId="29" fillId="11" borderId="10" xfId="0" applyNumberFormat="1" applyFont="1" applyFill="1" applyBorder="1" applyAlignment="1">
      <alignment horizontal="center" vertical="center"/>
    </xf>
    <xf numFmtId="1" fontId="29" fillId="11" borderId="11" xfId="0" applyNumberFormat="1" applyFont="1" applyFill="1" applyBorder="1" applyAlignment="1">
      <alignment horizontal="center" vertical="center"/>
    </xf>
    <xf numFmtId="1" fontId="29" fillId="11" borderId="20" xfId="0" applyNumberFormat="1" applyFont="1" applyFill="1" applyBorder="1" applyAlignment="1">
      <alignment horizontal="center" vertical="center"/>
    </xf>
    <xf numFmtId="1" fontId="29" fillId="6" borderId="180" xfId="0" applyNumberFormat="1" applyFont="1" applyFill="1" applyBorder="1" applyAlignment="1" applyProtection="1">
      <alignment wrapText="1"/>
      <protection locked="0"/>
    </xf>
    <xf numFmtId="1" fontId="29" fillId="11" borderId="20" xfId="0" applyNumberFormat="1" applyFont="1" applyFill="1" applyBorder="1"/>
    <xf numFmtId="1" fontId="29" fillId="11" borderId="136" xfId="0" applyNumberFormat="1" applyFont="1" applyFill="1" applyBorder="1"/>
    <xf numFmtId="1" fontId="29" fillId="7" borderId="136" xfId="0" applyNumberFormat="1" applyFont="1" applyFill="1" applyBorder="1"/>
    <xf numFmtId="1" fontId="29" fillId="7" borderId="11" xfId="0" applyNumberFormat="1" applyFont="1" applyFill="1" applyBorder="1"/>
    <xf numFmtId="1" fontId="29" fillId="7" borderId="29" xfId="0" applyNumberFormat="1" applyFont="1" applyFill="1" applyBorder="1"/>
    <xf numFmtId="1" fontId="29" fillId="7" borderId="7" xfId="0" applyNumberFormat="1" applyFont="1" applyFill="1" applyBorder="1"/>
    <xf numFmtId="1" fontId="32" fillId="7" borderId="0" xfId="0" applyNumberFormat="1" applyFont="1" applyFill="1" applyAlignment="1">
      <alignment horizontal="left" wrapText="1"/>
    </xf>
    <xf numFmtId="1" fontId="29" fillId="30" borderId="99" xfId="0" applyNumberFormat="1" applyFont="1" applyFill="1" applyBorder="1" applyAlignment="1">
      <alignment horizontal="left" wrapText="1"/>
    </xf>
    <xf numFmtId="1" fontId="29" fillId="0" borderId="19" xfId="0" applyNumberFormat="1" applyFont="1" applyBorder="1" applyAlignment="1">
      <alignment horizontal="left" wrapText="1"/>
    </xf>
    <xf numFmtId="1" fontId="29" fillId="0" borderId="86" xfId="0" applyNumberFormat="1" applyFont="1" applyBorder="1" applyAlignment="1">
      <alignment horizontal="left" wrapText="1"/>
    </xf>
    <xf numFmtId="1" fontId="29" fillId="7" borderId="12" xfId="0" applyNumberFormat="1" applyFont="1" applyFill="1" applyBorder="1"/>
    <xf numFmtId="1" fontId="29" fillId="7" borderId="51" xfId="0" applyNumberFormat="1" applyFont="1" applyFill="1" applyBorder="1" applyAlignment="1">
      <alignment wrapText="1"/>
    </xf>
    <xf numFmtId="1" fontId="29" fillId="7" borderId="2" xfId="0" applyNumberFormat="1" applyFont="1" applyFill="1" applyBorder="1" applyAlignment="1">
      <alignment horizontal="center" wrapText="1"/>
    </xf>
    <xf numFmtId="1" fontId="31" fillId="7" borderId="0" xfId="0" applyNumberFormat="1" applyFont="1" applyFill="1" applyAlignment="1">
      <alignment horizontal="center" vertical="center" wrapText="1"/>
    </xf>
    <xf numFmtId="1" fontId="29" fillId="7" borderId="89" xfId="0" applyNumberFormat="1" applyFont="1" applyFill="1" applyBorder="1" applyAlignment="1">
      <alignment vertical="center"/>
    </xf>
    <xf numFmtId="1" fontId="29" fillId="7" borderId="16" xfId="0" applyNumberFormat="1" applyFont="1" applyFill="1" applyBorder="1" applyAlignment="1">
      <alignment vertical="center"/>
    </xf>
    <xf numFmtId="1" fontId="32" fillId="0" borderId="286" xfId="0" applyNumberFormat="1" applyFont="1" applyBorder="1" applyProtection="1">
      <protection locked="0"/>
    </xf>
    <xf numFmtId="1" fontId="32" fillId="0" borderId="673" xfId="0" applyNumberFormat="1" applyFont="1" applyBorder="1" applyAlignment="1">
      <alignment vertical="center"/>
    </xf>
    <xf numFmtId="1" fontId="32" fillId="0" borderId="286" xfId="0" applyNumberFormat="1" applyFont="1" applyBorder="1"/>
    <xf numFmtId="1" fontId="32" fillId="0" borderId="674" xfId="0" applyNumberFormat="1" applyFont="1" applyBorder="1"/>
    <xf numFmtId="1" fontId="32" fillId="0" borderId="161" xfId="0" applyNumberFormat="1" applyFont="1" applyBorder="1"/>
    <xf numFmtId="1" fontId="29" fillId="7" borderId="80" xfId="0" applyNumberFormat="1" applyFont="1" applyFill="1" applyBorder="1" applyAlignment="1">
      <alignment horizontal="center" vertical="center" wrapText="1"/>
    </xf>
    <xf numFmtId="1" fontId="29" fillId="0" borderId="2" xfId="0" applyNumberFormat="1" applyFont="1" applyBorder="1" applyAlignment="1">
      <alignment horizontal="left" vertical="center"/>
    </xf>
    <xf numFmtId="1" fontId="32" fillId="0" borderId="209" xfId="0" applyNumberFormat="1" applyFont="1" applyBorder="1"/>
    <xf numFmtId="1" fontId="32" fillId="0" borderId="210" xfId="0" applyNumberFormat="1" applyFont="1" applyBorder="1"/>
    <xf numFmtId="1" fontId="32" fillId="0" borderId="295" xfId="0" applyNumberFormat="1" applyFont="1" applyBorder="1"/>
    <xf numFmtId="1" fontId="29" fillId="0" borderId="21" xfId="0" applyNumberFormat="1" applyFont="1" applyBorder="1" applyAlignment="1">
      <alignment horizontal="center" vertical="center"/>
    </xf>
    <xf numFmtId="1" fontId="29" fillId="0" borderId="646" xfId="0" applyNumberFormat="1" applyFont="1" applyBorder="1" applyAlignment="1">
      <alignment horizontal="center" vertical="center" wrapText="1"/>
    </xf>
    <xf numFmtId="1" fontId="29" fillId="0" borderId="54" xfId="0" applyNumberFormat="1" applyFont="1" applyBorder="1" applyAlignment="1">
      <alignment horizontal="center" vertical="center" wrapText="1"/>
    </xf>
    <xf numFmtId="1" fontId="29" fillId="7" borderId="37" xfId="0" applyNumberFormat="1" applyFont="1" applyFill="1" applyBorder="1" applyAlignment="1">
      <alignment horizontal="left" wrapText="1"/>
    </xf>
    <xf numFmtId="1" fontId="29" fillId="7" borderId="138" xfId="0" applyNumberFormat="1" applyFont="1" applyFill="1" applyBorder="1" applyAlignment="1">
      <alignment horizontal="right" wrapText="1"/>
    </xf>
    <xf numFmtId="1" fontId="29" fillId="7" borderId="48" xfId="0" applyNumberFormat="1" applyFont="1" applyFill="1" applyBorder="1" applyAlignment="1">
      <alignment horizontal="right" wrapText="1"/>
    </xf>
    <xf numFmtId="1" fontId="29" fillId="11" borderId="15" xfId="0" applyNumberFormat="1" applyFont="1" applyFill="1" applyBorder="1" applyAlignment="1">
      <alignment horizontal="left"/>
    </xf>
    <xf numFmtId="1" fontId="29" fillId="7" borderId="10" xfId="0" applyNumberFormat="1" applyFont="1" applyFill="1" applyBorder="1" applyAlignment="1">
      <alignment horizontal="right" wrapText="1"/>
    </xf>
    <xf numFmtId="1" fontId="29" fillId="7" borderId="11" xfId="0" applyNumberFormat="1" applyFont="1" applyFill="1" applyBorder="1" applyAlignment="1">
      <alignment horizontal="right" wrapText="1"/>
    </xf>
    <xf numFmtId="1" fontId="29" fillId="7" borderId="8" xfId="0" applyNumberFormat="1" applyFont="1" applyFill="1" applyBorder="1" applyAlignment="1">
      <alignment horizontal="right" wrapText="1"/>
    </xf>
    <xf numFmtId="1" fontId="29" fillId="7" borderId="69" xfId="0" applyNumberFormat="1" applyFont="1" applyFill="1" applyBorder="1" applyAlignment="1">
      <alignment horizontal="right" wrapText="1"/>
    </xf>
    <xf numFmtId="1" fontId="29" fillId="7" borderId="54" xfId="0" applyNumberFormat="1" applyFont="1" applyFill="1" applyBorder="1" applyAlignment="1">
      <alignment horizontal="right" wrapText="1"/>
    </xf>
    <xf numFmtId="1" fontId="29" fillId="7" borderId="61" xfId="0" applyNumberFormat="1" applyFont="1" applyFill="1" applyBorder="1" applyAlignment="1">
      <alignment horizontal="right" wrapText="1"/>
    </xf>
    <xf numFmtId="1" fontId="29" fillId="7" borderId="15" xfId="0" applyNumberFormat="1" applyFont="1" applyFill="1" applyBorder="1" applyAlignment="1">
      <alignment horizontal="center" wrapText="1"/>
    </xf>
    <xf numFmtId="1" fontId="29" fillId="11" borderId="2" xfId="0" applyNumberFormat="1" applyFont="1" applyFill="1" applyBorder="1"/>
    <xf numFmtId="1" fontId="29" fillId="0" borderId="57" xfId="0" applyNumberFormat="1" applyFont="1" applyBorder="1"/>
    <xf numFmtId="1" fontId="29" fillId="11" borderId="31" xfId="0" applyNumberFormat="1" applyFont="1" applyFill="1" applyBorder="1"/>
    <xf numFmtId="1" fontId="29" fillId="11" borderId="156" xfId="0" applyNumberFormat="1" applyFont="1" applyFill="1" applyBorder="1"/>
    <xf numFmtId="1" fontId="29" fillId="7" borderId="99" xfId="0" applyNumberFormat="1" applyFont="1" applyFill="1" applyBorder="1" applyAlignment="1">
      <alignment wrapText="1"/>
    </xf>
    <xf numFmtId="1" fontId="29" fillId="7" borderId="16" xfId="0" applyNumberFormat="1" applyFont="1" applyFill="1" applyBorder="1" applyAlignment="1">
      <alignment horizontal="center" wrapText="1"/>
    </xf>
    <xf numFmtId="1" fontId="32" fillId="0" borderId="0" xfId="0" applyNumberFormat="1" applyFont="1" applyAlignment="1">
      <alignment horizontal="right" vertical="center" wrapText="1"/>
    </xf>
    <xf numFmtId="1" fontId="29" fillId="0" borderId="15" xfId="0" applyNumberFormat="1" applyFont="1" applyBorder="1" applyAlignment="1">
      <alignment horizontal="left"/>
    </xf>
    <xf numFmtId="1" fontId="33" fillId="2" borderId="0" xfId="1" applyNumberFormat="1" applyFont="1"/>
    <xf numFmtId="1" fontId="25" fillId="0" borderId="6" xfId="0" applyNumberFormat="1" applyFont="1" applyBorder="1" applyAlignment="1">
      <alignment vertical="center"/>
    </xf>
    <xf numFmtId="1" fontId="29" fillId="15" borderId="314" xfId="0" applyNumberFormat="1" applyFont="1" applyFill="1" applyBorder="1"/>
    <xf numFmtId="1" fontId="29" fillId="7" borderId="140" xfId="0" applyNumberFormat="1" applyFont="1" applyFill="1" applyBorder="1"/>
    <xf numFmtId="0" fontId="29" fillId="0" borderId="140" xfId="0" applyFont="1" applyBorder="1"/>
    <xf numFmtId="0" fontId="29" fillId="0" borderId="61" xfId="0" applyFont="1" applyBorder="1"/>
    <xf numFmtId="1" fontId="25" fillId="7" borderId="8" xfId="0" applyNumberFormat="1" applyFont="1" applyFill="1" applyBorder="1"/>
    <xf numFmtId="1" fontId="29" fillId="0" borderId="164" xfId="0" applyNumberFormat="1" applyFont="1" applyBorder="1" applyAlignment="1">
      <alignment wrapText="1"/>
    </xf>
    <xf numFmtId="1" fontId="29" fillId="0" borderId="22" xfId="0" applyNumberFormat="1" applyFont="1" applyBorder="1" applyAlignment="1">
      <alignment wrapText="1"/>
    </xf>
    <xf numFmtId="1" fontId="29" fillId="0" borderId="27" xfId="0" applyNumberFormat="1" applyFont="1" applyBorder="1" applyAlignment="1">
      <alignment wrapText="1"/>
    </xf>
    <xf numFmtId="1" fontId="29" fillId="6" borderId="212" xfId="0" applyNumberFormat="1" applyFont="1" applyFill="1" applyBorder="1" applyProtection="1">
      <protection locked="0"/>
    </xf>
    <xf numFmtId="1" fontId="29" fillId="6" borderId="10" xfId="70" applyNumberFormat="1" applyFont="1" applyBorder="1" applyProtection="1">
      <protection locked="0"/>
    </xf>
    <xf numFmtId="1" fontId="29" fillId="6" borderId="11" xfId="70" applyNumberFormat="1" applyFont="1" applyBorder="1" applyProtection="1">
      <protection locked="0"/>
    </xf>
    <xf numFmtId="1" fontId="29" fillId="6" borderId="20" xfId="70" applyNumberFormat="1" applyFont="1" applyBorder="1" applyProtection="1">
      <protection locked="0"/>
    </xf>
    <xf numFmtId="1" fontId="29" fillId="15" borderId="136" xfId="70" applyNumberFormat="1" applyFont="1" applyFill="1" applyBorder="1"/>
    <xf numFmtId="1" fontId="29" fillId="15" borderId="11" xfId="70" applyNumberFormat="1" applyFont="1" applyFill="1" applyBorder="1"/>
    <xf numFmtId="1" fontId="29" fillId="15" borderId="20" xfId="70" applyNumberFormat="1" applyFont="1" applyFill="1" applyBorder="1"/>
    <xf numFmtId="1" fontId="29" fillId="6" borderId="139" xfId="70" applyNumberFormat="1" applyFont="1" applyBorder="1" applyProtection="1">
      <protection locked="0"/>
    </xf>
    <xf numFmtId="1" fontId="29" fillId="6" borderId="99" xfId="70" applyNumberFormat="1" applyFont="1" applyBorder="1" applyProtection="1">
      <protection locked="0"/>
    </xf>
    <xf numFmtId="1" fontId="29" fillId="0" borderId="10" xfId="70" applyNumberFormat="1" applyFont="1" applyFill="1" applyBorder="1"/>
    <xf numFmtId="1" fontId="29" fillId="0" borderId="11" xfId="70" applyNumberFormat="1" applyFont="1" applyFill="1" applyBorder="1"/>
    <xf numFmtId="1" fontId="29" fillId="0" borderId="20" xfId="70" applyNumberFormat="1" applyFont="1" applyFill="1" applyBorder="1"/>
    <xf numFmtId="1" fontId="29" fillId="6" borderId="117" xfId="70" applyNumberFormat="1" applyFont="1" applyBorder="1" applyProtection="1">
      <protection locked="0"/>
    </xf>
    <xf numFmtId="1" fontId="29" fillId="6" borderId="101" xfId="70" applyNumberFormat="1" applyFont="1" applyBorder="1" applyProtection="1">
      <protection locked="0"/>
    </xf>
    <xf numFmtId="1" fontId="29" fillId="6" borderId="180" xfId="70" applyNumberFormat="1" applyFont="1" applyBorder="1" applyProtection="1">
      <protection locked="0"/>
    </xf>
    <xf numFmtId="1" fontId="29" fillId="0" borderId="63" xfId="0" applyNumberFormat="1" applyFont="1" applyBorder="1" applyAlignment="1">
      <alignment wrapText="1"/>
    </xf>
    <xf numFmtId="1" fontId="29" fillId="6" borderId="64" xfId="70" applyNumberFormat="1" applyFont="1" applyBorder="1" applyProtection="1">
      <protection locked="0"/>
    </xf>
    <xf numFmtId="1" fontId="29" fillId="6" borderId="40" xfId="70" applyNumberFormat="1" applyFont="1" applyBorder="1" applyProtection="1">
      <protection locked="0"/>
    </xf>
    <xf numFmtId="1" fontId="29" fillId="6" borderId="67" xfId="70" applyNumberFormat="1" applyFont="1" applyBorder="1" applyProtection="1">
      <protection locked="0"/>
    </xf>
    <xf numFmtId="1" fontId="29" fillId="15" borderId="44" xfId="70" applyNumberFormat="1" applyFont="1" applyFill="1" applyBorder="1"/>
    <xf numFmtId="1" fontId="29" fillId="15" borderId="40" xfId="70" applyNumberFormat="1" applyFont="1" applyFill="1" applyBorder="1"/>
    <xf numFmtId="1" fontId="29" fillId="15" borderId="67" xfId="70" applyNumberFormat="1" applyFont="1" applyFill="1" applyBorder="1"/>
    <xf numFmtId="1" fontId="29" fillId="6" borderId="100" xfId="70" applyNumberFormat="1" applyFont="1" applyBorder="1" applyProtection="1">
      <protection locked="0"/>
    </xf>
    <xf numFmtId="1" fontId="29" fillId="15" borderId="117" xfId="70" applyNumberFormat="1" applyFont="1" applyFill="1" applyBorder="1"/>
    <xf numFmtId="1" fontId="29" fillId="15" borderId="101" xfId="70" applyNumberFormat="1" applyFont="1" applyFill="1" applyBorder="1"/>
    <xf numFmtId="1" fontId="29" fillId="15" borderId="180" xfId="70" applyNumberFormat="1" applyFont="1" applyFill="1" applyBorder="1"/>
    <xf numFmtId="1" fontId="29" fillId="6" borderId="308" xfId="70" applyNumberFormat="1" applyFont="1" applyBorder="1" applyProtection="1">
      <protection locked="0"/>
    </xf>
    <xf numFmtId="1" fontId="29" fillId="6" borderId="309" xfId="70" applyNumberFormat="1" applyFont="1" applyBorder="1" applyProtection="1">
      <protection locked="0"/>
    </xf>
    <xf numFmtId="1" fontId="29" fillId="6" borderId="601" xfId="70" applyNumberFormat="1" applyFont="1" applyBorder="1" applyProtection="1">
      <protection locked="0"/>
    </xf>
    <xf numFmtId="1" fontId="29" fillId="15" borderId="675" xfId="70" applyNumberFormat="1" applyFont="1" applyFill="1" applyBorder="1"/>
    <xf numFmtId="1" fontId="29" fillId="15" borderId="309" xfId="70" applyNumberFormat="1" applyFont="1" applyFill="1" applyBorder="1"/>
    <xf numFmtId="1" fontId="29" fillId="15" borderId="601" xfId="70" applyNumberFormat="1" applyFont="1" applyFill="1" applyBorder="1"/>
    <xf numFmtId="1" fontId="29" fillId="6" borderId="124" xfId="70" applyNumberFormat="1" applyFont="1" applyBorder="1" applyProtection="1">
      <protection locked="0"/>
    </xf>
    <xf numFmtId="1" fontId="29" fillId="6" borderId="676" xfId="70" applyNumberFormat="1" applyFont="1" applyBorder="1" applyProtection="1">
      <protection locked="0"/>
    </xf>
    <xf numFmtId="1" fontId="29" fillId="6" borderId="677" xfId="70" applyNumberFormat="1" applyFont="1" applyBorder="1" applyProtection="1">
      <protection locked="0"/>
    </xf>
    <xf numFmtId="1" fontId="29" fillId="15" borderId="678" xfId="70" applyNumberFormat="1" applyFont="1" applyFill="1" applyBorder="1"/>
    <xf numFmtId="1" fontId="29" fillId="15" borderId="676" xfId="70" applyNumberFormat="1" applyFont="1" applyFill="1" applyBorder="1"/>
    <xf numFmtId="1" fontId="29" fillId="15" borderId="677" xfId="70" applyNumberFormat="1" applyFont="1" applyFill="1" applyBorder="1"/>
    <xf numFmtId="1" fontId="29" fillId="6" borderId="52" xfId="70" applyNumberFormat="1" applyFont="1" applyBorder="1" applyProtection="1">
      <protection locked="0"/>
    </xf>
    <xf numFmtId="1" fontId="29" fillId="6" borderId="70" xfId="70" applyNumberFormat="1" applyFont="1" applyBorder="1" applyProtection="1">
      <protection locked="0"/>
    </xf>
    <xf numFmtId="1" fontId="29" fillId="6" borderId="213" xfId="70" applyNumberFormat="1" applyFont="1" applyBorder="1" applyProtection="1">
      <protection locked="0"/>
    </xf>
    <xf numFmtId="1" fontId="29" fillId="15" borderId="123" xfId="70" applyNumberFormat="1" applyFont="1" applyFill="1" applyBorder="1"/>
    <xf numFmtId="1" fontId="29" fillId="15" borderId="70" xfId="70" applyNumberFormat="1" applyFont="1" applyFill="1" applyBorder="1"/>
    <xf numFmtId="1" fontId="29" fillId="15" borderId="213" xfId="70" applyNumberFormat="1" applyFont="1" applyFill="1" applyBorder="1"/>
    <xf numFmtId="1" fontId="29" fillId="6" borderId="143" xfId="70" applyNumberFormat="1" applyFont="1" applyBorder="1" applyProtection="1">
      <protection locked="0"/>
    </xf>
    <xf numFmtId="1" fontId="29" fillId="6" borderId="51" xfId="70" applyNumberFormat="1" applyFont="1" applyBorder="1" applyProtection="1">
      <protection locked="0"/>
    </xf>
    <xf numFmtId="1" fontId="29" fillId="6" borderId="41" xfId="70" applyNumberFormat="1" applyFont="1" applyBorder="1" applyProtection="1">
      <protection locked="0"/>
    </xf>
    <xf numFmtId="1" fontId="29" fillId="6" borderId="43" xfId="70" applyNumberFormat="1" applyFont="1" applyBorder="1" applyProtection="1">
      <protection locked="0"/>
    </xf>
    <xf numFmtId="1" fontId="29" fillId="15" borderId="113" xfId="70" applyNumberFormat="1" applyFont="1" applyFill="1" applyBorder="1"/>
    <xf numFmtId="1" fontId="29" fillId="15" borderId="41" xfId="70" applyNumberFormat="1" applyFont="1" applyFill="1" applyBorder="1"/>
    <xf numFmtId="1" fontId="29" fillId="15" borderId="43" xfId="70" applyNumberFormat="1" applyFont="1" applyFill="1" applyBorder="1"/>
    <xf numFmtId="1" fontId="29" fillId="6" borderId="159" xfId="70" applyNumberFormat="1" applyFont="1" applyBorder="1" applyProtection="1">
      <protection locked="0"/>
    </xf>
    <xf numFmtId="1" fontId="29" fillId="6" borderId="63" xfId="70" applyNumberFormat="1" applyFont="1" applyBorder="1" applyProtection="1">
      <protection locked="0"/>
    </xf>
    <xf numFmtId="1" fontId="29" fillId="6" borderId="80" xfId="70" applyNumberFormat="1" applyFont="1" applyBorder="1" applyProtection="1">
      <protection locked="0"/>
    </xf>
    <xf numFmtId="1" fontId="29" fillId="6" borderId="31" xfId="70" applyNumberFormat="1" applyFont="1" applyBorder="1" applyProtection="1">
      <protection locked="0"/>
    </xf>
    <xf numFmtId="1" fontId="29" fillId="6" borderId="156" xfId="70" applyNumberFormat="1" applyFont="1" applyBorder="1" applyProtection="1">
      <protection locked="0"/>
    </xf>
    <xf numFmtId="1" fontId="29" fillId="15" borderId="30" xfId="70" applyNumberFormat="1" applyFont="1" applyFill="1" applyBorder="1"/>
    <xf numFmtId="1" fontId="29" fillId="15" borderId="31" xfId="70" applyNumberFormat="1" applyFont="1" applyFill="1" applyBorder="1"/>
    <xf numFmtId="1" fontId="29" fillId="15" borderId="156" xfId="70" applyNumberFormat="1" applyFont="1" applyFill="1" applyBorder="1"/>
    <xf numFmtId="1" fontId="29" fillId="0" borderId="9" xfId="0" applyNumberFormat="1" applyFont="1" applyBorder="1"/>
    <xf numFmtId="1" fontId="29" fillId="6" borderId="38" xfId="70" applyNumberFormat="1" applyFont="1" applyBorder="1" applyProtection="1">
      <protection locked="0"/>
    </xf>
    <xf numFmtId="1" fontId="29" fillId="6" borderId="69" xfId="70" applyNumberFormat="1" applyFont="1" applyBorder="1" applyProtection="1">
      <protection locked="0"/>
    </xf>
    <xf numFmtId="1" fontId="29" fillId="6" borderId="109" xfId="70" applyNumberFormat="1" applyFont="1" applyBorder="1" applyProtection="1">
      <protection locked="0"/>
    </xf>
    <xf numFmtId="1" fontId="29" fillId="6" borderId="299" xfId="70" applyNumberFormat="1" applyFont="1" applyBorder="1" applyProtection="1">
      <protection locked="0"/>
    </xf>
    <xf numFmtId="1" fontId="29" fillId="6" borderId="572" xfId="70" applyNumberFormat="1" applyFont="1" applyBorder="1" applyProtection="1">
      <protection locked="0"/>
    </xf>
    <xf numFmtId="1" fontId="29" fillId="15" borderId="679" xfId="70" applyNumberFormat="1" applyFont="1" applyFill="1" applyBorder="1"/>
    <xf numFmtId="1" fontId="29" fillId="15" borderId="299" xfId="70" applyNumberFormat="1" applyFont="1" applyFill="1" applyBorder="1"/>
    <xf numFmtId="1" fontId="29" fillId="15" borderId="572" xfId="70" applyNumberFormat="1" applyFont="1" applyFill="1" applyBorder="1"/>
    <xf numFmtId="1" fontId="29" fillId="6" borderId="678" xfId="70" applyNumberFormat="1" applyFont="1" applyBorder="1" applyProtection="1">
      <protection locked="0"/>
    </xf>
    <xf numFmtId="1" fontId="29" fillId="6" borderId="71" xfId="70" applyNumberFormat="1" applyFont="1" applyBorder="1" applyProtection="1">
      <protection locked="0"/>
    </xf>
    <xf numFmtId="1" fontId="29" fillId="15" borderId="164" xfId="70" applyNumberFormat="1" applyFont="1" applyFill="1" applyBorder="1"/>
    <xf numFmtId="1" fontId="29" fillId="15" borderId="22" xfId="70" applyNumberFormat="1" applyFont="1" applyFill="1" applyBorder="1"/>
    <xf numFmtId="1" fontId="29" fillId="15" borderId="212" xfId="70" applyNumberFormat="1" applyFont="1" applyFill="1" applyBorder="1"/>
    <xf numFmtId="1" fontId="29" fillId="15" borderId="21" xfId="70" applyNumberFormat="1" applyFont="1" applyFill="1" applyBorder="1"/>
    <xf numFmtId="1" fontId="29" fillId="6" borderId="136" xfId="70" applyNumberFormat="1" applyFont="1" applyBorder="1" applyProtection="1">
      <protection locked="0"/>
    </xf>
    <xf numFmtId="1" fontId="29" fillId="15" borderId="38" xfId="70" applyNumberFormat="1" applyFont="1" applyFill="1" applyBorder="1"/>
    <xf numFmtId="1" fontId="29" fillId="15" borderId="52" xfId="70" applyNumberFormat="1" applyFont="1" applyFill="1" applyBorder="1"/>
    <xf numFmtId="1" fontId="29" fillId="15" borderId="54" xfId="70" applyNumberFormat="1" applyFont="1" applyFill="1" applyBorder="1"/>
    <xf numFmtId="1" fontId="29" fillId="15" borderId="55" xfId="70" applyNumberFormat="1" applyFont="1" applyFill="1" applyBorder="1"/>
    <xf numFmtId="1" fontId="29" fillId="6" borderId="57" xfId="70" applyNumberFormat="1" applyFont="1" applyBorder="1" applyProtection="1">
      <protection locked="0"/>
    </xf>
    <xf numFmtId="1" fontId="29" fillId="6" borderId="54" xfId="70" applyNumberFormat="1" applyFont="1" applyBorder="1" applyProtection="1">
      <protection locked="0"/>
    </xf>
    <xf numFmtId="1" fontId="29" fillId="6" borderId="56" xfId="70" applyNumberFormat="1" applyFont="1" applyBorder="1" applyProtection="1">
      <protection locked="0"/>
    </xf>
    <xf numFmtId="0" fontId="29" fillId="0" borderId="98" xfId="0" applyFont="1" applyBorder="1" applyAlignment="1">
      <alignment vertical="center"/>
    </xf>
    <xf numFmtId="1" fontId="29" fillId="7" borderId="98" xfId="0" applyNumberFormat="1" applyFont="1" applyFill="1" applyBorder="1"/>
    <xf numFmtId="1" fontId="29" fillId="15" borderId="38" xfId="57" applyNumberFormat="1" applyFont="1" applyFill="1" applyBorder="1"/>
    <xf numFmtId="1" fontId="29" fillId="6" borderId="41" xfId="57" applyNumberFormat="1" applyFont="1" applyBorder="1" applyProtection="1">
      <protection locked="0"/>
    </xf>
    <xf numFmtId="1" fontId="29" fillId="6" borderId="42" xfId="57" applyNumberFormat="1" applyFont="1" applyBorder="1" applyProtection="1">
      <protection locked="0"/>
    </xf>
    <xf numFmtId="1" fontId="29" fillId="6" borderId="113" xfId="57" applyNumberFormat="1" applyFont="1" applyBorder="1" applyProtection="1">
      <protection locked="0"/>
    </xf>
    <xf numFmtId="1" fontId="29" fillId="6" borderId="43" xfId="57" applyNumberFormat="1" applyFont="1" applyBorder="1" applyProtection="1">
      <protection locked="0"/>
    </xf>
    <xf numFmtId="1" fontId="29" fillId="6" borderId="137" xfId="57" applyNumberFormat="1" applyFont="1" applyBorder="1" applyProtection="1">
      <protection locked="0"/>
    </xf>
    <xf numFmtId="1" fontId="29" fillId="6" borderId="37" xfId="57" applyNumberFormat="1" applyFont="1" applyBorder="1" applyProtection="1">
      <protection locked="0"/>
    </xf>
    <xf numFmtId="0" fontId="29" fillId="0" borderId="51" xfId="0" applyFont="1" applyBorder="1" applyAlignment="1">
      <alignment horizontal="left" vertical="center" wrapText="1"/>
    </xf>
    <xf numFmtId="0" fontId="29" fillId="0" borderId="62" xfId="0" applyFont="1" applyBorder="1" applyAlignment="1">
      <alignment vertical="center"/>
    </xf>
    <xf numFmtId="1" fontId="29" fillId="7" borderId="62" xfId="0" applyNumberFormat="1" applyFont="1" applyFill="1" applyBorder="1"/>
    <xf numFmtId="1" fontId="29" fillId="15" borderId="52" xfId="57" applyNumberFormat="1" applyFont="1" applyFill="1" applyBorder="1"/>
    <xf numFmtId="1" fontId="29" fillId="6" borderId="54" xfId="57" applyNumberFormat="1" applyFont="1" applyBorder="1" applyProtection="1">
      <protection locked="0"/>
    </xf>
    <xf numFmtId="1" fontId="29" fillId="6" borderId="55" xfId="57" applyNumberFormat="1" applyFont="1" applyBorder="1" applyProtection="1">
      <protection locked="0"/>
    </xf>
    <xf numFmtId="1" fontId="29" fillId="6" borderId="57" xfId="57" applyNumberFormat="1" applyFont="1" applyBorder="1" applyProtection="1">
      <protection locked="0"/>
    </xf>
    <xf numFmtId="1" fontId="29" fillId="6" borderId="56" xfId="57" applyNumberFormat="1" applyFont="1" applyBorder="1" applyProtection="1">
      <protection locked="0"/>
    </xf>
    <xf numFmtId="1" fontId="29" fillId="6" borderId="143" xfId="57" applyNumberFormat="1" applyFont="1" applyBorder="1" applyProtection="1">
      <protection locked="0"/>
    </xf>
    <xf numFmtId="1" fontId="29" fillId="6" borderId="51" xfId="57" applyNumberFormat="1" applyFont="1" applyBorder="1" applyProtection="1">
      <protection locked="0"/>
    </xf>
    <xf numFmtId="1" fontId="29" fillId="6" borderId="38" xfId="57" applyNumberFormat="1" applyFont="1" applyBorder="1" applyProtection="1">
      <protection locked="0"/>
    </xf>
    <xf numFmtId="1" fontId="29" fillId="6" borderId="52" xfId="57" applyNumberFormat="1" applyFont="1" applyBorder="1" applyProtection="1">
      <protection locked="0"/>
    </xf>
    <xf numFmtId="1" fontId="29" fillId="0" borderId="26" xfId="0" applyNumberFormat="1" applyFont="1" applyBorder="1"/>
    <xf numFmtId="1" fontId="29" fillId="0" borderId="18" xfId="0" applyNumberFormat="1" applyFont="1" applyBorder="1" applyAlignment="1">
      <alignment wrapText="1"/>
    </xf>
    <xf numFmtId="1" fontId="29" fillId="6" borderId="164" xfId="70" applyNumberFormat="1" applyFont="1" applyBorder="1" applyProtection="1">
      <protection locked="0"/>
    </xf>
    <xf numFmtId="1" fontId="29" fillId="6" borderId="22" xfId="70" applyNumberFormat="1" applyFont="1" applyBorder="1" applyProtection="1">
      <protection locked="0"/>
    </xf>
    <xf numFmtId="1" fontId="29" fillId="6" borderId="212" xfId="70" applyNumberFormat="1" applyFont="1" applyBorder="1" applyProtection="1">
      <protection locked="0"/>
    </xf>
    <xf numFmtId="1" fontId="29" fillId="6" borderId="137" xfId="70" applyNumberFormat="1" applyFont="1" applyBorder="1" applyProtection="1">
      <protection locked="0"/>
    </xf>
    <xf numFmtId="1" fontId="29" fillId="6" borderId="37" xfId="70" applyNumberFormat="1" applyFont="1" applyBorder="1" applyProtection="1">
      <protection locked="0"/>
    </xf>
    <xf numFmtId="1" fontId="29" fillId="0" borderId="196" xfId="0" applyNumberFormat="1" applyFont="1" applyBorder="1"/>
    <xf numFmtId="1" fontId="29" fillId="6" borderId="102" xfId="70" applyNumberFormat="1" applyFont="1" applyBorder="1" applyProtection="1">
      <protection locked="0"/>
    </xf>
    <xf numFmtId="1" fontId="29" fillId="6" borderId="131" xfId="70" applyNumberFormat="1" applyFont="1" applyBorder="1" applyProtection="1">
      <protection locked="0"/>
    </xf>
    <xf numFmtId="1" fontId="29" fillId="0" borderId="680" xfId="0" applyNumberFormat="1" applyFont="1" applyBorder="1"/>
    <xf numFmtId="1" fontId="29" fillId="6" borderId="92" xfId="70" applyNumberFormat="1" applyFont="1" applyBorder="1" applyProtection="1">
      <protection locked="0"/>
    </xf>
    <xf numFmtId="1" fontId="29" fillId="6" borderId="53" xfId="70" applyNumberFormat="1" applyFont="1" applyBorder="1" applyProtection="1">
      <protection locked="0"/>
    </xf>
    <xf numFmtId="1" fontId="29" fillId="6" borderId="301" xfId="70" applyNumberFormat="1" applyFont="1" applyBorder="1" applyAlignment="1" applyProtection="1">
      <alignment horizontal="right" vertical="center"/>
      <protection locked="0"/>
    </xf>
    <xf numFmtId="1" fontId="29" fillId="6" borderId="304" xfId="70" applyNumberFormat="1" applyFont="1" applyBorder="1" applyAlignment="1" applyProtection="1">
      <alignment horizontal="right" vertical="center"/>
      <protection locked="0"/>
    </xf>
    <xf numFmtId="1" fontId="29" fillId="6" borderId="681" xfId="70" applyNumberFormat="1" applyFont="1" applyBorder="1" applyAlignment="1" applyProtection="1">
      <alignment horizontal="right" vertical="center"/>
      <protection locked="0"/>
    </xf>
    <xf numFmtId="1" fontId="29" fillId="6" borderId="307" xfId="70" applyNumberFormat="1" applyFont="1" applyBorder="1" applyAlignment="1" applyProtection="1">
      <alignment horizontal="right" vertical="center"/>
      <protection locked="0"/>
    </xf>
    <xf numFmtId="1" fontId="29" fillId="6" borderId="581" xfId="70" applyNumberFormat="1" applyFont="1" applyBorder="1" applyAlignment="1" applyProtection="1">
      <alignment horizontal="right" vertical="center"/>
      <protection locked="0"/>
    </xf>
    <xf numFmtId="1" fontId="29" fillId="6" borderId="99" xfId="70" applyNumberFormat="1" applyFont="1" applyBorder="1" applyAlignment="1" applyProtection="1">
      <alignment horizontal="right" vertical="center"/>
      <protection locked="0"/>
    </xf>
    <xf numFmtId="1" fontId="29" fillId="6" borderId="103" xfId="70" applyNumberFormat="1" applyFont="1" applyBorder="1" applyAlignment="1" applyProtection="1">
      <alignment horizontal="right" vertical="center"/>
      <protection locked="0"/>
    </xf>
    <xf numFmtId="1" fontId="29" fillId="6" borderId="15" xfId="70" applyNumberFormat="1" applyFont="1" applyBorder="1" applyAlignment="1" applyProtection="1">
      <alignment horizontal="right" vertical="center"/>
      <protection locked="0"/>
    </xf>
    <xf numFmtId="1" fontId="29" fillId="6" borderId="51" xfId="70" applyNumberFormat="1" applyFont="1" applyBorder="1" applyAlignment="1" applyProtection="1">
      <alignment horizontal="right" vertical="center"/>
      <protection locked="0"/>
    </xf>
    <xf numFmtId="1" fontId="29" fillId="6" borderId="38" xfId="70" applyNumberFormat="1" applyFont="1" applyBorder="1" applyAlignment="1" applyProtection="1">
      <alignment wrapText="1"/>
      <protection locked="0"/>
    </xf>
    <xf numFmtId="1" fontId="29" fillId="6" borderId="98" xfId="70" applyNumberFormat="1" applyFont="1" applyBorder="1" applyAlignment="1" applyProtection="1">
      <alignment wrapText="1"/>
      <protection locked="0"/>
    </xf>
    <xf numFmtId="1" fontId="29" fillId="0" borderId="127" xfId="0" applyNumberFormat="1" applyFont="1" applyBorder="1" applyAlignment="1">
      <alignment vertical="center"/>
    </xf>
    <xf numFmtId="1" fontId="29" fillId="6" borderId="36" xfId="70" applyNumberFormat="1" applyFont="1" applyBorder="1" applyProtection="1">
      <protection locked="0"/>
    </xf>
    <xf numFmtId="164" fontId="29" fillId="0" borderId="15" xfId="28" applyFont="1" applyBorder="1" applyAlignment="1">
      <alignment horizontal="center" vertical="center" wrapText="1"/>
    </xf>
    <xf numFmtId="1" fontId="29" fillId="11" borderId="51" xfId="70" applyNumberFormat="1" applyFont="1" applyFill="1" applyBorder="1" applyProtection="1"/>
    <xf numFmtId="1" fontId="29" fillId="15" borderId="38" xfId="70" applyNumberFormat="1" applyFont="1" applyFill="1" applyBorder="1" applyProtection="1"/>
    <xf numFmtId="1" fontId="29" fillId="15" borderId="98" xfId="70" applyNumberFormat="1" applyFont="1" applyFill="1" applyBorder="1" applyProtection="1"/>
    <xf numFmtId="1" fontId="29" fillId="18" borderId="89" xfId="70" applyNumberFormat="1" applyFont="1" applyFill="1" applyBorder="1" applyProtection="1"/>
    <xf numFmtId="1" fontId="29" fillId="18" borderId="37" xfId="70" applyNumberFormat="1" applyFont="1" applyFill="1" applyBorder="1" applyProtection="1"/>
    <xf numFmtId="1" fontId="29" fillId="15" borderId="52" xfId="70" applyNumberFormat="1" applyFont="1" applyFill="1" applyBorder="1" applyProtection="1"/>
    <xf numFmtId="1" fontId="29" fillId="15" borderId="62" xfId="70" applyNumberFormat="1" applyFont="1" applyFill="1" applyBorder="1" applyProtection="1"/>
    <xf numFmtId="1" fontId="29" fillId="18" borderId="127" xfId="70" applyNumberFormat="1" applyFont="1" applyFill="1" applyBorder="1" applyProtection="1"/>
    <xf numFmtId="1" fontId="29" fillId="18" borderId="51" xfId="70" applyNumberFormat="1" applyFont="1" applyFill="1" applyBorder="1" applyProtection="1"/>
    <xf numFmtId="1" fontId="29" fillId="15" borderId="64" xfId="70" applyNumberFormat="1" applyFont="1" applyFill="1" applyBorder="1" applyProtection="1"/>
    <xf numFmtId="1" fontId="29" fillId="15" borderId="49" xfId="70" applyNumberFormat="1" applyFont="1" applyFill="1" applyBorder="1" applyProtection="1"/>
    <xf numFmtId="1" fontId="29" fillId="18" borderId="166" xfId="70" applyNumberFormat="1" applyFont="1" applyFill="1" applyBorder="1" applyProtection="1"/>
    <xf numFmtId="1" fontId="29" fillId="18" borderId="63" xfId="70" applyNumberFormat="1" applyFont="1" applyFill="1" applyBorder="1" applyProtection="1"/>
    <xf numFmtId="1" fontId="29" fillId="15" borderId="100" xfId="70" applyNumberFormat="1" applyFont="1" applyFill="1" applyBorder="1" applyProtection="1"/>
    <xf numFmtId="1" fontId="29" fillId="15" borderId="103" xfId="70" applyNumberFormat="1" applyFont="1" applyFill="1" applyBorder="1" applyProtection="1"/>
    <xf numFmtId="1" fontId="29" fillId="18" borderId="128" xfId="70" applyNumberFormat="1" applyFont="1" applyFill="1" applyBorder="1" applyProtection="1"/>
    <xf numFmtId="1" fontId="29" fillId="18" borderId="99" xfId="70" applyNumberFormat="1" applyFont="1" applyFill="1" applyBorder="1" applyProtection="1"/>
    <xf numFmtId="1" fontId="29" fillId="6" borderId="62" xfId="70" applyNumberFormat="1" applyFont="1" applyBorder="1" applyProtection="1">
      <protection locked="0"/>
    </xf>
    <xf numFmtId="1" fontId="29" fillId="6" borderId="89" xfId="70" applyNumberFormat="1" applyFont="1" applyBorder="1" applyProtection="1">
      <protection locked="0"/>
    </xf>
    <xf numFmtId="1" fontId="29" fillId="6" borderId="127" xfId="70" applyNumberFormat="1" applyFont="1" applyBorder="1" applyProtection="1">
      <protection locked="0"/>
    </xf>
    <xf numFmtId="1" fontId="29" fillId="6" borderId="98" xfId="70" applyNumberFormat="1" applyFont="1" applyBorder="1" applyProtection="1">
      <protection locked="0"/>
    </xf>
    <xf numFmtId="1" fontId="29" fillId="6" borderId="103" xfId="70" applyNumberFormat="1" applyFont="1" applyBorder="1" applyProtection="1">
      <protection locked="0"/>
    </xf>
    <xf numFmtId="1" fontId="29" fillId="6" borderId="15" xfId="70" applyNumberFormat="1" applyFont="1" applyBorder="1" applyProtection="1">
      <protection locked="0"/>
    </xf>
    <xf numFmtId="0" fontId="29" fillId="0" borderId="136" xfId="0" applyFont="1" applyBorder="1" applyAlignment="1">
      <alignment horizontal="center" vertical="center"/>
    </xf>
    <xf numFmtId="1" fontId="29" fillId="15" borderId="37" xfId="0" applyNumberFormat="1" applyFont="1" applyFill="1" applyBorder="1" applyAlignment="1">
      <alignment horizontal="center" vertical="center"/>
    </xf>
    <xf numFmtId="1" fontId="29" fillId="14" borderId="43" xfId="0" applyNumberFormat="1" applyFont="1" applyFill="1" applyBorder="1"/>
    <xf numFmtId="1" fontId="29" fillId="11" borderId="99" xfId="59" applyNumberFormat="1" applyFont="1" applyFill="1" applyBorder="1" applyAlignment="1" applyProtection="1">
      <alignment wrapText="1"/>
    </xf>
    <xf numFmtId="1" fontId="29" fillId="0" borderId="16" xfId="0" applyNumberFormat="1" applyFont="1" applyBorder="1" applyAlignment="1">
      <alignment vertical="center"/>
    </xf>
    <xf numFmtId="1" fontId="29" fillId="11" borderId="15" xfId="59" applyNumberFormat="1" applyFont="1" applyFill="1" applyBorder="1" applyAlignment="1" applyProtection="1">
      <alignment wrapText="1"/>
    </xf>
    <xf numFmtId="1" fontId="29" fillId="11" borderId="37" xfId="0" applyNumberFormat="1" applyFont="1" applyFill="1" applyBorder="1" applyAlignment="1">
      <alignment horizontal="right" vertical="center"/>
    </xf>
    <xf numFmtId="1" fontId="29" fillId="11" borderId="99" xfId="77" applyNumberFormat="1" applyFont="1" applyFill="1" applyBorder="1" applyAlignment="1" applyProtection="1">
      <alignment horizontal="right" wrapText="1"/>
    </xf>
    <xf numFmtId="1" fontId="29" fillId="0" borderId="14" xfId="0" applyNumberFormat="1" applyFont="1" applyBorder="1" applyAlignment="1">
      <alignment vertical="center"/>
    </xf>
    <xf numFmtId="1" fontId="29" fillId="11" borderId="15" xfId="77" applyNumberFormat="1" applyFont="1" applyFill="1" applyBorder="1" applyAlignment="1" applyProtection="1">
      <alignment horizontal="right" wrapText="1"/>
    </xf>
    <xf numFmtId="0" fontId="26" fillId="0" borderId="0" xfId="0" applyFont="1"/>
    <xf numFmtId="1" fontId="27" fillId="7" borderId="0" xfId="0" applyNumberFormat="1" applyFont="1" applyFill="1" applyAlignment="1">
      <alignment horizontal="left"/>
    </xf>
    <xf numFmtId="1" fontId="29" fillId="0" borderId="28" xfId="0" applyNumberFormat="1" applyFont="1" applyBorder="1" applyAlignment="1">
      <alignment vertical="center" wrapText="1"/>
    </xf>
    <xf numFmtId="1" fontId="29" fillId="0" borderId="55" xfId="0" applyNumberFormat="1" applyFont="1" applyBorder="1"/>
    <xf numFmtId="1" fontId="29" fillId="52" borderId="113" xfId="0" applyNumberFormat="1" applyFont="1" applyFill="1" applyBorder="1" applyProtection="1">
      <protection locked="0"/>
    </xf>
    <xf numFmtId="1" fontId="29" fillId="52" borderId="112" xfId="0" applyNumberFormat="1" applyFont="1" applyFill="1" applyBorder="1" applyProtection="1">
      <protection locked="0"/>
    </xf>
    <xf numFmtId="1" fontId="29" fillId="52" borderId="39" xfId="0" applyNumberFormat="1" applyFont="1" applyFill="1" applyBorder="1" applyProtection="1">
      <protection locked="0"/>
    </xf>
    <xf numFmtId="1" fontId="29" fillId="52" borderId="38" xfId="0" applyNumberFormat="1" applyFont="1" applyFill="1" applyBorder="1" applyProtection="1">
      <protection locked="0"/>
    </xf>
    <xf numFmtId="1" fontId="29" fillId="0" borderId="169" xfId="0" applyNumberFormat="1" applyFont="1" applyBorder="1"/>
    <xf numFmtId="1" fontId="29" fillId="52" borderId="77" xfId="0" applyNumberFormat="1" applyFont="1" applyFill="1" applyBorder="1" applyProtection="1">
      <protection locked="0"/>
    </xf>
    <xf numFmtId="1" fontId="29" fillId="52" borderId="167" xfId="0" applyNumberFormat="1" applyFont="1" applyFill="1" applyBorder="1" applyProtection="1">
      <protection locked="0"/>
    </xf>
    <xf numFmtId="1" fontId="29" fillId="52" borderId="72" xfId="0" applyNumberFormat="1" applyFont="1" applyFill="1" applyBorder="1" applyProtection="1">
      <protection locked="0"/>
    </xf>
    <xf numFmtId="1" fontId="29" fillId="52" borderId="71" xfId="0" applyNumberFormat="1" applyFont="1" applyFill="1" applyBorder="1" applyProtection="1">
      <protection locked="0"/>
    </xf>
    <xf numFmtId="1" fontId="29" fillId="52" borderId="117" xfId="0" applyNumberFormat="1" applyFont="1" applyFill="1" applyBorder="1" applyProtection="1">
      <protection locked="0"/>
    </xf>
    <xf numFmtId="1" fontId="29" fillId="52" borderId="116" xfId="0" applyNumberFormat="1" applyFont="1" applyFill="1" applyBorder="1" applyProtection="1">
      <protection locked="0"/>
    </xf>
    <xf numFmtId="1" fontId="29" fillId="52" borderId="131" xfId="0" applyNumberFormat="1" applyFont="1" applyFill="1" applyBorder="1" applyProtection="1">
      <protection locked="0"/>
    </xf>
    <xf numFmtId="1" fontId="29" fillId="52" borderId="100" xfId="0" applyNumberFormat="1" applyFont="1" applyFill="1" applyBorder="1" applyProtection="1">
      <protection locked="0"/>
    </xf>
    <xf numFmtId="1" fontId="29" fillId="0" borderId="58" xfId="0" applyNumberFormat="1" applyFont="1" applyBorder="1"/>
    <xf numFmtId="1" fontId="29" fillId="52" borderId="57" xfId="0" applyNumberFormat="1" applyFont="1" applyFill="1" applyBorder="1" applyProtection="1">
      <protection locked="0"/>
    </xf>
    <xf numFmtId="1" fontId="29" fillId="52" borderId="121" xfId="0" applyNumberFormat="1" applyFont="1" applyFill="1" applyBorder="1" applyProtection="1">
      <protection locked="0"/>
    </xf>
    <xf numFmtId="1" fontId="29" fillId="52" borderId="53" xfId="0" applyNumberFormat="1" applyFont="1" applyFill="1" applyBorder="1" applyProtection="1">
      <protection locked="0"/>
    </xf>
    <xf numFmtId="1" fontId="29" fillId="52" borderId="52" xfId="0" applyNumberFormat="1" applyFont="1" applyFill="1" applyBorder="1" applyProtection="1">
      <protection locked="0"/>
    </xf>
    <xf numFmtId="1" fontId="29" fillId="0" borderId="8" xfId="0" applyNumberFormat="1" applyFont="1" applyBorder="1" applyAlignment="1">
      <alignment vertical="center" wrapText="1"/>
    </xf>
    <xf numFmtId="1" fontId="29" fillId="0" borderId="20" xfId="0" applyNumberFormat="1" applyFont="1" applyBorder="1" applyAlignment="1">
      <alignment vertical="center" wrapText="1"/>
    </xf>
    <xf numFmtId="1" fontId="29" fillId="7" borderId="0" xfId="0" applyNumberFormat="1" applyFont="1" applyFill="1" applyProtection="1">
      <protection hidden="1"/>
    </xf>
    <xf numFmtId="1" fontId="29" fillId="0" borderId="80" xfId="0" applyNumberFormat="1" applyFont="1" applyBorder="1" applyAlignment="1">
      <alignment horizontal="center" vertical="center"/>
    </xf>
    <xf numFmtId="1" fontId="29" fillId="0" borderId="2" xfId="29" applyNumberFormat="1" applyFont="1" applyBorder="1" applyAlignment="1" applyProtection="1">
      <alignment vertical="center"/>
    </xf>
    <xf numFmtId="1" fontId="29" fillId="14" borderId="271" xfId="0" applyNumberFormat="1" applyFont="1" applyFill="1" applyBorder="1"/>
    <xf numFmtId="1" fontId="29" fillId="14" borderId="180" xfId="0" applyNumberFormat="1" applyFont="1" applyFill="1" applyBorder="1"/>
    <xf numFmtId="1" fontId="29" fillId="14" borderId="181" xfId="0" applyNumberFormat="1" applyFont="1" applyFill="1" applyBorder="1"/>
    <xf numFmtId="1" fontId="29" fillId="0" borderId="77" xfId="0" applyNumberFormat="1" applyFont="1" applyBorder="1"/>
    <xf numFmtId="1" fontId="29" fillId="0" borderId="73" xfId="0" applyNumberFormat="1" applyFont="1" applyBorder="1"/>
    <xf numFmtId="1" fontId="29" fillId="0" borderId="177" xfId="0" applyNumberFormat="1" applyFont="1" applyBorder="1" applyAlignment="1">
      <alignment vertical="center" wrapText="1"/>
    </xf>
    <xf numFmtId="1" fontId="29" fillId="7" borderId="20" xfId="0" applyNumberFormat="1" applyFont="1" applyFill="1" applyBorder="1"/>
    <xf numFmtId="1" fontId="29" fillId="52" borderId="21" xfId="0" applyNumberFormat="1" applyFont="1" applyFill="1" applyBorder="1" applyProtection="1">
      <protection locked="0"/>
    </xf>
    <xf numFmtId="1" fontId="29" fillId="52" borderId="177" xfId="0" applyNumberFormat="1" applyFont="1" applyFill="1" applyBorder="1" applyProtection="1">
      <protection locked="0"/>
    </xf>
    <xf numFmtId="1" fontId="29" fillId="52" borderId="164" xfId="0" applyNumberFormat="1" applyFont="1" applyFill="1" applyBorder="1" applyProtection="1">
      <protection locked="0"/>
    </xf>
    <xf numFmtId="1" fontId="29" fillId="52" borderId="158" xfId="0" applyNumberFormat="1" applyFont="1" applyFill="1" applyBorder="1" applyProtection="1">
      <protection locked="0"/>
    </xf>
    <xf numFmtId="0" fontId="29" fillId="0" borderId="37" xfId="0" applyFont="1" applyBorder="1" applyAlignment="1">
      <alignment vertical="center"/>
    </xf>
    <xf numFmtId="0" fontId="29" fillId="15" borderId="99" xfId="0" applyFont="1" applyFill="1" applyBorder="1" applyAlignment="1">
      <alignment vertical="center"/>
    </xf>
    <xf numFmtId="0" fontId="29" fillId="0" borderId="99" xfId="0" applyFont="1" applyBorder="1" applyAlignment="1">
      <alignment vertical="center"/>
    </xf>
    <xf numFmtId="0" fontId="29" fillId="0" borderId="51" xfId="0" applyFont="1" applyBorder="1" applyAlignment="1">
      <alignment vertical="center"/>
    </xf>
    <xf numFmtId="1" fontId="29" fillId="15" borderId="51" xfId="0" applyNumberFormat="1" applyFont="1" applyFill="1" applyBorder="1" applyProtection="1">
      <protection locked="0"/>
    </xf>
    <xf numFmtId="1" fontId="29" fillId="15" borderId="62" xfId="0" applyNumberFormat="1" applyFont="1" applyFill="1" applyBorder="1" applyProtection="1">
      <protection locked="0"/>
    </xf>
    <xf numFmtId="1" fontId="29" fillId="0" borderId="7" xfId="0" applyNumberFormat="1" applyFont="1" applyBorder="1" applyAlignment="1">
      <alignment vertical="center" wrapText="1"/>
    </xf>
    <xf numFmtId="1" fontId="26" fillId="37" borderId="0" xfId="0" applyNumberFormat="1" applyFont="1" applyFill="1"/>
    <xf numFmtId="1" fontId="27" fillId="7" borderId="0" xfId="0" applyNumberFormat="1" applyFont="1" applyFill="1" applyAlignment="1">
      <alignment horizontal="left" vertical="center"/>
    </xf>
    <xf numFmtId="1" fontId="29" fillId="11" borderId="6" xfId="0" applyNumberFormat="1" applyFont="1" applyFill="1" applyBorder="1"/>
    <xf numFmtId="1" fontId="29" fillId="27" borderId="69" xfId="0" applyNumberFormat="1" applyFont="1" applyFill="1" applyBorder="1" applyProtection="1">
      <protection locked="0"/>
    </xf>
    <xf numFmtId="1" fontId="29" fillId="27" borderId="50" xfId="0" applyNumberFormat="1" applyFont="1" applyFill="1" applyBorder="1" applyProtection="1">
      <protection locked="0"/>
    </xf>
    <xf numFmtId="1" fontId="29" fillId="27" borderId="100" xfId="0" applyNumberFormat="1" applyFont="1" applyFill="1" applyBorder="1" applyProtection="1">
      <protection locked="0"/>
    </xf>
    <xf numFmtId="1" fontId="29" fillId="27" borderId="103" xfId="0" applyNumberFormat="1" applyFont="1" applyFill="1" applyBorder="1" applyProtection="1">
      <protection locked="0"/>
    </xf>
    <xf numFmtId="1" fontId="29" fillId="53" borderId="69" xfId="0" applyNumberFormat="1" applyFont="1" applyFill="1" applyBorder="1" applyProtection="1">
      <protection locked="0"/>
    </xf>
    <xf numFmtId="1" fontId="29" fillId="53" borderId="50" xfId="0" applyNumberFormat="1" applyFont="1" applyFill="1" applyBorder="1" applyProtection="1">
      <protection locked="0"/>
    </xf>
    <xf numFmtId="1" fontId="29" fillId="27" borderId="64" xfId="0" applyNumberFormat="1" applyFont="1" applyFill="1" applyBorder="1" applyProtection="1">
      <protection locked="0"/>
    </xf>
    <xf numFmtId="1" fontId="29" fillId="27" borderId="49" xfId="0" applyNumberFormat="1" applyFont="1" applyFill="1" applyBorder="1" applyProtection="1">
      <protection locked="0"/>
    </xf>
    <xf numFmtId="1" fontId="29" fillId="53" borderId="100" xfId="0" applyNumberFormat="1" applyFont="1" applyFill="1" applyBorder="1" applyProtection="1">
      <protection locked="0"/>
    </xf>
    <xf numFmtId="1" fontId="29" fillId="52" borderId="64" xfId="0" applyNumberFormat="1" applyFont="1" applyFill="1" applyBorder="1" applyProtection="1">
      <protection locked="0"/>
    </xf>
    <xf numFmtId="1" fontId="29" fillId="52" borderId="118" xfId="0" applyNumberFormat="1" applyFont="1" applyFill="1" applyBorder="1" applyProtection="1">
      <protection locked="0"/>
    </xf>
    <xf numFmtId="1" fontId="29" fillId="53" borderId="103" xfId="0" applyNumberFormat="1" applyFont="1" applyFill="1" applyBorder="1" applyProtection="1">
      <protection locked="0"/>
    </xf>
    <xf numFmtId="1" fontId="29" fillId="27" borderId="36" xfId="0" applyNumberFormat="1" applyFont="1" applyFill="1" applyBorder="1" applyProtection="1">
      <protection locked="0"/>
    </xf>
    <xf numFmtId="1" fontId="29" fillId="27" borderId="80" xfId="0" applyNumberFormat="1" applyFont="1" applyFill="1" applyBorder="1" applyProtection="1">
      <protection locked="0"/>
    </xf>
    <xf numFmtId="1" fontId="29" fillId="53" borderId="80" xfId="0" applyNumberFormat="1" applyFont="1" applyFill="1" applyBorder="1" applyProtection="1">
      <protection locked="0"/>
    </xf>
    <xf numFmtId="1" fontId="29" fillId="53" borderId="36" xfId="0" applyNumberFormat="1" applyFont="1" applyFill="1" applyBorder="1" applyProtection="1">
      <protection locked="0"/>
    </xf>
    <xf numFmtId="1" fontId="29" fillId="11" borderId="38" xfId="0" applyNumberFormat="1" applyFont="1" applyFill="1" applyBorder="1"/>
    <xf numFmtId="1" fontId="29" fillId="11" borderId="112" xfId="0" applyNumberFormat="1" applyFont="1" applyFill="1" applyBorder="1"/>
    <xf numFmtId="1" fontId="29" fillId="11" borderId="100" xfId="0" applyNumberFormat="1" applyFont="1" applyFill="1" applyBorder="1"/>
    <xf numFmtId="1" fontId="29" fillId="11" borderId="116" xfId="0" applyNumberFormat="1" applyFont="1" applyFill="1" applyBorder="1"/>
    <xf numFmtId="1" fontId="29" fillId="52" borderId="69" xfId="0" applyNumberFormat="1" applyFont="1" applyFill="1" applyBorder="1" applyProtection="1">
      <protection locked="0"/>
    </xf>
    <xf numFmtId="1" fontId="29" fillId="11" borderId="52" xfId="0" applyNumberFormat="1" applyFont="1" applyFill="1" applyBorder="1"/>
    <xf numFmtId="1" fontId="29" fillId="11" borderId="121" xfId="0" applyNumberFormat="1" applyFont="1" applyFill="1" applyBorder="1"/>
    <xf numFmtId="1" fontId="29" fillId="52" borderId="127" xfId="0" applyNumberFormat="1" applyFont="1" applyFill="1" applyBorder="1" applyProtection="1">
      <protection locked="0"/>
    </xf>
    <xf numFmtId="1" fontId="29" fillId="52" borderId="58" xfId="0" applyNumberFormat="1" applyFont="1" applyFill="1" applyBorder="1" applyProtection="1">
      <protection locked="0"/>
    </xf>
    <xf numFmtId="1" fontId="29" fillId="0" borderId="2" xfId="29" applyNumberFormat="1" applyFont="1" applyBorder="1" applyAlignment="1" applyProtection="1">
      <alignment horizontal="center" vertical="center"/>
    </xf>
    <xf numFmtId="1" fontId="29" fillId="0" borderId="164" xfId="0" applyNumberFormat="1" applyFont="1" applyBorder="1" applyAlignment="1">
      <alignment horizontal="right" vertical="center"/>
    </xf>
    <xf numFmtId="1" fontId="29" fillId="0" borderId="0" xfId="0" applyNumberFormat="1" applyFont="1" applyAlignment="1">
      <alignment horizontal="right" vertical="center"/>
    </xf>
    <xf numFmtId="1" fontId="29" fillId="0" borderId="7" xfId="0" applyNumberFormat="1" applyFont="1" applyBorder="1" applyAlignment="1">
      <alignment horizontal="right" vertical="center"/>
    </xf>
    <xf numFmtId="1" fontId="29" fillId="0" borderId="29" xfId="0" applyNumberFormat="1" applyFont="1" applyBorder="1" applyAlignment="1">
      <alignment horizontal="right" vertical="center"/>
    </xf>
    <xf numFmtId="1" fontId="29" fillId="0" borderId="37" xfId="43" applyNumberFormat="1" applyFont="1" applyBorder="1" applyAlignment="1">
      <alignment horizontal="left" vertical="center" wrapText="1"/>
    </xf>
    <xf numFmtId="1" fontId="29" fillId="0" borderId="99" xfId="43" applyNumberFormat="1" applyFont="1" applyBorder="1" applyAlignment="1">
      <alignment horizontal="left" vertical="center" wrapText="1"/>
    </xf>
    <xf numFmtId="1" fontId="29" fillId="52" borderId="80" xfId="0" applyNumberFormat="1" applyFont="1" applyFill="1" applyBorder="1" applyProtection="1">
      <protection locked="0"/>
    </xf>
    <xf numFmtId="1" fontId="29" fillId="52" borderId="17" xfId="0" applyNumberFormat="1" applyFont="1" applyFill="1" applyBorder="1" applyProtection="1">
      <protection locked="0"/>
    </xf>
    <xf numFmtId="1" fontId="31" fillId="0" borderId="2" xfId="0" applyNumberFormat="1" applyFont="1" applyBorder="1" applyAlignment="1">
      <alignment horizontal="left" vertical="center"/>
    </xf>
    <xf numFmtId="1" fontId="29" fillId="0" borderId="6" xfId="0" applyNumberFormat="1" applyFont="1" applyBorder="1" applyAlignment="1">
      <alignment horizontal="right" vertical="center"/>
    </xf>
    <xf numFmtId="1" fontId="30" fillId="7" borderId="0" xfId="0" applyNumberFormat="1" applyFont="1" applyFill="1" applyAlignment="1">
      <alignment vertical="center"/>
    </xf>
    <xf numFmtId="1" fontId="31" fillId="7" borderId="108" xfId="0" applyNumberFormat="1" applyFont="1" applyFill="1" applyBorder="1" applyAlignment="1">
      <alignment horizontal="left"/>
    </xf>
    <xf numFmtId="1" fontId="30" fillId="7" borderId="9" xfId="0" applyNumberFormat="1" applyFont="1" applyFill="1" applyBorder="1" applyAlignment="1">
      <alignment vertical="center"/>
    </xf>
    <xf numFmtId="1" fontId="30" fillId="7" borderId="27" xfId="0" applyNumberFormat="1" applyFont="1" applyFill="1" applyBorder="1" applyAlignment="1">
      <alignment vertical="center"/>
    </xf>
    <xf numFmtId="1" fontId="26" fillId="7" borderId="13" xfId="0" applyNumberFormat="1" applyFont="1" applyFill="1" applyBorder="1"/>
    <xf numFmtId="0" fontId="32" fillId="0" borderId="0" xfId="0" applyFont="1" applyAlignment="1">
      <alignment horizontal="left"/>
    </xf>
    <xf numFmtId="0" fontId="29" fillId="11" borderId="22" xfId="0" applyFont="1" applyFill="1" applyBorder="1" applyAlignment="1">
      <alignment horizontal="center" vertical="center" wrapText="1"/>
    </xf>
    <xf numFmtId="0" fontId="29" fillId="11" borderId="50" xfId="0" applyFont="1" applyFill="1" applyBorder="1" applyAlignment="1">
      <alignment horizontal="center" vertical="center" wrapText="1"/>
    </xf>
    <xf numFmtId="0" fontId="29" fillId="0" borderId="164" xfId="0" applyFont="1" applyBorder="1" applyAlignment="1">
      <alignment horizontal="center" vertical="center"/>
    </xf>
    <xf numFmtId="0" fontId="29" fillId="0" borderId="158" xfId="0" applyFont="1" applyBorder="1" applyAlignment="1">
      <alignment horizontal="center" vertical="center" wrapText="1"/>
    </xf>
    <xf numFmtId="0" fontId="29" fillId="11" borderId="76" xfId="0" applyFont="1" applyFill="1" applyBorder="1" applyAlignment="1">
      <alignment horizontal="center" vertical="center" wrapText="1"/>
    </xf>
    <xf numFmtId="0" fontId="29" fillId="11" borderId="36" xfId="0" applyFont="1" applyFill="1" applyBorder="1" applyAlignment="1">
      <alignment horizontal="center" vertical="center" wrapText="1"/>
    </xf>
    <xf numFmtId="0" fontId="29" fillId="0" borderId="89" xfId="0" applyFont="1" applyBorder="1" applyAlignment="1">
      <alignment horizontal="left" vertical="center" wrapText="1"/>
    </xf>
    <xf numFmtId="0" fontId="29" fillId="0" borderId="128" xfId="0" applyFont="1" applyBorder="1" applyAlignment="1">
      <alignment horizontal="left" vertical="center" wrapText="1"/>
    </xf>
    <xf numFmtId="0" fontId="29" fillId="0" borderId="127" xfId="0" applyFont="1" applyBorder="1" applyAlignment="1">
      <alignment horizontal="left" vertical="center" wrapText="1"/>
    </xf>
    <xf numFmtId="0" fontId="29" fillId="0" borderId="64" xfId="0" applyFont="1" applyBorder="1" applyAlignment="1">
      <alignment horizontal="right" vertical="center" wrapText="1"/>
    </xf>
    <xf numFmtId="0" fontId="29" fillId="0" borderId="65" xfId="0" applyFont="1" applyBorder="1" applyAlignment="1">
      <alignment horizontal="right" vertical="center" wrapText="1"/>
    </xf>
    <xf numFmtId="0" fontId="29" fillId="0" borderId="131" xfId="0" applyFont="1" applyBorder="1" applyAlignment="1">
      <alignment horizontal="right" vertical="center" wrapText="1"/>
    </xf>
    <xf numFmtId="0" fontId="29" fillId="0" borderId="103" xfId="0" applyFont="1" applyBorder="1"/>
    <xf numFmtId="0" fontId="29" fillId="0" borderId="63" xfId="0" applyFont="1" applyBorder="1" applyAlignment="1">
      <alignment horizontal="left" vertical="center" wrapText="1"/>
    </xf>
    <xf numFmtId="0" fontId="29" fillId="0" borderId="166" xfId="0" applyFont="1" applyBorder="1" applyAlignment="1">
      <alignment horizontal="left" vertical="center" wrapText="1"/>
    </xf>
    <xf numFmtId="0" fontId="29" fillId="0" borderId="69" xfId="0" applyFont="1" applyBorder="1" applyAlignment="1">
      <alignment horizontal="right" vertical="center" wrapText="1"/>
    </xf>
    <xf numFmtId="0" fontId="29" fillId="0" borderId="10" xfId="0" applyFont="1" applyBorder="1" applyAlignment="1">
      <alignment horizontal="right" vertical="center" wrapText="1"/>
    </xf>
    <xf numFmtId="0" fontId="29" fillId="0" borderId="80" xfId="0" applyFont="1" applyBorder="1" applyAlignment="1">
      <alignment horizontal="center" vertical="center" wrapText="1"/>
    </xf>
    <xf numFmtId="0" fontId="29" fillId="0" borderId="86" xfId="0" applyFont="1" applyBorder="1" applyAlignment="1">
      <alignment horizontal="left" vertical="center" wrapText="1"/>
    </xf>
    <xf numFmtId="0" fontId="29" fillId="0" borderId="19" xfId="0" applyFont="1" applyBorder="1" applyAlignment="1">
      <alignment horizontal="center" vertical="center" wrapText="1"/>
    </xf>
    <xf numFmtId="0" fontId="29" fillId="0" borderId="89" xfId="0" applyFont="1" applyBorder="1" applyAlignment="1">
      <alignment vertical="center" wrapText="1"/>
    </xf>
    <xf numFmtId="1" fontId="29" fillId="0" borderId="44" xfId="0" applyNumberFormat="1" applyFont="1" applyBorder="1"/>
    <xf numFmtId="0" fontId="29" fillId="0" borderId="128" xfId="0" applyFont="1" applyBorder="1" applyAlignment="1">
      <alignment vertical="center" wrapText="1"/>
    </xf>
    <xf numFmtId="0" fontId="29" fillId="0" borderId="44" xfId="0" applyFont="1" applyBorder="1" applyAlignment="1">
      <alignment horizontal="right" vertical="center" wrapText="1"/>
    </xf>
    <xf numFmtId="0" fontId="29" fillId="11" borderId="128" xfId="0" applyFont="1" applyFill="1" applyBorder="1" applyAlignment="1">
      <alignment vertical="center" wrapText="1"/>
    </xf>
    <xf numFmtId="1" fontId="29" fillId="0" borderId="117" xfId="0" applyNumberFormat="1" applyFont="1" applyBorder="1"/>
    <xf numFmtId="0" fontId="29" fillId="11" borderId="127" xfId="0" applyFont="1" applyFill="1" applyBorder="1" applyAlignment="1">
      <alignment vertical="center" wrapText="1"/>
    </xf>
    <xf numFmtId="1" fontId="29" fillId="0" borderId="134" xfId="0" applyNumberFormat="1" applyFont="1" applyBorder="1"/>
    <xf numFmtId="0" fontId="32" fillId="0" borderId="0" xfId="0" applyFont="1" applyAlignment="1">
      <alignment vertical="center"/>
    </xf>
    <xf numFmtId="0" fontId="29" fillId="0" borderId="0" xfId="0" applyFont="1" applyAlignment="1">
      <alignment vertical="center"/>
    </xf>
    <xf numFmtId="164" fontId="29" fillId="0" borderId="682" xfId="45" applyNumberFormat="1" applyFont="1" applyBorder="1" applyAlignment="1" applyProtection="1">
      <alignment horizontal="center" vertical="center" wrapText="1"/>
    </xf>
    <xf numFmtId="164" fontId="29" fillId="0" borderId="683" xfId="45" applyNumberFormat="1" applyFont="1" applyBorder="1" applyAlignment="1" applyProtection="1">
      <alignment horizontal="center" vertical="center"/>
    </xf>
    <xf numFmtId="0" fontId="29" fillId="0" borderId="99" xfId="34" applyFont="1" applyBorder="1" applyAlignment="1">
      <alignment horizontal="left" vertical="center" wrapText="1"/>
    </xf>
    <xf numFmtId="166" fontId="29" fillId="11" borderId="63" xfId="45" applyNumberFormat="1" applyFont="1" applyFill="1" applyBorder="1" applyAlignment="1" applyProtection="1">
      <alignment horizontal="right" vertical="center"/>
    </xf>
    <xf numFmtId="1" fontId="29" fillId="6" borderId="112" xfId="0" applyNumberFormat="1" applyFont="1" applyFill="1" applyBorder="1" applyAlignment="1" applyProtection="1">
      <alignment vertical="center"/>
      <protection locked="0"/>
    </xf>
    <xf numFmtId="1" fontId="29" fillId="6" borderId="684" xfId="0" applyNumberFormat="1" applyFont="1" applyFill="1" applyBorder="1" applyAlignment="1" applyProtection="1">
      <alignment vertical="center"/>
      <protection locked="0"/>
    </xf>
    <xf numFmtId="1" fontId="29" fillId="6" borderId="685" xfId="0" applyNumberFormat="1" applyFont="1" applyFill="1" applyBorder="1" applyAlignment="1" applyProtection="1">
      <alignment vertical="center"/>
      <protection locked="0"/>
    </xf>
    <xf numFmtId="1" fontId="29" fillId="6" borderId="48" xfId="0" applyNumberFormat="1" applyFont="1" applyFill="1" applyBorder="1" applyAlignment="1" applyProtection="1">
      <alignment vertical="center"/>
      <protection locked="0"/>
    </xf>
    <xf numFmtId="1" fontId="29" fillId="6" borderId="63" xfId="0" applyNumberFormat="1" applyFont="1" applyFill="1" applyBorder="1" applyAlignment="1" applyProtection="1">
      <alignment vertical="center"/>
      <protection locked="0"/>
    </xf>
    <xf numFmtId="1" fontId="29" fillId="6" borderId="138" xfId="0" applyNumberFormat="1" applyFont="1" applyFill="1" applyBorder="1" applyAlignment="1" applyProtection="1">
      <alignment vertical="center"/>
      <protection locked="0"/>
    </xf>
    <xf numFmtId="0" fontId="29" fillId="48" borderId="0" xfId="0" applyFont="1" applyFill="1" applyAlignment="1">
      <alignment vertical="center"/>
    </xf>
    <xf numFmtId="0" fontId="29" fillId="10" borderId="0" xfId="0" applyFont="1" applyFill="1" applyAlignment="1">
      <alignment vertical="center"/>
    </xf>
    <xf numFmtId="1" fontId="29" fillId="6" borderId="116" xfId="0" applyNumberFormat="1" applyFont="1" applyFill="1" applyBorder="1" applyAlignment="1" applyProtection="1">
      <alignment vertical="center"/>
      <protection locked="0"/>
    </xf>
    <xf numFmtId="1" fontId="29" fillId="6" borderId="686" xfId="0" applyNumberFormat="1" applyFont="1" applyFill="1" applyBorder="1" applyAlignment="1" applyProtection="1">
      <alignment vertical="center"/>
      <protection locked="0"/>
    </xf>
    <xf numFmtId="1" fontId="29" fillId="6" borderId="687" xfId="0" applyNumberFormat="1" applyFont="1" applyFill="1" applyBorder="1" applyAlignment="1" applyProtection="1">
      <alignment vertical="center"/>
      <protection locked="0"/>
    </xf>
    <xf numFmtId="1" fontId="29" fillId="6" borderId="140" xfId="0" applyNumberFormat="1" applyFont="1" applyFill="1" applyBorder="1" applyAlignment="1" applyProtection="1">
      <alignment vertical="center"/>
      <protection locked="0"/>
    </xf>
    <xf numFmtId="1" fontId="29" fillId="15" borderId="100" xfId="0" applyNumberFormat="1" applyFont="1" applyFill="1" applyBorder="1" applyAlignment="1">
      <alignment vertical="center"/>
    </xf>
    <xf numFmtId="1" fontId="29" fillId="15" borderId="101" xfId="0" applyNumberFormat="1" applyFont="1" applyFill="1" applyBorder="1" applyAlignment="1">
      <alignment vertical="center"/>
    </xf>
    <xf numFmtId="1" fontId="29" fillId="6" borderId="118" xfId="0" applyNumberFormat="1" applyFont="1" applyFill="1" applyBorder="1" applyAlignment="1" applyProtection="1">
      <alignment vertical="center"/>
      <protection locked="0"/>
    </xf>
    <xf numFmtId="1" fontId="29" fillId="6" borderId="688" xfId="0" applyNumberFormat="1" applyFont="1" applyFill="1" applyBorder="1" applyAlignment="1" applyProtection="1">
      <alignment vertical="center"/>
      <protection locked="0"/>
    </xf>
    <xf numFmtId="1" fontId="29" fillId="6" borderId="206" xfId="0" applyNumberFormat="1" applyFont="1" applyFill="1" applyBorder="1" applyAlignment="1" applyProtection="1">
      <alignment vertical="center"/>
      <protection locked="0"/>
    </xf>
    <xf numFmtId="1" fontId="29" fillId="6" borderId="689" xfId="0" applyNumberFormat="1" applyFont="1" applyFill="1" applyBorder="1" applyAlignment="1" applyProtection="1">
      <alignment vertical="center"/>
      <protection locked="0"/>
    </xf>
    <xf numFmtId="164" fontId="29" fillId="0" borderId="6" xfId="45" applyNumberFormat="1" applyFont="1" applyBorder="1" applyAlignment="1" applyProtection="1">
      <alignment horizontal="center" vertical="center"/>
    </xf>
    <xf numFmtId="166" fontId="29" fillId="0" borderId="2" xfId="45" applyNumberFormat="1" applyFont="1" applyBorder="1" applyAlignment="1" applyProtection="1">
      <alignment horizontal="right" vertical="center"/>
    </xf>
    <xf numFmtId="166" fontId="29" fillId="0" borderId="10" xfId="45" applyNumberFormat="1" applyFont="1" applyBorder="1" applyAlignment="1" applyProtection="1">
      <alignment horizontal="right" vertical="center"/>
    </xf>
    <xf numFmtId="166" fontId="29" fillId="0" borderId="29" xfId="45" applyNumberFormat="1" applyFont="1" applyBorder="1" applyAlignment="1" applyProtection="1">
      <alignment horizontal="right" vertical="center"/>
    </xf>
    <xf numFmtId="166" fontId="29" fillId="0" borderId="11" xfId="45" applyNumberFormat="1" applyFont="1" applyBorder="1" applyAlignment="1" applyProtection="1">
      <alignment horizontal="right" vertical="center"/>
    </xf>
    <xf numFmtId="166" fontId="29" fillId="0" borderId="12" xfId="45" applyNumberFormat="1" applyFont="1" applyBorder="1" applyAlignment="1" applyProtection="1">
      <alignment horizontal="right" vertical="center"/>
    </xf>
    <xf numFmtId="166" fontId="29" fillId="0" borderId="682" xfId="45" applyNumberFormat="1" applyFont="1" applyBorder="1" applyAlignment="1" applyProtection="1">
      <alignment horizontal="right" vertical="center"/>
    </xf>
    <xf numFmtId="166" fontId="29" fillId="0" borderId="683" xfId="45" applyNumberFormat="1" applyFont="1" applyBorder="1" applyAlignment="1" applyProtection="1">
      <alignment horizontal="right" vertical="center"/>
    </xf>
    <xf numFmtId="166" fontId="29" fillId="0" borderId="14" xfId="45" applyNumberFormat="1" applyFont="1" applyBorder="1" applyAlignment="1" applyProtection="1">
      <alignment horizontal="right" vertical="center"/>
    </xf>
    <xf numFmtId="166" fontId="29" fillId="0" borderId="15" xfId="45" applyNumberFormat="1" applyFont="1" applyBorder="1" applyAlignment="1" applyProtection="1">
      <alignment horizontal="right" vertical="center"/>
    </xf>
    <xf numFmtId="166" fontId="29" fillId="0" borderId="8" xfId="45" applyNumberFormat="1" applyFont="1" applyBorder="1" applyAlignment="1" applyProtection="1">
      <alignment horizontal="right" vertical="center"/>
    </xf>
    <xf numFmtId="166" fontId="29" fillId="0" borderId="7" xfId="45" applyNumberFormat="1" applyFont="1" applyBorder="1" applyAlignment="1" applyProtection="1">
      <alignment horizontal="right" vertical="center"/>
    </xf>
    <xf numFmtId="0" fontId="31" fillId="0" borderId="14" xfId="34" applyFont="1" applyBorder="1" applyAlignment="1">
      <alignment vertical="center" wrapText="1"/>
    </xf>
    <xf numFmtId="0" fontId="31" fillId="0" borderId="0" xfId="34" applyFont="1" applyAlignment="1">
      <alignment vertical="center" wrapText="1"/>
    </xf>
    <xf numFmtId="1" fontId="29" fillId="0" borderId="2" xfId="34" applyNumberFormat="1" applyFont="1" applyBorder="1" applyAlignment="1">
      <alignment vertical="center"/>
    </xf>
    <xf numFmtId="1" fontId="29" fillId="0" borderId="2" xfId="34" applyNumberFormat="1" applyFont="1" applyBorder="1" applyAlignment="1">
      <alignment horizontal="center" vertical="center" wrapText="1"/>
    </xf>
    <xf numFmtId="0" fontId="29" fillId="0" borderId="10" xfId="34" applyFont="1" applyBorder="1" applyAlignment="1">
      <alignment horizontal="center" vertical="center" wrapText="1"/>
    </xf>
    <xf numFmtId="0" fontId="29" fillId="0" borderId="11" xfId="34" applyFont="1" applyBorder="1" applyAlignment="1">
      <alignment horizontal="center" vertical="center" wrapText="1"/>
    </xf>
    <xf numFmtId="0" fontId="29" fillId="0" borderId="7" xfId="34" applyFont="1" applyBorder="1" applyAlignment="1">
      <alignment horizontal="center" vertical="center" wrapText="1"/>
    </xf>
    <xf numFmtId="0" fontId="29" fillId="11" borderId="0" xfId="0" applyFont="1" applyFill="1" applyAlignment="1">
      <alignment vertical="center"/>
    </xf>
    <xf numFmtId="0" fontId="29" fillId="11" borderId="37" xfId="34" applyFont="1" applyFill="1" applyBorder="1" applyAlignment="1">
      <alignment horizontal="left" vertical="center" wrapText="1"/>
    </xf>
    <xf numFmtId="1" fontId="29" fillId="0" borderId="37" xfId="34" applyNumberFormat="1" applyFont="1" applyBorder="1" applyAlignment="1">
      <alignment horizontal="right" vertical="center"/>
    </xf>
    <xf numFmtId="1" fontId="29" fillId="6" borderId="38" xfId="34" applyNumberFormat="1" applyFont="1" applyFill="1" applyBorder="1" applyAlignment="1" applyProtection="1">
      <alignment vertical="center"/>
      <protection locked="0"/>
    </xf>
    <xf numFmtId="1" fontId="29" fillId="6" borderId="41" xfId="34" applyNumberFormat="1" applyFont="1" applyFill="1" applyBorder="1" applyAlignment="1" applyProtection="1">
      <alignment vertical="center"/>
      <protection locked="0"/>
    </xf>
    <xf numFmtId="1" fontId="29" fillId="6" borderId="112" xfId="34" applyNumberFormat="1" applyFont="1" applyFill="1" applyBorder="1" applyAlignment="1" applyProtection="1">
      <alignment vertical="center"/>
      <protection locked="0"/>
    </xf>
    <xf numFmtId="1" fontId="29" fillId="0" borderId="99" xfId="34" applyNumberFormat="1" applyFont="1" applyBorder="1" applyAlignment="1">
      <alignment horizontal="right" vertical="center"/>
    </xf>
    <xf numFmtId="1" fontId="29" fillId="6" borderId="100" xfId="34" applyNumberFormat="1" applyFont="1" applyFill="1" applyBorder="1" applyAlignment="1" applyProtection="1">
      <alignment vertical="center"/>
      <protection locked="0"/>
    </xf>
    <xf numFmtId="1" fontId="29" fillId="6" borderId="101" xfId="34" applyNumberFormat="1" applyFont="1" applyFill="1" applyBorder="1" applyAlignment="1" applyProtection="1">
      <alignment vertical="center"/>
      <protection locked="0"/>
    </xf>
    <xf numFmtId="1" fontId="29" fillId="6" borderId="116" xfId="34" applyNumberFormat="1" applyFont="1" applyFill="1" applyBorder="1" applyAlignment="1" applyProtection="1">
      <alignment vertical="center"/>
      <protection locked="0"/>
    </xf>
    <xf numFmtId="0" fontId="29" fillId="11" borderId="99" xfId="34" applyFont="1" applyFill="1" applyBorder="1" applyAlignment="1">
      <alignment horizontal="left" vertical="center" wrapText="1"/>
    </xf>
    <xf numFmtId="0" fontId="29" fillId="11" borderId="51" xfId="34" applyFont="1" applyFill="1" applyBorder="1" applyAlignment="1">
      <alignment horizontal="left" vertical="center" wrapText="1"/>
    </xf>
    <xf numFmtId="1" fontId="29" fillId="0" borderId="51" xfId="34" applyNumberFormat="1" applyFont="1" applyBorder="1" applyAlignment="1">
      <alignment horizontal="right" vertical="center"/>
    </xf>
    <xf numFmtId="1" fontId="29" fillId="6" borderId="52" xfId="34" applyNumberFormat="1" applyFont="1" applyFill="1" applyBorder="1" applyAlignment="1" applyProtection="1">
      <alignment vertical="center"/>
      <protection locked="0"/>
    </xf>
    <xf numFmtId="1" fontId="29" fillId="6" borderId="54" xfId="34" applyNumberFormat="1" applyFont="1" applyFill="1" applyBorder="1" applyAlignment="1" applyProtection="1">
      <alignment vertical="center"/>
      <protection locked="0"/>
    </xf>
    <xf numFmtId="1" fontId="29" fillId="6" borderId="121" xfId="34" applyNumberFormat="1" applyFont="1" applyFill="1" applyBorder="1" applyAlignment="1" applyProtection="1">
      <alignment vertical="center"/>
      <protection locked="0"/>
    </xf>
    <xf numFmtId="164" fontId="29" fillId="11" borderId="2" xfId="45" applyNumberFormat="1" applyFont="1" applyFill="1" applyBorder="1" applyAlignment="1" applyProtection="1">
      <alignment horizontal="center" vertical="center"/>
    </xf>
    <xf numFmtId="1" fontId="29" fillId="0" borderId="2" xfId="34" applyNumberFormat="1" applyFont="1" applyBorder="1" applyAlignment="1">
      <alignment horizontal="right" vertical="center" wrapText="1"/>
    </xf>
    <xf numFmtId="1" fontId="29" fillId="0" borderId="10" xfId="34" applyNumberFormat="1" applyFont="1" applyBorder="1" applyAlignment="1">
      <alignment horizontal="right" vertical="center" wrapText="1"/>
    </xf>
    <xf numFmtId="1" fontId="29" fillId="0" borderId="11" xfId="34" applyNumberFormat="1" applyFont="1" applyBorder="1" applyAlignment="1">
      <alignment horizontal="right" vertical="center" wrapText="1"/>
    </xf>
    <xf numFmtId="1" fontId="29" fillId="0" borderId="7" xfId="34" applyNumberFormat="1" applyFont="1" applyBorder="1" applyAlignment="1">
      <alignment horizontal="right" vertical="center" wrapText="1"/>
    </xf>
    <xf numFmtId="164" fontId="29" fillId="0" borderId="7" xfId="45" applyNumberFormat="1" applyFont="1" applyBorder="1" applyAlignment="1" applyProtection="1">
      <alignment horizontal="center" vertical="center" wrapText="1"/>
    </xf>
    <xf numFmtId="0" fontId="26" fillId="0" borderId="0" xfId="0" applyFont="1" applyAlignment="1">
      <alignment vertical="center"/>
    </xf>
    <xf numFmtId="164" fontId="29" fillId="0" borderId="20" xfId="45" applyNumberFormat="1" applyFont="1" applyBorder="1" applyAlignment="1" applyProtection="1">
      <alignment horizontal="center" vertical="center"/>
    </xf>
    <xf numFmtId="164" fontId="29" fillId="0" borderId="10" xfId="45" applyNumberFormat="1" applyFont="1" applyBorder="1" applyAlignment="1" applyProtection="1">
      <alignment horizontal="center" vertical="center"/>
    </xf>
    <xf numFmtId="0" fontId="29" fillId="0" borderId="37" xfId="34" applyFont="1" applyBorder="1" applyAlignment="1">
      <alignment horizontal="left" vertical="center" wrapText="1"/>
    </xf>
    <xf numFmtId="166" fontId="29" fillId="11" borderId="37" xfId="45" applyNumberFormat="1" applyFont="1" applyFill="1" applyBorder="1" applyAlignment="1" applyProtection="1">
      <alignment vertical="center"/>
    </xf>
    <xf numFmtId="1" fontId="29" fillId="6" borderId="419" xfId="0" applyNumberFormat="1" applyFont="1" applyFill="1" applyBorder="1" applyAlignment="1" applyProtection="1">
      <alignment vertical="center"/>
      <protection locked="0"/>
    </xf>
    <xf numFmtId="1" fontId="29" fillId="6" borderId="440" xfId="0" applyNumberFormat="1" applyFont="1" applyFill="1" applyBorder="1" applyAlignment="1" applyProtection="1">
      <alignment vertical="center"/>
      <protection locked="0"/>
    </xf>
    <xf numFmtId="0" fontId="29" fillId="54" borderId="0" xfId="0" applyFont="1" applyFill="1" applyAlignment="1">
      <alignment vertical="center"/>
    </xf>
    <xf numFmtId="0" fontId="29" fillId="11" borderId="15" xfId="34" applyFont="1" applyFill="1" applyBorder="1" applyAlignment="1">
      <alignment horizontal="left" vertical="center" wrapText="1"/>
    </xf>
    <xf numFmtId="166" fontId="29" fillId="11" borderId="15" xfId="45" applyNumberFormat="1" applyFont="1" applyFill="1" applyBorder="1" applyAlignment="1" applyProtection="1">
      <alignment horizontal="right" vertical="center"/>
    </xf>
    <xf numFmtId="1" fontId="29" fillId="6" borderId="80" xfId="0" applyNumberFormat="1" applyFont="1" applyFill="1" applyBorder="1" applyAlignment="1" applyProtection="1">
      <alignment vertical="center"/>
      <protection locked="0"/>
    </xf>
    <xf numFmtId="1" fontId="29" fillId="6" borderId="31" xfId="0" applyNumberFormat="1" applyFont="1" applyFill="1" applyBorder="1" applyAlignment="1" applyProtection="1">
      <alignment vertical="center"/>
      <protection locked="0"/>
    </xf>
    <xf numFmtId="1" fontId="29" fillId="6" borderId="17" xfId="0" applyNumberFormat="1" applyFont="1" applyFill="1" applyBorder="1" applyAlignment="1" applyProtection="1">
      <alignment vertical="center"/>
      <protection locked="0"/>
    </xf>
    <xf numFmtId="1" fontId="29" fillId="6" borderId="156" xfId="0" applyNumberFormat="1" applyFont="1" applyFill="1" applyBorder="1" applyAlignment="1" applyProtection="1">
      <alignment vertical="center"/>
      <protection locked="0"/>
    </xf>
    <xf numFmtId="1" fontId="29" fillId="6" borderId="416" xfId="0" applyNumberFormat="1" applyFont="1" applyFill="1" applyBorder="1" applyAlignment="1" applyProtection="1">
      <alignment vertical="center"/>
      <protection locked="0"/>
    </xf>
    <xf numFmtId="1" fontId="29" fillId="6" borderId="439" xfId="0" applyNumberFormat="1" applyFont="1" applyFill="1" applyBorder="1" applyAlignment="1" applyProtection="1">
      <alignment vertical="center"/>
      <protection locked="0"/>
    </xf>
    <xf numFmtId="1" fontId="29" fillId="6" borderId="36" xfId="0" applyNumberFormat="1" applyFont="1" applyFill="1" applyBorder="1" applyAlignment="1" applyProtection="1">
      <alignment vertical="center"/>
      <protection locked="0"/>
    </xf>
    <xf numFmtId="1" fontId="29" fillId="0" borderId="692" xfId="0" applyNumberFormat="1" applyFont="1" applyBorder="1" applyAlignment="1">
      <alignment horizontal="center" vertical="center" wrapText="1"/>
    </xf>
    <xf numFmtId="1" fontId="29" fillId="0" borderId="693" xfId="0" applyNumberFormat="1" applyFont="1" applyBorder="1" applyAlignment="1">
      <alignment horizontal="center" vertical="center" wrapText="1"/>
    </xf>
    <xf numFmtId="1" fontId="29" fillId="0" borderId="694" xfId="0" applyNumberFormat="1" applyFont="1" applyBorder="1" applyAlignment="1">
      <alignment horizontal="center" vertical="center" wrapText="1"/>
    </xf>
    <xf numFmtId="1" fontId="29" fillId="6" borderId="41" xfId="111" applyNumberFormat="1" applyFont="1" applyBorder="1" applyAlignment="1" applyProtection="1">
      <alignment vertical="center"/>
      <protection locked="0"/>
    </xf>
    <xf numFmtId="1" fontId="29" fillId="6" borderId="112" xfId="111" applyNumberFormat="1" applyFont="1" applyBorder="1" applyAlignment="1" applyProtection="1">
      <alignment vertical="center"/>
      <protection locked="0"/>
    </xf>
    <xf numFmtId="1" fontId="29" fillId="6" borderId="423" xfId="0" applyNumberFormat="1" applyFont="1" applyFill="1" applyBorder="1" applyAlignment="1" applyProtection="1">
      <alignment vertical="center"/>
      <protection locked="0"/>
    </xf>
    <xf numFmtId="1" fontId="29" fillId="6" borderId="695" xfId="0" applyNumberFormat="1" applyFont="1" applyFill="1" applyBorder="1" applyAlignment="1" applyProtection="1">
      <alignment vertical="center"/>
      <protection locked="0"/>
    </xf>
    <xf numFmtId="1" fontId="29" fillId="6" borderId="441" xfId="0" applyNumberFormat="1" applyFont="1" applyFill="1" applyBorder="1" applyAlignment="1" applyProtection="1">
      <alignment vertical="center"/>
      <protection locked="0"/>
    </xf>
    <xf numFmtId="1" fontId="29" fillId="6" borderId="64" xfId="0" applyNumberFormat="1" applyFont="1" applyFill="1" applyBorder="1" applyAlignment="1" applyProtection="1">
      <alignment vertical="center"/>
      <protection locked="0"/>
    </xf>
    <xf numFmtId="1" fontId="29" fillId="6" borderId="40" xfId="0" applyNumberFormat="1" applyFont="1" applyFill="1" applyBorder="1" applyAlignment="1" applyProtection="1">
      <alignment vertical="center"/>
      <protection locked="0"/>
    </xf>
    <xf numFmtId="1" fontId="29" fillId="6" borderId="66" xfId="0" applyNumberFormat="1" applyFont="1" applyFill="1" applyBorder="1" applyAlignment="1" applyProtection="1">
      <alignment vertical="center"/>
      <protection locked="0"/>
    </xf>
    <xf numFmtId="1" fontId="29" fillId="14" borderId="101" xfId="0" applyNumberFormat="1" applyFont="1" applyFill="1" applyBorder="1" applyAlignment="1">
      <alignment vertical="center"/>
    </xf>
    <xf numFmtId="1" fontId="29" fillId="14" borderId="116" xfId="0" applyNumberFormat="1" applyFont="1" applyFill="1" applyBorder="1" applyAlignment="1">
      <alignment vertical="center"/>
    </xf>
    <xf numFmtId="1" fontId="29" fillId="14" borderId="100" xfId="0" applyNumberFormat="1" applyFont="1" applyFill="1" applyBorder="1" applyAlignment="1">
      <alignment vertical="center"/>
    </xf>
    <xf numFmtId="1" fontId="29" fillId="6" borderId="101" xfId="111" applyNumberFormat="1" applyFont="1" applyBorder="1" applyAlignment="1" applyProtection="1">
      <alignment vertical="center"/>
      <protection locked="0"/>
    </xf>
    <xf numFmtId="1" fontId="29" fillId="6" borderId="100" xfId="111" applyNumberFormat="1" applyFont="1" applyBorder="1" applyAlignment="1" applyProtection="1">
      <alignment vertical="center"/>
      <protection locked="0"/>
    </xf>
    <xf numFmtId="1" fontId="29" fillId="6" borderId="121" xfId="0" applyNumberFormat="1" applyFont="1" applyFill="1" applyBorder="1" applyAlignment="1" applyProtection="1">
      <alignment vertical="center"/>
      <protection locked="0"/>
    </xf>
    <xf numFmtId="166" fontId="29" fillId="0" borderId="2" xfId="31" applyNumberFormat="1" applyFont="1" applyBorder="1" applyAlignment="1" applyProtection="1">
      <alignment horizontal="right" vertical="center"/>
    </xf>
    <xf numFmtId="166" fontId="29" fillId="0" borderId="10" xfId="31" applyNumberFormat="1" applyFont="1" applyBorder="1" applyAlignment="1" applyProtection="1">
      <alignment horizontal="right" vertical="center"/>
    </xf>
    <xf numFmtId="166" fontId="29" fillId="0" borderId="11" xfId="31" applyNumberFormat="1" applyFont="1" applyBorder="1" applyAlignment="1" applyProtection="1">
      <alignment horizontal="right" vertical="center"/>
    </xf>
    <xf numFmtId="166" fontId="29" fillId="0" borderId="29" xfId="31" applyNumberFormat="1" applyFont="1" applyBorder="1" applyAlignment="1" applyProtection="1">
      <alignment horizontal="right" vertical="center"/>
    </xf>
    <xf numFmtId="166" fontId="29" fillId="0" borderId="7" xfId="31" applyNumberFormat="1" applyFont="1" applyBorder="1" applyAlignment="1" applyProtection="1">
      <alignment horizontal="right" vertical="center"/>
    </xf>
    <xf numFmtId="166" fontId="29" fillId="0" borderId="20" xfId="31" applyNumberFormat="1" applyFont="1" applyBorder="1" applyAlignment="1" applyProtection="1">
      <alignment horizontal="right" vertical="center"/>
    </xf>
    <xf numFmtId="166" fontId="29" fillId="0" borderId="431" xfId="31" applyNumberFormat="1" applyFont="1" applyBorder="1" applyAlignment="1" applyProtection="1">
      <alignment horizontal="right" vertical="center"/>
    </xf>
    <xf numFmtId="166" fontId="29" fillId="0" borderId="693" xfId="31" applyNumberFormat="1" applyFont="1" applyBorder="1" applyAlignment="1" applyProtection="1">
      <alignment horizontal="right" vertical="center"/>
    </xf>
    <xf numFmtId="166" fontId="29" fillId="0" borderId="694" xfId="31" applyNumberFormat="1" applyFont="1" applyBorder="1" applyAlignment="1" applyProtection="1">
      <alignment horizontal="right" vertical="center"/>
    </xf>
    <xf numFmtId="166" fontId="29" fillId="0" borderId="8" xfId="31" applyNumberFormat="1" applyFont="1" applyBorder="1" applyAlignment="1" applyProtection="1">
      <alignment horizontal="right" vertical="center"/>
    </xf>
    <xf numFmtId="164" fontId="29" fillId="0" borderId="136" xfId="45" applyNumberFormat="1" applyFont="1" applyBorder="1" applyAlignment="1" applyProtection="1">
      <alignment horizontal="center" vertical="center" wrapText="1"/>
    </xf>
    <xf numFmtId="164" fontId="29" fillId="0" borderId="212" xfId="45" applyNumberFormat="1" applyFont="1" applyBorder="1" applyAlignment="1" applyProtection="1">
      <alignment horizontal="center" vertical="center" wrapText="1"/>
    </xf>
    <xf numFmtId="1" fontId="29" fillId="0" borderId="108" xfId="0" applyNumberFormat="1" applyFont="1" applyBorder="1" applyAlignment="1">
      <alignment vertical="center"/>
    </xf>
    <xf numFmtId="1" fontId="29" fillId="0" borderId="27" xfId="0" applyNumberFormat="1" applyFont="1" applyBorder="1" applyAlignment="1">
      <alignment vertical="center"/>
    </xf>
    <xf numFmtId="1" fontId="29" fillId="6" borderId="164" xfId="0" applyNumberFormat="1" applyFont="1" applyFill="1" applyBorder="1" applyAlignment="1" applyProtection="1">
      <alignment vertical="center"/>
      <protection locked="0"/>
    </xf>
    <xf numFmtId="1" fontId="29" fillId="6" borderId="27" xfId="0" applyNumberFormat="1" applyFont="1" applyFill="1" applyBorder="1" applyAlignment="1" applyProtection="1">
      <alignment vertical="center"/>
      <protection locked="0"/>
    </xf>
    <xf numFmtId="1" fontId="29" fillId="6" borderId="212" xfId="0" applyNumberFormat="1" applyFont="1" applyFill="1" applyBorder="1" applyAlignment="1" applyProtection="1">
      <alignment vertical="center"/>
      <protection locked="0"/>
    </xf>
    <xf numFmtId="1" fontId="29" fillId="6" borderId="136" xfId="0" applyNumberFormat="1" applyFont="1" applyFill="1" applyBorder="1" applyAlignment="1" applyProtection="1">
      <alignment vertical="center"/>
      <protection locked="0"/>
    </xf>
    <xf numFmtId="1" fontId="29" fillId="6" borderId="28" xfId="0" applyNumberFormat="1" applyFont="1" applyFill="1" applyBorder="1" applyAlignment="1" applyProtection="1">
      <alignment vertical="center"/>
      <protection locked="0"/>
    </xf>
    <xf numFmtId="1" fontId="29" fillId="6" borderId="135" xfId="0" applyNumberFormat="1" applyFont="1" applyFill="1" applyBorder="1" applyAlignment="1" applyProtection="1">
      <alignment vertical="center"/>
      <protection locked="0"/>
    </xf>
    <xf numFmtId="1" fontId="29" fillId="6" borderId="2" xfId="0" applyNumberFormat="1" applyFont="1" applyFill="1" applyBorder="1" applyAlignment="1" applyProtection="1">
      <alignment vertical="center"/>
      <protection locked="0"/>
    </xf>
    <xf numFmtId="1" fontId="29" fillId="6" borderId="8" xfId="0" applyNumberFormat="1" applyFont="1" applyFill="1" applyBorder="1" applyAlignment="1" applyProtection="1">
      <alignment vertical="center"/>
      <protection locked="0"/>
    </xf>
    <xf numFmtId="1" fontId="29" fillId="14" borderId="39" xfId="0" applyNumberFormat="1" applyFont="1" applyFill="1" applyBorder="1" applyAlignment="1">
      <alignment horizontal="right" vertical="center"/>
    </xf>
    <xf numFmtId="1" fontId="29" fillId="14" borderId="38" xfId="0" applyNumberFormat="1" applyFont="1" applyFill="1" applyBorder="1" applyAlignment="1">
      <alignment vertical="center"/>
    </xf>
    <xf numFmtId="1" fontId="29" fillId="14" borderId="98" xfId="0" applyNumberFormat="1" applyFont="1" applyFill="1" applyBorder="1" applyAlignment="1">
      <alignment vertical="center"/>
    </xf>
    <xf numFmtId="1" fontId="29" fillId="6" borderId="44" xfId="0" applyNumberFormat="1" applyFont="1" applyFill="1" applyBorder="1" applyAlignment="1" applyProtection="1">
      <alignment vertical="center"/>
      <protection locked="0"/>
    </xf>
    <xf numFmtId="1" fontId="29" fillId="6" borderId="159" xfId="0" applyNumberFormat="1" applyFont="1" applyFill="1" applyBorder="1" applyAlignment="1" applyProtection="1">
      <alignment vertical="center"/>
      <protection locked="0"/>
    </xf>
    <xf numFmtId="1" fontId="29" fillId="0" borderId="19" xfId="0" applyNumberFormat="1" applyFont="1" applyBorder="1" applyAlignment="1">
      <alignment vertical="center" wrapText="1"/>
    </xf>
    <xf numFmtId="1" fontId="29" fillId="6" borderId="128" xfId="0" applyNumberFormat="1" applyFont="1" applyFill="1" applyBorder="1" applyAlignment="1" applyProtection="1">
      <alignment vertical="center"/>
      <protection locked="0"/>
    </xf>
    <xf numFmtId="1" fontId="29" fillId="6" borderId="117" xfId="0" applyNumberFormat="1" applyFont="1" applyFill="1" applyBorder="1" applyAlignment="1" applyProtection="1">
      <alignment vertical="center"/>
      <protection locked="0"/>
    </xf>
    <xf numFmtId="1" fontId="29" fillId="6" borderId="139" xfId="0" applyNumberFormat="1" applyFont="1" applyFill="1" applyBorder="1" applyAlignment="1" applyProtection="1">
      <alignment vertical="center"/>
      <protection locked="0"/>
    </xf>
    <xf numFmtId="1" fontId="29" fillId="14" borderId="52" xfId="0" applyNumberFormat="1" applyFont="1" applyFill="1" applyBorder="1" applyAlignment="1">
      <alignment vertical="center"/>
    </xf>
    <xf numFmtId="1" fontId="29" fillId="14" borderId="62" xfId="0" applyNumberFormat="1" applyFont="1" applyFill="1" applyBorder="1" applyAlignment="1">
      <alignment vertical="center"/>
    </xf>
    <xf numFmtId="1" fontId="29" fillId="14" borderId="56" xfId="0" applyNumberFormat="1" applyFont="1" applyFill="1" applyBorder="1" applyAlignment="1">
      <alignment vertical="center"/>
    </xf>
    <xf numFmtId="1" fontId="29" fillId="6" borderId="57" xfId="0" applyNumberFormat="1" applyFont="1" applyFill="1" applyBorder="1" applyAlignment="1" applyProtection="1">
      <alignment vertical="center"/>
      <protection locked="0"/>
    </xf>
    <xf numFmtId="1" fontId="29" fillId="6" borderId="143" xfId="0" applyNumberFormat="1" applyFont="1" applyFill="1" applyBorder="1" applyAlignment="1" applyProtection="1">
      <alignment vertical="center"/>
      <protection locked="0"/>
    </xf>
    <xf numFmtId="1" fontId="29" fillId="6" borderId="61" xfId="0" applyNumberFormat="1" applyFont="1" applyFill="1" applyBorder="1" applyAlignment="1" applyProtection="1">
      <alignment vertical="center"/>
      <protection locked="0"/>
    </xf>
    <xf numFmtId="1" fontId="29" fillId="0" borderId="49" xfId="0" applyNumberFormat="1" applyFont="1" applyBorder="1" applyAlignment="1">
      <alignment vertical="center"/>
    </xf>
    <xf numFmtId="1" fontId="29" fillId="6" borderId="49" xfId="0" applyNumberFormat="1" applyFont="1" applyFill="1" applyBorder="1" applyAlignment="1" applyProtection="1">
      <alignment vertical="center"/>
      <protection locked="0"/>
    </xf>
    <xf numFmtId="1" fontId="29" fillId="6" borderId="166" xfId="0" applyNumberFormat="1" applyFont="1" applyFill="1" applyBorder="1" applyAlignment="1" applyProtection="1">
      <alignment vertical="center"/>
      <protection locked="0"/>
    </xf>
    <xf numFmtId="1" fontId="29" fillId="0" borderId="103" xfId="0" applyNumberFormat="1" applyFont="1" applyBorder="1" applyAlignment="1">
      <alignment vertical="center"/>
    </xf>
    <xf numFmtId="1" fontId="29" fillId="0" borderId="128" xfId="0" applyNumberFormat="1" applyFont="1" applyBorder="1" applyAlignment="1">
      <alignment vertical="center" shrinkToFit="1"/>
    </xf>
    <xf numFmtId="1" fontId="29" fillId="0" borderId="103" xfId="0" applyNumberFormat="1" applyFont="1" applyBorder="1" applyAlignment="1">
      <alignment vertical="center" shrinkToFit="1"/>
    </xf>
    <xf numFmtId="1" fontId="29" fillId="0" borderId="100" xfId="0" applyNumberFormat="1" applyFont="1" applyBorder="1" applyAlignment="1">
      <alignment horizontal="right" vertical="center" shrinkToFit="1"/>
    </xf>
    <xf numFmtId="1" fontId="29" fillId="0" borderId="131" xfId="0" applyNumberFormat="1" applyFont="1" applyBorder="1" applyAlignment="1">
      <alignment horizontal="right" vertical="center" shrinkToFit="1"/>
    </xf>
    <xf numFmtId="1" fontId="29" fillId="0" borderId="62" xfId="0" applyNumberFormat="1" applyFont="1" applyBorder="1" applyAlignment="1">
      <alignment vertical="center"/>
    </xf>
    <xf numFmtId="1" fontId="29" fillId="6" borderId="127" xfId="0" applyNumberFormat="1" applyFont="1" applyFill="1" applyBorder="1" applyAlignment="1" applyProtection="1">
      <alignment vertical="center"/>
      <protection locked="0"/>
    </xf>
    <xf numFmtId="1" fontId="29" fillId="0" borderId="80" xfId="0" applyNumberFormat="1" applyFont="1" applyBorder="1" applyAlignment="1">
      <alignment horizontal="right" vertical="center" wrapText="1"/>
    </xf>
    <xf numFmtId="1" fontId="29" fillId="0" borderId="76" xfId="0" applyNumberFormat="1" applyFont="1" applyBorder="1" applyAlignment="1">
      <alignment horizontal="right" vertical="center" wrapText="1"/>
    </xf>
    <xf numFmtId="1" fontId="29" fillId="0" borderId="80" xfId="0" applyNumberFormat="1" applyFont="1" applyBorder="1" applyAlignment="1">
      <alignment vertical="center"/>
    </xf>
    <xf numFmtId="1" fontId="29" fillId="0" borderId="36" xfId="0" applyNumberFormat="1" applyFont="1" applyBorder="1" applyAlignment="1">
      <alignment vertical="center"/>
    </xf>
    <xf numFmtId="1" fontId="29" fillId="0" borderId="10" xfId="0" applyNumberFormat="1" applyFont="1" applyBorder="1" applyAlignment="1">
      <alignment vertical="center"/>
    </xf>
    <xf numFmtId="1" fontId="29" fillId="0" borderId="12" xfId="0" applyNumberFormat="1" applyFont="1" applyBorder="1" applyAlignment="1">
      <alignment vertical="center"/>
    </xf>
    <xf numFmtId="1" fontId="29" fillId="0" borderId="28" xfId="0" applyNumberFormat="1" applyFont="1" applyBorder="1" applyAlignment="1">
      <alignment vertical="center"/>
    </xf>
    <xf numFmtId="1" fontId="29" fillId="0" borderId="136" xfId="0" applyNumberFormat="1" applyFont="1" applyBorder="1" applyAlignment="1">
      <alignment vertical="center"/>
    </xf>
    <xf numFmtId="1" fontId="29" fillId="0" borderId="156" xfId="0" applyNumberFormat="1" applyFont="1" applyBorder="1" applyAlignment="1">
      <alignment vertical="center"/>
    </xf>
    <xf numFmtId="1" fontId="29" fillId="0" borderId="135" xfId="0" applyNumberFormat="1" applyFont="1" applyBorder="1" applyAlignment="1">
      <alignment vertical="center"/>
    </xf>
    <xf numFmtId="1" fontId="29" fillId="0" borderId="15" xfId="0" applyNumberFormat="1" applyFont="1" applyBorder="1" applyAlignment="1">
      <alignment vertical="center"/>
    </xf>
    <xf numFmtId="0" fontId="31" fillId="0" borderId="0" xfId="34" applyFont="1" applyAlignment="1">
      <alignment horizontal="left" vertical="center" wrapText="1"/>
    </xf>
    <xf numFmtId="1" fontId="29" fillId="15" borderId="38" xfId="0" applyNumberFormat="1" applyFont="1" applyFill="1" applyBorder="1" applyAlignment="1">
      <alignment horizontal="right" vertical="center"/>
    </xf>
    <xf numFmtId="1" fontId="29" fillId="15" borderId="48" xfId="0" applyNumberFormat="1" applyFont="1" applyFill="1" applyBorder="1" applyAlignment="1">
      <alignment vertical="center"/>
    </xf>
    <xf numFmtId="1" fontId="29" fillId="15" borderId="118" xfId="0" applyNumberFormat="1" applyFont="1" applyFill="1" applyBorder="1" applyAlignment="1">
      <alignment vertical="center"/>
    </xf>
    <xf numFmtId="1" fontId="29" fillId="15" borderId="64" xfId="0" applyNumberFormat="1" applyFont="1" applyFill="1" applyBorder="1" applyAlignment="1">
      <alignment vertical="center"/>
    </xf>
    <xf numFmtId="1" fontId="29" fillId="15" borderId="40" xfId="0" applyNumberFormat="1" applyFont="1" applyFill="1" applyBorder="1" applyAlignment="1">
      <alignment vertical="center"/>
    </xf>
    <xf numFmtId="1" fontId="29" fillId="15" borderId="66" xfId="0" applyNumberFormat="1" applyFont="1" applyFill="1" applyBorder="1" applyAlignment="1">
      <alignment vertical="center"/>
    </xf>
    <xf numFmtId="1" fontId="29" fillId="15" borderId="132" xfId="0" applyNumberFormat="1" applyFont="1" applyFill="1" applyBorder="1" applyAlignment="1">
      <alignment vertical="center"/>
    </xf>
    <xf numFmtId="1" fontId="29" fillId="15" borderId="49" xfId="0" applyNumberFormat="1" applyFont="1" applyFill="1" applyBorder="1" applyAlignment="1">
      <alignment vertical="center"/>
    </xf>
    <xf numFmtId="1" fontId="29" fillId="15" borderId="100" xfId="0" applyNumberFormat="1" applyFont="1" applyFill="1" applyBorder="1" applyAlignment="1">
      <alignment horizontal="right" vertical="center"/>
    </xf>
    <xf numFmtId="1" fontId="29" fillId="15" borderId="52" xfId="0" applyNumberFormat="1" applyFont="1" applyFill="1" applyBorder="1" applyAlignment="1">
      <alignment horizontal="right" vertical="center"/>
    </xf>
    <xf numFmtId="1" fontId="29" fillId="15" borderId="10" xfId="0" applyNumberFormat="1" applyFont="1" applyFill="1" applyBorder="1" applyAlignment="1">
      <alignment horizontal="right" vertical="center" wrapText="1"/>
    </xf>
    <xf numFmtId="1" fontId="29" fillId="15" borderId="8" xfId="0" applyNumberFormat="1" applyFont="1" applyFill="1" applyBorder="1" applyAlignment="1">
      <alignment horizontal="right" vertical="center" wrapText="1"/>
    </xf>
    <xf numFmtId="1" fontId="29" fillId="15" borderId="12" xfId="0" applyNumberFormat="1" applyFont="1" applyFill="1" applyBorder="1" applyAlignment="1">
      <alignment horizontal="right" vertical="center"/>
    </xf>
    <xf numFmtId="1" fontId="29" fillId="15" borderId="10" xfId="0" applyNumberFormat="1" applyFont="1" applyFill="1" applyBorder="1" applyAlignment="1">
      <alignment horizontal="right" vertical="center"/>
    </xf>
    <xf numFmtId="1" fontId="29" fillId="15" borderId="11" xfId="0" applyNumberFormat="1" applyFont="1" applyFill="1" applyBorder="1" applyAlignment="1">
      <alignment horizontal="right" vertical="center"/>
    </xf>
    <xf numFmtId="1" fontId="29" fillId="15" borderId="28" xfId="0" applyNumberFormat="1" applyFont="1" applyFill="1" applyBorder="1" applyAlignment="1">
      <alignment horizontal="right" vertical="center"/>
    </xf>
    <xf numFmtId="1" fontId="29" fillId="15" borderId="133" xfId="0" applyNumberFormat="1" applyFont="1" applyFill="1" applyBorder="1" applyAlignment="1">
      <alignment horizontal="right" vertical="center"/>
    </xf>
    <xf numFmtId="1" fontId="29" fillId="15" borderId="7" xfId="0" applyNumberFormat="1" applyFont="1" applyFill="1" applyBorder="1" applyAlignment="1">
      <alignment horizontal="right" vertical="center"/>
    </xf>
    <xf numFmtId="1" fontId="29" fillId="0" borderId="178" xfId="0" applyNumberFormat="1" applyFont="1" applyBorder="1" applyAlignment="1">
      <alignment horizontal="center" vertical="center" wrapText="1"/>
    </xf>
    <xf numFmtId="1" fontId="29" fillId="0" borderId="175" xfId="0" applyNumberFormat="1" applyFont="1" applyBorder="1" applyAlignment="1">
      <alignment horizontal="right" vertical="center"/>
    </xf>
    <xf numFmtId="1" fontId="29" fillId="6" borderId="132" xfId="0" applyNumberFormat="1" applyFont="1" applyFill="1" applyBorder="1" applyAlignment="1" applyProtection="1">
      <alignment vertical="center"/>
      <protection locked="0"/>
    </xf>
    <xf numFmtId="1" fontId="29" fillId="6" borderId="696" xfId="0" applyNumberFormat="1" applyFont="1" applyFill="1" applyBorder="1" applyAlignment="1" applyProtection="1">
      <alignment vertical="center"/>
      <protection locked="0"/>
    </xf>
    <xf numFmtId="1" fontId="29" fillId="6" borderId="461" xfId="0" applyNumberFormat="1" applyFont="1" applyFill="1" applyBorder="1" applyAlignment="1" applyProtection="1">
      <alignment vertical="center"/>
      <protection locked="0"/>
    </xf>
    <xf numFmtId="1" fontId="29" fillId="0" borderId="178" xfId="0" applyNumberFormat="1" applyFont="1" applyBorder="1" applyAlignment="1">
      <alignment horizontal="right" vertical="center" wrapText="1"/>
    </xf>
    <xf numFmtId="1" fontId="29" fillId="0" borderId="11" xfId="0" applyNumberFormat="1" applyFont="1" applyBorder="1" applyAlignment="1">
      <alignment horizontal="right" vertical="center"/>
    </xf>
    <xf numFmtId="1" fontId="29" fillId="0" borderId="28" xfId="0" applyNumberFormat="1" applyFont="1" applyBorder="1" applyAlignment="1">
      <alignment horizontal="right" vertical="center"/>
    </xf>
    <xf numFmtId="1" fontId="29" fillId="0" borderId="133" xfId="0" applyNumberFormat="1" applyFont="1" applyBorder="1" applyAlignment="1">
      <alignment horizontal="right" vertical="center"/>
    </xf>
    <xf numFmtId="1" fontId="29" fillId="0" borderId="431" xfId="0" applyNumberFormat="1" applyFont="1" applyBorder="1" applyAlignment="1">
      <alignment horizontal="right" vertical="center"/>
    </xf>
    <xf numFmtId="1" fontId="29" fillId="0" borderId="694" xfId="0" applyNumberFormat="1" applyFont="1" applyBorder="1" applyAlignment="1">
      <alignment horizontal="right" vertical="center"/>
    </xf>
    <xf numFmtId="1" fontId="29" fillId="0" borderId="165" xfId="0" applyNumberFormat="1" applyFont="1" applyBorder="1" applyAlignment="1">
      <alignment horizontal="center" vertical="center"/>
    </xf>
    <xf numFmtId="1" fontId="29" fillId="0" borderId="138" xfId="0" applyNumberFormat="1" applyFont="1" applyBorder="1" applyAlignment="1">
      <alignment vertical="center" wrapText="1"/>
    </xf>
    <xf numFmtId="1" fontId="29" fillId="7" borderId="37" xfId="0" applyNumberFormat="1" applyFont="1" applyFill="1" applyBorder="1" applyAlignment="1">
      <alignment horizontal="right" vertical="center"/>
    </xf>
    <xf numFmtId="1" fontId="29" fillId="6" borderId="697" xfId="0" applyNumberFormat="1" applyFont="1" applyFill="1" applyBorder="1" applyAlignment="1" applyProtection="1">
      <alignment vertical="center"/>
      <protection locked="0"/>
    </xf>
    <xf numFmtId="1" fontId="29" fillId="7" borderId="99" xfId="0" applyNumberFormat="1" applyFont="1" applyFill="1" applyBorder="1" applyAlignment="1">
      <alignment horizontal="right" vertical="center"/>
    </xf>
    <xf numFmtId="1" fontId="29" fillId="7" borderId="15" xfId="0" applyNumberFormat="1" applyFont="1" applyFill="1" applyBorder="1" applyAlignment="1">
      <alignment horizontal="right" vertical="center"/>
    </xf>
    <xf numFmtId="1" fontId="29" fillId="6" borderId="14" xfId="0" applyNumberFormat="1" applyFont="1" applyFill="1" applyBorder="1" applyAlignment="1" applyProtection="1">
      <alignment vertical="center"/>
      <protection locked="0"/>
    </xf>
    <xf numFmtId="1" fontId="29" fillId="6" borderId="30" xfId="0" applyNumberFormat="1" applyFont="1" applyFill="1" applyBorder="1" applyAlignment="1" applyProtection="1">
      <alignment vertical="center"/>
      <protection locked="0"/>
    </xf>
    <xf numFmtId="1" fontId="29" fillId="6" borderId="691" xfId="0" applyNumberFormat="1" applyFont="1" applyFill="1" applyBorder="1" applyAlignment="1" applyProtection="1">
      <alignment vertical="center"/>
      <protection locked="0"/>
    </xf>
    <xf numFmtId="1" fontId="29" fillId="6" borderId="453" xfId="0" applyNumberFormat="1" applyFont="1" applyFill="1" applyBorder="1" applyAlignment="1" applyProtection="1">
      <alignment vertical="center"/>
      <protection locked="0"/>
    </xf>
    <xf numFmtId="1" fontId="29" fillId="7" borderId="38" xfId="147" applyNumberFormat="1" applyFont="1" applyFill="1" applyBorder="1" applyAlignment="1">
      <alignment horizontal="right" vertical="center"/>
    </xf>
    <xf numFmtId="1" fontId="29" fillId="7" borderId="41" xfId="147" applyNumberFormat="1" applyFont="1" applyFill="1" applyBorder="1" applyAlignment="1">
      <alignment horizontal="right" vertical="center"/>
    </xf>
    <xf numFmtId="1" fontId="29" fillId="7" borderId="98" xfId="147" applyNumberFormat="1" applyFont="1" applyFill="1" applyBorder="1" applyAlignment="1">
      <alignment horizontal="right" vertical="center"/>
    </xf>
    <xf numFmtId="1" fontId="29" fillId="6" borderId="75" xfId="0" applyNumberFormat="1" applyFont="1" applyFill="1" applyBorder="1" applyAlignment="1" applyProtection="1">
      <alignment vertical="center"/>
      <protection locked="0"/>
    </xf>
    <xf numFmtId="1" fontId="29" fillId="6" borderId="113" xfId="0" applyNumberFormat="1" applyFont="1" applyFill="1" applyBorder="1" applyAlignment="1" applyProtection="1">
      <alignment vertical="center"/>
      <protection locked="0"/>
    </xf>
    <xf numFmtId="1" fontId="29" fillId="7" borderId="100" xfId="147" applyNumberFormat="1" applyFont="1" applyFill="1" applyBorder="1" applyAlignment="1">
      <alignment horizontal="right" vertical="center"/>
    </xf>
    <xf numFmtId="1" fontId="29" fillId="7" borderId="101" xfId="147" applyNumberFormat="1" applyFont="1" applyFill="1" applyBorder="1" applyAlignment="1">
      <alignment horizontal="right" vertical="center"/>
    </xf>
    <xf numFmtId="1" fontId="29" fillId="7" borderId="103" xfId="147" applyNumberFormat="1" applyFont="1" applyFill="1" applyBorder="1" applyAlignment="1">
      <alignment horizontal="right" vertical="center"/>
    </xf>
    <xf numFmtId="1" fontId="29" fillId="6" borderId="142" xfId="0" applyNumberFormat="1" applyFont="1" applyFill="1" applyBorder="1" applyAlignment="1" applyProtection="1">
      <alignment vertical="center"/>
      <protection locked="0"/>
    </xf>
    <xf numFmtId="1" fontId="29" fillId="7" borderId="52" xfId="147" applyNumberFormat="1" applyFont="1" applyFill="1" applyBorder="1" applyAlignment="1">
      <alignment horizontal="right" vertical="center"/>
    </xf>
    <xf numFmtId="1" fontId="29" fillId="7" borderId="54" xfId="147" applyNumberFormat="1" applyFont="1" applyFill="1" applyBorder="1" applyAlignment="1">
      <alignment horizontal="right" vertical="center"/>
    </xf>
    <xf numFmtId="1" fontId="29" fillId="7" borderId="62" xfId="147" applyNumberFormat="1" applyFont="1" applyFill="1" applyBorder="1" applyAlignment="1">
      <alignment horizontal="right" vertical="center"/>
    </xf>
    <xf numFmtId="1" fontId="29" fillId="6" borderId="58" xfId="0" applyNumberFormat="1" applyFont="1" applyFill="1" applyBorder="1" applyAlignment="1" applyProtection="1">
      <alignment vertical="center"/>
      <protection locked="0"/>
    </xf>
    <xf numFmtId="1" fontId="29" fillId="0" borderId="80" xfId="147" applyNumberFormat="1" applyFont="1" applyFill="1" applyBorder="1" applyAlignment="1">
      <alignment horizontal="right" vertical="center"/>
    </xf>
    <xf numFmtId="1" fontId="29" fillId="0" borderId="31" xfId="147" applyNumberFormat="1" applyFont="1" applyFill="1" applyBorder="1" applyAlignment="1">
      <alignment horizontal="right" vertical="center"/>
    </xf>
    <xf numFmtId="1" fontId="29" fillId="0" borderId="36" xfId="147" applyNumberFormat="1" applyFont="1" applyFill="1" applyBorder="1" applyAlignment="1">
      <alignment horizontal="right" vertical="center"/>
    </xf>
    <xf numFmtId="1" fontId="29" fillId="0" borderId="36" xfId="0" applyNumberFormat="1" applyFont="1" applyBorder="1" applyAlignment="1">
      <alignment horizontal="right" vertical="center" wrapText="1"/>
    </xf>
    <xf numFmtId="1" fontId="29" fillId="0" borderId="32" xfId="0" applyNumberFormat="1" applyFont="1" applyBorder="1" applyAlignment="1">
      <alignment horizontal="right" vertical="center" wrapText="1"/>
    </xf>
    <xf numFmtId="1" fontId="29" fillId="0" borderId="17" xfId="0" applyNumberFormat="1" applyFont="1" applyBorder="1" applyAlignment="1">
      <alignment horizontal="right" vertical="center" wrapText="1"/>
    </xf>
    <xf numFmtId="1" fontId="29" fillId="0" borderId="14" xfId="0" applyNumberFormat="1" applyFont="1" applyBorder="1" applyAlignment="1">
      <alignment horizontal="right" vertical="center" wrapText="1"/>
    </xf>
    <xf numFmtId="1" fontId="29" fillId="0" borderId="31" xfId="0" applyNumberFormat="1" applyFont="1" applyBorder="1" applyAlignment="1">
      <alignment horizontal="right" vertical="center" wrapText="1"/>
    </xf>
    <xf numFmtId="1" fontId="29" fillId="0" borderId="30" xfId="0" applyNumberFormat="1" applyFont="1" applyBorder="1" applyAlignment="1">
      <alignment horizontal="right" vertical="center" wrapText="1"/>
    </xf>
    <xf numFmtId="1" fontId="29" fillId="7" borderId="64" xfId="147" applyNumberFormat="1" applyFont="1" applyFill="1" applyBorder="1" applyAlignment="1">
      <alignment horizontal="right" vertical="center"/>
    </xf>
    <xf numFmtId="1" fontId="29" fillId="7" borderId="40" xfId="147" applyNumberFormat="1" applyFont="1" applyFill="1" applyBorder="1" applyAlignment="1">
      <alignment horizontal="right" vertical="center"/>
    </xf>
    <xf numFmtId="1" fontId="29" fillId="7" borderId="49" xfId="147" applyNumberFormat="1" applyFont="1" applyFill="1" applyBorder="1" applyAlignment="1">
      <alignment horizontal="right" vertical="center"/>
    </xf>
    <xf numFmtId="1" fontId="29" fillId="6" borderId="65" xfId="0" applyNumberFormat="1" applyFont="1" applyFill="1" applyBorder="1" applyAlignment="1" applyProtection="1">
      <alignment vertical="center"/>
      <protection locked="0"/>
    </xf>
    <xf numFmtId="1" fontId="29" fillId="6" borderId="45" xfId="0" applyNumberFormat="1" applyFont="1" applyFill="1" applyBorder="1" applyAlignment="1" applyProtection="1">
      <alignment vertical="center"/>
      <protection locked="0"/>
    </xf>
    <xf numFmtId="0" fontId="31" fillId="0" borderId="0" xfId="0" applyFont="1" applyAlignment="1">
      <alignment vertical="center"/>
    </xf>
    <xf numFmtId="1" fontId="29" fillId="7" borderId="109" xfId="147" applyNumberFormat="1" applyFont="1" applyFill="1" applyBorder="1" applyAlignment="1">
      <alignment horizontal="right" vertical="center"/>
    </xf>
    <xf numFmtId="1" fontId="29" fillId="7" borderId="96" xfId="147" applyNumberFormat="1" applyFont="1" applyFill="1" applyBorder="1" applyAlignment="1">
      <alignment horizontal="right" vertical="center"/>
    </xf>
    <xf numFmtId="1" fontId="29" fillId="7" borderId="104" xfId="147" applyNumberFormat="1" applyFont="1" applyFill="1" applyBorder="1" applyAlignment="1">
      <alignment horizontal="right" vertical="center"/>
    </xf>
    <xf numFmtId="1" fontId="29" fillId="6" borderId="698" xfId="0" applyNumberFormat="1" applyFont="1" applyFill="1" applyBorder="1" applyAlignment="1" applyProtection="1">
      <alignment vertical="center"/>
      <protection locked="0"/>
    </xf>
    <xf numFmtId="1" fontId="29" fillId="6" borderId="514" xfId="0" applyNumberFormat="1" applyFont="1" applyFill="1" applyBorder="1" applyAlignment="1" applyProtection="1">
      <alignment vertical="center"/>
      <protection locked="0"/>
    </xf>
    <xf numFmtId="1" fontId="29" fillId="6" borderId="508" xfId="0" applyNumberFormat="1" applyFont="1" applyFill="1" applyBorder="1" applyAlignment="1" applyProtection="1">
      <alignment vertical="center"/>
      <protection locked="0"/>
    </xf>
    <xf numFmtId="1" fontId="29" fillId="15" borderId="52" xfId="147" applyNumberFormat="1" applyFont="1" applyFill="1" applyBorder="1" applyAlignment="1">
      <alignment horizontal="right" vertical="center"/>
    </xf>
    <xf numFmtId="1" fontId="29" fillId="15" borderId="54" xfId="147" applyNumberFormat="1" applyFont="1" applyFill="1" applyBorder="1" applyAlignment="1">
      <alignment horizontal="right" vertical="center"/>
    </xf>
    <xf numFmtId="1" fontId="29" fillId="15" borderId="62" xfId="147" applyNumberFormat="1" applyFont="1" applyFill="1" applyBorder="1" applyAlignment="1">
      <alignment horizontal="right" vertical="center"/>
    </xf>
    <xf numFmtId="1" fontId="29" fillId="15" borderId="80" xfId="0" applyNumberFormat="1" applyFont="1" applyFill="1" applyBorder="1" applyAlignment="1">
      <alignment vertical="center"/>
    </xf>
    <xf numFmtId="1" fontId="29" fillId="15" borderId="17" xfId="0" applyNumberFormat="1" applyFont="1" applyFill="1" applyBorder="1" applyAlignment="1">
      <alignment vertical="center"/>
    </xf>
    <xf numFmtId="1" fontId="29" fillId="15" borderId="699" xfId="0" applyNumberFormat="1" applyFont="1" applyFill="1" applyBorder="1" applyAlignment="1">
      <alignment vertical="center"/>
    </xf>
    <xf numFmtId="1" fontId="29" fillId="15" borderId="36" xfId="0" applyNumberFormat="1" applyFont="1" applyFill="1" applyBorder="1" applyAlignment="1">
      <alignment vertical="center"/>
    </xf>
    <xf numFmtId="0" fontId="29" fillId="15" borderId="41" xfId="0" applyFont="1" applyFill="1" applyBorder="1" applyAlignment="1">
      <alignment vertical="center"/>
    </xf>
    <xf numFmtId="0" fontId="29" fillId="15" borderId="101" xfId="0" applyFont="1" applyFill="1" applyBorder="1" applyAlignment="1">
      <alignment vertical="center"/>
    </xf>
    <xf numFmtId="0" fontId="29" fillId="15" borderId="31" xfId="0" applyFont="1" applyFill="1" applyBorder="1" applyAlignment="1">
      <alignment vertical="center"/>
    </xf>
    <xf numFmtId="0" fontId="29" fillId="0" borderId="37" xfId="0" applyFont="1" applyBorder="1" applyAlignment="1">
      <alignment horizontal="right" vertical="center"/>
    </xf>
    <xf numFmtId="0" fontId="29" fillId="6" borderId="38" xfId="0" applyFont="1" applyFill="1" applyBorder="1" applyAlignment="1" applyProtection="1">
      <alignment horizontal="justify" vertical="center"/>
      <protection locked="0"/>
    </xf>
    <xf numFmtId="0" fontId="29" fillId="6" borderId="98" xfId="0" applyFont="1" applyFill="1" applyBorder="1" applyAlignment="1" applyProtection="1">
      <alignment horizontal="justify" vertical="center"/>
      <protection locked="0"/>
    </xf>
    <xf numFmtId="0" fontId="29" fillId="0" borderId="15" xfId="0" applyFont="1" applyBorder="1" applyAlignment="1">
      <alignment horizontal="right" vertical="center"/>
    </xf>
    <xf numFmtId="0" fontId="29" fillId="6" borderId="80" xfId="0" applyFont="1" applyFill="1" applyBorder="1" applyAlignment="1" applyProtection="1">
      <alignment horizontal="justify" vertical="center"/>
      <protection locked="0"/>
    </xf>
    <xf numFmtId="0" fontId="29" fillId="6" borderId="36" xfId="0" applyFont="1" applyFill="1" applyBorder="1" applyAlignment="1" applyProtection="1">
      <alignment horizontal="justify" vertical="center"/>
      <protection locked="0"/>
    </xf>
    <xf numFmtId="0" fontId="31" fillId="11" borderId="0" xfId="0" applyFont="1" applyFill="1" applyAlignment="1">
      <alignment vertical="center"/>
    </xf>
    <xf numFmtId="1" fontId="29" fillId="11" borderId="164" xfId="0" applyNumberFormat="1" applyFont="1" applyFill="1" applyBorder="1" applyAlignment="1">
      <alignment horizontal="center" vertical="center" wrapText="1"/>
    </xf>
    <xf numFmtId="1" fontId="29" fillId="11" borderId="12" xfId="0" applyNumberFormat="1" applyFont="1" applyFill="1" applyBorder="1" applyAlignment="1" applyProtection="1">
      <alignment horizontal="center" vertical="center" wrapText="1"/>
      <protection locked="0"/>
    </xf>
    <xf numFmtId="0" fontId="29" fillId="15" borderId="49" xfId="0" applyFont="1" applyFill="1" applyBorder="1" applyAlignment="1">
      <alignment vertical="center"/>
    </xf>
    <xf numFmtId="0" fontId="29" fillId="15" borderId="62" xfId="0" applyFont="1" applyFill="1" applyBorder="1" applyAlignment="1">
      <alignment vertical="center"/>
    </xf>
    <xf numFmtId="0" fontId="29" fillId="15" borderId="38" xfId="0" applyFont="1" applyFill="1" applyBorder="1" applyAlignment="1">
      <alignment vertical="center"/>
    </xf>
    <xf numFmtId="0" fontId="29" fillId="15" borderId="98" xfId="0" applyFont="1" applyFill="1" applyBorder="1" applyAlignment="1">
      <alignment vertical="center"/>
    </xf>
    <xf numFmtId="0" fontId="29" fillId="15" borderId="103" xfId="0" applyFont="1" applyFill="1" applyBorder="1" applyAlignment="1">
      <alignment vertical="center"/>
    </xf>
    <xf numFmtId="0" fontId="29" fillId="15" borderId="40" xfId="0" applyFont="1" applyFill="1" applyBorder="1" applyAlignment="1">
      <alignment vertical="center"/>
    </xf>
    <xf numFmtId="0" fontId="29" fillId="15" borderId="64" xfId="0" applyFont="1" applyFill="1" applyBorder="1" applyAlignment="1">
      <alignment vertical="center"/>
    </xf>
    <xf numFmtId="0" fontId="29" fillId="15" borderId="52" xfId="0" applyFont="1" applyFill="1" applyBorder="1" applyAlignment="1">
      <alignment vertical="center"/>
    </xf>
    <xf numFmtId="0" fontId="29" fillId="15" borderId="53" xfId="0" applyFont="1" applyFill="1" applyBorder="1" applyAlignment="1">
      <alignment vertical="center"/>
    </xf>
    <xf numFmtId="0" fontId="29" fillId="15" borderId="54" xfId="0" applyFont="1" applyFill="1" applyBorder="1" applyAlignment="1">
      <alignment vertical="center"/>
    </xf>
    <xf numFmtId="0" fontId="29" fillId="11" borderId="7" xfId="0" applyFont="1" applyFill="1" applyBorder="1" applyAlignment="1">
      <alignment horizontal="center" vertical="center" wrapText="1"/>
    </xf>
    <xf numFmtId="0" fontId="29" fillId="11" borderId="10" xfId="0" applyFont="1" applyFill="1" applyBorder="1" applyAlignment="1">
      <alignment horizontal="center" vertical="center" wrapText="1"/>
    </xf>
    <xf numFmtId="0" fontId="29" fillId="11" borderId="11" xfId="0" applyFont="1" applyFill="1" applyBorder="1" applyAlignment="1">
      <alignment horizontal="center" vertical="center" wrapText="1"/>
    </xf>
    <xf numFmtId="0" fontId="29" fillId="11" borderId="270" xfId="0" applyFont="1" applyFill="1" applyBorder="1" applyAlignment="1">
      <alignment horizontal="center" vertical="center" wrapText="1"/>
    </xf>
    <xf numFmtId="1" fontId="29" fillId="11" borderId="37" xfId="0" applyNumberFormat="1" applyFont="1" applyFill="1" applyBorder="1" applyAlignment="1">
      <alignment horizontal="right" vertical="center" wrapText="1"/>
    </xf>
    <xf numFmtId="1" fontId="29" fillId="11" borderId="99" xfId="0" applyNumberFormat="1" applyFont="1" applyFill="1" applyBorder="1" applyAlignment="1">
      <alignment horizontal="right" vertical="center" wrapText="1"/>
    </xf>
    <xf numFmtId="1" fontId="29" fillId="11" borderId="15" xfId="0" applyNumberFormat="1" applyFont="1" applyFill="1" applyBorder="1" applyAlignment="1">
      <alignment horizontal="right" vertical="center" wrapText="1"/>
    </xf>
    <xf numFmtId="1" fontId="29" fillId="6" borderId="446" xfId="0" applyNumberFormat="1" applyFont="1" applyFill="1" applyBorder="1" applyAlignment="1" applyProtection="1">
      <alignment vertical="center"/>
      <protection locked="0"/>
    </xf>
    <xf numFmtId="1" fontId="29" fillId="6" borderId="700" xfId="0" applyNumberFormat="1" applyFont="1" applyFill="1" applyBorder="1" applyAlignment="1" applyProtection="1">
      <alignment vertical="center"/>
      <protection locked="0"/>
    </xf>
    <xf numFmtId="1" fontId="29" fillId="6" borderId="701" xfId="0" applyNumberFormat="1" applyFont="1" applyFill="1" applyBorder="1" applyAlignment="1" applyProtection="1">
      <alignment vertical="center"/>
      <protection locked="0"/>
    </xf>
    <xf numFmtId="1" fontId="29" fillId="6" borderId="458" xfId="0" applyNumberFormat="1" applyFont="1" applyFill="1" applyBorder="1" applyAlignment="1" applyProtection="1">
      <alignment vertical="center"/>
      <protection locked="0"/>
    </xf>
    <xf numFmtId="1" fontId="29" fillId="11" borderId="8" xfId="0" applyNumberFormat="1" applyFont="1" applyFill="1" applyBorder="1" applyAlignment="1">
      <alignment vertical="center" wrapText="1"/>
    </xf>
    <xf numFmtId="1" fontId="29" fillId="11" borderId="2" xfId="0" applyNumberFormat="1" applyFont="1" applyFill="1" applyBorder="1" applyAlignment="1">
      <alignment vertical="center"/>
    </xf>
    <xf numFmtId="1" fontId="60" fillId="6" borderId="10" xfId="0" applyNumberFormat="1" applyFont="1" applyFill="1" applyBorder="1" applyAlignment="1" applyProtection="1">
      <alignment vertical="center"/>
      <protection locked="0"/>
    </xf>
    <xf numFmtId="1" fontId="60" fillId="6" borderId="11" xfId="0" applyNumberFormat="1" applyFont="1" applyFill="1" applyBorder="1" applyAlignment="1" applyProtection="1">
      <alignment vertical="center"/>
      <protection locked="0"/>
    </xf>
    <xf numFmtId="1" fontId="60" fillId="6" borderId="29" xfId="0" applyNumberFormat="1" applyFont="1" applyFill="1" applyBorder="1" applyAlignment="1" applyProtection="1">
      <alignment vertical="center"/>
      <protection locked="0"/>
    </xf>
    <xf numFmtId="1" fontId="60" fillId="6" borderId="12" xfId="0" applyNumberFormat="1" applyFont="1" applyFill="1" applyBorder="1" applyAlignment="1" applyProtection="1">
      <alignment vertical="center"/>
      <protection locked="0"/>
    </xf>
    <xf numFmtId="1" fontId="29" fillId="6" borderId="29" xfId="0" applyNumberFormat="1" applyFont="1" applyFill="1" applyBorder="1" applyAlignment="1" applyProtection="1">
      <alignment vertical="center"/>
      <protection locked="0"/>
    </xf>
    <xf numFmtId="1" fontId="29" fillId="6" borderId="12" xfId="0" applyNumberFormat="1" applyFont="1" applyFill="1" applyBorder="1" applyAlignment="1" applyProtection="1">
      <alignment vertical="center"/>
      <protection locked="0"/>
    </xf>
    <xf numFmtId="166" fontId="29" fillId="37" borderId="0" xfId="0" applyNumberFormat="1" applyFont="1" applyFill="1" applyAlignment="1">
      <alignment vertical="center"/>
    </xf>
    <xf numFmtId="0" fontId="29" fillId="37" borderId="0" xfId="0" applyFont="1" applyFill="1" applyAlignment="1">
      <alignment vertical="center"/>
    </xf>
    <xf numFmtId="0" fontId="54" fillId="0" borderId="0" xfId="0" applyFont="1"/>
    <xf numFmtId="1" fontId="27" fillId="7" borderId="0" xfId="0" applyNumberFormat="1" applyFont="1" applyFill="1" applyAlignment="1">
      <alignment vertical="center" wrapText="1"/>
    </xf>
    <xf numFmtId="0" fontId="53" fillId="0" borderId="0" xfId="0" applyFont="1" applyAlignment="1">
      <alignment horizontal="center" vertical="center"/>
    </xf>
    <xf numFmtId="0" fontId="29" fillId="0" borderId="0" xfId="0" applyFont="1" applyAlignment="1">
      <alignment horizontal="center" wrapText="1"/>
    </xf>
    <xf numFmtId="1" fontId="29" fillId="0" borderId="625" xfId="0" applyNumberFormat="1" applyFont="1" applyBorder="1" applyAlignment="1">
      <alignment horizontal="center" vertical="center" wrapText="1"/>
    </xf>
    <xf numFmtId="1" fontId="29" fillId="0" borderId="444" xfId="0" applyNumberFormat="1" applyFont="1" applyBorder="1" applyAlignment="1">
      <alignment horizontal="center" vertical="center" wrapText="1"/>
    </xf>
    <xf numFmtId="1" fontId="29" fillId="55" borderId="231" xfId="0" applyNumberFormat="1" applyFont="1" applyFill="1" applyBorder="1"/>
    <xf numFmtId="1" fontId="29" fillId="55" borderId="476" xfId="0" applyNumberFormat="1" applyFont="1" applyFill="1" applyBorder="1"/>
    <xf numFmtId="1" fontId="29" fillId="55" borderId="317" xfId="0" applyNumberFormat="1" applyFont="1" applyFill="1" applyBorder="1"/>
    <xf numFmtId="1" fontId="29" fillId="23" borderId="317" xfId="0" applyNumberFormat="1" applyFont="1" applyFill="1" applyBorder="1" applyProtection="1">
      <protection locked="0"/>
    </xf>
    <xf numFmtId="1" fontId="29" fillId="23" borderId="702" xfId="0" applyNumberFormat="1" applyFont="1" applyFill="1" applyBorder="1" applyProtection="1">
      <protection locked="0"/>
    </xf>
    <xf numFmtId="1" fontId="29" fillId="23" borderId="517" xfId="0" applyNumberFormat="1" applyFont="1" applyFill="1" applyBorder="1" applyProtection="1">
      <protection locked="0"/>
    </xf>
    <xf numFmtId="1" fontId="29" fillId="23" borderId="660" xfId="0" applyNumberFormat="1" applyFont="1" applyFill="1" applyBorder="1" applyProtection="1">
      <protection locked="0"/>
    </xf>
    <xf numFmtId="1" fontId="29" fillId="23" borderId="703" xfId="0" applyNumberFormat="1" applyFont="1" applyFill="1" applyBorder="1" applyProtection="1">
      <protection locked="0"/>
    </xf>
    <xf numFmtId="1" fontId="29" fillId="23" borderId="704" xfId="0" applyNumberFormat="1" applyFont="1" applyFill="1" applyBorder="1" applyProtection="1">
      <protection locked="0"/>
    </xf>
    <xf numFmtId="1" fontId="29" fillId="55" borderId="705" xfId="0" applyNumberFormat="1" applyFont="1" applyFill="1" applyBorder="1"/>
    <xf numFmtId="1" fontId="29" fillId="55" borderId="243" xfId="0" applyNumberFormat="1" applyFont="1" applyFill="1" applyBorder="1"/>
    <xf numFmtId="1" fontId="29" fillId="55" borderId="706" xfId="0" applyNumberFormat="1" applyFont="1" applyFill="1" applyBorder="1"/>
    <xf numFmtId="1" fontId="29" fillId="23" borderId="499" xfId="0" applyNumberFormat="1" applyFont="1" applyFill="1" applyBorder="1" applyProtection="1">
      <protection locked="0"/>
    </xf>
    <xf numFmtId="1" fontId="29" fillId="23" borderId="706" xfId="0" applyNumberFormat="1" applyFont="1" applyFill="1" applyBorder="1" applyProtection="1">
      <protection locked="0"/>
    </xf>
    <xf numFmtId="1" fontId="29" fillId="23" borderId="707" xfId="0" applyNumberFormat="1" applyFont="1" applyFill="1" applyBorder="1" applyProtection="1">
      <protection locked="0"/>
    </xf>
    <xf numFmtId="1" fontId="29" fillId="23" borderId="708" xfId="0" applyNumberFormat="1" applyFont="1" applyFill="1" applyBorder="1" applyProtection="1">
      <protection locked="0"/>
    </xf>
    <xf numFmtId="1" fontId="29" fillId="23" borderId="709" xfId="0" applyNumberFormat="1" applyFont="1" applyFill="1" applyBorder="1" applyProtection="1">
      <protection locked="0"/>
    </xf>
    <xf numFmtId="1" fontId="29" fillId="23" borderId="710" xfId="0" applyNumberFormat="1" applyFont="1" applyFill="1" applyBorder="1" applyProtection="1">
      <protection locked="0"/>
    </xf>
    <xf numFmtId="0" fontId="29" fillId="0" borderId="37" xfId="0" applyFont="1" applyBorder="1"/>
    <xf numFmtId="1" fontId="29" fillId="55" borderId="253" xfId="0" applyNumberFormat="1" applyFont="1" applyFill="1" applyBorder="1"/>
    <xf numFmtId="1" fontId="29" fillId="55" borderId="491" xfId="0" applyNumberFormat="1" applyFont="1" applyFill="1" applyBorder="1"/>
    <xf numFmtId="1" fontId="29" fillId="23" borderId="512" xfId="0" applyNumberFormat="1" applyFont="1" applyFill="1" applyBorder="1" applyProtection="1">
      <protection locked="0"/>
    </xf>
    <xf numFmtId="1" fontId="29" fillId="23" borderId="711" xfId="0" applyNumberFormat="1" applyFont="1" applyFill="1" applyBorder="1" applyProtection="1">
      <protection locked="0"/>
    </xf>
    <xf numFmtId="1" fontId="29" fillId="23" borderId="712" xfId="0" applyNumberFormat="1" applyFont="1" applyFill="1" applyBorder="1" applyProtection="1">
      <protection locked="0"/>
    </xf>
    <xf numFmtId="0" fontId="29" fillId="0" borderId="99" xfId="0" applyFont="1" applyBorder="1"/>
    <xf numFmtId="1" fontId="29" fillId="23" borderId="239" xfId="0" applyNumberFormat="1" applyFont="1" applyFill="1" applyBorder="1" applyProtection="1">
      <protection locked="0"/>
    </xf>
    <xf numFmtId="0" fontId="29" fillId="0" borderId="19" xfId="0" applyFont="1" applyBorder="1"/>
    <xf numFmtId="0" fontId="0" fillId="0" borderId="0" xfId="0" applyAlignment="1">
      <alignment horizontal="center" vertical="center" wrapText="1"/>
    </xf>
    <xf numFmtId="0" fontId="29" fillId="0" borderId="502" xfId="0" applyFont="1" applyBorder="1" applyAlignment="1">
      <alignment horizontal="center" vertical="center" wrapText="1"/>
    </xf>
    <xf numFmtId="0" fontId="29" fillId="0" borderId="154" xfId="0" applyFont="1" applyBorder="1" applyAlignment="1">
      <alignment horizontal="center" vertical="center" wrapText="1"/>
    </xf>
    <xf numFmtId="0" fontId="29" fillId="0" borderId="154" xfId="0" applyFont="1" applyBorder="1" applyAlignment="1">
      <alignment horizontal="center" wrapText="1"/>
    </xf>
    <xf numFmtId="0" fontId="0" fillId="0" borderId="0" xfId="0" applyAlignment="1">
      <alignment wrapText="1"/>
    </xf>
    <xf numFmtId="0" fontId="29" fillId="0" borderId="713" xfId="0" applyFont="1" applyBorder="1" applyAlignment="1">
      <alignment wrapText="1"/>
    </xf>
    <xf numFmtId="1" fontId="29" fillId="55" borderId="239" xfId="0" applyNumberFormat="1" applyFont="1" applyFill="1" applyBorder="1"/>
    <xf numFmtId="1" fontId="29" fillId="23" borderId="231" xfId="0" applyNumberFormat="1" applyFont="1" applyFill="1" applyBorder="1" applyProtection="1">
      <protection locked="0"/>
    </xf>
    <xf numFmtId="0" fontId="29" fillId="23" borderId="714" xfId="0" applyFont="1" applyFill="1" applyBorder="1" applyProtection="1">
      <protection locked="0"/>
    </xf>
    <xf numFmtId="0" fontId="29" fillId="23" borderId="703" xfId="0" applyFont="1" applyFill="1" applyBorder="1" applyProtection="1">
      <protection locked="0"/>
    </xf>
    <xf numFmtId="0" fontId="29" fillId="23" borderId="715" xfId="0" applyFont="1" applyFill="1" applyBorder="1" applyProtection="1">
      <protection locked="0"/>
    </xf>
    <xf numFmtId="0" fontId="29" fillId="23" borderId="230" xfId="0" applyFont="1" applyFill="1" applyBorder="1" applyProtection="1">
      <protection locked="0"/>
    </xf>
    <xf numFmtId="0" fontId="29" fillId="0" borderId="711" xfId="0" applyFont="1" applyBorder="1" applyAlignment="1">
      <alignment wrapText="1"/>
    </xf>
    <xf numFmtId="0" fontId="29" fillId="23" borderId="236" xfId="0" applyFont="1" applyFill="1" applyBorder="1" applyProtection="1">
      <protection locked="0"/>
    </xf>
    <xf numFmtId="0" fontId="29" fillId="0" borderId="703" xfId="0" applyFont="1" applyBorder="1" applyAlignment="1">
      <alignment wrapText="1"/>
    </xf>
    <xf numFmtId="1" fontId="29" fillId="55" borderId="247" xfId="0" applyNumberFormat="1" applyFont="1" applyFill="1" applyBorder="1"/>
    <xf numFmtId="1" fontId="29" fillId="55" borderId="245" xfId="0" applyNumberFormat="1" applyFont="1" applyFill="1" applyBorder="1"/>
    <xf numFmtId="1" fontId="29" fillId="55" borderId="490" xfId="0" applyNumberFormat="1" applyFont="1" applyFill="1" applyBorder="1"/>
    <xf numFmtId="1" fontId="29" fillId="23" borderId="490" xfId="0" applyNumberFormat="1" applyFont="1" applyFill="1" applyBorder="1" applyProtection="1">
      <protection locked="0"/>
    </xf>
    <xf numFmtId="1" fontId="29" fillId="23" borderId="245" xfId="0" applyNumberFormat="1" applyFont="1" applyFill="1" applyBorder="1" applyProtection="1">
      <protection locked="0"/>
    </xf>
    <xf numFmtId="0" fontId="29" fillId="23" borderId="716" xfId="0" applyFont="1" applyFill="1" applyBorder="1" applyProtection="1">
      <protection locked="0"/>
    </xf>
    <xf numFmtId="0" fontId="29" fillId="23" borderId="490" xfId="0" applyFont="1" applyFill="1" applyBorder="1" applyProtection="1">
      <protection locked="0"/>
    </xf>
    <xf numFmtId="0" fontId="29" fillId="23" borderId="241" xfId="0" applyFont="1" applyFill="1" applyBorder="1" applyProtection="1">
      <protection locked="0"/>
    </xf>
    <xf numFmtId="0" fontId="29" fillId="0" borderId="173" xfId="0" applyFont="1" applyBorder="1" applyAlignment="1">
      <alignment wrapText="1"/>
    </xf>
    <xf numFmtId="1" fontId="29" fillId="55" borderId="254" xfId="0" applyNumberFormat="1" applyFont="1" applyFill="1" applyBorder="1"/>
    <xf numFmtId="1" fontId="29" fillId="23" borderId="253" xfId="0" applyNumberFormat="1" applyFont="1" applyFill="1" applyBorder="1" applyProtection="1">
      <protection locked="0"/>
    </xf>
    <xf numFmtId="1" fontId="29" fillId="41" borderId="717" xfId="0" applyNumberFormat="1" applyFont="1" applyFill="1" applyBorder="1"/>
    <xf numFmtId="1" fontId="29" fillId="41" borderId="718" xfId="0" applyNumberFormat="1" applyFont="1" applyFill="1" applyBorder="1"/>
    <xf numFmtId="0" fontId="29" fillId="23" borderId="717" xfId="0" applyFont="1" applyFill="1" applyBorder="1" applyProtection="1">
      <protection locked="0"/>
    </xf>
    <xf numFmtId="0" fontId="29" fillId="23" borderId="718" xfId="0" applyFont="1" applyFill="1" applyBorder="1" applyProtection="1">
      <protection locked="0"/>
    </xf>
    <xf numFmtId="1" fontId="0" fillId="33" borderId="0" xfId="0" applyNumberFormat="1" applyFill="1"/>
    <xf numFmtId="1" fontId="29" fillId="55" borderId="499" xfId="0" applyNumberFormat="1" applyFont="1" applyFill="1" applyBorder="1"/>
    <xf numFmtId="1" fontId="29" fillId="23" borderId="243" xfId="0" applyNumberFormat="1" applyFont="1" applyFill="1" applyBorder="1" applyProtection="1">
      <protection locked="0"/>
    </xf>
    <xf numFmtId="1" fontId="29" fillId="41" borderId="719" xfId="0" applyNumberFormat="1" applyFont="1" applyFill="1" applyBorder="1"/>
    <xf numFmtId="1" fontId="29" fillId="41" borderId="244" xfId="0" applyNumberFormat="1" applyFont="1" applyFill="1" applyBorder="1"/>
    <xf numFmtId="0" fontId="29" fillId="23" borderId="719" xfId="0" applyFont="1" applyFill="1" applyBorder="1" applyProtection="1">
      <protection locked="0"/>
    </xf>
    <xf numFmtId="0" fontId="29" fillId="23" borderId="244" xfId="0" applyFont="1" applyFill="1" applyBorder="1" applyProtection="1">
      <protection locked="0"/>
    </xf>
    <xf numFmtId="0" fontId="29" fillId="0" borderId="228" xfId="0" applyFont="1" applyBorder="1"/>
    <xf numFmtId="1" fontId="29" fillId="41" borderId="253" xfId="0" applyNumberFormat="1" applyFont="1" applyFill="1" applyBorder="1"/>
    <xf numFmtId="0" fontId="29" fillId="23" borderId="69" xfId="0" applyFont="1" applyFill="1" applyBorder="1" applyProtection="1">
      <protection locked="0"/>
    </xf>
    <xf numFmtId="0" fontId="29" fillId="23" borderId="50" xfId="0" applyFont="1" applyFill="1" applyBorder="1" applyProtection="1">
      <protection locked="0"/>
    </xf>
    <xf numFmtId="0" fontId="29" fillId="0" borderId="703" xfId="0" applyFont="1" applyBorder="1"/>
    <xf numFmtId="1" fontId="29" fillId="41" borderId="231" xfId="0" applyNumberFormat="1" applyFont="1" applyFill="1" applyBorder="1"/>
    <xf numFmtId="1" fontId="29" fillId="41" borderId="714" xfId="0" applyNumberFormat="1" applyFont="1" applyFill="1" applyBorder="1"/>
    <xf numFmtId="1" fontId="29" fillId="41" borderId="236" xfId="0" applyNumberFormat="1" applyFont="1" applyFill="1" applyBorder="1"/>
    <xf numFmtId="0" fontId="29" fillId="23" borderId="720" xfId="0" applyFont="1" applyFill="1" applyBorder="1" applyProtection="1">
      <protection locked="0"/>
    </xf>
    <xf numFmtId="0" fontId="29" fillId="23" borderId="721" xfId="0" applyFont="1" applyFill="1" applyBorder="1" applyProtection="1">
      <protection locked="0"/>
    </xf>
    <xf numFmtId="0" fontId="29" fillId="0" borderId="242" xfId="0" applyFont="1" applyBorder="1"/>
    <xf numFmtId="0" fontId="29" fillId="0" borderId="711" xfId="0" applyFont="1" applyBorder="1"/>
    <xf numFmtId="0" fontId="29" fillId="0" borderId="722" xfId="0" applyFont="1" applyBorder="1" applyAlignment="1">
      <alignment wrapText="1"/>
    </xf>
    <xf numFmtId="0" fontId="29" fillId="0" borderId="174" xfId="0" applyFont="1" applyBorder="1" applyAlignment="1">
      <alignment wrapText="1"/>
    </xf>
    <xf numFmtId="1" fontId="29" fillId="55" borderId="352" xfId="0" applyNumberFormat="1" applyFont="1" applyFill="1" applyBorder="1"/>
    <xf numFmtId="1" fontId="29" fillId="55" borderId="264" xfId="0" applyNumberFormat="1" applyFont="1" applyFill="1" applyBorder="1"/>
    <xf numFmtId="1" fontId="29" fillId="55" borderId="246" xfId="0" applyNumberFormat="1" applyFont="1" applyFill="1" applyBorder="1"/>
    <xf numFmtId="1" fontId="29" fillId="41" borderId="716" xfId="0" applyNumberFormat="1" applyFont="1" applyFill="1" applyBorder="1"/>
    <xf numFmtId="1" fontId="29" fillId="41" borderId="241" xfId="0" applyNumberFormat="1" applyFont="1" applyFill="1" applyBorder="1"/>
    <xf numFmtId="0" fontId="53" fillId="0" borderId="0" xfId="0" applyFont="1"/>
    <xf numFmtId="0" fontId="29" fillId="56" borderId="37" xfId="0" applyFont="1" applyFill="1" applyBorder="1"/>
    <xf numFmtId="0" fontId="29" fillId="23" borderId="38" xfId="0" applyFont="1" applyFill="1" applyBorder="1" applyProtection="1">
      <protection locked="0"/>
    </xf>
    <xf numFmtId="0" fontId="29" fillId="23" borderId="98" xfId="0" applyFont="1" applyFill="1" applyBorder="1" applyProtection="1">
      <protection locked="0"/>
    </xf>
    <xf numFmtId="0" fontId="29" fillId="56" borderId="15" xfId="0" applyFont="1" applyFill="1" applyBorder="1"/>
    <xf numFmtId="0" fontId="29" fillId="23" borderId="80" xfId="0" applyFont="1" applyFill="1" applyBorder="1" applyProtection="1">
      <protection locked="0"/>
    </xf>
    <xf numFmtId="0" fontId="29" fillId="23" borderId="36" xfId="0" applyFont="1" applyFill="1" applyBorder="1" applyProtection="1">
      <protection locked="0"/>
    </xf>
    <xf numFmtId="0" fontId="29" fillId="0" borderId="15" xfId="0" applyFont="1" applyBorder="1"/>
    <xf numFmtId="0" fontId="29" fillId="55" borderId="80" xfId="0" applyFont="1" applyFill="1" applyBorder="1"/>
    <xf numFmtId="0" fontId="29" fillId="55" borderId="36" xfId="0" applyFont="1" applyFill="1" applyBorder="1"/>
    <xf numFmtId="0" fontId="61" fillId="0" borderId="0" xfId="0" applyFont="1"/>
    <xf numFmtId="0" fontId="29" fillId="22" borderId="0" xfId="0" applyFont="1" applyFill="1"/>
    <xf numFmtId="0" fontId="29" fillId="56" borderId="2" xfId="0" applyFont="1" applyFill="1" applyBorder="1" applyAlignment="1">
      <alignment horizontal="center"/>
    </xf>
    <xf numFmtId="0" fontId="29" fillId="56" borderId="2" xfId="0" applyFont="1" applyFill="1" applyBorder="1" applyAlignment="1">
      <alignment horizontal="center" vertical="center"/>
    </xf>
    <xf numFmtId="0" fontId="29" fillId="56" borderId="10" xfId="0" applyFont="1" applyFill="1" applyBorder="1" applyAlignment="1">
      <alignment horizontal="center" vertical="center" wrapText="1"/>
    </xf>
    <xf numFmtId="0" fontId="29" fillId="56" borderId="7" xfId="0" applyFont="1" applyFill="1" applyBorder="1" applyAlignment="1">
      <alignment horizontal="center" vertical="center" wrapText="1"/>
    </xf>
    <xf numFmtId="0" fontId="29" fillId="41" borderId="37" xfId="0" applyFont="1" applyFill="1" applyBorder="1"/>
    <xf numFmtId="0" fontId="29" fillId="23" borderId="37" xfId="0" applyFont="1" applyFill="1" applyBorder="1" applyProtection="1">
      <protection locked="0"/>
    </xf>
    <xf numFmtId="0" fontId="29" fillId="41" borderId="38" xfId="0" applyFont="1" applyFill="1" applyBorder="1"/>
    <xf numFmtId="0" fontId="29" fillId="41" borderId="15" xfId="0" applyFont="1" applyFill="1" applyBorder="1"/>
    <xf numFmtId="0" fontId="29" fillId="23" borderId="15" xfId="0" applyFont="1" applyFill="1" applyBorder="1" applyProtection="1">
      <protection locked="0"/>
    </xf>
    <xf numFmtId="0" fontId="29" fillId="41" borderId="52" xfId="0" applyFont="1" applyFill="1" applyBorder="1"/>
    <xf numFmtId="0" fontId="29" fillId="57" borderId="38" xfId="0" applyFont="1" applyFill="1" applyBorder="1"/>
    <xf numFmtId="0" fontId="29" fillId="57" borderId="98" xfId="0" applyFont="1" applyFill="1" applyBorder="1"/>
    <xf numFmtId="0" fontId="29" fillId="57" borderId="80" xfId="0" applyFont="1" applyFill="1" applyBorder="1"/>
    <xf numFmtId="0" fontId="29" fillId="57" borderId="36" xfId="0" applyFont="1" applyFill="1" applyBorder="1"/>
    <xf numFmtId="0" fontId="29" fillId="41" borderId="80" xfId="0" applyFont="1" applyFill="1" applyBorder="1"/>
    <xf numFmtId="0" fontId="29" fillId="56" borderId="2" xfId="0" applyFont="1" applyFill="1" applyBorder="1" applyAlignment="1">
      <alignment horizontal="center" vertical="center" wrapText="1"/>
    </xf>
    <xf numFmtId="0" fontId="29" fillId="56" borderId="19" xfId="0" applyFont="1" applyFill="1" applyBorder="1" applyAlignment="1">
      <alignment horizontal="center" vertical="center" wrapText="1"/>
    </xf>
    <xf numFmtId="0" fontId="29" fillId="56" borderId="223" xfId="0" applyFont="1" applyFill="1" applyBorder="1" applyAlignment="1">
      <alignment horizontal="center" vertical="center" wrapText="1"/>
    </xf>
    <xf numFmtId="0" fontId="29" fillId="56" borderId="50" xfId="0" applyFont="1" applyFill="1" applyBorder="1" applyAlignment="1">
      <alignment horizontal="center" vertical="center" wrapText="1"/>
    </xf>
    <xf numFmtId="0" fontId="29" fillId="0" borderId="723" xfId="0" applyFont="1" applyBorder="1" applyAlignment="1">
      <alignment horizontal="center" vertical="center" wrapText="1"/>
    </xf>
    <xf numFmtId="0" fontId="29" fillId="27" borderId="724" xfId="0" applyFont="1" applyFill="1" applyBorder="1" applyProtection="1">
      <protection locked="0"/>
    </xf>
    <xf numFmtId="0" fontId="29" fillId="57" borderId="621" xfId="0" applyFont="1" applyFill="1" applyBorder="1"/>
    <xf numFmtId="0" fontId="29" fillId="27" borderId="725" xfId="0" applyFont="1" applyFill="1" applyBorder="1" applyProtection="1">
      <protection locked="0"/>
    </xf>
    <xf numFmtId="0" fontId="29" fillId="27" borderId="47" xfId="0" applyFont="1" applyFill="1" applyBorder="1" applyProtection="1">
      <protection locked="0"/>
    </xf>
    <xf numFmtId="0" fontId="29" fillId="27" borderId="258" xfId="0" applyFont="1" applyFill="1" applyBorder="1" applyProtection="1">
      <protection locked="0"/>
    </xf>
    <xf numFmtId="0" fontId="29" fillId="27" borderId="348" xfId="0" applyFont="1" applyFill="1" applyBorder="1" applyProtection="1">
      <protection locked="0"/>
    </xf>
    <xf numFmtId="0" fontId="29" fillId="27" borderId="275" xfId="0" applyFont="1" applyFill="1" applyBorder="1" applyProtection="1">
      <protection locked="0"/>
    </xf>
    <xf numFmtId="0" fontId="29" fillId="0" borderId="81" xfId="0" applyFont="1" applyBorder="1"/>
    <xf numFmtId="0" fontId="29" fillId="31" borderId="186" xfId="0" applyFont="1" applyFill="1" applyBorder="1"/>
    <xf numFmtId="0" fontId="29" fillId="31" borderId="224" xfId="0" applyFont="1" applyFill="1" applyBorder="1"/>
    <xf numFmtId="0" fontId="29" fillId="31" borderId="327" xfId="0" applyFont="1" applyFill="1" applyBorder="1"/>
    <xf numFmtId="0" fontId="29" fillId="31" borderId="726" xfId="0" applyFont="1" applyFill="1" applyBorder="1"/>
    <xf numFmtId="1" fontId="25" fillId="11" borderId="0" xfId="0" applyNumberFormat="1" applyFont="1" applyFill="1"/>
    <xf numFmtId="0" fontId="31" fillId="11" borderId="0" xfId="0" applyFont="1" applyFill="1"/>
    <xf numFmtId="0" fontId="62" fillId="11" borderId="0" xfId="0" applyFont="1" applyFill="1"/>
    <xf numFmtId="0" fontId="32" fillId="11" borderId="0" xfId="0" applyFont="1" applyFill="1"/>
    <xf numFmtId="0" fontId="29" fillId="11" borderId="10" xfId="0" applyFont="1" applyFill="1" applyBorder="1" applyAlignment="1">
      <alignment horizontal="center" wrapText="1"/>
    </xf>
    <xf numFmtId="0" fontId="29" fillId="11" borderId="11" xfId="0" applyFont="1" applyFill="1" applyBorder="1" applyAlignment="1">
      <alignment horizontal="center" wrapText="1"/>
    </xf>
    <xf numFmtId="0" fontId="29" fillId="11" borderId="7" xfId="0" applyFont="1" applyFill="1" applyBorder="1" applyAlignment="1">
      <alignment horizontal="center" wrapText="1"/>
    </xf>
    <xf numFmtId="0" fontId="29" fillId="11" borderId="28" xfId="0" applyFont="1" applyFill="1" applyBorder="1" applyAlignment="1">
      <alignment horizontal="center" vertical="center" wrapText="1"/>
    </xf>
    <xf numFmtId="0" fontId="29" fillId="30" borderId="37" xfId="0" applyFont="1" applyFill="1" applyBorder="1" applyAlignment="1">
      <alignment wrapText="1"/>
    </xf>
    <xf numFmtId="1" fontId="29" fillId="11" borderId="39" xfId="0" applyNumberFormat="1" applyFont="1" applyFill="1" applyBorder="1" applyAlignment="1">
      <alignment horizontal="right" wrapText="1"/>
    </xf>
    <xf numFmtId="0" fontId="29" fillId="27" borderId="42" xfId="0" applyFont="1" applyFill="1" applyBorder="1" applyProtection="1">
      <protection locked="0"/>
    </xf>
    <xf numFmtId="1" fontId="32" fillId="11" borderId="0" xfId="0" applyNumberFormat="1" applyFont="1" applyFill="1" applyAlignment="1">
      <alignment vertical="center"/>
    </xf>
    <xf numFmtId="0" fontId="29" fillId="30" borderId="63" xfId="0" applyFont="1" applyFill="1" applyBorder="1" applyAlignment="1">
      <alignment wrapText="1"/>
    </xf>
    <xf numFmtId="1" fontId="29" fillId="11" borderId="64" xfId="0" applyNumberFormat="1" applyFont="1" applyFill="1" applyBorder="1" applyAlignment="1">
      <alignment horizontal="right" wrapText="1"/>
    </xf>
    <xf numFmtId="1" fontId="29" fillId="11" borderId="65" xfId="0" applyNumberFormat="1" applyFont="1" applyFill="1" applyBorder="1" applyAlignment="1">
      <alignment horizontal="right" wrapText="1"/>
    </xf>
    <xf numFmtId="0" fontId="29" fillId="27" borderId="66" xfId="0" applyFont="1" applyFill="1" applyBorder="1" applyProtection="1">
      <protection locked="0"/>
    </xf>
    <xf numFmtId="0" fontId="30" fillId="11" borderId="0" xfId="0" applyFont="1" applyFill="1"/>
    <xf numFmtId="0" fontId="29" fillId="30" borderId="15" xfId="0" applyFont="1" applyFill="1" applyBorder="1" applyAlignment="1">
      <alignment wrapText="1"/>
    </xf>
    <xf numFmtId="1" fontId="29" fillId="11" borderId="131" xfId="0" applyNumberFormat="1" applyFont="1" applyFill="1" applyBorder="1" applyAlignment="1">
      <alignment horizontal="right" wrapText="1"/>
    </xf>
    <xf numFmtId="0" fontId="29" fillId="27" borderId="92" xfId="0" applyFont="1" applyFill="1" applyBorder="1" applyProtection="1">
      <protection locked="0"/>
    </xf>
    <xf numFmtId="1" fontId="29" fillId="11" borderId="28" xfId="0" applyNumberFormat="1" applyFont="1" applyFill="1" applyBorder="1"/>
    <xf numFmtId="0" fontId="26" fillId="11" borderId="0" xfId="0" applyFont="1" applyFill="1"/>
    <xf numFmtId="1" fontId="29" fillId="30" borderId="37" xfId="0" applyNumberFormat="1" applyFont="1" applyFill="1" applyBorder="1" applyAlignment="1">
      <alignment horizontal="right" wrapText="1"/>
    </xf>
    <xf numFmtId="1" fontId="29" fillId="15" borderId="38" xfId="0" applyNumberFormat="1" applyFont="1" applyFill="1" applyBorder="1" applyAlignment="1">
      <alignment horizontal="right" wrapText="1"/>
    </xf>
    <xf numFmtId="1" fontId="29" fillId="30" borderId="63" xfId="0" applyNumberFormat="1" applyFont="1" applyFill="1" applyBorder="1" applyAlignment="1">
      <alignment horizontal="right" wrapText="1"/>
    </xf>
    <xf numFmtId="1" fontId="29" fillId="30" borderId="15" xfId="0" applyNumberFormat="1" applyFont="1" applyFill="1" applyBorder="1" applyAlignment="1">
      <alignment horizontal="right" wrapText="1"/>
    </xf>
    <xf numFmtId="0" fontId="29" fillId="11" borderId="20" xfId="0" applyFont="1" applyFill="1" applyBorder="1" applyAlignment="1">
      <alignment horizontal="center" vertical="center" wrapText="1"/>
    </xf>
    <xf numFmtId="0" fontId="29" fillId="30" borderId="98" xfId="0" applyFont="1" applyFill="1" applyBorder="1" applyAlignment="1">
      <alignment wrapText="1"/>
    </xf>
    <xf numFmtId="0" fontId="29" fillId="30" borderId="49" xfId="0" applyFont="1" applyFill="1" applyBorder="1" applyAlignment="1">
      <alignment wrapText="1"/>
    </xf>
    <xf numFmtId="0" fontId="29" fillId="30" borderId="36" xfId="0" applyFont="1" applyFill="1" applyBorder="1" applyAlignment="1">
      <alignment wrapText="1"/>
    </xf>
    <xf numFmtId="1" fontId="29" fillId="6" borderId="136" xfId="0" applyNumberFormat="1" applyFont="1" applyFill="1" applyBorder="1" applyAlignment="1" applyProtection="1">
      <alignment horizontal="right"/>
      <protection locked="0"/>
    </xf>
    <xf numFmtId="1" fontId="29" fillId="6" borderId="28" xfId="0" applyNumberFormat="1" applyFont="1" applyFill="1" applyBorder="1" applyAlignment="1" applyProtection="1">
      <alignment horizontal="right"/>
      <protection locked="0"/>
    </xf>
    <xf numFmtId="1" fontId="29" fillId="15" borderId="6" xfId="0" applyNumberFormat="1" applyFont="1" applyFill="1" applyBorder="1" applyAlignment="1">
      <alignment horizontal="right" wrapText="1"/>
    </xf>
    <xf numFmtId="1" fontId="29" fillId="15" borderId="8" xfId="0" applyNumberFormat="1" applyFont="1" applyFill="1" applyBorder="1" applyAlignment="1">
      <alignment horizontal="right" wrapText="1"/>
    </xf>
    <xf numFmtId="1" fontId="29" fillId="15" borderId="7" xfId="0" applyNumberFormat="1" applyFont="1" applyFill="1" applyBorder="1" applyAlignment="1">
      <alignment horizontal="right" wrapText="1"/>
    </xf>
    <xf numFmtId="1" fontId="29" fillId="15" borderId="20" xfId="0" applyNumberFormat="1" applyFont="1" applyFill="1" applyBorder="1" applyAlignment="1">
      <alignment horizontal="right" wrapText="1"/>
    </xf>
    <xf numFmtId="1" fontId="29" fillId="11" borderId="133" xfId="0" applyNumberFormat="1" applyFont="1" applyFill="1" applyBorder="1" applyAlignment="1">
      <alignment horizontal="right" vertical="center" wrapText="1"/>
    </xf>
    <xf numFmtId="1" fontId="29" fillId="0" borderId="71" xfId="0" applyNumberFormat="1" applyFont="1" applyBorder="1" applyAlignment="1">
      <alignment horizontal="right" vertical="center"/>
    </xf>
    <xf numFmtId="1" fontId="29" fillId="0" borderId="20" xfId="0" applyNumberFormat="1" applyFont="1" applyBorder="1" applyAlignment="1">
      <alignment horizontal="right" vertical="center" wrapText="1"/>
    </xf>
    <xf numFmtId="1" fontId="29" fillId="11" borderId="7" xfId="0" applyNumberFormat="1" applyFont="1" applyFill="1" applyBorder="1" applyAlignment="1">
      <alignment horizontal="right" vertical="center" wrapText="1"/>
    </xf>
    <xf numFmtId="1" fontId="29" fillId="11" borderId="0" xfId="0" applyNumberFormat="1" applyFont="1" applyFill="1" applyAlignment="1">
      <alignment horizontal="center"/>
    </xf>
    <xf numFmtId="1" fontId="29" fillId="11" borderId="0" xfId="0" applyNumberFormat="1" applyFont="1" applyFill="1" applyAlignment="1">
      <alignment vertical="center" wrapText="1"/>
    </xf>
    <xf numFmtId="1" fontId="29" fillId="11" borderId="0" xfId="0" applyNumberFormat="1" applyFont="1" applyFill="1" applyAlignment="1">
      <alignment horizontal="center" vertical="center"/>
    </xf>
    <xf numFmtId="1" fontId="29" fillId="11" borderId="38" xfId="0" applyNumberFormat="1" applyFont="1" applyFill="1" applyBorder="1" applyAlignment="1">
      <alignment horizontal="right"/>
    </xf>
    <xf numFmtId="1" fontId="29" fillId="11" borderId="39" xfId="0" applyNumberFormat="1" applyFont="1" applyFill="1" applyBorder="1" applyAlignment="1">
      <alignment horizontal="right"/>
    </xf>
    <xf numFmtId="1" fontId="29" fillId="7" borderId="15" xfId="0" applyNumberFormat="1" applyFont="1" applyFill="1" applyBorder="1" applyAlignment="1">
      <alignment vertical="center" wrapText="1"/>
    </xf>
    <xf numFmtId="1" fontId="29" fillId="7" borderId="136" xfId="0" applyNumberFormat="1" applyFont="1" applyFill="1" applyBorder="1" applyAlignment="1">
      <alignment horizontal="center" vertical="center" wrapText="1"/>
    </xf>
    <xf numFmtId="0" fontId="29" fillId="11" borderId="0" xfId="0" applyFont="1" applyFill="1" applyAlignment="1">
      <alignment wrapText="1"/>
    </xf>
    <xf numFmtId="1" fontId="29" fillId="7" borderId="650" xfId="0" applyNumberFormat="1" applyFont="1" applyFill="1" applyBorder="1" applyAlignment="1">
      <alignment horizontal="left" vertical="center" wrapText="1"/>
    </xf>
    <xf numFmtId="1" fontId="29" fillId="7" borderId="166" xfId="0" applyNumberFormat="1" applyFont="1" applyFill="1" applyBorder="1" applyAlignment="1">
      <alignment vertical="center" wrapText="1"/>
    </xf>
    <xf numFmtId="1" fontId="29" fillId="7" borderId="69" xfId="0" applyNumberFormat="1" applyFont="1" applyFill="1" applyBorder="1" applyAlignment="1">
      <alignment horizontal="right" vertical="center" wrapText="1"/>
    </xf>
    <xf numFmtId="1" fontId="29" fillId="7" borderId="16" xfId="0" applyNumberFormat="1" applyFont="1" applyFill="1" applyBorder="1" applyAlignment="1">
      <alignment vertical="center" wrapText="1"/>
    </xf>
    <xf numFmtId="1" fontId="29" fillId="7" borderId="63" xfId="0" applyNumberFormat="1" applyFont="1" applyFill="1" applyBorder="1" applyAlignment="1">
      <alignment vertical="center" wrapText="1"/>
    </xf>
    <xf numFmtId="0" fontId="53" fillId="11" borderId="0" xfId="0" applyFont="1" applyFill="1"/>
    <xf numFmtId="0" fontId="29" fillId="0" borderId="0" xfId="0" applyFont="1" applyAlignment="1">
      <alignment horizontal="center" vertical="center"/>
    </xf>
    <xf numFmtId="0" fontId="29" fillId="27" borderId="100" xfId="0" applyFont="1" applyFill="1" applyBorder="1" applyAlignment="1" applyProtection="1">
      <alignment horizontal="right"/>
      <protection locked="0"/>
    </xf>
    <xf numFmtId="0" fontId="29" fillId="27" borderId="101" xfId="0" applyFont="1" applyFill="1" applyBorder="1" applyAlignment="1" applyProtection="1">
      <alignment horizontal="right"/>
      <protection locked="0"/>
    </xf>
    <xf numFmtId="0" fontId="29" fillId="27" borderId="40" xfId="0" applyFont="1" applyFill="1" applyBorder="1" applyAlignment="1" applyProtection="1">
      <alignment horizontal="right"/>
      <protection locked="0"/>
    </xf>
    <xf numFmtId="0" fontId="29" fillId="27" borderId="49" xfId="0" applyFont="1" applyFill="1" applyBorder="1" applyAlignment="1" applyProtection="1">
      <alignment horizontal="right"/>
      <protection locked="0"/>
    </xf>
    <xf numFmtId="0" fontId="29" fillId="27" borderId="103" xfId="0" applyFont="1" applyFill="1" applyBorder="1" applyAlignment="1" applyProtection="1">
      <alignment horizontal="right"/>
      <protection locked="0"/>
    </xf>
    <xf numFmtId="0" fontId="29" fillId="27" borderId="80" xfId="0" applyFont="1" applyFill="1" applyBorder="1" applyAlignment="1" applyProtection="1">
      <alignment horizontal="right"/>
      <protection locked="0"/>
    </xf>
    <xf numFmtId="0" fontId="29" fillId="27" borderId="54" xfId="0" applyFont="1" applyFill="1" applyBorder="1" applyAlignment="1" applyProtection="1">
      <alignment horizontal="right"/>
      <protection locked="0"/>
    </xf>
    <xf numFmtId="0" fontId="29" fillId="27" borderId="36" xfId="0" applyFont="1" applyFill="1" applyBorder="1" applyAlignment="1" applyProtection="1">
      <alignment horizontal="right"/>
      <protection locked="0"/>
    </xf>
    <xf numFmtId="0" fontId="63" fillId="11" borderId="0" xfId="0" applyFont="1" applyFill="1"/>
    <xf numFmtId="0" fontId="29" fillId="27" borderId="37" xfId="0" applyFont="1" applyFill="1" applyBorder="1" applyAlignment="1" applyProtection="1">
      <alignment wrapText="1"/>
      <protection locked="0"/>
    </xf>
    <xf numFmtId="0" fontId="29" fillId="27" borderId="63" xfId="0" applyFont="1" applyFill="1" applyBorder="1" applyAlignment="1" applyProtection="1">
      <alignment wrapText="1"/>
      <protection locked="0"/>
    </xf>
    <xf numFmtId="0" fontId="29" fillId="0" borderId="103" xfId="0" applyFont="1" applyBorder="1" applyAlignment="1">
      <alignment vertical="center" wrapText="1"/>
    </xf>
    <xf numFmtId="0" fontId="29" fillId="0" borderId="62" xfId="0" applyFont="1" applyBorder="1" applyAlignment="1">
      <alignment vertical="center" wrapText="1"/>
    </xf>
    <xf numFmtId="0" fontId="29" fillId="27" borderId="15" xfId="0" applyFont="1" applyFill="1" applyBorder="1" applyAlignment="1" applyProtection="1">
      <alignment wrapText="1"/>
      <protection locked="0"/>
    </xf>
    <xf numFmtId="0" fontId="29" fillId="27" borderId="734" xfId="0" applyFont="1" applyFill="1" applyBorder="1" applyProtection="1">
      <protection locked="0"/>
    </xf>
    <xf numFmtId="0" fontId="29" fillId="27" borderId="113" xfId="0" applyFont="1" applyFill="1" applyBorder="1" applyProtection="1">
      <protection locked="0"/>
    </xf>
    <xf numFmtId="0" fontId="29" fillId="27" borderId="41" xfId="0" applyFont="1" applyFill="1" applyBorder="1" applyProtection="1">
      <protection locked="0"/>
    </xf>
    <xf numFmtId="0" fontId="29" fillId="0" borderId="175" xfId="0" applyFont="1" applyBorder="1" applyAlignment="1">
      <alignment wrapText="1"/>
    </xf>
    <xf numFmtId="0" fontId="29" fillId="27" borderId="639" xfId="0" applyFont="1" applyFill="1" applyBorder="1" applyProtection="1">
      <protection locked="0"/>
    </xf>
    <xf numFmtId="0" fontId="29" fillId="27" borderId="44" xfId="0" applyFont="1" applyFill="1" applyBorder="1" applyProtection="1">
      <protection locked="0"/>
    </xf>
    <xf numFmtId="0" fontId="29" fillId="27" borderId="101" xfId="0" applyFont="1" applyFill="1" applyBorder="1" applyProtection="1">
      <protection locked="0"/>
    </xf>
    <xf numFmtId="0" fontId="29" fillId="27" borderId="40" xfId="0" applyFont="1" applyFill="1" applyBorder="1" applyProtection="1">
      <protection locked="0"/>
    </xf>
    <xf numFmtId="0" fontId="29" fillId="0" borderId="283" xfId="0" applyFont="1" applyBorder="1" applyAlignment="1">
      <alignment wrapText="1"/>
    </xf>
    <xf numFmtId="0" fontId="29" fillId="27" borderId="117" xfId="0" applyFont="1" applyFill="1" applyBorder="1" applyProtection="1">
      <protection locked="0"/>
    </xf>
    <xf numFmtId="0" fontId="29" fillId="0" borderId="179" xfId="0" applyFont="1" applyBorder="1" applyAlignment="1">
      <alignment wrapText="1"/>
    </xf>
    <xf numFmtId="0" fontId="29" fillId="27" borderId="735" xfId="0" applyFont="1" applyFill="1" applyBorder="1" applyProtection="1">
      <protection locked="0"/>
    </xf>
    <xf numFmtId="0" fontId="29" fillId="27" borderId="30" xfId="0" applyFont="1" applyFill="1" applyBorder="1" applyProtection="1">
      <protection locked="0"/>
    </xf>
    <xf numFmtId="0" fontId="29" fillId="27" borderId="54" xfId="0" applyFont="1" applyFill="1" applyBorder="1" applyProtection="1">
      <protection locked="0"/>
    </xf>
    <xf numFmtId="0" fontId="29" fillId="27" borderId="31" xfId="0" applyFont="1" applyFill="1" applyBorder="1" applyProtection="1">
      <protection locked="0"/>
    </xf>
    <xf numFmtId="1" fontId="29" fillId="0" borderId="134" xfId="0" applyNumberFormat="1" applyFont="1" applyBorder="1" applyAlignment="1">
      <alignment horizontal="right"/>
    </xf>
    <xf numFmtId="1" fontId="64" fillId="20" borderId="0" xfId="0" applyNumberFormat="1" applyFont="1" applyFill="1"/>
    <xf numFmtId="0" fontId="17" fillId="0" borderId="0" xfId="0" applyFont="1"/>
    <xf numFmtId="0" fontId="13" fillId="8" borderId="0" xfId="0" applyFont="1" applyFill="1" applyAlignment="1">
      <alignment horizontal="center" vertical="center" wrapText="1"/>
    </xf>
    <xf numFmtId="0" fontId="13" fillId="8" borderId="13" xfId="0" applyFont="1" applyFill="1" applyBorder="1" applyAlignment="1" applyProtection="1">
      <alignment vertical="center"/>
      <protection hidden="1"/>
    </xf>
    <xf numFmtId="0" fontId="13" fillId="8" borderId="50" xfId="0" applyFont="1" applyFill="1" applyBorder="1" applyAlignment="1">
      <alignment horizontal="center" vertical="center" wrapText="1"/>
    </xf>
    <xf numFmtId="0" fontId="16" fillId="0" borderId="2" xfId="0" applyFont="1" applyBorder="1" applyAlignment="1" applyProtection="1">
      <alignment horizontal="center" vertical="center"/>
      <protection hidden="1"/>
    </xf>
    <xf numFmtId="0" fontId="16" fillId="0" borderId="2" xfId="0" applyFont="1" applyBorder="1" applyAlignment="1" applyProtection="1">
      <alignment horizontal="center" vertical="center" wrapText="1"/>
      <protection hidden="1"/>
    </xf>
    <xf numFmtId="0" fontId="24" fillId="0" borderId="2" xfId="0" applyFont="1" applyBorder="1" applyProtection="1">
      <protection hidden="1"/>
    </xf>
    <xf numFmtId="0" fontId="24" fillId="0" borderId="2" xfId="0" applyFont="1" applyBorder="1" applyAlignment="1" applyProtection="1">
      <alignment horizontal="center"/>
      <protection hidden="1"/>
    </xf>
    <xf numFmtId="1" fontId="24" fillId="0" borderId="2" xfId="0" applyNumberFormat="1" applyFont="1" applyBorder="1" applyAlignment="1" applyProtection="1">
      <alignment horizontal="center"/>
      <protection hidden="1"/>
    </xf>
    <xf numFmtId="0" fontId="65" fillId="0" borderId="2" xfId="0" applyFont="1" applyBorder="1" applyAlignment="1" applyProtection="1">
      <alignment horizontal="center"/>
      <protection hidden="1"/>
    </xf>
    <xf numFmtId="3" fontId="24" fillId="0" borderId="2" xfId="0" applyNumberFormat="1" applyFont="1" applyBorder="1" applyAlignment="1" applyProtection="1">
      <alignment horizontal="center"/>
      <protection hidden="1"/>
    </xf>
    <xf numFmtId="1" fontId="24" fillId="11" borderId="2" xfId="0" applyNumberFormat="1" applyFont="1" applyFill="1" applyBorder="1" applyAlignment="1" applyProtection="1">
      <alignment horizontal="center"/>
      <protection hidden="1"/>
    </xf>
    <xf numFmtId="3" fontId="24" fillId="11" borderId="2" xfId="0" applyNumberFormat="1" applyFont="1" applyFill="1" applyBorder="1" applyAlignment="1" applyProtection="1">
      <alignment horizontal="center"/>
      <protection hidden="1"/>
    </xf>
    <xf numFmtId="0" fontId="16" fillId="0" borderId="15" xfId="0" applyFont="1" applyBorder="1" applyAlignment="1" applyProtection="1">
      <alignment horizontal="left" vertical="center"/>
      <protection hidden="1"/>
    </xf>
    <xf numFmtId="0" fontId="16" fillId="0" borderId="15" xfId="0" applyFont="1" applyBorder="1" applyAlignment="1" applyProtection="1">
      <alignment horizontal="center" vertical="center"/>
      <protection hidden="1"/>
    </xf>
    <xf numFmtId="0" fontId="13" fillId="8" borderId="36" xfId="0" applyFont="1" applyFill="1" applyBorder="1" applyAlignment="1">
      <alignment horizontal="center" vertical="center" wrapText="1"/>
    </xf>
    <xf numFmtId="0" fontId="51" fillId="0" borderId="0" xfId="0" applyFont="1"/>
    <xf numFmtId="0" fontId="13" fillId="8" borderId="2" xfId="0" applyFont="1" applyFill="1" applyBorder="1" applyAlignment="1">
      <alignment horizontal="center" vertical="center" wrapText="1"/>
    </xf>
    <xf numFmtId="0" fontId="13" fillId="0" borderId="0" xfId="0" applyFont="1"/>
    <xf numFmtId="0" fontId="11" fillId="8" borderId="6" xfId="0" applyFont="1" applyFill="1" applyBorder="1" applyAlignment="1">
      <alignment horizontal="center" vertical="center" wrapText="1"/>
    </xf>
    <xf numFmtId="0" fontId="11" fillId="0" borderId="7" xfId="0" applyFont="1" applyBorder="1" applyAlignment="1">
      <alignment horizontal="center" vertical="center" wrapText="1"/>
    </xf>
    <xf numFmtId="0" fontId="12" fillId="8" borderId="6" xfId="0" applyFont="1" applyFill="1" applyBorder="1" applyAlignment="1">
      <alignment horizontal="center" vertical="center" wrapText="1"/>
    </xf>
    <xf numFmtId="0" fontId="12" fillId="8" borderId="8" xfId="0" applyFont="1" applyFill="1" applyBorder="1" applyAlignment="1">
      <alignment horizontal="center" vertical="center" wrapText="1"/>
    </xf>
    <xf numFmtId="0" fontId="12" fillId="8" borderId="7" xfId="0" applyFont="1" applyFill="1" applyBorder="1" applyAlignment="1">
      <alignment horizontal="center" vertical="center" wrapText="1"/>
    </xf>
    <xf numFmtId="0" fontId="13" fillId="9" borderId="6" xfId="35" applyFont="1" applyFill="1" applyBorder="1" applyAlignment="1">
      <alignment horizontal="center" vertical="center"/>
    </xf>
    <xf numFmtId="0" fontId="13" fillId="9" borderId="7" xfId="35" applyFont="1" applyFill="1" applyBorder="1" applyAlignment="1">
      <alignment horizontal="center" vertical="center"/>
    </xf>
    <xf numFmtId="0" fontId="13" fillId="8" borderId="6" xfId="0" applyFont="1" applyFill="1" applyBorder="1" applyAlignment="1">
      <alignment horizontal="center" vertical="center"/>
    </xf>
    <xf numFmtId="0" fontId="13" fillId="8" borderId="7" xfId="0" applyFont="1" applyFill="1" applyBorder="1" applyAlignment="1">
      <alignment horizontal="center" vertical="center"/>
    </xf>
    <xf numFmtId="0" fontId="18" fillId="9" borderId="18" xfId="0" applyFont="1" applyFill="1" applyBorder="1" applyAlignment="1">
      <alignment horizontal="center" vertical="center" wrapText="1"/>
    </xf>
    <xf numFmtId="0" fontId="19" fillId="0" borderId="19" xfId="0" applyFont="1" applyBorder="1" applyAlignment="1">
      <alignment horizontal="center" vertical="center" wrapText="1"/>
    </xf>
    <xf numFmtId="0" fontId="19" fillId="0" borderId="15" xfId="0" applyFont="1" applyBorder="1" applyAlignment="1">
      <alignment horizontal="center" vertical="center" wrapText="1"/>
    </xf>
    <xf numFmtId="0" fontId="10" fillId="0" borderId="27" xfId="41" applyFont="1" applyBorder="1" applyAlignment="1" applyProtection="1">
      <alignment horizontal="center" vertical="center" wrapText="1"/>
    </xf>
    <xf numFmtId="0" fontId="10" fillId="0" borderId="50" xfId="41" applyFont="1" applyBorder="1" applyAlignment="1" applyProtection="1">
      <alignment horizontal="center" vertical="center" wrapText="1"/>
    </xf>
    <xf numFmtId="0" fontId="10" fillId="0" borderId="36" xfId="41" applyFont="1" applyBorder="1" applyAlignment="1" applyProtection="1">
      <alignment horizontal="center" vertical="center" wrapText="1"/>
    </xf>
    <xf numFmtId="1" fontId="16" fillId="7" borderId="0" xfId="0" applyNumberFormat="1" applyFont="1" applyFill="1" applyAlignment="1">
      <alignment horizontal="center" vertical="center" wrapText="1"/>
    </xf>
    <xf numFmtId="1" fontId="10" fillId="0" borderId="18" xfId="0" applyNumberFormat="1" applyFont="1" applyBorder="1" applyAlignment="1">
      <alignment horizontal="center" vertical="center"/>
    </xf>
    <xf numFmtId="1" fontId="10" fillId="0" borderId="15" xfId="0" applyNumberFormat="1" applyFont="1" applyBorder="1" applyAlignment="1">
      <alignment horizontal="center" vertical="center"/>
    </xf>
    <xf numFmtId="1" fontId="10" fillId="0" borderId="18" xfId="0" applyNumberFormat="1" applyFont="1" applyBorder="1" applyAlignment="1">
      <alignment horizontal="center" vertical="center" wrapText="1"/>
    </xf>
    <xf numFmtId="1" fontId="10" fillId="0" borderId="15" xfId="0" applyNumberFormat="1" applyFont="1" applyBorder="1" applyAlignment="1">
      <alignment horizontal="center" vertical="center" wrapText="1"/>
    </xf>
    <xf numFmtId="1" fontId="10" fillId="0" borderId="6" xfId="0" applyNumberFormat="1" applyFont="1" applyBorder="1" applyAlignment="1">
      <alignment horizontal="center" vertical="center" wrapText="1"/>
    </xf>
    <xf numFmtId="1" fontId="10" fillId="0" borderId="8" xfId="0" applyNumberFormat="1" applyFont="1" applyBorder="1" applyAlignment="1">
      <alignment horizontal="center" vertical="center" wrapText="1"/>
    </xf>
    <xf numFmtId="1" fontId="10" fillId="0" borderId="20" xfId="0" applyNumberFormat="1" applyFont="1" applyBorder="1" applyAlignment="1">
      <alignment horizontal="center" vertical="center" wrapText="1"/>
    </xf>
    <xf numFmtId="1" fontId="10" fillId="0" borderId="19" xfId="0" applyNumberFormat="1" applyFont="1" applyBorder="1" applyAlignment="1">
      <alignment horizontal="left" vertical="center" wrapText="1"/>
    </xf>
    <xf numFmtId="1" fontId="10" fillId="0" borderId="18" xfId="0" applyNumberFormat="1" applyFont="1" applyBorder="1" applyAlignment="1">
      <alignment horizontal="left" vertical="center" wrapText="1"/>
    </xf>
    <xf numFmtId="1" fontId="10" fillId="0" borderId="15" xfId="0" applyNumberFormat="1" applyFont="1" applyBorder="1" applyAlignment="1">
      <alignment horizontal="left" vertical="center" wrapText="1"/>
    </xf>
    <xf numFmtId="1" fontId="10" fillId="0" borderId="19" xfId="0" applyNumberFormat="1" applyFont="1" applyBorder="1" applyAlignment="1">
      <alignment horizontal="left" vertical="center"/>
    </xf>
    <xf numFmtId="1" fontId="12" fillId="7" borderId="14" xfId="0" applyNumberFormat="1" applyFont="1" applyFill="1" applyBorder="1" applyAlignment="1">
      <alignment horizontal="left"/>
    </xf>
    <xf numFmtId="1" fontId="12" fillId="7" borderId="0" xfId="0" applyNumberFormat="1" applyFont="1" applyFill="1" applyAlignment="1">
      <alignment horizontal="left"/>
    </xf>
    <xf numFmtId="1" fontId="10" fillId="0" borderId="27" xfId="0" applyNumberFormat="1" applyFont="1" applyBorder="1" applyAlignment="1">
      <alignment horizontal="center" vertical="center" wrapText="1"/>
    </xf>
    <xf numFmtId="1" fontId="10" fillId="0" borderId="36" xfId="0" applyNumberFormat="1" applyFont="1" applyBorder="1" applyAlignment="1">
      <alignment horizontal="center" vertical="center" wrapText="1"/>
    </xf>
    <xf numFmtId="1" fontId="10" fillId="0" borderId="26" xfId="0" applyNumberFormat="1" applyFont="1" applyBorder="1" applyAlignment="1">
      <alignment horizontal="center" vertical="center" wrapText="1"/>
    </xf>
    <xf numFmtId="1" fontId="10" fillId="0" borderId="9" xfId="0" applyNumberFormat="1" applyFont="1" applyBorder="1" applyAlignment="1">
      <alignment horizontal="center" vertical="center" wrapText="1"/>
    </xf>
    <xf numFmtId="1" fontId="10" fillId="0" borderId="15" xfId="0" applyNumberFormat="1" applyFont="1" applyBorder="1" applyAlignment="1">
      <alignment horizontal="left" vertical="center"/>
    </xf>
    <xf numFmtId="1" fontId="10" fillId="7" borderId="25" xfId="0" applyNumberFormat="1" applyFont="1" applyFill="1" applyBorder="1" applyAlignment="1">
      <alignment horizontal="center" vertical="center" wrapText="1"/>
    </xf>
    <xf numFmtId="1" fontId="10" fillId="7" borderId="34" xfId="0" applyNumberFormat="1" applyFont="1" applyFill="1" applyBorder="1" applyAlignment="1">
      <alignment horizontal="center" vertical="center" wrapText="1"/>
    </xf>
    <xf numFmtId="1" fontId="10" fillId="0" borderId="21" xfId="0" applyNumberFormat="1" applyFont="1" applyBorder="1" applyAlignment="1">
      <alignment horizontal="center" vertical="center" wrapText="1"/>
    </xf>
    <xf numFmtId="1" fontId="10" fillId="0" borderId="30" xfId="0" applyNumberFormat="1" applyFont="1" applyBorder="1" applyAlignment="1">
      <alignment horizontal="center" vertical="center" wrapText="1"/>
    </xf>
    <xf numFmtId="1" fontId="10" fillId="0" borderId="22" xfId="0" applyNumberFormat="1" applyFont="1" applyBorder="1" applyAlignment="1">
      <alignment horizontal="center" vertical="center" wrapText="1"/>
    </xf>
    <xf numFmtId="1" fontId="10" fillId="0" borderId="31" xfId="0" applyNumberFormat="1" applyFont="1" applyBorder="1" applyAlignment="1">
      <alignment horizontal="center" vertical="center" wrapText="1"/>
    </xf>
    <xf numFmtId="1" fontId="10" fillId="0" borderId="23" xfId="0" applyNumberFormat="1" applyFont="1" applyBorder="1" applyAlignment="1">
      <alignment horizontal="center" vertical="center" wrapText="1"/>
    </xf>
    <xf numFmtId="1" fontId="10" fillId="0" borderId="32" xfId="0" applyNumberFormat="1" applyFont="1" applyBorder="1" applyAlignment="1">
      <alignment horizontal="center" vertical="center" wrapText="1"/>
    </xf>
    <xf numFmtId="1" fontId="10" fillId="7" borderId="24" xfId="0" applyNumberFormat="1" applyFont="1" applyFill="1" applyBorder="1" applyAlignment="1">
      <alignment horizontal="center" vertical="center" wrapText="1"/>
    </xf>
    <xf numFmtId="1" fontId="10" fillId="7" borderId="33" xfId="0" applyNumberFormat="1" applyFont="1" applyFill="1" applyBorder="1" applyAlignment="1">
      <alignment horizontal="center" vertical="center" wrapText="1"/>
    </xf>
    <xf numFmtId="1" fontId="10" fillId="0" borderId="35" xfId="0" applyNumberFormat="1" applyFont="1" applyBorder="1" applyAlignment="1">
      <alignment horizontal="center" vertical="center" wrapText="1"/>
    </xf>
    <xf numFmtId="1" fontId="10" fillId="7" borderId="2" xfId="0" applyNumberFormat="1" applyFont="1" applyFill="1" applyBorder="1" applyAlignment="1">
      <alignment horizontal="center" vertical="center" wrapText="1"/>
    </xf>
    <xf numFmtId="1" fontId="10" fillId="0" borderId="19" xfId="0" applyNumberFormat="1" applyFont="1" applyBorder="1" applyAlignment="1">
      <alignment horizontal="center" vertical="center"/>
    </xf>
    <xf numFmtId="1" fontId="10" fillId="0" borderId="108" xfId="0" applyNumberFormat="1" applyFont="1" applyBorder="1" applyAlignment="1">
      <alignment horizontal="center" vertical="center" wrapText="1"/>
    </xf>
    <xf numFmtId="1" fontId="10" fillId="0" borderId="13" xfId="0" applyNumberFormat="1" applyFont="1" applyBorder="1" applyAlignment="1">
      <alignment horizontal="center" vertical="center" wrapText="1"/>
    </xf>
    <xf numFmtId="1" fontId="10" fillId="0" borderId="0" xfId="0" applyNumberFormat="1" applyFont="1" applyAlignment="1">
      <alignment horizontal="center" vertical="center" wrapText="1"/>
    </xf>
    <xf numFmtId="1" fontId="10" fillId="0" borderId="50" xfId="0" applyNumberFormat="1" applyFont="1" applyBorder="1" applyAlignment="1">
      <alignment horizontal="center" vertical="center" wrapText="1"/>
    </xf>
    <xf numFmtId="1" fontId="10" fillId="0" borderId="2" xfId="0" applyNumberFormat="1" applyFont="1" applyBorder="1" applyAlignment="1">
      <alignment horizontal="center" vertical="center" wrapText="1"/>
    </xf>
    <xf numFmtId="1" fontId="10" fillId="0" borderId="6" xfId="0" applyNumberFormat="1" applyFont="1" applyBorder="1" applyAlignment="1">
      <alignment horizontal="center" vertical="center"/>
    </xf>
    <xf numFmtId="1" fontId="10" fillId="0" borderId="7" xfId="0" applyNumberFormat="1" applyFont="1" applyBorder="1" applyAlignment="1">
      <alignment horizontal="center" vertical="center"/>
    </xf>
    <xf numFmtId="1" fontId="10" fillId="0" borderId="8" xfId="0" applyNumberFormat="1" applyFont="1" applyBorder="1" applyAlignment="1">
      <alignment horizontal="center" vertical="center"/>
    </xf>
    <xf numFmtId="1" fontId="10" fillId="7" borderId="6" xfId="0" applyNumberFormat="1" applyFont="1" applyFill="1" applyBorder="1" applyAlignment="1">
      <alignment horizontal="center" vertical="center" wrapText="1"/>
    </xf>
    <xf numFmtId="1" fontId="10" fillId="7" borderId="7" xfId="0" applyNumberFormat="1" applyFont="1" applyFill="1" applyBorder="1" applyAlignment="1">
      <alignment horizontal="center" vertical="center" wrapText="1"/>
    </xf>
    <xf numFmtId="1" fontId="10" fillId="0" borderId="7" xfId="0" applyNumberFormat="1" applyFont="1" applyBorder="1" applyAlignment="1">
      <alignment horizontal="center" vertical="center" wrapText="1"/>
    </xf>
    <xf numFmtId="1" fontId="10" fillId="7" borderId="18" xfId="0" applyNumberFormat="1" applyFont="1" applyFill="1" applyBorder="1" applyAlignment="1">
      <alignment horizontal="center" vertical="center" wrapText="1"/>
    </xf>
    <xf numFmtId="1" fontId="10" fillId="7" borderId="15" xfId="0" applyNumberFormat="1" applyFont="1" applyFill="1" applyBorder="1" applyAlignment="1">
      <alignment horizontal="center" vertical="center" wrapText="1"/>
    </xf>
    <xf numFmtId="1" fontId="10" fillId="7" borderId="27" xfId="0" applyNumberFormat="1" applyFont="1" applyFill="1" applyBorder="1" applyAlignment="1">
      <alignment horizontal="center" vertical="center" wrapText="1"/>
    </xf>
    <xf numFmtId="1" fontId="10" fillId="7" borderId="36" xfId="0" applyNumberFormat="1" applyFont="1" applyFill="1" applyBorder="1" applyAlignment="1">
      <alignment horizontal="center" vertical="center" wrapText="1"/>
    </xf>
    <xf numFmtId="1" fontId="10" fillId="0" borderId="129" xfId="0" applyNumberFormat="1" applyFont="1" applyBorder="1" applyAlignment="1">
      <alignment horizontal="center" vertical="center" wrapText="1"/>
    </xf>
    <xf numFmtId="1" fontId="10" fillId="0" borderId="130" xfId="0" applyNumberFormat="1" applyFont="1" applyBorder="1" applyAlignment="1">
      <alignment horizontal="center" vertical="center" wrapText="1"/>
    </xf>
    <xf numFmtId="1" fontId="10" fillId="0" borderId="16" xfId="0" applyNumberFormat="1" applyFont="1" applyBorder="1" applyAlignment="1">
      <alignment horizontal="center" vertical="center" wrapText="1"/>
    </xf>
    <xf numFmtId="1" fontId="10" fillId="0" borderId="37" xfId="0" applyNumberFormat="1" applyFont="1" applyBorder="1" applyAlignment="1">
      <alignment horizontal="left" vertical="center" wrapText="1"/>
    </xf>
    <xf numFmtId="1" fontId="10" fillId="0" borderId="99" xfId="0" applyNumberFormat="1" applyFont="1" applyBorder="1" applyAlignment="1">
      <alignment horizontal="left" vertical="center" wrapText="1"/>
    </xf>
    <xf numFmtId="1" fontId="10" fillId="0" borderId="86" xfId="0" applyNumberFormat="1" applyFont="1" applyBorder="1" applyAlignment="1">
      <alignment horizontal="left" vertical="center" wrapText="1"/>
    </xf>
    <xf numFmtId="1" fontId="10" fillId="0" borderId="134" xfId="0" applyNumberFormat="1" applyFont="1" applyBorder="1" applyAlignment="1">
      <alignment horizontal="center" vertical="center" wrapText="1"/>
    </xf>
    <xf numFmtId="1" fontId="10" fillId="0" borderId="135" xfId="0" applyNumberFormat="1" applyFont="1" applyBorder="1" applyAlignment="1">
      <alignment horizontal="center" vertical="center" wrapText="1"/>
    </xf>
    <xf numFmtId="1" fontId="10" fillId="0" borderId="141" xfId="0" applyNumberFormat="1" applyFont="1" applyBorder="1" applyAlignment="1">
      <alignment horizontal="center" vertical="center" wrapText="1"/>
    </xf>
    <xf numFmtId="1" fontId="10" fillId="0" borderId="133" xfId="0" applyNumberFormat="1" applyFont="1" applyBorder="1" applyAlignment="1">
      <alignment horizontal="center" vertical="center" wrapText="1"/>
    </xf>
    <xf numFmtId="1" fontId="10" fillId="0" borderId="8" xfId="41" applyNumberFormat="1" applyFont="1" applyBorder="1" applyAlignment="1" applyProtection="1">
      <alignment horizontal="center" vertical="center" wrapText="1"/>
      <protection hidden="1"/>
    </xf>
    <xf numFmtId="0" fontId="10" fillId="0" borderId="21" xfId="41" applyFont="1" applyBorder="1" applyAlignment="1" applyProtection="1">
      <alignment horizontal="center" vertical="center" wrapText="1"/>
    </xf>
    <xf numFmtId="0" fontId="10" fillId="0" borderId="123" xfId="41" applyFont="1" applyBorder="1" applyAlignment="1" applyProtection="1">
      <alignment horizontal="center" vertical="center" wrapText="1"/>
    </xf>
    <xf numFmtId="0" fontId="10" fillId="0" borderId="30" xfId="41" applyFont="1" applyBorder="1" applyAlignment="1" applyProtection="1">
      <alignment horizontal="center" vertical="center" wrapText="1"/>
    </xf>
    <xf numFmtId="1" fontId="10" fillId="0" borderId="19" xfId="0" applyNumberFormat="1" applyFont="1" applyBorder="1" applyAlignment="1">
      <alignment horizontal="center" vertical="center" wrapText="1"/>
    </xf>
    <xf numFmtId="1" fontId="10" fillId="0" borderId="6" xfId="41" applyNumberFormat="1" applyFont="1" applyBorder="1" applyAlignment="1" applyProtection="1">
      <alignment horizontal="center" vertical="center" wrapText="1"/>
    </xf>
    <xf numFmtId="1" fontId="10" fillId="0" borderId="144" xfId="41" applyNumberFormat="1" applyFont="1" applyBorder="1" applyAlignment="1" applyProtection="1">
      <alignment horizontal="center" vertical="center" wrapText="1"/>
      <protection hidden="1"/>
    </xf>
    <xf numFmtId="1" fontId="10" fillId="0" borderId="145" xfId="41" applyNumberFormat="1" applyFont="1" applyBorder="1" applyAlignment="1" applyProtection="1">
      <alignment horizontal="center" vertical="center" wrapText="1"/>
      <protection hidden="1"/>
    </xf>
    <xf numFmtId="1" fontId="10" fillId="0" borderId="146" xfId="41" applyNumberFormat="1" applyFont="1" applyBorder="1" applyAlignment="1" applyProtection="1">
      <alignment horizontal="center" vertical="center" wrapText="1"/>
      <protection hidden="1"/>
    </xf>
    <xf numFmtId="0" fontId="10" fillId="0" borderId="147" xfId="41" applyFont="1" applyBorder="1" applyAlignment="1" applyProtection="1">
      <alignment horizontal="center" vertical="center" wrapText="1"/>
    </xf>
    <xf numFmtId="0" fontId="10" fillId="0" borderId="79" xfId="41" applyFont="1" applyBorder="1" applyAlignment="1" applyProtection="1">
      <alignment horizontal="center" vertical="center" wrapText="1"/>
    </xf>
    <xf numFmtId="0" fontId="10" fillId="0" borderId="60" xfId="41" applyFont="1" applyBorder="1" applyAlignment="1" applyProtection="1">
      <alignment horizontal="center" vertical="center" wrapText="1"/>
    </xf>
    <xf numFmtId="1" fontId="10" fillId="0" borderId="148" xfId="41" applyNumberFormat="1" applyFont="1" applyBorder="1" applyAlignment="1" applyProtection="1">
      <alignment horizontal="center" vertical="center" wrapText="1"/>
    </xf>
    <xf numFmtId="1" fontId="10" fillId="0" borderId="150" xfId="41" applyNumberFormat="1" applyFont="1" applyBorder="1" applyAlignment="1" applyProtection="1">
      <alignment horizontal="center" vertical="center" wrapText="1"/>
    </xf>
    <xf numFmtId="1" fontId="10" fillId="0" borderId="27" xfId="41" applyNumberFormat="1" applyFont="1" applyBorder="1" applyAlignment="1" applyProtection="1">
      <alignment horizontal="center" vertical="center" wrapText="1"/>
    </xf>
    <xf numFmtId="1" fontId="10" fillId="0" borderId="151" xfId="41" applyNumberFormat="1" applyFont="1" applyBorder="1" applyAlignment="1" applyProtection="1">
      <alignment horizontal="center" vertical="center" wrapText="1"/>
    </xf>
    <xf numFmtId="1" fontId="10" fillId="0" borderId="2" xfId="41" applyNumberFormat="1" applyFont="1" applyBorder="1" applyAlignment="1" applyProtection="1">
      <alignment horizontal="center" vertical="center" wrapText="1"/>
    </xf>
    <xf numFmtId="1" fontId="10" fillId="0" borderId="6" xfId="41" applyNumberFormat="1" applyFont="1" applyBorder="1" applyAlignment="1" applyProtection="1">
      <alignment horizontal="center" vertical="center" wrapText="1"/>
      <protection hidden="1"/>
    </xf>
    <xf numFmtId="1" fontId="10" fillId="0" borderId="149" xfId="41" applyNumberFormat="1" applyFont="1" applyBorder="1" applyAlignment="1" applyProtection="1">
      <alignment horizontal="center" vertical="center" wrapText="1"/>
      <protection hidden="1"/>
    </xf>
    <xf numFmtId="1" fontId="10" fillId="0" borderId="20" xfId="0" applyNumberFormat="1" applyFont="1" applyBorder="1" applyAlignment="1">
      <alignment horizontal="center" vertical="center"/>
    </xf>
    <xf numFmtId="1" fontId="10" fillId="0" borderId="18" xfId="41" applyNumberFormat="1" applyFont="1" applyBorder="1" applyAlignment="1" applyProtection="1">
      <alignment horizontal="center" vertical="center" wrapText="1"/>
    </xf>
    <xf numFmtId="1" fontId="10" fillId="0" borderId="19" xfId="41" applyNumberFormat="1" applyFont="1" applyBorder="1" applyAlignment="1" applyProtection="1">
      <alignment horizontal="center" vertical="center" wrapText="1"/>
    </xf>
    <xf numFmtId="1" fontId="10" fillId="0" borderId="15" xfId="41" applyNumberFormat="1" applyFont="1" applyBorder="1" applyAlignment="1" applyProtection="1">
      <alignment horizontal="center" vertical="center" wrapText="1"/>
    </xf>
    <xf numFmtId="1" fontId="12" fillId="7" borderId="8" xfId="0" applyNumberFormat="1" applyFont="1" applyFill="1" applyBorder="1" applyAlignment="1">
      <alignment horizontal="left"/>
    </xf>
    <xf numFmtId="1" fontId="12" fillId="0" borderId="8" xfId="0" applyNumberFormat="1" applyFont="1" applyBorder="1" applyAlignment="1">
      <alignment horizontal="left"/>
    </xf>
    <xf numFmtId="1" fontId="12" fillId="0" borderId="106" xfId="0" applyNumberFormat="1" applyFont="1" applyBorder="1" applyAlignment="1">
      <alignment horizontal="left"/>
    </xf>
    <xf numFmtId="1" fontId="10" fillId="0" borderId="36" xfId="41" applyNumberFormat="1" applyFont="1" applyBorder="1" applyAlignment="1" applyProtection="1">
      <alignment horizontal="center" vertical="center" wrapText="1"/>
    </xf>
    <xf numFmtId="1" fontId="10" fillId="0" borderId="20" xfId="41" applyNumberFormat="1" applyFont="1" applyBorder="1" applyAlignment="1" applyProtection="1">
      <alignment horizontal="center" vertical="center" wrapText="1"/>
      <protection hidden="1"/>
    </xf>
    <xf numFmtId="1" fontId="12" fillId="0" borderId="14" xfId="41" applyNumberFormat="1" applyFont="1" applyBorder="1" applyAlignment="1" applyProtection="1">
      <alignment horizontal="left" wrapText="1"/>
    </xf>
    <xf numFmtId="1" fontId="12" fillId="0" borderId="0" xfId="41" applyNumberFormat="1" applyFont="1" applyAlignment="1" applyProtection="1">
      <alignment horizontal="left" wrapText="1"/>
    </xf>
    <xf numFmtId="1" fontId="12" fillId="0" borderId="9" xfId="41" applyNumberFormat="1" applyFont="1" applyBorder="1" applyAlignment="1" applyProtection="1">
      <alignment horizontal="left" wrapText="1"/>
    </xf>
    <xf numFmtId="0" fontId="10" fillId="0" borderId="158" xfId="41" applyFont="1" applyBorder="1" applyAlignment="1" applyProtection="1">
      <alignment horizontal="center" vertical="center" wrapText="1"/>
    </xf>
    <xf numFmtId="0" fontId="10" fillId="0" borderId="74" xfId="41" applyFont="1" applyBorder="1" applyAlignment="1" applyProtection="1">
      <alignment horizontal="center" vertical="center" wrapText="1"/>
    </xf>
    <xf numFmtId="0" fontId="10" fillId="0" borderId="76" xfId="41" applyFont="1" applyBorder="1" applyAlignment="1" applyProtection="1">
      <alignment horizontal="center" vertical="center" wrapText="1"/>
    </xf>
    <xf numFmtId="0" fontId="10" fillId="0" borderId="27" xfId="41" applyFont="1" applyBorder="1" applyAlignment="1" applyProtection="1">
      <alignment horizontal="center" wrapText="1"/>
    </xf>
    <xf numFmtId="0" fontId="10" fillId="0" borderId="50" xfId="41" applyFont="1" applyBorder="1" applyAlignment="1" applyProtection="1">
      <alignment horizontal="center" wrapText="1"/>
    </xf>
    <xf numFmtId="0" fontId="10" fillId="0" borderId="36" xfId="41" applyFont="1" applyBorder="1" applyAlignment="1" applyProtection="1">
      <alignment horizontal="center" wrapText="1"/>
    </xf>
    <xf numFmtId="1" fontId="27" fillId="7" borderId="0" xfId="0" applyNumberFormat="1" applyFont="1" applyFill="1" applyAlignment="1">
      <alignment horizontal="center" vertical="center" wrapText="1"/>
    </xf>
    <xf numFmtId="1" fontId="29" fillId="7" borderId="18" xfId="0" applyNumberFormat="1" applyFont="1" applyFill="1" applyBorder="1" applyAlignment="1">
      <alignment horizontal="center" vertical="center" wrapText="1"/>
    </xf>
    <xf numFmtId="1" fontId="29" fillId="7" borderId="15" xfId="0" applyNumberFormat="1" applyFont="1" applyFill="1" applyBorder="1" applyAlignment="1">
      <alignment horizontal="center" vertical="center" wrapText="1"/>
    </xf>
    <xf numFmtId="1" fontId="29" fillId="0" borderId="6" xfId="0" applyNumberFormat="1" applyFont="1" applyBorder="1" applyAlignment="1">
      <alignment horizontal="center" vertical="center"/>
    </xf>
    <xf numFmtId="1" fontId="29" fillId="0" borderId="8" xfId="0" applyNumberFormat="1" applyFont="1" applyBorder="1" applyAlignment="1">
      <alignment horizontal="center" vertical="center"/>
    </xf>
    <xf numFmtId="1" fontId="29" fillId="0" borderId="7" xfId="0" applyNumberFormat="1" applyFont="1" applyBorder="1" applyAlignment="1">
      <alignment horizontal="center" vertical="center"/>
    </xf>
    <xf numFmtId="1" fontId="29" fillId="0" borderId="6" xfId="0" applyNumberFormat="1" applyFont="1" applyBorder="1" applyAlignment="1">
      <alignment horizontal="center" vertical="center" wrapText="1"/>
    </xf>
    <xf numFmtId="1" fontId="29" fillId="0" borderId="7" xfId="0" applyNumberFormat="1" applyFont="1" applyBorder="1"/>
    <xf numFmtId="1" fontId="29" fillId="0" borderId="7" xfId="0" applyNumberFormat="1" applyFont="1" applyBorder="1" applyAlignment="1">
      <alignment horizontal="center" vertical="center" wrapText="1"/>
    </xf>
    <xf numFmtId="1" fontId="31" fillId="7" borderId="14" xfId="0" applyNumberFormat="1" applyFont="1" applyFill="1" applyBorder="1" applyAlignment="1">
      <alignment horizontal="left"/>
    </xf>
    <xf numFmtId="1" fontId="29" fillId="0" borderId="129" xfId="0" applyNumberFormat="1" applyFont="1" applyBorder="1" applyAlignment="1">
      <alignment horizontal="center" vertical="center" wrapText="1"/>
    </xf>
    <xf numFmtId="1" fontId="29" fillId="0" borderId="130" xfId="0" applyNumberFormat="1" applyFont="1" applyBorder="1" applyAlignment="1">
      <alignment horizontal="center" vertical="center" wrapText="1"/>
    </xf>
    <xf numFmtId="1" fontId="29" fillId="0" borderId="20" xfId="0" applyNumberFormat="1" applyFont="1" applyBorder="1" applyAlignment="1">
      <alignment horizontal="center" vertical="center" wrapText="1"/>
    </xf>
    <xf numFmtId="1" fontId="31" fillId="7" borderId="8" xfId="0" applyNumberFormat="1" applyFont="1" applyFill="1" applyBorder="1" applyAlignment="1">
      <alignment horizontal="left"/>
    </xf>
    <xf numFmtId="1" fontId="29" fillId="0" borderId="18" xfId="0" applyNumberFormat="1" applyFont="1" applyBorder="1" applyAlignment="1">
      <alignment horizontal="center" vertical="center" wrapText="1"/>
    </xf>
    <xf numFmtId="1" fontId="29" fillId="0" borderId="15" xfId="0" applyNumberFormat="1" applyFont="1" applyBorder="1" applyAlignment="1">
      <alignment horizontal="center" vertical="center" wrapText="1"/>
    </xf>
    <xf numFmtId="1" fontId="10" fillId="11" borderId="129" xfId="0" applyNumberFormat="1" applyFont="1" applyFill="1" applyBorder="1" applyAlignment="1">
      <alignment horizontal="center" vertical="center" wrapText="1"/>
    </xf>
    <xf numFmtId="1" fontId="10" fillId="11" borderId="141" xfId="0" applyNumberFormat="1" applyFont="1" applyFill="1" applyBorder="1" applyAlignment="1">
      <alignment horizontal="center" vertical="center" wrapText="1"/>
    </xf>
    <xf numFmtId="1" fontId="10" fillId="11" borderId="130" xfId="0" applyNumberFormat="1" applyFont="1" applyFill="1" applyBorder="1" applyAlignment="1">
      <alignment horizontal="center" vertical="center" wrapText="1"/>
    </xf>
    <xf numFmtId="1" fontId="10" fillId="11" borderId="18" xfId="0" applyNumberFormat="1" applyFont="1" applyFill="1" applyBorder="1" applyAlignment="1">
      <alignment horizontal="center" vertical="center" wrapText="1"/>
    </xf>
    <xf numFmtId="1" fontId="10" fillId="11" borderId="19" xfId="0" applyNumberFormat="1" applyFont="1" applyFill="1" applyBorder="1" applyAlignment="1">
      <alignment horizontal="center" vertical="center" wrapText="1"/>
    </xf>
    <xf numFmtId="1" fontId="10" fillId="11" borderId="15" xfId="0" applyNumberFormat="1" applyFont="1" applyFill="1" applyBorder="1" applyAlignment="1">
      <alignment horizontal="center" vertical="center" wrapText="1"/>
    </xf>
    <xf numFmtId="1" fontId="10" fillId="0" borderId="6" xfId="0" applyNumberFormat="1" applyFont="1" applyBorder="1" applyAlignment="1">
      <alignment horizontal="left" vertical="center" wrapText="1"/>
    </xf>
    <xf numFmtId="1" fontId="10" fillId="0" borderId="7" xfId="0" applyNumberFormat="1" applyFont="1" applyBorder="1" applyAlignment="1">
      <alignment horizontal="left" vertical="center" wrapText="1"/>
    </xf>
    <xf numFmtId="1" fontId="10" fillId="0" borderId="13" xfId="0" applyNumberFormat="1" applyFont="1" applyBorder="1" applyAlignment="1">
      <alignment horizontal="left" vertical="center" wrapText="1"/>
    </xf>
    <xf numFmtId="1" fontId="10" fillId="0" borderId="108" xfId="0" applyNumberFormat="1" applyFont="1" applyBorder="1" applyAlignment="1">
      <alignment horizontal="left" wrapText="1"/>
    </xf>
    <xf numFmtId="1" fontId="10" fillId="0" borderId="27" xfId="0" applyNumberFormat="1" applyFont="1" applyBorder="1" applyAlignment="1">
      <alignment horizontal="left" wrapText="1"/>
    </xf>
    <xf numFmtId="1" fontId="10" fillId="0" borderId="14" xfId="0" applyNumberFormat="1" applyFont="1" applyBorder="1" applyAlignment="1">
      <alignment horizontal="center" vertical="center" wrapText="1"/>
    </xf>
    <xf numFmtId="1" fontId="10" fillId="0" borderId="86" xfId="0" applyNumberFormat="1" applyFont="1" applyBorder="1" applyAlignment="1">
      <alignment horizontal="left" wrapText="1"/>
    </xf>
    <xf numFmtId="1" fontId="10" fillId="0" borderId="123" xfId="0" applyNumberFormat="1" applyFont="1" applyBorder="1" applyAlignment="1">
      <alignment horizontal="center" vertical="center" wrapText="1"/>
    </xf>
    <xf numFmtId="1" fontId="10" fillId="0" borderId="177" xfId="0" applyNumberFormat="1" applyFont="1" applyBorder="1" applyAlignment="1">
      <alignment horizontal="center" vertical="center" wrapText="1"/>
    </xf>
    <xf numFmtId="1" fontId="10" fillId="0" borderId="122" xfId="0" applyNumberFormat="1" applyFont="1" applyBorder="1" applyAlignment="1">
      <alignment horizontal="center" vertical="center" wrapText="1"/>
    </xf>
    <xf numFmtId="1" fontId="10" fillId="0" borderId="17" xfId="0" applyNumberFormat="1" applyFont="1" applyBorder="1" applyAlignment="1">
      <alignment horizontal="center" vertical="center" wrapText="1"/>
    </xf>
    <xf numFmtId="1" fontId="10" fillId="0" borderId="2" xfId="0" applyNumberFormat="1" applyFont="1" applyBorder="1" applyAlignment="1">
      <alignment horizontal="left" vertical="center" wrapText="1"/>
    </xf>
    <xf numFmtId="1" fontId="10" fillId="0" borderId="27" xfId="0" applyNumberFormat="1" applyFont="1" applyBorder="1" applyAlignment="1">
      <alignment horizontal="left" vertical="center" wrapText="1"/>
    </xf>
    <xf numFmtId="1" fontId="10" fillId="0" borderId="36" xfId="0" applyNumberFormat="1" applyFont="1" applyBorder="1" applyAlignment="1">
      <alignment horizontal="left" vertical="center" wrapText="1"/>
    </xf>
    <xf numFmtId="1" fontId="27" fillId="7" borderId="160" xfId="0" applyNumberFormat="1" applyFont="1" applyFill="1" applyBorder="1" applyAlignment="1">
      <alignment horizontal="center" vertical="center" wrapText="1"/>
    </xf>
    <xf numFmtId="1" fontId="10" fillId="0" borderId="51" xfId="0" applyNumberFormat="1" applyFont="1" applyBorder="1" applyAlignment="1">
      <alignment horizontal="left" wrapText="1"/>
    </xf>
    <xf numFmtId="1" fontId="10" fillId="0" borderId="2" xfId="0" applyNumberFormat="1" applyFont="1" applyBorder="1" applyAlignment="1">
      <alignment horizontal="left" wrapText="1"/>
    </xf>
    <xf numFmtId="1" fontId="10" fillId="0" borderId="138" xfId="0" applyNumberFormat="1" applyFont="1" applyBorder="1" applyAlignment="1">
      <alignment horizontal="left"/>
    </xf>
    <xf numFmtId="1" fontId="10" fillId="0" borderId="98" xfId="0" applyNumberFormat="1" applyFont="1" applyBorder="1" applyAlignment="1">
      <alignment horizontal="left"/>
    </xf>
    <xf numFmtId="1" fontId="10" fillId="0" borderId="140" xfId="0" applyNumberFormat="1" applyFont="1" applyBorder="1" applyAlignment="1">
      <alignment horizontal="left"/>
    </xf>
    <xf numFmtId="1" fontId="10" fillId="0" borderId="103" xfId="0" applyNumberFormat="1" applyFont="1" applyBorder="1" applyAlignment="1">
      <alignment horizontal="left"/>
    </xf>
    <xf numFmtId="1" fontId="10" fillId="0" borderId="186" xfId="0" applyNumberFormat="1" applyFont="1" applyBorder="1" applyAlignment="1">
      <alignment horizontal="center" vertical="center" wrapText="1"/>
    </xf>
    <xf numFmtId="1" fontId="10" fillId="0" borderId="187" xfId="0" applyNumberFormat="1" applyFont="1" applyBorder="1" applyAlignment="1">
      <alignment horizontal="center" vertical="center" wrapText="1"/>
    </xf>
    <xf numFmtId="1" fontId="10" fillId="0" borderId="0" xfId="0" applyNumberFormat="1" applyFont="1" applyAlignment="1">
      <alignment horizontal="left"/>
    </xf>
    <xf numFmtId="1" fontId="10" fillId="0" borderId="50" xfId="0" applyNumberFormat="1" applyFont="1" applyBorder="1" applyAlignment="1">
      <alignment horizontal="left"/>
    </xf>
    <xf numFmtId="1" fontId="10" fillId="0" borderId="61" xfId="0" applyNumberFormat="1" applyFont="1" applyBorder="1" applyAlignment="1">
      <alignment horizontal="left"/>
    </xf>
    <xf numFmtId="1" fontId="10" fillId="0" borderId="62" xfId="0" applyNumberFormat="1" applyFont="1" applyBorder="1" applyAlignment="1">
      <alignment horizontal="left"/>
    </xf>
    <xf numFmtId="1" fontId="12" fillId="7" borderId="0" xfId="0" applyNumberFormat="1" applyFont="1" applyFill="1" applyAlignment="1">
      <alignment wrapText="1"/>
    </xf>
    <xf numFmtId="1" fontId="12" fillId="7" borderId="0" xfId="0" applyNumberFormat="1" applyFont="1" applyFill="1" applyAlignment="1">
      <alignment horizontal="left" wrapText="1"/>
    </xf>
    <xf numFmtId="1" fontId="10" fillId="0" borderId="90" xfId="0" applyNumberFormat="1" applyFont="1" applyBorder="1" applyAlignment="1">
      <alignment horizontal="center" vertical="center"/>
    </xf>
    <xf numFmtId="1" fontId="10" fillId="0" borderId="182" xfId="0" applyNumberFormat="1" applyFont="1" applyBorder="1" applyAlignment="1">
      <alignment horizontal="center" vertical="center"/>
    </xf>
    <xf numFmtId="1" fontId="10" fillId="0" borderId="83" xfId="0" applyNumberFormat="1" applyFont="1" applyBorder="1" applyAlignment="1">
      <alignment horizontal="center" vertical="center"/>
    </xf>
    <xf numFmtId="1" fontId="10" fillId="0" borderId="50" xfId="0" applyNumberFormat="1" applyFont="1" applyBorder="1" applyAlignment="1">
      <alignment horizontal="center" vertical="center"/>
    </xf>
    <xf numFmtId="1" fontId="10" fillId="0" borderId="35" xfId="0" applyNumberFormat="1" applyFont="1" applyBorder="1" applyAlignment="1">
      <alignment horizontal="center" vertical="center"/>
    </xf>
    <xf numFmtId="1" fontId="10" fillId="0" borderId="36" xfId="0" applyNumberFormat="1" applyFont="1" applyBorder="1" applyAlignment="1">
      <alignment horizontal="center" vertical="center"/>
    </xf>
    <xf numFmtId="1" fontId="10" fillId="0" borderId="183" xfId="0" applyNumberFormat="1" applyFont="1" applyBorder="1" applyAlignment="1">
      <alignment horizontal="center" vertical="center" wrapText="1"/>
    </xf>
    <xf numFmtId="1" fontId="10" fillId="0" borderId="184" xfId="0" applyNumberFormat="1" applyFont="1" applyBorder="1" applyAlignment="1">
      <alignment horizontal="center" vertical="center" wrapText="1"/>
    </xf>
    <xf numFmtId="1" fontId="10" fillId="0" borderId="182" xfId="0" applyNumberFormat="1" applyFont="1" applyBorder="1" applyAlignment="1">
      <alignment horizontal="center" vertical="center" wrapText="1"/>
    </xf>
    <xf numFmtId="1" fontId="10" fillId="0" borderId="185" xfId="0" applyNumberFormat="1" applyFont="1" applyBorder="1" applyAlignment="1">
      <alignment horizontal="center" vertical="center"/>
    </xf>
    <xf numFmtId="1" fontId="10" fillId="0" borderId="186" xfId="0" applyNumberFormat="1" applyFont="1" applyBorder="1" applyAlignment="1">
      <alignment horizontal="center" vertical="center"/>
    </xf>
    <xf numFmtId="1" fontId="10" fillId="0" borderId="187" xfId="0" applyNumberFormat="1" applyFont="1" applyBorder="1" applyAlignment="1">
      <alignment horizontal="center" vertical="center"/>
    </xf>
    <xf numFmtId="1" fontId="10" fillId="0" borderId="185" xfId="0" applyNumberFormat="1" applyFont="1" applyBorder="1" applyAlignment="1">
      <alignment horizontal="center" vertical="center" wrapText="1"/>
    </xf>
    <xf numFmtId="1" fontId="10" fillId="0" borderId="195" xfId="0" applyNumberFormat="1" applyFont="1" applyBorder="1" applyAlignment="1">
      <alignment horizontal="left" vertical="center"/>
    </xf>
    <xf numFmtId="1" fontId="10" fillId="0" borderId="37" xfId="0" applyNumberFormat="1" applyFont="1" applyBorder="1" applyAlignment="1">
      <alignment horizontal="left" vertical="center"/>
    </xf>
    <xf numFmtId="1" fontId="10" fillId="0" borderId="196" xfId="0" applyNumberFormat="1" applyFont="1" applyBorder="1" applyAlignment="1">
      <alignment horizontal="left" vertical="center"/>
    </xf>
    <xf numFmtId="1" fontId="10" fillId="0" borderId="99" xfId="0" applyNumberFormat="1" applyFont="1" applyBorder="1" applyAlignment="1">
      <alignment horizontal="left" vertical="center"/>
    </xf>
    <xf numFmtId="1" fontId="10" fillId="0" borderId="198" xfId="0" applyNumberFormat="1" applyFont="1" applyBorder="1" applyAlignment="1">
      <alignment horizontal="left" vertical="center"/>
    </xf>
    <xf numFmtId="0" fontId="22" fillId="0" borderId="103" xfId="0" applyFont="1" applyBorder="1" applyAlignment="1">
      <alignment horizontal="left" vertical="center"/>
    </xf>
    <xf numFmtId="1" fontId="10" fillId="11" borderId="6" xfId="0" applyNumberFormat="1" applyFont="1" applyFill="1" applyBorder="1" applyAlignment="1">
      <alignment horizontal="center" vertical="center" wrapText="1"/>
    </xf>
    <xf numFmtId="1" fontId="10" fillId="11" borderId="20" xfId="0" applyNumberFormat="1" applyFont="1" applyFill="1" applyBorder="1" applyAlignment="1">
      <alignment horizontal="center" vertical="center" wrapText="1"/>
    </xf>
    <xf numFmtId="1" fontId="10" fillId="0" borderId="9" xfId="0" applyNumberFormat="1" applyFont="1" applyBorder="1" applyAlignment="1">
      <alignment horizontal="center" vertical="center"/>
    </xf>
    <xf numFmtId="1" fontId="10" fillId="15" borderId="13" xfId="0" applyNumberFormat="1" applyFont="1" applyFill="1" applyBorder="1" applyAlignment="1">
      <alignment horizontal="left" vertical="center" wrapText="1"/>
    </xf>
    <xf numFmtId="1" fontId="10" fillId="15" borderId="6" xfId="0" applyNumberFormat="1" applyFont="1" applyFill="1" applyBorder="1" applyAlignment="1">
      <alignment horizontal="center" vertical="center" wrapText="1"/>
    </xf>
    <xf numFmtId="1" fontId="10" fillId="15" borderId="7" xfId="0" applyNumberFormat="1" applyFont="1" applyFill="1" applyBorder="1" applyAlignment="1">
      <alignment horizontal="center" vertical="center" wrapText="1"/>
    </xf>
    <xf numFmtId="1" fontId="10" fillId="0" borderId="63" xfId="0" applyNumberFormat="1" applyFont="1" applyBorder="1" applyAlignment="1">
      <alignment horizontal="left" vertical="center" wrapText="1"/>
    </xf>
    <xf numFmtId="1" fontId="10" fillId="0" borderId="51" xfId="0" applyNumberFormat="1" applyFont="1" applyBorder="1" applyAlignment="1">
      <alignment horizontal="left" vertical="center" wrapText="1"/>
    </xf>
    <xf numFmtId="1" fontId="10" fillId="0" borderId="10" xfId="0" applyNumberFormat="1" applyFont="1" applyBorder="1" applyAlignment="1">
      <alignment horizontal="center" vertical="center" wrapText="1"/>
    </xf>
    <xf numFmtId="1" fontId="10" fillId="0" borderId="11" xfId="0" applyNumberFormat="1" applyFont="1" applyBorder="1" applyAlignment="1">
      <alignment horizontal="center" vertical="center" wrapText="1"/>
    </xf>
    <xf numFmtId="1" fontId="10" fillId="0" borderId="12" xfId="0" applyNumberFormat="1" applyFont="1" applyBorder="1" applyAlignment="1">
      <alignment horizontal="center" vertical="center" wrapText="1"/>
    </xf>
    <xf numFmtId="1" fontId="12" fillId="7" borderId="9" xfId="0" applyNumberFormat="1" applyFont="1" applyFill="1" applyBorder="1" applyAlignment="1">
      <alignment wrapText="1"/>
    </xf>
    <xf numFmtId="1" fontId="10" fillId="11" borderId="7" xfId="0" applyNumberFormat="1" applyFont="1" applyFill="1" applyBorder="1" applyAlignment="1">
      <alignment horizontal="center" vertical="center" wrapText="1"/>
    </xf>
    <xf numFmtId="1" fontId="10" fillId="11" borderId="8" xfId="0" applyNumberFormat="1" applyFont="1" applyFill="1" applyBorder="1" applyAlignment="1">
      <alignment horizontal="center" vertical="center" wrapText="1"/>
    </xf>
    <xf numFmtId="1" fontId="10" fillId="0" borderId="27" xfId="0" applyNumberFormat="1" applyFont="1" applyBorder="1" applyAlignment="1">
      <alignment horizontal="left" vertical="center"/>
    </xf>
    <xf numFmtId="1" fontId="10" fillId="0" borderId="50" xfId="0" applyNumberFormat="1" applyFont="1" applyBorder="1" applyAlignment="1">
      <alignment horizontal="left" vertical="center"/>
    </xf>
    <xf numFmtId="1" fontId="10" fillId="0" borderId="36" xfId="0" applyNumberFormat="1" applyFont="1" applyBorder="1" applyAlignment="1">
      <alignment horizontal="left" vertical="center"/>
    </xf>
    <xf numFmtId="1" fontId="10" fillId="0" borderId="89" xfId="0" applyNumberFormat="1" applyFont="1" applyBorder="1" applyAlignment="1">
      <alignment horizontal="left" vertical="center"/>
    </xf>
    <xf numFmtId="1" fontId="10" fillId="0" borderId="98" xfId="0" applyNumberFormat="1" applyFont="1" applyBorder="1" applyAlignment="1">
      <alignment horizontal="left" vertical="center"/>
    </xf>
    <xf numFmtId="1" fontId="10" fillId="0" borderId="13" xfId="0" applyNumberFormat="1" applyFont="1" applyBorder="1" applyAlignment="1">
      <alignment horizontal="left" vertical="center"/>
    </xf>
    <xf numFmtId="1" fontId="10" fillId="0" borderId="6" xfId="0" applyNumberFormat="1" applyFont="1" applyBorder="1" applyAlignment="1">
      <alignment horizontal="center" wrapText="1"/>
    </xf>
    <xf numFmtId="1" fontId="10" fillId="0" borderId="7" xfId="0" applyNumberFormat="1" applyFont="1" applyBorder="1" applyAlignment="1">
      <alignment horizontal="center" wrapText="1"/>
    </xf>
    <xf numFmtId="1" fontId="10" fillId="0" borderId="38" xfId="0" applyNumberFormat="1" applyFont="1" applyBorder="1" applyAlignment="1">
      <alignment horizontal="center" vertical="center" wrapText="1"/>
    </xf>
    <xf numFmtId="1" fontId="10" fillId="0" borderId="41" xfId="0" applyNumberFormat="1" applyFont="1" applyBorder="1" applyAlignment="1">
      <alignment horizontal="center" vertical="center" wrapText="1"/>
    </xf>
    <xf numFmtId="1" fontId="10" fillId="0" borderId="112" xfId="0" applyNumberFormat="1" applyFont="1" applyBorder="1" applyAlignment="1">
      <alignment horizontal="center" vertical="center" wrapText="1"/>
    </xf>
    <xf numFmtId="1" fontId="10" fillId="0" borderId="52" xfId="0" applyNumberFormat="1" applyFont="1" applyBorder="1" applyAlignment="1">
      <alignment horizontal="center" vertical="center" wrapText="1"/>
    </xf>
    <xf numFmtId="1" fontId="10" fillId="0" borderId="54" xfId="0" applyNumberFormat="1" applyFont="1" applyBorder="1" applyAlignment="1">
      <alignment horizontal="center" vertical="center" wrapText="1"/>
    </xf>
    <xf numFmtId="1" fontId="10" fillId="0" borderId="121" xfId="0" applyNumberFormat="1" applyFont="1" applyBorder="1" applyAlignment="1">
      <alignment horizontal="center" vertical="center" wrapText="1"/>
    </xf>
    <xf numFmtId="1" fontId="10" fillId="0" borderId="29" xfId="0" applyNumberFormat="1" applyFont="1" applyBorder="1" applyAlignment="1">
      <alignment horizontal="center" vertical="center" wrapText="1"/>
    </xf>
    <xf numFmtId="1" fontId="10" fillId="0" borderId="74" xfId="0" applyNumberFormat="1" applyFont="1" applyBorder="1" applyAlignment="1">
      <alignment horizontal="center" vertical="center" wrapText="1"/>
    </xf>
    <xf numFmtId="0" fontId="10" fillId="0" borderId="6" xfId="0" applyFont="1" applyBorder="1" applyAlignment="1">
      <alignment horizontal="center" vertical="center" wrapText="1"/>
    </xf>
    <xf numFmtId="0" fontId="10" fillId="0" borderId="8" xfId="0" applyFont="1" applyBorder="1" applyAlignment="1">
      <alignment horizontal="center" vertical="center" wrapText="1"/>
    </xf>
    <xf numFmtId="0" fontId="10" fillId="0" borderId="7" xfId="0" applyFont="1" applyBorder="1" applyAlignment="1">
      <alignment horizontal="center" vertical="center" wrapText="1"/>
    </xf>
    <xf numFmtId="1" fontId="10" fillId="0" borderId="129" xfId="37" applyNumberFormat="1" applyFont="1" applyBorder="1" applyAlignment="1" applyProtection="1">
      <alignment horizontal="center" vertical="center" wrapText="1"/>
      <protection locked="0"/>
    </xf>
    <xf numFmtId="1" fontId="10" fillId="0" borderId="27" xfId="37" applyNumberFormat="1" applyFont="1" applyBorder="1" applyAlignment="1" applyProtection="1">
      <alignment horizontal="center" vertical="center" wrapText="1"/>
      <protection locked="0"/>
    </xf>
    <xf numFmtId="1" fontId="10" fillId="0" borderId="130" xfId="37" applyNumberFormat="1" applyFont="1" applyBorder="1" applyAlignment="1" applyProtection="1">
      <alignment horizontal="center" vertical="center" wrapText="1"/>
      <protection locked="0"/>
    </xf>
    <xf numFmtId="1" fontId="10" fillId="0" borderId="36" xfId="37" applyNumberFormat="1" applyFont="1" applyBorder="1" applyAlignment="1" applyProtection="1">
      <alignment horizontal="center" vertical="center" wrapText="1"/>
      <protection locked="0"/>
    </xf>
    <xf numFmtId="1" fontId="10" fillId="0" borderId="9" xfId="37" applyNumberFormat="1" applyFont="1" applyBorder="1" applyAlignment="1" applyProtection="1">
      <alignment horizontal="center" vertical="center" wrapText="1"/>
      <protection locked="0"/>
    </xf>
    <xf numFmtId="1" fontId="10" fillId="0" borderId="14" xfId="37" applyNumberFormat="1" applyFont="1" applyBorder="1" applyAlignment="1" applyProtection="1">
      <alignment horizontal="center" vertical="center" wrapText="1"/>
      <protection locked="0"/>
    </xf>
    <xf numFmtId="1" fontId="10" fillId="0" borderId="108" xfId="37" applyNumberFormat="1" applyFont="1" applyBorder="1" applyAlignment="1" applyProtection="1">
      <alignment horizontal="center" vertical="center" wrapText="1"/>
      <protection locked="0"/>
    </xf>
    <xf numFmtId="1" fontId="10" fillId="0" borderId="13" xfId="37" applyNumberFormat="1" applyFont="1" applyBorder="1" applyAlignment="1" applyProtection="1">
      <alignment horizontal="center" vertical="center" wrapText="1"/>
      <protection locked="0"/>
    </xf>
    <xf numFmtId="1" fontId="10" fillId="0" borderId="16" xfId="37" applyNumberFormat="1" applyFont="1" applyBorder="1" applyAlignment="1" applyProtection="1">
      <alignment horizontal="center" vertical="center" wrapText="1"/>
      <protection locked="0"/>
    </xf>
    <xf numFmtId="1" fontId="10" fillId="0" borderId="18" xfId="37" applyNumberFormat="1" applyFont="1" applyBorder="1" applyAlignment="1" applyProtection="1">
      <alignment horizontal="center" vertical="center" wrapText="1"/>
      <protection locked="0"/>
    </xf>
    <xf numFmtId="1" fontId="10" fillId="0" borderId="19" xfId="37" applyNumberFormat="1" applyFont="1" applyBorder="1" applyAlignment="1" applyProtection="1">
      <alignment horizontal="center" vertical="center" wrapText="1"/>
      <protection locked="0"/>
    </xf>
    <xf numFmtId="1" fontId="10" fillId="0" borderId="15" xfId="37" applyNumberFormat="1" applyFont="1" applyBorder="1" applyAlignment="1" applyProtection="1">
      <alignment horizontal="center" vertical="center" wrapText="1"/>
      <protection locked="0"/>
    </xf>
    <xf numFmtId="1" fontId="10" fillId="0" borderId="16" xfId="37" applyNumberFormat="1" applyFont="1" applyBorder="1" applyAlignment="1">
      <alignment horizontal="center" vertical="center" wrapText="1"/>
    </xf>
    <xf numFmtId="1" fontId="10" fillId="0" borderId="36" xfId="37" applyNumberFormat="1" applyFont="1" applyBorder="1" applyAlignment="1">
      <alignment horizontal="center" vertical="center" wrapText="1"/>
    </xf>
    <xf numFmtId="1" fontId="10" fillId="0" borderId="28" xfId="0" applyNumberFormat="1" applyFont="1" applyBorder="1" applyAlignment="1">
      <alignment horizontal="center" vertical="center" wrapText="1"/>
    </xf>
    <xf numFmtId="1" fontId="10" fillId="0" borderId="108" xfId="37" applyNumberFormat="1" applyFont="1" applyBorder="1" applyAlignment="1">
      <alignment horizontal="center" vertical="center" wrapText="1"/>
    </xf>
    <xf numFmtId="1" fontId="10" fillId="0" borderId="27" xfId="37" applyNumberFormat="1" applyFont="1" applyBorder="1" applyAlignment="1">
      <alignment horizontal="center" vertical="center" wrapText="1"/>
    </xf>
    <xf numFmtId="1" fontId="10" fillId="0" borderId="13" xfId="37" applyNumberFormat="1" applyFont="1" applyBorder="1" applyAlignment="1">
      <alignment horizontal="center" vertical="center" wrapText="1"/>
    </xf>
    <xf numFmtId="1" fontId="10" fillId="0" borderId="50" xfId="37" applyNumberFormat="1" applyFont="1" applyBorder="1" applyAlignment="1">
      <alignment horizontal="center" vertical="center" wrapText="1"/>
    </xf>
    <xf numFmtId="1" fontId="10" fillId="0" borderId="108" xfId="38" applyNumberFormat="1" applyFont="1" applyBorder="1" applyAlignment="1">
      <alignment horizontal="center" vertical="center"/>
    </xf>
    <xf numFmtId="1" fontId="10" fillId="0" borderId="9" xfId="38" applyNumberFormat="1" applyFont="1" applyBorder="1" applyAlignment="1">
      <alignment horizontal="center" vertical="center"/>
    </xf>
    <xf numFmtId="1" fontId="10" fillId="0" borderId="27" xfId="38" applyNumberFormat="1" applyFont="1" applyBorder="1" applyAlignment="1">
      <alignment horizontal="center" vertical="center"/>
    </xf>
    <xf numFmtId="1" fontId="10" fillId="0" borderId="16" xfId="38" applyNumberFormat="1" applyFont="1" applyBorder="1" applyAlignment="1">
      <alignment horizontal="center" vertical="center"/>
    </xf>
    <xf numFmtId="1" fontId="10" fillId="0" borderId="14" xfId="38" applyNumberFormat="1" applyFont="1" applyBorder="1" applyAlignment="1">
      <alignment horizontal="center" vertical="center"/>
    </xf>
    <xf numFmtId="1" fontId="10" fillId="0" borderId="36" xfId="38" applyNumberFormat="1" applyFont="1" applyBorder="1" applyAlignment="1">
      <alignment horizontal="center" vertical="center"/>
    </xf>
    <xf numFmtId="1" fontId="10" fillId="0" borderId="2" xfId="37" quotePrefix="1" applyNumberFormat="1" applyFont="1" applyBorder="1" applyAlignment="1">
      <alignment horizontal="center" vertical="center" wrapText="1"/>
    </xf>
    <xf numFmtId="1" fontId="10" fillId="0" borderId="134" xfId="37" quotePrefix="1" applyNumberFormat="1" applyFont="1" applyBorder="1" applyAlignment="1">
      <alignment horizontal="center" vertical="center" wrapText="1"/>
    </xf>
    <xf numFmtId="1" fontId="10" fillId="0" borderId="2" xfId="37" applyNumberFormat="1" applyFont="1" applyBorder="1" applyAlignment="1">
      <alignment horizontal="center" vertical="center" wrapText="1"/>
    </xf>
    <xf numFmtId="1" fontId="10" fillId="0" borderId="18" xfId="37" applyNumberFormat="1" applyFont="1" applyBorder="1" applyAlignment="1">
      <alignment horizontal="left" vertical="center" wrapText="1"/>
    </xf>
    <xf numFmtId="1" fontId="10" fillId="0" borderId="15" xfId="37" applyNumberFormat="1" applyFont="1" applyBorder="1" applyAlignment="1">
      <alignment horizontal="left" vertical="center" wrapText="1"/>
    </xf>
    <xf numFmtId="1" fontId="10" fillId="0" borderId="16" xfId="37" applyNumberFormat="1" applyFont="1" applyBorder="1" applyAlignment="1">
      <alignment horizontal="center"/>
    </xf>
    <xf numFmtId="1" fontId="10" fillId="0" borderId="36" xfId="37" applyNumberFormat="1" applyFont="1" applyBorder="1" applyAlignment="1">
      <alignment horizontal="center"/>
    </xf>
    <xf numFmtId="0" fontId="10" fillId="0" borderId="2" xfId="0" applyFont="1" applyBorder="1" applyAlignment="1">
      <alignment horizontal="center" vertical="center" wrapText="1"/>
    </xf>
    <xf numFmtId="0" fontId="10" fillId="0" borderId="89" xfId="0" applyFont="1" applyBorder="1" applyAlignment="1">
      <alignment horizontal="left" vertical="center" wrapText="1"/>
    </xf>
    <xf numFmtId="0" fontId="10" fillId="0" borderId="138" xfId="0" applyFont="1" applyBorder="1" applyAlignment="1">
      <alignment horizontal="left" vertical="center" wrapText="1"/>
    </xf>
    <xf numFmtId="0" fontId="10" fillId="0" borderId="98" xfId="0" applyFont="1" applyBorder="1" applyAlignment="1">
      <alignment horizontal="left" vertical="center" wrapText="1"/>
    </xf>
    <xf numFmtId="0" fontId="10" fillId="0" borderId="19" xfId="0" applyFont="1" applyBorder="1" applyAlignment="1">
      <alignment horizontal="left" vertical="center" wrapText="1"/>
    </xf>
    <xf numFmtId="0" fontId="10" fillId="0" borderId="13" xfId="0" applyFont="1" applyBorder="1" applyAlignment="1">
      <alignment horizontal="left" vertical="center" wrapText="1"/>
    </xf>
    <xf numFmtId="0" fontId="10" fillId="0" borderId="50" xfId="0" applyFont="1" applyBorder="1" applyAlignment="1">
      <alignment horizontal="left" vertical="center" wrapText="1"/>
    </xf>
    <xf numFmtId="0" fontId="10" fillId="0" borderId="128" xfId="0" applyFont="1" applyBorder="1" applyAlignment="1">
      <alignment horizontal="left" vertical="center" wrapText="1"/>
    </xf>
    <xf numFmtId="0" fontId="10" fillId="0" borderId="103" xfId="0" applyFont="1" applyBorder="1" applyAlignment="1">
      <alignment horizontal="left" vertical="center" wrapText="1"/>
    </xf>
    <xf numFmtId="0" fontId="10" fillId="0" borderId="16" xfId="0" applyFont="1" applyBorder="1" applyAlignment="1">
      <alignment horizontal="left" vertical="center" wrapText="1"/>
    </xf>
    <xf numFmtId="0" fontId="10" fillId="0" borderId="36" xfId="0" applyFont="1" applyBorder="1" applyAlignment="1">
      <alignment horizontal="left" vertical="center" wrapText="1"/>
    </xf>
    <xf numFmtId="1" fontId="10" fillId="0" borderId="270" xfId="0" applyNumberFormat="1" applyFont="1" applyBorder="1" applyAlignment="1">
      <alignment horizontal="center" vertical="center" wrapText="1"/>
    </xf>
    <xf numFmtId="1" fontId="10" fillId="0" borderId="0" xfId="37" applyNumberFormat="1" applyFont="1" applyAlignment="1">
      <alignment horizontal="center" vertical="center" wrapText="1"/>
    </xf>
    <xf numFmtId="1" fontId="10" fillId="0" borderId="240" xfId="32" applyNumberFormat="1" applyFont="1" applyBorder="1" applyAlignment="1">
      <alignment horizontal="left" vertical="center"/>
    </xf>
    <xf numFmtId="1" fontId="10" fillId="0" borderId="241" xfId="32" applyNumberFormat="1" applyFont="1" applyBorder="1" applyAlignment="1">
      <alignment horizontal="left" vertical="center"/>
    </xf>
    <xf numFmtId="1" fontId="10" fillId="0" borderId="235" xfId="32" applyNumberFormat="1" applyFont="1" applyBorder="1" applyAlignment="1">
      <alignment horizontal="left" vertical="center"/>
    </xf>
    <xf numFmtId="1" fontId="10" fillId="0" borderId="236" xfId="32" applyNumberFormat="1" applyFont="1" applyBorder="1" applyAlignment="1">
      <alignment horizontal="left" vertical="center"/>
    </xf>
    <xf numFmtId="1" fontId="10" fillId="0" borderId="222" xfId="32" applyNumberFormat="1" applyFont="1" applyBorder="1" applyAlignment="1">
      <alignment horizontal="left" vertical="center" wrapText="1"/>
    </xf>
    <xf numFmtId="1" fontId="10" fillId="0" borderId="258" xfId="32" applyNumberFormat="1" applyFont="1" applyBorder="1" applyAlignment="1">
      <alignment horizontal="left" vertical="center" wrapText="1"/>
    </xf>
    <xf numFmtId="1" fontId="10" fillId="0" borderId="262" xfId="32" applyNumberFormat="1" applyFont="1" applyBorder="1" applyAlignment="1">
      <alignment horizontal="left" vertical="center" wrapText="1"/>
    </xf>
    <xf numFmtId="1" fontId="10" fillId="0" borderId="226" xfId="32" applyNumberFormat="1" applyFont="1" applyBorder="1" applyAlignment="1">
      <alignment horizontal="left" vertical="center"/>
    </xf>
    <xf numFmtId="1" fontId="10" fillId="0" borderId="227" xfId="32" applyNumberFormat="1" applyFont="1" applyBorder="1" applyAlignment="1">
      <alignment horizontal="left" vertical="center"/>
    </xf>
    <xf numFmtId="1" fontId="10" fillId="0" borderId="108" xfId="37" applyNumberFormat="1" applyFont="1" applyBorder="1" applyAlignment="1">
      <alignment horizontal="center" vertical="center"/>
    </xf>
    <xf numFmtId="1" fontId="10" fillId="0" borderId="16" xfId="37" applyNumberFormat="1" applyFont="1" applyBorder="1" applyAlignment="1">
      <alignment horizontal="center" vertical="center"/>
    </xf>
    <xf numFmtId="1" fontId="10" fillId="0" borderId="89" xfId="37" applyNumberFormat="1" applyFont="1" applyBorder="1" applyAlignment="1">
      <alignment horizontal="left" vertical="center" wrapText="1"/>
    </xf>
    <xf numFmtId="1" fontId="10" fillId="0" borderId="98" xfId="37" applyNumberFormat="1" applyFont="1" applyBorder="1" applyAlignment="1">
      <alignment horizontal="left" vertical="center" wrapText="1"/>
    </xf>
    <xf numFmtId="1" fontId="10" fillId="0" borderId="128" xfId="37" applyNumberFormat="1" applyFont="1" applyBorder="1" applyAlignment="1">
      <alignment horizontal="left" vertical="center" wrapText="1"/>
    </xf>
    <xf numFmtId="1" fontId="10" fillId="0" borderId="103" xfId="37" applyNumberFormat="1" applyFont="1" applyBorder="1" applyAlignment="1">
      <alignment horizontal="left" vertical="center" wrapText="1"/>
    </xf>
    <xf numFmtId="1" fontId="10" fillId="0" borderId="127" xfId="37" applyNumberFormat="1" applyFont="1" applyBorder="1" applyAlignment="1">
      <alignment horizontal="left" vertical="center" wrapText="1"/>
    </xf>
    <xf numFmtId="1" fontId="10" fillId="0" borderId="62" xfId="37" applyNumberFormat="1" applyFont="1" applyBorder="1" applyAlignment="1">
      <alignment horizontal="left" vertical="center" wrapText="1"/>
    </xf>
    <xf numFmtId="0" fontId="10" fillId="0" borderId="18" xfId="0" applyFont="1" applyBorder="1" applyAlignment="1">
      <alignment horizontal="left" vertical="center" wrapText="1"/>
    </xf>
    <xf numFmtId="0" fontId="10" fillId="0" borderId="15" xfId="0" applyFont="1" applyBorder="1" applyAlignment="1">
      <alignment horizontal="left" vertical="center" wrapText="1"/>
    </xf>
    <xf numFmtId="1" fontId="10" fillId="0" borderId="188" xfId="0" applyNumberFormat="1" applyFont="1" applyBorder="1" applyAlignment="1">
      <alignment horizontal="center" vertical="center" wrapText="1"/>
    </xf>
    <xf numFmtId="1" fontId="10" fillId="0" borderId="189" xfId="0" applyNumberFormat="1" applyFont="1" applyBorder="1" applyAlignment="1">
      <alignment horizontal="center" vertical="center" wrapText="1"/>
    </xf>
    <xf numFmtId="1" fontId="10" fillId="0" borderId="190" xfId="0" applyNumberFormat="1" applyFont="1" applyBorder="1" applyAlignment="1">
      <alignment horizontal="center" vertical="center" wrapText="1"/>
    </xf>
    <xf numFmtId="1" fontId="10" fillId="0" borderId="148" xfId="0" applyNumberFormat="1" applyFont="1" applyBorder="1" applyAlignment="1">
      <alignment horizontal="left" vertical="center" wrapText="1"/>
    </xf>
    <xf numFmtId="1" fontId="10" fillId="0" borderId="200" xfId="0" applyNumberFormat="1" applyFont="1" applyBorder="1" applyAlignment="1">
      <alignment horizontal="left" vertical="center" wrapText="1"/>
    </xf>
    <xf numFmtId="1" fontId="10" fillId="0" borderId="150" xfId="0" applyNumberFormat="1" applyFont="1" applyBorder="1" applyAlignment="1">
      <alignment horizontal="left" vertical="center" wrapText="1"/>
    </xf>
    <xf numFmtId="1" fontId="10" fillId="0" borderId="75" xfId="0" applyNumberFormat="1" applyFont="1" applyBorder="1" applyAlignment="1">
      <alignment horizontal="center" vertical="center" wrapText="1"/>
    </xf>
    <xf numFmtId="1" fontId="10" fillId="0" borderId="10" xfId="0" applyNumberFormat="1" applyFont="1" applyBorder="1" applyAlignment="1">
      <alignment horizontal="center" vertical="center"/>
    </xf>
    <xf numFmtId="1" fontId="10" fillId="0" borderId="11" xfId="0" applyNumberFormat="1" applyFont="1" applyBorder="1" applyAlignment="1">
      <alignment horizontal="center" vertical="center"/>
    </xf>
    <xf numFmtId="1" fontId="10" fillId="0" borderId="28" xfId="0" applyNumberFormat="1" applyFont="1" applyBorder="1" applyAlignment="1">
      <alignment horizontal="center" vertical="center"/>
    </xf>
    <xf numFmtId="1" fontId="10" fillId="0" borderId="76" xfId="0" applyNumberFormat="1" applyFont="1" applyBorder="1" applyAlignment="1">
      <alignment horizontal="center" vertical="center" wrapText="1"/>
    </xf>
    <xf numFmtId="1" fontId="10" fillId="0" borderId="92" xfId="0" applyNumberFormat="1" applyFont="1" applyBorder="1" applyAlignment="1">
      <alignment horizontal="center" vertical="center" wrapText="1"/>
    </xf>
    <xf numFmtId="1" fontId="10" fillId="0" borderId="136" xfId="0" applyNumberFormat="1" applyFont="1" applyBorder="1" applyAlignment="1">
      <alignment horizontal="center" vertical="center" wrapText="1"/>
    </xf>
    <xf numFmtId="1" fontId="10" fillId="0" borderId="6" xfId="0" applyNumberFormat="1" applyFont="1" applyBorder="1" applyAlignment="1">
      <alignment horizontal="left" wrapText="1"/>
    </xf>
    <xf numFmtId="1" fontId="10" fillId="0" borderId="7" xfId="0" applyNumberFormat="1" applyFont="1" applyBorder="1" applyAlignment="1">
      <alignment horizontal="left" wrapText="1"/>
    </xf>
    <xf numFmtId="1" fontId="10" fillId="0" borderId="89" xfId="0" applyNumberFormat="1" applyFont="1" applyBorder="1" applyAlignment="1">
      <alignment horizontal="left" vertical="center" wrapText="1"/>
    </xf>
    <xf numFmtId="1" fontId="10" fillId="0" borderId="98" xfId="0" applyNumberFormat="1" applyFont="1" applyBorder="1" applyAlignment="1">
      <alignment horizontal="left" vertical="center" wrapText="1"/>
    </xf>
    <xf numFmtId="1" fontId="10" fillId="0" borderId="128" xfId="0" applyNumberFormat="1" applyFont="1" applyBorder="1" applyAlignment="1">
      <alignment horizontal="left"/>
    </xf>
    <xf numFmtId="1" fontId="10" fillId="0" borderId="128" xfId="0" applyNumberFormat="1" applyFont="1" applyBorder="1" applyAlignment="1">
      <alignment horizontal="left" wrapText="1"/>
    </xf>
    <xf numFmtId="1" fontId="10" fillId="0" borderId="103" xfId="0" applyNumberFormat="1" applyFont="1" applyBorder="1" applyAlignment="1">
      <alignment horizontal="left" wrapText="1"/>
    </xf>
    <xf numFmtId="0" fontId="10" fillId="0" borderId="108" xfId="0" applyFont="1" applyBorder="1" applyAlignment="1">
      <alignment horizontal="center" vertical="center" wrapText="1"/>
    </xf>
    <xf numFmtId="0" fontId="10" fillId="0" borderId="9" xfId="0" applyFont="1" applyBorder="1" applyAlignment="1">
      <alignment horizontal="center" vertical="center" wrapText="1"/>
    </xf>
    <xf numFmtId="0" fontId="10" fillId="0" borderId="27" xfId="0" applyFont="1" applyBorder="1" applyAlignment="1">
      <alignment horizontal="center" vertical="center" wrapText="1"/>
    </xf>
    <xf numFmtId="0" fontId="10" fillId="0" borderId="16" xfId="0" applyFont="1" applyBorder="1" applyAlignment="1">
      <alignment horizontal="center" vertical="center" wrapText="1"/>
    </xf>
    <xf numFmtId="0" fontId="10" fillId="0" borderId="14" xfId="0" applyFont="1" applyBorder="1" applyAlignment="1">
      <alignment horizontal="center" vertical="center" wrapText="1"/>
    </xf>
    <xf numFmtId="0" fontId="10" fillId="0" borderId="36" xfId="0" applyFont="1" applyBorder="1" applyAlignment="1">
      <alignment horizontal="center" vertical="center" wrapText="1"/>
    </xf>
    <xf numFmtId="0" fontId="10" fillId="0" borderId="6" xfId="0" applyFont="1" applyBorder="1" applyAlignment="1">
      <alignment horizontal="center" wrapText="1"/>
    </xf>
    <xf numFmtId="0" fontId="10" fillId="0" borderId="20" xfId="0" applyFont="1" applyBorder="1" applyAlignment="1">
      <alignment horizontal="center" wrapText="1"/>
    </xf>
    <xf numFmtId="0" fontId="10" fillId="0" borderId="129" xfId="0" applyFont="1" applyBorder="1" applyAlignment="1">
      <alignment horizontal="center" vertical="center" wrapText="1"/>
    </xf>
    <xf numFmtId="0" fontId="10" fillId="0" borderId="130" xfId="0" applyFont="1" applyBorder="1" applyAlignment="1">
      <alignment horizontal="center" vertical="center" wrapText="1"/>
    </xf>
    <xf numFmtId="0" fontId="10" fillId="0" borderId="18" xfId="0" applyFont="1" applyBorder="1" applyAlignment="1">
      <alignment horizontal="center" vertical="center" wrapText="1"/>
    </xf>
    <xf numFmtId="0" fontId="10" fillId="0" borderId="15" xfId="0" applyFont="1" applyBorder="1" applyAlignment="1">
      <alignment horizontal="center" vertical="center" wrapText="1"/>
    </xf>
    <xf numFmtId="0" fontId="10" fillId="0" borderId="0" xfId="0" applyFont="1" applyAlignment="1">
      <alignment horizontal="left" vertical="center" wrapText="1"/>
    </xf>
    <xf numFmtId="0" fontId="10" fillId="0" borderId="127" xfId="0" applyFont="1" applyBorder="1" applyAlignment="1">
      <alignment horizontal="left" vertical="center" wrapText="1"/>
    </xf>
    <xf numFmtId="0" fontId="10" fillId="0" borderId="61" xfId="0" applyFont="1" applyBorder="1" applyAlignment="1">
      <alignment horizontal="left" vertical="center" wrapText="1"/>
    </xf>
    <xf numFmtId="0" fontId="10" fillId="0" borderId="62" xfId="0" applyFont="1" applyBorder="1" applyAlignment="1">
      <alignment horizontal="left" vertical="center" wrapText="1"/>
    </xf>
    <xf numFmtId="1" fontId="10" fillId="0" borderId="6" xfId="37" quotePrefix="1" applyNumberFormat="1" applyFont="1" applyBorder="1" applyAlignment="1">
      <alignment horizontal="center" vertical="center" wrapText="1"/>
    </xf>
    <xf numFmtId="1" fontId="10" fillId="0" borderId="8" xfId="37" quotePrefix="1" applyNumberFormat="1" applyFont="1" applyBorder="1" applyAlignment="1">
      <alignment horizontal="center" vertical="center" wrapText="1"/>
    </xf>
    <xf numFmtId="1" fontId="10" fillId="0" borderId="20" xfId="37" quotePrefix="1" applyNumberFormat="1" applyFont="1" applyBorder="1" applyAlignment="1">
      <alignment horizontal="center" vertical="center" wrapText="1"/>
    </xf>
    <xf numFmtId="1" fontId="10" fillId="0" borderId="21" xfId="37" applyNumberFormat="1" applyFont="1" applyBorder="1" applyAlignment="1" applyProtection="1">
      <alignment horizontal="center" vertical="center" wrapText="1"/>
      <protection locked="0"/>
    </xf>
    <xf numFmtId="1" fontId="10" fillId="0" borderId="123" xfId="37" applyNumberFormat="1" applyFont="1" applyBorder="1" applyAlignment="1" applyProtection="1">
      <alignment horizontal="center" vertical="center" wrapText="1"/>
      <protection locked="0"/>
    </xf>
    <xf numFmtId="1" fontId="10" fillId="0" borderId="30" xfId="37" applyNumberFormat="1" applyFont="1" applyBorder="1" applyAlignment="1" applyProtection="1">
      <alignment horizontal="center" vertical="center" wrapText="1"/>
      <protection locked="0"/>
    </xf>
    <xf numFmtId="1" fontId="10" fillId="0" borderId="212" xfId="37" applyNumberFormat="1" applyFont="1" applyBorder="1" applyAlignment="1" applyProtection="1">
      <alignment horizontal="center" vertical="center" wrapText="1"/>
      <protection locked="0"/>
    </xf>
    <xf numFmtId="1" fontId="10" fillId="0" borderId="213" xfId="37" applyNumberFormat="1" applyFont="1" applyBorder="1" applyAlignment="1" applyProtection="1">
      <alignment horizontal="center" vertical="center" wrapText="1"/>
      <protection locked="0"/>
    </xf>
    <xf numFmtId="1" fontId="10" fillId="0" borderId="156" xfId="37" applyNumberFormat="1" applyFont="1" applyBorder="1" applyAlignment="1" applyProtection="1">
      <alignment horizontal="center" vertical="center" wrapText="1"/>
      <protection locked="0"/>
    </xf>
    <xf numFmtId="1" fontId="10" fillId="0" borderId="22" xfId="37" applyNumberFormat="1" applyFont="1" applyBorder="1" applyAlignment="1">
      <alignment horizontal="center" vertical="center" wrapText="1"/>
    </xf>
    <xf numFmtId="1" fontId="10" fillId="0" borderId="31" xfId="37" applyNumberFormat="1" applyFont="1" applyBorder="1" applyAlignment="1">
      <alignment horizontal="center" vertical="center" wrapText="1"/>
    </xf>
    <xf numFmtId="1" fontId="10" fillId="0" borderId="9" xfId="37" applyNumberFormat="1" applyFont="1" applyBorder="1" applyAlignment="1">
      <alignment horizontal="center" vertical="center" wrapText="1"/>
    </xf>
    <xf numFmtId="1" fontId="10" fillId="0" borderId="14" xfId="37" applyNumberFormat="1" applyFont="1" applyBorder="1" applyAlignment="1">
      <alignment horizontal="center" vertical="center" wrapText="1"/>
    </xf>
    <xf numFmtId="1" fontId="10" fillId="0" borderId="164" xfId="37" applyNumberFormat="1" applyFont="1" applyBorder="1" applyAlignment="1">
      <alignment horizontal="center" vertical="center" wrapText="1"/>
    </xf>
    <xf numFmtId="1" fontId="10" fillId="0" borderId="80" xfId="37" applyNumberFormat="1" applyFont="1" applyBorder="1" applyAlignment="1">
      <alignment horizontal="center" vertical="center" wrapText="1"/>
    </xf>
    <xf numFmtId="1" fontId="10" fillId="0" borderId="164" xfId="37" applyNumberFormat="1" applyFont="1" applyBorder="1" applyAlignment="1">
      <alignment horizontal="left" vertical="center" wrapText="1"/>
    </xf>
    <xf numFmtId="1" fontId="10" fillId="0" borderId="177" xfId="37" applyNumberFormat="1" applyFont="1" applyBorder="1" applyAlignment="1">
      <alignment horizontal="left" vertical="center" wrapText="1"/>
    </xf>
    <xf numFmtId="1" fontId="10" fillId="0" borderId="38" xfId="37" applyNumberFormat="1" applyFont="1" applyBorder="1" applyAlignment="1">
      <alignment horizontal="left" vertical="center" wrapText="1"/>
    </xf>
    <xf numFmtId="1" fontId="10" fillId="0" borderId="112" xfId="37" applyNumberFormat="1" applyFont="1" applyBorder="1" applyAlignment="1">
      <alignment horizontal="left" vertical="center" wrapText="1"/>
    </xf>
    <xf numFmtId="1" fontId="10" fillId="0" borderId="52" xfId="37" applyNumberFormat="1" applyFont="1" applyBorder="1" applyAlignment="1">
      <alignment horizontal="left" vertical="center" wrapText="1"/>
    </xf>
    <xf numFmtId="1" fontId="10" fillId="0" borderId="121" xfId="37" applyNumberFormat="1" applyFont="1" applyBorder="1" applyAlignment="1">
      <alignment horizontal="left" vertical="center" wrapText="1"/>
    </xf>
    <xf numFmtId="0" fontId="10" fillId="0" borderId="177" xfId="0" applyFont="1" applyBorder="1" applyAlignment="1">
      <alignment horizontal="center" vertical="center" wrapText="1"/>
    </xf>
    <xf numFmtId="0" fontId="10" fillId="0" borderId="17" xfId="0" applyFont="1" applyBorder="1" applyAlignment="1">
      <alignment horizontal="center" vertical="center" wrapText="1"/>
    </xf>
    <xf numFmtId="1" fontId="12" fillId="22" borderId="0" xfId="32" applyNumberFormat="1" applyFont="1" applyFill="1" applyAlignment="1">
      <alignment horizontal="left" wrapText="1"/>
    </xf>
    <xf numFmtId="1" fontId="10" fillId="0" borderId="90" xfId="32" applyNumberFormat="1" applyFont="1" applyBorder="1" applyAlignment="1">
      <alignment horizontal="center" vertical="center"/>
    </xf>
    <xf numFmtId="1" fontId="10" fillId="0" borderId="147" xfId="32" applyNumberFormat="1" applyFont="1" applyBorder="1" applyAlignment="1">
      <alignment horizontal="center" vertical="center"/>
    </xf>
    <xf numFmtId="1" fontId="10" fillId="0" borderId="83" xfId="32" applyNumberFormat="1" applyFont="1" applyBorder="1" applyAlignment="1">
      <alignment horizontal="center" vertical="center"/>
    </xf>
    <xf numFmtId="1" fontId="10" fillId="0" borderId="79" xfId="32" applyNumberFormat="1" applyFont="1" applyBorder="1" applyAlignment="1">
      <alignment horizontal="center" vertical="center"/>
    </xf>
    <xf numFmtId="1" fontId="10" fillId="0" borderId="81" xfId="32" applyNumberFormat="1" applyFont="1" applyBorder="1" applyAlignment="1">
      <alignment horizontal="center" vertical="center"/>
    </xf>
    <xf numFmtId="1" fontId="10" fillId="0" borderId="60" xfId="32" applyNumberFormat="1" applyFont="1" applyBorder="1" applyAlignment="1">
      <alignment horizontal="center" vertical="center"/>
    </xf>
    <xf numFmtId="1" fontId="10" fillId="0" borderId="90" xfId="32" applyNumberFormat="1" applyFont="1" applyBorder="1" applyAlignment="1">
      <alignment horizontal="center" vertical="center" wrapText="1"/>
    </xf>
    <xf numFmtId="0" fontId="40" fillId="0" borderId="184" xfId="32" applyFont="1" applyBorder="1"/>
    <xf numFmtId="0" fontId="40" fillId="0" borderId="81" xfId="32" applyFont="1" applyBorder="1"/>
    <xf numFmtId="0" fontId="40" fillId="0" borderId="221" xfId="32" applyFont="1" applyBorder="1"/>
    <xf numFmtId="0" fontId="40" fillId="0" borderId="60" xfId="32" applyFont="1" applyBorder="1"/>
    <xf numFmtId="1" fontId="10" fillId="0" borderId="219" xfId="32" applyNumberFormat="1" applyFont="1" applyBorder="1" applyAlignment="1">
      <alignment horizontal="center" vertical="center"/>
    </xf>
    <xf numFmtId="1" fontId="10" fillId="0" borderId="145" xfId="32" applyNumberFormat="1" applyFont="1" applyBorder="1" applyAlignment="1">
      <alignment horizontal="center" vertical="center"/>
    </xf>
    <xf numFmtId="1" fontId="10" fillId="0" borderId="220" xfId="32" applyNumberFormat="1" applyFont="1" applyBorder="1" applyAlignment="1">
      <alignment horizontal="center" vertical="center"/>
    </xf>
    <xf numFmtId="1" fontId="10" fillId="0" borderId="81" xfId="32" applyNumberFormat="1" applyFont="1" applyBorder="1" applyAlignment="1">
      <alignment horizontal="center" vertical="center" wrapText="1"/>
    </xf>
    <xf numFmtId="0" fontId="10" fillId="0" borderId="108" xfId="0" applyFont="1" applyBorder="1" applyAlignment="1">
      <alignment horizontal="center" vertical="center"/>
    </xf>
    <xf numFmtId="0" fontId="10" fillId="0" borderId="27" xfId="0" applyFont="1" applyBorder="1" applyAlignment="1">
      <alignment horizontal="center" vertical="center"/>
    </xf>
    <xf numFmtId="0" fontId="10" fillId="0" borderId="13" xfId="0" applyFont="1" applyBorder="1" applyAlignment="1">
      <alignment horizontal="center" vertical="center"/>
    </xf>
    <xf numFmtId="0" fontId="10" fillId="0" borderId="50" xfId="0" applyFont="1" applyBorder="1" applyAlignment="1">
      <alignment horizontal="center" vertical="center"/>
    </xf>
    <xf numFmtId="0" fontId="10" fillId="0" borderId="16" xfId="0" applyFont="1" applyBorder="1" applyAlignment="1">
      <alignment horizontal="center" vertical="center"/>
    </xf>
    <xf numFmtId="0" fontId="10" fillId="0" borderId="36" xfId="0" applyFont="1" applyBorder="1" applyAlignment="1">
      <alignment horizontal="center" vertical="center"/>
    </xf>
    <xf numFmtId="1" fontId="10" fillId="0" borderId="269" xfId="0" applyNumberFormat="1" applyFont="1" applyBorder="1" applyAlignment="1">
      <alignment horizontal="center" vertical="center" wrapText="1"/>
    </xf>
    <xf numFmtId="1" fontId="10" fillId="0" borderId="274" xfId="0" applyNumberFormat="1" applyFont="1" applyBorder="1" applyAlignment="1">
      <alignment horizontal="center" vertical="center" wrapText="1"/>
    </xf>
    <xf numFmtId="1" fontId="10" fillId="0" borderId="79" xfId="0" applyNumberFormat="1" applyFont="1" applyBorder="1" applyAlignment="1">
      <alignment horizontal="center" vertical="center" wrapText="1"/>
    </xf>
    <xf numFmtId="1" fontId="10" fillId="0" borderId="277" xfId="0" applyNumberFormat="1" applyFont="1" applyBorder="1" applyAlignment="1">
      <alignment horizontal="center" vertical="center" wrapText="1"/>
    </xf>
    <xf numFmtId="1" fontId="10" fillId="0" borderId="164" xfId="0" applyNumberFormat="1" applyFont="1" applyBorder="1" applyAlignment="1">
      <alignment horizontal="center" vertical="center" wrapText="1"/>
    </xf>
    <xf numFmtId="1" fontId="10" fillId="0" borderId="69" xfId="0" applyNumberFormat="1" applyFont="1" applyBorder="1" applyAlignment="1">
      <alignment horizontal="center" vertical="center" wrapText="1"/>
    </xf>
    <xf numFmtId="1" fontId="10" fillId="0" borderId="80" xfId="0" applyNumberFormat="1" applyFont="1" applyBorder="1" applyAlignment="1">
      <alignment horizontal="center" vertical="center" wrapText="1"/>
    </xf>
    <xf numFmtId="1" fontId="10" fillId="0" borderId="273" xfId="0" applyNumberFormat="1" applyFont="1" applyBorder="1" applyAlignment="1">
      <alignment horizontal="center" vertical="center" wrapText="1"/>
    </xf>
    <xf numFmtId="1" fontId="10" fillId="0" borderId="275" xfId="0" applyNumberFormat="1" applyFont="1" applyBorder="1" applyAlignment="1">
      <alignment horizontal="center" vertical="center" wrapText="1"/>
    </xf>
    <xf numFmtId="1" fontId="10" fillId="0" borderId="276" xfId="0" applyNumberFormat="1" applyFont="1" applyBorder="1" applyAlignment="1">
      <alignment horizontal="center" vertical="center" wrapText="1"/>
    </xf>
    <xf numFmtId="1" fontId="10" fillId="0" borderId="27" xfId="0" applyNumberFormat="1" applyFont="1" applyBorder="1" applyAlignment="1">
      <alignment horizontal="center" vertical="center"/>
    </xf>
    <xf numFmtId="1" fontId="10" fillId="0" borderId="14" xfId="0" applyNumberFormat="1" applyFont="1" applyBorder="1" applyAlignment="1">
      <alignment horizontal="center" vertical="center"/>
    </xf>
    <xf numFmtId="1" fontId="10" fillId="0" borderId="78" xfId="0" applyNumberFormat="1" applyFont="1" applyBorder="1" applyAlignment="1">
      <alignment horizontal="center" vertical="center" wrapText="1"/>
    </xf>
    <xf numFmtId="1" fontId="10" fillId="0" borderId="70" xfId="0" applyNumberFormat="1" applyFont="1" applyBorder="1" applyAlignment="1">
      <alignment horizontal="center" vertical="center" wrapText="1"/>
    </xf>
    <xf numFmtId="1" fontId="10" fillId="0" borderId="74" xfId="0" applyNumberFormat="1" applyFont="1" applyBorder="1" applyAlignment="1">
      <alignment horizontal="center" vertical="center"/>
    </xf>
    <xf numFmtId="1" fontId="10" fillId="0" borderId="76" xfId="0" applyNumberFormat="1" applyFont="1" applyBorder="1" applyAlignment="1">
      <alignment horizontal="center" vertical="center"/>
    </xf>
    <xf numFmtId="1" fontId="10" fillId="0" borderId="158" xfId="0" applyNumberFormat="1" applyFont="1" applyBorder="1" applyAlignment="1">
      <alignment horizontal="center" vertical="center" wrapText="1"/>
    </xf>
    <xf numFmtId="1" fontId="10" fillId="11" borderId="18" xfId="0" applyNumberFormat="1" applyFont="1" applyFill="1" applyBorder="1" applyAlignment="1" applyProtection="1">
      <alignment horizontal="center" vertical="center" wrapText="1"/>
      <protection hidden="1"/>
    </xf>
    <xf numFmtId="1" fontId="10" fillId="11" borderId="19" xfId="0" applyNumberFormat="1" applyFont="1" applyFill="1" applyBorder="1" applyAlignment="1" applyProtection="1">
      <alignment horizontal="center" vertical="center" wrapText="1"/>
      <protection hidden="1"/>
    </xf>
    <xf numFmtId="1" fontId="10" fillId="11" borderId="6" xfId="0" applyNumberFormat="1" applyFont="1" applyFill="1" applyBorder="1" applyAlignment="1">
      <alignment horizontal="center" vertical="center"/>
    </xf>
    <xf numFmtId="1" fontId="10" fillId="11" borderId="8" xfId="0" applyNumberFormat="1" applyFont="1" applyFill="1" applyBorder="1" applyAlignment="1">
      <alignment horizontal="center" vertical="center"/>
    </xf>
    <xf numFmtId="1" fontId="10" fillId="11" borderId="7" xfId="0" applyNumberFormat="1" applyFont="1" applyFill="1" applyBorder="1" applyAlignment="1">
      <alignment horizontal="center" vertical="center"/>
    </xf>
    <xf numFmtId="0" fontId="10" fillId="0" borderId="6" xfId="0" applyFont="1" applyBorder="1" applyAlignment="1">
      <alignment horizontal="center" vertical="center"/>
    </xf>
    <xf numFmtId="0" fontId="10" fillId="0" borderId="8" xfId="0" applyFont="1" applyBorder="1" applyAlignment="1">
      <alignment horizontal="center" vertical="center"/>
    </xf>
    <xf numFmtId="0" fontId="10" fillId="0" borderId="7" xfId="0" applyFont="1" applyBorder="1" applyAlignment="1">
      <alignment horizontal="center" vertical="center"/>
    </xf>
    <xf numFmtId="0" fontId="10" fillId="0" borderId="20" xfId="0" applyFont="1" applyBorder="1" applyAlignment="1">
      <alignment horizontal="center" vertical="center"/>
    </xf>
    <xf numFmtId="1" fontId="10" fillId="11" borderId="2" xfId="0" applyNumberFormat="1" applyFont="1" applyFill="1" applyBorder="1" applyAlignment="1">
      <alignment horizontal="center" vertical="center"/>
    </xf>
    <xf numFmtId="1" fontId="10" fillId="11" borderId="2" xfId="0" applyNumberFormat="1" applyFont="1" applyFill="1" applyBorder="1" applyAlignment="1">
      <alignment horizontal="center" vertical="center" wrapText="1"/>
    </xf>
    <xf numFmtId="1" fontId="10" fillId="11" borderId="134" xfId="0" applyNumberFormat="1" applyFont="1" applyFill="1" applyBorder="1" applyAlignment="1">
      <alignment horizontal="center" vertical="center" wrapText="1"/>
    </xf>
    <xf numFmtId="0" fontId="10" fillId="0" borderId="13" xfId="0" applyFont="1" applyBorder="1" applyAlignment="1">
      <alignment horizontal="center" vertical="center" wrapText="1"/>
    </xf>
    <xf numFmtId="0" fontId="10" fillId="0" borderId="164" xfId="0" applyFont="1" applyBorder="1" applyAlignment="1">
      <alignment horizontal="center" vertical="center" wrapText="1"/>
    </xf>
    <xf numFmtId="0" fontId="10" fillId="0" borderId="69" xfId="0" applyFont="1" applyBorder="1" applyAlignment="1">
      <alignment horizontal="center" vertical="center" wrapText="1"/>
    </xf>
    <xf numFmtId="0" fontId="10" fillId="0" borderId="80" xfId="0" applyFont="1" applyBorder="1" applyAlignment="1">
      <alignment horizontal="center" vertical="center" wrapText="1"/>
    </xf>
    <xf numFmtId="0" fontId="10" fillId="0" borderId="158" xfId="0" applyFont="1" applyBorder="1" applyAlignment="1">
      <alignment horizontal="center" vertical="center" wrapText="1"/>
    </xf>
    <xf numFmtId="0" fontId="10" fillId="0" borderId="74" xfId="0" applyFont="1" applyBorder="1" applyAlignment="1">
      <alignment horizontal="center" vertical="center" wrapText="1"/>
    </xf>
    <xf numFmtId="0" fontId="10" fillId="0" borderId="76" xfId="0" applyFont="1" applyBorder="1" applyAlignment="1">
      <alignment horizontal="center" vertical="center" wrapText="1"/>
    </xf>
    <xf numFmtId="0" fontId="10" fillId="0" borderId="50" xfId="0" applyFont="1" applyBorder="1" applyAlignment="1">
      <alignment horizontal="center" vertical="center" wrapText="1"/>
    </xf>
    <xf numFmtId="0" fontId="10" fillId="0" borderId="8" xfId="0" applyFont="1" applyBorder="1" applyAlignment="1">
      <alignment horizontal="center" wrapText="1"/>
    </xf>
    <xf numFmtId="0" fontId="10" fillId="0" borderId="7" xfId="0" applyFont="1" applyBorder="1" applyAlignment="1">
      <alignment horizontal="center" wrapText="1"/>
    </xf>
    <xf numFmtId="0" fontId="10" fillId="0" borderId="0" xfId="0" applyFont="1" applyAlignment="1">
      <alignment horizontal="center" vertical="center" wrapText="1"/>
    </xf>
    <xf numFmtId="0" fontId="10" fillId="0" borderId="6" xfId="0" applyFont="1" applyBorder="1" applyAlignment="1">
      <alignment horizontal="center"/>
    </xf>
    <xf numFmtId="0" fontId="10" fillId="0" borderId="7" xfId="0" applyFont="1" applyBorder="1" applyAlignment="1">
      <alignment horizontal="center"/>
    </xf>
    <xf numFmtId="0" fontId="10" fillId="0" borderId="18" xfId="0" applyFont="1" applyBorder="1" applyAlignment="1">
      <alignment horizontal="center" vertical="center"/>
    </xf>
    <xf numFmtId="0" fontId="10" fillId="0" borderId="15" xfId="0" applyFont="1" applyBorder="1" applyAlignment="1">
      <alignment horizontal="center" vertical="center"/>
    </xf>
    <xf numFmtId="0" fontId="10" fillId="0" borderId="135" xfId="0" applyFont="1" applyBorder="1" applyAlignment="1">
      <alignment horizontal="center" vertical="center" wrapText="1"/>
    </xf>
    <xf numFmtId="1" fontId="10" fillId="0" borderId="9" xfId="0" applyNumberFormat="1" applyFont="1" applyBorder="1" applyAlignment="1">
      <alignment horizontal="center" vertical="top" wrapText="1"/>
    </xf>
    <xf numFmtId="1" fontId="10" fillId="0" borderId="0" xfId="0" applyNumberFormat="1" applyFont="1" applyAlignment="1">
      <alignment horizontal="center" vertical="top" wrapText="1"/>
    </xf>
    <xf numFmtId="1" fontId="10" fillId="0" borderId="14" xfId="0" applyNumberFormat="1" applyFont="1" applyBorder="1" applyAlignment="1">
      <alignment horizontal="center" vertical="top" wrapText="1"/>
    </xf>
    <xf numFmtId="1" fontId="10" fillId="0" borderId="18" xfId="0" applyNumberFormat="1" applyFont="1" applyBorder="1" applyAlignment="1">
      <alignment horizontal="center" vertical="top" wrapText="1"/>
    </xf>
    <xf numFmtId="1" fontId="10" fillId="0" borderId="19" xfId="0" applyNumberFormat="1" applyFont="1" applyBorder="1" applyAlignment="1">
      <alignment horizontal="center" vertical="top" wrapText="1"/>
    </xf>
    <xf numFmtId="1" fontId="10" fillId="0" borderId="15" xfId="0" applyNumberFormat="1" applyFont="1" applyBorder="1" applyAlignment="1">
      <alignment horizontal="center" vertical="top" wrapText="1"/>
    </xf>
    <xf numFmtId="1" fontId="10" fillId="0" borderId="108" xfId="42" applyNumberFormat="1" applyFont="1" applyBorder="1" applyAlignment="1">
      <alignment horizontal="center" vertical="center" wrapText="1"/>
    </xf>
    <xf numFmtId="1" fontId="10" fillId="0" borderId="16" xfId="42" applyNumberFormat="1" applyFont="1" applyBorder="1" applyAlignment="1">
      <alignment horizontal="center" vertical="center" wrapText="1"/>
    </xf>
    <xf numFmtId="1" fontId="10" fillId="0" borderId="18" xfId="42" applyNumberFormat="1" applyFont="1" applyBorder="1" applyAlignment="1">
      <alignment horizontal="center" vertical="center" wrapText="1"/>
    </xf>
    <xf numFmtId="1" fontId="10" fillId="0" borderId="15" xfId="42" applyNumberFormat="1" applyFont="1" applyBorder="1" applyAlignment="1">
      <alignment horizontal="center" vertical="center" wrapText="1"/>
    </xf>
    <xf numFmtId="1" fontId="10" fillId="0" borderId="6" xfId="42" applyNumberFormat="1" applyFont="1" applyBorder="1" applyAlignment="1">
      <alignment horizontal="center" vertical="center" wrapText="1"/>
    </xf>
    <xf numFmtId="1" fontId="10" fillId="0" borderId="8" xfId="42" applyNumberFormat="1" applyFont="1" applyBorder="1" applyAlignment="1">
      <alignment horizontal="center" vertical="center" wrapText="1"/>
    </xf>
    <xf numFmtId="1" fontId="10" fillId="0" borderId="7" xfId="42" applyNumberFormat="1" applyFont="1" applyBorder="1" applyAlignment="1">
      <alignment horizontal="center" vertical="center" wrapText="1"/>
    </xf>
    <xf numFmtId="1" fontId="10" fillId="0" borderId="108" xfId="30" applyNumberFormat="1" applyFont="1" applyBorder="1" applyAlignment="1">
      <alignment horizontal="center" vertical="center"/>
    </xf>
    <xf numFmtId="1" fontId="10" fillId="0" borderId="212" xfId="30" applyNumberFormat="1" applyFont="1" applyBorder="1" applyAlignment="1">
      <alignment horizontal="center" vertical="center"/>
    </xf>
    <xf numFmtId="1" fontId="10" fillId="0" borderId="16" xfId="30" applyNumberFormat="1" applyFont="1" applyBorder="1" applyAlignment="1">
      <alignment horizontal="center" vertical="center"/>
    </xf>
    <xf numFmtId="1" fontId="10" fillId="0" borderId="156" xfId="30" applyNumberFormat="1" applyFont="1" applyBorder="1" applyAlignment="1">
      <alignment horizontal="center" vertical="center"/>
    </xf>
    <xf numFmtId="1" fontId="10" fillId="0" borderId="129" xfId="30" applyNumberFormat="1" applyFont="1" applyBorder="1" applyAlignment="1">
      <alignment horizontal="center" vertical="center" wrapText="1"/>
    </xf>
    <xf numFmtId="1" fontId="10" fillId="0" borderId="212" xfId="30" applyNumberFormat="1" applyFont="1" applyBorder="1" applyAlignment="1">
      <alignment horizontal="center" vertical="center" wrapText="1"/>
    </xf>
    <xf numFmtId="1" fontId="10" fillId="0" borderId="130" xfId="30" applyNumberFormat="1" applyFont="1" applyBorder="1" applyAlignment="1">
      <alignment horizontal="center" vertical="center" wrapText="1"/>
    </xf>
    <xf numFmtId="1" fontId="10" fillId="0" borderId="156" xfId="30" applyNumberFormat="1" applyFont="1" applyBorder="1" applyAlignment="1">
      <alignment horizontal="center" vertical="center" wrapText="1"/>
    </xf>
    <xf numFmtId="1" fontId="10" fillId="0" borderId="27" xfId="30" applyNumberFormat="1" applyFont="1" applyBorder="1" applyAlignment="1">
      <alignment horizontal="center" vertical="center" wrapText="1"/>
    </xf>
    <xf numFmtId="1" fontId="10" fillId="0" borderId="50" xfId="30" applyNumberFormat="1" applyFont="1" applyBorder="1" applyAlignment="1">
      <alignment horizontal="center" vertical="center" wrapText="1"/>
    </xf>
    <xf numFmtId="1" fontId="10" fillId="0" borderId="36" xfId="30" applyNumberFormat="1" applyFont="1" applyBorder="1" applyAlignment="1">
      <alignment horizontal="center" vertical="center" wrapText="1"/>
    </xf>
    <xf numFmtId="1" fontId="10" fillId="0" borderId="108" xfId="30" applyNumberFormat="1" applyFont="1" applyBorder="1" applyAlignment="1">
      <alignment horizontal="center" vertical="center" wrapText="1"/>
    </xf>
    <xf numFmtId="1" fontId="10" fillId="0" borderId="9" xfId="30" applyNumberFormat="1" applyFont="1" applyBorder="1" applyAlignment="1">
      <alignment horizontal="center" vertical="center" wrapText="1"/>
    </xf>
    <xf numFmtId="1" fontId="10" fillId="0" borderId="16" xfId="30" applyNumberFormat="1" applyFont="1" applyBorder="1" applyAlignment="1">
      <alignment horizontal="center" vertical="center" wrapText="1"/>
    </xf>
    <xf numFmtId="1" fontId="10" fillId="0" borderId="14" xfId="30" applyNumberFormat="1" applyFont="1" applyBorder="1" applyAlignment="1">
      <alignment horizontal="center" vertical="center" wrapText="1"/>
    </xf>
    <xf numFmtId="1" fontId="15" fillId="0" borderId="6" xfId="0" applyNumberFormat="1" applyFont="1" applyBorder="1" applyAlignment="1">
      <alignment horizontal="left" vertical="center"/>
    </xf>
    <xf numFmtId="1" fontId="15" fillId="0" borderId="8" xfId="0" applyNumberFormat="1" applyFont="1" applyBorder="1" applyAlignment="1">
      <alignment horizontal="left" vertical="center"/>
    </xf>
    <xf numFmtId="1" fontId="15" fillId="0" borderId="7" xfId="0" applyNumberFormat="1" applyFont="1" applyBorder="1" applyAlignment="1">
      <alignment horizontal="left" vertical="center"/>
    </xf>
    <xf numFmtId="1" fontId="12" fillId="11" borderId="14" xfId="42" quotePrefix="1" applyNumberFormat="1" applyFont="1" applyFill="1" applyBorder="1" applyAlignment="1">
      <alignment horizontal="left"/>
    </xf>
    <xf numFmtId="1" fontId="12" fillId="11" borderId="211" xfId="42" quotePrefix="1" applyNumberFormat="1" applyFont="1" applyFill="1" applyBorder="1" applyAlignment="1">
      <alignment horizontal="left"/>
    </xf>
    <xf numFmtId="1" fontId="10" fillId="0" borderId="19" xfId="42" applyNumberFormat="1" applyFont="1" applyBorder="1" applyAlignment="1">
      <alignment horizontal="center" vertical="center" wrapText="1"/>
    </xf>
    <xf numFmtId="1" fontId="10" fillId="0" borderId="9" xfId="30" applyNumberFormat="1" applyFont="1" applyBorder="1" applyAlignment="1">
      <alignment horizontal="center" vertical="center"/>
    </xf>
    <xf numFmtId="1" fontId="10" fillId="0" borderId="27" xfId="30" applyNumberFormat="1" applyFont="1" applyBorder="1" applyAlignment="1">
      <alignment horizontal="center" vertical="center"/>
    </xf>
    <xf numFmtId="1" fontId="10" fillId="0" borderId="14" xfId="30" applyNumberFormat="1" applyFont="1" applyBorder="1" applyAlignment="1">
      <alignment horizontal="center" vertical="center"/>
    </xf>
    <xf numFmtId="1" fontId="10" fillId="0" borderId="36" xfId="30" applyNumberFormat="1" applyFont="1" applyBorder="1" applyAlignment="1">
      <alignment horizontal="center" vertical="center"/>
    </xf>
    <xf numFmtId="1" fontId="10" fillId="0" borderId="2" xfId="0" applyNumberFormat="1" applyFont="1" applyBorder="1" applyAlignment="1">
      <alignment horizontal="center" vertical="center"/>
    </xf>
    <xf numFmtId="1" fontId="10" fillId="15" borderId="2" xfId="0" applyNumberFormat="1" applyFont="1" applyFill="1" applyBorder="1" applyAlignment="1">
      <alignment horizontal="center" vertical="center" wrapText="1"/>
    </xf>
    <xf numFmtId="1" fontId="10" fillId="0" borderId="2" xfId="0" applyNumberFormat="1" applyFont="1" applyBorder="1" applyAlignment="1">
      <alignment horizontal="left" vertical="center"/>
    </xf>
    <xf numFmtId="1" fontId="10" fillId="0" borderId="212" xfId="0" applyNumberFormat="1" applyFont="1" applyBorder="1" applyAlignment="1">
      <alignment horizontal="center" vertical="center" wrapText="1"/>
    </xf>
    <xf numFmtId="1" fontId="10" fillId="0" borderId="156" xfId="0" applyNumberFormat="1" applyFont="1" applyBorder="1" applyAlignment="1">
      <alignment horizontal="center" vertical="center" wrapText="1"/>
    </xf>
    <xf numFmtId="1" fontId="10" fillId="0" borderId="149" xfId="0" applyNumberFormat="1" applyFont="1" applyBorder="1" applyAlignment="1">
      <alignment horizontal="center" vertical="center"/>
    </xf>
    <xf numFmtId="1" fontId="10" fillId="0" borderId="149" xfId="0" applyNumberFormat="1" applyFont="1" applyBorder="1" applyAlignment="1">
      <alignment horizontal="center" vertical="center" wrapText="1"/>
    </xf>
    <xf numFmtId="1" fontId="10" fillId="0" borderId="108" xfId="0" applyNumberFormat="1" applyFont="1" applyBorder="1" applyAlignment="1">
      <alignment horizontal="center" vertical="center"/>
    </xf>
    <xf numFmtId="1" fontId="10" fillId="0" borderId="13" xfId="0" applyNumberFormat="1" applyFont="1" applyBorder="1" applyAlignment="1">
      <alignment horizontal="center" vertical="center"/>
    </xf>
    <xf numFmtId="1" fontId="10" fillId="0" borderId="16" xfId="0" applyNumberFormat="1" applyFont="1" applyBorder="1" applyAlignment="1">
      <alignment horizontal="center" vertical="center"/>
    </xf>
    <xf numFmtId="0" fontId="10" fillId="0" borderId="19" xfId="0" applyFont="1" applyBorder="1" applyAlignment="1">
      <alignment horizontal="center" vertical="center" wrapText="1"/>
    </xf>
    <xf numFmtId="1" fontId="12" fillId="11" borderId="8" xfId="42" quotePrefix="1" applyNumberFormat="1" applyFont="1" applyFill="1" applyBorder="1" applyAlignment="1">
      <alignment horizontal="left"/>
    </xf>
    <xf numFmtId="1" fontId="12" fillId="11" borderId="106" xfId="42" quotePrefix="1" applyNumberFormat="1" applyFont="1" applyFill="1" applyBorder="1" applyAlignment="1">
      <alignment horizontal="left"/>
    </xf>
    <xf numFmtId="1" fontId="16" fillId="0" borderId="0" xfId="0" applyNumberFormat="1" applyFont="1" applyAlignment="1">
      <alignment horizontal="center" vertical="center" wrapText="1"/>
    </xf>
    <xf numFmtId="0" fontId="29" fillId="0" borderId="6" xfId="0" applyFont="1" applyBorder="1" applyAlignment="1">
      <alignment horizontal="center" vertical="center" wrapText="1"/>
    </xf>
    <xf numFmtId="0" fontId="29" fillId="0" borderId="346" xfId="0" applyFont="1" applyBorder="1" applyAlignment="1">
      <alignment horizontal="center" vertical="center" wrapText="1"/>
    </xf>
    <xf numFmtId="0" fontId="29" fillId="0" borderId="347" xfId="0" applyFont="1" applyBorder="1" applyAlignment="1">
      <alignment horizontal="center" vertical="center" wrapText="1"/>
    </xf>
    <xf numFmtId="1" fontId="29" fillId="11" borderId="6" xfId="0" applyNumberFormat="1" applyFont="1" applyFill="1" applyBorder="1" applyAlignment="1">
      <alignment horizontal="center" vertical="center" wrapText="1"/>
    </xf>
    <xf numFmtId="1" fontId="29" fillId="11" borderId="8" xfId="0" applyNumberFormat="1" applyFont="1" applyFill="1" applyBorder="1" applyAlignment="1">
      <alignment horizontal="center" vertical="center" wrapText="1"/>
    </xf>
    <xf numFmtId="1" fontId="29" fillId="11" borderId="7" xfId="0" applyNumberFormat="1" applyFont="1" applyFill="1" applyBorder="1" applyAlignment="1">
      <alignment horizontal="center" vertical="center" wrapText="1"/>
    </xf>
    <xf numFmtId="0" fontId="29" fillId="30" borderId="127" xfId="0" applyFont="1" applyFill="1" applyBorder="1" applyAlignment="1">
      <alignment wrapText="1"/>
    </xf>
    <xf numFmtId="0" fontId="29" fillId="30" borderId="62" xfId="0" applyFont="1" applyFill="1" applyBorder="1" applyAlignment="1">
      <alignment wrapText="1"/>
    </xf>
    <xf numFmtId="0" fontId="29" fillId="31" borderId="339" xfId="0" applyFont="1" applyFill="1" applyBorder="1" applyAlignment="1">
      <alignment horizontal="center" wrapText="1"/>
    </xf>
    <xf numFmtId="0" fontId="29" fillId="31" borderId="341" xfId="0" applyFont="1" applyFill="1" applyBorder="1" applyAlignment="1">
      <alignment horizontal="center" wrapText="1"/>
    </xf>
    <xf numFmtId="0" fontId="29" fillId="0" borderId="7" xfId="0" applyFont="1" applyBorder="1" applyAlignment="1">
      <alignment horizontal="center" vertical="center" wrapText="1"/>
    </xf>
    <xf numFmtId="0" fontId="29" fillId="0" borderId="8" xfId="0" applyFont="1" applyBorder="1" applyAlignment="1">
      <alignment horizontal="center" vertical="center" wrapText="1"/>
    </xf>
    <xf numFmtId="0" fontId="29" fillId="31" borderId="184" xfId="0" applyFont="1" applyFill="1" applyBorder="1" applyAlignment="1">
      <alignment horizontal="center" vertical="center" wrapText="1"/>
    </xf>
    <xf numFmtId="0" fontId="29" fillId="31" borderId="0" xfId="0" applyFont="1" applyFill="1" applyAlignment="1">
      <alignment horizontal="center" vertical="center" wrapText="1"/>
    </xf>
    <xf numFmtId="0" fontId="29" fillId="31" borderId="14" xfId="0" applyFont="1" applyFill="1" applyBorder="1" applyAlignment="1">
      <alignment horizontal="center" vertical="center" wrapText="1"/>
    </xf>
    <xf numFmtId="0" fontId="29" fillId="0" borderId="89" xfId="0" applyFont="1" applyBorder="1" applyAlignment="1">
      <alignment wrapText="1"/>
    </xf>
    <xf numFmtId="0" fontId="29" fillId="0" borderId="98" xfId="0" applyFont="1" applyBorder="1" applyAlignment="1">
      <alignment wrapText="1"/>
    </xf>
    <xf numFmtId="0" fontId="29" fillId="0" borderId="128" xfId="0" applyFont="1" applyBorder="1" applyAlignment="1">
      <alignment wrapText="1"/>
    </xf>
    <xf numFmtId="0" fontId="29" fillId="0" borderId="103" xfId="0" applyFont="1" applyBorder="1" applyAlignment="1">
      <alignment wrapText="1"/>
    </xf>
    <xf numFmtId="0" fontId="29" fillId="0" borderId="108" xfId="0" applyFont="1" applyBorder="1" applyAlignment="1">
      <alignment horizontal="center" vertical="center" wrapText="1"/>
    </xf>
    <xf numFmtId="0" fontId="29" fillId="0" borderId="9" xfId="0" applyFont="1" applyBorder="1" applyAlignment="1">
      <alignment horizontal="center" vertical="center" wrapText="1"/>
    </xf>
    <xf numFmtId="0" fontId="29" fillId="0" borderId="27" xfId="0" applyFont="1" applyBorder="1" applyAlignment="1">
      <alignment horizontal="center" vertical="center" wrapText="1"/>
    </xf>
    <xf numFmtId="0" fontId="29" fillId="0" borderId="13" xfId="0" applyFont="1" applyBorder="1" applyAlignment="1">
      <alignment horizontal="center" vertical="center" wrapText="1"/>
    </xf>
    <xf numFmtId="0" fontId="29" fillId="0" borderId="0" xfId="0" applyFont="1" applyAlignment="1">
      <alignment horizontal="center" vertical="center" wrapText="1"/>
    </xf>
    <xf numFmtId="0" fontId="29" fillId="0" borderId="50" xfId="0" applyFont="1" applyBorder="1" applyAlignment="1">
      <alignment horizontal="center" vertical="center" wrapText="1"/>
    </xf>
    <xf numFmtId="0" fontId="29" fillId="0" borderId="16" xfId="0" applyFont="1" applyBorder="1" applyAlignment="1">
      <alignment horizontal="center" vertical="center" wrapText="1"/>
    </xf>
    <xf numFmtId="0" fontId="29" fillId="0" borderId="14" xfId="0" applyFont="1" applyBorder="1" applyAlignment="1">
      <alignment horizontal="center" vertical="center" wrapText="1"/>
    </xf>
    <xf numFmtId="0" fontId="29" fillId="0" borderId="36" xfId="0" applyFont="1" applyBorder="1" applyAlignment="1">
      <alignment horizontal="center" vertical="center" wrapText="1"/>
    </xf>
    <xf numFmtId="0" fontId="29" fillId="30" borderId="338" xfId="0" applyFont="1" applyFill="1" applyBorder="1" applyAlignment="1">
      <alignment horizontal="center"/>
    </xf>
    <xf numFmtId="0" fontId="29" fillId="30" borderId="339" xfId="0" applyFont="1" applyFill="1" applyBorder="1" applyAlignment="1">
      <alignment horizontal="center"/>
    </xf>
    <xf numFmtId="0" fontId="29" fillId="30" borderId="340" xfId="0" applyFont="1" applyFill="1" applyBorder="1" applyAlignment="1">
      <alignment horizontal="center"/>
    </xf>
    <xf numFmtId="0" fontId="29" fillId="0" borderId="149" xfId="0" applyFont="1" applyBorder="1" applyAlignment="1">
      <alignment horizontal="center" vertical="center" wrapText="1"/>
    </xf>
    <xf numFmtId="0" fontId="29" fillId="31" borderId="18" xfId="0" applyFont="1" applyFill="1" applyBorder="1" applyAlignment="1">
      <alignment horizontal="center" vertical="center" wrapText="1"/>
    </xf>
    <xf numFmtId="0" fontId="29" fillId="31" borderId="19" xfId="0" applyFont="1" applyFill="1" applyBorder="1" applyAlignment="1">
      <alignment horizontal="center" vertical="center" wrapText="1"/>
    </xf>
    <xf numFmtId="0" fontId="29" fillId="31" borderId="15" xfId="0" applyFont="1" applyFill="1" applyBorder="1" applyAlignment="1">
      <alignment horizontal="center" vertical="center" wrapText="1"/>
    </xf>
    <xf numFmtId="0" fontId="29" fillId="31" borderId="147" xfId="0" applyFont="1" applyFill="1" applyBorder="1" applyAlignment="1">
      <alignment horizontal="center" vertical="center" wrapText="1"/>
    </xf>
    <xf numFmtId="0" fontId="29" fillId="31" borderId="79" xfId="0" applyFont="1" applyFill="1" applyBorder="1" applyAlignment="1">
      <alignment horizontal="center" vertical="center" wrapText="1"/>
    </xf>
    <xf numFmtId="0" fontId="29" fillId="31" borderId="277" xfId="0" applyFont="1" applyFill="1" applyBorder="1" applyAlignment="1">
      <alignment horizontal="center" vertical="center" wrapText="1"/>
    </xf>
    <xf numFmtId="0" fontId="29" fillId="31" borderId="219" xfId="0" applyFont="1" applyFill="1" applyBorder="1" applyAlignment="1">
      <alignment horizontal="center" wrapText="1"/>
    </xf>
    <xf numFmtId="0" fontId="29" fillId="31" borderId="145" xfId="0" applyFont="1" applyFill="1" applyBorder="1" applyAlignment="1">
      <alignment horizontal="center" wrapText="1"/>
    </xf>
    <xf numFmtId="0" fontId="29" fillId="31" borderId="342" xfId="0" applyFont="1" applyFill="1" applyBorder="1" applyAlignment="1">
      <alignment horizontal="center" wrapText="1"/>
    </xf>
    <xf numFmtId="0" fontId="29" fillId="30" borderId="219" xfId="0" applyFont="1" applyFill="1" applyBorder="1" applyAlignment="1">
      <alignment horizontal="center" wrapText="1"/>
    </xf>
    <xf numFmtId="0" fontId="29" fillId="30" borderId="145" xfId="0" applyFont="1" applyFill="1" applyBorder="1" applyAlignment="1">
      <alignment horizontal="center" wrapText="1"/>
    </xf>
    <xf numFmtId="0" fontId="29" fillId="30" borderId="342" xfId="0" applyFont="1" applyFill="1" applyBorder="1" applyAlignment="1">
      <alignment horizontal="center" wrapText="1"/>
    </xf>
    <xf numFmtId="0" fontId="29" fillId="0" borderId="145" xfId="0" applyFont="1" applyBorder="1" applyAlignment="1">
      <alignment horizontal="center" wrapText="1"/>
    </xf>
    <xf numFmtId="0" fontId="29" fillId="0" borderId="146" xfId="0" applyFont="1" applyBorder="1" applyAlignment="1">
      <alignment horizontal="center" wrapText="1"/>
    </xf>
    <xf numFmtId="0" fontId="29" fillId="31" borderId="327" xfId="0" applyFont="1" applyFill="1" applyBorder="1" applyAlignment="1">
      <alignment horizontal="center" wrapText="1"/>
    </xf>
    <xf numFmtId="0" fontId="29" fillId="0" borderId="343" xfId="0" applyFont="1" applyBorder="1" applyAlignment="1">
      <alignment horizontal="center" vertical="center" wrapText="1"/>
    </xf>
    <xf numFmtId="0" fontId="29" fillId="0" borderId="348" xfId="0" applyFont="1" applyBorder="1" applyAlignment="1">
      <alignment horizontal="center" vertical="center" wrapText="1"/>
    </xf>
    <xf numFmtId="0" fontId="29" fillId="0" borderId="352" xfId="0" applyFont="1" applyBorder="1" applyAlignment="1">
      <alignment horizontal="center" vertical="center" wrapText="1"/>
    </xf>
    <xf numFmtId="0" fontId="29" fillId="0" borderId="344" xfId="0" applyFont="1" applyBorder="1" applyAlignment="1">
      <alignment horizontal="center" vertical="center" wrapText="1"/>
    </xf>
    <xf numFmtId="0" fontId="29" fillId="0" borderId="349" xfId="0" applyFont="1" applyBorder="1" applyAlignment="1">
      <alignment horizontal="center" vertical="center" wrapText="1"/>
    </xf>
    <xf numFmtId="0" fontId="29" fillId="0" borderId="353" xfId="0" applyFont="1" applyBorder="1" applyAlignment="1">
      <alignment horizontal="center" vertical="center" wrapText="1"/>
    </xf>
    <xf numFmtId="0" fontId="29" fillId="0" borderId="345" xfId="0" applyFont="1" applyBorder="1" applyAlignment="1">
      <alignment horizontal="center" vertical="center" wrapText="1"/>
    </xf>
    <xf numFmtId="0" fontId="29" fillId="0" borderId="350" xfId="0" applyFont="1" applyBorder="1" applyAlignment="1">
      <alignment horizontal="center" vertical="center" wrapText="1"/>
    </xf>
    <xf numFmtId="0" fontId="29" fillId="0" borderId="354" xfId="0" applyFont="1" applyBorder="1" applyAlignment="1">
      <alignment horizontal="center" vertical="center" wrapText="1"/>
    </xf>
    <xf numFmtId="1" fontId="29" fillId="0" borderId="2" xfId="0" applyNumberFormat="1" applyFont="1" applyBorder="1"/>
    <xf numFmtId="1" fontId="29" fillId="0" borderId="8" xfId="0" applyNumberFormat="1" applyFont="1" applyBorder="1" applyAlignment="1">
      <alignment horizontal="center" vertical="center" wrapText="1"/>
    </xf>
    <xf numFmtId="1" fontId="29" fillId="0" borderId="22" xfId="37" applyNumberFormat="1" applyFont="1" applyBorder="1" applyAlignment="1">
      <alignment horizontal="center" vertical="center" wrapText="1"/>
    </xf>
    <xf numFmtId="1" fontId="29" fillId="0" borderId="70" xfId="37" applyNumberFormat="1" applyFont="1" applyBorder="1" applyAlignment="1">
      <alignment horizontal="center" vertical="center" wrapText="1"/>
    </xf>
    <xf numFmtId="1" fontId="29" fillId="0" borderId="31" xfId="37" applyNumberFormat="1" applyFont="1" applyBorder="1" applyAlignment="1">
      <alignment horizontal="center" vertical="center" wrapText="1"/>
    </xf>
    <xf numFmtId="1" fontId="29" fillId="0" borderId="19" xfId="0" applyNumberFormat="1" applyFont="1" applyBorder="1" applyAlignment="1">
      <alignment horizontal="center" vertical="center" wrapText="1"/>
    </xf>
    <xf numFmtId="1" fontId="29" fillId="0" borderId="376" xfId="0" applyNumberFormat="1" applyFont="1" applyBorder="1" applyAlignment="1">
      <alignment horizontal="center" vertical="center" wrapText="1"/>
    </xf>
    <xf numFmtId="1" fontId="29" fillId="0" borderId="377" xfId="0" applyNumberFormat="1" applyFont="1" applyBorder="1" applyAlignment="1">
      <alignment horizontal="center" vertical="center" wrapText="1"/>
    </xf>
    <xf numFmtId="1" fontId="29" fillId="0" borderId="378" xfId="0" applyNumberFormat="1" applyFont="1" applyBorder="1" applyAlignment="1">
      <alignment horizontal="center" vertical="center" wrapText="1"/>
    </xf>
    <xf numFmtId="1" fontId="29" fillId="0" borderId="16" xfId="0" applyNumberFormat="1" applyFont="1" applyBorder="1" applyAlignment="1">
      <alignment horizontal="center" vertical="center" wrapText="1"/>
    </xf>
    <xf numFmtId="1" fontId="29" fillId="0" borderId="14" xfId="0" applyNumberFormat="1" applyFont="1" applyBorder="1" applyAlignment="1">
      <alignment horizontal="center" vertical="center" wrapText="1"/>
    </xf>
    <xf numFmtId="1" fontId="29" fillId="0" borderId="36" xfId="0" applyNumberFormat="1" applyFont="1" applyBorder="1" applyAlignment="1">
      <alignment horizontal="center" vertical="center" wrapText="1"/>
    </xf>
    <xf numFmtId="1" fontId="29" fillId="0" borderId="379" xfId="0" applyNumberFormat="1" applyFont="1" applyBorder="1" applyAlignment="1">
      <alignment horizontal="center" vertical="center" wrapText="1"/>
    </xf>
    <xf numFmtId="1" fontId="29" fillId="0" borderId="380" xfId="0" applyNumberFormat="1" applyFont="1" applyBorder="1" applyAlignment="1">
      <alignment horizontal="center" vertical="center" wrapText="1"/>
    </xf>
    <xf numFmtId="1" fontId="29" fillId="0" borderId="27" xfId="0" applyNumberFormat="1" applyFont="1" applyBorder="1" applyAlignment="1">
      <alignment horizontal="center" vertical="center" wrapText="1"/>
    </xf>
    <xf numFmtId="1" fontId="29" fillId="0" borderId="50" xfId="0" applyNumberFormat="1" applyFont="1" applyBorder="1" applyAlignment="1">
      <alignment horizontal="center" vertical="center" wrapText="1"/>
    </xf>
    <xf numFmtId="1" fontId="29" fillId="0" borderId="27" xfId="37" applyNumberFormat="1" applyFont="1" applyBorder="1" applyAlignment="1">
      <alignment horizontal="center" vertical="center" wrapText="1"/>
    </xf>
    <xf numFmtId="1" fontId="29" fillId="0" borderId="50" xfId="37" applyNumberFormat="1" applyFont="1" applyBorder="1" applyAlignment="1">
      <alignment horizontal="center" vertical="center" wrapText="1"/>
    </xf>
    <xf numFmtId="1" fontId="29" fillId="0" borderId="36" xfId="37" applyNumberFormat="1" applyFont="1" applyBorder="1" applyAlignment="1">
      <alignment horizontal="center" vertical="center" wrapText="1"/>
    </xf>
    <xf numFmtId="1" fontId="29" fillId="0" borderId="21" xfId="37" applyNumberFormat="1" applyFont="1" applyBorder="1" applyAlignment="1">
      <alignment horizontal="center" vertical="center" wrapText="1"/>
    </xf>
    <xf numFmtId="1" fontId="29" fillId="0" borderId="123" xfId="37" applyNumberFormat="1" applyFont="1" applyBorder="1" applyAlignment="1">
      <alignment horizontal="center" vertical="center" wrapText="1"/>
    </xf>
    <xf numFmtId="1" fontId="29" fillId="0" borderId="30" xfId="37" applyNumberFormat="1" applyFont="1" applyBorder="1" applyAlignment="1">
      <alignment horizontal="center" vertical="center" wrapText="1"/>
    </xf>
    <xf numFmtId="1" fontId="29" fillId="0" borderId="18" xfId="0" applyNumberFormat="1" applyFont="1" applyBorder="1" applyAlignment="1">
      <alignment horizontal="left" vertical="center" wrapText="1"/>
    </xf>
    <xf numFmtId="1" fontId="29" fillId="0" borderId="19" xfId="0" applyNumberFormat="1" applyFont="1" applyBorder="1" applyAlignment="1">
      <alignment horizontal="left" vertical="center" wrapText="1"/>
    </xf>
    <xf numFmtId="1" fontId="29" fillId="0" borderId="15" xfId="0" applyNumberFormat="1" applyFont="1" applyBorder="1" applyAlignment="1">
      <alignment horizontal="left" vertical="center" wrapText="1"/>
    </xf>
    <xf numFmtId="1" fontId="29" fillId="0" borderId="27" xfId="0" applyNumberFormat="1" applyFont="1" applyBorder="1" applyAlignment="1">
      <alignment horizontal="left" vertical="center" wrapText="1"/>
    </xf>
    <xf numFmtId="1" fontId="29" fillId="0" borderId="50" xfId="0" applyNumberFormat="1" applyFont="1" applyBorder="1" applyAlignment="1">
      <alignment horizontal="left" vertical="center" wrapText="1"/>
    </xf>
    <xf numFmtId="1" fontId="29" fillId="0" borderId="36" xfId="0" applyNumberFormat="1" applyFont="1" applyBorder="1" applyAlignment="1">
      <alignment horizontal="left" vertical="center" wrapText="1"/>
    </xf>
    <xf numFmtId="1" fontId="29" fillId="0" borderId="158" xfId="0" applyNumberFormat="1" applyFont="1" applyBorder="1" applyAlignment="1">
      <alignment horizontal="center" vertical="center" wrapText="1"/>
    </xf>
    <xf numFmtId="1" fontId="29" fillId="0" borderId="76" xfId="0" applyNumberFormat="1" applyFont="1" applyBorder="1" applyAlignment="1">
      <alignment horizontal="center" vertical="center" wrapText="1"/>
    </xf>
    <xf numFmtId="1" fontId="29" fillId="0" borderId="22" xfId="0" applyNumberFormat="1" applyFont="1" applyBorder="1" applyAlignment="1">
      <alignment horizontal="center" vertical="center" wrapText="1"/>
    </xf>
    <xf numFmtId="1" fontId="29" fillId="0" borderId="31" xfId="0" applyNumberFormat="1" applyFont="1" applyBorder="1" applyAlignment="1">
      <alignment horizontal="center" vertical="center" wrapText="1"/>
    </xf>
    <xf numFmtId="1" fontId="29" fillId="0" borderId="2" xfId="0" applyNumberFormat="1" applyFont="1" applyBorder="1" applyAlignment="1">
      <alignment horizontal="center" vertical="center" wrapText="1"/>
    </xf>
    <xf numFmtId="1" fontId="29" fillId="0" borderId="141" xfId="0" applyNumberFormat="1" applyFont="1" applyBorder="1" applyAlignment="1">
      <alignment horizontal="center" vertical="center" wrapText="1"/>
    </xf>
    <xf numFmtId="1" fontId="29" fillId="0" borderId="9" xfId="0" applyNumberFormat="1" applyFont="1" applyBorder="1" applyAlignment="1">
      <alignment horizontal="center" vertical="center" wrapText="1"/>
    </xf>
    <xf numFmtId="1" fontId="29" fillId="0" borderId="108" xfId="0" applyNumberFormat="1" applyFont="1" applyBorder="1" applyAlignment="1">
      <alignment horizontal="center" vertical="center" wrapText="1"/>
    </xf>
    <xf numFmtId="1" fontId="29" fillId="0" borderId="13" xfId="0" applyNumberFormat="1" applyFont="1" applyBorder="1" applyAlignment="1">
      <alignment horizontal="center" vertical="center" wrapText="1"/>
    </xf>
    <xf numFmtId="1" fontId="29" fillId="0" borderId="2" xfId="0" applyNumberFormat="1" applyFont="1" applyBorder="1" applyAlignment="1">
      <alignment horizontal="center" vertical="center"/>
    </xf>
    <xf numFmtId="1" fontId="29" fillId="0" borderId="166" xfId="0" applyNumberFormat="1" applyFont="1" applyBorder="1" applyAlignment="1">
      <alignment wrapText="1"/>
    </xf>
    <xf numFmtId="1" fontId="29" fillId="0" borderId="49" xfId="0" applyNumberFormat="1" applyFont="1" applyBorder="1" applyAlignment="1">
      <alignment wrapText="1"/>
    </xf>
    <xf numFmtId="1" fontId="29" fillId="11" borderId="127" xfId="0" applyNumberFormat="1" applyFont="1" applyFill="1" applyBorder="1" applyAlignment="1">
      <alignment wrapText="1"/>
    </xf>
    <xf numFmtId="1" fontId="29" fillId="11" borderId="62" xfId="0" applyNumberFormat="1" applyFont="1" applyFill="1" applyBorder="1" applyAlignment="1">
      <alignment wrapText="1"/>
    </xf>
    <xf numFmtId="1" fontId="29" fillId="0" borderId="20" xfId="0" applyNumberFormat="1" applyFont="1" applyBorder="1" applyAlignment="1">
      <alignment horizontal="center" vertical="center"/>
    </xf>
    <xf numFmtId="1" fontId="29" fillId="0" borderId="134" xfId="0" applyNumberFormat="1" applyFont="1" applyBorder="1" applyAlignment="1">
      <alignment horizontal="center" vertical="center" wrapText="1"/>
    </xf>
    <xf numFmtId="0" fontId="29" fillId="0" borderId="8" xfId="0" applyFont="1" applyBorder="1" applyAlignment="1">
      <alignment wrapText="1"/>
    </xf>
    <xf numFmtId="0" fontId="29" fillId="0" borderId="7" xfId="0" applyFont="1" applyBorder="1" applyAlignment="1">
      <alignment wrapText="1"/>
    </xf>
    <xf numFmtId="1" fontId="29" fillId="0" borderId="2" xfId="0" applyNumberFormat="1" applyFont="1" applyBorder="1" applyAlignment="1">
      <alignment wrapText="1"/>
    </xf>
    <xf numFmtId="1" fontId="29" fillId="0" borderId="108" xfId="0" applyNumberFormat="1" applyFont="1" applyBorder="1" applyAlignment="1">
      <alignment horizontal="center" vertical="center"/>
    </xf>
    <xf numFmtId="1" fontId="29" fillId="0" borderId="9" xfId="0" applyNumberFormat="1" applyFont="1" applyBorder="1" applyAlignment="1">
      <alignment horizontal="center" vertical="center"/>
    </xf>
    <xf numFmtId="1" fontId="29" fillId="0" borderId="27" xfId="0" applyNumberFormat="1" applyFont="1" applyBorder="1" applyAlignment="1">
      <alignment horizontal="center" vertical="center"/>
    </xf>
    <xf numFmtId="1" fontId="29" fillId="0" borderId="16" xfId="0" applyNumberFormat="1" applyFont="1" applyBorder="1" applyAlignment="1">
      <alignment horizontal="center" vertical="center"/>
    </xf>
    <xf numFmtId="1" fontId="29" fillId="0" borderId="14" xfId="0" applyNumberFormat="1" applyFont="1" applyBorder="1" applyAlignment="1">
      <alignment horizontal="center" vertical="center"/>
    </xf>
    <xf numFmtId="1" fontId="29" fillId="0" borderId="36" xfId="0" applyNumberFormat="1" applyFont="1" applyBorder="1" applyAlignment="1">
      <alignment horizontal="center" vertical="center"/>
    </xf>
    <xf numFmtId="1" fontId="29" fillId="0" borderId="50" xfId="0" applyNumberFormat="1" applyFont="1" applyBorder="1" applyAlignment="1">
      <alignment horizontal="left" vertical="center"/>
    </xf>
    <xf numFmtId="1" fontId="29" fillId="0" borderId="36" xfId="0" applyNumberFormat="1" applyFont="1" applyBorder="1" applyAlignment="1">
      <alignment horizontal="left" vertical="center"/>
    </xf>
    <xf numFmtId="1" fontId="29" fillId="0" borderId="27" xfId="0" applyNumberFormat="1" applyFont="1" applyBorder="1" applyAlignment="1">
      <alignment horizontal="left" vertical="center"/>
    </xf>
    <xf numFmtId="1" fontId="29" fillId="0" borderId="18" xfId="0" applyNumberFormat="1" applyFont="1" applyBorder="1" applyAlignment="1" applyProtection="1">
      <alignment horizontal="left" vertical="center" wrapText="1"/>
      <protection hidden="1"/>
    </xf>
    <xf numFmtId="1" fontId="29" fillId="0" borderId="15" xfId="0" applyNumberFormat="1" applyFont="1" applyBorder="1" applyAlignment="1" applyProtection="1">
      <alignment horizontal="left" vertical="center" wrapText="1"/>
      <protection hidden="1"/>
    </xf>
    <xf numFmtId="1" fontId="29" fillId="0" borderId="6" xfId="0" applyNumberFormat="1" applyFont="1" applyBorder="1" applyAlignment="1" applyProtection="1">
      <alignment horizontal="center" vertical="center"/>
      <protection hidden="1"/>
    </xf>
    <xf numFmtId="1" fontId="29" fillId="0" borderId="8" xfId="0" applyNumberFormat="1" applyFont="1" applyBorder="1" applyAlignment="1" applyProtection="1">
      <alignment horizontal="center" vertical="center"/>
      <protection hidden="1"/>
    </xf>
    <xf numFmtId="1" fontId="29" fillId="0" borderId="20" xfId="0" applyNumberFormat="1" applyFont="1" applyBorder="1" applyAlignment="1" applyProtection="1">
      <alignment horizontal="center" vertical="center"/>
      <protection hidden="1"/>
    </xf>
    <xf numFmtId="1" fontId="29" fillId="0" borderId="0" xfId="0" applyNumberFormat="1" applyFont="1" applyAlignment="1">
      <alignment horizontal="center" vertical="center" wrapText="1"/>
    </xf>
    <xf numFmtId="1" fontId="29" fillId="0" borderId="128" xfId="0" applyNumberFormat="1" applyFont="1" applyBorder="1" applyAlignment="1">
      <alignment horizontal="left" wrapText="1"/>
    </xf>
    <xf numFmtId="1" fontId="29" fillId="0" borderId="103" xfId="0" applyNumberFormat="1" applyFont="1" applyBorder="1" applyAlignment="1">
      <alignment horizontal="left" wrapText="1"/>
    </xf>
    <xf numFmtId="1" fontId="29" fillId="0" borderId="127" xfId="0" applyNumberFormat="1" applyFont="1" applyBorder="1" applyAlignment="1">
      <alignment horizontal="left" wrapText="1"/>
    </xf>
    <xf numFmtId="1" fontId="29" fillId="0" borderId="62" xfId="0" applyNumberFormat="1" applyFont="1" applyBorder="1" applyAlignment="1">
      <alignment horizontal="left" wrapText="1"/>
    </xf>
    <xf numFmtId="1" fontId="29" fillId="0" borderId="127" xfId="0" applyNumberFormat="1" applyFont="1" applyBorder="1" applyAlignment="1">
      <alignment wrapText="1"/>
    </xf>
    <xf numFmtId="1" fontId="29" fillId="0" borderId="62" xfId="0" applyNumberFormat="1" applyFont="1" applyBorder="1" applyAlignment="1">
      <alignment wrapText="1"/>
    </xf>
    <xf numFmtId="1" fontId="29" fillId="0" borderId="18" xfId="0" applyNumberFormat="1" applyFont="1" applyBorder="1" applyAlignment="1" applyProtection="1">
      <alignment horizontal="center" vertical="center"/>
      <protection hidden="1"/>
    </xf>
    <xf numFmtId="1" fontId="29" fillId="0" borderId="19" xfId="0" applyNumberFormat="1" applyFont="1" applyBorder="1" applyAlignment="1" applyProtection="1">
      <alignment horizontal="center" vertical="center"/>
      <protection hidden="1"/>
    </xf>
    <xf numFmtId="1" fontId="29" fillId="0" borderId="15" xfId="0" applyNumberFormat="1" applyFont="1" applyBorder="1" applyAlignment="1" applyProtection="1">
      <alignment horizontal="center" vertical="center"/>
      <protection hidden="1"/>
    </xf>
    <xf numFmtId="1" fontId="29" fillId="0" borderId="18" xfId="0" applyNumberFormat="1" applyFont="1" applyBorder="1" applyAlignment="1" applyProtection="1">
      <alignment horizontal="center" vertical="center" wrapText="1"/>
      <protection hidden="1"/>
    </xf>
    <xf numFmtId="1" fontId="29" fillId="0" borderId="19" xfId="0" applyNumberFormat="1" applyFont="1" applyBorder="1" applyAlignment="1" applyProtection="1">
      <alignment horizontal="center" vertical="center" wrapText="1"/>
      <protection hidden="1"/>
    </xf>
    <xf numFmtId="1" fontId="29" fillId="0" borderId="15" xfId="0" applyNumberFormat="1" applyFont="1" applyBorder="1" applyAlignment="1" applyProtection="1">
      <alignment horizontal="center" vertical="center" wrapText="1"/>
      <protection hidden="1"/>
    </xf>
    <xf numFmtId="1" fontId="29" fillId="0" borderId="89" xfId="0" applyNumberFormat="1" applyFont="1" applyBorder="1" applyAlignment="1">
      <alignment horizontal="left" wrapText="1"/>
    </xf>
    <xf numFmtId="1" fontId="29" fillId="0" borderId="98" xfId="0" applyNumberFormat="1" applyFont="1" applyBorder="1" applyAlignment="1">
      <alignment horizontal="left" wrapText="1"/>
    </xf>
    <xf numFmtId="1" fontId="29" fillId="0" borderId="128" xfId="0" applyNumberFormat="1" applyFont="1" applyBorder="1" applyAlignment="1">
      <alignment horizontal="left" vertical="center" wrapText="1"/>
    </xf>
    <xf numFmtId="1" fontId="29" fillId="0" borderId="103" xfId="0" applyNumberFormat="1" applyFont="1" applyBorder="1" applyAlignment="1">
      <alignment horizontal="left" vertical="center" wrapText="1"/>
    </xf>
    <xf numFmtId="1" fontId="31" fillId="0" borderId="6" xfId="0" applyNumberFormat="1" applyFont="1" applyBorder="1" applyAlignment="1">
      <alignment wrapText="1"/>
    </xf>
    <xf numFmtId="1" fontId="31" fillId="0" borderId="7" xfId="0" applyNumberFormat="1" applyFont="1" applyBorder="1" applyAlignment="1">
      <alignment wrapText="1"/>
    </xf>
    <xf numFmtId="1" fontId="29" fillId="15" borderId="6" xfId="0" applyNumberFormat="1" applyFont="1" applyFill="1" applyBorder="1" applyAlignment="1">
      <alignment wrapText="1"/>
    </xf>
    <xf numFmtId="1" fontId="29" fillId="15" borderId="7" xfId="0" applyNumberFormat="1" applyFont="1" applyFill="1" applyBorder="1" applyAlignment="1">
      <alignment wrapText="1"/>
    </xf>
    <xf numFmtId="1" fontId="29" fillId="0" borderId="164" xfId="0" applyNumberFormat="1" applyFont="1" applyBorder="1" applyAlignment="1">
      <alignment horizontal="center" vertical="center" wrapText="1"/>
    </xf>
    <xf numFmtId="1" fontId="29" fillId="0" borderId="80" xfId="0" applyNumberFormat="1" applyFont="1" applyBorder="1" applyAlignment="1">
      <alignment horizontal="center" vertical="center" wrapText="1"/>
    </xf>
    <xf numFmtId="1" fontId="31" fillId="0" borderId="6" xfId="0" applyNumberFormat="1" applyFont="1" applyBorder="1"/>
    <xf numFmtId="1" fontId="31" fillId="0" borderId="7" xfId="0" applyNumberFormat="1" applyFont="1" applyBorder="1"/>
    <xf numFmtId="1" fontId="29" fillId="0" borderId="135" xfId="0" applyNumberFormat="1" applyFont="1" applyBorder="1" applyAlignment="1">
      <alignment horizontal="center" vertical="center" wrapText="1"/>
    </xf>
    <xf numFmtId="1" fontId="29" fillId="0" borderId="138" xfId="0" applyNumberFormat="1" applyFont="1" applyBorder="1" applyAlignment="1">
      <alignment horizontal="center" vertical="center" wrapText="1"/>
    </xf>
    <xf numFmtId="1" fontId="29" fillId="0" borderId="61" xfId="0" applyNumberFormat="1" applyFont="1" applyBorder="1" applyAlignment="1">
      <alignment horizontal="center" vertical="center" wrapText="1"/>
    </xf>
    <xf numFmtId="1" fontId="29" fillId="0" borderId="37" xfId="0" applyNumberFormat="1" applyFont="1" applyBorder="1" applyAlignment="1">
      <alignment horizontal="center" vertical="center" wrapText="1"/>
    </xf>
    <xf numFmtId="1" fontId="29" fillId="0" borderId="51" xfId="0" applyNumberFormat="1" applyFont="1" applyBorder="1" applyAlignment="1">
      <alignment horizontal="center" vertical="center" wrapText="1"/>
    </xf>
    <xf numFmtId="1" fontId="31" fillId="0" borderId="8" xfId="0" applyNumberFormat="1" applyFont="1" applyBorder="1"/>
    <xf numFmtId="1" fontId="29" fillId="0" borderId="269" xfId="0" applyNumberFormat="1" applyFont="1" applyBorder="1" applyAlignment="1">
      <alignment horizontal="center" vertical="center" wrapText="1"/>
    </xf>
    <xf numFmtId="1" fontId="29" fillId="0" borderId="15" xfId="0" applyNumberFormat="1" applyFont="1" applyBorder="1" applyAlignment="1">
      <alignment horizontal="center"/>
    </xf>
    <xf numFmtId="1" fontId="29" fillId="0" borderId="2" xfId="0" applyNumberFormat="1" applyFont="1" applyBorder="1" applyAlignment="1">
      <alignment horizontal="center"/>
    </xf>
    <xf numFmtId="1" fontId="29" fillId="0" borderId="16" xfId="0" applyNumberFormat="1" applyFont="1" applyBorder="1"/>
    <xf numFmtId="1" fontId="29" fillId="0" borderId="36" xfId="0" applyNumberFormat="1" applyFont="1" applyBorder="1"/>
    <xf numFmtId="1" fontId="29" fillId="0" borderId="6" xfId="0" applyNumberFormat="1" applyFont="1" applyBorder="1"/>
    <xf numFmtId="1" fontId="29" fillId="0" borderId="21" xfId="0" applyNumberFormat="1" applyFont="1" applyBorder="1" applyAlignment="1">
      <alignment horizontal="center" vertical="center" wrapText="1"/>
    </xf>
    <xf numFmtId="1" fontId="29" fillId="0" borderId="30" xfId="0" applyNumberFormat="1" applyFont="1" applyBorder="1" applyAlignment="1">
      <alignment horizontal="center" vertical="center" wrapText="1"/>
    </xf>
    <xf numFmtId="1" fontId="29" fillId="0" borderId="2" xfId="0" applyNumberFormat="1" applyFont="1" applyBorder="1" applyAlignment="1">
      <alignment horizontal="left" vertical="center" wrapText="1"/>
    </xf>
    <xf numFmtId="1" fontId="29" fillId="0" borderId="6" xfId="0" applyNumberFormat="1" applyFont="1" applyBorder="1" applyAlignment="1">
      <alignment wrapText="1"/>
    </xf>
    <xf numFmtId="1" fontId="29" fillId="0" borderId="7" xfId="0" applyNumberFormat="1" applyFont="1" applyBorder="1" applyAlignment="1">
      <alignment wrapText="1"/>
    </xf>
    <xf numFmtId="1" fontId="29" fillId="0" borderId="128" xfId="0" applyNumberFormat="1" applyFont="1" applyBorder="1" applyAlignment="1">
      <alignment wrapText="1"/>
    </xf>
    <xf numFmtId="1" fontId="29" fillId="0" borderId="103" xfId="0" applyNumberFormat="1" applyFont="1" applyBorder="1" applyAlignment="1">
      <alignment wrapText="1"/>
    </xf>
    <xf numFmtId="1" fontId="29" fillId="0" borderId="166" xfId="0" applyNumberFormat="1" applyFont="1" applyBorder="1" applyAlignment="1">
      <alignment horizontal="left"/>
    </xf>
    <xf numFmtId="1" fontId="29" fillId="0" borderId="49" xfId="0" applyNumberFormat="1" applyFont="1" applyBorder="1" applyAlignment="1">
      <alignment horizontal="left"/>
    </xf>
    <xf numFmtId="1" fontId="29" fillId="0" borderId="16" xfId="0" applyNumberFormat="1" applyFont="1" applyBorder="1" applyAlignment="1">
      <alignment horizontal="left"/>
    </xf>
    <xf numFmtId="1" fontId="29" fillId="0" borderId="36" xfId="0" applyNumberFormat="1" applyFont="1" applyBorder="1" applyAlignment="1">
      <alignment horizontal="left"/>
    </xf>
    <xf numFmtId="1" fontId="29" fillId="0" borderId="6" xfId="0" applyNumberFormat="1" applyFont="1" applyBorder="1" applyAlignment="1">
      <alignment horizontal="left" vertical="center" wrapText="1"/>
    </xf>
    <xf numFmtId="1" fontId="29" fillId="0" borderId="7" xfId="0" applyNumberFormat="1" applyFont="1" applyBorder="1" applyAlignment="1">
      <alignment horizontal="left" vertical="center" wrapText="1"/>
    </xf>
    <xf numFmtId="1" fontId="29" fillId="0" borderId="8" xfId="0" applyNumberFormat="1" applyFont="1" applyBorder="1" applyAlignment="1" applyProtection="1">
      <alignment wrapText="1"/>
      <protection hidden="1"/>
    </xf>
    <xf numFmtId="1" fontId="29" fillId="0" borderId="7" xfId="0" applyNumberFormat="1" applyFont="1" applyBorder="1" applyAlignment="1" applyProtection="1">
      <alignment wrapText="1"/>
      <protection hidden="1"/>
    </xf>
    <xf numFmtId="1" fontId="29" fillId="0" borderId="135" xfId="0" applyNumberFormat="1" applyFont="1" applyBorder="1" applyAlignment="1">
      <alignment horizontal="center"/>
    </xf>
    <xf numFmtId="1" fontId="29" fillId="0" borderId="8" xfId="0" applyNumberFormat="1" applyFont="1" applyBorder="1" applyAlignment="1">
      <alignment horizontal="center"/>
    </xf>
    <xf numFmtId="1" fontId="29" fillId="0" borderId="20" xfId="0" applyNumberFormat="1" applyFont="1" applyBorder="1" applyAlignment="1">
      <alignment horizontal="center"/>
    </xf>
    <xf numFmtId="1" fontId="29" fillId="0" borderId="212" xfId="0" applyNumberFormat="1" applyFont="1" applyBorder="1" applyAlignment="1">
      <alignment horizontal="center" vertical="center" wrapText="1"/>
    </xf>
    <xf numFmtId="1" fontId="29" fillId="0" borderId="156" xfId="0" applyNumberFormat="1" applyFont="1" applyBorder="1" applyAlignment="1">
      <alignment horizontal="center" vertical="center" wrapText="1"/>
    </xf>
    <xf numFmtId="1" fontId="29" fillId="11" borderId="2" xfId="0" applyNumberFormat="1" applyFont="1" applyFill="1" applyBorder="1" applyAlignment="1">
      <alignment horizontal="center" vertical="center" wrapText="1"/>
    </xf>
    <xf numFmtId="1" fontId="29" fillId="11" borderId="134" xfId="0" applyNumberFormat="1" applyFont="1" applyFill="1" applyBorder="1" applyAlignment="1">
      <alignment horizontal="center" vertical="center" wrapText="1"/>
    </xf>
    <xf numFmtId="1" fontId="29" fillId="0" borderId="89" xfId="0" applyNumberFormat="1" applyFont="1" applyBorder="1" applyAlignment="1">
      <alignment wrapText="1"/>
    </xf>
    <xf numFmtId="1" fontId="29" fillId="0" borderId="98" xfId="0" applyNumberFormat="1" applyFont="1" applyBorder="1" applyAlignment="1">
      <alignment wrapText="1"/>
    </xf>
    <xf numFmtId="1" fontId="27" fillId="0" borderId="0" xfId="0" applyNumberFormat="1" applyFont="1" applyAlignment="1">
      <alignment horizontal="center" vertical="center" wrapText="1"/>
    </xf>
    <xf numFmtId="1" fontId="29" fillId="0" borderId="323" xfId="0" applyNumberFormat="1" applyFont="1" applyBorder="1" applyAlignment="1">
      <alignment horizontal="center" vertical="center" wrapText="1"/>
    </xf>
    <xf numFmtId="1" fontId="29" fillId="0" borderId="92" xfId="0" applyNumberFormat="1" applyFont="1" applyBorder="1" applyAlignment="1">
      <alignment horizontal="center" vertical="center" wrapText="1"/>
    </xf>
    <xf numFmtId="1" fontId="29" fillId="7" borderId="8" xfId="0" applyNumberFormat="1" applyFont="1" applyFill="1" applyBorder="1" applyAlignment="1">
      <alignment horizontal="center" vertical="center" wrapText="1"/>
    </xf>
    <xf numFmtId="1" fontId="29" fillId="7" borderId="7" xfId="0" applyNumberFormat="1" applyFont="1" applyFill="1" applyBorder="1" applyAlignment="1">
      <alignment horizontal="center" vertical="center" wrapText="1"/>
    </xf>
    <xf numFmtId="1" fontId="29" fillId="0" borderId="274" xfId="0" applyNumberFormat="1" applyFont="1" applyBorder="1" applyAlignment="1">
      <alignment horizontal="center" vertical="center" wrapText="1"/>
    </xf>
    <xf numFmtId="1" fontId="29" fillId="0" borderId="79" xfId="0" applyNumberFormat="1" applyFont="1" applyBorder="1" applyAlignment="1">
      <alignment horizontal="center" vertical="center" wrapText="1"/>
    </xf>
    <xf numFmtId="1" fontId="29" fillId="0" borderId="277" xfId="0" applyNumberFormat="1" applyFont="1" applyBorder="1" applyAlignment="1">
      <alignment horizontal="center" vertical="center" wrapText="1"/>
    </xf>
    <xf numFmtId="1" fontId="29" fillId="0" borderId="74" xfId="0" applyNumberFormat="1" applyFont="1" applyBorder="1" applyAlignment="1">
      <alignment horizontal="center" vertical="center" wrapText="1"/>
    </xf>
    <xf numFmtId="1" fontId="29" fillId="0" borderId="89" xfId="0" applyNumberFormat="1" applyFont="1" applyBorder="1"/>
    <xf numFmtId="1" fontId="29" fillId="0" borderId="98" xfId="0" applyNumberFormat="1" applyFont="1" applyBorder="1"/>
    <xf numFmtId="1" fontId="29" fillId="0" borderId="127" xfId="0" applyNumberFormat="1" applyFont="1" applyBorder="1"/>
    <xf numFmtId="1" fontId="29" fillId="0" borderId="62" xfId="0" applyNumberFormat="1" applyFont="1" applyBorder="1"/>
    <xf numFmtId="1" fontId="29" fillId="0" borderId="8" xfId="0" applyNumberFormat="1" applyFont="1" applyBorder="1" applyAlignment="1" applyProtection="1">
      <alignment horizontal="left" wrapText="1"/>
      <protection hidden="1"/>
    </xf>
    <xf numFmtId="1" fontId="29" fillId="0" borderId="7" xfId="0" applyNumberFormat="1" applyFont="1" applyBorder="1" applyAlignment="1" applyProtection="1">
      <alignment horizontal="left" wrapText="1"/>
      <protection hidden="1"/>
    </xf>
    <xf numFmtId="1" fontId="29" fillId="0" borderId="18" xfId="0" applyNumberFormat="1" applyFont="1" applyBorder="1"/>
    <xf numFmtId="1" fontId="29" fillId="0" borderId="37" xfId="0" applyNumberFormat="1" applyFont="1" applyBorder="1"/>
    <xf numFmtId="1" fontId="29" fillId="0" borderId="6" xfId="0" applyNumberFormat="1" applyFont="1" applyBorder="1" applyAlignment="1">
      <alignment horizontal="left" wrapText="1"/>
    </xf>
    <xf numFmtId="1" fontId="29" fillId="0" borderId="7" xfId="0" applyNumberFormat="1" applyFont="1" applyBorder="1" applyAlignment="1">
      <alignment horizontal="left" wrapText="1"/>
    </xf>
    <xf numFmtId="1" fontId="29" fillId="0" borderId="133" xfId="0" applyNumberFormat="1" applyFont="1" applyBorder="1" applyAlignment="1">
      <alignment horizontal="center"/>
    </xf>
    <xf numFmtId="1" fontId="29" fillId="0" borderId="134" xfId="0" applyNumberFormat="1" applyFont="1" applyBorder="1" applyAlignment="1">
      <alignment horizontal="center"/>
    </xf>
    <xf numFmtId="1" fontId="29" fillId="0" borderId="177" xfId="0" applyNumberFormat="1" applyFont="1" applyBorder="1" applyAlignment="1">
      <alignment horizontal="center" vertical="center" wrapText="1"/>
    </xf>
    <xf numFmtId="1" fontId="29" fillId="0" borderId="17" xfId="0" applyNumberFormat="1" applyFont="1" applyBorder="1" applyAlignment="1">
      <alignment horizontal="center" vertical="center" wrapText="1"/>
    </xf>
    <xf numFmtId="0" fontId="29" fillId="0" borderId="18" xfId="0" applyFont="1" applyBorder="1" applyAlignment="1">
      <alignment horizontal="center" wrapText="1"/>
    </xf>
    <xf numFmtId="0" fontId="29" fillId="0" borderId="15" xfId="0" applyFont="1" applyBorder="1" applyAlignment="1">
      <alignment horizontal="center" wrapText="1"/>
    </xf>
    <xf numFmtId="0" fontId="29" fillId="0" borderId="320" xfId="0" applyFont="1" applyBorder="1" applyAlignment="1">
      <alignment horizontal="center" wrapText="1"/>
    </xf>
    <xf numFmtId="0" fontId="29" fillId="0" borderId="321" xfId="0" applyFont="1" applyBorder="1" applyAlignment="1">
      <alignment horizontal="center" wrapText="1"/>
    </xf>
    <xf numFmtId="0" fontId="29" fillId="0" borderId="164" xfId="0" applyFont="1" applyBorder="1" applyAlignment="1">
      <alignment horizontal="center" wrapText="1"/>
    </xf>
    <xf numFmtId="0" fontId="29" fillId="0" borderId="10" xfId="0" applyFont="1" applyBorder="1" applyAlignment="1">
      <alignment horizontal="center" wrapText="1"/>
    </xf>
    <xf numFmtId="1" fontId="29" fillId="0" borderId="381" xfId="0" applyNumberFormat="1" applyFont="1" applyBorder="1" applyAlignment="1">
      <alignment horizontal="center" vertical="center" wrapText="1"/>
    </xf>
    <xf numFmtId="1" fontId="29" fillId="0" borderId="382" xfId="0" applyNumberFormat="1" applyFont="1" applyBorder="1" applyAlignment="1">
      <alignment horizontal="center" vertical="center" wrapText="1"/>
    </xf>
    <xf numFmtId="1" fontId="29" fillId="0" borderId="298" xfId="0" applyNumberFormat="1" applyFont="1" applyBorder="1" applyAlignment="1">
      <alignment horizontal="center" vertical="center" wrapText="1"/>
    </xf>
    <xf numFmtId="0" fontId="29" fillId="11" borderId="9" xfId="0" applyFont="1" applyFill="1" applyBorder="1" applyAlignment="1">
      <alignment horizontal="center" vertical="center" wrapText="1"/>
    </xf>
    <xf numFmtId="1" fontId="29" fillId="11" borderId="18" xfId="0" applyNumberFormat="1" applyFont="1" applyFill="1" applyBorder="1" applyAlignment="1">
      <alignment horizontal="center" vertical="center" wrapText="1"/>
    </xf>
    <xf numFmtId="1" fontId="29" fillId="11" borderId="19" xfId="0" applyNumberFormat="1" applyFont="1" applyFill="1" applyBorder="1" applyAlignment="1">
      <alignment horizontal="center" vertical="center" wrapText="1"/>
    </xf>
    <xf numFmtId="1" fontId="29" fillId="11" borderId="15" xfId="0" applyNumberFormat="1" applyFont="1" applyFill="1" applyBorder="1" applyAlignment="1">
      <alignment horizontal="center" vertical="center" wrapText="1"/>
    </xf>
    <xf numFmtId="1" fontId="29" fillId="0" borderId="127" xfId="0" applyNumberFormat="1" applyFont="1" applyBorder="1" applyAlignment="1">
      <alignment horizontal="left"/>
    </xf>
    <xf numFmtId="1" fontId="29" fillId="0" borderId="62" xfId="0" applyNumberFormat="1" applyFont="1" applyBorder="1" applyAlignment="1">
      <alignment horizontal="left"/>
    </xf>
    <xf numFmtId="1" fontId="29" fillId="0" borderId="336" xfId="0" applyNumberFormat="1" applyFont="1" applyBorder="1" applyAlignment="1">
      <alignment horizontal="left"/>
    </xf>
    <xf numFmtId="1" fontId="29" fillId="0" borderId="337" xfId="0" applyNumberFormat="1" applyFont="1" applyBorder="1" applyAlignment="1">
      <alignment horizontal="left"/>
    </xf>
    <xf numFmtId="1" fontId="29" fillId="0" borderId="329" xfId="0" applyNumberFormat="1" applyFont="1" applyBorder="1" applyAlignment="1">
      <alignment horizontal="left" vertical="center" wrapText="1"/>
    </xf>
    <xf numFmtId="1" fontId="29" fillId="0" borderId="123" xfId="0" applyNumberFormat="1" applyFont="1" applyBorder="1" applyAlignment="1">
      <alignment horizontal="center" vertical="center" wrapText="1"/>
    </xf>
    <xf numFmtId="1" fontId="29" fillId="15" borderId="8" xfId="0" applyNumberFormat="1" applyFont="1" applyFill="1" applyBorder="1" applyAlignment="1">
      <alignment horizontal="center" vertical="center"/>
    </xf>
    <xf numFmtId="1" fontId="29" fillId="15" borderId="7" xfId="0" applyNumberFormat="1" applyFont="1" applyFill="1" applyBorder="1" applyAlignment="1">
      <alignment horizontal="center" vertical="center"/>
    </xf>
    <xf numFmtId="1" fontId="29" fillId="15" borderId="158" xfId="0" applyNumberFormat="1" applyFont="1" applyFill="1" applyBorder="1" applyAlignment="1">
      <alignment horizontal="center" vertical="center" wrapText="1"/>
    </xf>
    <xf numFmtId="1" fontId="29" fillId="15" borderId="76" xfId="0" applyNumberFormat="1" applyFont="1" applyFill="1" applyBorder="1" applyAlignment="1">
      <alignment horizontal="center" vertical="center" wrapText="1"/>
    </xf>
    <xf numFmtId="1" fontId="29" fillId="15" borderId="22" xfId="0" applyNumberFormat="1" applyFont="1" applyFill="1" applyBorder="1" applyAlignment="1">
      <alignment horizontal="center" vertical="center" wrapText="1"/>
    </xf>
    <xf numFmtId="1" fontId="29" fillId="15" borderId="31" xfId="0" applyNumberFormat="1" applyFont="1" applyFill="1" applyBorder="1" applyAlignment="1">
      <alignment horizontal="center" vertical="center" wrapText="1"/>
    </xf>
    <xf numFmtId="1" fontId="29" fillId="15" borderId="70" xfId="0" applyNumberFormat="1" applyFont="1" applyFill="1" applyBorder="1" applyAlignment="1">
      <alignment horizontal="center" vertical="center" wrapText="1"/>
    </xf>
    <xf numFmtId="1" fontId="29" fillId="15" borderId="0" xfId="0" applyNumberFormat="1" applyFont="1" applyFill="1" applyAlignment="1">
      <alignment horizontal="center" vertical="center" wrapText="1"/>
    </xf>
    <xf numFmtId="1" fontId="29" fillId="15" borderId="14" xfId="0" applyNumberFormat="1" applyFont="1" applyFill="1" applyBorder="1" applyAlignment="1">
      <alignment horizontal="center" vertical="center" wrapText="1"/>
    </xf>
    <xf numFmtId="1" fontId="31" fillId="11" borderId="284" xfId="0" applyNumberFormat="1" applyFont="1" applyFill="1" applyBorder="1" applyAlignment="1">
      <alignment horizontal="left"/>
    </xf>
    <xf numFmtId="1" fontId="31" fillId="11" borderId="8" xfId="0" applyNumberFormat="1" applyFont="1" applyFill="1" applyBorder="1" applyAlignment="1">
      <alignment horizontal="left"/>
    </xf>
    <xf numFmtId="1" fontId="29" fillId="0" borderId="384" xfId="0" applyNumberFormat="1" applyFont="1" applyBorder="1" applyAlignment="1">
      <alignment horizontal="center" vertical="center" wrapText="1"/>
    </xf>
    <xf numFmtId="1" fontId="29" fillId="0" borderId="184" xfId="0" applyNumberFormat="1" applyFont="1" applyBorder="1" applyAlignment="1">
      <alignment horizontal="center" vertical="center" wrapText="1"/>
    </xf>
    <xf numFmtId="1" fontId="29" fillId="0" borderId="328" xfId="0" applyNumberFormat="1" applyFont="1" applyBorder="1" applyAlignment="1">
      <alignment horizontal="center" vertical="center" wrapText="1"/>
    </xf>
    <xf numFmtId="1" fontId="29" fillId="0" borderId="385" xfId="0" applyNumberFormat="1" applyFont="1" applyBorder="1" applyAlignment="1">
      <alignment horizontal="center" vertical="center" wrapText="1"/>
    </xf>
    <xf numFmtId="1" fontId="29" fillId="0" borderId="153" xfId="0" applyNumberFormat="1" applyFont="1" applyBorder="1" applyAlignment="1">
      <alignment horizontal="center" vertical="center" wrapText="1"/>
    </xf>
    <xf numFmtId="1" fontId="29" fillId="0" borderId="386" xfId="0" applyNumberFormat="1" applyFont="1" applyBorder="1" applyAlignment="1">
      <alignment horizontal="center" vertical="center" wrapText="1"/>
    </xf>
    <xf numFmtId="1" fontId="29" fillId="0" borderId="387" xfId="0" applyNumberFormat="1" applyFont="1" applyBorder="1" applyAlignment="1">
      <alignment horizontal="center" vertical="center" wrapText="1"/>
    </xf>
    <xf numFmtId="1" fontId="29" fillId="0" borderId="182" xfId="0" applyNumberFormat="1" applyFont="1" applyBorder="1" applyAlignment="1">
      <alignment horizontal="center" vertical="center" wrapText="1"/>
    </xf>
    <xf numFmtId="1" fontId="29" fillId="0" borderId="164" xfId="0" applyNumberFormat="1" applyFont="1" applyBorder="1" applyAlignment="1" applyProtection="1">
      <alignment horizontal="center" vertical="center" wrapText="1"/>
      <protection hidden="1"/>
    </xf>
    <xf numFmtId="1" fontId="29" fillId="0" borderId="80" xfId="0" applyNumberFormat="1" applyFont="1" applyBorder="1" applyAlignment="1" applyProtection="1">
      <alignment horizontal="center" vertical="center" wrapText="1"/>
      <protection hidden="1"/>
    </xf>
    <xf numFmtId="1" fontId="29" fillId="0" borderId="27" xfId="0" applyNumberFormat="1" applyFont="1" applyBorder="1" applyAlignment="1" applyProtection="1">
      <alignment horizontal="center" vertical="center" wrapText="1"/>
      <protection hidden="1"/>
    </xf>
    <xf numFmtId="1" fontId="29" fillId="0" borderId="36" xfId="0" applyNumberFormat="1" applyFont="1" applyBorder="1" applyAlignment="1" applyProtection="1">
      <alignment horizontal="center" vertical="center" wrapText="1"/>
      <protection hidden="1"/>
    </xf>
    <xf numFmtId="1" fontId="29" fillId="0" borderId="108" xfId="0" applyNumberFormat="1" applyFont="1" applyBorder="1" applyAlignment="1" applyProtection="1">
      <alignment horizontal="center" vertical="center" wrapText="1"/>
      <protection hidden="1"/>
    </xf>
    <xf numFmtId="1" fontId="29" fillId="0" borderId="16" xfId="0" applyNumberFormat="1" applyFont="1" applyBorder="1" applyAlignment="1" applyProtection="1">
      <alignment horizontal="center" vertical="center" wrapText="1"/>
      <protection hidden="1"/>
    </xf>
    <xf numFmtId="1" fontId="29" fillId="0" borderId="129" xfId="0" applyNumberFormat="1" applyFont="1" applyBorder="1" applyAlignment="1" applyProtection="1">
      <alignment horizontal="center" vertical="center" wrapText="1"/>
      <protection hidden="1"/>
    </xf>
    <xf numFmtId="1" fontId="29" fillId="0" borderId="130" xfId="0" applyNumberFormat="1" applyFont="1" applyBorder="1" applyAlignment="1" applyProtection="1">
      <alignment horizontal="center" vertical="center" wrapText="1"/>
      <protection hidden="1"/>
    </xf>
    <xf numFmtId="1" fontId="29" fillId="0" borderId="177" xfId="0" applyNumberFormat="1" applyFont="1" applyBorder="1" applyAlignment="1" applyProtection="1">
      <alignment horizontal="center" vertical="center" wrapText="1"/>
      <protection hidden="1"/>
    </xf>
    <xf numFmtId="1" fontId="29" fillId="0" borderId="17" xfId="0" applyNumberFormat="1" applyFont="1" applyBorder="1" applyAlignment="1" applyProtection="1">
      <alignment horizontal="center" vertical="center" wrapText="1"/>
      <protection hidden="1"/>
    </xf>
    <xf numFmtId="1" fontId="29" fillId="0" borderId="18" xfId="0" applyNumberFormat="1" applyFont="1" applyBorder="1" applyAlignment="1">
      <alignment horizontal="center" vertical="center"/>
    </xf>
    <xf numFmtId="1" fontId="29" fillId="0" borderId="19" xfId="0" applyNumberFormat="1" applyFont="1" applyBorder="1" applyAlignment="1">
      <alignment horizontal="center" vertical="center"/>
    </xf>
    <xf numFmtId="1" fontId="29" fillId="0" borderId="15" xfId="0" applyNumberFormat="1" applyFont="1" applyBorder="1" applyAlignment="1">
      <alignment horizontal="center" vertical="center"/>
    </xf>
    <xf numFmtId="1" fontId="29" fillId="0" borderId="149" xfId="0" applyNumberFormat="1" applyFont="1" applyBorder="1" applyAlignment="1">
      <alignment horizontal="center" vertical="center" wrapText="1"/>
    </xf>
    <xf numFmtId="1" fontId="29" fillId="0" borderId="70" xfId="0" applyNumberFormat="1" applyFont="1" applyBorder="1" applyAlignment="1">
      <alignment horizontal="center" vertical="center" wrapText="1"/>
    </xf>
    <xf numFmtId="1" fontId="29" fillId="0" borderId="213" xfId="0" applyNumberFormat="1" applyFont="1" applyBorder="1" applyAlignment="1">
      <alignment horizontal="center" vertical="center" wrapText="1"/>
    </xf>
    <xf numFmtId="1" fontId="29" fillId="0" borderId="273" xfId="0" applyNumberFormat="1" applyFont="1" applyBorder="1" applyAlignment="1">
      <alignment horizontal="center" vertical="center" wrapText="1"/>
    </xf>
    <xf numFmtId="1" fontId="29" fillId="0" borderId="275" xfId="0" applyNumberFormat="1" applyFont="1" applyBorder="1" applyAlignment="1">
      <alignment horizontal="center" vertical="center" wrapText="1"/>
    </xf>
    <xf numFmtId="1" fontId="29" fillId="0" borderId="276" xfId="0" applyNumberFormat="1" applyFont="1" applyBorder="1" applyAlignment="1">
      <alignment horizontal="center" vertical="center" wrapText="1"/>
    </xf>
    <xf numFmtId="1" fontId="29" fillId="0" borderId="409" xfId="0" applyNumberFormat="1" applyFont="1" applyBorder="1" applyAlignment="1">
      <alignment horizontal="center" vertical="center" wrapText="1"/>
    </xf>
    <xf numFmtId="1" fontId="29" fillId="0" borderId="324" xfId="0" applyNumberFormat="1" applyFont="1" applyBorder="1" applyAlignment="1">
      <alignment horizontal="center" vertical="center" wrapText="1"/>
    </xf>
    <xf numFmtId="1" fontId="29" fillId="0" borderId="322" xfId="0" applyNumberFormat="1" applyFont="1" applyBorder="1" applyAlignment="1">
      <alignment horizontal="center" vertical="center" wrapText="1"/>
    </xf>
    <xf numFmtId="1" fontId="29" fillId="0" borderId="164" xfId="0" applyNumberFormat="1" applyFont="1" applyBorder="1" applyAlignment="1">
      <alignment horizontal="center" wrapText="1"/>
    </xf>
    <xf numFmtId="1" fontId="29" fillId="0" borderId="80" xfId="0" applyNumberFormat="1" applyFont="1" applyBorder="1" applyAlignment="1">
      <alignment horizontal="center" wrapText="1"/>
    </xf>
    <xf numFmtId="1" fontId="31" fillId="0" borderId="14" xfId="0" applyNumberFormat="1" applyFont="1" applyBorder="1" applyAlignment="1">
      <alignment horizontal="left"/>
    </xf>
    <xf numFmtId="0" fontId="29" fillId="11" borderId="18" xfId="0" applyFont="1" applyFill="1" applyBorder="1" applyAlignment="1">
      <alignment horizontal="left" vertical="center" wrapText="1"/>
    </xf>
    <xf numFmtId="0" fontId="29" fillId="11" borderId="19" xfId="0" applyFont="1" applyFill="1" applyBorder="1" applyAlignment="1">
      <alignment horizontal="left" vertical="center" wrapText="1"/>
    </xf>
    <xf numFmtId="0" fontId="29" fillId="11" borderId="15" xfId="0" applyFont="1" applyFill="1" applyBorder="1" applyAlignment="1">
      <alignment horizontal="left" vertical="center" wrapText="1"/>
    </xf>
    <xf numFmtId="1" fontId="29" fillId="11" borderId="442" xfId="0" applyNumberFormat="1" applyFont="1" applyFill="1" applyBorder="1" applyAlignment="1">
      <alignment horizontal="center" vertical="center" wrapText="1"/>
    </xf>
    <xf numFmtId="1" fontId="29" fillId="11" borderId="443" xfId="0" applyNumberFormat="1" applyFont="1" applyFill="1" applyBorder="1" applyAlignment="1">
      <alignment horizontal="center" vertical="center" wrapText="1"/>
    </xf>
    <xf numFmtId="1" fontId="29" fillId="0" borderId="410" xfId="0" applyNumberFormat="1" applyFont="1" applyBorder="1" applyAlignment="1">
      <alignment horizontal="center" vertical="center" wrapText="1"/>
    </xf>
    <xf numFmtId="1" fontId="29" fillId="0" borderId="413" xfId="0" applyNumberFormat="1" applyFont="1" applyBorder="1" applyAlignment="1">
      <alignment horizontal="center" vertical="center" wrapText="1"/>
    </xf>
    <xf numFmtId="1" fontId="29" fillId="0" borderId="416" xfId="0" applyNumberFormat="1" applyFont="1" applyBorder="1" applyAlignment="1">
      <alignment horizontal="center" vertical="center" wrapText="1"/>
    </xf>
    <xf numFmtId="1" fontId="29" fillId="0" borderId="437" xfId="0" applyNumberFormat="1" applyFont="1" applyBorder="1" applyAlignment="1">
      <alignment horizontal="center" vertical="center" wrapText="1"/>
    </xf>
    <xf numFmtId="1" fontId="29" fillId="0" borderId="438" xfId="0" applyNumberFormat="1" applyFont="1" applyBorder="1" applyAlignment="1">
      <alignment horizontal="center" vertical="center" wrapText="1"/>
    </xf>
    <xf numFmtId="1" fontId="29" fillId="0" borderId="439" xfId="0" applyNumberFormat="1" applyFont="1" applyBorder="1" applyAlignment="1">
      <alignment horizontal="center" vertical="center" wrapText="1"/>
    </xf>
    <xf numFmtId="1" fontId="29" fillId="0" borderId="22" xfId="0" applyNumberFormat="1" applyFont="1" applyBorder="1" applyAlignment="1" applyProtection="1">
      <alignment horizontal="center" vertical="center" wrapText="1"/>
      <protection hidden="1"/>
    </xf>
    <xf numFmtId="1" fontId="29" fillId="0" borderId="31" xfId="0" applyNumberFormat="1" applyFont="1" applyBorder="1" applyAlignment="1" applyProtection="1">
      <alignment horizontal="center" vertical="center" wrapText="1"/>
      <protection hidden="1"/>
    </xf>
    <xf numFmtId="1" fontId="29" fillId="0" borderId="6" xfId="0" applyNumberFormat="1" applyFont="1" applyBorder="1" applyAlignment="1" applyProtection="1">
      <alignment horizontal="center" vertical="center" wrapText="1"/>
      <protection hidden="1"/>
    </xf>
    <xf numFmtId="1" fontId="29" fillId="0" borderId="7" xfId="0" applyNumberFormat="1" applyFont="1" applyBorder="1" applyAlignment="1" applyProtection="1">
      <alignment horizontal="center" vertical="center" wrapText="1"/>
      <protection hidden="1"/>
    </xf>
    <xf numFmtId="1" fontId="29" fillId="0" borderId="2" xfId="0" applyNumberFormat="1" applyFont="1" applyBorder="1" applyAlignment="1" applyProtection="1">
      <alignment horizontal="center" vertical="center" wrapText="1"/>
      <protection hidden="1"/>
    </xf>
    <xf numFmtId="1" fontId="29" fillId="0" borderId="134" xfId="0" applyNumberFormat="1" applyFont="1" applyBorder="1" applyAlignment="1" applyProtection="1">
      <alignment horizontal="center" vertical="center" wrapText="1"/>
      <protection hidden="1"/>
    </xf>
    <xf numFmtId="1" fontId="29" fillId="0" borderId="19" xfId="0" applyNumberFormat="1" applyFont="1" applyBorder="1" applyAlignment="1" applyProtection="1">
      <alignment horizontal="left" vertical="center" wrapText="1"/>
      <protection hidden="1"/>
    </xf>
    <xf numFmtId="1" fontId="31" fillId="0" borderId="8" xfId="0" applyNumberFormat="1" applyFont="1" applyBorder="1" applyAlignment="1" applyProtection="1">
      <alignment horizontal="left" wrapText="1"/>
      <protection hidden="1"/>
    </xf>
    <xf numFmtId="1" fontId="29" fillId="0" borderId="108" xfId="0" applyNumberFormat="1" applyFont="1" applyBorder="1" applyAlignment="1" applyProtection="1">
      <alignment horizontal="center" vertical="center"/>
      <protection hidden="1"/>
    </xf>
    <xf numFmtId="1" fontId="29" fillId="0" borderId="27" xfId="0" applyNumberFormat="1" applyFont="1" applyBorder="1" applyAlignment="1" applyProtection="1">
      <alignment horizontal="center" vertical="center"/>
      <protection hidden="1"/>
    </xf>
    <xf numFmtId="1" fontId="29" fillId="0" borderId="13" xfId="0" applyNumberFormat="1" applyFont="1" applyBorder="1" applyAlignment="1" applyProtection="1">
      <alignment horizontal="center" vertical="center"/>
      <protection hidden="1"/>
    </xf>
    <xf numFmtId="1" fontId="29" fillId="0" borderId="50" xfId="0" applyNumberFormat="1" applyFont="1" applyBorder="1" applyAlignment="1" applyProtection="1">
      <alignment horizontal="center" vertical="center"/>
      <protection hidden="1"/>
    </xf>
    <xf numFmtId="1" fontId="29" fillId="0" borderId="16" xfId="0" applyNumberFormat="1" applyFont="1" applyBorder="1" applyAlignment="1" applyProtection="1">
      <alignment horizontal="center" vertical="center"/>
      <protection hidden="1"/>
    </xf>
    <xf numFmtId="1" fontId="29" fillId="0" borderId="36" xfId="0" applyNumberFormat="1" applyFont="1" applyBorder="1" applyAlignment="1" applyProtection="1">
      <alignment horizontal="center" vertical="center"/>
      <protection hidden="1"/>
    </xf>
    <xf numFmtId="1" fontId="29" fillId="0" borderId="9" xfId="0" applyNumberFormat="1" applyFont="1" applyBorder="1" applyAlignment="1" applyProtection="1">
      <alignment horizontal="center" vertical="center" wrapText="1"/>
      <protection hidden="1"/>
    </xf>
    <xf numFmtId="1" fontId="29" fillId="0" borderId="14" xfId="0" applyNumberFormat="1" applyFont="1" applyBorder="1" applyAlignment="1" applyProtection="1">
      <alignment horizontal="center" vertical="center" wrapText="1"/>
      <protection hidden="1"/>
    </xf>
    <xf numFmtId="1" fontId="29" fillId="0" borderId="8" xfId="0" applyNumberFormat="1" applyFont="1" applyBorder="1" applyAlignment="1" applyProtection="1">
      <alignment horizontal="center" vertical="center" wrapText="1"/>
      <protection hidden="1"/>
    </xf>
    <xf numFmtId="1" fontId="29" fillId="0" borderId="20" xfId="0" applyNumberFormat="1" applyFont="1" applyBorder="1" applyAlignment="1" applyProtection="1">
      <alignment horizontal="center" vertical="center" wrapText="1"/>
      <protection hidden="1"/>
    </xf>
    <xf numFmtId="0" fontId="29" fillId="11" borderId="6" xfId="0" applyFont="1" applyFill="1" applyBorder="1" applyAlignment="1">
      <alignment horizontal="center" vertical="center"/>
    </xf>
    <xf numFmtId="0" fontId="29" fillId="11" borderId="8" xfId="0" applyFont="1" applyFill="1" applyBorder="1" applyAlignment="1">
      <alignment horizontal="center" vertical="center"/>
    </xf>
    <xf numFmtId="0" fontId="29" fillId="11" borderId="7" xfId="0" applyFont="1" applyFill="1" applyBorder="1" applyAlignment="1">
      <alignment horizontal="center" vertical="center"/>
    </xf>
    <xf numFmtId="1" fontId="29" fillId="0" borderId="10" xfId="0" applyNumberFormat="1" applyFont="1" applyBorder="1" applyAlignment="1">
      <alignment horizontal="center" vertical="center" wrapText="1"/>
    </xf>
    <xf numFmtId="1" fontId="29" fillId="0" borderId="12" xfId="0" applyNumberFormat="1" applyFont="1" applyBorder="1" applyAlignment="1">
      <alignment horizontal="center" vertical="center" wrapText="1"/>
    </xf>
    <xf numFmtId="1" fontId="29" fillId="0" borderId="411" xfId="0" applyNumberFormat="1" applyFont="1" applyBorder="1" applyAlignment="1">
      <alignment horizontal="center" vertical="center" wrapText="1"/>
    </xf>
    <xf numFmtId="1" fontId="29" fillId="0" borderId="414" xfId="0" applyNumberFormat="1" applyFont="1" applyBorder="1" applyAlignment="1">
      <alignment horizontal="center" vertical="center" wrapText="1"/>
    </xf>
    <xf numFmtId="1" fontId="29" fillId="0" borderId="417" xfId="0" applyNumberFormat="1" applyFont="1" applyBorder="1" applyAlignment="1">
      <alignment horizontal="center" vertical="center" wrapText="1"/>
    </xf>
    <xf numFmtId="1" fontId="29" fillId="0" borderId="408" xfId="0" applyNumberFormat="1" applyFont="1" applyBorder="1" applyAlignment="1">
      <alignment horizontal="center" vertical="center" wrapText="1"/>
    </xf>
    <xf numFmtId="1" fontId="29" fillId="0" borderId="412" xfId="0" applyNumberFormat="1" applyFont="1" applyBorder="1" applyAlignment="1">
      <alignment horizontal="center" vertical="center" wrapText="1"/>
    </xf>
    <xf numFmtId="1" fontId="29" fillId="0" borderId="415" xfId="0" applyNumberFormat="1" applyFont="1" applyBorder="1" applyAlignment="1">
      <alignment horizontal="center" vertical="center" wrapText="1"/>
    </xf>
    <xf numFmtId="1" fontId="29" fillId="0" borderId="81" xfId="0" applyNumberFormat="1" applyFont="1" applyBorder="1" applyAlignment="1">
      <alignment horizontal="center" vertical="center" wrapText="1"/>
    </xf>
    <xf numFmtId="0" fontId="53" fillId="0" borderId="60" xfId="0" applyFont="1" applyBorder="1"/>
    <xf numFmtId="1" fontId="31" fillId="0" borderId="26" xfId="0" applyNumberFormat="1" applyFont="1" applyBorder="1" applyAlignment="1">
      <alignment horizontal="left"/>
    </xf>
    <xf numFmtId="1" fontId="31" fillId="0" borderId="9" xfId="0" applyNumberFormat="1" applyFont="1" applyBorder="1" applyAlignment="1">
      <alignment horizontal="left"/>
    </xf>
    <xf numFmtId="0" fontId="29" fillId="0" borderId="16" xfId="0" applyFont="1" applyBorder="1" applyAlignment="1">
      <alignment horizontal="center" vertical="center"/>
    </xf>
    <xf numFmtId="0" fontId="29" fillId="0" borderId="36" xfId="0" applyFont="1" applyBorder="1" applyAlignment="1">
      <alignment horizontal="center" vertical="center"/>
    </xf>
    <xf numFmtId="16" fontId="29" fillId="0" borderId="16" xfId="0" applyNumberFormat="1" applyFont="1" applyBorder="1" applyAlignment="1">
      <alignment horizontal="center" vertical="center"/>
    </xf>
    <xf numFmtId="17" fontId="29" fillId="0" borderId="16" xfId="0" applyNumberFormat="1" applyFont="1" applyBorder="1" applyAlignment="1">
      <alignment horizontal="center" vertical="center"/>
    </xf>
    <xf numFmtId="17" fontId="29" fillId="0" borderId="36" xfId="0" applyNumberFormat="1" applyFont="1" applyBorder="1" applyAlignment="1">
      <alignment horizontal="center" vertical="center"/>
    </xf>
    <xf numFmtId="0" fontId="29" fillId="0" borderId="221" xfId="0" applyFont="1" applyBorder="1" applyAlignment="1">
      <alignment horizontal="center" vertical="center"/>
    </xf>
    <xf numFmtId="0" fontId="29" fillId="0" borderId="466" xfId="0" applyFont="1" applyBorder="1" applyAlignment="1">
      <alignment horizontal="center" vertical="center"/>
    </xf>
    <xf numFmtId="0" fontId="29" fillId="0" borderId="183" xfId="0" applyFont="1" applyBorder="1" applyAlignment="1">
      <alignment horizontal="center" vertical="center"/>
    </xf>
    <xf numFmtId="0" fontId="29" fillId="0" borderId="182" xfId="0" applyFont="1" applyBorder="1" applyAlignment="1">
      <alignment horizontal="center" vertical="center"/>
    </xf>
    <xf numFmtId="0" fontId="29" fillId="0" borderId="13" xfId="0" applyFont="1" applyBorder="1" applyAlignment="1">
      <alignment horizontal="center" vertical="center"/>
    </xf>
    <xf numFmtId="0" fontId="29" fillId="0" borderId="50" xfId="0" applyFont="1" applyBorder="1" applyAlignment="1">
      <alignment horizontal="center" vertical="center"/>
    </xf>
    <xf numFmtId="0" fontId="29" fillId="0" borderId="10" xfId="0" applyFont="1" applyBorder="1" applyAlignment="1">
      <alignment horizontal="center" vertical="center"/>
    </xf>
    <xf numFmtId="0" fontId="29" fillId="0" borderId="11" xfId="0" applyFont="1" applyBorder="1" applyAlignment="1">
      <alignment horizontal="center" vertical="center"/>
    </xf>
    <xf numFmtId="0" fontId="29" fillId="0" borderId="8" xfId="0" applyFont="1" applyBorder="1" applyAlignment="1">
      <alignment horizontal="center" vertical="center"/>
    </xf>
    <xf numFmtId="0" fontId="29" fillId="0" borderId="7" xfId="0" applyFont="1" applyBorder="1" applyAlignment="1">
      <alignment horizontal="center" vertical="center"/>
    </xf>
    <xf numFmtId="0" fontId="29" fillId="0" borderId="2" xfId="0" applyFont="1" applyBorder="1" applyAlignment="1">
      <alignment horizontal="center" wrapText="1"/>
    </xf>
    <xf numFmtId="0" fontId="29" fillId="0" borderId="50" xfId="0" applyFont="1" applyBorder="1" applyAlignment="1">
      <alignment horizontal="left" vertical="center" wrapText="1"/>
    </xf>
    <xf numFmtId="0" fontId="29" fillId="0" borderId="36" xfId="0" applyFont="1" applyBorder="1" applyAlignment="1">
      <alignment horizontal="left" vertical="center" wrapText="1"/>
    </xf>
    <xf numFmtId="0" fontId="29" fillId="0" borderId="274" xfId="0" applyFont="1" applyBorder="1" applyAlignment="1">
      <alignment horizontal="center" vertical="center" wrapText="1"/>
    </xf>
    <xf numFmtId="0" fontId="29" fillId="0" borderId="79" xfId="0" applyFont="1" applyBorder="1" applyAlignment="1">
      <alignment horizontal="center" vertical="center" wrapText="1"/>
    </xf>
    <xf numFmtId="0" fontId="29" fillId="0" borderId="277" xfId="0" applyFont="1" applyBorder="1" applyAlignment="1">
      <alignment horizontal="center" vertical="center" wrapText="1"/>
    </xf>
    <xf numFmtId="0" fontId="29" fillId="0" borderId="274" xfId="0" applyFont="1" applyBorder="1" applyAlignment="1">
      <alignment horizontal="center" vertical="center"/>
    </xf>
    <xf numFmtId="0" fontId="29" fillId="0" borderId="79" xfId="0" applyFont="1" applyBorder="1" applyAlignment="1">
      <alignment horizontal="center" vertical="center"/>
    </xf>
    <xf numFmtId="0" fontId="29" fillId="0" borderId="277" xfId="0" applyFont="1" applyBorder="1" applyAlignment="1">
      <alignment horizontal="center" vertical="center"/>
    </xf>
    <xf numFmtId="1" fontId="29" fillId="0" borderId="447" xfId="0" applyNumberFormat="1" applyFont="1" applyBorder="1" applyAlignment="1">
      <alignment horizontal="center" vertical="center" wrapText="1"/>
    </xf>
    <xf numFmtId="1" fontId="29" fillId="0" borderId="450" xfId="0" applyNumberFormat="1" applyFont="1" applyBorder="1" applyAlignment="1">
      <alignment horizontal="center" vertical="center" wrapText="1"/>
    </xf>
    <xf numFmtId="1" fontId="29" fillId="0" borderId="453" xfId="0" applyNumberFormat="1" applyFont="1" applyBorder="1" applyAlignment="1">
      <alignment horizontal="center" vertical="center" wrapText="1"/>
    </xf>
    <xf numFmtId="1" fontId="29" fillId="0" borderId="128" xfId="0" applyNumberFormat="1" applyFont="1" applyBorder="1" applyAlignment="1">
      <alignment horizontal="left" vertical="center"/>
    </xf>
    <xf numFmtId="1" fontId="29" fillId="0" borderId="103" xfId="0" applyNumberFormat="1" applyFont="1" applyBorder="1" applyAlignment="1">
      <alignment horizontal="left" vertical="center"/>
    </xf>
    <xf numFmtId="1" fontId="29" fillId="0" borderId="127" xfId="0" applyNumberFormat="1" applyFont="1" applyBorder="1" applyAlignment="1">
      <alignment horizontal="left" vertical="center"/>
    </xf>
    <xf numFmtId="1" fontId="29" fillId="0" borderId="62" xfId="0" applyNumberFormat="1" applyFont="1" applyBorder="1" applyAlignment="1">
      <alignment horizontal="left" vertical="center"/>
    </xf>
    <xf numFmtId="1" fontId="29" fillId="0" borderId="212" xfId="0" applyNumberFormat="1" applyFont="1" applyBorder="1" applyAlignment="1">
      <alignment horizontal="center" vertical="center"/>
    </xf>
    <xf numFmtId="1" fontId="29" fillId="0" borderId="156" xfId="0" applyNumberFormat="1" applyFont="1" applyBorder="1" applyAlignment="1">
      <alignment horizontal="center" vertical="center"/>
    </xf>
    <xf numFmtId="1" fontId="29" fillId="11" borderId="9" xfId="0" applyNumberFormat="1" applyFont="1" applyFill="1" applyBorder="1" applyAlignment="1">
      <alignment horizontal="center" vertical="center" wrapText="1"/>
    </xf>
    <xf numFmtId="1" fontId="29" fillId="11" borderId="27" xfId="0" applyNumberFormat="1" applyFont="1" applyFill="1" applyBorder="1" applyAlignment="1">
      <alignment horizontal="center" vertical="center" wrapText="1"/>
    </xf>
    <xf numFmtId="1" fontId="29" fillId="11" borderId="14" xfId="0" applyNumberFormat="1" applyFont="1" applyFill="1" applyBorder="1" applyAlignment="1">
      <alignment horizontal="center" vertical="center" wrapText="1"/>
    </xf>
    <xf numFmtId="1" fontId="29" fillId="11" borderId="36" xfId="0" applyNumberFormat="1" applyFont="1" applyFill="1" applyBorder="1" applyAlignment="1">
      <alignment horizontal="center" vertical="center" wrapText="1"/>
    </xf>
    <xf numFmtId="1" fontId="29" fillId="0" borderId="89" xfId="0" applyNumberFormat="1" applyFont="1" applyBorder="1" applyAlignment="1">
      <alignment horizontal="left" vertical="center"/>
    </xf>
    <xf numFmtId="1" fontId="29" fillId="0" borderId="98" xfId="0" applyNumberFormat="1" applyFont="1" applyBorder="1" applyAlignment="1">
      <alignment horizontal="left" vertical="center"/>
    </xf>
    <xf numFmtId="1" fontId="29" fillId="11" borderId="108" xfId="0" applyNumberFormat="1" applyFont="1" applyFill="1" applyBorder="1" applyAlignment="1">
      <alignment horizontal="center" vertical="center" wrapText="1"/>
    </xf>
    <xf numFmtId="1" fontId="29" fillId="11" borderId="6" xfId="0" applyNumberFormat="1" applyFont="1" applyFill="1" applyBorder="1" applyAlignment="1">
      <alignment horizontal="center" vertical="center"/>
    </xf>
    <xf numFmtId="1" fontId="29" fillId="11" borderId="8" xfId="0" applyNumberFormat="1" applyFont="1" applyFill="1" applyBorder="1" applyAlignment="1">
      <alignment horizontal="center" vertical="center"/>
    </xf>
    <xf numFmtId="1" fontId="29" fillId="11" borderId="7" xfId="0" applyNumberFormat="1" applyFont="1" applyFill="1" applyBorder="1" applyAlignment="1">
      <alignment horizontal="center" vertical="center"/>
    </xf>
    <xf numFmtId="1" fontId="29" fillId="13" borderId="108" xfId="0" applyNumberFormat="1" applyFont="1" applyFill="1" applyBorder="1" applyAlignment="1">
      <alignment horizontal="center" vertical="center" wrapText="1"/>
    </xf>
    <xf numFmtId="1" fontId="29" fillId="13" borderId="27" xfId="0" applyNumberFormat="1" applyFont="1" applyFill="1" applyBorder="1" applyAlignment="1">
      <alignment horizontal="center" vertical="center" wrapText="1"/>
    </xf>
    <xf numFmtId="1" fontId="29" fillId="0" borderId="166" xfId="0" applyNumberFormat="1" applyFont="1" applyBorder="1" applyAlignment="1">
      <alignment horizontal="center" vertical="center" wrapText="1"/>
    </xf>
    <xf numFmtId="1" fontId="29" fillId="0" borderId="49" xfId="0" applyNumberFormat="1" applyFont="1" applyBorder="1" applyAlignment="1">
      <alignment horizontal="center" vertical="center" wrapText="1"/>
    </xf>
    <xf numFmtId="1" fontId="29" fillId="0" borderId="122" xfId="0" applyNumberFormat="1" applyFont="1" applyBorder="1" applyAlignment="1">
      <alignment horizontal="center" vertical="center" wrapText="1"/>
    </xf>
    <xf numFmtId="1" fontId="29" fillId="0" borderId="465" xfId="0" applyNumberFormat="1" applyFont="1" applyBorder="1" applyAlignment="1">
      <alignment horizontal="center" vertical="center" wrapText="1"/>
    </xf>
    <xf numFmtId="1" fontId="29" fillId="0" borderId="469" xfId="0" applyNumberFormat="1" applyFont="1" applyBorder="1" applyAlignment="1">
      <alignment horizontal="center" vertical="center" wrapText="1"/>
    </xf>
    <xf numFmtId="1" fontId="29" fillId="0" borderId="471" xfId="0" applyNumberFormat="1" applyFont="1" applyBorder="1" applyAlignment="1">
      <alignment horizontal="center" vertical="center" wrapText="1"/>
    </xf>
    <xf numFmtId="1" fontId="29" fillId="0" borderId="222" xfId="0" applyNumberFormat="1" applyFont="1" applyBorder="1" applyAlignment="1">
      <alignment horizontal="center" vertical="center" wrapText="1"/>
    </xf>
    <xf numFmtId="1" fontId="29" fillId="0" borderId="258" xfId="0" applyNumberFormat="1" applyFont="1" applyBorder="1" applyAlignment="1">
      <alignment horizontal="center" vertical="center" wrapText="1"/>
    </xf>
    <xf numFmtId="1" fontId="29" fillId="0" borderId="262" xfId="0" applyNumberFormat="1" applyFont="1" applyBorder="1" applyAlignment="1">
      <alignment horizontal="center" vertical="center" wrapText="1"/>
    </xf>
    <xf numFmtId="1" fontId="29" fillId="0" borderId="339" xfId="0" applyNumberFormat="1" applyFont="1" applyBorder="1" applyAlignment="1">
      <alignment horizontal="center" vertical="center" wrapText="1"/>
    </xf>
    <xf numFmtId="1" fontId="29" fillId="0" borderId="327" xfId="0" applyNumberFormat="1" applyFont="1" applyBorder="1" applyAlignment="1">
      <alignment horizontal="center" vertical="center" wrapText="1"/>
    </xf>
    <xf numFmtId="1" fontId="29" fillId="0" borderId="448" xfId="0" applyNumberFormat="1" applyFont="1" applyBorder="1" applyAlignment="1">
      <alignment horizontal="center" vertical="center" wrapText="1"/>
    </xf>
    <xf numFmtId="1" fontId="29" fillId="0" borderId="451" xfId="0" applyNumberFormat="1" applyFont="1" applyBorder="1" applyAlignment="1">
      <alignment horizontal="center" vertical="center" wrapText="1"/>
    </xf>
    <xf numFmtId="1" fontId="29" fillId="0" borderId="454" xfId="0" applyNumberFormat="1" applyFont="1" applyBorder="1" applyAlignment="1">
      <alignment horizontal="center" vertical="center" wrapText="1"/>
    </xf>
    <xf numFmtId="1" fontId="29" fillId="0" borderId="38" xfId="0" applyNumberFormat="1" applyFont="1" applyBorder="1" applyAlignment="1">
      <alignment horizontal="center" vertical="center" wrapText="1"/>
    </xf>
    <xf numFmtId="1" fontId="29" fillId="0" borderId="112" xfId="0" applyNumberFormat="1" applyFont="1" applyBorder="1" applyAlignment="1">
      <alignment horizontal="center" vertical="center" wrapText="1"/>
    </xf>
    <xf numFmtId="1" fontId="29" fillId="0" borderId="100" xfId="0" applyNumberFormat="1" applyFont="1" applyBorder="1" applyAlignment="1">
      <alignment horizontal="center" vertical="center" wrapText="1"/>
    </xf>
    <xf numFmtId="1" fontId="29" fillId="0" borderId="116" xfId="0" applyNumberFormat="1" applyFont="1" applyBorder="1" applyAlignment="1">
      <alignment horizontal="center" vertical="center" wrapText="1"/>
    </xf>
    <xf numFmtId="0" fontId="53" fillId="0" borderId="341" xfId="0" applyFont="1" applyBorder="1"/>
    <xf numFmtId="1" fontId="29" fillId="0" borderId="464" xfId="0" applyNumberFormat="1" applyFont="1" applyBorder="1" applyAlignment="1">
      <alignment horizontal="center" vertical="center" wrapText="1"/>
    </xf>
    <xf numFmtId="1" fontId="29" fillId="0" borderId="468" xfId="0" applyNumberFormat="1" applyFont="1" applyBorder="1" applyAlignment="1">
      <alignment horizontal="center" vertical="center" wrapText="1"/>
    </xf>
    <xf numFmtId="1" fontId="29" fillId="0" borderId="473" xfId="0" applyNumberFormat="1" applyFont="1" applyBorder="1" applyAlignment="1">
      <alignment horizontal="center" vertical="center" wrapText="1"/>
    </xf>
    <xf numFmtId="1" fontId="29" fillId="0" borderId="465" xfId="0" applyNumberFormat="1" applyFont="1" applyBorder="1" applyAlignment="1">
      <alignment horizontal="center" vertical="center"/>
    </xf>
    <xf numFmtId="0" fontId="26" fillId="0" borderId="471" xfId="0" applyFont="1" applyBorder="1" applyAlignment="1">
      <alignment horizontal="center" vertical="center"/>
    </xf>
    <xf numFmtId="1" fontId="29" fillId="0" borderId="343" xfId="0" applyNumberFormat="1" applyFont="1" applyBorder="1" applyAlignment="1">
      <alignment horizontal="center" vertical="center" wrapText="1"/>
    </xf>
    <xf numFmtId="0" fontId="53" fillId="0" borderId="352" xfId="0" applyFont="1" applyBorder="1"/>
    <xf numFmtId="1" fontId="29" fillId="0" borderId="467" xfId="0" applyNumberFormat="1" applyFont="1" applyBorder="1" applyAlignment="1">
      <alignment horizontal="center" vertical="center" wrapText="1"/>
    </xf>
    <xf numFmtId="0" fontId="53" fillId="0" borderId="472" xfId="0" applyFont="1" applyBorder="1"/>
    <xf numFmtId="0" fontId="29" fillId="0" borderId="158" xfId="0" applyFont="1" applyBorder="1" applyAlignment="1">
      <alignment horizontal="center" vertical="center"/>
    </xf>
    <xf numFmtId="0" fontId="29" fillId="0" borderId="74" xfId="0" applyFont="1" applyBorder="1" applyAlignment="1">
      <alignment horizontal="center" vertical="center"/>
    </xf>
    <xf numFmtId="0" fontId="29" fillId="0" borderId="76" xfId="0" applyFont="1" applyBorder="1" applyAlignment="1">
      <alignment horizontal="center" vertical="center"/>
    </xf>
    <xf numFmtId="0" fontId="29" fillId="0" borderId="23" xfId="0" applyFont="1" applyBorder="1" applyAlignment="1">
      <alignment horizontal="center" vertical="center" wrapText="1"/>
    </xf>
    <xf numFmtId="0" fontId="29" fillId="0" borderId="68" xfId="0" applyFont="1" applyBorder="1" applyAlignment="1">
      <alignment horizontal="center" vertical="center" wrapText="1"/>
    </xf>
    <xf numFmtId="0" fontId="29" fillId="0" borderId="32" xfId="0" applyFont="1" applyBorder="1" applyAlignment="1">
      <alignment horizontal="center" vertical="center" wrapText="1"/>
    </xf>
    <xf numFmtId="0" fontId="29" fillId="30" borderId="9" xfId="0" applyFont="1" applyFill="1" applyBorder="1" applyAlignment="1">
      <alignment horizontal="center" vertical="center" wrapText="1"/>
    </xf>
    <xf numFmtId="0" fontId="29" fillId="30" borderId="27" xfId="0" applyFont="1" applyFill="1" applyBorder="1" applyAlignment="1">
      <alignment horizontal="center" vertical="center" wrapText="1"/>
    </xf>
    <xf numFmtId="0" fontId="29" fillId="30" borderId="14" xfId="0" applyFont="1" applyFill="1" applyBorder="1" applyAlignment="1">
      <alignment horizontal="center" vertical="center" wrapText="1"/>
    </xf>
    <xf numFmtId="0" fontId="29" fillId="30" borderId="36" xfId="0" applyFont="1" applyFill="1" applyBorder="1" applyAlignment="1">
      <alignment horizontal="center" vertical="center" wrapText="1"/>
    </xf>
    <xf numFmtId="0" fontId="29" fillId="0" borderId="6" xfId="0" applyFont="1" applyBorder="1" applyAlignment="1">
      <alignment horizontal="center"/>
    </xf>
    <xf numFmtId="0" fontId="29" fillId="0" borderId="8" xfId="0" applyFont="1" applyBorder="1" applyAlignment="1">
      <alignment horizontal="center"/>
    </xf>
    <xf numFmtId="0" fontId="29" fillId="0" borderId="20" xfId="0" applyFont="1" applyBorder="1" applyAlignment="1">
      <alignment horizontal="center"/>
    </xf>
    <xf numFmtId="1" fontId="27" fillId="7" borderId="0" xfId="0" applyNumberFormat="1" applyFont="1" applyFill="1" applyAlignment="1">
      <alignment horizontal="center" vertical="center"/>
    </xf>
    <xf numFmtId="1" fontId="29" fillId="0" borderId="135" xfId="0" applyNumberFormat="1" applyFont="1" applyBorder="1" applyAlignment="1">
      <alignment horizontal="center" vertical="center"/>
    </xf>
    <xf numFmtId="1" fontId="29" fillId="0" borderId="346" xfId="0" applyNumberFormat="1" applyFont="1" applyBorder="1" applyAlignment="1">
      <alignment horizontal="center" vertical="center"/>
    </xf>
    <xf numFmtId="1" fontId="29" fillId="0" borderId="108" xfId="0" applyNumberFormat="1" applyFont="1" applyBorder="1" applyAlignment="1">
      <alignment horizontal="left" vertical="center"/>
    </xf>
    <xf numFmtId="1" fontId="29" fillId="0" borderId="13" xfId="0" applyNumberFormat="1" applyFont="1" applyBorder="1" applyAlignment="1">
      <alignment horizontal="center" vertical="center"/>
    </xf>
    <xf numFmtId="1" fontId="29" fillId="0" borderId="50" xfId="0" applyNumberFormat="1" applyFont="1" applyBorder="1" applyAlignment="1">
      <alignment horizontal="center" vertical="center"/>
    </xf>
    <xf numFmtId="1" fontId="29" fillId="0" borderId="128" xfId="0" applyNumberFormat="1" applyFont="1" applyBorder="1" applyAlignment="1">
      <alignment horizontal="left" vertical="center" shrinkToFit="1"/>
    </xf>
    <xf numFmtId="1" fontId="29" fillId="0" borderId="103" xfId="0" applyNumberFormat="1" applyFont="1" applyBorder="1" applyAlignment="1">
      <alignment horizontal="left" vertical="center" shrinkToFit="1"/>
    </xf>
    <xf numFmtId="1" fontId="29" fillId="0" borderId="449" xfId="0" applyNumberFormat="1" applyFont="1" applyBorder="1" applyAlignment="1">
      <alignment horizontal="center" vertical="center" wrapText="1"/>
    </xf>
    <xf numFmtId="1" fontId="29" fillId="0" borderId="452" xfId="0" applyNumberFormat="1" applyFont="1" applyBorder="1" applyAlignment="1">
      <alignment horizontal="center" vertical="center" wrapText="1"/>
    </xf>
    <xf numFmtId="1" fontId="29" fillId="0" borderId="455" xfId="0" applyNumberFormat="1" applyFont="1" applyBorder="1" applyAlignment="1">
      <alignment horizontal="center" vertical="center" wrapText="1"/>
    </xf>
    <xf numFmtId="1" fontId="29" fillId="0" borderId="222" xfId="0" applyNumberFormat="1" applyFont="1" applyBorder="1" applyAlignment="1">
      <alignment horizontal="left" vertical="center"/>
    </xf>
    <xf numFmtId="0" fontId="53" fillId="0" borderId="262" xfId="0" applyFont="1" applyBorder="1" applyAlignment="1">
      <alignment horizontal="left" vertical="center"/>
    </xf>
    <xf numFmtId="0" fontId="53" fillId="0" borderId="493" xfId="0" applyFont="1" applyBorder="1" applyAlignment="1">
      <alignment horizontal="left" vertical="center"/>
    </xf>
    <xf numFmtId="1" fontId="29" fillId="0" borderId="262" xfId="0" applyNumberFormat="1" applyFont="1" applyBorder="1" applyAlignment="1">
      <alignment horizontal="left" vertical="center"/>
    </xf>
    <xf numFmtId="1" fontId="29" fillId="0" borderId="487" xfId="0" applyNumberFormat="1" applyFont="1" applyBorder="1" applyAlignment="1">
      <alignment horizontal="left" vertical="center"/>
    </xf>
    <xf numFmtId="0" fontId="53" fillId="0" borderId="150" xfId="0" applyFont="1" applyBorder="1"/>
    <xf numFmtId="1" fontId="29" fillId="38" borderId="222" xfId="0" applyNumberFormat="1" applyFont="1" applyFill="1" applyBorder="1" applyAlignment="1">
      <alignment horizontal="left" vertical="center"/>
    </xf>
    <xf numFmtId="0" fontId="53" fillId="0" borderId="262" xfId="0" applyFont="1" applyBorder="1"/>
    <xf numFmtId="1" fontId="29" fillId="0" borderId="223" xfId="0" applyNumberFormat="1" applyFont="1" applyBorder="1" applyAlignment="1">
      <alignment horizontal="center" vertical="center"/>
    </xf>
    <xf numFmtId="0" fontId="26" fillId="0" borderId="264" xfId="0" applyFont="1" applyBorder="1" applyAlignment="1">
      <alignment horizontal="center" vertical="center"/>
    </xf>
    <xf numFmtId="1" fontId="29" fillId="0" borderId="344" xfId="0" applyNumberFormat="1" applyFont="1" applyBorder="1" applyAlignment="1">
      <alignment horizontal="center" vertical="center" wrapText="1"/>
    </xf>
    <xf numFmtId="0" fontId="26" fillId="0" borderId="353" xfId="0" applyFont="1" applyBorder="1" applyAlignment="1">
      <alignment horizontal="center" vertical="center"/>
    </xf>
    <xf numFmtId="1" fontId="29" fillId="0" borderId="353" xfId="0" applyNumberFormat="1" applyFont="1" applyBorder="1" applyAlignment="1">
      <alignment horizontal="center" vertical="center" wrapText="1"/>
    </xf>
    <xf numFmtId="1" fontId="29" fillId="0" borderId="37" xfId="0" applyNumberFormat="1" applyFont="1" applyBorder="1" applyAlignment="1">
      <alignment horizontal="left" vertical="center" wrapText="1"/>
    </xf>
    <xf numFmtId="1" fontId="29" fillId="0" borderId="51" xfId="0" applyNumberFormat="1" applyFont="1" applyBorder="1" applyAlignment="1">
      <alignment horizontal="left" vertical="center" wrapText="1"/>
    </xf>
    <xf numFmtId="1" fontId="29" fillId="0" borderId="37" xfId="0" applyNumberFormat="1" applyFont="1" applyBorder="1" applyAlignment="1">
      <alignment horizontal="left" vertical="center"/>
    </xf>
    <xf numFmtId="1" fontId="29" fillId="0" borderId="99" xfId="0" applyNumberFormat="1" applyFont="1" applyBorder="1" applyAlignment="1">
      <alignment horizontal="left" vertical="center"/>
    </xf>
    <xf numFmtId="1" fontId="29" fillId="0" borderId="51" xfId="0" applyNumberFormat="1" applyFont="1" applyBorder="1" applyAlignment="1">
      <alignment horizontal="left" vertical="center"/>
    </xf>
    <xf numFmtId="1" fontId="29" fillId="0" borderId="90" xfId="0" applyNumberFormat="1" applyFont="1" applyBorder="1" applyAlignment="1">
      <alignment horizontal="center" vertical="center"/>
    </xf>
    <xf numFmtId="0" fontId="53" fillId="0" borderId="147" xfId="0" applyFont="1" applyBorder="1"/>
    <xf numFmtId="0" fontId="53" fillId="0" borderId="83" xfId="0" applyFont="1" applyBorder="1"/>
    <xf numFmtId="0" fontId="53" fillId="0" borderId="79" xfId="0" applyFont="1" applyBorder="1"/>
    <xf numFmtId="0" fontId="53" fillId="0" borderId="81" xfId="0" applyFont="1" applyBorder="1"/>
    <xf numFmtId="0" fontId="53" fillId="0" borderId="466" xfId="0" applyFont="1" applyBorder="1"/>
    <xf numFmtId="1" fontId="29" fillId="0" borderId="90" xfId="0" applyNumberFormat="1" applyFont="1" applyBorder="1" applyAlignment="1">
      <alignment horizontal="center" vertical="center" wrapText="1"/>
    </xf>
    <xf numFmtId="0" fontId="53" fillId="0" borderId="184" xfId="0" applyFont="1" applyBorder="1"/>
    <xf numFmtId="0" fontId="53" fillId="0" borderId="221" xfId="0" applyFont="1" applyBorder="1"/>
    <xf numFmtId="1" fontId="31" fillId="0" borderId="463" xfId="0" applyNumberFormat="1" applyFont="1" applyBorder="1" applyAlignment="1">
      <alignment horizontal="left"/>
    </xf>
    <xf numFmtId="1" fontId="31" fillId="0" borderId="385" xfId="0" applyNumberFormat="1" applyFont="1" applyBorder="1" applyAlignment="1">
      <alignment horizontal="left"/>
    </xf>
    <xf numFmtId="0" fontId="29" fillId="0" borderId="12" xfId="0" applyFont="1" applyBorder="1" applyAlignment="1">
      <alignment horizontal="center" vertical="center" wrapText="1"/>
    </xf>
    <xf numFmtId="0" fontId="29" fillId="0" borderId="29" xfId="0" applyFont="1" applyBorder="1" applyAlignment="1">
      <alignment horizontal="center" vertical="center" wrapText="1"/>
    </xf>
    <xf numFmtId="1" fontId="29" fillId="7" borderId="129" xfId="0" applyNumberFormat="1" applyFont="1" applyFill="1" applyBorder="1" applyAlignment="1">
      <alignment horizontal="center" vertical="center"/>
    </xf>
    <xf numFmtId="1" fontId="29" fillId="7" borderId="9" xfId="0" applyNumberFormat="1" applyFont="1" applyFill="1" applyBorder="1" applyAlignment="1">
      <alignment horizontal="center" vertical="center"/>
    </xf>
    <xf numFmtId="1" fontId="29" fillId="7" borderId="27" xfId="0" applyNumberFormat="1" applyFont="1" applyFill="1" applyBorder="1" applyAlignment="1">
      <alignment horizontal="center" vertical="center"/>
    </xf>
    <xf numFmtId="1" fontId="29" fillId="7" borderId="130" xfId="0" applyNumberFormat="1" applyFont="1" applyFill="1" applyBorder="1" applyAlignment="1">
      <alignment horizontal="center" vertical="center"/>
    </xf>
    <xf numFmtId="1" fontId="29" fillId="7" borderId="14" xfId="0" applyNumberFormat="1" applyFont="1" applyFill="1" applyBorder="1" applyAlignment="1">
      <alignment horizontal="center" vertical="center"/>
    </xf>
    <xf numFmtId="1" fontId="29" fillId="7" borderId="36" xfId="0" applyNumberFormat="1" applyFont="1" applyFill="1" applyBorder="1" applyAlignment="1">
      <alignment horizontal="center" vertical="center"/>
    </xf>
    <xf numFmtId="0" fontId="29" fillId="0" borderId="15" xfId="0" applyFont="1" applyBorder="1" applyAlignment="1">
      <alignment horizontal="left" wrapText="1"/>
    </xf>
    <xf numFmtId="0" fontId="29" fillId="0" borderId="2" xfId="0" applyFont="1" applyBorder="1" applyAlignment="1">
      <alignment horizontal="center" vertical="center"/>
    </xf>
    <xf numFmtId="0" fontId="29" fillId="0" borderId="37" xfId="0" applyFont="1" applyBorder="1" applyAlignment="1">
      <alignment horizontal="left" wrapText="1"/>
    </xf>
    <xf numFmtId="0" fontId="29" fillId="0" borderId="2" xfId="0" applyFont="1" applyBorder="1" applyAlignment="1">
      <alignment horizontal="center" vertical="center" wrapText="1"/>
    </xf>
    <xf numFmtId="0" fontId="29" fillId="0" borderId="10" xfId="0" applyFont="1" applyBorder="1" applyAlignment="1">
      <alignment horizontal="center" vertical="center" wrapText="1"/>
    </xf>
    <xf numFmtId="1" fontId="10" fillId="7" borderId="6" xfId="0" applyNumberFormat="1" applyFont="1" applyFill="1" applyBorder="1" applyAlignment="1">
      <alignment horizontal="center" vertical="center"/>
    </xf>
    <xf numFmtId="1" fontId="10" fillId="7" borderId="8" xfId="0" applyNumberFormat="1" applyFont="1" applyFill="1" applyBorder="1" applyAlignment="1">
      <alignment horizontal="center" vertical="center"/>
    </xf>
    <xf numFmtId="1" fontId="10" fillId="7" borderId="20" xfId="0" applyNumberFormat="1" applyFont="1" applyFill="1" applyBorder="1" applyAlignment="1">
      <alignment horizontal="center" vertical="center"/>
    </xf>
    <xf numFmtId="1" fontId="10" fillId="0" borderId="8" xfId="0" applyNumberFormat="1" applyFont="1" applyBorder="1" applyAlignment="1">
      <alignment horizontal="center" wrapText="1"/>
    </xf>
    <xf numFmtId="1" fontId="10" fillId="0" borderId="20" xfId="0" applyNumberFormat="1" applyFont="1" applyBorder="1" applyAlignment="1">
      <alignment horizontal="center" wrapText="1"/>
    </xf>
    <xf numFmtId="1" fontId="10" fillId="0" borderId="442" xfId="0" applyNumberFormat="1" applyFont="1" applyBorder="1" applyAlignment="1">
      <alignment horizontal="center" vertical="center" wrapText="1"/>
    </xf>
    <xf numFmtId="1" fontId="10" fillId="0" borderId="443" xfId="0" applyNumberFormat="1" applyFont="1" applyBorder="1" applyAlignment="1">
      <alignment horizontal="center" vertical="center" wrapText="1"/>
    </xf>
    <xf numFmtId="1" fontId="10" fillId="7" borderId="6" xfId="0" applyNumberFormat="1" applyFont="1" applyFill="1" applyBorder="1" applyAlignment="1">
      <alignment horizontal="center"/>
    </xf>
    <xf numFmtId="1" fontId="10" fillId="7" borderId="20" xfId="0" applyNumberFormat="1" applyFont="1" applyFill="1" applyBorder="1" applyAlignment="1">
      <alignment horizontal="center"/>
    </xf>
    <xf numFmtId="1" fontId="10" fillId="0" borderId="134" xfId="0" applyNumberFormat="1" applyFont="1" applyBorder="1" applyAlignment="1">
      <alignment horizontal="center" vertical="center"/>
    </xf>
    <xf numFmtId="1" fontId="10" fillId="7" borderId="19" xfId="0" applyNumberFormat="1" applyFont="1" applyFill="1" applyBorder="1" applyAlignment="1">
      <alignment horizontal="center" vertical="center" wrapText="1"/>
    </xf>
    <xf numFmtId="1" fontId="10" fillId="7" borderId="108" xfId="0" applyNumberFormat="1" applyFont="1" applyFill="1" applyBorder="1" applyAlignment="1">
      <alignment horizontal="center" vertical="center"/>
    </xf>
    <xf numFmtId="1" fontId="10" fillId="7" borderId="9" xfId="0" applyNumberFormat="1" applyFont="1" applyFill="1" applyBorder="1" applyAlignment="1">
      <alignment horizontal="center" vertical="center"/>
    </xf>
    <xf numFmtId="1" fontId="10" fillId="7" borderId="27" xfId="0" applyNumberFormat="1" applyFont="1" applyFill="1" applyBorder="1" applyAlignment="1">
      <alignment horizontal="center" vertical="center"/>
    </xf>
    <xf numFmtId="1" fontId="10" fillId="7" borderId="16" xfId="0" applyNumberFormat="1" applyFont="1" applyFill="1" applyBorder="1" applyAlignment="1">
      <alignment horizontal="center" vertical="center"/>
    </xf>
    <xf numFmtId="1" fontId="10" fillId="7" borderId="14" xfId="0" applyNumberFormat="1" applyFont="1" applyFill="1" applyBorder="1" applyAlignment="1">
      <alignment horizontal="center" vertical="center"/>
    </xf>
    <xf numFmtId="1" fontId="10" fillId="7" borderId="36" xfId="0" applyNumberFormat="1" applyFont="1" applyFill="1" applyBorder="1" applyAlignment="1">
      <alignment horizontal="center" vertical="center"/>
    </xf>
    <xf numFmtId="1" fontId="10" fillId="7" borderId="8" xfId="0" applyNumberFormat="1" applyFont="1" applyFill="1" applyBorder="1" applyAlignment="1">
      <alignment horizontal="center"/>
    </xf>
    <xf numFmtId="1" fontId="10" fillId="7" borderId="7" xfId="0" applyNumberFormat="1" applyFont="1" applyFill="1" applyBorder="1" applyAlignment="1">
      <alignment horizontal="center"/>
    </xf>
    <xf numFmtId="1" fontId="10" fillId="0" borderId="135" xfId="0" applyNumberFormat="1" applyFont="1" applyBorder="1" applyAlignment="1">
      <alignment horizontal="center" vertical="center"/>
    </xf>
    <xf numFmtId="1" fontId="10" fillId="0" borderId="166" xfId="0" applyNumberFormat="1" applyFont="1" applyBorder="1" applyAlignment="1">
      <alignment horizontal="left" vertical="center"/>
    </xf>
    <xf numFmtId="1" fontId="10" fillId="0" borderId="49" xfId="0" applyNumberFormat="1" applyFont="1" applyBorder="1" applyAlignment="1">
      <alignment horizontal="left" vertical="center"/>
    </xf>
    <xf numFmtId="1" fontId="10" fillId="0" borderId="16" xfId="0" applyNumberFormat="1" applyFont="1" applyBorder="1" applyAlignment="1">
      <alignment horizontal="left" vertical="center"/>
    </xf>
    <xf numFmtId="1" fontId="10" fillId="0" borderId="381" xfId="0" applyNumberFormat="1" applyFont="1" applyBorder="1" applyAlignment="1">
      <alignment horizontal="center" vertical="center" wrapText="1"/>
    </xf>
    <xf numFmtId="1" fontId="10" fillId="0" borderId="298" xfId="0" applyNumberFormat="1" applyFont="1" applyBorder="1" applyAlignment="1">
      <alignment horizontal="center" vertical="center" wrapText="1"/>
    </xf>
    <xf numFmtId="1" fontId="10" fillId="11" borderId="18" xfId="0" applyNumberFormat="1" applyFont="1" applyFill="1" applyBorder="1" applyAlignment="1">
      <alignment horizontal="center" vertical="center"/>
    </xf>
    <xf numFmtId="1" fontId="10" fillId="11" borderId="15" xfId="0" applyNumberFormat="1" applyFont="1" applyFill="1" applyBorder="1" applyAlignment="1">
      <alignment horizontal="center" vertical="center"/>
    </xf>
    <xf numFmtId="1" fontId="10" fillId="7" borderId="2" xfId="0" applyNumberFormat="1" applyFont="1" applyFill="1" applyBorder="1" applyAlignment="1">
      <alignment horizontal="center"/>
    </xf>
    <xf numFmtId="1" fontId="10" fillId="0" borderId="128" xfId="0" applyNumberFormat="1" applyFont="1" applyBorder="1" applyAlignment="1">
      <alignment horizontal="left" vertical="center" wrapText="1"/>
    </xf>
    <xf numFmtId="1" fontId="10" fillId="0" borderId="103" xfId="0" applyNumberFormat="1" applyFont="1" applyBorder="1" applyAlignment="1">
      <alignment horizontal="left" vertical="center" wrapText="1"/>
    </xf>
    <xf numFmtId="1" fontId="10" fillId="0" borderId="127" xfId="0" applyNumberFormat="1" applyFont="1" applyBorder="1" applyAlignment="1">
      <alignment horizontal="left" vertical="center" wrapText="1"/>
    </xf>
    <xf numFmtId="1" fontId="10" fillId="0" borderId="62" xfId="0" applyNumberFormat="1" applyFont="1" applyBorder="1" applyAlignment="1">
      <alignment horizontal="left" vertical="center" wrapText="1"/>
    </xf>
    <xf numFmtId="1" fontId="10" fillId="0" borderId="6" xfId="0" quotePrefix="1" applyNumberFormat="1" applyFont="1" applyBorder="1" applyAlignment="1">
      <alignment horizontal="center" vertical="center" wrapText="1"/>
    </xf>
    <xf numFmtId="1" fontId="10" fillId="11" borderId="178" xfId="0" applyNumberFormat="1" applyFont="1" applyFill="1" applyBorder="1" applyAlignment="1">
      <alignment horizontal="center" vertical="center" wrapText="1"/>
    </xf>
    <xf numFmtId="1" fontId="10" fillId="0" borderId="543" xfId="0" applyNumberFormat="1" applyFont="1" applyBorder="1" applyAlignment="1">
      <alignment horizontal="center" vertical="center" wrapText="1"/>
    </xf>
    <xf numFmtId="1" fontId="10" fillId="0" borderId="108" xfId="0" applyNumberFormat="1" applyFont="1" applyBorder="1" applyAlignment="1">
      <alignment horizontal="left" vertical="center" wrapText="1"/>
    </xf>
    <xf numFmtId="1" fontId="10" fillId="0" borderId="50" xfId="0" applyNumberFormat="1" applyFont="1" applyBorder="1" applyAlignment="1">
      <alignment horizontal="left" vertical="center" wrapText="1"/>
    </xf>
    <xf numFmtId="1" fontId="10" fillId="0" borderId="16" xfId="0" applyNumberFormat="1" applyFont="1" applyBorder="1" applyAlignment="1">
      <alignment horizontal="left" vertical="center" wrapText="1"/>
    </xf>
    <xf numFmtId="1" fontId="12" fillId="0" borderId="14" xfId="0" applyNumberFormat="1" applyFont="1" applyBorder="1" applyAlignment="1">
      <alignment horizontal="left"/>
    </xf>
    <xf numFmtId="1" fontId="12" fillId="0" borderId="211" xfId="0" applyNumberFormat="1" applyFont="1" applyBorder="1" applyAlignment="1">
      <alignment horizontal="left"/>
    </xf>
    <xf numFmtId="1" fontId="10" fillId="0" borderId="127" xfId="0" applyNumberFormat="1" applyFont="1" applyBorder="1" applyAlignment="1">
      <alignment horizontal="left" vertical="center"/>
    </xf>
    <xf numFmtId="1" fontId="10" fillId="0" borderId="62" xfId="0" applyNumberFormat="1" applyFont="1" applyBorder="1" applyAlignment="1">
      <alignment horizontal="left" vertical="center"/>
    </xf>
    <xf numFmtId="1" fontId="10" fillId="0" borderId="128" xfId="0" applyNumberFormat="1" applyFont="1" applyBorder="1" applyAlignment="1">
      <alignment horizontal="left" vertical="center"/>
    </xf>
    <xf numFmtId="1" fontId="10" fillId="0" borderId="103" xfId="0" applyNumberFormat="1" applyFont="1" applyBorder="1" applyAlignment="1">
      <alignment horizontal="left" vertical="center"/>
    </xf>
    <xf numFmtId="1" fontId="10" fillId="0" borderId="36" xfId="0" applyNumberFormat="1" applyFont="1" applyBorder="1" applyAlignment="1">
      <alignment horizontal="left" wrapText="1"/>
    </xf>
    <xf numFmtId="1" fontId="10" fillId="7" borderId="2" xfId="0" applyNumberFormat="1" applyFont="1" applyFill="1" applyBorder="1" applyAlignment="1">
      <alignment horizontal="center" vertical="center"/>
    </xf>
    <xf numFmtId="1" fontId="15" fillId="7" borderId="2" xfId="0" applyNumberFormat="1" applyFont="1" applyFill="1" applyBorder="1" applyAlignment="1">
      <alignment horizontal="center" vertical="center"/>
    </xf>
    <xf numFmtId="1" fontId="15" fillId="7" borderId="134" xfId="0" applyNumberFormat="1" applyFont="1" applyFill="1" applyBorder="1" applyAlignment="1">
      <alignment horizontal="center" vertical="center"/>
    </xf>
    <xf numFmtId="1" fontId="10" fillId="7" borderId="9" xfId="0" applyNumberFormat="1" applyFont="1" applyFill="1" applyBorder="1" applyAlignment="1">
      <alignment horizontal="center" vertical="center" wrapText="1"/>
    </xf>
    <xf numFmtId="1" fontId="10" fillId="7" borderId="14" xfId="0" applyNumberFormat="1" applyFont="1" applyFill="1" applyBorder="1" applyAlignment="1">
      <alignment horizontal="center" vertical="center" wrapText="1"/>
    </xf>
    <xf numFmtId="1" fontId="10" fillId="0" borderId="536" xfId="0" applyNumberFormat="1" applyFont="1" applyBorder="1" applyAlignment="1">
      <alignment horizontal="center" vertical="center" wrapText="1"/>
    </xf>
    <xf numFmtId="1" fontId="10" fillId="0" borderId="83" xfId="0" applyNumberFormat="1" applyFont="1" applyBorder="1" applyAlignment="1">
      <alignment horizontal="center" vertical="center" wrapText="1"/>
    </xf>
    <xf numFmtId="1" fontId="10" fillId="0" borderId="346" xfId="0" applyNumberFormat="1" applyFont="1" applyBorder="1" applyAlignment="1">
      <alignment horizontal="center" vertical="center" wrapText="1"/>
    </xf>
    <xf numFmtId="1" fontId="16" fillId="7" borderId="0" xfId="0" applyNumberFormat="1" applyFont="1" applyFill="1" applyAlignment="1">
      <alignment horizontal="center" vertical="center"/>
    </xf>
    <xf numFmtId="1" fontId="29" fillId="30" borderId="2" xfId="0" applyNumberFormat="1" applyFont="1" applyFill="1" applyBorder="1" applyAlignment="1">
      <alignment horizontal="center" vertical="center" wrapText="1"/>
    </xf>
    <xf numFmtId="1" fontId="29" fillId="11" borderId="127" xfId="0" applyNumberFormat="1" applyFont="1" applyFill="1" applyBorder="1" applyAlignment="1" applyProtection="1">
      <alignment horizontal="left" vertical="center" wrapText="1"/>
      <protection hidden="1"/>
    </xf>
    <xf numFmtId="1" fontId="29" fillId="11" borderId="62" xfId="0" applyNumberFormat="1" applyFont="1" applyFill="1" applyBorder="1" applyAlignment="1" applyProtection="1">
      <alignment horizontal="left" vertical="center" wrapText="1"/>
      <protection hidden="1"/>
    </xf>
    <xf numFmtId="1" fontId="29" fillId="0" borderId="128" xfId="0" applyNumberFormat="1" applyFont="1" applyBorder="1" applyAlignment="1" applyProtection="1">
      <alignment horizontal="left" vertical="center" wrapText="1"/>
      <protection hidden="1"/>
    </xf>
    <xf numFmtId="1" fontId="29" fillId="0" borderId="103" xfId="0" applyNumberFormat="1" applyFont="1" applyBorder="1" applyAlignment="1" applyProtection="1">
      <alignment horizontal="left" vertical="center" wrapText="1"/>
      <protection hidden="1"/>
    </xf>
    <xf numFmtId="1" fontId="29" fillId="11" borderId="128" xfId="0" applyNumberFormat="1" applyFont="1" applyFill="1" applyBorder="1" applyAlignment="1" applyProtection="1">
      <alignment horizontal="left" vertical="center" wrapText="1"/>
      <protection hidden="1"/>
    </xf>
    <xf numFmtId="1" fontId="29" fillId="11" borderId="103" xfId="0" applyNumberFormat="1" applyFont="1" applyFill="1" applyBorder="1" applyAlignment="1" applyProtection="1">
      <alignment horizontal="left" vertical="center" wrapText="1"/>
      <protection hidden="1"/>
    </xf>
    <xf numFmtId="1" fontId="29" fillId="0" borderId="89" xfId="0" applyNumberFormat="1" applyFont="1" applyBorder="1" applyAlignment="1" applyProtection="1">
      <alignment horizontal="left" vertical="center" wrapText="1"/>
      <protection hidden="1"/>
    </xf>
    <xf numFmtId="1" fontId="29" fillId="0" borderId="98" xfId="0" applyNumberFormat="1" applyFont="1" applyBorder="1" applyAlignment="1" applyProtection="1">
      <alignment horizontal="left" vertical="center" wrapText="1"/>
      <protection hidden="1"/>
    </xf>
    <xf numFmtId="1" fontId="29" fillId="0" borderId="140" xfId="0" applyNumberFormat="1" applyFont="1" applyBorder="1" applyAlignment="1">
      <alignment horizontal="left"/>
    </xf>
    <xf numFmtId="1" fontId="29" fillId="0" borderId="103" xfId="0" applyNumberFormat="1" applyFont="1" applyBorder="1" applyAlignment="1">
      <alignment horizontal="left"/>
    </xf>
    <xf numFmtId="1" fontId="29" fillId="0" borderId="89" xfId="0" applyNumberFormat="1" applyFont="1" applyBorder="1" applyAlignment="1">
      <alignment horizontal="left" vertical="center" wrapText="1"/>
    </xf>
    <xf numFmtId="1" fontId="29" fillId="0" borderId="138" xfId="0" applyNumberFormat="1" applyFont="1" applyBorder="1" applyAlignment="1">
      <alignment horizontal="left" vertical="center" wrapText="1"/>
    </xf>
    <xf numFmtId="1" fontId="29" fillId="0" borderId="98" xfId="0" applyNumberFormat="1" applyFont="1" applyBorder="1" applyAlignment="1">
      <alignment horizontal="left" vertical="center" wrapText="1"/>
    </xf>
    <xf numFmtId="1" fontId="29" fillId="0" borderId="140" xfId="0" applyNumberFormat="1" applyFont="1" applyBorder="1" applyAlignment="1">
      <alignment horizontal="left" vertical="center" wrapText="1"/>
    </xf>
    <xf numFmtId="1" fontId="29" fillId="7" borderId="128" xfId="0" applyNumberFormat="1" applyFont="1" applyFill="1" applyBorder="1" applyAlignment="1">
      <alignment horizontal="left" vertical="center" wrapText="1"/>
    </xf>
    <xf numFmtId="1" fontId="29" fillId="7" borderId="140" xfId="0" applyNumberFormat="1" applyFont="1" applyFill="1" applyBorder="1" applyAlignment="1">
      <alignment horizontal="left" vertical="center" wrapText="1"/>
    </xf>
    <xf numFmtId="1" fontId="29" fillId="7" borderId="103" xfId="0" applyNumberFormat="1" applyFont="1" applyFill="1" applyBorder="1" applyAlignment="1">
      <alignment horizontal="left" vertical="center" wrapText="1"/>
    </xf>
    <xf numFmtId="1" fontId="29" fillId="0" borderId="61" xfId="0" applyNumberFormat="1" applyFont="1" applyBorder="1" applyAlignment="1">
      <alignment horizontal="left"/>
    </xf>
    <xf numFmtId="1" fontId="29" fillId="7" borderId="19" xfId="0" applyNumberFormat="1" applyFont="1" applyFill="1" applyBorder="1" applyAlignment="1">
      <alignment horizontal="left" vertical="center" wrapText="1"/>
    </xf>
    <xf numFmtId="1" fontId="29" fillId="7" borderId="15" xfId="0" applyNumberFormat="1" applyFont="1" applyFill="1" applyBorder="1" applyAlignment="1">
      <alignment horizontal="left" vertical="center" wrapText="1"/>
    </xf>
    <xf numFmtId="1" fontId="29" fillId="7" borderId="166" xfId="0" applyNumberFormat="1" applyFont="1" applyFill="1" applyBorder="1" applyAlignment="1">
      <alignment horizontal="left" vertical="center" wrapText="1"/>
    </xf>
    <xf numFmtId="1" fontId="29" fillId="7" borderId="49" xfId="0" applyNumberFormat="1" applyFont="1" applyFill="1" applyBorder="1" applyAlignment="1">
      <alignment horizontal="left" vertical="center" wrapText="1"/>
    </xf>
    <xf numFmtId="1" fontId="29" fillId="7" borderId="99" xfId="0" applyNumberFormat="1" applyFont="1" applyFill="1" applyBorder="1" applyAlignment="1">
      <alignment horizontal="left" vertical="center" wrapText="1"/>
    </xf>
    <xf numFmtId="1" fontId="29" fillId="7" borderId="8" xfId="0" applyNumberFormat="1" applyFont="1" applyFill="1" applyBorder="1" applyAlignment="1">
      <alignment horizontal="center" vertical="center"/>
    </xf>
    <xf numFmtId="1" fontId="29" fillId="7" borderId="7" xfId="0" applyNumberFormat="1" applyFont="1" applyFill="1" applyBorder="1" applyAlignment="1">
      <alignment horizontal="center" vertical="center"/>
    </xf>
    <xf numFmtId="1" fontId="29" fillId="0" borderId="149" xfId="0" applyNumberFormat="1" applyFont="1" applyBorder="1" applyAlignment="1">
      <alignment horizontal="center" vertical="center"/>
    </xf>
    <xf numFmtId="1" fontId="29" fillId="11" borderId="51" xfId="0" applyNumberFormat="1" applyFont="1" applyFill="1" applyBorder="1" applyAlignment="1">
      <alignment horizontal="left" vertical="center" wrapText="1"/>
    </xf>
    <xf numFmtId="1" fontId="29" fillId="0" borderId="0" xfId="0" applyNumberFormat="1" applyFont="1" applyAlignment="1">
      <alignment horizontal="center" vertical="center"/>
    </xf>
    <xf numFmtId="1" fontId="29" fillId="11" borderId="16" xfId="0" applyNumberFormat="1" applyFont="1" applyFill="1" applyBorder="1" applyAlignment="1">
      <alignment horizontal="center" vertical="center" wrapText="1"/>
    </xf>
    <xf numFmtId="1" fontId="29" fillId="7" borderId="37" xfId="0" applyNumberFormat="1" applyFont="1" applyFill="1" applyBorder="1" applyAlignment="1">
      <alignment horizontal="left" vertical="center" wrapText="1"/>
    </xf>
    <xf numFmtId="1" fontId="29" fillId="7" borderId="19" xfId="0" applyNumberFormat="1" applyFont="1" applyFill="1" applyBorder="1" applyAlignment="1">
      <alignment horizontal="center" vertical="center" wrapText="1"/>
    </xf>
    <xf numFmtId="1" fontId="29" fillId="7" borderId="2" xfId="0" applyNumberFormat="1" applyFont="1" applyFill="1" applyBorder="1" applyAlignment="1">
      <alignment horizontal="center" vertical="center" wrapText="1"/>
    </xf>
    <xf numFmtId="1" fontId="29" fillId="7" borderId="27" xfId="0" applyNumberFormat="1" applyFont="1" applyFill="1" applyBorder="1" applyAlignment="1">
      <alignment horizontal="center" vertical="center" wrapText="1"/>
    </xf>
    <xf numFmtId="1" fontId="29" fillId="7" borderId="50" xfId="0" applyNumberFormat="1" applyFont="1" applyFill="1" applyBorder="1" applyAlignment="1">
      <alignment horizontal="center" vertical="center" wrapText="1"/>
    </xf>
    <xf numFmtId="1" fontId="29" fillId="7" borderId="36" xfId="0" applyNumberFormat="1" applyFont="1" applyFill="1" applyBorder="1" applyAlignment="1">
      <alignment horizontal="center" vertical="center" wrapText="1"/>
    </xf>
    <xf numFmtId="1" fontId="29" fillId="7" borderId="6" xfId="0" applyNumberFormat="1" applyFont="1" applyFill="1" applyBorder="1" applyAlignment="1">
      <alignment horizontal="center" vertical="center"/>
    </xf>
    <xf numFmtId="1" fontId="29" fillId="11" borderId="177" xfId="0" applyNumberFormat="1" applyFont="1" applyFill="1" applyBorder="1" applyAlignment="1">
      <alignment horizontal="center" vertical="center" wrapText="1"/>
    </xf>
    <xf numFmtId="1" fontId="29" fillId="11" borderId="17" xfId="0" applyNumberFormat="1" applyFont="1" applyFill="1" applyBorder="1" applyAlignment="1">
      <alignment horizontal="center" vertical="center" wrapText="1"/>
    </xf>
    <xf numFmtId="1" fontId="29" fillId="11" borderId="158" xfId="0" applyNumberFormat="1" applyFont="1" applyFill="1" applyBorder="1" applyAlignment="1">
      <alignment horizontal="center" vertical="center" wrapText="1"/>
    </xf>
    <xf numFmtId="1" fontId="29" fillId="11" borderId="74" xfId="0" applyNumberFormat="1" applyFont="1" applyFill="1" applyBorder="1" applyAlignment="1">
      <alignment horizontal="center" vertical="center" wrapText="1"/>
    </xf>
    <xf numFmtId="1" fontId="29" fillId="11" borderId="76" xfId="0" applyNumberFormat="1" applyFont="1" applyFill="1" applyBorder="1" applyAlignment="1">
      <alignment horizontal="center" vertical="center" wrapText="1"/>
    </xf>
    <xf numFmtId="1" fontId="29" fillId="11" borderId="50" xfId="0" applyNumberFormat="1" applyFont="1" applyFill="1" applyBorder="1" applyAlignment="1">
      <alignment horizontal="center" vertical="center" wrapText="1"/>
    </xf>
    <xf numFmtId="1" fontId="29" fillId="11" borderId="151" xfId="0" applyNumberFormat="1" applyFont="1" applyFill="1" applyBorder="1" applyAlignment="1">
      <alignment horizontal="center" vertical="center" wrapText="1"/>
    </xf>
    <xf numFmtId="1" fontId="29" fillId="0" borderId="6" xfId="2" applyNumberFormat="1" applyFont="1" applyFill="1" applyBorder="1" applyAlignment="1">
      <alignment horizontal="center" vertical="center" wrapText="1"/>
    </xf>
    <xf numFmtId="1" fontId="29" fillId="0" borderId="7" xfId="2" applyNumberFormat="1" applyFont="1" applyFill="1" applyBorder="1" applyAlignment="1">
      <alignment horizontal="center" vertical="center"/>
    </xf>
    <xf numFmtId="1" fontId="29" fillId="11" borderId="0" xfId="0" applyNumberFormat="1" applyFont="1" applyFill="1" applyAlignment="1">
      <alignment horizontal="center" vertical="center" wrapText="1"/>
    </xf>
    <xf numFmtId="1" fontId="29" fillId="11" borderId="128" xfId="0" applyNumberFormat="1" applyFont="1" applyFill="1" applyBorder="1" applyAlignment="1">
      <alignment horizontal="left" vertical="center" wrapText="1"/>
    </xf>
    <xf numFmtId="1" fontId="29" fillId="11" borderId="140" xfId="0" applyNumberFormat="1" applyFont="1" applyFill="1" applyBorder="1" applyAlignment="1">
      <alignment horizontal="left" vertical="center" wrapText="1"/>
    </xf>
    <xf numFmtId="1" fontId="29" fillId="11" borderId="103" xfId="0" applyNumberFormat="1" applyFont="1" applyFill="1" applyBorder="1" applyAlignment="1">
      <alignment horizontal="left" vertical="center" wrapText="1"/>
    </xf>
    <xf numFmtId="1" fontId="29" fillId="0" borderId="69" xfId="0" applyNumberFormat="1" applyFont="1" applyBorder="1" applyAlignment="1">
      <alignment horizontal="center" vertical="center" wrapText="1"/>
    </xf>
    <xf numFmtId="1" fontId="29" fillId="0" borderId="87" xfId="0" applyNumberFormat="1" applyFont="1" applyBorder="1" applyAlignment="1">
      <alignment horizontal="center" vertical="center" wrapText="1"/>
    </xf>
    <xf numFmtId="1" fontId="29" fillId="0" borderId="177" xfId="0" applyNumberFormat="1" applyFont="1" applyBorder="1" applyAlignment="1">
      <alignment horizontal="center" vertical="center"/>
    </xf>
    <xf numFmtId="1" fontId="29" fillId="0" borderId="122" xfId="0" applyNumberFormat="1" applyFont="1" applyBorder="1" applyAlignment="1">
      <alignment horizontal="center" vertical="center"/>
    </xf>
    <xf numFmtId="1" fontId="29" fillId="0" borderId="17" xfId="0" applyNumberFormat="1" applyFont="1" applyBorder="1" applyAlignment="1">
      <alignment horizontal="center" vertical="center"/>
    </xf>
    <xf numFmtId="1" fontId="29" fillId="0" borderId="28" xfId="0" applyNumberFormat="1" applyFont="1" applyBorder="1" applyAlignment="1">
      <alignment horizontal="center" vertical="center" wrapText="1"/>
    </xf>
    <xf numFmtId="1" fontId="29" fillId="11" borderId="20" xfId="0" applyNumberFormat="1" applyFont="1" applyFill="1" applyBorder="1" applyAlignment="1">
      <alignment horizontal="center" vertical="center" wrapText="1"/>
    </xf>
    <xf numFmtId="1" fontId="29" fillId="0" borderId="23" xfId="0" applyNumberFormat="1" applyFont="1" applyBorder="1" applyAlignment="1">
      <alignment horizontal="left" vertical="center" wrapText="1"/>
    </xf>
    <xf numFmtId="1" fontId="29" fillId="0" borderId="9" xfId="0" applyNumberFormat="1" applyFont="1" applyBorder="1" applyAlignment="1">
      <alignment horizontal="left" vertical="center" wrapText="1"/>
    </xf>
    <xf numFmtId="1" fontId="29" fillId="0" borderId="78" xfId="0" applyNumberFormat="1" applyFont="1" applyBorder="1" applyAlignment="1">
      <alignment horizontal="left" vertical="center" wrapText="1"/>
    </xf>
    <xf numFmtId="1" fontId="29" fillId="0" borderId="40" xfId="0" applyNumberFormat="1" applyFont="1" applyBorder="1" applyAlignment="1">
      <alignment horizontal="left" vertical="center" wrapText="1"/>
    </xf>
    <xf numFmtId="1" fontId="29" fillId="0" borderId="142" xfId="0" applyNumberFormat="1" applyFont="1" applyBorder="1" applyAlignment="1">
      <alignment horizontal="left" vertical="center" wrapText="1"/>
    </xf>
    <xf numFmtId="1" fontId="29" fillId="7" borderId="63" xfId="0" applyNumberFormat="1" applyFont="1" applyFill="1" applyBorder="1" applyAlignment="1">
      <alignment horizontal="left" vertical="center" wrapText="1"/>
    </xf>
    <xf numFmtId="0" fontId="29" fillId="11" borderId="140" xfId="0" applyFont="1" applyFill="1" applyBorder="1" applyAlignment="1">
      <alignment horizontal="left" vertical="center"/>
    </xf>
    <xf numFmtId="0" fontId="29" fillId="11" borderId="103" xfId="0" applyFont="1" applyFill="1" applyBorder="1" applyAlignment="1">
      <alignment horizontal="left" vertical="center"/>
    </xf>
    <xf numFmtId="1" fontId="29" fillId="11" borderId="18" xfId="0" applyNumberFormat="1" applyFont="1" applyFill="1" applyBorder="1" applyAlignment="1">
      <alignment horizontal="left" vertical="center" wrapText="1"/>
    </xf>
    <xf numFmtId="1" fontId="29" fillId="11" borderId="19" xfId="0" applyNumberFormat="1" applyFont="1" applyFill="1" applyBorder="1" applyAlignment="1">
      <alignment horizontal="left" vertical="center" wrapText="1"/>
    </xf>
    <xf numFmtId="1" fontId="29" fillId="11" borderId="15" xfId="0" applyNumberFormat="1" applyFont="1" applyFill="1" applyBorder="1" applyAlignment="1">
      <alignment horizontal="left" vertical="center" wrapText="1"/>
    </xf>
    <xf numFmtId="1" fontId="29" fillId="0" borderId="127" xfId="0" applyNumberFormat="1" applyFont="1" applyBorder="1" applyAlignment="1">
      <alignment horizontal="left" vertical="center" wrapText="1"/>
    </xf>
    <xf numFmtId="1" fontId="29" fillId="0" borderId="61" xfId="0" applyNumberFormat="1" applyFont="1" applyBorder="1" applyAlignment="1">
      <alignment horizontal="left" vertical="center" wrapText="1"/>
    </xf>
    <xf numFmtId="1" fontId="29" fillId="0" borderId="62" xfId="0" applyNumberFormat="1" applyFont="1" applyBorder="1" applyAlignment="1">
      <alignment horizontal="left" vertical="center" wrapText="1"/>
    </xf>
    <xf numFmtId="1" fontId="29" fillId="7" borderId="108" xfId="0" applyNumberFormat="1" applyFont="1" applyFill="1" applyBorder="1" applyAlignment="1">
      <alignment horizontal="center" vertical="center" wrapText="1"/>
    </xf>
    <xf numFmtId="1" fontId="29" fillId="7" borderId="9" xfId="0" applyNumberFormat="1" applyFont="1" applyFill="1" applyBorder="1" applyAlignment="1">
      <alignment horizontal="center" vertical="center" wrapText="1"/>
    </xf>
    <xf numFmtId="1" fontId="29" fillId="7" borderId="13" xfId="0" applyNumberFormat="1" applyFont="1" applyFill="1" applyBorder="1" applyAlignment="1">
      <alignment horizontal="center" vertical="center" wrapText="1"/>
    </xf>
    <xf numFmtId="1" fontId="29" fillId="7" borderId="0" xfId="0" applyNumberFormat="1" applyFont="1" applyFill="1" applyAlignment="1">
      <alignment horizontal="center" vertical="center" wrapText="1"/>
    </xf>
    <xf numFmtId="1" fontId="29" fillId="7" borderId="16" xfId="0" applyNumberFormat="1" applyFont="1" applyFill="1" applyBorder="1" applyAlignment="1">
      <alignment horizontal="center" vertical="center" wrapText="1"/>
    </xf>
    <xf numFmtId="1" fontId="29" fillId="7" borderId="14" xfId="0" applyNumberFormat="1" applyFont="1" applyFill="1" applyBorder="1" applyAlignment="1">
      <alignment horizontal="center" vertical="center" wrapText="1"/>
    </xf>
    <xf numFmtId="1" fontId="29" fillId="7" borderId="212" xfId="0" applyNumberFormat="1" applyFont="1" applyFill="1" applyBorder="1" applyAlignment="1">
      <alignment horizontal="center" vertical="center" wrapText="1"/>
    </xf>
    <xf numFmtId="1" fontId="29" fillId="7" borderId="213" xfId="0" applyNumberFormat="1" applyFont="1" applyFill="1" applyBorder="1" applyAlignment="1">
      <alignment horizontal="center" vertical="center" wrapText="1"/>
    </xf>
    <xf numFmtId="1" fontId="29" fillId="7" borderId="156" xfId="0" applyNumberFormat="1" applyFont="1" applyFill="1" applyBorder="1" applyAlignment="1">
      <alignment horizontal="center" vertical="center" wrapText="1"/>
    </xf>
    <xf numFmtId="1" fontId="29" fillId="7" borderId="129" xfId="0" applyNumberFormat="1" applyFont="1" applyFill="1" applyBorder="1" applyAlignment="1">
      <alignment horizontal="center" vertical="center" wrapText="1"/>
    </xf>
    <xf numFmtId="1" fontId="29" fillId="7" borderId="141" xfId="0" applyNumberFormat="1" applyFont="1" applyFill="1" applyBorder="1" applyAlignment="1">
      <alignment horizontal="center" vertical="center" wrapText="1"/>
    </xf>
    <xf numFmtId="1" fontId="29" fillId="7" borderId="130" xfId="0" applyNumberFormat="1" applyFont="1" applyFill="1" applyBorder="1" applyAlignment="1">
      <alignment horizontal="center" vertical="center" wrapText="1"/>
    </xf>
    <xf numFmtId="1" fontId="29" fillId="7" borderId="61" xfId="0" applyNumberFormat="1" applyFont="1" applyFill="1" applyBorder="1" applyAlignment="1">
      <alignment horizontal="left" vertical="center" wrapText="1"/>
    </xf>
    <xf numFmtId="1" fontId="29" fillId="7" borderId="62" xfId="0" applyNumberFormat="1" applyFont="1" applyFill="1" applyBorder="1" applyAlignment="1">
      <alignment horizontal="left" vertical="center" wrapText="1"/>
    </xf>
    <xf numFmtId="0" fontId="29" fillId="0" borderId="21" xfId="0" applyFont="1" applyBorder="1" applyAlignment="1">
      <alignment horizontal="center" vertical="center" wrapText="1"/>
    </xf>
    <xf numFmtId="0" fontId="29" fillId="0" borderId="123" xfId="0" applyFont="1" applyBorder="1" applyAlignment="1">
      <alignment horizontal="center" vertical="center" wrapText="1"/>
    </xf>
    <xf numFmtId="0" fontId="29" fillId="0" borderId="30" xfId="0" applyFont="1" applyBorder="1" applyAlignment="1">
      <alignment horizontal="center" vertical="center" wrapText="1"/>
    </xf>
    <xf numFmtId="1" fontId="29" fillId="7" borderId="177" xfId="0" applyNumberFormat="1" applyFont="1" applyFill="1" applyBorder="1" applyAlignment="1">
      <alignment horizontal="center" vertical="center" wrapText="1"/>
    </xf>
    <xf numFmtId="1" fontId="29" fillId="7" borderId="122" xfId="0" applyNumberFormat="1" applyFont="1" applyFill="1" applyBorder="1" applyAlignment="1">
      <alignment horizontal="center" vertical="center" wrapText="1"/>
    </xf>
    <xf numFmtId="1" fontId="29" fillId="7" borderId="17" xfId="0" applyNumberFormat="1" applyFont="1" applyFill="1" applyBorder="1" applyAlignment="1">
      <alignment horizontal="center" vertical="center" wrapText="1"/>
    </xf>
    <xf numFmtId="1" fontId="29" fillId="7" borderId="89" xfId="0" applyNumberFormat="1" applyFont="1" applyFill="1" applyBorder="1" applyAlignment="1">
      <alignment horizontal="left" vertical="center" wrapText="1"/>
    </xf>
    <xf numFmtId="1" fontId="29" fillId="7" borderId="138" xfId="0" applyNumberFormat="1" applyFont="1" applyFill="1" applyBorder="1" applyAlignment="1">
      <alignment horizontal="left" vertical="center" wrapText="1"/>
    </xf>
    <xf numFmtId="1" fontId="29" fillId="7" borderId="98" xfId="0" applyNumberFormat="1" applyFont="1" applyFill="1" applyBorder="1" applyAlignment="1">
      <alignment horizontal="left" vertical="center" wrapText="1"/>
    </xf>
    <xf numFmtId="1" fontId="29" fillId="30" borderId="18" xfId="0" applyNumberFormat="1" applyFont="1" applyFill="1" applyBorder="1" applyAlignment="1">
      <alignment horizontal="left" vertical="center" wrapText="1"/>
    </xf>
    <xf numFmtId="1" fontId="29" fillId="30" borderId="19" xfId="0" applyNumberFormat="1" applyFont="1" applyFill="1" applyBorder="1" applyAlignment="1">
      <alignment horizontal="left" vertical="center" wrapText="1"/>
    </xf>
    <xf numFmtId="1" fontId="29" fillId="30" borderId="15" xfId="0" applyNumberFormat="1" applyFont="1" applyFill="1" applyBorder="1" applyAlignment="1">
      <alignment horizontal="left" vertical="center" wrapText="1"/>
    </xf>
    <xf numFmtId="1" fontId="29" fillId="0" borderId="108" xfId="0" applyNumberFormat="1" applyFont="1" applyBorder="1" applyAlignment="1">
      <alignment horizontal="left" vertical="center" wrapText="1"/>
    </xf>
    <xf numFmtId="1" fontId="29" fillId="0" borderId="13" xfId="0" applyNumberFormat="1" applyFont="1" applyBorder="1" applyAlignment="1">
      <alignment horizontal="left" vertical="center" wrapText="1"/>
    </xf>
    <xf numFmtId="1" fontId="29" fillId="0" borderId="16" xfId="0" applyNumberFormat="1" applyFont="1" applyBorder="1" applyAlignment="1">
      <alignment horizontal="left" vertical="center" wrapText="1"/>
    </xf>
    <xf numFmtId="1" fontId="29" fillId="11" borderId="108" xfId="0" applyNumberFormat="1" applyFont="1" applyFill="1" applyBorder="1" applyAlignment="1">
      <alignment horizontal="left" vertical="center" wrapText="1"/>
    </xf>
    <xf numFmtId="1" fontId="29" fillId="11" borderId="13" xfId="0" applyNumberFormat="1" applyFont="1" applyFill="1" applyBorder="1" applyAlignment="1">
      <alignment horizontal="left" vertical="center" wrapText="1"/>
    </xf>
    <xf numFmtId="1" fontId="29" fillId="15" borderId="128" xfId="0" applyNumberFormat="1" applyFont="1" applyFill="1" applyBorder="1" applyAlignment="1">
      <alignment horizontal="left" vertical="center"/>
    </xf>
    <xf numFmtId="1" fontId="29" fillId="15" borderId="103" xfId="0" applyNumberFormat="1" applyFont="1" applyFill="1" applyBorder="1" applyAlignment="1">
      <alignment horizontal="left" vertical="center"/>
    </xf>
    <xf numFmtId="1" fontId="29" fillId="15" borderId="128" xfId="0" applyNumberFormat="1" applyFont="1" applyFill="1" applyBorder="1" applyAlignment="1">
      <alignment horizontal="left" vertical="center" wrapText="1"/>
    </xf>
    <xf numFmtId="1" fontId="29" fillId="15" borderId="103" xfId="0" applyNumberFormat="1" applyFont="1" applyFill="1" applyBorder="1" applyAlignment="1">
      <alignment horizontal="left" vertical="center" wrapText="1"/>
    </xf>
    <xf numFmtId="1" fontId="29" fillId="7" borderId="127" xfId="0" applyNumberFormat="1" applyFont="1" applyFill="1" applyBorder="1" applyAlignment="1">
      <alignment horizontal="left" vertical="center" wrapText="1"/>
    </xf>
    <xf numFmtId="1" fontId="29" fillId="15" borderId="89" xfId="0" applyNumberFormat="1" applyFont="1" applyFill="1" applyBorder="1" applyAlignment="1">
      <alignment horizontal="left" vertical="center"/>
    </xf>
    <xf numFmtId="1" fontId="29" fillId="15" borderId="98" xfId="0" applyNumberFormat="1" applyFont="1" applyFill="1" applyBorder="1" applyAlignment="1">
      <alignment horizontal="left" vertical="center"/>
    </xf>
    <xf numFmtId="1" fontId="29" fillId="11" borderId="89" xfId="0" applyNumberFormat="1" applyFont="1" applyFill="1" applyBorder="1" applyAlignment="1">
      <alignment horizontal="left" vertical="center" wrapText="1"/>
    </xf>
    <xf numFmtId="1" fontId="29" fillId="11" borderId="138" xfId="0" applyNumberFormat="1" applyFont="1" applyFill="1" applyBorder="1" applyAlignment="1">
      <alignment horizontal="left" vertical="center" wrapText="1"/>
    </xf>
    <xf numFmtId="1" fontId="29" fillId="11" borderId="98" xfId="0" applyNumberFormat="1" applyFont="1" applyFill="1" applyBorder="1" applyAlignment="1">
      <alignment horizontal="left" vertical="center" wrapText="1"/>
    </xf>
    <xf numFmtId="1" fontId="29" fillId="11" borderId="347" xfId="0" applyNumberFormat="1" applyFont="1" applyFill="1" applyBorder="1" applyAlignment="1">
      <alignment horizontal="center" vertical="center" wrapText="1"/>
    </xf>
    <xf numFmtId="1" fontId="29" fillId="0" borderId="166" xfId="0" applyNumberFormat="1" applyFont="1" applyBorder="1" applyAlignment="1">
      <alignment horizontal="left" vertical="center" wrapText="1"/>
    </xf>
    <xf numFmtId="1" fontId="29" fillId="0" borderId="49" xfId="0" applyNumberFormat="1" applyFont="1" applyBorder="1" applyAlignment="1">
      <alignment horizontal="left" vertical="center" wrapText="1"/>
    </xf>
    <xf numFmtId="1" fontId="29" fillId="0" borderId="168" xfId="0" applyNumberFormat="1" applyFont="1" applyBorder="1" applyAlignment="1">
      <alignment horizontal="left" vertical="center" wrapText="1"/>
    </xf>
    <xf numFmtId="1" fontId="29" fillId="0" borderId="171" xfId="0" applyNumberFormat="1" applyFont="1" applyBorder="1" applyAlignment="1">
      <alignment horizontal="left" vertical="center" wrapText="1"/>
    </xf>
    <xf numFmtId="1" fontId="29" fillId="7" borderId="48" xfId="0" applyNumberFormat="1" applyFont="1" applyFill="1" applyBorder="1" applyAlignment="1">
      <alignment horizontal="left" vertical="center" wrapText="1"/>
    </xf>
    <xf numFmtId="1" fontId="29" fillId="11" borderId="165" xfId="0" applyNumberFormat="1" applyFont="1" applyFill="1" applyBorder="1" applyAlignment="1">
      <alignment horizontal="center" vertical="center" wrapText="1"/>
    </xf>
    <xf numFmtId="1" fontId="29" fillId="0" borderId="136" xfId="0" applyNumberFormat="1" applyFont="1" applyBorder="1" applyAlignment="1">
      <alignment horizontal="center" vertical="center" wrapText="1"/>
    </xf>
    <xf numFmtId="1" fontId="29" fillId="0" borderId="11" xfId="0" applyNumberFormat="1" applyFont="1" applyBorder="1" applyAlignment="1">
      <alignment horizontal="center" vertical="center" wrapText="1"/>
    </xf>
    <xf numFmtId="1" fontId="29" fillId="0" borderId="58" xfId="0" applyNumberFormat="1" applyFont="1" applyBorder="1" applyAlignment="1">
      <alignment horizontal="left" vertical="center" wrapText="1"/>
    </xf>
    <xf numFmtId="1" fontId="29" fillId="0" borderId="89" xfId="0" applyNumberFormat="1" applyFont="1" applyBorder="1" applyAlignment="1">
      <alignment horizontal="left"/>
    </xf>
    <xf numFmtId="1" fontId="29" fillId="0" borderId="98" xfId="0" applyNumberFormat="1" applyFont="1" applyBorder="1" applyAlignment="1">
      <alignment horizontal="left"/>
    </xf>
    <xf numFmtId="1" fontId="29" fillId="0" borderId="45" xfId="0" applyNumberFormat="1" applyFont="1" applyBorder="1" applyAlignment="1">
      <alignment horizontal="left" vertical="center" wrapText="1"/>
    </xf>
    <xf numFmtId="1" fontId="29" fillId="0" borderId="48" xfId="0" applyNumberFormat="1" applyFont="1" applyBorder="1" applyAlignment="1">
      <alignment horizontal="left" vertical="center" wrapText="1"/>
    </xf>
    <xf numFmtId="1" fontId="29" fillId="0" borderId="8" xfId="0" applyNumberFormat="1" applyFont="1" applyBorder="1" applyAlignment="1">
      <alignment horizontal="left" vertical="center" wrapText="1"/>
    </xf>
    <xf numFmtId="1" fontId="29" fillId="7" borderId="108" xfId="0" applyNumberFormat="1" applyFont="1" applyFill="1" applyBorder="1" applyAlignment="1">
      <alignment horizontal="left" vertical="center" wrapText="1"/>
    </xf>
    <xf numFmtId="1" fontId="29" fillId="7" borderId="27" xfId="0" applyNumberFormat="1" applyFont="1" applyFill="1" applyBorder="1" applyAlignment="1">
      <alignment horizontal="left" vertical="center" wrapText="1"/>
    </xf>
    <xf numFmtId="1" fontId="29" fillId="7" borderId="13" xfId="0" applyNumberFormat="1" applyFont="1" applyFill="1" applyBorder="1" applyAlignment="1">
      <alignment horizontal="left" vertical="center" wrapText="1"/>
    </xf>
    <xf numFmtId="1" fontId="29" fillId="7" borderId="50" xfId="0" applyNumberFormat="1" applyFont="1" applyFill="1" applyBorder="1" applyAlignment="1">
      <alignment horizontal="left" vertical="center" wrapText="1"/>
    </xf>
    <xf numFmtId="1" fontId="29" fillId="7" borderId="16" xfId="0" applyNumberFormat="1" applyFont="1" applyFill="1" applyBorder="1" applyAlignment="1">
      <alignment horizontal="left" vertical="center" wrapText="1"/>
    </xf>
    <xf numFmtId="1" fontId="29" fillId="7" borderId="36" xfId="0" applyNumberFormat="1" applyFont="1" applyFill="1" applyBorder="1" applyAlignment="1">
      <alignment horizontal="left" vertical="center" wrapText="1"/>
    </xf>
    <xf numFmtId="1" fontId="29" fillId="0" borderId="13" xfId="0" applyNumberFormat="1" applyFont="1" applyBorder="1"/>
    <xf numFmtId="1" fontId="29" fillId="0" borderId="0" xfId="0" applyNumberFormat="1" applyFont="1"/>
    <xf numFmtId="1" fontId="29" fillId="0" borderId="23" xfId="0" applyNumberFormat="1" applyFont="1" applyBorder="1" applyAlignment="1">
      <alignment horizontal="center" vertical="center" wrapText="1"/>
    </xf>
    <xf numFmtId="1" fontId="29" fillId="0" borderId="68" xfId="0" applyNumberFormat="1" applyFont="1" applyBorder="1" applyAlignment="1">
      <alignment horizontal="center" vertical="center" wrapText="1"/>
    </xf>
    <xf numFmtId="1" fontId="29" fillId="0" borderId="32" xfId="0" applyNumberFormat="1" applyFont="1" applyBorder="1" applyAlignment="1">
      <alignment horizontal="center" vertical="center" wrapText="1"/>
    </xf>
    <xf numFmtId="1" fontId="26" fillId="0" borderId="0" xfId="0" applyNumberFormat="1" applyFont="1"/>
    <xf numFmtId="1" fontId="29" fillId="7" borderId="23" xfId="0" applyNumberFormat="1" applyFont="1" applyFill="1" applyBorder="1" applyAlignment="1">
      <alignment horizontal="center" vertical="center" wrapText="1"/>
    </xf>
    <xf numFmtId="1" fontId="29" fillId="7" borderId="32" xfId="0" applyNumberFormat="1" applyFont="1" applyFill="1" applyBorder="1" applyAlignment="1">
      <alignment horizontal="center" vertical="center" wrapText="1"/>
    </xf>
    <xf numFmtId="1" fontId="29" fillId="0" borderId="38" xfId="0" applyNumberFormat="1" applyFont="1" applyBorder="1" applyAlignment="1">
      <alignment horizontal="left" vertical="center" wrapText="1"/>
    </xf>
    <xf numFmtId="1" fontId="29" fillId="0" borderId="41" xfId="0" applyNumberFormat="1" applyFont="1" applyBorder="1" applyAlignment="1">
      <alignment horizontal="left" vertical="center" wrapText="1"/>
    </xf>
    <xf numFmtId="1" fontId="29" fillId="0" borderId="112" xfId="0" applyNumberFormat="1" applyFont="1" applyBorder="1" applyAlignment="1">
      <alignment horizontal="left" vertical="center" wrapText="1"/>
    </xf>
    <xf numFmtId="1" fontId="29" fillId="0" borderId="40" xfId="0" applyNumberFormat="1" applyFont="1" applyBorder="1" applyAlignment="1">
      <alignment horizontal="center" vertical="center" wrapText="1"/>
    </xf>
    <xf numFmtId="1" fontId="29" fillId="0" borderId="100" xfId="0" applyNumberFormat="1" applyFont="1" applyBorder="1" applyAlignment="1">
      <alignment horizontal="left" vertical="center" wrapText="1"/>
    </xf>
    <xf numFmtId="1" fontId="29" fillId="0" borderId="101" xfId="0" applyNumberFormat="1" applyFont="1" applyBorder="1" applyAlignment="1">
      <alignment horizontal="left" vertical="center" wrapText="1"/>
    </xf>
    <xf numFmtId="1" fontId="29" fillId="0" borderId="116" xfId="0" applyNumberFormat="1" applyFont="1" applyBorder="1" applyAlignment="1">
      <alignment horizontal="left" vertical="center" wrapText="1"/>
    </xf>
    <xf numFmtId="1" fontId="29" fillId="0" borderId="166" xfId="0" applyNumberFormat="1" applyFont="1" applyBorder="1"/>
    <xf numFmtId="1" fontId="29" fillId="0" borderId="48" xfId="0" applyNumberFormat="1" applyFont="1" applyBorder="1"/>
    <xf numFmtId="1" fontId="29" fillId="0" borderId="49" xfId="0" applyNumberFormat="1" applyFont="1" applyBorder="1"/>
    <xf numFmtId="1" fontId="29" fillId="7" borderId="14" xfId="0" applyNumberFormat="1" applyFont="1" applyFill="1" applyBorder="1" applyAlignment="1">
      <alignment horizontal="left" vertical="center" wrapText="1"/>
    </xf>
    <xf numFmtId="1" fontId="29" fillId="7" borderId="273" xfId="0" applyNumberFormat="1" applyFont="1" applyFill="1" applyBorder="1" applyAlignment="1">
      <alignment horizontal="center" vertical="center" wrapText="1"/>
    </xf>
    <xf numFmtId="1" fontId="29" fillId="7" borderId="276" xfId="0" applyNumberFormat="1" applyFont="1" applyFill="1" applyBorder="1" applyAlignment="1">
      <alignment horizontal="center" vertical="center" wrapText="1"/>
    </xf>
    <xf numFmtId="1" fontId="29" fillId="0" borderId="75" xfId="0" applyNumberFormat="1" applyFont="1" applyBorder="1"/>
    <xf numFmtId="1" fontId="29" fillId="0" borderId="138" xfId="0" applyNumberFormat="1" applyFont="1" applyBorder="1"/>
    <xf numFmtId="1" fontId="29" fillId="0" borderId="142" xfId="0" applyNumberFormat="1" applyFont="1" applyBorder="1"/>
    <xf numFmtId="1" fontId="29" fillId="0" borderId="140" xfId="0" applyNumberFormat="1" applyFont="1" applyBorder="1"/>
    <xf numFmtId="1" fontId="29" fillId="0" borderId="103" xfId="0" applyNumberFormat="1" applyFont="1" applyBorder="1"/>
    <xf numFmtId="1" fontId="29" fillId="7" borderId="108" xfId="0" applyNumberFormat="1" applyFont="1" applyFill="1" applyBorder="1" applyAlignment="1">
      <alignment horizontal="center" vertical="center"/>
    </xf>
    <xf numFmtId="1" fontId="29" fillId="14" borderId="6" xfId="0" applyNumberFormat="1" applyFont="1" applyFill="1" applyBorder="1" applyAlignment="1">
      <alignment horizontal="center" vertical="center" wrapText="1"/>
    </xf>
    <xf numFmtId="1" fontId="29" fillId="14" borderId="8" xfId="0" applyNumberFormat="1" applyFont="1" applyFill="1" applyBorder="1" applyAlignment="1">
      <alignment horizontal="center" vertical="center" wrapText="1"/>
    </xf>
    <xf numFmtId="1" fontId="29" fillId="14" borderId="7" xfId="0" applyNumberFormat="1" applyFont="1" applyFill="1" applyBorder="1" applyAlignment="1">
      <alignment horizontal="center" vertical="center" wrapText="1"/>
    </xf>
    <xf numFmtId="0" fontId="0" fillId="0" borderId="0" xfId="0"/>
    <xf numFmtId="1" fontId="29" fillId="11" borderId="22" xfId="0" applyNumberFormat="1" applyFont="1" applyFill="1" applyBorder="1" applyAlignment="1">
      <alignment horizontal="center" vertical="center" wrapText="1"/>
    </xf>
    <xf numFmtId="1" fontId="29" fillId="11" borderId="70" xfId="0" applyNumberFormat="1" applyFont="1" applyFill="1" applyBorder="1" applyAlignment="1">
      <alignment horizontal="center" vertical="center" wrapText="1"/>
    </xf>
    <xf numFmtId="1" fontId="29" fillId="11" borderId="31" xfId="0" applyNumberFormat="1" applyFont="1" applyFill="1" applyBorder="1" applyAlignment="1">
      <alignment horizontal="center" vertical="center" wrapText="1"/>
    </xf>
    <xf numFmtId="0" fontId="29" fillId="0" borderId="442" xfId="0" applyFont="1" applyBorder="1" applyAlignment="1">
      <alignment horizontal="center" vertical="center" wrapText="1"/>
    </xf>
    <xf numFmtId="0" fontId="29" fillId="0" borderId="536" xfId="0" applyFont="1" applyBorder="1" applyAlignment="1">
      <alignment horizontal="center" vertical="center" wrapText="1"/>
    </xf>
    <xf numFmtId="0" fontId="29" fillId="0" borderId="443" xfId="0" applyFont="1" applyBorder="1" applyAlignment="1">
      <alignment horizontal="center" vertical="center" wrapText="1"/>
    </xf>
    <xf numFmtId="49" fontId="29" fillId="0" borderId="6" xfId="0" applyNumberFormat="1" applyFont="1" applyBorder="1" applyAlignment="1">
      <alignment horizontal="center"/>
    </xf>
    <xf numFmtId="49" fontId="29" fillId="0" borderId="7" xfId="0" applyNumberFormat="1" applyFont="1" applyBorder="1" applyAlignment="1">
      <alignment horizontal="center"/>
    </xf>
    <xf numFmtId="0" fontId="29" fillId="0" borderId="18" xfId="0" applyFont="1" applyBorder="1" applyAlignment="1">
      <alignment horizontal="center" vertical="center"/>
    </xf>
    <xf numFmtId="0" fontId="29" fillId="0" borderId="19" xfId="0" applyFont="1" applyBorder="1" applyAlignment="1">
      <alignment horizontal="center" vertical="center"/>
    </xf>
    <xf numFmtId="0" fontId="29" fillId="0" borderId="15" xfId="0" applyFont="1" applyBorder="1" applyAlignment="1">
      <alignment horizontal="center" vertical="center"/>
    </xf>
    <xf numFmtId="0" fontId="29" fillId="0" borderId="134" xfId="0" applyFont="1" applyBorder="1" applyAlignment="1">
      <alignment horizontal="center" vertical="center"/>
    </xf>
    <xf numFmtId="0" fontId="29" fillId="0" borderId="20" xfId="0" applyFont="1" applyBorder="1" applyAlignment="1">
      <alignment horizontal="center" vertical="center" wrapText="1"/>
    </xf>
    <xf numFmtId="0" fontId="29" fillId="0" borderId="6" xfId="0" applyFont="1" applyBorder="1" applyAlignment="1">
      <alignment horizontal="center" vertical="center"/>
    </xf>
    <xf numFmtId="0" fontId="29" fillId="0" borderId="20" xfId="0" applyFont="1" applyBorder="1" applyAlignment="1">
      <alignment horizontal="center" vertical="center"/>
    </xf>
    <xf numFmtId="0" fontId="29" fillId="0" borderId="135" xfId="0" applyFont="1" applyBorder="1" applyAlignment="1">
      <alignment horizontal="center" vertical="center" wrapText="1"/>
    </xf>
    <xf numFmtId="0" fontId="29" fillId="0" borderId="108" xfId="0" applyFont="1" applyBorder="1" applyAlignment="1">
      <alignment horizontal="center" vertical="center"/>
    </xf>
    <xf numFmtId="0" fontId="29" fillId="0" borderId="27" xfId="0" applyFont="1" applyBorder="1" applyAlignment="1">
      <alignment horizontal="center" vertical="center"/>
    </xf>
    <xf numFmtId="0" fontId="29" fillId="0" borderId="9" xfId="0" applyFont="1" applyBorder="1" applyAlignment="1">
      <alignment horizontal="center" vertical="center"/>
    </xf>
    <xf numFmtId="0" fontId="29" fillId="0" borderId="14" xfId="0" applyFont="1" applyBorder="1" applyAlignment="1">
      <alignment horizontal="center" vertical="center"/>
    </xf>
    <xf numFmtId="1" fontId="29" fillId="11" borderId="135" xfId="0" applyNumberFormat="1" applyFont="1" applyFill="1" applyBorder="1" applyAlignment="1">
      <alignment horizontal="center" vertical="center" wrapText="1"/>
    </xf>
    <xf numFmtId="1" fontId="29" fillId="11" borderId="381" xfId="0" applyNumberFormat="1" applyFont="1" applyFill="1" applyBorder="1" applyAlignment="1">
      <alignment horizontal="center" vertical="center" wrapText="1"/>
    </xf>
    <xf numFmtId="1" fontId="29" fillId="11" borderId="298" xfId="0" applyNumberFormat="1" applyFont="1" applyFill="1" applyBorder="1" applyAlignment="1">
      <alignment horizontal="center" vertical="center" wrapText="1"/>
    </xf>
    <xf numFmtId="0" fontId="29" fillId="0" borderId="134" xfId="0" applyFont="1" applyBorder="1" applyAlignment="1">
      <alignment horizontal="center" vertical="center" wrapText="1"/>
    </xf>
    <xf numFmtId="0" fontId="29" fillId="0" borderId="128" xfId="0" applyFont="1" applyBorder="1" applyAlignment="1">
      <alignment horizontal="left" vertical="center"/>
    </xf>
    <xf numFmtId="0" fontId="29" fillId="0" borderId="103" xfId="0" applyFont="1" applyBorder="1" applyAlignment="1">
      <alignment horizontal="left" vertical="center"/>
    </xf>
    <xf numFmtId="0" fontId="29" fillId="0" borderId="127" xfId="0" applyFont="1" applyBorder="1" applyAlignment="1">
      <alignment horizontal="left" vertical="center"/>
    </xf>
    <xf numFmtId="0" fontId="29" fillId="0" borderId="62" xfId="0" applyFont="1" applyBorder="1" applyAlignment="1">
      <alignment horizontal="left" vertical="center"/>
    </xf>
    <xf numFmtId="0" fontId="29" fillId="0" borderId="168" xfId="0" applyFont="1" applyBorder="1" applyAlignment="1">
      <alignment horizontal="left"/>
    </xf>
    <xf numFmtId="0" fontId="29" fillId="0" borderId="171" xfId="0" applyFont="1" applyBorder="1" applyAlignment="1">
      <alignment horizontal="left"/>
    </xf>
    <xf numFmtId="1" fontId="29" fillId="0" borderId="99" xfId="0" applyNumberFormat="1" applyFont="1" applyBorder="1" applyAlignment="1">
      <alignment horizontal="left" vertical="center" wrapText="1"/>
    </xf>
    <xf numFmtId="0" fontId="29" fillId="0" borderId="166" xfId="0" applyFont="1" applyBorder="1" applyAlignment="1">
      <alignment horizontal="left" vertical="center"/>
    </xf>
    <xf numFmtId="0" fontId="29" fillId="0" borderId="49" xfId="0" applyFont="1" applyBorder="1" applyAlignment="1">
      <alignment horizontal="left" vertical="center"/>
    </xf>
    <xf numFmtId="0" fontId="29" fillId="0" borderId="89" xfId="0" applyFont="1" applyBorder="1" applyAlignment="1">
      <alignment horizontal="left" vertical="center"/>
    </xf>
    <xf numFmtId="0" fontId="29" fillId="0" borderId="98" xfId="0" applyFont="1" applyBorder="1" applyAlignment="1">
      <alignment horizontal="left" vertical="center"/>
    </xf>
    <xf numFmtId="1" fontId="29" fillId="11" borderId="129" xfId="0" applyNumberFormat="1" applyFont="1" applyFill="1" applyBorder="1" applyAlignment="1">
      <alignment horizontal="center" vertical="center" wrapText="1"/>
    </xf>
    <xf numFmtId="1" fontId="29" fillId="11" borderId="212" xfId="0" applyNumberFormat="1" applyFont="1" applyFill="1" applyBorder="1" applyAlignment="1">
      <alignment horizontal="center" vertical="center" wrapText="1"/>
    </xf>
    <xf numFmtId="1" fontId="29" fillId="11" borderId="130" xfId="0" applyNumberFormat="1" applyFont="1" applyFill="1" applyBorder="1" applyAlignment="1">
      <alignment horizontal="center" vertical="center" wrapText="1"/>
    </xf>
    <xf numFmtId="1" fontId="29" fillId="11" borderId="156" xfId="0" applyNumberFormat="1" applyFont="1" applyFill="1" applyBorder="1" applyAlignment="1">
      <alignment horizontal="center" vertical="center" wrapText="1"/>
    </xf>
    <xf numFmtId="1" fontId="31" fillId="7" borderId="8" xfId="0" applyNumberFormat="1" applyFont="1" applyFill="1" applyBorder="1" applyAlignment="1">
      <alignment horizontal="left" vertical="center" wrapText="1"/>
    </xf>
    <xf numFmtId="1" fontId="29" fillId="0" borderId="164" xfId="0" applyNumberFormat="1" applyFont="1" applyBorder="1"/>
    <xf numFmtId="1" fontId="29" fillId="0" borderId="177" xfId="0" applyNumberFormat="1" applyFont="1" applyBorder="1"/>
    <xf numFmtId="1" fontId="29" fillId="0" borderId="80" xfId="0" applyNumberFormat="1" applyFont="1" applyBorder="1"/>
    <xf numFmtId="1" fontId="29" fillId="0" borderId="17" xfId="0" applyNumberFormat="1" applyFont="1" applyBorder="1"/>
    <xf numFmtId="1" fontId="29" fillId="0" borderId="164" xfId="0" applyNumberFormat="1" applyFont="1" applyBorder="1" applyAlignment="1">
      <alignment horizontal="left"/>
    </xf>
    <xf numFmtId="1" fontId="29" fillId="0" borderId="177" xfId="0" applyNumberFormat="1" applyFont="1" applyBorder="1" applyAlignment="1">
      <alignment horizontal="left"/>
    </xf>
    <xf numFmtId="1" fontId="29" fillId="0" borderId="80" xfId="0" applyNumberFormat="1" applyFont="1" applyBorder="1" applyAlignment="1">
      <alignment horizontal="left"/>
    </xf>
    <xf numFmtId="1" fontId="29" fillId="0" borderId="17" xfId="0" applyNumberFormat="1" applyFont="1" applyBorder="1" applyAlignment="1">
      <alignment horizontal="left"/>
    </xf>
    <xf numFmtId="1" fontId="29" fillId="0" borderId="442" xfId="0" applyNumberFormat="1" applyFont="1" applyBorder="1" applyAlignment="1">
      <alignment horizontal="center" vertical="center" wrapText="1"/>
    </xf>
    <xf numFmtId="1" fontId="29" fillId="0" borderId="536" xfId="0" applyNumberFormat="1" applyFont="1" applyBorder="1" applyAlignment="1">
      <alignment horizontal="center" vertical="center" wrapText="1"/>
    </xf>
    <xf numFmtId="1" fontId="29" fillId="0" borderId="443" xfId="0" applyNumberFormat="1" applyFont="1" applyBorder="1" applyAlignment="1">
      <alignment horizontal="center" vertical="center" wrapText="1"/>
    </xf>
    <xf numFmtId="1" fontId="31" fillId="7" borderId="0" xfId="0" applyNumberFormat="1" applyFont="1" applyFill="1" applyAlignment="1">
      <alignment horizontal="left" vertical="center"/>
    </xf>
    <xf numFmtId="0" fontId="29" fillId="0" borderId="18" xfId="0" applyFont="1" applyBorder="1" applyAlignment="1">
      <alignment horizontal="center" vertical="center" wrapText="1"/>
    </xf>
    <xf numFmtId="0" fontId="29" fillId="0" borderId="15" xfId="0" applyFont="1" applyBorder="1" applyAlignment="1">
      <alignment horizontal="center" vertical="center" wrapText="1"/>
    </xf>
    <xf numFmtId="0" fontId="29" fillId="0" borderId="129" xfId="0" applyFont="1" applyBorder="1" applyAlignment="1">
      <alignment horizontal="center" vertical="center" wrapText="1"/>
    </xf>
    <xf numFmtId="0" fontId="29" fillId="0" borderId="130" xfId="0" applyFont="1" applyBorder="1" applyAlignment="1">
      <alignment horizontal="center" vertical="center" wrapText="1"/>
    </xf>
    <xf numFmtId="0" fontId="31" fillId="11" borderId="14" xfId="0" applyFont="1" applyFill="1" applyBorder="1" applyAlignment="1">
      <alignment horizontal="left" wrapText="1"/>
    </xf>
    <xf numFmtId="0" fontId="31" fillId="0" borderId="8" xfId="0" applyFont="1" applyBorder="1" applyAlignment="1">
      <alignment horizontal="left" wrapText="1"/>
    </xf>
    <xf numFmtId="0" fontId="31" fillId="0" borderId="14" xfId="0" applyFont="1" applyBorder="1" applyAlignment="1">
      <alignment horizontal="left" wrapText="1"/>
    </xf>
    <xf numFmtId="0" fontId="0" fillId="0" borderId="18" xfId="0" applyBorder="1" applyAlignment="1">
      <alignment horizontal="center" vertical="center" wrapText="1"/>
    </xf>
    <xf numFmtId="0" fontId="0" fillId="0" borderId="15" xfId="0" applyBorder="1" applyAlignment="1">
      <alignment horizontal="center" vertical="center" wrapText="1"/>
    </xf>
    <xf numFmtId="0" fontId="25" fillId="0" borderId="18" xfId="0" applyFont="1" applyBorder="1" applyAlignment="1">
      <alignment horizontal="center" vertical="center" wrapText="1"/>
    </xf>
    <xf numFmtId="0" fontId="25" fillId="0" borderId="15" xfId="0" applyFont="1" applyBorder="1" applyAlignment="1">
      <alignment horizontal="center" vertical="center" wrapText="1"/>
    </xf>
    <xf numFmtId="0" fontId="29" fillId="0" borderId="27" xfId="0" applyFont="1" applyBorder="1" applyAlignment="1">
      <alignment horizontal="center"/>
    </xf>
    <xf numFmtId="0" fontId="29" fillId="0" borderId="36" xfId="0" applyFont="1" applyBorder="1" applyAlignment="1">
      <alignment horizontal="center"/>
    </xf>
    <xf numFmtId="0" fontId="31" fillId="0" borderId="0" xfId="0" applyFont="1" applyAlignment="1">
      <alignment horizontal="left" wrapText="1"/>
    </xf>
    <xf numFmtId="1" fontId="31" fillId="7" borderId="9" xfId="0" applyNumberFormat="1" applyFont="1" applyFill="1" applyBorder="1" applyAlignment="1">
      <alignment horizontal="left"/>
    </xf>
    <xf numFmtId="1" fontId="31" fillId="7" borderId="0" xfId="0" applyNumberFormat="1" applyFont="1" applyFill="1" applyAlignment="1">
      <alignment horizontal="left"/>
    </xf>
    <xf numFmtId="1" fontId="29" fillId="0" borderId="27" xfId="0" applyNumberFormat="1" applyFont="1" applyBorder="1" applyAlignment="1">
      <alignment horizontal="center" wrapText="1"/>
    </xf>
    <xf numFmtId="1" fontId="29" fillId="0" borderId="36" xfId="0" applyNumberFormat="1" applyFont="1" applyBorder="1" applyAlignment="1">
      <alignment horizontal="center" wrapText="1"/>
    </xf>
    <xf numFmtId="1" fontId="31" fillId="7" borderId="0" xfId="0" applyNumberFormat="1" applyFont="1" applyFill="1" applyAlignment="1">
      <alignment horizontal="left" wrapText="1"/>
    </xf>
    <xf numFmtId="1" fontId="29" fillId="0" borderId="129" xfId="0" applyNumberFormat="1" applyFont="1" applyBorder="1" applyAlignment="1">
      <alignment horizontal="center" vertical="center"/>
    </xf>
    <xf numFmtId="1" fontId="29" fillId="0" borderId="130" xfId="0" applyNumberFormat="1" applyFont="1" applyBorder="1" applyAlignment="1">
      <alignment horizontal="center" vertical="center"/>
    </xf>
    <xf numFmtId="0" fontId="29" fillId="0" borderId="22" xfId="0" applyFont="1" applyBorder="1" applyAlignment="1">
      <alignment horizontal="center" vertical="center" wrapText="1"/>
    </xf>
    <xf numFmtId="0" fontId="29" fillId="0" borderId="31" xfId="0" applyFont="1" applyBorder="1" applyAlignment="1">
      <alignment horizontal="center" vertical="center" wrapText="1"/>
    </xf>
    <xf numFmtId="0" fontId="0" fillId="0" borderId="6" xfId="0" applyBorder="1" applyAlignment="1">
      <alignment horizontal="center"/>
    </xf>
    <xf numFmtId="0" fontId="0" fillId="0" borderId="7" xfId="0" applyBorder="1" applyAlignment="1">
      <alignment horizontal="center"/>
    </xf>
    <xf numFmtId="1" fontId="29" fillId="0" borderId="6" xfId="44" applyNumberFormat="1" applyFont="1" applyBorder="1" applyAlignment="1">
      <alignment horizontal="center" vertical="center" wrapText="1"/>
    </xf>
    <xf numFmtId="1" fontId="29" fillId="0" borderId="8" xfId="44" applyNumberFormat="1" applyFont="1" applyBorder="1" applyAlignment="1">
      <alignment horizontal="center" vertical="center" wrapText="1"/>
    </xf>
    <xf numFmtId="1" fontId="29" fillId="0" borderId="20" xfId="44" applyNumberFormat="1" applyFont="1" applyBorder="1" applyAlignment="1">
      <alignment horizontal="center" vertical="center" wrapText="1"/>
    </xf>
    <xf numFmtId="1" fontId="25" fillId="7" borderId="8" xfId="0" applyNumberFormat="1" applyFont="1" applyFill="1" applyBorder="1" applyAlignment="1">
      <alignment horizontal="center" vertical="center"/>
    </xf>
    <xf numFmtId="1" fontId="25" fillId="7" borderId="7" xfId="0" applyNumberFormat="1" applyFont="1" applyFill="1" applyBorder="1" applyAlignment="1">
      <alignment horizontal="center" vertical="center"/>
    </xf>
    <xf numFmtId="1" fontId="29" fillId="0" borderId="135" xfId="44" applyNumberFormat="1" applyFont="1" applyBorder="1" applyAlignment="1">
      <alignment horizontal="center" vertical="center"/>
    </xf>
    <xf numFmtId="1" fontId="29" fillId="0" borderId="8" xfId="44" applyNumberFormat="1" applyFont="1" applyBorder="1" applyAlignment="1">
      <alignment horizontal="center" vertical="center"/>
    </xf>
    <xf numFmtId="1" fontId="29" fillId="0" borderId="7" xfId="44" applyNumberFormat="1" applyFont="1" applyBorder="1" applyAlignment="1">
      <alignment horizontal="center" vertical="center"/>
    </xf>
    <xf numFmtId="1" fontId="29" fillId="0" borderId="18" xfId="44" applyNumberFormat="1" applyFont="1" applyBorder="1" applyAlignment="1">
      <alignment horizontal="center" vertical="center" wrapText="1"/>
    </xf>
    <xf numFmtId="1" fontId="29" fillId="0" borderId="15" xfId="44" applyNumberFormat="1" applyFont="1" applyBorder="1" applyAlignment="1">
      <alignment horizontal="center" vertical="center" wrapText="1"/>
    </xf>
    <xf numFmtId="1" fontId="29" fillId="0" borderId="89" xfId="44" applyNumberFormat="1" applyFont="1" applyBorder="1" applyAlignment="1">
      <alignment horizontal="left"/>
    </xf>
    <xf numFmtId="1" fontId="29" fillId="0" borderId="98" xfId="44" applyNumberFormat="1" applyFont="1" applyBorder="1" applyAlignment="1">
      <alignment horizontal="left"/>
    </xf>
    <xf numFmtId="1" fontId="29" fillId="0" borderId="128" xfId="44" applyNumberFormat="1" applyFont="1" applyBorder="1" applyAlignment="1">
      <alignment horizontal="left"/>
    </xf>
    <xf numFmtId="1" fontId="29" fillId="0" borderId="103" xfId="44" applyNumberFormat="1" applyFont="1" applyBorder="1" applyAlignment="1">
      <alignment horizontal="left"/>
    </xf>
    <xf numFmtId="1" fontId="29" fillId="0" borderId="127" xfId="44" applyNumberFormat="1" applyFont="1" applyBorder="1" applyAlignment="1">
      <alignment horizontal="left"/>
    </xf>
    <xf numFmtId="1" fontId="29" fillId="0" borderId="62" xfId="44" applyNumberFormat="1" applyFont="1" applyBorder="1" applyAlignment="1">
      <alignment horizontal="left"/>
    </xf>
    <xf numFmtId="1" fontId="29" fillId="0" borderId="9" xfId="44" applyNumberFormat="1" applyFont="1" applyBorder="1" applyAlignment="1">
      <alignment horizontal="center" vertical="center" wrapText="1"/>
    </xf>
    <xf numFmtId="1" fontId="29" fillId="0" borderId="27" xfId="44" applyNumberFormat="1" applyFont="1" applyBorder="1" applyAlignment="1">
      <alignment horizontal="center" vertical="center" wrapText="1"/>
    </xf>
    <xf numFmtId="1" fontId="29" fillId="0" borderId="14" xfId="44" applyNumberFormat="1" applyFont="1" applyBorder="1" applyAlignment="1">
      <alignment horizontal="center" vertical="center" wrapText="1"/>
    </xf>
    <xf numFmtId="1" fontId="29" fillId="0" borderId="36" xfId="44" applyNumberFormat="1" applyFont="1" applyBorder="1" applyAlignment="1">
      <alignment horizontal="center" vertical="center" wrapText="1"/>
    </xf>
    <xf numFmtId="1" fontId="27" fillId="7" borderId="0" xfId="0" applyNumberFormat="1" applyFont="1" applyFill="1" applyAlignment="1">
      <alignment horizontal="center"/>
    </xf>
    <xf numFmtId="1" fontId="29" fillId="7" borderId="50" xfId="0" applyNumberFormat="1" applyFont="1" applyFill="1" applyBorder="1" applyAlignment="1">
      <alignment horizontal="center" vertical="center"/>
    </xf>
    <xf numFmtId="1" fontId="29" fillId="7" borderId="158" xfId="0" applyNumberFormat="1" applyFont="1" applyFill="1" applyBorder="1" applyAlignment="1">
      <alignment horizontal="center" vertical="center" wrapText="1"/>
    </xf>
    <xf numFmtId="1" fontId="29" fillId="7" borderId="74" xfId="0" applyNumberFormat="1" applyFont="1" applyFill="1" applyBorder="1" applyAlignment="1">
      <alignment horizontal="center" vertical="center" wrapText="1"/>
    </xf>
    <xf numFmtId="1" fontId="29" fillId="7" borderId="76" xfId="0" applyNumberFormat="1" applyFont="1" applyFill="1" applyBorder="1" applyAlignment="1">
      <alignment horizontal="center" vertical="center" wrapText="1"/>
    </xf>
    <xf numFmtId="1" fontId="29" fillId="7" borderId="22" xfId="0" applyNumberFormat="1" applyFont="1" applyFill="1" applyBorder="1" applyAlignment="1">
      <alignment horizontal="center" vertical="center" wrapText="1"/>
    </xf>
    <xf numFmtId="1" fontId="29" fillId="7" borderId="70" xfId="0" applyNumberFormat="1" applyFont="1" applyFill="1" applyBorder="1" applyAlignment="1">
      <alignment horizontal="center" vertical="center" wrapText="1"/>
    </xf>
    <xf numFmtId="1" fontId="29" fillId="7" borderId="31" xfId="0" applyNumberFormat="1" applyFont="1" applyFill="1" applyBorder="1" applyAlignment="1">
      <alignment horizontal="center" vertical="center" wrapText="1"/>
    </xf>
    <xf numFmtId="1" fontId="25" fillId="7" borderId="108" xfId="0" applyNumberFormat="1" applyFont="1" applyFill="1" applyBorder="1" applyAlignment="1">
      <alignment horizontal="center" vertical="center"/>
    </xf>
    <xf numFmtId="1" fontId="25" fillId="7" borderId="9" xfId="0" applyNumberFormat="1" applyFont="1" applyFill="1" applyBorder="1" applyAlignment="1">
      <alignment horizontal="center" vertical="center"/>
    </xf>
    <xf numFmtId="1" fontId="25" fillId="7" borderId="212" xfId="0" applyNumberFormat="1" applyFont="1" applyFill="1" applyBorder="1" applyAlignment="1">
      <alignment horizontal="center" vertical="center"/>
    </xf>
    <xf numFmtId="1" fontId="29" fillId="0" borderId="7" xfId="44" applyNumberFormat="1" applyFont="1" applyBorder="1" applyAlignment="1">
      <alignment horizontal="center" vertical="center" wrapText="1"/>
    </xf>
    <xf numFmtId="1" fontId="29" fillId="11" borderId="133" xfId="44" applyNumberFormat="1" applyFont="1" applyFill="1" applyBorder="1" applyAlignment="1" applyProtection="1">
      <alignment horizontal="center" vertical="center" wrapText="1"/>
      <protection locked="0"/>
    </xf>
    <xf numFmtId="1" fontId="29" fillId="0" borderId="2" xfId="44" applyNumberFormat="1" applyFont="1" applyBorder="1" applyAlignment="1">
      <alignment horizontal="center" vertical="center" wrapText="1"/>
    </xf>
    <xf numFmtId="1" fontId="29" fillId="0" borderId="6" xfId="44" applyNumberFormat="1" applyFont="1" applyBorder="1" applyAlignment="1">
      <alignment horizontal="center"/>
    </xf>
    <xf numFmtId="1" fontId="29" fillId="0" borderId="7" xfId="44" applyNumberFormat="1" applyFont="1" applyBorder="1" applyAlignment="1">
      <alignment horizontal="center"/>
    </xf>
    <xf numFmtId="1" fontId="29" fillId="0" borderId="2" xfId="44" applyNumberFormat="1" applyFont="1" applyBorder="1" applyAlignment="1">
      <alignment horizontal="center"/>
    </xf>
    <xf numFmtId="1" fontId="29" fillId="0" borderId="134" xfId="44" applyNumberFormat="1" applyFont="1" applyBorder="1" applyAlignment="1">
      <alignment horizontal="center"/>
    </xf>
    <xf numFmtId="1" fontId="29" fillId="11" borderId="7" xfId="44" applyNumberFormat="1" applyFont="1" applyFill="1" applyBorder="1" applyAlignment="1" applyProtection="1">
      <alignment horizontal="center" vertical="center" wrapText="1"/>
      <protection locked="0"/>
    </xf>
    <xf numFmtId="1" fontId="29" fillId="0" borderId="134" xfId="44" applyNumberFormat="1" applyFont="1" applyBorder="1" applyAlignment="1">
      <alignment horizontal="center" vertical="center"/>
    </xf>
    <xf numFmtId="1" fontId="29" fillId="0" borderId="18" xfId="44" applyNumberFormat="1" applyFont="1" applyBorder="1" applyAlignment="1">
      <alignment horizontal="left" vertical="center" wrapText="1"/>
    </xf>
    <xf numFmtId="1" fontId="29" fillId="0" borderId="15" xfId="44" applyNumberFormat="1" applyFont="1" applyBorder="1" applyAlignment="1">
      <alignment horizontal="left" vertical="center" wrapText="1"/>
    </xf>
    <xf numFmtId="1" fontId="31" fillId="0" borderId="632" xfId="0" applyNumberFormat="1" applyFont="1" applyBorder="1"/>
    <xf numFmtId="1" fontId="31" fillId="0" borderId="633" xfId="0" applyNumberFormat="1" applyFont="1" applyBorder="1"/>
    <xf numFmtId="1" fontId="29" fillId="0" borderId="6" xfId="44" applyNumberFormat="1" applyFont="1" applyBorder="1" applyAlignment="1">
      <alignment horizontal="left" wrapText="1"/>
    </xf>
    <xf numFmtId="1" fontId="29" fillId="0" borderId="7" xfId="44" applyNumberFormat="1" applyFont="1" applyBorder="1" applyAlignment="1">
      <alignment horizontal="left" wrapText="1"/>
    </xf>
    <xf numFmtId="1" fontId="31" fillId="0" borderId="8" xfId="44" applyNumberFormat="1" applyFont="1" applyBorder="1" applyAlignment="1">
      <alignment horizontal="left" wrapText="1"/>
    </xf>
    <xf numFmtId="1" fontId="29" fillId="0" borderId="18" xfId="44" applyNumberFormat="1" applyFont="1" applyBorder="1" applyAlignment="1">
      <alignment horizontal="center" vertical="center"/>
    </xf>
    <xf numFmtId="1" fontId="29" fillId="0" borderId="15" xfId="44" applyNumberFormat="1" applyFont="1" applyBorder="1" applyAlignment="1">
      <alignment horizontal="center" vertical="center"/>
    </xf>
    <xf numFmtId="1" fontId="29" fillId="0" borderId="50" xfId="44" applyNumberFormat="1" applyFont="1" applyBorder="1" applyAlignment="1">
      <alignment horizontal="center" vertical="center" wrapText="1"/>
    </xf>
    <xf numFmtId="1" fontId="29" fillId="0" borderId="108" xfId="44" applyNumberFormat="1" applyFont="1" applyBorder="1" applyAlignment="1">
      <alignment horizontal="center" vertical="center" wrapText="1"/>
    </xf>
    <xf numFmtId="1" fontId="29" fillId="0" borderId="16" xfId="44" applyNumberFormat="1" applyFont="1" applyBorder="1" applyAlignment="1">
      <alignment horizontal="center" vertical="center" wrapText="1"/>
    </xf>
    <xf numFmtId="1" fontId="29" fillId="0" borderId="18" xfId="44" applyNumberFormat="1" applyFont="1" applyBorder="1" applyAlignment="1">
      <alignment horizontal="left" vertical="center"/>
    </xf>
    <xf numFmtId="1" fontId="29" fillId="0" borderId="15" xfId="44" applyNumberFormat="1" applyFont="1" applyBorder="1" applyAlignment="1">
      <alignment horizontal="left" vertical="center"/>
    </xf>
    <xf numFmtId="1" fontId="29" fillId="0" borderId="6" xfId="44" applyNumberFormat="1" applyFont="1" applyBorder="1" applyAlignment="1">
      <alignment horizontal="left"/>
    </xf>
    <xf numFmtId="1" fontId="29" fillId="0" borderId="7" xfId="44" applyNumberFormat="1" applyFont="1" applyBorder="1" applyAlignment="1">
      <alignment horizontal="left"/>
    </xf>
    <xf numFmtId="0" fontId="30" fillId="11" borderId="6" xfId="0" applyFont="1" applyFill="1" applyBorder="1" applyAlignment="1">
      <alignment horizontal="center"/>
    </xf>
    <xf numFmtId="0" fontId="30" fillId="11" borderId="8" xfId="0" applyFont="1" applyFill="1" applyBorder="1" applyAlignment="1">
      <alignment horizontal="center"/>
    </xf>
    <xf numFmtId="0" fontId="30" fillId="11" borderId="20" xfId="0" applyFont="1" applyFill="1" applyBorder="1" applyAlignment="1">
      <alignment horizontal="center"/>
    </xf>
    <xf numFmtId="1" fontId="32" fillId="11" borderId="6" xfId="0" applyNumberFormat="1" applyFont="1" applyFill="1" applyBorder="1" applyAlignment="1">
      <alignment horizontal="center"/>
    </xf>
    <xf numFmtId="1" fontId="32" fillId="11" borderId="8" xfId="0" applyNumberFormat="1" applyFont="1" applyFill="1" applyBorder="1" applyAlignment="1">
      <alignment horizontal="center"/>
    </xf>
    <xf numFmtId="1" fontId="32" fillId="11" borderId="7" xfId="0" applyNumberFormat="1" applyFont="1" applyFill="1" applyBorder="1" applyAlignment="1">
      <alignment horizontal="center"/>
    </xf>
    <xf numFmtId="1" fontId="29" fillId="7" borderId="16" xfId="0" applyNumberFormat="1" applyFont="1" applyFill="1" applyBorder="1" applyAlignment="1">
      <alignment horizontal="center" vertical="center"/>
    </xf>
    <xf numFmtId="1" fontId="29" fillId="0" borderId="18" xfId="0" applyNumberFormat="1" applyFont="1" applyBorder="1" applyAlignment="1">
      <alignment horizontal="left" vertical="center"/>
    </xf>
    <xf numFmtId="1" fontId="29" fillId="0" borderId="19" xfId="0" applyNumberFormat="1" applyFont="1" applyBorder="1" applyAlignment="1">
      <alignment horizontal="left" vertical="center"/>
    </xf>
    <xf numFmtId="1" fontId="29" fillId="0" borderId="15" xfId="0" applyNumberFormat="1" applyFont="1" applyBorder="1" applyAlignment="1">
      <alignment horizontal="left" vertical="center"/>
    </xf>
    <xf numFmtId="1" fontId="29" fillId="0" borderId="140" xfId="0" applyNumberFormat="1" applyFont="1" applyBorder="1" applyAlignment="1">
      <alignment horizontal="left" vertical="center"/>
    </xf>
    <xf numFmtId="1" fontId="29" fillId="7" borderId="6" xfId="0" applyNumberFormat="1" applyFont="1" applyFill="1" applyBorder="1" applyAlignment="1">
      <alignment horizontal="center"/>
    </xf>
    <xf numFmtId="1" fontId="29" fillId="7" borderId="8" xfId="0" applyNumberFormat="1" applyFont="1" applyFill="1" applyBorder="1" applyAlignment="1">
      <alignment horizontal="center"/>
    </xf>
    <xf numFmtId="1" fontId="29" fillId="7" borderId="149" xfId="0" applyNumberFormat="1" applyFont="1" applyFill="1" applyBorder="1" applyAlignment="1">
      <alignment horizontal="center"/>
    </xf>
    <xf numFmtId="1" fontId="29" fillId="7" borderId="13" xfId="0" applyNumberFormat="1" applyFont="1" applyFill="1" applyBorder="1" applyAlignment="1">
      <alignment horizontal="center" vertical="center"/>
    </xf>
    <xf numFmtId="1" fontId="29" fillId="7" borderId="0" xfId="0" applyNumberFormat="1" applyFont="1" applyFill="1" applyAlignment="1">
      <alignment horizontal="center" vertical="center"/>
    </xf>
    <xf numFmtId="1" fontId="29" fillId="0" borderId="27" xfId="38" applyNumberFormat="1" applyFont="1" applyBorder="1" applyAlignment="1">
      <alignment horizontal="center" vertical="center" wrapText="1"/>
    </xf>
    <xf numFmtId="1" fontId="29" fillId="0" borderId="50" xfId="38" applyNumberFormat="1" applyFont="1" applyBorder="1" applyAlignment="1">
      <alignment horizontal="center" vertical="center" wrapText="1"/>
    </xf>
    <xf numFmtId="1" fontId="29" fillId="0" borderId="36" xfId="38" applyNumberFormat="1" applyFont="1" applyBorder="1" applyAlignment="1">
      <alignment horizontal="center" vertical="center" wrapText="1"/>
    </xf>
    <xf numFmtId="1" fontId="29" fillId="0" borderId="108" xfId="38" applyNumberFormat="1" applyFont="1" applyBorder="1" applyAlignment="1">
      <alignment horizontal="center" vertical="center" wrapText="1"/>
    </xf>
    <xf numFmtId="1" fontId="29" fillId="0" borderId="9" xfId="38" applyNumberFormat="1" applyFont="1" applyBorder="1" applyAlignment="1">
      <alignment horizontal="center" vertical="center" wrapText="1"/>
    </xf>
    <xf numFmtId="1" fontId="29" fillId="0" borderId="16" xfId="38" applyNumberFormat="1" applyFont="1" applyBorder="1" applyAlignment="1">
      <alignment horizontal="center" vertical="center" wrapText="1"/>
    </xf>
    <xf numFmtId="1" fontId="29" fillId="0" borderId="14" xfId="38" applyNumberFormat="1" applyFont="1" applyBorder="1" applyAlignment="1">
      <alignment horizontal="center" vertical="center" wrapText="1"/>
    </xf>
    <xf numFmtId="1" fontId="29" fillId="0" borderId="9" xfId="38" quotePrefix="1" applyNumberFormat="1" applyFont="1" applyBorder="1" applyAlignment="1" applyProtection="1">
      <alignment horizontal="center" vertical="center"/>
      <protection hidden="1"/>
    </xf>
    <xf numFmtId="1" fontId="29" fillId="0" borderId="27" xfId="38" quotePrefix="1" applyNumberFormat="1" applyFont="1" applyBorder="1" applyAlignment="1" applyProtection="1">
      <alignment horizontal="center" vertical="center"/>
      <protection hidden="1"/>
    </xf>
    <xf numFmtId="1" fontId="29" fillId="0" borderId="14" xfId="38" quotePrefix="1" applyNumberFormat="1" applyFont="1" applyBorder="1" applyAlignment="1" applyProtection="1">
      <alignment horizontal="center" vertical="center"/>
      <protection hidden="1"/>
    </xf>
    <xf numFmtId="1" fontId="29" fillId="0" borderId="36" xfId="38" quotePrefix="1" applyNumberFormat="1" applyFont="1" applyBorder="1" applyAlignment="1" applyProtection="1">
      <alignment horizontal="center" vertical="center"/>
      <protection hidden="1"/>
    </xf>
    <xf numFmtId="1" fontId="29" fillId="0" borderId="641" xfId="0" applyNumberFormat="1" applyFont="1" applyBorder="1" applyAlignment="1">
      <alignment horizontal="center" vertical="center"/>
    </xf>
    <xf numFmtId="1" fontId="29" fillId="0" borderId="6" xfId="0" applyNumberFormat="1" applyFont="1" applyBorder="1" applyAlignment="1">
      <alignment horizontal="center"/>
    </xf>
    <xf numFmtId="1" fontId="29" fillId="0" borderId="7" xfId="0" applyNumberFormat="1" applyFont="1" applyBorder="1" applyAlignment="1">
      <alignment horizontal="center"/>
    </xf>
    <xf numFmtId="1" fontId="29" fillId="7" borderId="7" xfId="0" applyNumberFormat="1" applyFont="1" applyFill="1" applyBorder="1" applyAlignment="1">
      <alignment horizontal="center"/>
    </xf>
    <xf numFmtId="1" fontId="31" fillId="0" borderId="0" xfId="0" applyNumberFormat="1" applyFont="1" applyAlignment="1">
      <alignment horizontal="left"/>
    </xf>
    <xf numFmtId="1" fontId="29" fillId="7" borderId="6" xfId="0" applyNumberFormat="1" applyFont="1" applyFill="1" applyBorder="1" applyAlignment="1">
      <alignment horizontal="center" vertical="center" wrapText="1"/>
    </xf>
    <xf numFmtId="1" fontId="29" fillId="7" borderId="51" xfId="0" applyNumberFormat="1" applyFont="1" applyFill="1" applyBorder="1" applyAlignment="1">
      <alignment horizontal="left" vertical="center" wrapText="1"/>
    </xf>
    <xf numFmtId="1" fontId="31" fillId="0" borderId="8" xfId="0" applyNumberFormat="1" applyFont="1" applyBorder="1" applyAlignment="1">
      <alignment horizontal="left"/>
    </xf>
    <xf numFmtId="1" fontId="29" fillId="7" borderId="2" xfId="0" applyNumberFormat="1" applyFont="1" applyFill="1" applyBorder="1" applyAlignment="1">
      <alignment horizontal="center" vertical="center"/>
    </xf>
    <xf numFmtId="1" fontId="29" fillId="7" borderId="18" xfId="0" applyNumberFormat="1" applyFont="1" applyFill="1" applyBorder="1" applyAlignment="1">
      <alignment horizontal="left" vertical="center" wrapText="1"/>
    </xf>
    <xf numFmtId="0" fontId="29" fillId="0" borderId="37" xfId="0" applyFont="1" applyBorder="1" applyAlignment="1">
      <alignment horizontal="left" vertical="center"/>
    </xf>
    <xf numFmtId="0" fontId="29" fillId="0" borderId="51" xfId="0" applyFont="1" applyBorder="1" applyAlignment="1">
      <alignment horizontal="left" vertical="center"/>
    </xf>
    <xf numFmtId="0" fontId="29" fillId="0" borderId="108" xfId="0" applyFont="1" applyBorder="1" applyAlignment="1">
      <alignment horizontal="left" vertical="center"/>
    </xf>
    <xf numFmtId="0" fontId="29" fillId="0" borderId="27" xfId="0" applyFont="1" applyBorder="1" applyAlignment="1">
      <alignment horizontal="left" vertical="center"/>
    </xf>
    <xf numFmtId="0" fontId="29" fillId="0" borderId="16" xfId="0" applyFont="1" applyBorder="1" applyAlignment="1">
      <alignment horizontal="left" vertical="center"/>
    </xf>
    <xf numFmtId="0" fontId="29" fillId="0" borderId="36" xfId="0" applyFont="1" applyBorder="1" applyAlignment="1">
      <alignment horizontal="left" vertical="center"/>
    </xf>
    <xf numFmtId="1" fontId="29" fillId="0" borderId="37" xfId="0" applyNumberFormat="1" applyFont="1" applyBorder="1" applyAlignment="1">
      <alignment horizontal="center" vertical="center"/>
    </xf>
    <xf numFmtId="1" fontId="29" fillId="0" borderId="99" xfId="0" applyNumberFormat="1" applyFont="1" applyBorder="1" applyAlignment="1">
      <alignment horizontal="center" vertical="center"/>
    </xf>
    <xf numFmtId="1" fontId="29" fillId="0" borderId="51" xfId="0" applyNumberFormat="1" applyFont="1" applyBorder="1" applyAlignment="1">
      <alignment horizontal="center" vertical="center"/>
    </xf>
    <xf numFmtId="1" fontId="29" fillId="7" borderId="20" xfId="0" applyNumberFormat="1" applyFont="1" applyFill="1" applyBorder="1" applyAlignment="1">
      <alignment horizontal="center" vertical="center"/>
    </xf>
    <xf numFmtId="1" fontId="29" fillId="0" borderId="149" xfId="0" applyNumberFormat="1" applyFont="1" applyBorder="1" applyAlignment="1">
      <alignment horizontal="center"/>
    </xf>
    <xf numFmtId="1" fontId="10" fillId="11" borderId="18" xfId="0" applyNumberFormat="1" applyFont="1" applyFill="1" applyBorder="1" applyAlignment="1">
      <alignment horizontal="left" vertical="center"/>
    </xf>
    <xf numFmtId="1" fontId="10" fillId="11" borderId="19" xfId="0" applyNumberFormat="1" applyFont="1" applyFill="1" applyBorder="1" applyAlignment="1">
      <alignment horizontal="left" vertical="center"/>
    </xf>
    <xf numFmtId="1" fontId="10" fillId="11" borderId="15" xfId="0" applyNumberFormat="1" applyFont="1" applyFill="1" applyBorder="1" applyAlignment="1">
      <alignment horizontal="left" vertical="center"/>
    </xf>
    <xf numFmtId="1" fontId="10" fillId="0" borderId="643" xfId="0" applyNumberFormat="1" applyFont="1" applyBorder="1" applyAlignment="1">
      <alignment horizontal="center" vertical="center" wrapText="1"/>
    </xf>
    <xf numFmtId="1" fontId="10" fillId="0" borderId="258" xfId="0" applyNumberFormat="1" applyFont="1" applyBorder="1" applyAlignment="1">
      <alignment horizontal="center" vertical="center" wrapText="1"/>
    </xf>
    <xf numFmtId="1" fontId="10" fillId="0" borderId="493" xfId="0" applyNumberFormat="1" applyFont="1" applyBorder="1" applyAlignment="1">
      <alignment horizontal="center" vertical="center" wrapText="1"/>
    </xf>
    <xf numFmtId="1" fontId="10" fillId="11" borderId="108" xfId="0" applyNumberFormat="1" applyFont="1" applyFill="1" applyBorder="1" applyAlignment="1">
      <alignment horizontal="center" vertical="center" wrapText="1"/>
    </xf>
    <xf numFmtId="1" fontId="10" fillId="11" borderId="27" xfId="0" applyNumberFormat="1" applyFont="1" applyFill="1" applyBorder="1" applyAlignment="1">
      <alignment horizontal="center" vertical="center" wrapText="1"/>
    </xf>
    <xf numFmtId="1" fontId="10" fillId="11" borderId="16" xfId="0" applyNumberFormat="1" applyFont="1" applyFill="1" applyBorder="1" applyAlignment="1">
      <alignment horizontal="center" vertical="center" wrapText="1"/>
    </xf>
    <xf numFmtId="1" fontId="10" fillId="11" borderId="36" xfId="0" applyNumberFormat="1" applyFont="1" applyFill="1" applyBorder="1" applyAlignment="1">
      <alignment horizontal="center" vertical="center" wrapText="1"/>
    </xf>
    <xf numFmtId="1" fontId="10" fillId="11" borderId="164" xfId="0" applyNumberFormat="1" applyFont="1" applyFill="1" applyBorder="1" applyAlignment="1">
      <alignment horizontal="center" vertical="center" wrapText="1"/>
    </xf>
    <xf numFmtId="1" fontId="10" fillId="11" borderId="80" xfId="0" applyNumberFormat="1" applyFont="1" applyFill="1" applyBorder="1" applyAlignment="1">
      <alignment horizontal="center" vertical="center" wrapText="1"/>
    </xf>
    <xf numFmtId="1" fontId="10" fillId="11" borderId="22" xfId="0" applyNumberFormat="1" applyFont="1" applyFill="1" applyBorder="1" applyAlignment="1">
      <alignment horizontal="center" vertical="center" wrapText="1"/>
    </xf>
    <xf numFmtId="1" fontId="10" fillId="11" borderId="31" xfId="0" applyNumberFormat="1" applyFont="1" applyFill="1" applyBorder="1" applyAlignment="1">
      <alignment horizontal="center" vertical="center" wrapText="1"/>
    </xf>
    <xf numFmtId="1" fontId="10" fillId="11" borderId="177" xfId="0" applyNumberFormat="1" applyFont="1" applyFill="1" applyBorder="1" applyAlignment="1">
      <alignment horizontal="center" vertical="center" wrapText="1"/>
    </xf>
    <xf numFmtId="1" fontId="10" fillId="11" borderId="17" xfId="0" applyNumberFormat="1" applyFont="1" applyFill="1" applyBorder="1" applyAlignment="1">
      <alignment horizontal="center" vertical="center" wrapText="1"/>
    </xf>
    <xf numFmtId="1" fontId="10" fillId="11" borderId="127" xfId="0" applyNumberFormat="1" applyFont="1" applyFill="1" applyBorder="1" applyAlignment="1">
      <alignment horizontal="left" vertical="center"/>
    </xf>
    <xf numFmtId="1" fontId="10" fillId="11" borderId="62" xfId="0" applyNumberFormat="1" applyFont="1" applyFill="1" applyBorder="1" applyAlignment="1">
      <alignment horizontal="left" vertical="center"/>
    </xf>
    <xf numFmtId="1" fontId="10" fillId="11" borderId="6" xfId="0" applyNumberFormat="1" applyFont="1" applyFill="1" applyBorder="1" applyAlignment="1">
      <alignment horizontal="left" vertical="center"/>
    </xf>
    <xf numFmtId="1" fontId="10" fillId="11" borderId="7" xfId="0" applyNumberFormat="1" applyFont="1" applyFill="1" applyBorder="1" applyAlignment="1">
      <alignment horizontal="left" vertical="center"/>
    </xf>
    <xf numFmtId="1" fontId="12" fillId="7" borderId="161" xfId="0" applyNumberFormat="1" applyFont="1" applyFill="1" applyBorder="1" applyAlignment="1">
      <alignment horizontal="left" wrapText="1"/>
    </xf>
    <xf numFmtId="1" fontId="12" fillId="7" borderId="210" xfId="0" applyNumberFormat="1" applyFont="1" applyFill="1" applyBorder="1" applyAlignment="1">
      <alignment horizontal="left" wrapText="1"/>
    </xf>
    <xf numFmtId="1" fontId="12" fillId="7" borderId="14" xfId="0" applyNumberFormat="1" applyFont="1" applyFill="1" applyBorder="1" applyAlignment="1">
      <alignment horizontal="left" wrapText="1"/>
    </xf>
    <xf numFmtId="1" fontId="10" fillId="11" borderId="18" xfId="0" applyNumberFormat="1" applyFont="1" applyFill="1" applyBorder="1" applyAlignment="1">
      <alignment horizontal="left" vertical="center" wrapText="1"/>
    </xf>
    <xf numFmtId="1" fontId="10" fillId="11" borderId="15" xfId="0" applyNumberFormat="1" applyFont="1" applyFill="1" applyBorder="1" applyAlignment="1">
      <alignment horizontal="left" vertical="center" wrapText="1"/>
    </xf>
    <xf numFmtId="1" fontId="10" fillId="11" borderId="108" xfId="0" applyNumberFormat="1" applyFont="1" applyFill="1" applyBorder="1" applyAlignment="1">
      <alignment horizontal="center" vertical="center"/>
    </xf>
    <xf numFmtId="1" fontId="10" fillId="11" borderId="27" xfId="0" applyNumberFormat="1" applyFont="1" applyFill="1" applyBorder="1" applyAlignment="1">
      <alignment horizontal="center" vertical="center"/>
    </xf>
    <xf numFmtId="1" fontId="10" fillId="11" borderId="16" xfId="0" applyNumberFormat="1" applyFont="1" applyFill="1" applyBorder="1" applyAlignment="1">
      <alignment horizontal="center" vertical="center"/>
    </xf>
    <xf numFmtId="1" fontId="10" fillId="11" borderId="36" xfId="0" applyNumberFormat="1" applyFont="1" applyFill="1" applyBorder="1" applyAlignment="1">
      <alignment horizontal="center" vertical="center"/>
    </xf>
    <xf numFmtId="1" fontId="10" fillId="0" borderId="642" xfId="0" applyNumberFormat="1" applyFont="1" applyBorder="1" applyAlignment="1">
      <alignment horizontal="center" vertical="center" wrapText="1"/>
    </xf>
    <xf numFmtId="1" fontId="10" fillId="0" borderId="644" xfId="0" applyNumberFormat="1" applyFont="1" applyBorder="1" applyAlignment="1">
      <alignment horizontal="center" vertical="center" wrapText="1"/>
    </xf>
    <xf numFmtId="1" fontId="34" fillId="7" borderId="16" xfId="0" applyNumberFormat="1" applyFont="1" applyFill="1" applyBorder="1" applyAlignment="1">
      <alignment horizontal="center" vertical="center"/>
    </xf>
    <xf numFmtId="1" fontId="34" fillId="7" borderId="14" xfId="0" applyNumberFormat="1" applyFont="1" applyFill="1" applyBorder="1" applyAlignment="1">
      <alignment horizontal="center" vertical="center"/>
    </xf>
    <xf numFmtId="1" fontId="34" fillId="7" borderId="6" xfId="0" applyNumberFormat="1" applyFont="1" applyFill="1" applyBorder="1" applyAlignment="1">
      <alignment horizontal="center" vertical="center"/>
    </xf>
    <xf numFmtId="1" fontId="34" fillId="7" borderId="8" xfId="0" applyNumberFormat="1" applyFont="1" applyFill="1" applyBorder="1" applyAlignment="1">
      <alignment horizontal="center" vertical="center"/>
    </xf>
    <xf numFmtId="1" fontId="34" fillId="7" borderId="149" xfId="0" applyNumberFormat="1" applyFont="1" applyFill="1" applyBorder="1" applyAlignment="1">
      <alignment horizontal="center" vertical="center"/>
    </xf>
    <xf numFmtId="1" fontId="10" fillId="0" borderId="408" xfId="0" applyNumberFormat="1" applyFont="1" applyBorder="1" applyAlignment="1">
      <alignment horizontal="center" vertical="center" wrapText="1"/>
    </xf>
    <xf numFmtId="1" fontId="10" fillId="0" borderId="412" xfId="0" applyNumberFormat="1" applyFont="1" applyBorder="1" applyAlignment="1">
      <alignment horizontal="center" vertical="center" wrapText="1"/>
    </xf>
    <xf numFmtId="1" fontId="10" fillId="0" borderId="415" xfId="0" applyNumberFormat="1" applyFont="1" applyBorder="1" applyAlignment="1">
      <alignment horizontal="center" vertical="center" wrapText="1"/>
    </xf>
    <xf numFmtId="1" fontId="10" fillId="0" borderId="172" xfId="0" applyNumberFormat="1" applyFont="1" applyBorder="1" applyAlignment="1">
      <alignment horizontal="center" vertical="center"/>
    </xf>
    <xf numFmtId="1" fontId="10" fillId="0" borderId="199" xfId="0" applyNumberFormat="1" applyFont="1" applyBorder="1" applyAlignment="1">
      <alignment horizontal="center" vertical="center"/>
    </xf>
    <xf numFmtId="1" fontId="10" fillId="0" borderId="176" xfId="0" applyNumberFormat="1" applyFont="1" applyBorder="1" applyAlignment="1">
      <alignment horizontal="center" vertical="center"/>
    </xf>
    <xf numFmtId="1" fontId="10" fillId="11" borderId="6" xfId="0" applyNumberFormat="1" applyFont="1" applyFill="1" applyBorder="1" applyAlignment="1">
      <alignment horizontal="left" vertical="center" wrapText="1"/>
    </xf>
    <xf numFmtId="1" fontId="10" fillId="11" borderId="7" xfId="0" applyNumberFormat="1" applyFont="1" applyFill="1" applyBorder="1" applyAlignment="1">
      <alignment horizontal="left" vertical="center" wrapText="1"/>
    </xf>
    <xf numFmtId="1" fontId="10" fillId="11" borderId="108" xfId="0" applyNumberFormat="1" applyFont="1" applyFill="1" applyBorder="1" applyAlignment="1">
      <alignment horizontal="left" vertical="center" wrapText="1"/>
    </xf>
    <xf numFmtId="1" fontId="10" fillId="11" borderId="16" xfId="0" applyNumberFormat="1" applyFont="1" applyFill="1" applyBorder="1" applyAlignment="1">
      <alignment horizontal="left" vertical="center" wrapText="1"/>
    </xf>
    <xf numFmtId="1" fontId="10" fillId="0" borderId="168" xfId="0" applyNumberFormat="1" applyFont="1" applyBorder="1" applyAlignment="1">
      <alignment horizontal="left" vertical="center" wrapText="1"/>
    </xf>
    <xf numFmtId="1" fontId="10" fillId="0" borderId="171" xfId="0" applyNumberFormat="1" applyFont="1" applyBorder="1" applyAlignment="1">
      <alignment horizontal="left" vertical="center" wrapText="1"/>
    </xf>
    <xf numFmtId="1" fontId="10" fillId="0" borderId="18" xfId="0" applyNumberFormat="1" applyFont="1" applyBorder="1" applyAlignment="1">
      <alignment horizontal="left" vertical="center"/>
    </xf>
    <xf numFmtId="1" fontId="10" fillId="7" borderId="6" xfId="0" applyNumberFormat="1" applyFont="1" applyFill="1" applyBorder="1" applyAlignment="1">
      <alignment horizontal="left" vertical="center" wrapText="1"/>
    </xf>
    <xf numFmtId="1" fontId="10" fillId="7" borderId="7" xfId="0" applyNumberFormat="1" applyFont="1" applyFill="1" applyBorder="1" applyAlignment="1">
      <alignment horizontal="left" vertical="center" wrapText="1"/>
    </xf>
    <xf numFmtId="1" fontId="10" fillId="7" borderId="8" xfId="0" applyNumberFormat="1" applyFont="1" applyFill="1" applyBorder="1" applyAlignment="1">
      <alignment horizontal="center" vertical="center" wrapText="1"/>
    </xf>
    <xf numFmtId="1" fontId="10" fillId="0" borderId="323" xfId="0" applyNumberFormat="1" applyFont="1" applyBorder="1" applyAlignment="1">
      <alignment horizontal="center" vertical="center" wrapText="1"/>
    </xf>
    <xf numFmtId="1" fontId="10" fillId="11" borderId="135" xfId="0" applyNumberFormat="1" applyFont="1" applyFill="1" applyBorder="1" applyAlignment="1">
      <alignment horizontal="center" vertical="center" wrapText="1"/>
    </xf>
    <xf numFmtId="1" fontId="10" fillId="7" borderId="22" xfId="0" applyNumberFormat="1" applyFont="1" applyFill="1" applyBorder="1" applyAlignment="1">
      <alignment horizontal="center" vertical="center" wrapText="1"/>
    </xf>
    <xf numFmtId="1" fontId="10" fillId="7" borderId="31" xfId="0" applyNumberFormat="1" applyFont="1" applyFill="1" applyBorder="1" applyAlignment="1">
      <alignment horizontal="center" vertical="center" wrapText="1"/>
    </xf>
    <xf numFmtId="1" fontId="10" fillId="7" borderId="164" xfId="0" applyNumberFormat="1" applyFont="1" applyFill="1" applyBorder="1" applyAlignment="1">
      <alignment horizontal="center" vertical="center" wrapText="1"/>
    </xf>
    <xf numFmtId="1" fontId="10" fillId="7" borderId="80" xfId="0" applyNumberFormat="1" applyFont="1" applyFill="1" applyBorder="1" applyAlignment="1">
      <alignment horizontal="center" vertical="center" wrapText="1"/>
    </xf>
    <xf numFmtId="1" fontId="10" fillId="0" borderId="213" xfId="0" applyNumberFormat="1" applyFont="1" applyBorder="1" applyAlignment="1">
      <alignment horizontal="center" vertical="center" wrapText="1"/>
    </xf>
    <xf numFmtId="0" fontId="10" fillId="0" borderId="129" xfId="0" applyFont="1" applyBorder="1" applyAlignment="1">
      <alignment horizontal="center" vertical="center"/>
    </xf>
    <xf numFmtId="0" fontId="10" fillId="0" borderId="130" xfId="0" applyFont="1" applyBorder="1" applyAlignment="1">
      <alignment horizontal="center" vertical="center"/>
    </xf>
    <xf numFmtId="1" fontId="10" fillId="7" borderId="6" xfId="0" applyNumberFormat="1" applyFont="1" applyFill="1" applyBorder="1" applyAlignment="1">
      <alignment horizontal="left" vertical="center"/>
    </xf>
    <xf numFmtId="1" fontId="10" fillId="7" borderId="7" xfId="0" applyNumberFormat="1" applyFont="1" applyFill="1" applyBorder="1" applyAlignment="1">
      <alignment horizontal="left" vertical="center"/>
    </xf>
    <xf numFmtId="1" fontId="12" fillId="0" borderId="210" xfId="0" applyNumberFormat="1" applyFont="1" applyBorder="1" applyAlignment="1">
      <alignment horizontal="left" wrapText="1"/>
    </xf>
    <xf numFmtId="1" fontId="12" fillId="0" borderId="14" xfId="0" applyNumberFormat="1" applyFont="1" applyBorder="1" applyAlignment="1">
      <alignment horizontal="left" wrapText="1"/>
    </xf>
    <xf numFmtId="1" fontId="15" fillId="0" borderId="9" xfId="0" applyNumberFormat="1" applyFont="1" applyBorder="1" applyAlignment="1">
      <alignment horizontal="left" wrapText="1"/>
    </xf>
    <xf numFmtId="1" fontId="10" fillId="11" borderId="19" xfId="0" applyNumberFormat="1" applyFont="1" applyFill="1" applyBorder="1" applyAlignment="1">
      <alignment horizontal="left" vertical="center" wrapText="1"/>
    </xf>
    <xf numFmtId="0" fontId="10" fillId="0" borderId="18" xfId="0" applyFont="1" applyBorder="1" applyAlignment="1">
      <alignment horizontal="left" vertical="center"/>
    </xf>
    <xf numFmtId="0" fontId="10" fillId="0" borderId="15" xfId="0" applyFont="1" applyBorder="1" applyAlignment="1">
      <alignment horizontal="left" vertical="center"/>
    </xf>
    <xf numFmtId="0" fontId="10" fillId="0" borderId="89" xfId="0" applyFont="1" applyBorder="1" applyAlignment="1">
      <alignment horizontal="left" vertical="center"/>
    </xf>
    <xf numFmtId="0" fontId="10" fillId="0" borderId="49" xfId="0" applyFont="1" applyBorder="1" applyAlignment="1">
      <alignment horizontal="left" vertical="center"/>
    </xf>
    <xf numFmtId="0" fontId="10" fillId="0" borderId="16" xfId="0" applyFont="1" applyBorder="1" applyAlignment="1">
      <alignment horizontal="left" vertical="center"/>
    </xf>
    <xf numFmtId="0" fontId="10" fillId="0" borderId="36" xfId="0" applyFont="1" applyBorder="1" applyAlignment="1">
      <alignment horizontal="left" vertical="center"/>
    </xf>
    <xf numFmtId="0" fontId="10" fillId="0" borderId="2" xfId="0" applyFont="1" applyBorder="1" applyAlignment="1">
      <alignment horizontal="center" vertical="center"/>
    </xf>
    <xf numFmtId="0" fontId="10" fillId="0" borderId="37" xfId="0" applyFont="1" applyBorder="1"/>
    <xf numFmtId="0" fontId="12" fillId="0" borderId="8" xfId="0" applyFont="1" applyBorder="1" applyAlignment="1">
      <alignment horizontal="left"/>
    </xf>
    <xf numFmtId="0" fontId="10" fillId="0" borderId="15" xfId="0" applyFont="1" applyBorder="1"/>
    <xf numFmtId="0" fontId="10" fillId="0" borderId="2" xfId="0" applyFont="1" applyBorder="1" applyAlignment="1">
      <alignment horizontal="center"/>
    </xf>
    <xf numFmtId="0" fontId="10" fillId="0" borderId="19" xfId="0" applyFont="1" applyBorder="1" applyAlignment="1">
      <alignment horizontal="left" vertical="center"/>
    </xf>
    <xf numFmtId="0" fontId="10" fillId="0" borderId="15" xfId="0" applyFont="1" applyBorder="1" applyAlignment="1">
      <alignment horizontal="left"/>
    </xf>
    <xf numFmtId="0" fontId="10" fillId="0" borderId="98" xfId="0" applyFont="1" applyBorder="1" applyAlignment="1">
      <alignment horizontal="left" vertical="center"/>
    </xf>
    <xf numFmtId="0" fontId="10" fillId="0" borderId="128" xfId="0" applyFont="1" applyBorder="1" applyAlignment="1">
      <alignment horizontal="left" vertical="center"/>
    </xf>
    <xf numFmtId="0" fontId="10" fillId="0" borderId="103" xfId="0" applyFont="1" applyBorder="1" applyAlignment="1">
      <alignment horizontal="left" vertical="center"/>
    </xf>
    <xf numFmtId="1" fontId="10" fillId="7" borderId="2" xfId="0" applyNumberFormat="1" applyFont="1" applyFill="1" applyBorder="1" applyAlignment="1">
      <alignment horizontal="left" vertical="center" wrapText="1"/>
    </xf>
    <xf numFmtId="1" fontId="10" fillId="7" borderId="166" xfId="0" applyNumberFormat="1" applyFont="1" applyFill="1" applyBorder="1"/>
    <xf numFmtId="1" fontId="10" fillId="7" borderId="48" xfId="0" applyNumberFormat="1" applyFont="1" applyFill="1" applyBorder="1"/>
    <xf numFmtId="1" fontId="10" fillId="7" borderId="49" xfId="0" applyNumberFormat="1" applyFont="1" applyFill="1" applyBorder="1"/>
    <xf numFmtId="1" fontId="10" fillId="7" borderId="128" xfId="0" applyNumberFormat="1" applyFont="1" applyFill="1" applyBorder="1" applyAlignment="1">
      <alignment wrapText="1"/>
    </xf>
    <xf numFmtId="1" fontId="10" fillId="7" borderId="140" xfId="0" applyNumberFormat="1" applyFont="1" applyFill="1" applyBorder="1" applyAlignment="1">
      <alignment wrapText="1"/>
    </xf>
    <xf numFmtId="1" fontId="10" fillId="7" borderId="103" xfId="0" applyNumberFormat="1" applyFont="1" applyFill="1" applyBorder="1" applyAlignment="1">
      <alignment wrapText="1"/>
    </xf>
    <xf numFmtId="1" fontId="10" fillId="7" borderId="128" xfId="0" applyNumberFormat="1" applyFont="1" applyFill="1" applyBorder="1"/>
    <xf numFmtId="1" fontId="10" fillId="7" borderId="140" xfId="0" applyNumberFormat="1" applyFont="1" applyFill="1" applyBorder="1"/>
    <xf numFmtId="1" fontId="10" fillId="7" borderId="103" xfId="0" applyNumberFormat="1" applyFont="1" applyFill="1" applyBorder="1"/>
    <xf numFmtId="1" fontId="10" fillId="7" borderId="2" xfId="0" applyNumberFormat="1" applyFont="1" applyFill="1" applyBorder="1" applyAlignment="1">
      <alignment horizontal="left" vertical="center"/>
    </xf>
    <xf numFmtId="1" fontId="10" fillId="7" borderId="89" xfId="0" applyNumberFormat="1" applyFont="1" applyFill="1" applyBorder="1"/>
    <xf numFmtId="1" fontId="10" fillId="7" borderId="138" xfId="0" applyNumberFormat="1" applyFont="1" applyFill="1" applyBorder="1"/>
    <xf numFmtId="1" fontId="10" fillId="7" borderId="98" xfId="0" applyNumberFormat="1" applyFont="1" applyFill="1" applyBorder="1"/>
    <xf numFmtId="1" fontId="10" fillId="7" borderId="127" xfId="0" applyNumberFormat="1" applyFont="1" applyFill="1" applyBorder="1" applyAlignment="1">
      <alignment wrapText="1"/>
    </xf>
    <xf numFmtId="1" fontId="10" fillId="7" borderId="61" xfId="0" applyNumberFormat="1" applyFont="1" applyFill="1" applyBorder="1" applyAlignment="1">
      <alignment wrapText="1"/>
    </xf>
    <xf numFmtId="1" fontId="10" fillId="7" borderId="62" xfId="0" applyNumberFormat="1" applyFont="1" applyFill="1" applyBorder="1" applyAlignment="1">
      <alignment wrapText="1"/>
    </xf>
    <xf numFmtId="0" fontId="12" fillId="0" borderId="14" xfId="0" applyFont="1" applyBorder="1" applyAlignment="1">
      <alignment horizontal="left"/>
    </xf>
    <xf numFmtId="0" fontId="12" fillId="0" borderId="0" xfId="0" applyFont="1" applyAlignment="1">
      <alignment horizontal="left"/>
    </xf>
    <xf numFmtId="1" fontId="10" fillId="7" borderId="127" xfId="0" applyNumberFormat="1" applyFont="1" applyFill="1" applyBorder="1"/>
    <xf numFmtId="1" fontId="10" fillId="7" borderId="61" xfId="0" applyNumberFormat="1" applyFont="1" applyFill="1" applyBorder="1"/>
    <xf numFmtId="1" fontId="10" fillId="7" borderId="62" xfId="0" applyNumberFormat="1" applyFont="1" applyFill="1" applyBorder="1"/>
    <xf numFmtId="1" fontId="10" fillId="7" borderId="127" xfId="0" applyNumberFormat="1" applyFont="1" applyFill="1" applyBorder="1" applyAlignment="1">
      <alignment horizontal="left"/>
    </xf>
    <xf numFmtId="1" fontId="10" fillId="7" borderId="62" xfId="0" applyNumberFormat="1" applyFont="1" applyFill="1" applyBorder="1" applyAlignment="1">
      <alignment horizontal="left"/>
    </xf>
    <xf numFmtId="1" fontId="10" fillId="0" borderId="6" xfId="0" applyNumberFormat="1" applyFont="1" applyBorder="1" applyAlignment="1">
      <alignment horizontal="center"/>
    </xf>
    <xf numFmtId="1" fontId="10" fillId="0" borderId="8" xfId="0" applyNumberFormat="1" applyFont="1" applyBorder="1" applyAlignment="1">
      <alignment horizontal="center"/>
    </xf>
    <xf numFmtId="1" fontId="10" fillId="0" borderId="27" xfId="0" applyNumberFormat="1" applyFont="1" applyBorder="1"/>
    <xf numFmtId="1" fontId="10" fillId="7" borderId="16" xfId="0" applyNumberFormat="1" applyFont="1" applyFill="1" applyBorder="1"/>
    <xf numFmtId="1" fontId="10" fillId="7" borderId="14" xfId="0" applyNumberFormat="1" applyFont="1" applyFill="1" applyBorder="1"/>
    <xf numFmtId="1" fontId="10" fillId="7" borderId="36" xfId="0" applyNumberFormat="1" applyFont="1" applyFill="1" applyBorder="1"/>
    <xf numFmtId="1" fontId="12" fillId="0" borderId="0" xfId="0" applyNumberFormat="1" applyFont="1" applyAlignment="1">
      <alignment horizontal="left"/>
    </xf>
    <xf numFmtId="1" fontId="10" fillId="7" borderId="89" xfId="0" applyNumberFormat="1" applyFont="1" applyFill="1" applyBorder="1" applyAlignment="1">
      <alignment horizontal="left" vertical="center" wrapText="1"/>
    </xf>
    <xf numFmtId="1" fontId="10" fillId="7" borderId="98" xfId="0" applyNumberFormat="1" applyFont="1" applyFill="1" applyBorder="1" applyAlignment="1">
      <alignment horizontal="left" vertical="center" wrapText="1"/>
    </xf>
    <xf numFmtId="1" fontId="10" fillId="7" borderId="128" xfId="0" applyNumberFormat="1" applyFont="1" applyFill="1" applyBorder="1" applyAlignment="1">
      <alignment horizontal="left" vertical="center" wrapText="1"/>
    </xf>
    <xf numFmtId="1" fontId="10" fillId="7" borderId="103" xfId="0" applyNumberFormat="1" applyFont="1" applyFill="1" applyBorder="1" applyAlignment="1">
      <alignment horizontal="left" vertical="center" wrapText="1"/>
    </xf>
    <xf numFmtId="1" fontId="10" fillId="7" borderId="127" xfId="0" applyNumberFormat="1" applyFont="1" applyFill="1" applyBorder="1" applyAlignment="1">
      <alignment horizontal="left" vertical="center" wrapText="1"/>
    </xf>
    <xf numFmtId="1" fontId="10" fillId="7" borderId="62" xfId="0" applyNumberFormat="1" applyFont="1" applyFill="1" applyBorder="1" applyAlignment="1">
      <alignment horizontal="left" vertical="center" wrapText="1"/>
    </xf>
    <xf numFmtId="1" fontId="10" fillId="0" borderId="2" xfId="0" applyNumberFormat="1" applyFont="1" applyBorder="1" applyAlignment="1">
      <alignment horizontal="center"/>
    </xf>
    <xf numFmtId="1" fontId="12" fillId="7" borderId="0" xfId="38" applyNumberFormat="1" applyFont="1" applyFill="1" applyAlignment="1">
      <alignment horizontal="left" wrapText="1"/>
    </xf>
    <xf numFmtId="1" fontId="12" fillId="7" borderId="14" xfId="38" applyNumberFormat="1" applyFont="1" applyFill="1" applyBorder="1" applyAlignment="1">
      <alignment horizontal="left" wrapText="1"/>
    </xf>
    <xf numFmtId="1" fontId="10" fillId="7" borderId="27" xfId="38" applyNumberFormat="1" applyFont="1" applyFill="1" applyBorder="1" applyAlignment="1">
      <alignment horizontal="center" vertical="center" wrapText="1"/>
    </xf>
    <xf numFmtId="1" fontId="10" fillId="7" borderId="36" xfId="38" applyNumberFormat="1" applyFont="1" applyFill="1" applyBorder="1" applyAlignment="1">
      <alignment horizontal="center" vertical="center" wrapText="1"/>
    </xf>
    <xf numFmtId="1" fontId="10" fillId="7" borderId="7" xfId="38" applyNumberFormat="1" applyFont="1" applyFill="1" applyBorder="1" applyAlignment="1">
      <alignment horizontal="center" vertical="center" wrapText="1"/>
    </xf>
    <xf numFmtId="1" fontId="10" fillId="7" borderId="2" xfId="38" applyNumberFormat="1" applyFont="1" applyFill="1" applyBorder="1" applyAlignment="1">
      <alignment horizontal="center" vertical="center" wrapText="1"/>
    </xf>
    <xf numFmtId="1" fontId="10" fillId="0" borderId="6" xfId="0" applyNumberFormat="1" applyFont="1" applyBorder="1" applyAlignment="1">
      <alignment horizontal="left"/>
    </xf>
    <xf numFmtId="1" fontId="10" fillId="0" borderId="7" xfId="0" applyNumberFormat="1" applyFont="1" applyBorder="1" applyAlignment="1">
      <alignment horizontal="left"/>
    </xf>
    <xf numFmtId="1" fontId="10" fillId="7" borderId="164" xfId="38" applyNumberFormat="1" applyFont="1" applyFill="1" applyBorder="1" applyAlignment="1">
      <alignment horizontal="center" vertical="center" wrapText="1"/>
    </xf>
    <xf numFmtId="1" fontId="10" fillId="7" borderId="80" xfId="38" applyNumberFormat="1" applyFont="1" applyFill="1" applyBorder="1" applyAlignment="1">
      <alignment horizontal="center" vertical="center" wrapText="1"/>
    </xf>
    <xf numFmtId="1" fontId="10" fillId="0" borderId="127" xfId="0" applyNumberFormat="1" applyFont="1" applyBorder="1" applyAlignment="1">
      <alignment horizontal="left"/>
    </xf>
    <xf numFmtId="1" fontId="10" fillId="11" borderId="36" xfId="0" applyNumberFormat="1" applyFont="1" applyFill="1" applyBorder="1" applyAlignment="1">
      <alignment horizontal="left" vertical="center" wrapText="1"/>
    </xf>
    <xf numFmtId="1" fontId="10" fillId="11" borderId="89" xfId="0" applyNumberFormat="1" applyFont="1" applyFill="1" applyBorder="1" applyAlignment="1">
      <alignment horizontal="left" vertical="center" wrapText="1"/>
    </xf>
    <xf numFmtId="1" fontId="10" fillId="11" borderId="98" xfId="0" applyNumberFormat="1" applyFont="1" applyFill="1" applyBorder="1" applyAlignment="1">
      <alignment horizontal="left" vertical="center" wrapText="1"/>
    </xf>
    <xf numFmtId="1" fontId="10" fillId="11" borderId="166" xfId="38" applyNumberFormat="1" applyFont="1" applyFill="1" applyBorder="1" applyAlignment="1">
      <alignment horizontal="left" vertical="center" wrapText="1"/>
    </xf>
    <xf numFmtId="1" fontId="10" fillId="11" borderId="49" xfId="38" applyNumberFormat="1" applyFont="1" applyFill="1" applyBorder="1" applyAlignment="1">
      <alignment horizontal="left" vertical="center" wrapText="1"/>
    </xf>
    <xf numFmtId="1" fontId="10" fillId="11" borderId="128" xfId="38" applyNumberFormat="1" applyFont="1" applyFill="1" applyBorder="1" applyAlignment="1">
      <alignment horizontal="left" vertical="center" wrapText="1"/>
    </xf>
    <xf numFmtId="1" fontId="10" fillId="11" borderId="103" xfId="38" applyNumberFormat="1" applyFont="1" applyFill="1" applyBorder="1" applyAlignment="1">
      <alignment horizontal="left" vertical="center" wrapText="1"/>
    </xf>
    <xf numFmtId="1" fontId="10" fillId="11" borderId="127" xfId="38" applyNumberFormat="1" applyFont="1" applyFill="1" applyBorder="1" applyAlignment="1">
      <alignment horizontal="left" vertical="center" wrapText="1"/>
    </xf>
    <xf numFmtId="1" fontId="10" fillId="11" borderId="62" xfId="38" applyNumberFormat="1" applyFont="1" applyFill="1" applyBorder="1" applyAlignment="1">
      <alignment horizontal="left" vertical="center" wrapText="1"/>
    </xf>
    <xf numFmtId="1" fontId="10" fillId="11" borderId="128" xfId="0" applyNumberFormat="1" applyFont="1" applyFill="1" applyBorder="1" applyAlignment="1">
      <alignment horizontal="left" vertical="center" wrapText="1"/>
    </xf>
    <xf numFmtId="1" fontId="10" fillId="11" borderId="103" xfId="0" applyNumberFormat="1" applyFont="1" applyFill="1" applyBorder="1" applyAlignment="1">
      <alignment horizontal="left" vertical="center" wrapText="1"/>
    </xf>
    <xf numFmtId="1" fontId="10" fillId="0" borderId="166" xfId="38" applyNumberFormat="1" applyFont="1" applyBorder="1" applyAlignment="1">
      <alignment horizontal="left" vertical="center" wrapText="1"/>
    </xf>
    <xf numFmtId="1" fontId="10" fillId="0" borderId="49" xfId="38" applyNumberFormat="1" applyFont="1" applyBorder="1" applyAlignment="1">
      <alignment horizontal="left" vertical="center" wrapText="1"/>
    </xf>
    <xf numFmtId="1" fontId="10" fillId="0" borderId="127" xfId="38" applyNumberFormat="1" applyFont="1" applyBorder="1" applyAlignment="1">
      <alignment horizontal="left" vertical="center" wrapText="1"/>
    </xf>
    <xf numFmtId="1" fontId="10" fillId="0" borderId="62" xfId="38" applyNumberFormat="1" applyFont="1" applyBorder="1" applyAlignment="1">
      <alignment horizontal="left" vertical="center" wrapText="1"/>
    </xf>
    <xf numFmtId="1" fontId="10" fillId="11" borderId="18" xfId="0" applyNumberFormat="1" applyFont="1" applyFill="1" applyBorder="1" applyAlignment="1">
      <alignment vertical="center" wrapText="1"/>
    </xf>
    <xf numFmtId="1" fontId="10" fillId="11" borderId="15" xfId="0" applyNumberFormat="1" applyFont="1" applyFill="1" applyBorder="1" applyAlignment="1">
      <alignment vertical="center" wrapText="1"/>
    </xf>
    <xf numFmtId="1" fontId="10" fillId="11" borderId="19" xfId="0" applyNumberFormat="1" applyFont="1" applyFill="1" applyBorder="1" applyAlignment="1">
      <alignment vertical="center" wrapText="1"/>
    </xf>
    <xf numFmtId="1" fontId="10" fillId="0" borderId="16" xfId="0" applyNumberFormat="1" applyFont="1" applyBorder="1" applyAlignment="1">
      <alignment horizontal="center"/>
    </xf>
    <xf numFmtId="1" fontId="10" fillId="0" borderId="14" xfId="0" applyNumberFormat="1" applyFont="1" applyBorder="1" applyAlignment="1">
      <alignment horizontal="center"/>
    </xf>
    <xf numFmtId="1" fontId="10" fillId="0" borderId="36" xfId="0" applyNumberFormat="1" applyFont="1" applyBorder="1" applyAlignment="1">
      <alignment horizontal="center"/>
    </xf>
    <xf numFmtId="1" fontId="12" fillId="7" borderId="8" xfId="38" applyNumberFormat="1" applyFont="1" applyFill="1" applyBorder="1" applyAlignment="1">
      <alignment horizontal="left" wrapText="1"/>
    </xf>
    <xf numFmtId="1" fontId="12" fillId="7" borderId="9" xfId="38" applyNumberFormat="1" applyFont="1" applyFill="1" applyBorder="1" applyAlignment="1">
      <alignment horizontal="left" wrapText="1"/>
    </xf>
    <xf numFmtId="1" fontId="10" fillId="11" borderId="138" xfId="0" applyNumberFormat="1" applyFont="1" applyFill="1" applyBorder="1" applyAlignment="1">
      <alignment horizontal="left" vertical="center" wrapText="1"/>
    </xf>
    <xf numFmtId="1" fontId="10" fillId="11" borderId="140" xfId="0" applyNumberFormat="1" applyFont="1" applyFill="1" applyBorder="1" applyAlignment="1">
      <alignment horizontal="left" vertical="center" wrapText="1"/>
    </xf>
    <xf numFmtId="1" fontId="10" fillId="11" borderId="14" xfId="0" applyNumberFormat="1" applyFont="1" applyFill="1" applyBorder="1" applyAlignment="1">
      <alignment horizontal="left" vertical="center" wrapText="1"/>
    </xf>
    <xf numFmtId="1" fontId="10" fillId="11" borderId="8" xfId="0" applyNumberFormat="1" applyFont="1" applyFill="1" applyBorder="1" applyAlignment="1">
      <alignment horizontal="left" vertical="center" wrapText="1"/>
    </xf>
    <xf numFmtId="1" fontId="10" fillId="11" borderId="127" xfId="0" applyNumberFormat="1" applyFont="1" applyFill="1" applyBorder="1" applyAlignment="1">
      <alignment horizontal="left" vertical="center" wrapText="1"/>
    </xf>
    <xf numFmtId="1" fontId="10" fillId="11" borderId="61" xfId="0" applyNumberFormat="1" applyFont="1" applyFill="1" applyBorder="1" applyAlignment="1">
      <alignment horizontal="left" vertical="center" wrapText="1"/>
    </xf>
    <xf numFmtId="1" fontId="10" fillId="11" borderId="62" xfId="0" applyNumberFormat="1" applyFont="1" applyFill="1" applyBorder="1" applyAlignment="1">
      <alignment horizontal="left" vertical="center" wrapText="1"/>
    </xf>
    <xf numFmtId="1" fontId="10" fillId="11" borderId="166" xfId="0" applyNumberFormat="1" applyFont="1" applyFill="1" applyBorder="1" applyAlignment="1">
      <alignment horizontal="left" vertical="center" wrapText="1"/>
    </xf>
    <xf numFmtId="1" fontId="10" fillId="11" borderId="48" xfId="0" applyNumberFormat="1" applyFont="1" applyFill="1" applyBorder="1" applyAlignment="1">
      <alignment horizontal="left" vertical="center" wrapText="1"/>
    </xf>
    <xf numFmtId="1" fontId="10" fillId="11" borderId="49" xfId="0" applyNumberFormat="1" applyFont="1" applyFill="1" applyBorder="1" applyAlignment="1">
      <alignment horizontal="left" vertical="center" wrapText="1"/>
    </xf>
    <xf numFmtId="1" fontId="10" fillId="11" borderId="6" xfId="38" applyNumberFormat="1" applyFont="1" applyFill="1" applyBorder="1" applyAlignment="1">
      <alignment horizontal="center" wrapText="1"/>
    </xf>
    <xf numFmtId="1" fontId="10" fillId="11" borderId="7" xfId="38" applyNumberFormat="1" applyFont="1" applyFill="1" applyBorder="1" applyAlignment="1">
      <alignment horizontal="center" wrapText="1"/>
    </xf>
    <xf numFmtId="1" fontId="10" fillId="11" borderId="2" xfId="0" applyNumberFormat="1" applyFont="1" applyFill="1" applyBorder="1" applyAlignment="1">
      <alignment horizontal="left" vertical="center" wrapText="1"/>
    </xf>
    <xf numFmtId="1" fontId="10" fillId="0" borderId="89" xfId="38" applyNumberFormat="1" applyFont="1" applyBorder="1" applyAlignment="1">
      <alignment horizontal="left" vertical="center" wrapText="1"/>
    </xf>
    <xf numFmtId="1" fontId="10" fillId="0" borderId="98" xfId="38" applyNumberFormat="1" applyFont="1" applyBorder="1" applyAlignment="1">
      <alignment horizontal="left" vertical="center" wrapText="1"/>
    </xf>
    <xf numFmtId="1" fontId="10" fillId="0" borderId="128" xfId="38" applyNumberFormat="1" applyFont="1" applyBorder="1" applyAlignment="1">
      <alignment horizontal="left" vertical="center" wrapText="1"/>
    </xf>
    <xf numFmtId="1" fontId="10" fillId="0" borderId="103" xfId="38" applyNumberFormat="1" applyFont="1" applyBorder="1" applyAlignment="1">
      <alignment horizontal="left" vertical="center" wrapText="1"/>
    </xf>
    <xf numFmtId="1" fontId="10" fillId="0" borderId="7" xfId="0" applyNumberFormat="1" applyFont="1" applyBorder="1" applyAlignment="1">
      <alignment horizontal="center"/>
    </xf>
    <xf numFmtId="1" fontId="10" fillId="0" borderId="89" xfId="0" applyNumberFormat="1" applyFont="1" applyBorder="1" applyAlignment="1">
      <alignment horizontal="left"/>
    </xf>
    <xf numFmtId="1" fontId="10" fillId="0" borderId="218" xfId="0" applyNumberFormat="1" applyFont="1" applyBorder="1" applyAlignment="1">
      <alignment horizontal="left" vertical="center"/>
    </xf>
    <xf numFmtId="1" fontId="16" fillId="11" borderId="0" xfId="0" applyNumberFormat="1" applyFont="1" applyFill="1" applyAlignment="1">
      <alignment horizontal="center"/>
    </xf>
    <xf numFmtId="0" fontId="32" fillId="0" borderId="8" xfId="0" applyFont="1" applyBorder="1" applyAlignment="1">
      <alignment horizontal="center" vertical="center"/>
    </xf>
    <xf numFmtId="1" fontId="27" fillId="0" borderId="0" xfId="0" applyNumberFormat="1" applyFont="1" applyAlignment="1">
      <alignment horizontal="center" vertical="center"/>
    </xf>
    <xf numFmtId="1" fontId="29" fillId="11" borderId="61" xfId="0" applyNumberFormat="1" applyFont="1" applyFill="1" applyBorder="1" applyAlignment="1">
      <alignment horizontal="left" vertical="center" wrapText="1"/>
    </xf>
    <xf numFmtId="1" fontId="29" fillId="11" borderId="62" xfId="0" applyNumberFormat="1" applyFont="1" applyFill="1" applyBorder="1" applyAlignment="1">
      <alignment horizontal="left" vertical="center" wrapText="1"/>
    </xf>
    <xf numFmtId="1" fontId="29" fillId="11" borderId="127" xfId="0" applyNumberFormat="1" applyFont="1" applyFill="1" applyBorder="1" applyAlignment="1">
      <alignment horizontal="left" vertical="center" wrapText="1"/>
    </xf>
    <xf numFmtId="1" fontId="29" fillId="0" borderId="134" xfId="0" applyNumberFormat="1" applyFont="1" applyBorder="1" applyAlignment="1">
      <alignment horizontal="center" vertical="center"/>
    </xf>
    <xf numFmtId="1" fontId="29" fillId="0" borderId="128" xfId="0" applyNumberFormat="1" applyFont="1" applyBorder="1" applyAlignment="1">
      <alignment horizontal="left"/>
    </xf>
    <xf numFmtId="1" fontId="29" fillId="0" borderId="128" xfId="0" quotePrefix="1" applyNumberFormat="1" applyFont="1" applyBorder="1" applyAlignment="1">
      <alignment horizontal="left"/>
    </xf>
    <xf numFmtId="164" fontId="29" fillId="0" borderId="2" xfId="45" applyNumberFormat="1" applyFont="1" applyBorder="1" applyAlignment="1" applyProtection="1">
      <alignment horizontal="center" vertical="center"/>
    </xf>
    <xf numFmtId="164" fontId="29" fillId="0" borderId="108" xfId="45" applyNumberFormat="1" applyFont="1" applyBorder="1" applyAlignment="1" applyProtection="1">
      <alignment horizontal="center" vertical="center"/>
    </xf>
    <xf numFmtId="164" fontId="29" fillId="0" borderId="9" xfId="45" applyNumberFormat="1" applyFont="1" applyBorder="1" applyAlignment="1" applyProtection="1">
      <alignment horizontal="center" vertical="center"/>
    </xf>
    <xf numFmtId="164" fontId="29" fillId="0" borderId="274" xfId="45" applyNumberFormat="1" applyFont="1" applyBorder="1" applyAlignment="1" applyProtection="1">
      <alignment horizontal="center" vertical="center"/>
    </xf>
    <xf numFmtId="164" fontId="29" fillId="0" borderId="9" xfId="33" applyNumberFormat="1" applyFont="1" applyBorder="1" applyAlignment="1">
      <alignment horizontal="center" vertical="center"/>
    </xf>
    <xf numFmtId="164" fontId="29" fillId="0" borderId="27" xfId="33" applyNumberFormat="1" applyFont="1" applyBorder="1" applyAlignment="1">
      <alignment horizontal="center" vertical="center"/>
    </xf>
    <xf numFmtId="164" fontId="29" fillId="0" borderId="14" xfId="33" applyNumberFormat="1" applyFont="1" applyBorder="1" applyAlignment="1">
      <alignment horizontal="center" vertical="center"/>
    </xf>
    <xf numFmtId="164" fontId="29" fillId="0" borderId="36" xfId="33" applyNumberFormat="1" applyFont="1" applyBorder="1" applyAlignment="1">
      <alignment horizontal="center" vertical="center"/>
    </xf>
    <xf numFmtId="164" fontId="29" fillId="0" borderId="6" xfId="45" applyNumberFormat="1" applyFont="1" applyBorder="1" applyAlignment="1" applyProtection="1">
      <alignment horizontal="center" vertical="center" wrapText="1"/>
    </xf>
    <xf numFmtId="164" fontId="29" fillId="0" borderId="8" xfId="45" applyNumberFormat="1" applyFont="1" applyBorder="1" applyAlignment="1" applyProtection="1">
      <alignment horizontal="center" vertical="center" wrapText="1"/>
    </xf>
    <xf numFmtId="164" fontId="29" fillId="0" borderId="346" xfId="45" applyNumberFormat="1" applyFont="1" applyBorder="1" applyAlignment="1" applyProtection="1">
      <alignment horizontal="center" vertical="center" wrapText="1"/>
    </xf>
    <xf numFmtId="1" fontId="29" fillId="0" borderId="339" xfId="32" applyNumberFormat="1" applyFont="1" applyBorder="1" applyAlignment="1">
      <alignment horizontal="center" vertical="center"/>
    </xf>
    <xf numFmtId="0" fontId="29" fillId="0" borderId="327" xfId="32" applyFont="1" applyBorder="1"/>
    <xf numFmtId="1" fontId="29" fillId="0" borderId="13" xfId="0" applyNumberFormat="1" applyFont="1" applyBorder="1" applyAlignment="1">
      <alignment horizontal="left" vertical="center"/>
    </xf>
    <xf numFmtId="1" fontId="29" fillId="0" borderId="6" xfId="0" applyNumberFormat="1" applyFont="1" applyBorder="1" applyAlignment="1">
      <alignment horizontal="left" vertical="center"/>
    </xf>
    <xf numFmtId="1" fontId="29" fillId="0" borderId="7" xfId="0" applyNumberFormat="1" applyFont="1" applyBorder="1" applyAlignment="1">
      <alignment horizontal="left" vertical="center"/>
    </xf>
    <xf numFmtId="1" fontId="29" fillId="0" borderId="168" xfId="0" applyNumberFormat="1" applyFont="1" applyBorder="1" applyAlignment="1">
      <alignment horizontal="left" vertical="center"/>
    </xf>
    <xf numFmtId="1" fontId="29" fillId="0" borderId="171" xfId="0" applyNumberFormat="1" applyFont="1" applyBorder="1" applyAlignment="1">
      <alignment horizontal="left" vertical="center"/>
    </xf>
    <xf numFmtId="1" fontId="29" fillId="0" borderId="218" xfId="0" applyNumberFormat="1" applyFont="1" applyBorder="1" applyAlignment="1">
      <alignment horizontal="left" vertical="center" wrapText="1"/>
    </xf>
    <xf numFmtId="1" fontId="29" fillId="0" borderId="670" xfId="0" applyNumberFormat="1" applyFont="1" applyBorder="1" applyAlignment="1">
      <alignment horizontal="left" vertical="center" wrapText="1"/>
    </xf>
    <xf numFmtId="1" fontId="29" fillId="0" borderId="671" xfId="0" applyNumberFormat="1" applyFont="1" applyBorder="1" applyAlignment="1">
      <alignment horizontal="left" vertical="center" wrapText="1"/>
    </xf>
    <xf numFmtId="1" fontId="29" fillId="0" borderId="672" xfId="0" applyNumberFormat="1" applyFont="1" applyBorder="1" applyAlignment="1">
      <alignment horizontal="left" vertical="center" wrapText="1"/>
    </xf>
    <xf numFmtId="1" fontId="29" fillId="7" borderId="89" xfId="0" applyNumberFormat="1" applyFont="1" applyFill="1" applyBorder="1" applyAlignment="1">
      <alignment horizontal="left" wrapText="1"/>
    </xf>
    <xf numFmtId="1" fontId="29" fillId="7" borderId="98" xfId="0" applyNumberFormat="1" applyFont="1" applyFill="1" applyBorder="1" applyAlignment="1">
      <alignment horizontal="left" wrapText="1"/>
    </xf>
    <xf numFmtId="1" fontId="29" fillId="7" borderId="16" xfId="0" applyNumberFormat="1" applyFont="1" applyFill="1" applyBorder="1" applyAlignment="1">
      <alignment horizontal="left" wrapText="1"/>
    </xf>
    <xf numFmtId="1" fontId="29" fillId="7" borderId="36" xfId="0" applyNumberFormat="1" applyFont="1" applyFill="1" applyBorder="1" applyAlignment="1">
      <alignment horizontal="left" wrapText="1"/>
    </xf>
    <xf numFmtId="1" fontId="29" fillId="0" borderId="10" xfId="0" applyNumberFormat="1" applyFont="1" applyBorder="1" applyAlignment="1">
      <alignment horizontal="center" wrapText="1"/>
    </xf>
    <xf numFmtId="1" fontId="29" fillId="0" borderId="165" xfId="0" applyNumberFormat="1" applyFont="1" applyBorder="1" applyAlignment="1">
      <alignment horizontal="center" wrapText="1"/>
    </xf>
    <xf numFmtId="1" fontId="29" fillId="0" borderId="90" xfId="32" applyNumberFormat="1" applyFont="1" applyBorder="1" applyAlignment="1">
      <alignment horizontal="left" vertical="center" wrapText="1"/>
    </xf>
    <xf numFmtId="1" fontId="29" fillId="0" borderId="147" xfId="32" applyNumberFormat="1" applyFont="1" applyBorder="1" applyAlignment="1">
      <alignment horizontal="left" vertical="center" wrapText="1"/>
    </xf>
    <xf numFmtId="1" fontId="29" fillId="0" borderId="83" xfId="32" applyNumberFormat="1" applyFont="1" applyBorder="1" applyAlignment="1">
      <alignment horizontal="left" vertical="center" wrapText="1"/>
    </xf>
    <xf numFmtId="1" fontId="29" fillId="0" borderId="79" xfId="32" applyNumberFormat="1" applyFont="1" applyBorder="1" applyAlignment="1">
      <alignment horizontal="left" vertical="center" wrapText="1"/>
    </xf>
    <xf numFmtId="1" fontId="29" fillId="0" borderId="35" xfId="32" applyNumberFormat="1" applyFont="1" applyBorder="1" applyAlignment="1">
      <alignment horizontal="left" vertical="center" wrapText="1"/>
    </xf>
    <xf numFmtId="1" fontId="29" fillId="0" borderId="277" xfId="32" applyNumberFormat="1" applyFont="1" applyBorder="1" applyAlignment="1">
      <alignment horizontal="left" vertical="center" wrapText="1"/>
    </xf>
    <xf numFmtId="1" fontId="29" fillId="0" borderId="108" xfId="32" applyNumberFormat="1" applyFont="1" applyBorder="1" applyAlignment="1">
      <alignment horizontal="left" vertical="center" wrapText="1"/>
    </xf>
    <xf numFmtId="1" fontId="29" fillId="0" borderId="274" xfId="32" applyNumberFormat="1" applyFont="1" applyBorder="1" applyAlignment="1">
      <alignment horizontal="left" vertical="center" wrapText="1"/>
    </xf>
    <xf numFmtId="1" fontId="29" fillId="0" borderId="13" xfId="32" applyNumberFormat="1" applyFont="1" applyBorder="1" applyAlignment="1">
      <alignment horizontal="left" vertical="center" wrapText="1"/>
    </xf>
    <xf numFmtId="1" fontId="29" fillId="0" borderId="16" xfId="32" applyNumberFormat="1" applyFont="1" applyBorder="1" applyAlignment="1">
      <alignment horizontal="left" vertical="center" wrapText="1"/>
    </xf>
    <xf numFmtId="1" fontId="29" fillId="0" borderId="108" xfId="0" applyNumberFormat="1" applyFont="1" applyBorder="1" applyAlignment="1">
      <alignment horizontal="left" wrapText="1"/>
    </xf>
    <xf numFmtId="1" fontId="29" fillId="0" borderId="27" xfId="0" applyNumberFormat="1" applyFont="1" applyBorder="1" applyAlignment="1">
      <alignment horizontal="left" wrapText="1"/>
    </xf>
    <xf numFmtId="1" fontId="29" fillId="0" borderId="166" xfId="0" applyNumberFormat="1" applyFont="1" applyBorder="1" applyAlignment="1">
      <alignment horizontal="left" vertical="center"/>
    </xf>
    <xf numFmtId="1" fontId="29" fillId="0" borderId="49" xfId="0" applyNumberFormat="1" applyFont="1" applyBorder="1" applyAlignment="1">
      <alignment horizontal="left" vertical="center"/>
    </xf>
    <xf numFmtId="1" fontId="29" fillId="0" borderId="6" xfId="32" applyNumberFormat="1" applyFont="1" applyBorder="1" applyAlignment="1">
      <alignment horizontal="center" vertical="center"/>
    </xf>
    <xf numFmtId="1" fontId="29" fillId="0" borderId="8" xfId="32" applyNumberFormat="1" applyFont="1" applyBorder="1" applyAlignment="1">
      <alignment horizontal="center" vertical="center"/>
    </xf>
    <xf numFmtId="1" fontId="29" fillId="0" borderId="20" xfId="32" applyNumberFormat="1" applyFont="1" applyBorder="1" applyAlignment="1">
      <alignment horizontal="center" vertical="center"/>
    </xf>
    <xf numFmtId="0" fontId="29" fillId="0" borderId="135" xfId="0" applyFont="1" applyBorder="1" applyAlignment="1">
      <alignment horizontal="center" vertical="center"/>
    </xf>
    <xf numFmtId="1" fontId="29" fillId="0" borderId="184" xfId="32" applyNumberFormat="1" applyFont="1" applyBorder="1" applyAlignment="1">
      <alignment horizontal="center" vertical="center"/>
    </xf>
    <xf numFmtId="1" fontId="29" fillId="0" borderId="147" xfId="32" applyNumberFormat="1" applyFont="1" applyBorder="1" applyAlignment="1">
      <alignment horizontal="center" vertical="center"/>
    </xf>
    <xf numFmtId="1" fontId="29" fillId="0" borderId="221" xfId="32" applyNumberFormat="1" applyFont="1" applyBorder="1" applyAlignment="1">
      <alignment horizontal="center" vertical="center"/>
    </xf>
    <xf numFmtId="1" fontId="29" fillId="0" borderId="60" xfId="32" applyNumberFormat="1" applyFont="1" applyBorder="1" applyAlignment="1">
      <alignment horizontal="center" vertical="center"/>
    </xf>
    <xf numFmtId="1" fontId="29" fillId="0" borderId="90" xfId="32" applyNumberFormat="1" applyFont="1" applyBorder="1" applyAlignment="1">
      <alignment horizontal="center" vertical="center" wrapText="1"/>
    </xf>
    <xf numFmtId="0" fontId="29" fillId="0" borderId="262" xfId="32" applyFont="1" applyBorder="1"/>
    <xf numFmtId="1" fontId="29" fillId="0" borderId="442" xfId="0" applyNumberFormat="1" applyFont="1" applyBorder="1" applyAlignment="1">
      <alignment horizontal="center" vertical="center"/>
    </xf>
    <xf numFmtId="1" fontId="29" fillId="0" borderId="443" xfId="0" applyNumberFormat="1" applyFont="1" applyBorder="1" applyAlignment="1">
      <alignment horizontal="center" vertical="center"/>
    </xf>
    <xf numFmtId="1" fontId="29" fillId="0" borderId="138" xfId="0" applyNumberFormat="1" applyFont="1" applyBorder="1" applyAlignment="1">
      <alignment horizontal="left" vertical="center"/>
    </xf>
    <xf numFmtId="1" fontId="29" fillId="0" borderId="183" xfId="0" applyNumberFormat="1" applyFont="1" applyBorder="1" applyAlignment="1">
      <alignment horizontal="center" vertical="center" wrapText="1"/>
    </xf>
    <xf numFmtId="1" fontId="29" fillId="0" borderId="147" xfId="0" applyNumberFormat="1" applyFont="1" applyBorder="1" applyAlignment="1">
      <alignment horizontal="center" vertical="center" wrapText="1"/>
    </xf>
    <xf numFmtId="1" fontId="29" fillId="0" borderId="60" xfId="0" applyNumberFormat="1" applyFont="1" applyBorder="1" applyAlignment="1">
      <alignment horizontal="center" vertical="center" wrapText="1"/>
    </xf>
    <xf numFmtId="1" fontId="29" fillId="0" borderId="61" xfId="0" applyNumberFormat="1" applyFont="1" applyBorder="1" applyAlignment="1">
      <alignment horizontal="left" vertical="center"/>
    </xf>
    <xf numFmtId="1" fontId="29" fillId="7" borderId="89" xfId="0" applyNumberFormat="1" applyFont="1" applyFill="1" applyBorder="1" applyAlignment="1">
      <alignment horizontal="left"/>
    </xf>
    <xf numFmtId="1" fontId="29" fillId="7" borderId="138" xfId="0" applyNumberFormat="1" applyFont="1" applyFill="1" applyBorder="1" applyAlignment="1">
      <alignment horizontal="left"/>
    </xf>
    <xf numFmtId="1" fontId="29" fillId="7" borderId="98" xfId="0" applyNumberFormat="1" applyFont="1" applyFill="1" applyBorder="1" applyAlignment="1">
      <alignment horizontal="left"/>
    </xf>
    <xf numFmtId="1" fontId="29" fillId="7" borderId="127" xfId="0" applyNumberFormat="1" applyFont="1" applyFill="1" applyBorder="1" applyAlignment="1">
      <alignment horizontal="left"/>
    </xf>
    <xf numFmtId="1" fontId="29" fillId="7" borderId="61" xfId="0" applyNumberFormat="1" applyFont="1" applyFill="1" applyBorder="1" applyAlignment="1">
      <alignment horizontal="left"/>
    </xf>
    <xf numFmtId="1" fontId="29" fillId="7" borderId="62" xfId="0" applyNumberFormat="1" applyFont="1" applyFill="1" applyBorder="1" applyAlignment="1">
      <alignment horizontal="left"/>
    </xf>
    <xf numFmtId="1" fontId="32" fillId="7" borderId="0" xfId="0" applyNumberFormat="1" applyFont="1" applyFill="1" applyAlignment="1">
      <alignment horizontal="center"/>
    </xf>
    <xf numFmtId="1" fontId="29" fillId="0" borderId="6" xfId="0" applyNumberFormat="1" applyFont="1" applyBorder="1" applyAlignment="1">
      <alignment horizontal="center" wrapText="1"/>
    </xf>
    <xf numFmtId="1" fontId="29" fillId="0" borderId="7" xfId="0" applyNumberFormat="1" applyFont="1" applyBorder="1" applyAlignment="1">
      <alignment horizontal="center" wrapText="1"/>
    </xf>
    <xf numFmtId="1" fontId="29" fillId="7" borderId="166" xfId="0" applyNumberFormat="1" applyFont="1" applyFill="1" applyBorder="1" applyAlignment="1">
      <alignment horizontal="left" wrapText="1"/>
    </xf>
    <xf numFmtId="1" fontId="29" fillId="7" borderId="37" xfId="0" applyNumberFormat="1" applyFont="1" applyFill="1" applyBorder="1" applyAlignment="1">
      <alignment horizontal="center" vertical="center" wrapText="1"/>
    </xf>
    <xf numFmtId="1" fontId="29" fillId="7" borderId="51" xfId="0" applyNumberFormat="1" applyFont="1" applyFill="1" applyBorder="1" applyAlignment="1">
      <alignment horizontal="center" vertical="center" wrapText="1"/>
    </xf>
    <xf numFmtId="0" fontId="29" fillId="11" borderId="9" xfId="0" applyFont="1" applyFill="1" applyBorder="1" applyAlignment="1">
      <alignment horizontal="center" wrapText="1"/>
    </xf>
    <xf numFmtId="0" fontId="29" fillId="11" borderId="27" xfId="0" applyFont="1" applyFill="1" applyBorder="1" applyAlignment="1">
      <alignment horizontal="center" wrapText="1"/>
    </xf>
    <xf numFmtId="1" fontId="29" fillId="11" borderId="18" xfId="0" applyNumberFormat="1" applyFont="1" applyFill="1" applyBorder="1" applyAlignment="1">
      <alignment horizontal="center" vertical="center"/>
    </xf>
    <xf numFmtId="1" fontId="29" fillId="11" borderId="19" xfId="0" applyNumberFormat="1" applyFont="1" applyFill="1" applyBorder="1" applyAlignment="1">
      <alignment horizontal="center" vertical="center"/>
    </xf>
    <xf numFmtId="1" fontId="29" fillId="11" borderId="15" xfId="0" applyNumberFormat="1" applyFont="1" applyFill="1" applyBorder="1" applyAlignment="1">
      <alignment horizontal="center" vertical="center"/>
    </xf>
    <xf numFmtId="1" fontId="29" fillId="11" borderId="108" xfId="0" applyNumberFormat="1" applyFont="1" applyFill="1" applyBorder="1" applyAlignment="1">
      <alignment horizontal="center" vertical="center"/>
    </xf>
    <xf numFmtId="1" fontId="29" fillId="11" borderId="9" xfId="0" applyNumberFormat="1" applyFont="1" applyFill="1" applyBorder="1" applyAlignment="1">
      <alignment horizontal="center" vertical="center"/>
    </xf>
    <xf numFmtId="1" fontId="29" fillId="11" borderId="212" xfId="0" applyNumberFormat="1" applyFont="1" applyFill="1" applyBorder="1" applyAlignment="1">
      <alignment horizontal="center" vertical="center"/>
    </xf>
    <xf numFmtId="1" fontId="29" fillId="11" borderId="16" xfId="0" applyNumberFormat="1" applyFont="1" applyFill="1" applyBorder="1" applyAlignment="1">
      <alignment horizontal="center" vertical="center"/>
    </xf>
    <xf numFmtId="1" fontId="29" fillId="11" borderId="14" xfId="0" applyNumberFormat="1" applyFont="1" applyFill="1" applyBorder="1" applyAlignment="1">
      <alignment horizontal="center" vertical="center"/>
    </xf>
    <xf numFmtId="1" fontId="29" fillId="11" borderId="156" xfId="0" applyNumberFormat="1" applyFont="1" applyFill="1" applyBorder="1" applyAlignment="1">
      <alignment horizontal="center" vertical="center"/>
    </xf>
    <xf numFmtId="0" fontId="29" fillId="11" borderId="21" xfId="0" applyFont="1" applyFill="1" applyBorder="1" applyAlignment="1">
      <alignment horizontal="center" wrapText="1"/>
    </xf>
    <xf numFmtId="0" fontId="29" fillId="11" borderId="22" xfId="0" applyFont="1" applyFill="1" applyBorder="1" applyAlignment="1">
      <alignment horizontal="center" wrapText="1"/>
    </xf>
    <xf numFmtId="0" fontId="29" fillId="11" borderId="177" xfId="0" applyFont="1" applyFill="1" applyBorder="1" applyAlignment="1">
      <alignment horizontal="center" wrapText="1"/>
    </xf>
    <xf numFmtId="1" fontId="29" fillId="7" borderId="135" xfId="0" applyNumberFormat="1" applyFont="1" applyFill="1" applyBorder="1" applyAlignment="1">
      <alignment horizontal="center" vertical="center" wrapText="1"/>
    </xf>
    <xf numFmtId="1" fontId="29" fillId="0" borderId="2" xfId="0" quotePrefix="1" applyNumberFormat="1" applyFont="1" applyBorder="1" applyAlignment="1">
      <alignment horizontal="center" vertical="center" wrapText="1"/>
    </xf>
    <xf numFmtId="1" fontId="29" fillId="0" borderId="41" xfId="0" applyNumberFormat="1" applyFont="1" applyBorder="1" applyAlignment="1">
      <alignment horizontal="center" vertical="center"/>
    </xf>
    <xf numFmtId="1" fontId="29" fillId="0" borderId="112" xfId="0" applyNumberFormat="1" applyFont="1" applyBorder="1" applyAlignment="1">
      <alignment horizontal="center" vertical="center"/>
    </xf>
    <xf numFmtId="1" fontId="29" fillId="0" borderId="269" xfId="0" applyNumberFormat="1" applyFont="1" applyBorder="1" applyAlignment="1">
      <alignment horizontal="center" vertical="center"/>
    </xf>
    <xf numFmtId="1" fontId="29" fillId="0" borderId="21" xfId="0" applyNumberFormat="1" applyFont="1" applyBorder="1" applyAlignment="1">
      <alignment horizontal="center" vertical="center"/>
    </xf>
    <xf numFmtId="1" fontId="29" fillId="0" borderId="123" xfId="0" applyNumberFormat="1" applyFont="1" applyBorder="1" applyAlignment="1">
      <alignment horizontal="center" vertical="center"/>
    </xf>
    <xf numFmtId="1" fontId="29" fillId="0" borderId="29" xfId="0" applyNumberFormat="1" applyFont="1" applyBorder="1" applyAlignment="1">
      <alignment horizontal="center" vertical="center" wrapText="1"/>
    </xf>
    <xf numFmtId="1" fontId="29" fillId="11" borderId="135" xfId="0" applyNumberFormat="1" applyFont="1" applyFill="1" applyBorder="1" applyAlignment="1">
      <alignment horizontal="center" vertical="center"/>
    </xf>
    <xf numFmtId="1" fontId="29" fillId="0" borderId="2" xfId="0" applyNumberFormat="1" applyFont="1" applyBorder="1" applyAlignment="1">
      <alignment horizontal="left" vertical="center"/>
    </xf>
    <xf numFmtId="1" fontId="29" fillId="7" borderId="18" xfId="0" applyNumberFormat="1" applyFont="1" applyFill="1" applyBorder="1" applyAlignment="1">
      <alignment horizontal="center" vertical="center"/>
    </xf>
    <xf numFmtId="1" fontId="29" fillId="7" borderId="15" xfId="0" applyNumberFormat="1" applyFont="1" applyFill="1" applyBorder="1" applyAlignment="1">
      <alignment horizontal="center" vertical="center"/>
    </xf>
    <xf numFmtId="1" fontId="29" fillId="11" borderId="2" xfId="0" applyNumberFormat="1" applyFont="1" applyFill="1" applyBorder="1" applyAlignment="1">
      <alignment horizontal="center" vertical="center"/>
    </xf>
    <xf numFmtId="1" fontId="29" fillId="11" borderId="134" xfId="0" applyNumberFormat="1" applyFont="1" applyFill="1" applyBorder="1" applyAlignment="1">
      <alignment horizontal="center" vertical="center"/>
    </xf>
    <xf numFmtId="0" fontId="29" fillId="0" borderId="7" xfId="0" applyFont="1" applyBorder="1" applyAlignment="1">
      <alignment horizontal="center"/>
    </xf>
    <xf numFmtId="0" fontId="29" fillId="0" borderId="2" xfId="0" applyFont="1" applyBorder="1" applyAlignment="1">
      <alignment horizontal="center"/>
    </xf>
    <xf numFmtId="0" fontId="29" fillId="0" borderId="212" xfId="0" applyFont="1" applyBorder="1" applyAlignment="1">
      <alignment horizontal="center" vertical="center"/>
    </xf>
    <xf numFmtId="0" fontId="29" fillId="0" borderId="156" xfId="0" applyFont="1" applyBorder="1" applyAlignment="1">
      <alignment horizontal="center" vertical="center"/>
    </xf>
    <xf numFmtId="1" fontId="29" fillId="0" borderId="63" xfId="0" applyNumberFormat="1" applyFont="1" applyBorder="1" applyAlignment="1">
      <alignment horizontal="left" vertical="center"/>
    </xf>
    <xf numFmtId="1" fontId="29" fillId="0" borderId="9" xfId="0" applyNumberFormat="1" applyFont="1" applyBorder="1" applyAlignment="1">
      <alignment horizontal="left" vertical="center"/>
    </xf>
    <xf numFmtId="1" fontId="29" fillId="0" borderId="0" xfId="0" applyNumberFormat="1" applyFont="1" applyAlignment="1">
      <alignment horizontal="left" vertical="center"/>
    </xf>
    <xf numFmtId="1" fontId="29" fillId="0" borderId="221" xfId="0" applyNumberFormat="1" applyFont="1" applyBorder="1" applyAlignment="1">
      <alignment horizontal="left" vertical="center"/>
    </xf>
    <xf numFmtId="0" fontId="29" fillId="0" borderId="37" xfId="0" applyFont="1" applyBorder="1" applyAlignment="1">
      <alignment horizontal="left" vertical="center" wrapText="1"/>
    </xf>
    <xf numFmtId="0" fontId="29" fillId="0" borderId="51" xfId="0" applyFont="1" applyBorder="1" applyAlignment="1">
      <alignment horizontal="left" vertical="center" wrapText="1"/>
    </xf>
    <xf numFmtId="1" fontId="29" fillId="7" borderId="7" xfId="0" applyNumberFormat="1" applyFont="1" applyFill="1" applyBorder="1" applyAlignment="1">
      <alignment horizontal="center" wrapText="1"/>
    </xf>
    <xf numFmtId="1" fontId="29" fillId="7" borderId="2" xfId="0" applyNumberFormat="1" applyFont="1" applyFill="1" applyBorder="1" applyAlignment="1">
      <alignment horizontal="center" wrapText="1"/>
    </xf>
    <xf numFmtId="1" fontId="29" fillId="0" borderId="164" xfId="0" applyNumberFormat="1" applyFont="1" applyBorder="1" applyAlignment="1">
      <alignment horizontal="center" vertical="center"/>
    </xf>
    <xf numFmtId="1" fontId="29" fillId="0" borderId="80" xfId="0" applyNumberFormat="1" applyFont="1" applyBorder="1" applyAlignment="1">
      <alignment horizontal="center" vertical="center"/>
    </xf>
    <xf numFmtId="1" fontId="29" fillId="0" borderId="27" xfId="43" applyNumberFormat="1" applyFont="1" applyBorder="1" applyAlignment="1">
      <alignment horizontal="center" vertical="center" wrapText="1"/>
    </xf>
    <xf numFmtId="1" fontId="29" fillId="0" borderId="50" xfId="43" applyNumberFormat="1" applyFont="1" applyBorder="1" applyAlignment="1">
      <alignment horizontal="center" vertical="center" wrapText="1"/>
    </xf>
    <xf numFmtId="1" fontId="29" fillId="0" borderId="36" xfId="43" applyNumberFormat="1" applyFont="1" applyBorder="1" applyAlignment="1">
      <alignment horizontal="center" vertical="center" wrapText="1"/>
    </xf>
    <xf numFmtId="1" fontId="29" fillId="0" borderId="165" xfId="0" applyNumberFormat="1" applyFont="1" applyBorder="1" applyAlignment="1">
      <alignment horizontal="center" vertical="center" wrapText="1"/>
    </xf>
    <xf numFmtId="1" fontId="29" fillId="0" borderId="158" xfId="0" applyNumberFormat="1" applyFont="1" applyBorder="1" applyAlignment="1">
      <alignment horizontal="center" vertical="center"/>
    </xf>
    <xf numFmtId="1" fontId="29" fillId="0" borderId="76" xfId="0" applyNumberFormat="1" applyFont="1" applyBorder="1" applyAlignment="1">
      <alignment horizontal="center" vertical="center"/>
    </xf>
    <xf numFmtId="1" fontId="29" fillId="0" borderId="323" xfId="0" applyNumberFormat="1" applyFont="1" applyBorder="1" applyAlignment="1">
      <alignment horizontal="center" vertical="center"/>
    </xf>
    <xf numFmtId="1" fontId="29" fillId="0" borderId="92" xfId="0" applyNumberFormat="1" applyFont="1" applyBorder="1" applyAlignment="1">
      <alignment horizontal="center" vertical="center"/>
    </xf>
    <xf numFmtId="1" fontId="29" fillId="0" borderId="18" xfId="43" applyNumberFormat="1" applyFont="1" applyBorder="1" applyAlignment="1">
      <alignment horizontal="center" vertical="center" wrapText="1"/>
    </xf>
    <xf numFmtId="1" fontId="29" fillId="0" borderId="19" xfId="43" applyNumberFormat="1" applyFont="1" applyBorder="1" applyAlignment="1">
      <alignment horizontal="center" vertical="center" wrapText="1"/>
    </xf>
    <xf numFmtId="1" fontId="29" fillId="0" borderId="15" xfId="43" applyNumberFormat="1" applyFont="1" applyBorder="1" applyAlignment="1">
      <alignment horizontal="center" vertical="center" wrapText="1"/>
    </xf>
    <xf numFmtId="1" fontId="29" fillId="0" borderId="133" xfId="0" applyNumberFormat="1" applyFont="1" applyBorder="1" applyAlignment="1">
      <alignment horizontal="center" vertical="center" wrapText="1"/>
    </xf>
    <xf numFmtId="1" fontId="31" fillId="7" borderId="6" xfId="0" applyNumberFormat="1" applyFont="1" applyFill="1" applyBorder="1" applyAlignment="1">
      <alignment horizontal="left"/>
    </xf>
    <xf numFmtId="1" fontId="59" fillId="7" borderId="0" xfId="0" applyNumberFormat="1" applyFont="1" applyFill="1" applyAlignment="1">
      <alignment horizontal="center" vertical="center"/>
    </xf>
    <xf numFmtId="1" fontId="29" fillId="0" borderId="2" xfId="43" applyNumberFormat="1" applyFont="1" applyBorder="1" applyAlignment="1">
      <alignment horizontal="center" vertical="center" wrapText="1"/>
    </xf>
    <xf numFmtId="1" fontId="32" fillId="0" borderId="2" xfId="43" applyNumberFormat="1" applyFont="1" applyBorder="1" applyAlignment="1">
      <alignment horizontal="center" vertical="center" wrapText="1"/>
    </xf>
    <xf numFmtId="1" fontId="32" fillId="0" borderId="18" xfId="43" applyNumberFormat="1" applyFont="1" applyBorder="1" applyAlignment="1">
      <alignment horizontal="center" vertical="center" wrapText="1"/>
    </xf>
    <xf numFmtId="1" fontId="32" fillId="0" borderId="19" xfId="43" applyNumberFormat="1" applyFont="1" applyBorder="1" applyAlignment="1">
      <alignment horizontal="center" vertical="center" wrapText="1"/>
    </xf>
    <xf numFmtId="1" fontId="32" fillId="0" borderId="15" xfId="43" applyNumberFormat="1" applyFont="1" applyBorder="1" applyAlignment="1">
      <alignment horizontal="center" vertical="center" wrapText="1"/>
    </xf>
    <xf numFmtId="1" fontId="29" fillId="0" borderId="99" xfId="0" applyNumberFormat="1" applyFont="1" applyBorder="1" applyAlignment="1">
      <alignment horizontal="center" vertical="center" wrapText="1"/>
    </xf>
    <xf numFmtId="1" fontId="29" fillId="0" borderId="86" xfId="0" applyNumberFormat="1" applyFont="1" applyBorder="1" applyAlignment="1">
      <alignment horizontal="center" vertical="center" wrapText="1"/>
    </xf>
    <xf numFmtId="0" fontId="29" fillId="11" borderId="18" xfId="0" applyFont="1" applyFill="1" applyBorder="1" applyAlignment="1">
      <alignment horizontal="center" vertical="center" wrapText="1"/>
    </xf>
    <xf numFmtId="0" fontId="29" fillId="11" borderId="19" xfId="0" applyFont="1" applyFill="1" applyBorder="1" applyAlignment="1">
      <alignment horizontal="center" vertical="center" wrapText="1"/>
    </xf>
    <xf numFmtId="0" fontId="29" fillId="11" borderId="15" xfId="0" applyFont="1" applyFill="1" applyBorder="1" applyAlignment="1">
      <alignment horizontal="center" vertical="center" wrapText="1"/>
    </xf>
    <xf numFmtId="0" fontId="31" fillId="0" borderId="14" xfId="0" applyFont="1" applyBorder="1" applyAlignment="1">
      <alignment horizontal="left"/>
    </xf>
    <xf numFmtId="0" fontId="29" fillId="11" borderId="158" xfId="0" applyFont="1" applyFill="1" applyBorder="1" applyAlignment="1">
      <alignment horizontal="center" vertical="center" wrapText="1"/>
    </xf>
    <xf numFmtId="0" fontId="29" fillId="11" borderId="74" xfId="0" applyFont="1" applyFill="1" applyBorder="1" applyAlignment="1">
      <alignment horizontal="center" vertical="center" wrapText="1"/>
    </xf>
    <xf numFmtId="0" fontId="29" fillId="11" borderId="76" xfId="0" applyFont="1" applyFill="1" applyBorder="1" applyAlignment="1">
      <alignment horizontal="center" vertical="center" wrapText="1"/>
    </xf>
    <xf numFmtId="0" fontId="29" fillId="0" borderId="149" xfId="0" applyFont="1" applyBorder="1" applyAlignment="1">
      <alignment horizontal="center" vertical="center"/>
    </xf>
    <xf numFmtId="0" fontId="29" fillId="11" borderId="0" xfId="0" applyFont="1" applyFill="1" applyAlignment="1">
      <alignment horizontal="center" vertical="center" wrapText="1"/>
    </xf>
    <xf numFmtId="0" fontId="29" fillId="11" borderId="14" xfId="0" applyFont="1" applyFill="1" applyBorder="1" applyAlignment="1">
      <alignment horizontal="center" vertical="center" wrapText="1"/>
    </xf>
    <xf numFmtId="0" fontId="29" fillId="11" borderId="27" xfId="0" applyFont="1" applyFill="1" applyBorder="1" applyAlignment="1">
      <alignment horizontal="center" vertical="center" wrapText="1"/>
    </xf>
    <xf numFmtId="0" fontId="29" fillId="11" borderId="50" xfId="0" applyFont="1" applyFill="1" applyBorder="1" applyAlignment="1">
      <alignment horizontal="center" vertical="center" wrapText="1"/>
    </xf>
    <xf numFmtId="0" fontId="29" fillId="11" borderId="36" xfId="0" applyFont="1" applyFill="1" applyBorder="1" applyAlignment="1">
      <alignment horizontal="center" vertical="center" wrapText="1"/>
    </xf>
    <xf numFmtId="0" fontId="29" fillId="11" borderId="22" xfId="0" applyFont="1" applyFill="1" applyBorder="1" applyAlignment="1">
      <alignment horizontal="center" vertical="center" wrapText="1"/>
    </xf>
    <xf numFmtId="0" fontId="29" fillId="11" borderId="70" xfId="0" applyFont="1" applyFill="1" applyBorder="1" applyAlignment="1">
      <alignment horizontal="center" vertical="center" wrapText="1"/>
    </xf>
    <xf numFmtId="0" fontId="29" fillId="11" borderId="31" xfId="0" applyFont="1" applyFill="1" applyBorder="1" applyAlignment="1">
      <alignment horizontal="center" vertical="center" wrapText="1"/>
    </xf>
    <xf numFmtId="0" fontId="29" fillId="11" borderId="129" xfId="0" applyFont="1" applyFill="1" applyBorder="1" applyAlignment="1">
      <alignment horizontal="center" vertical="center" wrapText="1"/>
    </xf>
    <xf numFmtId="0" fontId="29" fillId="11" borderId="141" xfId="0" applyFont="1" applyFill="1" applyBorder="1" applyAlignment="1">
      <alignment horizontal="center" vertical="center" wrapText="1"/>
    </xf>
    <xf numFmtId="0" fontId="29" fillId="11" borderId="130" xfId="0" applyFont="1" applyFill="1" applyBorder="1" applyAlignment="1">
      <alignment horizontal="center" vertical="center" wrapText="1"/>
    </xf>
    <xf numFmtId="0" fontId="29" fillId="0" borderId="50" xfId="0" applyFont="1" applyBorder="1" applyAlignment="1">
      <alignment horizontal="left" vertical="center"/>
    </xf>
    <xf numFmtId="0" fontId="31" fillId="0" borderId="8" xfId="0" applyFont="1" applyBorder="1" applyAlignment="1">
      <alignment horizontal="left"/>
    </xf>
    <xf numFmtId="0" fontId="29" fillId="0" borderId="164" xfId="0" applyFont="1" applyBorder="1" applyAlignment="1">
      <alignment horizontal="center" vertical="center" wrapText="1"/>
    </xf>
    <xf numFmtId="0" fontId="29" fillId="0" borderId="80" xfId="0" applyFont="1" applyBorder="1" applyAlignment="1">
      <alignment horizontal="center" vertical="center" wrapText="1"/>
    </xf>
    <xf numFmtId="0" fontId="29" fillId="0" borderId="177" xfId="0" applyFont="1" applyBorder="1" applyAlignment="1">
      <alignment horizontal="center" vertical="center" wrapText="1"/>
    </xf>
    <xf numFmtId="0" fontId="29" fillId="0" borderId="17" xfId="0" applyFont="1" applyBorder="1" applyAlignment="1">
      <alignment horizontal="center" vertical="center" wrapText="1"/>
    </xf>
    <xf numFmtId="0" fontId="29" fillId="0" borderId="381" xfId="0" applyFont="1" applyBorder="1" applyAlignment="1">
      <alignment horizontal="center" vertical="center" wrapText="1"/>
    </xf>
    <xf numFmtId="0" fontId="29" fillId="0" borderId="382" xfId="0" applyFont="1" applyBorder="1" applyAlignment="1">
      <alignment horizontal="center" vertical="center" wrapText="1"/>
    </xf>
    <xf numFmtId="0" fontId="29" fillId="0" borderId="298" xfId="0" applyFont="1" applyBorder="1" applyAlignment="1">
      <alignment horizontal="center" vertical="center" wrapText="1"/>
    </xf>
    <xf numFmtId="0" fontId="29" fillId="0" borderId="141" xfId="0" applyFont="1" applyBorder="1" applyAlignment="1">
      <alignment horizontal="center" vertical="center" wrapText="1"/>
    </xf>
    <xf numFmtId="0" fontId="29" fillId="0" borderId="19" xfId="0" applyFont="1" applyBorder="1" applyAlignment="1">
      <alignment horizontal="center" vertical="center" wrapText="1"/>
    </xf>
    <xf numFmtId="0" fontId="31" fillId="0" borderId="16" xfId="34" applyFont="1" applyBorder="1" applyAlignment="1">
      <alignment horizontal="left" vertical="center" wrapText="1"/>
    </xf>
    <xf numFmtId="0" fontId="31" fillId="0" borderId="14" xfId="34" applyFont="1" applyBorder="1" applyAlignment="1">
      <alignment horizontal="left" vertical="center" wrapText="1"/>
    </xf>
    <xf numFmtId="164" fontId="29" fillId="0" borderId="18" xfId="45" applyNumberFormat="1" applyFont="1" applyBorder="1" applyAlignment="1" applyProtection="1">
      <alignment horizontal="center" vertical="center"/>
    </xf>
    <xf numFmtId="164" fontId="29" fillId="0" borderId="15" xfId="45" applyNumberFormat="1" applyFont="1" applyBorder="1" applyAlignment="1" applyProtection="1">
      <alignment horizontal="center" vertical="center"/>
    </xf>
    <xf numFmtId="164" fontId="29" fillId="0" borderId="108" xfId="45" applyNumberFormat="1" applyFont="1" applyBorder="1" applyAlignment="1" applyProtection="1">
      <alignment horizontal="center" vertical="center" wrapText="1"/>
    </xf>
    <xf numFmtId="164" fontId="29" fillId="0" borderId="9" xfId="45" applyNumberFormat="1" applyFont="1" applyBorder="1" applyAlignment="1" applyProtection="1">
      <alignment horizontal="center" vertical="center" wrapText="1"/>
    </xf>
    <xf numFmtId="164" fontId="29" fillId="0" borderId="27" xfId="45" applyNumberFormat="1" applyFont="1" applyBorder="1" applyAlignment="1" applyProtection="1">
      <alignment horizontal="center" vertical="center" wrapText="1"/>
    </xf>
    <xf numFmtId="164" fontId="29" fillId="0" borderId="6" xfId="33" applyNumberFormat="1" applyFont="1" applyBorder="1" applyAlignment="1">
      <alignment horizontal="center" vertical="center"/>
    </xf>
    <xf numFmtId="164" fontId="29" fillId="0" borderId="20" xfId="33" applyNumberFormat="1" applyFont="1" applyBorder="1" applyAlignment="1">
      <alignment horizontal="center" vertical="center"/>
    </xf>
    <xf numFmtId="0" fontId="31" fillId="0" borderId="6" xfId="34" applyFont="1" applyBorder="1" applyAlignment="1">
      <alignment horizontal="left" vertical="center" wrapText="1"/>
    </xf>
    <xf numFmtId="0" fontId="31" fillId="0" borderId="8" xfId="34" applyFont="1" applyBorder="1" applyAlignment="1">
      <alignment horizontal="left" vertical="center" wrapText="1"/>
    </xf>
    <xf numFmtId="164" fontId="29" fillId="0" borderId="7" xfId="45" applyNumberFormat="1" applyFont="1" applyBorder="1" applyAlignment="1" applyProtection="1">
      <alignment horizontal="center" vertical="center" wrapText="1"/>
    </xf>
    <xf numFmtId="164" fontId="29" fillId="0" borderId="27" xfId="45" applyNumberFormat="1" applyFont="1" applyBorder="1" applyAlignment="1" applyProtection="1">
      <alignment horizontal="center" vertical="center"/>
    </xf>
    <xf numFmtId="164" fontId="29" fillId="0" borderId="16" xfId="45" applyNumberFormat="1" applyFont="1" applyBorder="1" applyAlignment="1" applyProtection="1">
      <alignment horizontal="center" vertical="center"/>
    </xf>
    <xf numFmtId="164" fontId="29" fillId="0" borderId="36" xfId="45" applyNumberFormat="1" applyFont="1" applyBorder="1" applyAlignment="1" applyProtection="1">
      <alignment horizontal="center" vertical="center"/>
    </xf>
    <xf numFmtId="1" fontId="29" fillId="0" borderId="690" xfId="0" applyNumberFormat="1" applyFont="1" applyBorder="1" applyAlignment="1">
      <alignment horizontal="center" vertical="center" wrapText="1"/>
    </xf>
    <xf numFmtId="1" fontId="29" fillId="0" borderId="691" xfId="0" applyNumberFormat="1" applyFont="1" applyBorder="1" applyAlignment="1">
      <alignment horizontal="center" vertical="center" wrapText="1"/>
    </xf>
    <xf numFmtId="0" fontId="31" fillId="0" borderId="9" xfId="34" applyFont="1" applyBorder="1" applyAlignment="1">
      <alignment horizontal="left" vertical="center" wrapText="1"/>
    </xf>
    <xf numFmtId="0" fontId="31" fillId="0" borderId="0" xfId="34" applyFont="1" applyAlignment="1">
      <alignment horizontal="left" vertical="center" wrapText="1"/>
    </xf>
    <xf numFmtId="164" fontId="29" fillId="0" borderId="133" xfId="33" applyNumberFormat="1" applyFont="1" applyBorder="1" applyAlignment="1">
      <alignment horizontal="center" vertical="center"/>
    </xf>
    <xf numFmtId="164" fontId="29" fillId="0" borderId="134" xfId="33" applyNumberFormat="1" applyFont="1" applyBorder="1" applyAlignment="1">
      <alignment horizontal="center" vertical="center"/>
    </xf>
    <xf numFmtId="0" fontId="29" fillId="0" borderId="410" xfId="0" applyFont="1" applyBorder="1" applyAlignment="1">
      <alignment horizontal="center" vertical="center" wrapText="1"/>
    </xf>
    <xf numFmtId="0" fontId="29" fillId="0" borderId="416" xfId="0" applyFont="1" applyBorder="1" applyAlignment="1">
      <alignment horizontal="center" vertical="center" wrapText="1"/>
    </xf>
    <xf numFmtId="0" fontId="29" fillId="0" borderId="437" xfId="0" applyFont="1" applyBorder="1" applyAlignment="1">
      <alignment horizontal="center" vertical="center" wrapText="1"/>
    </xf>
    <xf numFmtId="0" fontId="29" fillId="0" borderId="439" xfId="0" applyFont="1" applyBorder="1" applyAlignment="1">
      <alignment horizontal="center" vertical="center" wrapText="1"/>
    </xf>
    <xf numFmtId="164" fontId="29" fillId="0" borderId="19" xfId="45" applyNumberFormat="1" applyFont="1" applyBorder="1" applyAlignment="1" applyProtection="1">
      <alignment horizontal="center" vertical="center"/>
    </xf>
    <xf numFmtId="164" fontId="29" fillId="0" borderId="6" xfId="45" applyNumberFormat="1" applyFont="1" applyBorder="1" applyAlignment="1" applyProtection="1">
      <alignment horizontal="center" vertical="center"/>
    </xf>
    <xf numFmtId="164" fontId="29" fillId="0" borderId="8" xfId="45" applyNumberFormat="1" applyFont="1" applyBorder="1" applyAlignment="1" applyProtection="1">
      <alignment horizontal="center" vertical="center"/>
    </xf>
    <xf numFmtId="164" fontId="29" fillId="0" borderId="7" xfId="45" applyNumberFormat="1" applyFont="1" applyBorder="1" applyAlignment="1" applyProtection="1">
      <alignment horizontal="center" vertical="center"/>
    </xf>
    <xf numFmtId="0" fontId="31" fillId="11" borderId="8" xfId="0" applyFont="1" applyFill="1" applyBorder="1" applyAlignment="1">
      <alignment horizontal="left" vertical="center"/>
    </xf>
    <xf numFmtId="1" fontId="29" fillId="11" borderId="18" xfId="0" applyNumberFormat="1" applyFont="1" applyFill="1" applyBorder="1" applyAlignment="1" applyProtection="1">
      <alignment horizontal="center" vertical="center" wrapText="1"/>
      <protection hidden="1"/>
    </xf>
    <xf numFmtId="1" fontId="29" fillId="11" borderId="15" xfId="0" applyNumberFormat="1" applyFont="1" applyFill="1" applyBorder="1" applyAlignment="1" applyProtection="1">
      <alignment horizontal="center" vertical="center" wrapText="1"/>
      <protection hidden="1"/>
    </xf>
    <xf numFmtId="164" fontId="29" fillId="0" borderId="7" xfId="33" applyNumberFormat="1" applyFont="1" applyBorder="1" applyAlignment="1">
      <alignment horizontal="center" vertical="center"/>
    </xf>
    <xf numFmtId="164" fontId="29" fillId="0" borderId="2" xfId="33" applyNumberFormat="1" applyFont="1" applyBorder="1" applyAlignment="1">
      <alignment horizontal="center" vertical="center"/>
    </xf>
    <xf numFmtId="0" fontId="31" fillId="0" borderId="9" xfId="40" applyFont="1" applyBorder="1" applyAlignment="1" applyProtection="1">
      <alignment horizontal="left" vertical="center"/>
    </xf>
    <xf numFmtId="0" fontId="29" fillId="0" borderId="447" xfId="0" applyFont="1" applyBorder="1" applyAlignment="1">
      <alignment horizontal="center" vertical="center" wrapText="1"/>
    </xf>
    <xf numFmtId="0" fontId="29" fillId="0" borderId="453" xfId="0" applyFont="1" applyBorder="1" applyAlignment="1">
      <alignment horizontal="center" vertical="center" wrapText="1"/>
    </xf>
    <xf numFmtId="0" fontId="29" fillId="11" borderId="6" xfId="0" applyFont="1" applyFill="1" applyBorder="1" applyAlignment="1">
      <alignment horizontal="center" vertical="center" wrapText="1"/>
    </xf>
    <xf numFmtId="0" fontId="29" fillId="11" borderId="8" xfId="0" applyFont="1" applyFill="1" applyBorder="1" applyAlignment="1">
      <alignment horizontal="center" vertical="center" wrapText="1"/>
    </xf>
    <xf numFmtId="0" fontId="29" fillId="11" borderId="149" xfId="0" applyFont="1" applyFill="1" applyBorder="1" applyAlignment="1">
      <alignment horizontal="center" vertical="center" wrapText="1"/>
    </xf>
    <xf numFmtId="0" fontId="29" fillId="0" borderId="690" xfId="0" applyFont="1" applyBorder="1" applyAlignment="1">
      <alignment horizontal="center" vertical="center" wrapText="1"/>
    </xf>
    <xf numFmtId="0" fontId="29" fillId="0" borderId="691" xfId="0" applyFont="1" applyBorder="1" applyAlignment="1">
      <alignment horizontal="center" vertical="center" wrapText="1"/>
    </xf>
    <xf numFmtId="0" fontId="29" fillId="11" borderId="2" xfId="0" applyFont="1" applyFill="1" applyBorder="1" applyAlignment="1">
      <alignment horizontal="center" vertical="center" wrapText="1"/>
    </xf>
    <xf numFmtId="0" fontId="29" fillId="11" borderId="7" xfId="0" applyFont="1" applyFill="1" applyBorder="1" applyAlignment="1">
      <alignment horizontal="center" vertical="center" wrapText="1"/>
    </xf>
    <xf numFmtId="0" fontId="31" fillId="0" borderId="8" xfId="0" applyFont="1" applyBorder="1" applyAlignment="1">
      <alignment horizontal="left" vertical="center"/>
    </xf>
    <xf numFmtId="0" fontId="29" fillId="0" borderId="90" xfId="0" applyFont="1" applyBorder="1" applyAlignment="1">
      <alignment horizontal="center" vertical="center"/>
    </xf>
    <xf numFmtId="0" fontId="29" fillId="0" borderId="83" xfId="0" applyFont="1" applyBorder="1" applyAlignment="1">
      <alignment horizontal="center" vertical="center"/>
    </xf>
    <xf numFmtId="0" fontId="29" fillId="0" borderId="35" xfId="0" applyFont="1" applyBorder="1" applyAlignment="1">
      <alignment horizontal="center" vertical="center"/>
    </xf>
    <xf numFmtId="0" fontId="29" fillId="0" borderId="384" xfId="0" applyFont="1" applyBorder="1" applyAlignment="1">
      <alignment horizontal="center" vertical="center" wrapText="1"/>
    </xf>
    <xf numFmtId="0" fontId="29" fillId="0" borderId="339" xfId="0" applyFont="1" applyBorder="1" applyAlignment="1">
      <alignment horizontal="center" vertical="center" wrapText="1"/>
    </xf>
    <xf numFmtId="0" fontId="29" fillId="0" borderId="328" xfId="0" applyFont="1" applyBorder="1" applyAlignment="1">
      <alignment horizontal="center" vertical="center" wrapText="1"/>
    </xf>
    <xf numFmtId="0" fontId="29" fillId="0" borderId="327" xfId="0" applyFont="1" applyBorder="1" applyAlignment="1">
      <alignment horizontal="center" vertical="center"/>
    </xf>
    <xf numFmtId="0" fontId="29" fillId="0" borderId="384" xfId="0" applyFont="1" applyBorder="1" applyAlignment="1">
      <alignment horizontal="center" wrapText="1"/>
    </xf>
    <xf numFmtId="0" fontId="29" fillId="0" borderId="327" xfId="0" applyFont="1" applyBorder="1" applyAlignment="1">
      <alignment horizontal="center" wrapText="1"/>
    </xf>
    <xf numFmtId="0" fontId="29" fillId="0" borderId="463" xfId="0" applyFont="1" applyBorder="1" applyAlignment="1">
      <alignment horizontal="center" vertical="center"/>
    </xf>
    <xf numFmtId="0" fontId="29" fillId="0" borderId="153" xfId="0" applyFont="1" applyBorder="1" applyAlignment="1">
      <alignment horizontal="center" vertical="center"/>
    </xf>
    <xf numFmtId="0" fontId="29" fillId="0" borderId="487" xfId="0" applyFont="1" applyBorder="1" applyAlignment="1">
      <alignment horizontal="center" vertical="center" wrapText="1"/>
    </xf>
    <xf numFmtId="0" fontId="29" fillId="0" borderId="200" xfId="0" applyFont="1" applyBorder="1" applyAlignment="1">
      <alignment horizontal="center" vertical="center" wrapText="1"/>
    </xf>
    <xf numFmtId="0" fontId="29" fillId="0" borderId="680" xfId="0" applyFont="1" applyBorder="1" applyAlignment="1">
      <alignment horizontal="center" vertical="center" wrapText="1"/>
    </xf>
    <xf numFmtId="0" fontId="30" fillId="0" borderId="18" xfId="0" applyFont="1" applyBorder="1" applyAlignment="1">
      <alignment horizontal="center" vertical="center"/>
    </xf>
    <xf numFmtId="0" fontId="30" fillId="0" borderId="15" xfId="0" applyFont="1" applyBorder="1" applyAlignment="1">
      <alignment horizontal="center" vertical="center"/>
    </xf>
    <xf numFmtId="0" fontId="30" fillId="0" borderId="19" xfId="0" applyFont="1" applyBorder="1" applyAlignment="1">
      <alignment horizontal="center" vertical="center"/>
    </xf>
    <xf numFmtId="0" fontId="31" fillId="0" borderId="221" xfId="0" applyFont="1" applyBorder="1" applyAlignment="1">
      <alignment horizontal="left"/>
    </xf>
    <xf numFmtId="1" fontId="25" fillId="0" borderId="90" xfId="0" applyNumberFormat="1" applyFont="1" applyBorder="1" applyAlignment="1">
      <alignment horizontal="center" vertical="center" wrapText="1"/>
    </xf>
    <xf numFmtId="1" fontId="25" fillId="0" borderId="184" xfId="0" applyNumberFormat="1" applyFont="1" applyBorder="1" applyAlignment="1">
      <alignment horizontal="center" vertical="center" wrapText="1"/>
    </xf>
    <xf numFmtId="1" fontId="25" fillId="0" borderId="147" xfId="0" applyNumberFormat="1" applyFont="1" applyBorder="1" applyAlignment="1">
      <alignment horizontal="center" vertical="center" wrapText="1"/>
    </xf>
    <xf numFmtId="1" fontId="25" fillId="0" borderId="83" xfId="0" applyNumberFormat="1" applyFont="1" applyBorder="1" applyAlignment="1">
      <alignment horizontal="center" vertical="center" wrapText="1"/>
    </xf>
    <xf numFmtId="1" fontId="25" fillId="0" borderId="0" xfId="0" applyNumberFormat="1" applyFont="1" applyAlignment="1">
      <alignment horizontal="center" vertical="center" wrapText="1"/>
    </xf>
    <xf numFmtId="1" fontId="25" fillId="0" borderId="79" xfId="0" applyNumberFormat="1" applyFont="1" applyBorder="1" applyAlignment="1">
      <alignment horizontal="center" vertical="center" wrapText="1"/>
    </xf>
    <xf numFmtId="1" fontId="29" fillId="0" borderId="347" xfId="0" applyNumberFormat="1" applyFont="1" applyBorder="1" applyAlignment="1">
      <alignment horizontal="center" vertical="center"/>
    </xf>
    <xf numFmtId="1" fontId="29" fillId="0" borderId="347" xfId="0" applyNumberFormat="1" applyFont="1" applyBorder="1" applyAlignment="1">
      <alignment horizontal="center" vertical="center" wrapText="1"/>
    </xf>
    <xf numFmtId="1" fontId="29" fillId="0" borderId="346" xfId="0" applyNumberFormat="1" applyFont="1" applyBorder="1" applyAlignment="1">
      <alignment horizontal="center" vertical="center" wrapText="1"/>
    </xf>
    <xf numFmtId="0" fontId="29" fillId="0" borderId="0" xfId="0" applyFont="1" applyAlignment="1">
      <alignment horizontal="center" wrapText="1"/>
    </xf>
    <xf numFmtId="0" fontId="0" fillId="0" borderId="0" xfId="0" applyAlignment="1">
      <alignment horizontal="center" vertical="center" wrapText="1"/>
    </xf>
    <xf numFmtId="0" fontId="29" fillId="0" borderId="147" xfId="0" applyFont="1" applyBorder="1" applyAlignment="1">
      <alignment horizontal="center" vertical="center"/>
    </xf>
    <xf numFmtId="0" fontId="29" fillId="0" borderId="60" xfId="0" applyFont="1" applyBorder="1" applyAlignment="1">
      <alignment horizontal="center" vertical="center"/>
    </xf>
    <xf numFmtId="1" fontId="29" fillId="0" borderId="221" xfId="0" applyNumberFormat="1" applyFont="1" applyBorder="1" applyAlignment="1">
      <alignment horizontal="center" vertical="center" wrapText="1"/>
    </xf>
    <xf numFmtId="0" fontId="29" fillId="0" borderId="108" xfId="0" applyFont="1" applyBorder="1" applyAlignment="1">
      <alignment horizontal="center" wrapText="1"/>
    </xf>
    <xf numFmtId="0" fontId="29" fillId="0" borderId="27" xfId="0" applyFont="1" applyBorder="1" applyAlignment="1">
      <alignment horizontal="center" wrapText="1"/>
    </xf>
    <xf numFmtId="0" fontId="29" fillId="0" borderId="16" xfId="0" applyFont="1" applyBorder="1" applyAlignment="1">
      <alignment horizontal="center" wrapText="1"/>
    </xf>
    <xf numFmtId="0" fontId="29" fillId="0" borderId="36" xfId="0" applyFont="1" applyBorder="1" applyAlignment="1">
      <alignment horizontal="center" wrapText="1"/>
    </xf>
    <xf numFmtId="0" fontId="31" fillId="0" borderId="14" xfId="0" applyFont="1" applyBorder="1"/>
    <xf numFmtId="0" fontId="29" fillId="0" borderId="733" xfId="0" applyFont="1" applyBorder="1" applyAlignment="1">
      <alignment horizontal="center" vertical="center" wrapText="1"/>
    </xf>
    <xf numFmtId="1" fontId="29" fillId="7" borderId="21" xfId="0" applyNumberFormat="1" applyFont="1" applyFill="1" applyBorder="1" applyAlignment="1">
      <alignment horizontal="center" vertical="center" wrapText="1"/>
    </xf>
    <xf numFmtId="1" fontId="29" fillId="7" borderId="30" xfId="0" applyNumberFormat="1" applyFont="1" applyFill="1" applyBorder="1" applyAlignment="1">
      <alignment horizontal="center" vertical="center" wrapText="1"/>
    </xf>
    <xf numFmtId="1" fontId="29" fillId="7" borderId="728" xfId="0" applyNumberFormat="1" applyFont="1" applyFill="1" applyBorder="1" applyAlignment="1">
      <alignment horizontal="center" vertical="center" wrapText="1"/>
    </xf>
    <xf numFmtId="1" fontId="29" fillId="7" borderId="731" xfId="0" applyNumberFormat="1" applyFont="1" applyFill="1" applyBorder="1" applyAlignment="1">
      <alignment horizontal="center" vertical="center" wrapText="1"/>
    </xf>
    <xf numFmtId="0" fontId="31" fillId="11" borderId="14" xfId="0" applyFont="1" applyFill="1" applyBorder="1"/>
    <xf numFmtId="0" fontId="31" fillId="11" borderId="0" xfId="0" applyFont="1" applyFill="1"/>
    <xf numFmtId="1" fontId="29" fillId="7" borderId="727" xfId="0" applyNumberFormat="1" applyFont="1" applyFill="1" applyBorder="1" applyAlignment="1">
      <alignment horizontal="center" vertical="center" wrapText="1"/>
    </xf>
    <xf numFmtId="0" fontId="29" fillId="0" borderId="129" xfId="0" applyFont="1" applyBorder="1" applyAlignment="1">
      <alignment horizontal="center"/>
    </xf>
    <xf numFmtId="0" fontId="29" fillId="0" borderId="9" xfId="0" applyFont="1" applyBorder="1" applyAlignment="1">
      <alignment horizontal="center"/>
    </xf>
    <xf numFmtId="0" fontId="29" fillId="0" borderId="212" xfId="0" applyFont="1" applyBorder="1" applyAlignment="1">
      <alignment horizontal="center"/>
    </xf>
    <xf numFmtId="1" fontId="29" fillId="7" borderId="729" xfId="0" applyNumberFormat="1" applyFont="1" applyFill="1" applyBorder="1" applyAlignment="1">
      <alignment horizontal="center" vertical="center" wrapText="1"/>
    </xf>
    <xf numFmtId="1" fontId="29" fillId="7" borderId="404" xfId="0" applyNumberFormat="1" applyFont="1" applyFill="1" applyBorder="1" applyAlignment="1">
      <alignment horizontal="center" vertical="center" wrapText="1"/>
    </xf>
    <xf numFmtId="1" fontId="29" fillId="7" borderId="730" xfId="0" applyNumberFormat="1" applyFont="1" applyFill="1" applyBorder="1" applyAlignment="1">
      <alignment horizontal="center" vertical="center" wrapText="1"/>
    </xf>
    <xf numFmtId="1" fontId="29" fillId="7" borderId="732" xfId="0" applyNumberFormat="1" applyFont="1" applyFill="1" applyBorder="1" applyAlignment="1">
      <alignment horizontal="center" vertical="center" wrapText="1"/>
    </xf>
    <xf numFmtId="1" fontId="29" fillId="7" borderId="86" xfId="0" applyNumberFormat="1" applyFont="1" applyFill="1" applyBorder="1" applyAlignment="1">
      <alignment horizontal="center" vertical="center" wrapText="1"/>
    </xf>
    <xf numFmtId="0" fontId="31" fillId="11" borderId="8" xfId="0" applyFont="1" applyFill="1" applyBorder="1"/>
    <xf numFmtId="0" fontId="31" fillId="11" borderId="9" xfId="0" applyFont="1" applyFill="1" applyBorder="1"/>
    <xf numFmtId="1" fontId="29" fillId="7" borderId="262" xfId="0" applyNumberFormat="1" applyFont="1" applyFill="1" applyBorder="1" applyAlignment="1">
      <alignment horizontal="center" vertical="center" wrapText="1"/>
    </xf>
    <xf numFmtId="1" fontId="29" fillId="7" borderId="186" xfId="0" applyNumberFormat="1" applyFont="1" applyFill="1" applyBorder="1" applyAlignment="1">
      <alignment horizontal="center" vertical="center" wrapText="1"/>
    </xf>
    <xf numFmtId="0" fontId="29" fillId="11" borderId="108" xfId="0" applyFont="1" applyFill="1" applyBorder="1" applyAlignment="1">
      <alignment horizontal="center" vertical="center"/>
    </xf>
    <xf numFmtId="0" fontId="29" fillId="11" borderId="9" xfId="0" applyFont="1" applyFill="1" applyBorder="1" applyAlignment="1">
      <alignment horizontal="center" vertical="center"/>
    </xf>
    <xf numFmtId="0" fontId="29" fillId="11" borderId="27" xfId="0" applyFont="1" applyFill="1" applyBorder="1" applyAlignment="1">
      <alignment horizontal="center" vertical="center"/>
    </xf>
    <xf numFmtId="0" fontId="29" fillId="11" borderId="16" xfId="0" applyFont="1" applyFill="1" applyBorder="1" applyAlignment="1">
      <alignment horizontal="center" vertical="center"/>
    </xf>
    <xf numFmtId="0" fontId="29" fillId="11" borderId="14" xfId="0" applyFont="1" applyFill="1" applyBorder="1" applyAlignment="1">
      <alignment horizontal="center" vertical="center"/>
    </xf>
    <xf numFmtId="0" fontId="29" fillId="11" borderId="36" xfId="0" applyFont="1" applyFill="1" applyBorder="1" applyAlignment="1">
      <alignment horizontal="center" vertical="center"/>
    </xf>
    <xf numFmtId="0" fontId="29" fillId="11" borderId="108" xfId="0" applyFont="1" applyFill="1" applyBorder="1" applyAlignment="1">
      <alignment horizontal="center" wrapText="1"/>
    </xf>
    <xf numFmtId="0" fontId="29" fillId="11" borderId="212" xfId="0" applyFont="1" applyFill="1" applyBorder="1" applyAlignment="1">
      <alignment horizontal="center" wrapText="1"/>
    </xf>
    <xf numFmtId="0" fontId="29" fillId="11" borderId="16" xfId="0" applyFont="1" applyFill="1" applyBorder="1" applyAlignment="1">
      <alignment horizontal="center" wrapText="1"/>
    </xf>
    <xf numFmtId="0" fontId="29" fillId="11" borderId="14" xfId="0" applyFont="1" applyFill="1" applyBorder="1" applyAlignment="1">
      <alignment horizontal="center" wrapText="1"/>
    </xf>
    <xf numFmtId="0" fontId="29" fillId="11" borderId="156" xfId="0" applyFont="1" applyFill="1" applyBorder="1" applyAlignment="1">
      <alignment horizontal="center" wrapText="1"/>
    </xf>
    <xf numFmtId="1" fontId="29" fillId="7" borderId="381" xfId="0" applyNumberFormat="1" applyFont="1" applyFill="1" applyBorder="1" applyAlignment="1">
      <alignment horizontal="center" vertical="center" wrapText="1"/>
    </xf>
    <xf numFmtId="1" fontId="29" fillId="7" borderId="298" xfId="0" applyNumberFormat="1" applyFont="1" applyFill="1" applyBorder="1" applyAlignment="1">
      <alignment horizontal="center" vertical="center" wrapText="1"/>
    </xf>
    <xf numFmtId="0" fontId="29" fillId="0" borderId="6" xfId="0" applyFont="1" applyBorder="1" applyAlignment="1">
      <alignment horizontal="center" wrapText="1"/>
    </xf>
    <xf numFmtId="0" fontId="29" fillId="0" borderId="8" xfId="0" applyFont="1" applyBorder="1" applyAlignment="1">
      <alignment horizontal="center" wrapText="1"/>
    </xf>
    <xf numFmtId="0" fontId="29" fillId="0" borderId="7" xfId="0" applyFont="1" applyBorder="1" applyAlignment="1">
      <alignment horizontal="center" wrapText="1"/>
    </xf>
    <xf numFmtId="0" fontId="29" fillId="0" borderId="134" xfId="0" applyFont="1" applyBorder="1" applyAlignment="1">
      <alignment horizontal="center" wrapText="1"/>
    </xf>
    <xf numFmtId="1" fontId="29" fillId="11" borderId="13" xfId="0" applyNumberFormat="1" applyFont="1" applyFill="1" applyBorder="1" applyAlignment="1">
      <alignment horizontal="center" vertical="center" wrapText="1"/>
    </xf>
    <xf numFmtId="0" fontId="29" fillId="11" borderId="2" xfId="0" applyFont="1" applyFill="1" applyBorder="1" applyAlignment="1">
      <alignment horizontal="center" vertical="center"/>
    </xf>
    <xf numFmtId="0" fontId="29" fillId="30" borderId="2" xfId="0" applyFont="1" applyFill="1" applyBorder="1" applyAlignment="1">
      <alignment horizontal="center" vertical="center" wrapText="1"/>
    </xf>
    <xf numFmtId="1" fontId="29" fillId="7" borderId="20" xfId="0" applyNumberFormat="1" applyFont="1" applyFill="1" applyBorder="1" applyAlignment="1">
      <alignment horizontal="center"/>
    </xf>
    <xf numFmtId="0" fontId="29" fillId="0" borderId="134" xfId="0" applyFont="1" applyBorder="1" applyAlignment="1">
      <alignment horizontal="center"/>
    </xf>
    <xf numFmtId="0" fontId="29" fillId="11" borderId="2" xfId="0" applyFont="1" applyFill="1" applyBorder="1" applyAlignment="1">
      <alignment horizontal="center" wrapText="1"/>
    </xf>
    <xf numFmtId="0" fontId="29" fillId="11" borderId="134" xfId="0" applyFont="1" applyFill="1" applyBorder="1" applyAlignment="1">
      <alignment horizontal="center" wrapText="1"/>
    </xf>
    <xf numFmtId="0" fontId="29" fillId="30" borderId="18" xfId="0" applyFont="1" applyFill="1" applyBorder="1" applyAlignment="1">
      <alignment vertical="center" wrapText="1"/>
    </xf>
    <xf numFmtId="1" fontId="27" fillId="11" borderId="0" xfId="0" applyNumberFormat="1" applyFont="1" applyFill="1" applyAlignment="1">
      <alignment horizontal="center" vertical="center" wrapText="1"/>
    </xf>
    <xf numFmtId="0" fontId="29" fillId="11" borderId="18" xfId="0" applyFont="1" applyFill="1" applyBorder="1" applyAlignment="1">
      <alignment horizontal="center" vertical="center"/>
    </xf>
    <xf numFmtId="0" fontId="29" fillId="11" borderId="6" xfId="0" applyFont="1" applyFill="1" applyBorder="1" applyAlignment="1">
      <alignment horizontal="center" wrapText="1"/>
    </xf>
    <xf numFmtId="0" fontId="16" fillId="0" borderId="6" xfId="0" applyFont="1" applyBorder="1" applyAlignment="1" applyProtection="1">
      <alignment horizontal="center" vertical="center"/>
      <protection hidden="1"/>
    </xf>
    <xf numFmtId="0" fontId="16" fillId="0" borderId="8" xfId="0" applyFont="1" applyBorder="1" applyAlignment="1" applyProtection="1">
      <alignment horizontal="center" vertical="center"/>
      <protection hidden="1"/>
    </xf>
    <xf numFmtId="0" fontId="16" fillId="0" borderId="7" xfId="0" applyFont="1" applyBorder="1" applyAlignment="1" applyProtection="1">
      <alignment horizontal="center" vertical="center"/>
      <protection hidden="1"/>
    </xf>
    <xf numFmtId="0" fontId="66" fillId="8" borderId="6" xfId="0" applyFont="1" applyFill="1" applyBorder="1" applyAlignment="1">
      <alignment horizontal="center" vertical="center" wrapText="1"/>
    </xf>
    <xf numFmtId="0" fontId="66" fillId="8" borderId="8" xfId="0" applyFont="1" applyFill="1" applyBorder="1" applyAlignment="1">
      <alignment horizontal="center" vertical="center" wrapText="1"/>
    </xf>
    <xf numFmtId="0" fontId="66" fillId="8" borderId="7" xfId="0" applyFont="1" applyFill="1" applyBorder="1" applyAlignment="1">
      <alignment horizontal="center" vertical="center" wrapText="1"/>
    </xf>
    <xf numFmtId="0" fontId="67" fillId="8" borderId="108" xfId="0" applyFont="1" applyFill="1" applyBorder="1" applyAlignment="1" applyProtection="1">
      <alignment horizontal="center" vertical="center" wrapText="1"/>
      <protection hidden="1"/>
    </xf>
    <xf numFmtId="0" fontId="67" fillId="8" borderId="9" xfId="0" applyFont="1" applyFill="1" applyBorder="1" applyAlignment="1" applyProtection="1">
      <alignment horizontal="center" vertical="center" wrapText="1"/>
      <protection hidden="1"/>
    </xf>
    <xf numFmtId="0" fontId="67" fillId="8" borderId="27" xfId="0" applyFont="1" applyFill="1" applyBorder="1" applyAlignment="1" applyProtection="1">
      <alignment horizontal="center" vertical="center" wrapText="1"/>
      <protection hidden="1"/>
    </xf>
    <xf numFmtId="0" fontId="67" fillId="8" borderId="16" xfId="0" applyFont="1" applyFill="1" applyBorder="1" applyAlignment="1" applyProtection="1">
      <alignment horizontal="center" vertical="center" wrapText="1"/>
      <protection hidden="1"/>
    </xf>
    <xf numFmtId="0" fontId="67" fillId="8" borderId="14" xfId="0" applyFont="1" applyFill="1" applyBorder="1" applyAlignment="1" applyProtection="1">
      <alignment horizontal="center" vertical="center" wrapText="1"/>
      <protection hidden="1"/>
    </xf>
    <xf numFmtId="0" fontId="67" fillId="8" borderId="36" xfId="0" applyFont="1" applyFill="1" applyBorder="1" applyAlignment="1" applyProtection="1">
      <alignment horizontal="center" vertical="center" wrapText="1"/>
      <protection hidden="1"/>
    </xf>
  </cellXfs>
  <cellStyles count="154">
    <cellStyle name="20% - Énfasis1" xfId="1" builtinId="30"/>
    <cellStyle name="Bueno" xfId="2" builtinId="26"/>
    <cellStyle name="Celda de comprobación" xfId="3" builtinId="23"/>
    <cellStyle name="Escribir 2" xfId="4" xr:uid="{00000000-0005-0000-0000-000003000000}"/>
    <cellStyle name="Escribir 2 11" xfId="5" xr:uid="{00000000-0005-0000-0000-000004000000}"/>
    <cellStyle name="Escribir 2 11 2" xfId="6" xr:uid="{00000000-0005-0000-0000-000005000000}"/>
    <cellStyle name="Escribir 2 11 3" xfId="7" xr:uid="{00000000-0005-0000-0000-000006000000}"/>
    <cellStyle name="Escribir 2 11 4" xfId="8" xr:uid="{00000000-0005-0000-0000-000007000000}"/>
    <cellStyle name="Escribir 2 2" xfId="9" xr:uid="{00000000-0005-0000-0000-000008000000}"/>
    <cellStyle name="Escribir 2 2 2" xfId="10" xr:uid="{00000000-0005-0000-0000-000009000000}"/>
    <cellStyle name="Escribir 2 2 3" xfId="11" xr:uid="{00000000-0005-0000-0000-00000A000000}"/>
    <cellStyle name="Escribir 2 2 4" xfId="12" xr:uid="{00000000-0005-0000-0000-00000B000000}"/>
    <cellStyle name="Escribir 2 2 5" xfId="13" xr:uid="{00000000-0005-0000-0000-00000C000000}"/>
    <cellStyle name="Escribir 2 2 6" xfId="14" xr:uid="{00000000-0005-0000-0000-00000D000000}"/>
    <cellStyle name="Escribir 2 3" xfId="15" xr:uid="{00000000-0005-0000-0000-00000E000000}"/>
    <cellStyle name="Escribir 2 3 2" xfId="16" xr:uid="{00000000-0005-0000-0000-00000F000000}"/>
    <cellStyle name="Escribir 2 4" xfId="17" xr:uid="{00000000-0005-0000-0000-000010000000}"/>
    <cellStyle name="Escribir 2 5" xfId="18" xr:uid="{00000000-0005-0000-0000-000011000000}"/>
    <cellStyle name="Escribir 2 6" xfId="19" xr:uid="{00000000-0005-0000-0000-000012000000}"/>
    <cellStyle name="Escribir 2 6 2" xfId="20" xr:uid="{00000000-0005-0000-0000-000013000000}"/>
    <cellStyle name="Escribir 2 6 2 2" xfId="21" xr:uid="{00000000-0005-0000-0000-000014000000}"/>
    <cellStyle name="Escribir 2 6 3" xfId="22" xr:uid="{00000000-0005-0000-0000-000015000000}"/>
    <cellStyle name="Escribir 2 7" xfId="23" xr:uid="{00000000-0005-0000-0000-000016000000}"/>
    <cellStyle name="Escribir 2 8" xfId="24" xr:uid="{00000000-0005-0000-0000-000017000000}"/>
    <cellStyle name="Escribir 2 9" xfId="25" xr:uid="{00000000-0005-0000-0000-000018000000}"/>
    <cellStyle name="Escribir_P12" xfId="26" xr:uid="{00000000-0005-0000-0000-000019000000}"/>
    <cellStyle name="Hipervínculo" xfId="27" builtinId="8"/>
    <cellStyle name="Millares [0] 2" xfId="28" xr:uid="{00000000-0005-0000-0000-00001B000000}"/>
    <cellStyle name="Millares [0] 2 2" xfId="29" xr:uid="{00000000-0005-0000-0000-00001C000000}"/>
    <cellStyle name="Millares 10 3" xfId="30" xr:uid="{00000000-0005-0000-0000-00001D000000}"/>
    <cellStyle name="Millares 2 2" xfId="31" xr:uid="{00000000-0005-0000-0000-00001E000000}"/>
    <cellStyle name="Normal" xfId="0" builtinId="0"/>
    <cellStyle name="Normal 2" xfId="32" xr:uid="{00000000-0005-0000-0000-000020000000}"/>
    <cellStyle name="Normal 2 2" xfId="33" xr:uid="{00000000-0005-0000-0000-000021000000}"/>
    <cellStyle name="Normal 3" xfId="34" xr:uid="{00000000-0005-0000-0000-000022000000}"/>
    <cellStyle name="Normal 6" xfId="35" xr:uid="{00000000-0005-0000-0000-000023000000}"/>
    <cellStyle name="Normal_nombre" xfId="36" xr:uid="{00000000-0005-0000-0000-000024000000}"/>
    <cellStyle name="Normal_REM 02-2002" xfId="37" xr:uid="{00000000-0005-0000-0000-000025000000}"/>
    <cellStyle name="Normal_REM 04-2002" xfId="38" xr:uid="{00000000-0005-0000-0000-000026000000}"/>
    <cellStyle name="Normal_REM 05-2002" xfId="39" xr:uid="{00000000-0005-0000-0000-000027000000}"/>
    <cellStyle name="Normal_REM 09-2002" xfId="40" xr:uid="{00000000-0005-0000-0000-000028000000}"/>
    <cellStyle name="Normal_REM 12-2002" xfId="41" xr:uid="{00000000-0005-0000-0000-000029000000}"/>
    <cellStyle name="Normal_REM 17-2002" xfId="42" xr:uid="{00000000-0005-0000-0000-00002A000000}"/>
    <cellStyle name="Normal_REM 18A-2002" xfId="43" xr:uid="{00000000-0005-0000-0000-00002B000000}"/>
    <cellStyle name="Normal_REM 21-2002" xfId="44" xr:uid="{00000000-0005-0000-0000-00002C000000}"/>
    <cellStyle name="Normal_RMC-MUNI" xfId="45" xr:uid="{00000000-0005-0000-0000-00002D000000}"/>
    <cellStyle name="Notas 2" xfId="46" xr:uid="{00000000-0005-0000-0000-00002E000000}"/>
    <cellStyle name="Notas 2 10" xfId="47" xr:uid="{00000000-0005-0000-0000-00002F000000}"/>
    <cellStyle name="Notas 2 10 2" xfId="48" xr:uid="{00000000-0005-0000-0000-000030000000}"/>
    <cellStyle name="Notas 2 11" xfId="49" xr:uid="{00000000-0005-0000-0000-000031000000}"/>
    <cellStyle name="Notas 2 11 2" xfId="50" xr:uid="{00000000-0005-0000-0000-000032000000}"/>
    <cellStyle name="Notas 2 12" xfId="51" xr:uid="{00000000-0005-0000-0000-000033000000}"/>
    <cellStyle name="Notas 2 12 2" xfId="52" xr:uid="{00000000-0005-0000-0000-000034000000}"/>
    <cellStyle name="Notas 2 13" xfId="53" xr:uid="{00000000-0005-0000-0000-000035000000}"/>
    <cellStyle name="Notas 2 14" xfId="54" xr:uid="{00000000-0005-0000-0000-000036000000}"/>
    <cellStyle name="Notas 2 2" xfId="55" xr:uid="{00000000-0005-0000-0000-000037000000}"/>
    <cellStyle name="Notas 2 2 2" xfId="56" xr:uid="{00000000-0005-0000-0000-000038000000}"/>
    <cellStyle name="Notas 2 2 2 2" xfId="57" xr:uid="{00000000-0005-0000-0000-000039000000}"/>
    <cellStyle name="Notas 2 2 2 2 19" xfId="58" xr:uid="{00000000-0005-0000-0000-00003A000000}"/>
    <cellStyle name="Notas 2 2 2 2 19 2" xfId="59" xr:uid="{00000000-0005-0000-0000-00003B000000}"/>
    <cellStyle name="Notas 2 2 2 2 19 2 2" xfId="60" xr:uid="{00000000-0005-0000-0000-00003C000000}"/>
    <cellStyle name="Notas 2 2 2 2 19 2 3" xfId="61" xr:uid="{00000000-0005-0000-0000-00003D000000}"/>
    <cellStyle name="Notas 2 2 2 2 19 2 4" xfId="62" xr:uid="{00000000-0005-0000-0000-00003E000000}"/>
    <cellStyle name="Notas 2 2 2 2 19 2 5" xfId="63" xr:uid="{00000000-0005-0000-0000-00003F000000}"/>
    <cellStyle name="Notas 2 2 2 2 19 2 6" xfId="64" xr:uid="{00000000-0005-0000-0000-000040000000}"/>
    <cellStyle name="Notas 2 2 2 2 19 3" xfId="65" xr:uid="{00000000-0005-0000-0000-000041000000}"/>
    <cellStyle name="Notas 2 2 2 2 19 4" xfId="66" xr:uid="{00000000-0005-0000-0000-000042000000}"/>
    <cellStyle name="Notas 2 2 2 2 19 5" xfId="67" xr:uid="{00000000-0005-0000-0000-000043000000}"/>
    <cellStyle name="Notas 2 2 2 2 19 6" xfId="68" xr:uid="{00000000-0005-0000-0000-000044000000}"/>
    <cellStyle name="Notas 2 2 2 2 19 7" xfId="69" xr:uid="{00000000-0005-0000-0000-000045000000}"/>
    <cellStyle name="Notas 2 2 2 2 2" xfId="70" xr:uid="{00000000-0005-0000-0000-000046000000}"/>
    <cellStyle name="Notas 2 2 2 2 2 2" xfId="71" xr:uid="{00000000-0005-0000-0000-000047000000}"/>
    <cellStyle name="Notas 2 2 2 2 2 3" xfId="72" xr:uid="{00000000-0005-0000-0000-000048000000}"/>
    <cellStyle name="Notas 2 2 2 2 2 4" xfId="73" xr:uid="{00000000-0005-0000-0000-000049000000}"/>
    <cellStyle name="Notas 2 2 2 2 2 5" xfId="74" xr:uid="{00000000-0005-0000-0000-00004A000000}"/>
    <cellStyle name="Notas 2 2 2 2 2 6" xfId="75" xr:uid="{00000000-0005-0000-0000-00004B000000}"/>
    <cellStyle name="Notas 2 2 2 2 21" xfId="76" xr:uid="{00000000-0005-0000-0000-00004C000000}"/>
    <cellStyle name="Notas 2 2 2 2 21 2" xfId="77" xr:uid="{00000000-0005-0000-0000-00004D000000}"/>
    <cellStyle name="Notas 2 2 2 2 21 2 2" xfId="78" xr:uid="{00000000-0005-0000-0000-00004E000000}"/>
    <cellStyle name="Notas 2 2 2 2 21 2 3" xfId="79" xr:uid="{00000000-0005-0000-0000-00004F000000}"/>
    <cellStyle name="Notas 2 2 2 2 21 2 4" xfId="80" xr:uid="{00000000-0005-0000-0000-000050000000}"/>
    <cellStyle name="Notas 2 2 2 2 21 2 5" xfId="81" xr:uid="{00000000-0005-0000-0000-000051000000}"/>
    <cellStyle name="Notas 2 2 2 2 21 2 6" xfId="82" xr:uid="{00000000-0005-0000-0000-000052000000}"/>
    <cellStyle name="Notas 2 2 2 2 21 3" xfId="83" xr:uid="{00000000-0005-0000-0000-000053000000}"/>
    <cellStyle name="Notas 2 2 2 2 21 4" xfId="84" xr:uid="{00000000-0005-0000-0000-000054000000}"/>
    <cellStyle name="Notas 2 2 2 2 21 5" xfId="85" xr:uid="{00000000-0005-0000-0000-000055000000}"/>
    <cellStyle name="Notas 2 2 2 2 21 6" xfId="86" xr:uid="{00000000-0005-0000-0000-000056000000}"/>
    <cellStyle name="Notas 2 2 2 2 21 7" xfId="87" xr:uid="{00000000-0005-0000-0000-000057000000}"/>
    <cellStyle name="Notas 2 2 2 2 3" xfId="88" xr:uid="{00000000-0005-0000-0000-000058000000}"/>
    <cellStyle name="Notas 2 2 2 2 4" xfId="89" xr:uid="{00000000-0005-0000-0000-000059000000}"/>
    <cellStyle name="Notas 2 2 2 2 5" xfId="90" xr:uid="{00000000-0005-0000-0000-00005A000000}"/>
    <cellStyle name="Notas 2 2 2 2 6" xfId="91" xr:uid="{00000000-0005-0000-0000-00005B000000}"/>
    <cellStyle name="Notas 2 2 2 2 7" xfId="92" xr:uid="{00000000-0005-0000-0000-00005C000000}"/>
    <cellStyle name="Notas 2 2 2 3" xfId="93" xr:uid="{00000000-0005-0000-0000-00005D000000}"/>
    <cellStyle name="Notas 2 2 2 3 2" xfId="94" xr:uid="{00000000-0005-0000-0000-00005E000000}"/>
    <cellStyle name="Notas 2 2 2 3 3" xfId="95" xr:uid="{00000000-0005-0000-0000-00005F000000}"/>
    <cellStyle name="Notas 2 2 2 3 4" xfId="96" xr:uid="{00000000-0005-0000-0000-000060000000}"/>
    <cellStyle name="Notas 2 2 2 3 5" xfId="97" xr:uid="{00000000-0005-0000-0000-000061000000}"/>
    <cellStyle name="Notas 2 2 2 3 6" xfId="98" xr:uid="{00000000-0005-0000-0000-000062000000}"/>
    <cellStyle name="Notas 2 2 2 4" xfId="99" xr:uid="{00000000-0005-0000-0000-000063000000}"/>
    <cellStyle name="Notas 2 2 2 5" xfId="100" xr:uid="{00000000-0005-0000-0000-000064000000}"/>
    <cellStyle name="Notas 2 2 2 6" xfId="101" xr:uid="{00000000-0005-0000-0000-000065000000}"/>
    <cellStyle name="Notas 2 2 2 7" xfId="102" xr:uid="{00000000-0005-0000-0000-000066000000}"/>
    <cellStyle name="Notas 2 2 2 8" xfId="103" xr:uid="{00000000-0005-0000-0000-000067000000}"/>
    <cellStyle name="Notas 2 2 3" xfId="104" xr:uid="{00000000-0005-0000-0000-000068000000}"/>
    <cellStyle name="Notas 2 2 3 2" xfId="105" xr:uid="{00000000-0005-0000-0000-000069000000}"/>
    <cellStyle name="Notas 2 2 3 3" xfId="106" xr:uid="{00000000-0005-0000-0000-00006A000000}"/>
    <cellStyle name="Notas 2 2 4" xfId="107" xr:uid="{00000000-0005-0000-0000-00006B000000}"/>
    <cellStyle name="Notas 2 2 5" xfId="108" xr:uid="{00000000-0005-0000-0000-00006C000000}"/>
    <cellStyle name="Notas 2 2 6" xfId="109" xr:uid="{00000000-0005-0000-0000-00006D000000}"/>
    <cellStyle name="Notas 2 2 7" xfId="110" xr:uid="{00000000-0005-0000-0000-00006E000000}"/>
    <cellStyle name="Notas 2 3" xfId="111" xr:uid="{00000000-0005-0000-0000-00006F000000}"/>
    <cellStyle name="Notas 2 3 2" xfId="112" xr:uid="{00000000-0005-0000-0000-000070000000}"/>
    <cellStyle name="Notas 2 3 2 2" xfId="113" xr:uid="{00000000-0005-0000-0000-000071000000}"/>
    <cellStyle name="Notas 2 3 2 2 2" xfId="114" xr:uid="{00000000-0005-0000-0000-000072000000}"/>
    <cellStyle name="Notas 2 3 2 3" xfId="115" xr:uid="{00000000-0005-0000-0000-000073000000}"/>
    <cellStyle name="Notas 2 3 2 4" xfId="116" xr:uid="{00000000-0005-0000-0000-000074000000}"/>
    <cellStyle name="Notas 2 3 2 5" xfId="117" xr:uid="{00000000-0005-0000-0000-000075000000}"/>
    <cellStyle name="Notas 2 3 2 6" xfId="118" xr:uid="{00000000-0005-0000-0000-000076000000}"/>
    <cellStyle name="Notas 2 3 2 7" xfId="119" xr:uid="{00000000-0005-0000-0000-000077000000}"/>
    <cellStyle name="Notas 2 3 3" xfId="120" xr:uid="{00000000-0005-0000-0000-000078000000}"/>
    <cellStyle name="Notas 2 3 3 2" xfId="121" xr:uid="{00000000-0005-0000-0000-000079000000}"/>
    <cellStyle name="Notas 2 3 3 3" xfId="122" xr:uid="{00000000-0005-0000-0000-00007A000000}"/>
    <cellStyle name="Notas 2 3 4" xfId="123" xr:uid="{00000000-0005-0000-0000-00007B000000}"/>
    <cellStyle name="Notas 2 3 5" xfId="124" xr:uid="{00000000-0005-0000-0000-00007C000000}"/>
    <cellStyle name="Notas 2 3 6" xfId="125" xr:uid="{00000000-0005-0000-0000-00007D000000}"/>
    <cellStyle name="Notas 2 4" xfId="126" xr:uid="{00000000-0005-0000-0000-00007E000000}"/>
    <cellStyle name="Notas 2 4 2" xfId="127" xr:uid="{00000000-0005-0000-0000-00007F000000}"/>
    <cellStyle name="Notas 2 4 2 2" xfId="128" xr:uid="{00000000-0005-0000-0000-000080000000}"/>
    <cellStyle name="Notas 2 4 2 3" xfId="129" xr:uid="{00000000-0005-0000-0000-000081000000}"/>
    <cellStyle name="Notas 2 4 3" xfId="130" xr:uid="{00000000-0005-0000-0000-000082000000}"/>
    <cellStyle name="Notas 2 4 4" xfId="131" xr:uid="{00000000-0005-0000-0000-000083000000}"/>
    <cellStyle name="Notas 2 4 5" xfId="132" xr:uid="{00000000-0005-0000-0000-000084000000}"/>
    <cellStyle name="Notas 2 4 6" xfId="133" xr:uid="{00000000-0005-0000-0000-000085000000}"/>
    <cellStyle name="Notas 2 5" xfId="134" xr:uid="{00000000-0005-0000-0000-000086000000}"/>
    <cellStyle name="Notas 2 5 2" xfId="135" xr:uid="{00000000-0005-0000-0000-000087000000}"/>
    <cellStyle name="Notas 2 5 3" xfId="136" xr:uid="{00000000-0005-0000-0000-000088000000}"/>
    <cellStyle name="Notas 2 6" xfId="137" xr:uid="{00000000-0005-0000-0000-000089000000}"/>
    <cellStyle name="Notas 2 6 2" xfId="138" xr:uid="{00000000-0005-0000-0000-00008A000000}"/>
    <cellStyle name="Notas 2 6 3" xfId="139" xr:uid="{00000000-0005-0000-0000-00008B000000}"/>
    <cellStyle name="Notas 2 7" xfId="140" xr:uid="{00000000-0005-0000-0000-00008C000000}"/>
    <cellStyle name="Notas 2 7 2" xfId="141" xr:uid="{00000000-0005-0000-0000-00008D000000}"/>
    <cellStyle name="Notas 2 8" xfId="142" xr:uid="{00000000-0005-0000-0000-00008E000000}"/>
    <cellStyle name="Notas 2 8 2" xfId="143" xr:uid="{00000000-0005-0000-0000-00008F000000}"/>
    <cellStyle name="Notas 2 9" xfId="144" xr:uid="{00000000-0005-0000-0000-000090000000}"/>
    <cellStyle name="Notas 2 9 2" xfId="145" xr:uid="{00000000-0005-0000-0000-000091000000}"/>
    <cellStyle name="Notas 3" xfId="146" xr:uid="{00000000-0005-0000-0000-000092000000}"/>
    <cellStyle name="Notas 3 2" xfId="147" xr:uid="{00000000-0005-0000-0000-000093000000}"/>
    <cellStyle name="Notas 3 2 2" xfId="148" xr:uid="{00000000-0005-0000-0000-000094000000}"/>
    <cellStyle name="Notas 3 2 3" xfId="149" xr:uid="{00000000-0005-0000-0000-000095000000}"/>
    <cellStyle name="Notas 3 2 4" xfId="150" xr:uid="{00000000-0005-0000-0000-000096000000}"/>
    <cellStyle name="Notas 3 2 5" xfId="151" xr:uid="{00000000-0005-0000-0000-000097000000}"/>
    <cellStyle name="Notas 3 2 6" xfId="152" xr:uid="{00000000-0005-0000-0000-000098000000}"/>
    <cellStyle name="Porcentaje" xfId="153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8" Type="http://schemas.openxmlformats.org/officeDocument/2006/relationships/worksheet" Target="worksheets/sheet8.xml"/></Relationships>
</file>

<file path=xl/theme/theme1.xml><?xml version="1.0" encoding="utf-8"?>
<a:theme xmlns:a="http://schemas.openxmlformats.org/drawingml/2006/main" name="Office 2013 - Tema de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/>
        <a:ea typeface="Arial"/>
        <a:cs typeface="Arial"/>
      </a:majorFont>
      <a:minorFont>
        <a:latin typeface="Calibri"/>
        <a:ea typeface="Arial"/>
        <a:cs typeface="Arial"/>
      </a:minorFont>
    </a:fontScheme>
    <a:fmtScheme name="Office 2013 - 2022">
      <a:fillStyleLst>
        <a:solidFill>
          <a:schemeClr val="phClr"/>
        </a:solidFill>
        <a:gradFill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hyperlink" Target="https://datos.gob.cl/api/3/action/datastore_search?resource_id=2c44d782-3365-44e3-aefb-2c8b8363a1bc&amp;limit=1&amp;filters=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AQ33"/>
  <sheetViews>
    <sheetView showGridLines="0" tabSelected="1" workbookViewId="0">
      <selection activeCell="H9" sqref="H9"/>
    </sheetView>
  </sheetViews>
  <sheetFormatPr baseColWidth="10" defaultColWidth="11.42578125" defaultRowHeight="10.5"/>
  <cols>
    <col min="1" max="1" width="49.42578125" style="2" customWidth="1"/>
    <col min="2" max="2" width="60.7109375" style="1" customWidth="1"/>
    <col min="3" max="8" width="5.7109375" style="1" customWidth="1"/>
    <col min="9" max="9" width="16.85546875" style="3" customWidth="1"/>
    <col min="10" max="18" width="11.85546875" style="3" customWidth="1"/>
    <col min="19" max="21" width="23.140625" style="3" customWidth="1"/>
    <col min="22" max="23" width="23.140625" style="3" hidden="1" customWidth="1"/>
    <col min="24" max="26" width="23.140625" style="1" hidden="1" customWidth="1"/>
    <col min="27" max="27" width="11.42578125" style="1" hidden="1" customWidth="1"/>
    <col min="28" max="28" width="54.28515625" style="1" hidden="1" customWidth="1"/>
    <col min="29" max="29" width="27.42578125" style="1" hidden="1" customWidth="1"/>
    <col min="30" max="30" width="8.7109375" style="1" hidden="1" customWidth="1"/>
    <col min="31" max="32" width="23.140625" style="1" hidden="1" customWidth="1"/>
    <col min="33" max="33" width="39.5703125" style="1" hidden="1" customWidth="1"/>
    <col min="34" max="37" width="23.140625" style="1" hidden="1" customWidth="1"/>
    <col min="38" max="39" width="23.140625" style="3" hidden="1" customWidth="1"/>
    <col min="40" max="43" width="23.140625" style="1" hidden="1" customWidth="1"/>
    <col min="44" max="50" width="23.140625" style="1" customWidth="1"/>
    <col min="51" max="16384" width="11.42578125" style="1"/>
  </cols>
  <sheetData>
    <row r="1" spans="1:24" ht="36" customHeight="1">
      <c r="A1" s="5595" t="s">
        <v>0</v>
      </c>
      <c r="B1" s="5596"/>
      <c r="C1" s="5597" t="s">
        <v>1</v>
      </c>
      <c r="D1" s="5598"/>
      <c r="E1" s="5598"/>
      <c r="F1" s="5598"/>
      <c r="G1" s="5598"/>
      <c r="H1" s="5599"/>
    </row>
    <row r="2" spans="1:24" ht="21.75" customHeight="1">
      <c r="A2" s="4" t="s">
        <v>2</v>
      </c>
      <c r="B2" s="5" t="s">
        <v>3</v>
      </c>
      <c r="C2" s="6">
        <v>1</v>
      </c>
      <c r="D2" s="7">
        <v>3</v>
      </c>
      <c r="E2" s="7">
        <v>1</v>
      </c>
      <c r="F2" s="7">
        <v>1</v>
      </c>
      <c r="G2" s="8">
        <v>9</v>
      </c>
      <c r="H2" s="9"/>
      <c r="I2" s="10" t="str">
        <f>IF(OR(C2="",D2="",E2="",F2="",G2=""),"Falta Cód. Com.","")</f>
        <v/>
      </c>
      <c r="J2" s="11"/>
      <c r="K2" s="11"/>
      <c r="L2" s="11"/>
      <c r="M2" s="11"/>
      <c r="N2" s="11"/>
      <c r="O2" s="11"/>
      <c r="P2" s="11"/>
      <c r="Q2" s="11"/>
      <c r="R2" s="11"/>
      <c r="S2" s="11"/>
      <c r="T2" s="11"/>
      <c r="U2" s="11"/>
      <c r="V2" s="11"/>
      <c r="W2" s="12">
        <f>IF(OR(C2="",D2="",E2="",F2="",G2=""),1,0)</f>
        <v>0</v>
      </c>
    </row>
    <row r="3" spans="1:24" ht="21.75" customHeight="1">
      <c r="A3" s="13" t="s">
        <v>4</v>
      </c>
      <c r="B3" s="14" t="s">
        <v>5</v>
      </c>
      <c r="C3" s="6">
        <v>1</v>
      </c>
      <c r="D3" s="7">
        <v>1</v>
      </c>
      <c r="E3" s="7">
        <v>1</v>
      </c>
      <c r="F3" s="7">
        <v>3</v>
      </c>
      <c r="G3" s="7">
        <v>8</v>
      </c>
      <c r="H3" s="8">
        <v>0</v>
      </c>
      <c r="I3" s="15" t="str">
        <f>IF(OR(C3="",D3="",E3="",F3="",G3="",H3=""),"Falta Cód. Est.","")</f>
        <v/>
      </c>
      <c r="J3" s="11"/>
      <c r="K3" s="11"/>
      <c r="L3" s="11"/>
      <c r="M3" s="11"/>
      <c r="N3" s="11"/>
      <c r="O3" s="11"/>
      <c r="P3" s="11"/>
      <c r="Q3" s="11"/>
      <c r="R3" s="11"/>
      <c r="S3" s="11"/>
      <c r="T3" s="11"/>
      <c r="U3" s="11"/>
      <c r="V3" s="11"/>
      <c r="W3" s="12">
        <f>IF(OR(C3="",D3="",E3="",F3="",G3="",H3=""),1,0)</f>
        <v>0</v>
      </c>
    </row>
    <row r="4" spans="1:24" ht="21.75" customHeight="1">
      <c r="A4" s="16"/>
      <c r="B4" s="17"/>
      <c r="C4" s="18"/>
      <c r="D4" s="18"/>
      <c r="E4" s="18"/>
      <c r="F4" s="18"/>
      <c r="G4" s="18"/>
      <c r="H4" s="18"/>
      <c r="I4" s="10"/>
      <c r="J4" s="11"/>
      <c r="K4" s="11"/>
      <c r="L4" s="11"/>
      <c r="M4" s="11"/>
      <c r="N4" s="11"/>
      <c r="O4" s="11"/>
      <c r="P4" s="11"/>
      <c r="Q4" s="11"/>
      <c r="R4" s="11"/>
      <c r="S4" s="11"/>
      <c r="T4" s="11"/>
      <c r="U4" s="11"/>
      <c r="V4" s="11"/>
      <c r="W4" s="11"/>
    </row>
    <row r="5" spans="1:24" ht="9.75" customHeight="1">
      <c r="A5" s="19"/>
      <c r="B5" s="20"/>
      <c r="C5" s="21"/>
      <c r="D5" s="21"/>
      <c r="E5" s="18"/>
      <c r="F5" s="18"/>
      <c r="G5" s="18"/>
      <c r="H5" s="18"/>
      <c r="I5" s="10"/>
      <c r="J5" s="11"/>
      <c r="K5" s="11"/>
      <c r="L5" s="11"/>
      <c r="M5" s="11"/>
      <c r="N5" s="11"/>
      <c r="O5" s="11"/>
      <c r="P5" s="11"/>
      <c r="Q5" s="11"/>
      <c r="R5" s="11"/>
      <c r="S5" s="11"/>
      <c r="T5" s="11"/>
      <c r="U5" s="11"/>
      <c r="V5" s="11"/>
      <c r="W5" s="11"/>
    </row>
    <row r="6" spans="1:24" ht="21.75" customHeight="1">
      <c r="A6" s="16" t="s">
        <v>6</v>
      </c>
      <c r="B6" s="22" t="s">
        <v>7</v>
      </c>
      <c r="C6" s="23" t="str">
        <f>IF(X10&lt;&gt;"",IF(LEN(X10)&lt;2,"0",LEFT(X10,1)),"")</f>
        <v>0</v>
      </c>
      <c r="D6" s="24" t="str">
        <f>IF(X10&lt;&gt;"",RIGHT(X10,1),"")</f>
        <v>3</v>
      </c>
      <c r="E6" s="25"/>
      <c r="F6" s="25"/>
      <c r="G6" s="25"/>
      <c r="H6" s="25"/>
      <c r="I6" s="26" t="str">
        <f>IF(OR(C6="",D6=""),"Falta Cód. Mes.","")</f>
        <v/>
      </c>
      <c r="J6" s="27"/>
      <c r="K6" s="27"/>
      <c r="L6" s="27"/>
      <c r="M6" s="28"/>
      <c r="N6" s="28"/>
      <c r="O6" s="28"/>
      <c r="P6" s="28"/>
      <c r="Q6" s="28"/>
      <c r="R6" s="28"/>
      <c r="S6" s="28"/>
      <c r="T6" s="28"/>
      <c r="U6" s="28"/>
      <c r="V6" s="28"/>
      <c r="W6" s="12">
        <f>IF(OR(C6="",D6=""),1,0)</f>
        <v>0</v>
      </c>
    </row>
    <row r="7" spans="1:24" ht="21.75" customHeight="1">
      <c r="A7" s="4" t="s">
        <v>8</v>
      </c>
      <c r="B7" s="29">
        <v>2026</v>
      </c>
      <c r="C7" s="3"/>
      <c r="D7" s="3"/>
      <c r="E7" s="3"/>
      <c r="F7" s="3"/>
      <c r="G7" s="3"/>
      <c r="H7" s="3"/>
    </row>
    <row r="8" spans="1:24" ht="12" customHeight="1">
      <c r="A8" s="30"/>
      <c r="B8" s="31"/>
      <c r="C8" s="3"/>
      <c r="D8" s="3"/>
      <c r="E8" s="3"/>
      <c r="F8" s="3"/>
      <c r="G8" s="3"/>
      <c r="H8" s="3"/>
    </row>
    <row r="9" spans="1:24" ht="28.5" customHeight="1">
      <c r="A9" s="5600" t="s">
        <v>9</v>
      </c>
      <c r="B9" s="5601"/>
      <c r="C9" s="3"/>
      <c r="D9" s="3"/>
      <c r="E9" s="3"/>
      <c r="F9" s="3"/>
      <c r="G9" s="3"/>
      <c r="H9" s="3"/>
    </row>
    <row r="10" spans="1:24" ht="12" customHeight="1">
      <c r="A10" s="32"/>
      <c r="B10" s="33"/>
      <c r="C10" s="3"/>
      <c r="D10" s="3"/>
      <c r="E10" s="3"/>
      <c r="F10" s="3"/>
      <c r="G10" s="3"/>
      <c r="H10" s="3"/>
      <c r="W10" s="3" t="str">
        <f>B6</f>
        <v>MARZO</v>
      </c>
      <c r="X10" s="1">
        <f>IFERROR(VLOOKUP(W10,$W$11:$X$22,2,FALSE),"")</f>
        <v>3</v>
      </c>
    </row>
    <row r="11" spans="1:24" ht="27" customHeight="1">
      <c r="A11" s="34" t="s">
        <v>10</v>
      </c>
      <c r="B11" s="35" t="s">
        <v>11</v>
      </c>
      <c r="C11" s="3"/>
      <c r="D11" s="3"/>
      <c r="E11" s="3"/>
      <c r="F11" s="3"/>
      <c r="G11" s="3"/>
      <c r="H11" s="36"/>
      <c r="I11" s="36"/>
      <c r="J11" s="37"/>
      <c r="K11" s="37"/>
      <c r="L11" s="37"/>
      <c r="M11" s="37"/>
      <c r="N11" s="37"/>
      <c r="O11" s="37"/>
      <c r="P11" s="37"/>
      <c r="Q11" s="37"/>
      <c r="R11" s="37"/>
      <c r="S11" s="37"/>
      <c r="T11" s="37"/>
      <c r="U11" s="37"/>
      <c r="V11" s="37"/>
      <c r="W11" s="38" t="s">
        <v>12</v>
      </c>
      <c r="X11" s="1">
        <v>1</v>
      </c>
    </row>
    <row r="12" spans="1:24" ht="23.25" customHeight="1">
      <c r="A12" s="39" t="s">
        <v>13</v>
      </c>
      <c r="B12" s="35" t="s">
        <v>14</v>
      </c>
      <c r="C12" s="3"/>
      <c r="D12" s="3"/>
      <c r="E12" s="3"/>
      <c r="F12" s="3"/>
      <c r="G12" s="3"/>
      <c r="H12" s="36"/>
      <c r="I12" s="36"/>
      <c r="J12" s="37"/>
      <c r="K12" s="37"/>
      <c r="L12" s="37"/>
      <c r="M12" s="37"/>
      <c r="N12" s="37"/>
      <c r="O12" s="37"/>
      <c r="P12" s="37"/>
      <c r="Q12" s="37"/>
      <c r="R12" s="37"/>
      <c r="S12" s="37"/>
      <c r="T12" s="37"/>
      <c r="U12" s="37"/>
      <c r="V12" s="37"/>
      <c r="W12" s="38" t="s">
        <v>15</v>
      </c>
      <c r="X12" s="1">
        <v>2</v>
      </c>
    </row>
    <row r="13" spans="1:24" ht="23.25" customHeight="1">
      <c r="A13" s="33"/>
      <c r="B13" s="40"/>
      <c r="C13" s="3"/>
      <c r="D13" s="3"/>
      <c r="E13" s="3"/>
      <c r="F13" s="3"/>
      <c r="G13" s="3"/>
      <c r="H13" s="36" t="s">
        <v>16</v>
      </c>
      <c r="I13" s="36"/>
      <c r="J13" s="37"/>
      <c r="K13" s="37"/>
      <c r="L13" s="37"/>
      <c r="M13" s="37"/>
      <c r="N13" s="37"/>
      <c r="O13" s="37"/>
      <c r="P13" s="37"/>
      <c r="Q13" s="37"/>
      <c r="R13" s="37"/>
      <c r="S13" s="37"/>
      <c r="T13" s="37"/>
      <c r="U13" s="37"/>
      <c r="V13" s="37"/>
      <c r="W13" s="38" t="s">
        <v>7</v>
      </c>
      <c r="X13" s="1">
        <v>3</v>
      </c>
    </row>
    <row r="14" spans="1:24" ht="23.25" customHeight="1">
      <c r="A14" s="41"/>
      <c r="B14" s="3"/>
      <c r="C14" s="3"/>
      <c r="D14" s="3"/>
      <c r="E14" s="3"/>
      <c r="F14" s="3"/>
      <c r="G14" s="3"/>
      <c r="H14" s="36"/>
      <c r="I14" s="36"/>
      <c r="J14" s="37"/>
      <c r="K14" s="37"/>
      <c r="L14" s="37"/>
      <c r="M14" s="37"/>
      <c r="N14" s="37"/>
      <c r="O14" s="37"/>
      <c r="P14" s="37"/>
      <c r="Q14" s="37"/>
      <c r="R14" s="37"/>
      <c r="S14" s="37"/>
      <c r="T14" s="37"/>
      <c r="U14" s="37"/>
      <c r="V14" s="37"/>
      <c r="W14" s="38" t="s">
        <v>17</v>
      </c>
      <c r="X14" s="1">
        <v>4</v>
      </c>
    </row>
    <row r="15" spans="1:24" ht="21" customHeight="1">
      <c r="A15" s="5602" t="s">
        <v>18</v>
      </c>
      <c r="B15" s="5603"/>
      <c r="C15" s="3"/>
      <c r="D15" s="3"/>
      <c r="E15" s="3"/>
      <c r="F15" s="3"/>
      <c r="G15" s="3"/>
      <c r="H15" s="36"/>
      <c r="I15" s="36"/>
      <c r="J15" s="37"/>
      <c r="K15" s="37"/>
      <c r="L15" s="37"/>
      <c r="M15" s="37"/>
      <c r="N15" s="37"/>
      <c r="O15" s="37"/>
      <c r="P15" s="37"/>
      <c r="Q15" s="37"/>
      <c r="R15" s="37"/>
      <c r="S15" s="37"/>
      <c r="T15" s="37"/>
      <c r="U15" s="37"/>
      <c r="V15" s="37"/>
      <c r="W15" s="38" t="s">
        <v>19</v>
      </c>
      <c r="X15" s="1">
        <v>5</v>
      </c>
    </row>
    <row r="16" spans="1:24" ht="21.75" customHeight="1">
      <c r="A16" s="41"/>
      <c r="B16" s="3"/>
      <c r="C16" s="3"/>
      <c r="D16" s="3"/>
      <c r="E16" s="3"/>
      <c r="F16" s="3"/>
      <c r="G16" s="3"/>
      <c r="H16" s="36"/>
      <c r="I16" s="36"/>
      <c r="J16" s="37"/>
      <c r="K16" s="37"/>
      <c r="L16" s="37"/>
      <c r="M16" s="37"/>
      <c r="N16" s="37"/>
      <c r="O16" s="37"/>
      <c r="P16" s="37"/>
      <c r="Q16" s="37"/>
      <c r="R16" s="37"/>
      <c r="S16" s="37"/>
      <c r="T16" s="37"/>
      <c r="U16" s="37"/>
      <c r="V16" s="37"/>
      <c r="W16" s="38" t="s">
        <v>20</v>
      </c>
      <c r="X16" s="1">
        <v>6</v>
      </c>
    </row>
    <row r="17" spans="1:24" ht="21" customHeight="1">
      <c r="A17" s="41"/>
      <c r="B17" s="5604" t="s">
        <v>21</v>
      </c>
      <c r="C17" s="3"/>
      <c r="D17" s="3"/>
      <c r="E17" s="3"/>
      <c r="F17" s="3"/>
      <c r="G17" s="3"/>
      <c r="H17" s="36"/>
      <c r="I17" s="36"/>
      <c r="J17" s="37"/>
      <c r="K17" s="37"/>
      <c r="L17" s="37"/>
      <c r="M17" s="37"/>
      <c r="N17" s="37"/>
      <c r="O17" s="37"/>
      <c r="P17" s="37"/>
      <c r="Q17" s="37"/>
      <c r="R17" s="37"/>
      <c r="S17" s="37"/>
      <c r="T17" s="37"/>
      <c r="U17" s="37"/>
      <c r="V17" s="37"/>
      <c r="W17" s="38" t="s">
        <v>22</v>
      </c>
      <c r="X17" s="1">
        <v>7</v>
      </c>
    </row>
    <row r="18" spans="1:24" ht="21" customHeight="1">
      <c r="A18" s="41"/>
      <c r="B18" s="5605"/>
      <c r="C18" s="3"/>
      <c r="D18" s="3"/>
      <c r="E18" s="3"/>
      <c r="F18" s="3"/>
      <c r="G18" s="3"/>
      <c r="H18" s="36"/>
      <c r="I18" s="36"/>
      <c r="J18" s="37"/>
      <c r="K18" s="37"/>
      <c r="L18" s="37"/>
      <c r="M18" s="37"/>
      <c r="N18" s="37"/>
      <c r="O18" s="37"/>
      <c r="P18" s="37"/>
      <c r="Q18" s="37"/>
      <c r="R18" s="37"/>
      <c r="S18" s="37"/>
      <c r="T18" s="37"/>
      <c r="U18" s="37"/>
      <c r="V18" s="37"/>
      <c r="W18" s="38" t="s">
        <v>23</v>
      </c>
      <c r="X18" s="1">
        <v>8</v>
      </c>
    </row>
    <row r="19" spans="1:24" ht="21" customHeight="1">
      <c r="A19" s="41"/>
      <c r="B19" s="5606"/>
      <c r="C19" s="3"/>
      <c r="D19" s="3"/>
      <c r="E19" s="3"/>
      <c r="F19" s="3"/>
      <c r="G19" s="3"/>
      <c r="H19" s="36"/>
      <c r="I19" s="36"/>
      <c r="J19" s="37"/>
      <c r="K19" s="37"/>
      <c r="L19" s="37"/>
      <c r="M19" s="37"/>
      <c r="N19" s="37"/>
      <c r="O19" s="37"/>
      <c r="P19" s="37"/>
      <c r="Q19" s="37"/>
      <c r="R19" s="37"/>
      <c r="S19" s="37"/>
      <c r="T19" s="37"/>
      <c r="U19" s="37"/>
      <c r="V19" s="37"/>
      <c r="W19" s="38" t="s">
        <v>24</v>
      </c>
      <c r="X19" s="1">
        <v>9</v>
      </c>
    </row>
    <row r="20" spans="1:24" ht="21" customHeight="1">
      <c r="A20" s="41"/>
      <c r="B20" s="3"/>
      <c r="C20" s="3"/>
      <c r="D20" s="3"/>
      <c r="E20" s="3"/>
      <c r="F20" s="3"/>
      <c r="G20" s="3"/>
      <c r="H20" s="36"/>
      <c r="I20" s="36"/>
      <c r="J20" s="37"/>
      <c r="K20" s="37"/>
      <c r="L20" s="37"/>
      <c r="M20" s="37"/>
      <c r="N20" s="37"/>
      <c r="O20" s="37"/>
      <c r="P20" s="37"/>
      <c r="Q20" s="37"/>
      <c r="R20" s="37"/>
      <c r="S20" s="37"/>
      <c r="T20" s="37"/>
      <c r="U20" s="37"/>
      <c r="V20" s="37"/>
      <c r="W20" s="38" t="s">
        <v>25</v>
      </c>
      <c r="X20" s="1">
        <v>10</v>
      </c>
    </row>
    <row r="21" spans="1:24" ht="21" customHeight="1">
      <c r="A21" s="41"/>
      <c r="B21" s="3"/>
      <c r="C21" s="3"/>
      <c r="D21" s="3"/>
      <c r="E21" s="3"/>
      <c r="F21" s="3"/>
      <c r="G21" s="42"/>
      <c r="H21" s="42"/>
      <c r="I21" s="42"/>
      <c r="J21" s="42"/>
      <c r="N21" s="37"/>
      <c r="O21" s="37"/>
      <c r="P21" s="37"/>
      <c r="Q21" s="37"/>
      <c r="R21" s="37"/>
      <c r="S21" s="37"/>
      <c r="T21" s="37"/>
      <c r="U21" s="37"/>
      <c r="V21" s="37"/>
      <c r="W21" s="38" t="s">
        <v>26</v>
      </c>
      <c r="X21" s="1">
        <v>11</v>
      </c>
    </row>
    <row r="22" spans="1:24" ht="21" customHeight="1">
      <c r="A22" s="41"/>
      <c r="B22" s="3"/>
      <c r="C22" s="3"/>
      <c r="D22" s="3"/>
      <c r="E22" s="3"/>
      <c r="F22" s="3"/>
      <c r="G22" s="42"/>
      <c r="H22" s="42"/>
      <c r="I22" s="42"/>
      <c r="J22" s="42"/>
      <c r="N22" s="37"/>
      <c r="O22" s="37"/>
      <c r="P22" s="37"/>
      <c r="Q22" s="37"/>
      <c r="R22" s="37"/>
      <c r="S22" s="37"/>
      <c r="T22" s="37"/>
      <c r="U22" s="37"/>
      <c r="V22" s="37"/>
      <c r="W22" s="38" t="s">
        <v>27</v>
      </c>
      <c r="X22" s="1">
        <v>12</v>
      </c>
    </row>
    <row r="23" spans="1:24" ht="17.25" customHeight="1">
      <c r="A23" s="41"/>
      <c r="B23" s="3"/>
      <c r="C23" s="3"/>
      <c r="D23" s="3"/>
      <c r="E23" s="3"/>
      <c r="F23" s="3"/>
      <c r="G23" s="3"/>
      <c r="H23" s="3"/>
      <c r="I23" s="43"/>
      <c r="J23" s="43"/>
      <c r="N23" s="37"/>
      <c r="O23" s="37"/>
      <c r="P23" s="37"/>
      <c r="Q23" s="37"/>
      <c r="R23" s="37"/>
      <c r="S23" s="37"/>
      <c r="T23" s="37"/>
      <c r="U23" s="37"/>
      <c r="V23" s="37"/>
      <c r="W23" s="37"/>
    </row>
    <row r="24" spans="1:24" ht="18.75" customHeight="1">
      <c r="A24" s="44"/>
      <c r="B24" s="44"/>
      <c r="C24" s="44"/>
      <c r="D24" s="44"/>
      <c r="E24" s="44"/>
      <c r="F24" s="44"/>
      <c r="G24" s="44"/>
      <c r="H24" s="44"/>
      <c r="I24" s="44"/>
      <c r="J24" s="44"/>
      <c r="K24" s="44"/>
      <c r="L24" s="44"/>
      <c r="M24" s="44"/>
      <c r="N24" s="44"/>
      <c r="O24" s="44"/>
      <c r="P24" s="44"/>
      <c r="Q24" s="44"/>
      <c r="R24" s="37"/>
      <c r="S24" s="37"/>
      <c r="T24" s="37"/>
      <c r="U24" s="37"/>
      <c r="V24" s="37" t="s">
        <v>28</v>
      </c>
      <c r="W24" s="45">
        <v>122100</v>
      </c>
      <c r="X24" s="1" t="str">
        <f>IF(W24&lt;&gt;"",CONCATENATE("{""EstablecimientoCodigo"":""",W24,"""}"),"")</f>
        <v>{"EstablecimientoCodigo":"122100"}</v>
      </c>
    </row>
    <row r="25" spans="1:24" ht="18" customHeight="1">
      <c r="A25" s="44"/>
      <c r="B25" s="44"/>
      <c r="C25" s="44"/>
      <c r="D25" s="44"/>
      <c r="E25" s="44"/>
      <c r="F25" s="44"/>
      <c r="G25" s="44"/>
      <c r="H25" s="44"/>
      <c r="I25" s="44"/>
      <c r="J25" s="44"/>
      <c r="K25" s="44"/>
      <c r="L25" s="44"/>
      <c r="M25" s="44"/>
      <c r="N25" s="44"/>
      <c r="O25" s="44"/>
      <c r="P25" s="44"/>
      <c r="Q25" s="44"/>
      <c r="R25" s="37"/>
      <c r="S25" s="37"/>
      <c r="T25" s="37"/>
      <c r="U25" s="37"/>
      <c r="V25" s="37" t="s">
        <v>29</v>
      </c>
      <c r="W25" s="46" t="s">
        <v>30</v>
      </c>
      <c r="X25" s="1" t="str">
        <f>_xlfn.ENCODEURL(X24)</f>
        <v>%7B%22EstablecimientoCodigo%22%3A%22122100%22%7D</v>
      </c>
    </row>
    <row r="26" spans="1:24" ht="19.5" customHeight="1">
      <c r="A26" s="44"/>
      <c r="B26" s="44"/>
      <c r="C26" s="44"/>
      <c r="D26" s="44"/>
      <c r="E26" s="44"/>
      <c r="F26" s="44"/>
      <c r="G26" s="44"/>
      <c r="H26" s="44"/>
      <c r="I26" s="44"/>
      <c r="J26" s="44"/>
      <c r="K26" s="44"/>
      <c r="L26" s="44"/>
      <c r="M26" s="44"/>
      <c r="N26" s="44"/>
      <c r="O26" s="44"/>
      <c r="P26" s="44"/>
      <c r="Q26" s="44"/>
      <c r="R26" s="37"/>
      <c r="S26" s="37"/>
      <c r="T26" s="37"/>
      <c r="U26" s="37"/>
      <c r="V26" s="37" t="s">
        <v>31</v>
      </c>
      <c r="W26" s="43" t="e">
        <f>IF($W$24&lt;&gt;"",_xlfn.WEBSERVICE(CONCATENATE(W25,X25)),"")</f>
        <v>#VALUE!</v>
      </c>
    </row>
    <row r="27" spans="1:24" ht="19.5" customHeight="1">
      <c r="A27" s="44"/>
      <c r="B27" s="44"/>
      <c r="C27" s="44"/>
      <c r="D27" s="44"/>
      <c r="E27" s="44"/>
      <c r="F27" s="44"/>
      <c r="G27" s="44"/>
      <c r="H27" s="44"/>
      <c r="I27" s="44"/>
      <c r="J27" s="44"/>
      <c r="K27" s="44"/>
      <c r="L27" s="44"/>
      <c r="M27" s="44"/>
      <c r="N27" s="44"/>
      <c r="O27" s="44"/>
      <c r="P27" s="44"/>
      <c r="Q27" s="44"/>
      <c r="R27" s="37"/>
      <c r="S27" s="37"/>
      <c r="T27" s="37"/>
      <c r="U27" s="37"/>
      <c r="V27" s="37" t="s">
        <v>32</v>
      </c>
      <c r="W27" s="43" t="str">
        <f>IFERROR(IF($W$26&lt;&gt;"",MID($W$26,FIND("""total"":",$W$26)+9,1),"0"),"0")</f>
        <v>0</v>
      </c>
    </row>
    <row r="28" spans="1:24" ht="18.75" customHeight="1">
      <c r="A28" s="44"/>
      <c r="B28" s="44"/>
      <c r="C28" s="44"/>
      <c r="D28" s="44"/>
      <c r="E28" s="44"/>
      <c r="F28" s="44"/>
      <c r="G28" s="44"/>
      <c r="H28" s="44"/>
      <c r="I28" s="44"/>
      <c r="J28" s="44"/>
      <c r="K28" s="44"/>
      <c r="L28" s="44"/>
      <c r="M28" s="44"/>
      <c r="N28" s="44"/>
      <c r="O28" s="44"/>
      <c r="P28" s="44"/>
      <c r="Q28" s="44"/>
      <c r="R28" s="37"/>
      <c r="S28" s="37"/>
      <c r="T28" s="37"/>
      <c r="U28" s="37"/>
      <c r="V28" s="37" t="s">
        <v>33</v>
      </c>
      <c r="W28" s="43" t="e">
        <f>IF(AND($W$26&lt;&gt;"",$W$27="1"),MID($W$26,FIND("EstablecimientoGlosa",$W$26)+23,(FIND("EstablecimientoCodigoAntiguo",$W$26)-3)-(FIND("EstablecimientoGlosa",$W$26)+23)),"")</f>
        <v>#VALUE!</v>
      </c>
    </row>
    <row r="29" spans="1:24" ht="18.75" customHeight="1">
      <c r="A29" s="44"/>
      <c r="B29" s="44"/>
      <c r="C29" s="44"/>
      <c r="D29" s="44"/>
      <c r="E29" s="44"/>
      <c r="F29" s="44"/>
      <c r="G29" s="44"/>
      <c r="H29" s="44"/>
      <c r="I29" s="44"/>
      <c r="J29" s="44"/>
      <c r="K29" s="44"/>
      <c r="L29" s="44"/>
      <c r="M29" s="44"/>
      <c r="N29" s="44"/>
      <c r="O29" s="44"/>
      <c r="P29" s="44"/>
      <c r="Q29" s="44"/>
      <c r="R29" s="37"/>
      <c r="S29" s="37"/>
      <c r="T29" s="37"/>
      <c r="U29" s="37"/>
      <c r="V29" s="37" t="s">
        <v>34</v>
      </c>
      <c r="W29" s="43" t="e">
        <f>IF(AND($W$26&lt;&gt;"",$W$27="1"),MID($W$26,FIND("ComunaCodigo",$W$26)+15,(FIND("ComunaGlosa",$W$26)-3)-(FIND("ComunaCodigo",$W$26)+15)),"")</f>
        <v>#VALUE!</v>
      </c>
    </row>
    <row r="30" spans="1:24" ht="18.75" customHeight="1">
      <c r="A30" s="44"/>
      <c r="B30" s="44"/>
      <c r="C30" s="44"/>
      <c r="D30" s="44"/>
      <c r="E30" s="44"/>
      <c r="F30" s="44"/>
      <c r="G30" s="44"/>
      <c r="H30" s="44"/>
      <c r="I30" s="44"/>
      <c r="J30" s="44"/>
      <c r="K30" s="44"/>
      <c r="L30" s="44"/>
      <c r="M30" s="44"/>
      <c r="N30" s="44"/>
      <c r="O30" s="44"/>
      <c r="P30" s="44"/>
      <c r="Q30" s="44"/>
      <c r="R30" s="37"/>
      <c r="S30" s="37"/>
      <c r="T30" s="37"/>
      <c r="U30" s="37"/>
      <c r="V30" s="37" t="s">
        <v>35</v>
      </c>
      <c r="W30" s="43" t="e">
        <f>IF(AND($W$26&lt;&gt;"",$W$27="1"),MID($W$26,FIND("ComunaGlosa",$W$26)+14,(FIND("TipoVia",$W$26)-3)-(FIND("ComunaGlosa",$W$26)+14)),"")</f>
        <v>#VALUE!</v>
      </c>
    </row>
    <row r="31" spans="1:24" ht="17.25" customHeight="1">
      <c r="A31" s="44"/>
      <c r="B31" s="44"/>
      <c r="C31" s="44"/>
      <c r="D31" s="44"/>
      <c r="E31" s="44"/>
      <c r="F31" s="44"/>
      <c r="G31" s="44"/>
      <c r="H31" s="44"/>
      <c r="I31" s="44"/>
      <c r="J31" s="44"/>
      <c r="K31" s="44"/>
      <c r="L31" s="44"/>
      <c r="M31" s="44"/>
      <c r="N31" s="44"/>
      <c r="O31" s="44"/>
      <c r="P31" s="44"/>
      <c r="Q31" s="44"/>
      <c r="R31" s="37"/>
      <c r="S31" s="37"/>
      <c r="T31" s="37"/>
      <c r="U31" s="37"/>
      <c r="V31" s="37" t="s">
        <v>36</v>
      </c>
      <c r="W31" s="37"/>
    </row>
    <row r="32" spans="1:24" ht="17.25" hidden="1" customHeight="1">
      <c r="A32" s="47">
        <f>SUM(W2:W6)</f>
        <v>0</v>
      </c>
      <c r="B32" s="44"/>
      <c r="C32" s="44"/>
      <c r="D32" s="44"/>
      <c r="E32" s="44"/>
      <c r="F32" s="44"/>
      <c r="G32" s="44"/>
      <c r="H32" s="44"/>
      <c r="I32" s="44"/>
      <c r="J32" s="44"/>
      <c r="K32" s="44"/>
      <c r="L32" s="44"/>
      <c r="M32" s="44"/>
      <c r="N32" s="44"/>
      <c r="O32" s="44"/>
      <c r="P32" s="44"/>
      <c r="Q32" s="44"/>
      <c r="R32" s="37"/>
      <c r="S32" s="37"/>
      <c r="T32" s="37"/>
      <c r="U32" s="37"/>
      <c r="V32" s="37"/>
      <c r="W32" s="37"/>
    </row>
    <row r="33" spans="22:26">
      <c r="V33" s="3" t="e">
        <f>IF($W$29&lt;&gt; "",IF(LEN($W$29)&gt;4,LEFT($W$29,1),"0"),"")</f>
        <v>#VALUE!</v>
      </c>
      <c r="W33" s="3" t="e">
        <f>IF($W$29&lt;&gt;"",LEFT(RIGHT($W$29,4),1),"")</f>
        <v>#VALUE!</v>
      </c>
      <c r="X33" s="3" t="e">
        <f>IF($W$29&lt;&gt;"",LEFT(RIGHT($W$29,3),1),"")</f>
        <v>#VALUE!</v>
      </c>
      <c r="Y33" s="3" t="e">
        <f>IF($W$29&lt;&gt;"",LEFT(RIGHT($W$29,2),1),"")</f>
        <v>#VALUE!</v>
      </c>
      <c r="Z33" s="3" t="e">
        <f>IF($W$29&lt;&gt;"",RIGHT($W$29,1),"")</f>
        <v>#VALUE!</v>
      </c>
    </row>
  </sheetData>
  <sheetProtection algorithmName="SHA-512" hashValue="tHD/Jkm5EzVoj26vY5eSeTFO+qESA0KOFzsNWXdyFXWoBdywZXEzoAbpXmNVUofZux0jzq1vNQ8hXRMXgzB7fA==" saltValue="onLbfIcgCzompPeNb9k37g==" spinCount="100000" sheet="1" objects="1" scenarios="1"/>
  <mergeCells count="5">
    <mergeCell ref="A1:B1"/>
    <mergeCell ref="C1:H1"/>
    <mergeCell ref="A9:B9"/>
    <mergeCell ref="A15:B15"/>
    <mergeCell ref="B17:B19"/>
  </mergeCells>
  <dataValidations count="2">
    <dataValidation type="whole" allowBlank="1" showInputMessage="1" showErrorMessage="1" errorTitle="Número Inválido" error="Sólo se permite ingresar un dígito entre 0 y 9." sqref="C3:H5 C2:G2" xr:uid="{00C300AB-00A0-402C-AE75-00C5001F0006}">
      <formula1>0</formula1>
      <formula2>9</formula2>
    </dataValidation>
    <dataValidation type="list" allowBlank="1" showInputMessage="1" showErrorMessage="1" sqref="B6" xr:uid="{00AE00BB-008A-4FD6-904F-00DB00230081}">
      <formula1>$W$11:$W$22</formula1>
    </dataValidation>
  </dataValidations>
  <hyperlinks>
    <hyperlink ref="W25" r:id="rId1" xr:uid="{00000000-0004-0000-0000-000000000000}"/>
  </hyperlinks>
  <pageMargins left="0.7" right="0.7" top="0.75" bottom="0.75" header="0.3" footer="0.3"/>
  <pageSetup paperSize="9" orientation="portrait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/>
  <dimension ref="A1:DJ258"/>
  <sheetViews>
    <sheetView showGridLines="0" workbookViewId="0"/>
  </sheetViews>
  <sheetFormatPr baseColWidth="10" defaultColWidth="11.42578125" defaultRowHeight="15"/>
  <cols>
    <col min="1" max="1" width="53.7109375" style="48" customWidth="1"/>
    <col min="2" max="2" width="26" style="48" customWidth="1"/>
    <col min="3" max="3" width="12.42578125" style="48" customWidth="1"/>
    <col min="4" max="4" width="12.140625" style="48" customWidth="1"/>
    <col min="5" max="5" width="14.42578125" style="48" bestFit="1" customWidth="1"/>
    <col min="6" max="6" width="12.28515625" style="48" customWidth="1"/>
    <col min="7" max="7" width="11.42578125" style="48"/>
    <col min="8" max="8" width="12.85546875" style="48" customWidth="1"/>
    <col min="9" max="9" width="14.28515625" style="48" customWidth="1"/>
    <col min="10" max="10" width="12.28515625" style="48" customWidth="1"/>
    <col min="11" max="11" width="16" style="48" customWidth="1"/>
    <col min="12" max="12" width="14.5703125" style="48" customWidth="1"/>
    <col min="13" max="13" width="13.85546875" style="48" customWidth="1"/>
    <col min="14" max="22" width="11.42578125" style="48"/>
    <col min="23" max="34" width="12.7109375" style="48" customWidth="1"/>
    <col min="35" max="35" width="11.42578125" style="48"/>
    <col min="36" max="36" width="13.5703125" style="48" customWidth="1"/>
    <col min="37" max="38" width="15.7109375" style="48" customWidth="1"/>
    <col min="39" max="39" width="12.42578125" style="48" customWidth="1"/>
    <col min="40" max="41" width="11.42578125" style="48"/>
    <col min="42" max="42" width="12.7109375" style="48" customWidth="1"/>
    <col min="43" max="46" width="11.42578125" style="48"/>
    <col min="47" max="47" width="9.42578125" style="48" customWidth="1"/>
    <col min="48" max="77" width="11.42578125" style="48"/>
    <col min="78" max="81" width="11.42578125" style="48" hidden="1" customWidth="1"/>
    <col min="82" max="82" width="24" style="48" hidden="1" customWidth="1"/>
    <col min="83" max="114" width="11.42578125" style="48" hidden="1" customWidth="1"/>
    <col min="115" max="130" width="11.42578125" style="48" customWidth="1"/>
    <col min="131" max="16384" width="11.42578125" style="48"/>
  </cols>
  <sheetData>
    <row r="1" spans="1:111">
      <c r="A1" s="49" t="s">
        <v>37</v>
      </c>
    </row>
    <row r="2" spans="1:111">
      <c r="A2" s="49" t="str">
        <f>CONCATENATE("COMUNA: ",NOMBRE!B2, " (",NOMBRE!C2,NOMBRE!D2,NOMBRE!E2,NOMBRE!F2,NOMBRE!G2,")")</f>
        <v>COMUNA: MAIPU (13119)</v>
      </c>
    </row>
    <row r="3" spans="1:111">
      <c r="A3" s="49" t="str">
        <f>CONCATENATE("ESTABLECIMIENTO/ESTRATEGIA: ", NOMBRE!B3, " (",NOMBRE!C3,NOMBRE!D3,NOMBRE!E3,NOMBRE!F3,NOMBRE!G3,NOMBRE!H3,")")</f>
        <v>ESTABLECIMIENTO/ESTRATEGIA: CESFAM DR. CARLOS GODOY (111380)</v>
      </c>
    </row>
    <row r="4" spans="1:111">
      <c r="A4" s="49" t="str">
        <f>CONCATENATE("MES: ",NOMBRE!B6, " (",NOMBRE!C6,NOMBRE!D6,")")</f>
        <v>MES: MARZO (03)</v>
      </c>
    </row>
    <row r="5" spans="1:111">
      <c r="A5" s="49" t="str">
        <f>CONCATENATE("AÑO: ",NOMBRE!B7)</f>
        <v>AÑO: 2026</v>
      </c>
    </row>
    <row r="6" spans="1:111" s="50" customFormat="1" ht="18" customHeight="1">
      <c r="A6" s="5610" t="s">
        <v>38</v>
      </c>
      <c r="B6" s="5610"/>
      <c r="C6" s="5610"/>
      <c r="D6" s="5610"/>
      <c r="E6" s="5610"/>
      <c r="F6" s="5610"/>
      <c r="G6" s="5610"/>
      <c r="H6" s="5610"/>
      <c r="I6" s="5610"/>
      <c r="J6" s="5610"/>
      <c r="K6" s="5610"/>
      <c r="L6" s="5610"/>
      <c r="M6" s="5610"/>
      <c r="N6" s="5610"/>
      <c r="O6" s="5610"/>
      <c r="P6" s="5610"/>
      <c r="Q6" s="51"/>
      <c r="R6" s="51"/>
      <c r="S6" s="51"/>
      <c r="T6" s="51"/>
      <c r="U6" s="51"/>
      <c r="V6" s="51"/>
      <c r="W6" s="51"/>
      <c r="X6" s="51"/>
      <c r="Y6" s="51"/>
      <c r="Z6" s="51"/>
      <c r="AA6" s="51"/>
      <c r="AB6" s="51"/>
      <c r="AC6" s="51"/>
      <c r="AD6" s="51"/>
      <c r="AE6" s="51"/>
      <c r="AF6" s="51"/>
      <c r="AG6" s="51"/>
      <c r="AH6" s="51"/>
      <c r="AI6" s="51"/>
      <c r="AJ6" s="51"/>
      <c r="AK6" s="51"/>
      <c r="AL6" s="52"/>
      <c r="AM6" s="52"/>
      <c r="AN6" s="52"/>
      <c r="AO6" s="52"/>
      <c r="AP6" s="52"/>
      <c r="AQ6" s="52"/>
      <c r="AR6" s="52"/>
      <c r="AS6" s="52"/>
      <c r="BA6" s="53"/>
      <c r="BB6" s="53"/>
      <c r="BC6" s="53"/>
      <c r="BD6" s="53"/>
      <c r="BE6" s="53"/>
      <c r="BF6" s="53"/>
      <c r="BG6" s="53"/>
      <c r="BH6" s="53"/>
      <c r="BI6" s="53"/>
      <c r="BJ6" s="53"/>
      <c r="BK6" s="53"/>
      <c r="BL6" s="53"/>
      <c r="BM6" s="53"/>
      <c r="BN6" s="53"/>
      <c r="BO6" s="53"/>
      <c r="BP6" s="53"/>
      <c r="BQ6" s="53"/>
      <c r="BR6" s="53"/>
      <c r="BS6" s="53"/>
      <c r="BT6" s="53"/>
      <c r="BU6" s="53"/>
      <c r="BV6" s="53"/>
      <c r="BW6" s="53"/>
      <c r="BX6" s="53"/>
      <c r="BY6" s="53"/>
      <c r="BZ6" s="53"/>
      <c r="CA6" s="54"/>
      <c r="CB6" s="54"/>
      <c r="CC6" s="54"/>
      <c r="CD6" s="54"/>
      <c r="CE6" s="54"/>
      <c r="CF6" s="54"/>
      <c r="CG6" s="54"/>
      <c r="CH6" s="54"/>
      <c r="CI6" s="54"/>
      <c r="CJ6" s="54"/>
      <c r="CK6" s="54"/>
      <c r="CL6" s="54"/>
      <c r="CM6" s="54"/>
      <c r="CN6" s="54"/>
      <c r="CO6" s="54"/>
      <c r="CP6" s="54"/>
      <c r="CQ6" s="54"/>
      <c r="CR6" s="54"/>
      <c r="CS6" s="54"/>
      <c r="CT6" s="54"/>
      <c r="CU6" s="54"/>
      <c r="CV6" s="54"/>
      <c r="CW6" s="54"/>
      <c r="CX6" s="54"/>
      <c r="CY6" s="54"/>
      <c r="CZ6" s="54"/>
      <c r="DA6" s="54"/>
      <c r="DB6" s="54"/>
      <c r="DC6" s="54"/>
      <c r="DD6" s="54"/>
      <c r="DE6" s="54"/>
      <c r="DF6" s="54"/>
      <c r="DG6" s="54"/>
    </row>
    <row r="8" spans="1:111" ht="18" customHeight="1">
      <c r="A8" s="5622" t="s">
        <v>39</v>
      </c>
      <c r="B8" s="5622"/>
      <c r="C8" s="5622"/>
      <c r="D8" s="5622"/>
      <c r="E8" s="5622"/>
      <c r="F8" s="5622"/>
      <c r="G8" s="5622"/>
      <c r="H8" s="5622"/>
      <c r="I8" s="5622"/>
      <c r="J8" s="5622"/>
      <c r="K8" s="5622"/>
      <c r="L8" s="5622"/>
      <c r="M8" s="5622"/>
      <c r="N8" s="5622"/>
      <c r="O8" s="5622"/>
      <c r="P8" s="5622"/>
      <c r="Q8" s="5622"/>
      <c r="R8" s="5622"/>
      <c r="S8" s="5622"/>
      <c r="T8" s="5622"/>
      <c r="U8" s="5622"/>
      <c r="V8" s="5622"/>
      <c r="W8" s="5622"/>
      <c r="X8" s="5622"/>
      <c r="Y8" s="5622"/>
      <c r="Z8" s="5623"/>
      <c r="AA8" s="5623"/>
      <c r="AB8" s="5622"/>
      <c r="AC8" s="5622"/>
      <c r="AD8" s="5622"/>
      <c r="AE8" s="5622"/>
      <c r="AF8" s="5622"/>
      <c r="AG8" s="5622"/>
      <c r="AH8" s="5622"/>
    </row>
    <row r="9" spans="1:111" ht="15" customHeight="1">
      <c r="A9" s="5611" t="s">
        <v>40</v>
      </c>
      <c r="B9" s="5611" t="s">
        <v>41</v>
      </c>
      <c r="C9" s="5613" t="s">
        <v>42</v>
      </c>
      <c r="D9" s="5615" t="s">
        <v>43</v>
      </c>
      <c r="E9" s="5616"/>
      <c r="F9" s="5616"/>
      <c r="G9" s="5616"/>
      <c r="H9" s="5616"/>
      <c r="I9" s="5616"/>
      <c r="J9" s="5616"/>
      <c r="K9" s="5616"/>
      <c r="L9" s="5616"/>
      <c r="M9" s="5616"/>
      <c r="N9" s="5616"/>
      <c r="O9" s="5616"/>
      <c r="P9" s="5616"/>
      <c r="Q9" s="5616"/>
      <c r="R9" s="5616"/>
      <c r="S9" s="5616"/>
      <c r="T9" s="5617"/>
      <c r="U9" s="5616" t="s">
        <v>44</v>
      </c>
      <c r="V9" s="5617"/>
      <c r="W9" s="5631" t="s">
        <v>45</v>
      </c>
      <c r="X9" s="5633" t="s">
        <v>46</v>
      </c>
      <c r="Y9" s="5635" t="s">
        <v>47</v>
      </c>
      <c r="Z9" s="5637" t="s">
        <v>48</v>
      </c>
      <c r="AA9" s="5629" t="s">
        <v>49</v>
      </c>
      <c r="AB9" s="5626" t="s">
        <v>50</v>
      </c>
      <c r="AC9" s="5613" t="s">
        <v>51</v>
      </c>
      <c r="AD9" s="5624" t="s">
        <v>52</v>
      </c>
      <c r="AE9" s="5626" t="s">
        <v>53</v>
      </c>
      <c r="AF9" s="5627"/>
      <c r="AG9" s="5624"/>
      <c r="AH9" s="5613" t="s">
        <v>54</v>
      </c>
    </row>
    <row r="10" spans="1:111" ht="57.75" customHeight="1">
      <c r="A10" s="5612"/>
      <c r="B10" s="5612"/>
      <c r="C10" s="5614"/>
      <c r="D10" s="66" t="s">
        <v>55</v>
      </c>
      <c r="E10" s="67" t="s">
        <v>56</v>
      </c>
      <c r="F10" s="67" t="s">
        <v>57</v>
      </c>
      <c r="G10" s="68" t="s">
        <v>58</v>
      </c>
      <c r="H10" s="69" t="s">
        <v>59</v>
      </c>
      <c r="I10" s="69" t="s">
        <v>60</v>
      </c>
      <c r="J10" s="69" t="s">
        <v>61</v>
      </c>
      <c r="K10" s="69" t="s">
        <v>62</v>
      </c>
      <c r="L10" s="69" t="s">
        <v>63</v>
      </c>
      <c r="M10" s="69" t="s">
        <v>64</v>
      </c>
      <c r="N10" s="69" t="s">
        <v>65</v>
      </c>
      <c r="O10" s="69" t="s">
        <v>66</v>
      </c>
      <c r="P10" s="69" t="s">
        <v>67</v>
      </c>
      <c r="Q10" s="69" t="s">
        <v>68</v>
      </c>
      <c r="R10" s="69" t="s">
        <v>69</v>
      </c>
      <c r="S10" s="69" t="s">
        <v>70</v>
      </c>
      <c r="T10" s="70" t="s">
        <v>71</v>
      </c>
      <c r="U10" s="71" t="s">
        <v>72</v>
      </c>
      <c r="V10" s="72" t="s">
        <v>73</v>
      </c>
      <c r="W10" s="5632"/>
      <c r="X10" s="5634"/>
      <c r="Y10" s="5636"/>
      <c r="Z10" s="5638"/>
      <c r="AA10" s="5630"/>
      <c r="AB10" s="5639"/>
      <c r="AC10" s="5614"/>
      <c r="AD10" s="5625"/>
      <c r="AE10" s="75" t="s">
        <v>74</v>
      </c>
      <c r="AF10" s="68" t="s">
        <v>75</v>
      </c>
      <c r="AG10" s="76" t="s">
        <v>76</v>
      </c>
      <c r="AH10" s="5614"/>
    </row>
    <row r="11" spans="1:111" ht="15" customHeight="1">
      <c r="A11" s="5619" t="s">
        <v>77</v>
      </c>
      <c r="B11" s="78" t="s">
        <v>78</v>
      </c>
      <c r="C11" s="79">
        <f t="shared" ref="C11:C22" si="0">SUM(F11:N11)</f>
        <v>0</v>
      </c>
      <c r="D11" s="80"/>
      <c r="E11" s="81"/>
      <c r="F11" s="82"/>
      <c r="G11" s="82"/>
      <c r="H11" s="82"/>
      <c r="I11" s="82"/>
      <c r="J11" s="82"/>
      <c r="K11" s="82"/>
      <c r="L11" s="82"/>
      <c r="M11" s="82"/>
      <c r="N11" s="82"/>
      <c r="O11" s="83"/>
      <c r="P11" s="84"/>
      <c r="Q11" s="84"/>
      <c r="R11" s="84"/>
      <c r="S11" s="84"/>
      <c r="T11" s="85"/>
      <c r="U11" s="86"/>
      <c r="V11" s="87"/>
      <c r="W11" s="88"/>
      <c r="X11" s="84"/>
      <c r="Y11" s="89"/>
      <c r="Z11" s="90"/>
      <c r="AA11" s="91"/>
      <c r="AB11" s="92"/>
      <c r="AC11" s="93"/>
      <c r="AD11" s="94"/>
      <c r="AE11" s="95"/>
      <c r="AF11" s="96"/>
      <c r="AG11" s="97"/>
      <c r="AH11" s="98"/>
      <c r="AI11" s="99" t="str">
        <f t="shared" ref="AI11:AI32" si="1">$CA11&amp;CB11&amp;CC11&amp;CD11&amp;CE11&amp;CF11&amp;CG11&amp;CH11&amp;CI11&amp;CJ11&amp;CK11&amp;CL11&amp;CM11</f>
        <v/>
      </c>
      <c r="CA11" s="100" t="str">
        <f t="shared" ref="CA11:CA32" si="2">IF((U11+V11)&lt;&gt;$C11," * La suma de la variable Sexo (Hombres + Mujeres) no puede ser distinto al Total","")</f>
        <v/>
      </c>
      <c r="CB11" s="100" t="str">
        <f t="shared" ref="CB11:CB22" si="3">IF(AND($C11&lt;&gt;0,W11=""),"* No olvide ingresar la variable "&amp;W$9&amp;""&amp;". Digite CERO si no tiene.  ",IF(W11&gt;$C11,"* La variable Control con pareja, familiar u otro no debe ser mayor al Total. ",""))</f>
        <v/>
      </c>
      <c r="CC11" s="101"/>
      <c r="CD11" s="100" t="str">
        <f t="shared" ref="CD11:CD32" si="4">IF(AND(($F11+$G11)&lt;&gt;0,Y11=""),"* No olvide ingresar la variable "&amp;Y$9&amp;""&amp;". Digite CERO si no tiene.  ",IF(Y11&gt;($F11+$G11),"* La variable Espacios Amigables/ Adolescentes no debe ser mayor al total  de usuarios de 10 a 19 años. ",""))</f>
        <v/>
      </c>
      <c r="CE11" s="100" t="str">
        <f t="shared" ref="CE11:CE32" si="5">IF(AND($C11&lt;&gt;0,Z11=""),"* No olvide ingresar la variable "&amp;Z$9&amp;""&amp;". Digite CERO si no tiene. ",IF(Z11&gt;$C11,"* La variable "&amp;Z$9&amp;""&amp;" no debe ser mayor al Total. ",""))</f>
        <v/>
      </c>
      <c r="CF11" s="100" t="str">
        <f t="shared" ref="CF11:CF32" si="6">IF(AND($C11&lt;&gt;0,AA11=""),"* No olvide ingresar la variable "&amp;AA$9&amp;""&amp;". Digite CERO si no tiene.  ",IF(AA11&gt;$C11,"* La variable "&amp;AA$9&amp;""&amp;" no debe ser mayor al Total. ",""))</f>
        <v/>
      </c>
      <c r="CG11" s="100" t="str">
        <f t="shared" ref="CG11:CG32" si="7">IF(AND($C11&lt;&gt;0,AB11=""),"* No olvide ingresar la variable "&amp;AB$9&amp;""&amp;". Digite CERO si no tiene. ",IF(AB11&gt;$C11,"* La variable de Pueblos Originarios no debe ser mayor al Total. ",""))</f>
        <v/>
      </c>
      <c r="CH11" s="100" t="str">
        <f t="shared" ref="CH11:CH32" si="8">IF(AND($C11&lt;&gt;0,AC11=""),"* No olvide ingresar la variable "&amp;AC$9&amp;""&amp;". Digite CERO si no tiene.  ",IF(AC11&gt;$C11,"* La variable Migrantes no debe ser mayor al Total. ",""))</f>
        <v/>
      </c>
      <c r="CI11" s="100" t="str">
        <f t="shared" ref="CI11:CI32" si="9">IF(AND($C11&lt;&gt;0,AD11=""),"* No olvide ingresar la variable "&amp;AD$9&amp;""&amp;". Digite CERO si no tiene.  ",IF(AD11&gt;$C11,"* La variable Personas con discapacidad no debe ser mayor al Total. ",""))</f>
        <v/>
      </c>
      <c r="CJ11" s="100" t="str">
        <f t="shared" ref="CJ11:CJ32" si="10">IF(AND($V11&lt;&gt;0,AE11=""),"* No olvide ingresar la variable "&amp;AE$10&amp;""&amp;". Digite CERO si no tiene.  ",IF(AE11&gt;$V11,"* La variable Trans masculino no debe ser mayor al Total Mujeres. ",""))</f>
        <v/>
      </c>
      <c r="CK11" s="100" t="str">
        <f t="shared" ref="CK11:CK32" si="11">IF(AND($U11&lt;&gt;0,AF11=""),"* No olvide ingresar la variable "&amp;AF$10&amp;""&amp;". Digite CERO si no tiene.  ",IF(AF11&gt;$U11,"* La variable Trans Femenino no debe ser mayor al Total Hombres ",""))</f>
        <v/>
      </c>
      <c r="CL11" s="100" t="str">
        <f t="shared" ref="CL11:CL32" si="12">IF(AND($C11&lt;&gt;0,AG11=""),"* No olvide ingresar la variable "&amp;AG$10&amp;""&amp;". Digite CERO si no tiene.  ",IF(AG11&gt;$C11,"* La variable No binarie no debe ser mayor al Total. ",""))</f>
        <v/>
      </c>
      <c r="CM11" s="101"/>
      <c r="CU11" s="102">
        <f t="shared" ref="CU11:CU32" si="13">IF((U11+V11)&lt;&gt;$C11,1,0)</f>
        <v>0</v>
      </c>
      <c r="CV11" s="102">
        <f t="shared" ref="CV11:CV13" si="14">IF(AND(C11&gt;0,W11=""),1,IF(W11&gt;C11,1,0))</f>
        <v>0</v>
      </c>
      <c r="CW11" s="103"/>
      <c r="CX11" s="102">
        <f t="shared" ref="CX11:CX32" si="15">IF(AND(($F11+$G11)&lt;&gt;0,Y11=""),1,IF(Y11&gt;($F11+$G11),1,0))</f>
        <v>0</v>
      </c>
      <c r="CY11" s="102">
        <f t="shared" ref="CY11:CY32" si="16">IF(AND($C11&lt;&gt;0,Z11=""),1,IF(Z11&gt;C11,1,0))</f>
        <v>0</v>
      </c>
      <c r="CZ11" s="102">
        <f t="shared" ref="CZ11:CZ32" si="17">IF(AND($C11&lt;&gt;0,AA11=""),1,IF(AA11&gt;C11,1,0))</f>
        <v>0</v>
      </c>
      <c r="DA11" s="102">
        <f t="shared" ref="DA11:DA32" si="18">IF(AND($C11&lt;&gt;0,AB11=""),1,IF(AB11&gt;C11,1,0))</f>
        <v>0</v>
      </c>
      <c r="DB11" s="102">
        <f t="shared" ref="DB11:DB32" si="19">IF(AND($C11&lt;&gt;0,AC11=""),1,IF(AC11&gt;C11,1,0))</f>
        <v>0</v>
      </c>
      <c r="DC11" s="102">
        <f t="shared" ref="DC11:DC32" si="20">IF(AND($C11&lt;&gt;0,AD11=""),1,IF(AD11&gt;$C11,1,0))</f>
        <v>0</v>
      </c>
      <c r="DD11" s="102">
        <f t="shared" ref="DD11:DD32" si="21">IF(AND($V11&lt;&gt;0,AE11=""),1,IF(AE11&gt;$V11,1,0))</f>
        <v>0</v>
      </c>
      <c r="DE11" s="102">
        <f t="shared" ref="DE11:DE32" si="22">IF(AND($U11&lt;&gt;0,AF11=""),1,IF(AF11&gt;$U11,1,0))</f>
        <v>0</v>
      </c>
      <c r="DF11" s="102">
        <f t="shared" ref="DF11:DF32" si="23">IF(AND($C11&lt;&gt;0,AG11=""),1,IF(AG11&gt;$C11,1,0))</f>
        <v>0</v>
      </c>
      <c r="DG11" s="104"/>
    </row>
    <row r="12" spans="1:111" ht="15" customHeight="1">
      <c r="A12" s="5628"/>
      <c r="B12" s="106" t="s">
        <v>79</v>
      </c>
      <c r="C12" s="107">
        <f t="shared" si="0"/>
        <v>0</v>
      </c>
      <c r="D12" s="108"/>
      <c r="E12" s="109"/>
      <c r="F12" s="110"/>
      <c r="G12" s="110"/>
      <c r="H12" s="110"/>
      <c r="I12" s="110"/>
      <c r="J12" s="110"/>
      <c r="K12" s="110"/>
      <c r="L12" s="110"/>
      <c r="M12" s="110"/>
      <c r="N12" s="110"/>
      <c r="O12" s="111"/>
      <c r="P12" s="111"/>
      <c r="Q12" s="111"/>
      <c r="R12" s="111"/>
      <c r="S12" s="111"/>
      <c r="T12" s="112"/>
      <c r="U12" s="113"/>
      <c r="V12" s="114"/>
      <c r="W12" s="115"/>
      <c r="X12" s="111"/>
      <c r="Y12" s="116"/>
      <c r="Z12" s="117"/>
      <c r="AA12" s="118"/>
      <c r="AB12" s="119"/>
      <c r="AC12" s="120"/>
      <c r="AD12" s="121"/>
      <c r="AE12" s="122"/>
      <c r="AF12" s="123"/>
      <c r="AG12" s="121"/>
      <c r="AH12" s="124"/>
      <c r="AI12" s="99" t="str">
        <f t="shared" si="1"/>
        <v/>
      </c>
      <c r="CA12" s="100" t="str">
        <f t="shared" si="2"/>
        <v/>
      </c>
      <c r="CB12" s="100" t="str">
        <f t="shared" si="3"/>
        <v/>
      </c>
      <c r="CC12" s="101"/>
      <c r="CD12" s="100" t="str">
        <f t="shared" si="4"/>
        <v/>
      </c>
      <c r="CE12" s="100" t="str">
        <f t="shared" si="5"/>
        <v/>
      </c>
      <c r="CF12" s="100" t="str">
        <f t="shared" si="6"/>
        <v/>
      </c>
      <c r="CG12" s="100" t="str">
        <f t="shared" si="7"/>
        <v/>
      </c>
      <c r="CH12" s="100" t="str">
        <f t="shared" si="8"/>
        <v/>
      </c>
      <c r="CI12" s="100" t="str">
        <f t="shared" si="9"/>
        <v/>
      </c>
      <c r="CJ12" s="100" t="str">
        <f t="shared" si="10"/>
        <v/>
      </c>
      <c r="CK12" s="100" t="str">
        <f t="shared" si="11"/>
        <v/>
      </c>
      <c r="CL12" s="100" t="str">
        <f t="shared" si="12"/>
        <v/>
      </c>
      <c r="CM12" s="101"/>
      <c r="CU12" s="102">
        <f t="shared" si="13"/>
        <v>0</v>
      </c>
      <c r="CV12" s="102">
        <f t="shared" si="14"/>
        <v>0</v>
      </c>
      <c r="CW12" s="103"/>
      <c r="CX12" s="102">
        <f t="shared" si="15"/>
        <v>0</v>
      </c>
      <c r="CY12" s="102">
        <f t="shared" si="16"/>
        <v>0</v>
      </c>
      <c r="CZ12" s="102">
        <f t="shared" si="17"/>
        <v>0</v>
      </c>
      <c r="DA12" s="102">
        <f t="shared" si="18"/>
        <v>0</v>
      </c>
      <c r="DB12" s="102">
        <f t="shared" si="19"/>
        <v>0</v>
      </c>
      <c r="DC12" s="102">
        <f t="shared" si="20"/>
        <v>0</v>
      </c>
      <c r="DD12" s="102">
        <f t="shared" si="21"/>
        <v>0</v>
      </c>
      <c r="DE12" s="102">
        <f t="shared" si="22"/>
        <v>0</v>
      </c>
      <c r="DF12" s="102">
        <f t="shared" si="23"/>
        <v>0</v>
      </c>
      <c r="DG12" s="104"/>
    </row>
    <row r="13" spans="1:111" ht="15" customHeight="1">
      <c r="A13" s="5619" t="s">
        <v>80</v>
      </c>
      <c r="B13" s="78" t="s">
        <v>78</v>
      </c>
      <c r="C13" s="125">
        <f t="shared" si="0"/>
        <v>0</v>
      </c>
      <c r="D13" s="126"/>
      <c r="E13" s="127"/>
      <c r="F13" s="82"/>
      <c r="G13" s="82"/>
      <c r="H13" s="82"/>
      <c r="I13" s="82"/>
      <c r="J13" s="82"/>
      <c r="K13" s="82"/>
      <c r="L13" s="82"/>
      <c r="M13" s="82"/>
      <c r="N13" s="96"/>
      <c r="O13" s="84"/>
      <c r="P13" s="84"/>
      <c r="Q13" s="84"/>
      <c r="R13" s="84"/>
      <c r="S13" s="84"/>
      <c r="T13" s="128"/>
      <c r="U13" s="127"/>
      <c r="V13" s="129"/>
      <c r="W13" s="88"/>
      <c r="X13" s="83"/>
      <c r="Y13" s="130"/>
      <c r="Z13" s="90"/>
      <c r="AA13" s="91"/>
      <c r="AB13" s="131"/>
      <c r="AC13" s="132"/>
      <c r="AD13" s="97"/>
      <c r="AE13" s="133"/>
      <c r="AF13" s="134"/>
      <c r="AG13" s="97"/>
      <c r="AH13" s="98"/>
      <c r="AI13" s="99" t="str">
        <f t="shared" si="1"/>
        <v/>
      </c>
      <c r="CA13" s="100" t="str">
        <f t="shared" si="2"/>
        <v/>
      </c>
      <c r="CB13" s="100" t="str">
        <f t="shared" si="3"/>
        <v/>
      </c>
      <c r="CC13" s="101"/>
      <c r="CD13" s="101"/>
      <c r="CE13" s="100" t="str">
        <f t="shared" si="5"/>
        <v/>
      </c>
      <c r="CF13" s="100" t="str">
        <f t="shared" si="6"/>
        <v/>
      </c>
      <c r="CG13" s="100" t="str">
        <f t="shared" si="7"/>
        <v/>
      </c>
      <c r="CH13" s="100" t="str">
        <f t="shared" si="8"/>
        <v/>
      </c>
      <c r="CI13" s="100" t="str">
        <f t="shared" si="9"/>
        <v/>
      </c>
      <c r="CJ13" s="100" t="str">
        <f t="shared" si="10"/>
        <v/>
      </c>
      <c r="CK13" s="101"/>
      <c r="CL13" s="100" t="str">
        <f t="shared" si="12"/>
        <v/>
      </c>
      <c r="CM13" s="101"/>
      <c r="CU13" s="102">
        <f t="shared" si="13"/>
        <v>0</v>
      </c>
      <c r="CV13" s="102">
        <f t="shared" si="14"/>
        <v>0</v>
      </c>
      <c r="CW13" s="103"/>
      <c r="CX13" s="103"/>
      <c r="CY13" s="102">
        <f t="shared" si="16"/>
        <v>0</v>
      </c>
      <c r="CZ13" s="102">
        <f t="shared" si="17"/>
        <v>0</v>
      </c>
      <c r="DA13" s="102">
        <f t="shared" si="18"/>
        <v>0</v>
      </c>
      <c r="DB13" s="102">
        <f t="shared" si="19"/>
        <v>0</v>
      </c>
      <c r="DC13" s="102">
        <f t="shared" si="20"/>
        <v>0</v>
      </c>
      <c r="DD13" s="102">
        <f t="shared" si="21"/>
        <v>0</v>
      </c>
      <c r="DE13" s="103"/>
      <c r="DF13" s="102">
        <f t="shared" si="23"/>
        <v>0</v>
      </c>
      <c r="DG13" s="104"/>
    </row>
    <row r="14" spans="1:111" ht="15" customHeight="1">
      <c r="A14" s="5618"/>
      <c r="B14" s="106" t="s">
        <v>79</v>
      </c>
      <c r="C14" s="136">
        <f t="shared" si="0"/>
        <v>0</v>
      </c>
      <c r="D14" s="137"/>
      <c r="E14" s="138"/>
      <c r="F14" s="139"/>
      <c r="G14" s="139"/>
      <c r="H14" s="139"/>
      <c r="I14" s="139"/>
      <c r="J14" s="139"/>
      <c r="K14" s="139"/>
      <c r="L14" s="139"/>
      <c r="M14" s="139"/>
      <c r="N14" s="123"/>
      <c r="O14" s="140"/>
      <c r="P14" s="111"/>
      <c r="Q14" s="111"/>
      <c r="R14" s="111"/>
      <c r="S14" s="111"/>
      <c r="T14" s="141"/>
      <c r="U14" s="142"/>
      <c r="V14" s="114"/>
      <c r="W14" s="115"/>
      <c r="X14" s="111"/>
      <c r="Y14" s="143"/>
      <c r="Z14" s="117"/>
      <c r="AA14" s="118"/>
      <c r="AB14" s="119"/>
      <c r="AC14" s="120"/>
      <c r="AD14" s="121"/>
      <c r="AE14" s="122"/>
      <c r="AF14" s="144"/>
      <c r="AG14" s="121"/>
      <c r="AH14" s="124"/>
      <c r="AI14" s="99" t="str">
        <f t="shared" si="1"/>
        <v/>
      </c>
      <c r="CA14" s="100" t="str">
        <f t="shared" si="2"/>
        <v/>
      </c>
      <c r="CB14" s="100" t="str">
        <f t="shared" si="3"/>
        <v/>
      </c>
      <c r="CC14" s="101"/>
      <c r="CD14" s="101"/>
      <c r="CE14" s="100" t="str">
        <f t="shared" si="5"/>
        <v/>
      </c>
      <c r="CF14" s="100" t="str">
        <f t="shared" si="6"/>
        <v/>
      </c>
      <c r="CG14" s="100" t="str">
        <f t="shared" si="7"/>
        <v/>
      </c>
      <c r="CH14" s="100" t="str">
        <f t="shared" si="8"/>
        <v/>
      </c>
      <c r="CI14" s="100" t="str">
        <f t="shared" si="9"/>
        <v/>
      </c>
      <c r="CJ14" s="100" t="str">
        <f t="shared" si="10"/>
        <v/>
      </c>
      <c r="CK14" s="101"/>
      <c r="CL14" s="100" t="str">
        <f t="shared" si="12"/>
        <v/>
      </c>
      <c r="CM14" s="101"/>
      <c r="CU14" s="102">
        <f t="shared" si="13"/>
        <v>0</v>
      </c>
      <c r="CV14" s="102">
        <f t="shared" ref="CV14:CV32" si="24">IF(AND(C14&gt;0,W14=""),1,IF(W14&gt;SUM(C14),1,0))</f>
        <v>0</v>
      </c>
      <c r="CW14" s="103"/>
      <c r="CX14" s="103"/>
      <c r="CY14" s="102">
        <f t="shared" si="16"/>
        <v>0</v>
      </c>
      <c r="CZ14" s="102">
        <f t="shared" si="17"/>
        <v>0</v>
      </c>
      <c r="DA14" s="102">
        <f t="shared" si="18"/>
        <v>0</v>
      </c>
      <c r="DB14" s="102">
        <f t="shared" si="19"/>
        <v>0</v>
      </c>
      <c r="DC14" s="102">
        <f t="shared" si="20"/>
        <v>0</v>
      </c>
      <c r="DD14" s="102">
        <f t="shared" si="21"/>
        <v>0</v>
      </c>
      <c r="DE14" s="103"/>
      <c r="DF14" s="102">
        <f t="shared" si="23"/>
        <v>0</v>
      </c>
      <c r="DG14" s="104"/>
    </row>
    <row r="15" spans="1:111" ht="15" customHeight="1">
      <c r="A15" s="5619" t="s">
        <v>81</v>
      </c>
      <c r="B15" s="78" t="s">
        <v>78</v>
      </c>
      <c r="C15" s="79">
        <f t="shared" si="0"/>
        <v>0</v>
      </c>
      <c r="D15" s="80"/>
      <c r="E15" s="81"/>
      <c r="F15" s="96"/>
      <c r="G15" s="96"/>
      <c r="H15" s="96"/>
      <c r="I15" s="96"/>
      <c r="J15" s="96"/>
      <c r="K15" s="96"/>
      <c r="L15" s="96"/>
      <c r="M15" s="96"/>
      <c r="N15" s="96"/>
      <c r="O15" s="84"/>
      <c r="P15" s="84"/>
      <c r="Q15" s="84"/>
      <c r="R15" s="84"/>
      <c r="S15" s="84"/>
      <c r="T15" s="85"/>
      <c r="U15" s="81"/>
      <c r="V15" s="129"/>
      <c r="W15" s="88"/>
      <c r="X15" s="84"/>
      <c r="Y15" s="145"/>
      <c r="Z15" s="90"/>
      <c r="AA15" s="91"/>
      <c r="AB15" s="131"/>
      <c r="AC15" s="132"/>
      <c r="AD15" s="97"/>
      <c r="AE15" s="133"/>
      <c r="AF15" s="134"/>
      <c r="AG15" s="97"/>
      <c r="AH15" s="98"/>
      <c r="AI15" s="99" t="str">
        <f t="shared" si="1"/>
        <v/>
      </c>
      <c r="CA15" s="100" t="str">
        <f t="shared" si="2"/>
        <v/>
      </c>
      <c r="CB15" s="100" t="str">
        <f t="shared" si="3"/>
        <v/>
      </c>
      <c r="CC15" s="101"/>
      <c r="CD15" s="101"/>
      <c r="CE15" s="100" t="str">
        <f t="shared" si="5"/>
        <v/>
      </c>
      <c r="CF15" s="100" t="str">
        <f t="shared" si="6"/>
        <v/>
      </c>
      <c r="CG15" s="100" t="str">
        <f t="shared" si="7"/>
        <v/>
      </c>
      <c r="CH15" s="100" t="str">
        <f t="shared" si="8"/>
        <v/>
      </c>
      <c r="CI15" s="100" t="str">
        <f t="shared" si="9"/>
        <v/>
      </c>
      <c r="CJ15" s="100" t="str">
        <f t="shared" si="10"/>
        <v/>
      </c>
      <c r="CK15" s="101"/>
      <c r="CL15" s="100" t="str">
        <f t="shared" si="12"/>
        <v/>
      </c>
      <c r="CM15" s="101"/>
      <c r="CU15" s="102">
        <f t="shared" si="13"/>
        <v>0</v>
      </c>
      <c r="CV15" s="102">
        <f t="shared" si="24"/>
        <v>0</v>
      </c>
      <c r="CW15" s="103"/>
      <c r="CX15" s="103"/>
      <c r="CY15" s="102">
        <f t="shared" si="16"/>
        <v>0</v>
      </c>
      <c r="CZ15" s="102">
        <f t="shared" si="17"/>
        <v>0</v>
      </c>
      <c r="DA15" s="102">
        <f t="shared" si="18"/>
        <v>0</v>
      </c>
      <c r="DB15" s="102">
        <f t="shared" si="19"/>
        <v>0</v>
      </c>
      <c r="DC15" s="102">
        <f t="shared" si="20"/>
        <v>0</v>
      </c>
      <c r="DD15" s="102">
        <f t="shared" si="21"/>
        <v>0</v>
      </c>
      <c r="DE15" s="103"/>
      <c r="DF15" s="102">
        <f t="shared" si="23"/>
        <v>0</v>
      </c>
      <c r="DG15" s="104"/>
    </row>
    <row r="16" spans="1:111" ht="15" customHeight="1">
      <c r="A16" s="5620"/>
      <c r="B16" s="106" t="s">
        <v>79</v>
      </c>
      <c r="C16" s="107">
        <f t="shared" si="0"/>
        <v>0</v>
      </c>
      <c r="D16" s="108"/>
      <c r="E16" s="109"/>
      <c r="F16" s="123"/>
      <c r="G16" s="123"/>
      <c r="H16" s="123"/>
      <c r="I16" s="123"/>
      <c r="J16" s="123"/>
      <c r="K16" s="123"/>
      <c r="L16" s="123"/>
      <c r="M16" s="123"/>
      <c r="N16" s="110"/>
      <c r="O16" s="111"/>
      <c r="P16" s="111"/>
      <c r="Q16" s="111"/>
      <c r="R16" s="111"/>
      <c r="S16" s="111"/>
      <c r="T16" s="112"/>
      <c r="U16" s="147"/>
      <c r="V16" s="114"/>
      <c r="W16" s="115"/>
      <c r="X16" s="111"/>
      <c r="Y16" s="143"/>
      <c r="Z16" s="117"/>
      <c r="AA16" s="118"/>
      <c r="AB16" s="119"/>
      <c r="AC16" s="120"/>
      <c r="AD16" s="121"/>
      <c r="AE16" s="122"/>
      <c r="AF16" s="144"/>
      <c r="AG16" s="121"/>
      <c r="AH16" s="124"/>
      <c r="AI16" s="99" t="str">
        <f t="shared" si="1"/>
        <v/>
      </c>
      <c r="CA16" s="100" t="str">
        <f t="shared" si="2"/>
        <v/>
      </c>
      <c r="CB16" s="100" t="str">
        <f t="shared" si="3"/>
        <v/>
      </c>
      <c r="CC16" s="101"/>
      <c r="CD16" s="101"/>
      <c r="CE16" s="100" t="str">
        <f t="shared" si="5"/>
        <v/>
      </c>
      <c r="CF16" s="100" t="str">
        <f t="shared" si="6"/>
        <v/>
      </c>
      <c r="CG16" s="100" t="str">
        <f t="shared" si="7"/>
        <v/>
      </c>
      <c r="CH16" s="100" t="str">
        <f t="shared" si="8"/>
        <v/>
      </c>
      <c r="CI16" s="100" t="str">
        <f t="shared" si="9"/>
        <v/>
      </c>
      <c r="CJ16" s="100" t="str">
        <f t="shared" si="10"/>
        <v/>
      </c>
      <c r="CK16" s="101"/>
      <c r="CL16" s="100" t="str">
        <f t="shared" si="12"/>
        <v/>
      </c>
      <c r="CM16" s="101"/>
      <c r="CU16" s="102">
        <f t="shared" si="13"/>
        <v>0</v>
      </c>
      <c r="CV16" s="102">
        <f t="shared" si="24"/>
        <v>0</v>
      </c>
      <c r="CW16" s="103"/>
      <c r="CX16" s="103"/>
      <c r="CY16" s="102">
        <f t="shared" si="16"/>
        <v>0</v>
      </c>
      <c r="CZ16" s="102">
        <f t="shared" si="17"/>
        <v>0</v>
      </c>
      <c r="DA16" s="102">
        <f t="shared" si="18"/>
        <v>0</v>
      </c>
      <c r="DB16" s="102">
        <f t="shared" si="19"/>
        <v>0</v>
      </c>
      <c r="DC16" s="102">
        <f t="shared" si="20"/>
        <v>0</v>
      </c>
      <c r="DD16" s="102">
        <f t="shared" si="21"/>
        <v>0</v>
      </c>
      <c r="DE16" s="103"/>
      <c r="DF16" s="102">
        <f t="shared" si="23"/>
        <v>0</v>
      </c>
      <c r="DG16" s="104"/>
    </row>
    <row r="17" spans="1:111" ht="15" customHeight="1">
      <c r="A17" s="5619" t="s">
        <v>82</v>
      </c>
      <c r="B17" s="78" t="s">
        <v>78</v>
      </c>
      <c r="C17" s="79">
        <f t="shared" si="0"/>
        <v>0</v>
      </c>
      <c r="D17" s="80"/>
      <c r="E17" s="81"/>
      <c r="F17" s="82"/>
      <c r="G17" s="82"/>
      <c r="H17" s="96"/>
      <c r="I17" s="96"/>
      <c r="J17" s="96"/>
      <c r="K17" s="96"/>
      <c r="L17" s="96"/>
      <c r="M17" s="96"/>
      <c r="N17" s="96"/>
      <c r="O17" s="84"/>
      <c r="P17" s="84"/>
      <c r="Q17" s="84"/>
      <c r="R17" s="84"/>
      <c r="S17" s="84"/>
      <c r="T17" s="85"/>
      <c r="U17" s="81"/>
      <c r="V17" s="87"/>
      <c r="W17" s="88"/>
      <c r="X17" s="84"/>
      <c r="Y17" s="145"/>
      <c r="Z17" s="90"/>
      <c r="AA17" s="91"/>
      <c r="AB17" s="131"/>
      <c r="AC17" s="132"/>
      <c r="AD17" s="97"/>
      <c r="AE17" s="133"/>
      <c r="AF17" s="134"/>
      <c r="AG17" s="97"/>
      <c r="AH17" s="98"/>
      <c r="AI17" s="99" t="str">
        <f t="shared" si="1"/>
        <v/>
      </c>
      <c r="CA17" s="100" t="str">
        <f t="shared" si="2"/>
        <v/>
      </c>
      <c r="CB17" s="100" t="str">
        <f t="shared" si="3"/>
        <v/>
      </c>
      <c r="CC17" s="101"/>
      <c r="CD17" s="101"/>
      <c r="CE17" s="100" t="str">
        <f t="shared" si="5"/>
        <v/>
      </c>
      <c r="CF17" s="100" t="str">
        <f t="shared" si="6"/>
        <v/>
      </c>
      <c r="CG17" s="100" t="str">
        <f t="shared" si="7"/>
        <v/>
      </c>
      <c r="CH17" s="100" t="str">
        <f t="shared" si="8"/>
        <v/>
      </c>
      <c r="CI17" s="100" t="str">
        <f t="shared" si="9"/>
        <v/>
      </c>
      <c r="CJ17" s="100" t="str">
        <f t="shared" si="10"/>
        <v/>
      </c>
      <c r="CK17" s="101"/>
      <c r="CL17" s="100" t="str">
        <f t="shared" si="12"/>
        <v/>
      </c>
      <c r="CM17" s="101"/>
      <c r="CU17" s="102">
        <f t="shared" si="13"/>
        <v>0</v>
      </c>
      <c r="CV17" s="102">
        <f t="shared" si="24"/>
        <v>0</v>
      </c>
      <c r="CW17" s="103"/>
      <c r="CX17" s="103"/>
      <c r="CY17" s="102">
        <f t="shared" si="16"/>
        <v>0</v>
      </c>
      <c r="CZ17" s="102">
        <f t="shared" si="17"/>
        <v>0</v>
      </c>
      <c r="DA17" s="102">
        <f t="shared" si="18"/>
        <v>0</v>
      </c>
      <c r="DB17" s="102">
        <f t="shared" si="19"/>
        <v>0</v>
      </c>
      <c r="DC17" s="102">
        <f t="shared" si="20"/>
        <v>0</v>
      </c>
      <c r="DD17" s="102">
        <f t="shared" si="21"/>
        <v>0</v>
      </c>
      <c r="DE17" s="103"/>
      <c r="DF17" s="102">
        <f t="shared" si="23"/>
        <v>0</v>
      </c>
      <c r="DG17" s="104"/>
    </row>
    <row r="18" spans="1:111" ht="15" customHeight="1">
      <c r="A18" s="5620"/>
      <c r="B18" s="106" t="s">
        <v>79</v>
      </c>
      <c r="C18" s="107">
        <f t="shared" si="0"/>
        <v>0</v>
      </c>
      <c r="D18" s="108"/>
      <c r="E18" s="109"/>
      <c r="F18" s="123"/>
      <c r="G18" s="123"/>
      <c r="H18" s="123"/>
      <c r="I18" s="123"/>
      <c r="J18" s="123"/>
      <c r="K18" s="123"/>
      <c r="L18" s="123"/>
      <c r="M18" s="123"/>
      <c r="N18" s="110"/>
      <c r="O18" s="111"/>
      <c r="P18" s="111"/>
      <c r="Q18" s="111"/>
      <c r="R18" s="111"/>
      <c r="S18" s="111"/>
      <c r="T18" s="112"/>
      <c r="U18" s="109"/>
      <c r="V18" s="114"/>
      <c r="W18" s="115"/>
      <c r="X18" s="111"/>
      <c r="Y18" s="143"/>
      <c r="Z18" s="117"/>
      <c r="AA18" s="118"/>
      <c r="AB18" s="119"/>
      <c r="AC18" s="120"/>
      <c r="AD18" s="121"/>
      <c r="AE18" s="122"/>
      <c r="AF18" s="144"/>
      <c r="AG18" s="121"/>
      <c r="AH18" s="124"/>
      <c r="AI18" s="99" t="str">
        <f t="shared" si="1"/>
        <v/>
      </c>
      <c r="AK18" s="148"/>
      <c r="AL18" s="148"/>
      <c r="CA18" s="100" t="str">
        <f t="shared" si="2"/>
        <v/>
      </c>
      <c r="CB18" s="100" t="str">
        <f t="shared" si="3"/>
        <v/>
      </c>
      <c r="CC18" s="101"/>
      <c r="CD18" s="101"/>
      <c r="CE18" s="100" t="str">
        <f t="shared" si="5"/>
        <v/>
      </c>
      <c r="CF18" s="100" t="str">
        <f t="shared" si="6"/>
        <v/>
      </c>
      <c r="CG18" s="100" t="str">
        <f t="shared" si="7"/>
        <v/>
      </c>
      <c r="CH18" s="100" t="str">
        <f t="shared" si="8"/>
        <v/>
      </c>
      <c r="CI18" s="100" t="str">
        <f t="shared" si="9"/>
        <v/>
      </c>
      <c r="CJ18" s="100" t="str">
        <f t="shared" si="10"/>
        <v/>
      </c>
      <c r="CK18" s="101"/>
      <c r="CL18" s="100" t="str">
        <f t="shared" si="12"/>
        <v/>
      </c>
      <c r="CM18" s="101"/>
      <c r="CU18" s="102">
        <f t="shared" si="13"/>
        <v>0</v>
      </c>
      <c r="CV18" s="102">
        <f t="shared" si="24"/>
        <v>0</v>
      </c>
      <c r="CW18" s="103"/>
      <c r="CX18" s="103"/>
      <c r="CY18" s="102">
        <f t="shared" si="16"/>
        <v>0</v>
      </c>
      <c r="CZ18" s="102">
        <f t="shared" si="17"/>
        <v>0</v>
      </c>
      <c r="DA18" s="102">
        <f t="shared" si="18"/>
        <v>0</v>
      </c>
      <c r="DB18" s="102">
        <f t="shared" si="19"/>
        <v>0</v>
      </c>
      <c r="DC18" s="102">
        <f t="shared" si="20"/>
        <v>0</v>
      </c>
      <c r="DD18" s="102">
        <f t="shared" si="21"/>
        <v>0</v>
      </c>
      <c r="DE18" s="103"/>
      <c r="DF18" s="102">
        <f t="shared" si="23"/>
        <v>0</v>
      </c>
      <c r="DG18" s="104"/>
    </row>
    <row r="19" spans="1:111" ht="15" customHeight="1">
      <c r="A19" s="5618" t="s">
        <v>83</v>
      </c>
      <c r="B19" s="78" t="s">
        <v>78</v>
      </c>
      <c r="C19" s="125">
        <f t="shared" si="0"/>
        <v>0</v>
      </c>
      <c r="D19" s="126"/>
      <c r="E19" s="127"/>
      <c r="F19" s="82"/>
      <c r="G19" s="82"/>
      <c r="H19" s="82"/>
      <c r="I19" s="82"/>
      <c r="J19" s="82"/>
      <c r="K19" s="82"/>
      <c r="L19" s="82"/>
      <c r="M19" s="82"/>
      <c r="N19" s="82"/>
      <c r="O19" s="83"/>
      <c r="P19" s="83"/>
      <c r="Q19" s="83"/>
      <c r="R19" s="83"/>
      <c r="S19" s="83"/>
      <c r="T19" s="128"/>
      <c r="U19" s="127"/>
      <c r="V19" s="129"/>
      <c r="W19" s="88"/>
      <c r="X19" s="82"/>
      <c r="Y19" s="130"/>
      <c r="Z19" s="90"/>
      <c r="AA19" s="91"/>
      <c r="AB19" s="131"/>
      <c r="AC19" s="132"/>
      <c r="AD19" s="97"/>
      <c r="AE19" s="133"/>
      <c r="AF19" s="134"/>
      <c r="AG19" s="97"/>
      <c r="AH19" s="98"/>
      <c r="AI19" s="99" t="str">
        <f t="shared" si="1"/>
        <v/>
      </c>
      <c r="AK19" s="148"/>
      <c r="AL19" s="148"/>
      <c r="CA19" s="100" t="str">
        <f t="shared" si="2"/>
        <v/>
      </c>
      <c r="CB19" s="100" t="str">
        <f t="shared" si="3"/>
        <v/>
      </c>
      <c r="CC19" s="100" t="str">
        <f t="shared" ref="CC19:CC26" si="25">IF(AND($C19&lt;&gt;0,X19=""),"* No olvide ingresar la columna "&amp;X$9&amp;""&amp;" (Digite CERO si no tiene).  ",IF(X19&gt;$C19,"* El Número de Control de diada con presencia del padre no puede superar el Total. ",""))</f>
        <v/>
      </c>
      <c r="CD19" s="101"/>
      <c r="CE19" s="100" t="str">
        <f t="shared" si="5"/>
        <v/>
      </c>
      <c r="CF19" s="100" t="str">
        <f t="shared" si="6"/>
        <v/>
      </c>
      <c r="CG19" s="100" t="str">
        <f t="shared" si="7"/>
        <v/>
      </c>
      <c r="CH19" s="100" t="str">
        <f t="shared" si="8"/>
        <v/>
      </c>
      <c r="CI19" s="100" t="str">
        <f t="shared" si="9"/>
        <v/>
      </c>
      <c r="CJ19" s="100" t="str">
        <f t="shared" si="10"/>
        <v/>
      </c>
      <c r="CK19" s="101"/>
      <c r="CL19" s="100" t="str">
        <f t="shared" si="12"/>
        <v/>
      </c>
      <c r="CM19" s="101"/>
      <c r="CU19" s="102">
        <f t="shared" si="13"/>
        <v>0</v>
      </c>
      <c r="CV19" s="102">
        <f t="shared" si="24"/>
        <v>0</v>
      </c>
      <c r="CW19" s="102">
        <f t="shared" ref="CW19:CW26" si="26">IF(AND(C19&lt;&gt;0,X19=""),1,IF(X19&gt;C19,1,0))</f>
        <v>0</v>
      </c>
      <c r="CX19" s="103"/>
      <c r="CY19" s="102">
        <f t="shared" si="16"/>
        <v>0</v>
      </c>
      <c r="CZ19" s="102">
        <f t="shared" si="17"/>
        <v>0</v>
      </c>
      <c r="DA19" s="102">
        <f t="shared" si="18"/>
        <v>0</v>
      </c>
      <c r="DB19" s="102">
        <f t="shared" si="19"/>
        <v>0</v>
      </c>
      <c r="DC19" s="102">
        <f t="shared" si="20"/>
        <v>0</v>
      </c>
      <c r="DD19" s="102">
        <f t="shared" si="21"/>
        <v>0</v>
      </c>
      <c r="DE19" s="103"/>
      <c r="DF19" s="102">
        <f t="shared" si="23"/>
        <v>0</v>
      </c>
      <c r="DG19" s="104"/>
    </row>
    <row r="20" spans="1:111" ht="15" customHeight="1">
      <c r="A20" s="5618"/>
      <c r="B20" s="106" t="s">
        <v>79</v>
      </c>
      <c r="C20" s="136">
        <f t="shared" si="0"/>
        <v>0</v>
      </c>
      <c r="D20" s="137"/>
      <c r="E20" s="138"/>
      <c r="F20" s="139"/>
      <c r="G20" s="139"/>
      <c r="H20" s="139"/>
      <c r="I20" s="139"/>
      <c r="J20" s="139"/>
      <c r="K20" s="139"/>
      <c r="L20" s="139"/>
      <c r="M20" s="139"/>
      <c r="N20" s="110"/>
      <c r="O20" s="140"/>
      <c r="P20" s="111"/>
      <c r="Q20" s="111"/>
      <c r="R20" s="111"/>
      <c r="S20" s="111"/>
      <c r="T20" s="141"/>
      <c r="U20" s="142"/>
      <c r="V20" s="114"/>
      <c r="W20" s="149"/>
      <c r="X20" s="150"/>
      <c r="Y20" s="143"/>
      <c r="Z20" s="117"/>
      <c r="AA20" s="118"/>
      <c r="AB20" s="119"/>
      <c r="AC20" s="120"/>
      <c r="AD20" s="121"/>
      <c r="AE20" s="122"/>
      <c r="AF20" s="144"/>
      <c r="AG20" s="121"/>
      <c r="AH20" s="124"/>
      <c r="AI20" s="99" t="str">
        <f t="shared" si="1"/>
        <v/>
      </c>
      <c r="CA20" s="100" t="str">
        <f t="shared" si="2"/>
        <v/>
      </c>
      <c r="CB20" s="100" t="str">
        <f t="shared" si="3"/>
        <v/>
      </c>
      <c r="CC20" s="100" t="str">
        <f t="shared" si="25"/>
        <v/>
      </c>
      <c r="CD20" s="101"/>
      <c r="CE20" s="100" t="str">
        <f t="shared" si="5"/>
        <v/>
      </c>
      <c r="CF20" s="100" t="str">
        <f t="shared" si="6"/>
        <v/>
      </c>
      <c r="CG20" s="100" t="str">
        <f t="shared" si="7"/>
        <v/>
      </c>
      <c r="CH20" s="100" t="str">
        <f t="shared" si="8"/>
        <v/>
      </c>
      <c r="CI20" s="100" t="str">
        <f t="shared" si="9"/>
        <v/>
      </c>
      <c r="CJ20" s="100" t="str">
        <f t="shared" si="10"/>
        <v/>
      </c>
      <c r="CK20" s="101"/>
      <c r="CL20" s="100" t="str">
        <f t="shared" si="12"/>
        <v/>
      </c>
      <c r="CM20" s="101"/>
      <c r="CU20" s="102">
        <f t="shared" si="13"/>
        <v>0</v>
      </c>
      <c r="CV20" s="102">
        <f t="shared" si="24"/>
        <v>0</v>
      </c>
      <c r="CW20" s="102">
        <f t="shared" si="26"/>
        <v>0</v>
      </c>
      <c r="CX20" s="103"/>
      <c r="CY20" s="102">
        <f t="shared" si="16"/>
        <v>0</v>
      </c>
      <c r="CZ20" s="102">
        <f t="shared" si="17"/>
        <v>0</v>
      </c>
      <c r="DA20" s="102">
        <f t="shared" si="18"/>
        <v>0</v>
      </c>
      <c r="DB20" s="102">
        <f t="shared" si="19"/>
        <v>0</v>
      </c>
      <c r="DC20" s="102">
        <f t="shared" si="20"/>
        <v>0</v>
      </c>
      <c r="DD20" s="102">
        <f t="shared" si="21"/>
        <v>0</v>
      </c>
      <c r="DE20" s="103"/>
      <c r="DF20" s="102">
        <f t="shared" si="23"/>
        <v>0</v>
      </c>
      <c r="DG20" s="104"/>
    </row>
    <row r="21" spans="1:111" ht="15" customHeight="1">
      <c r="A21" s="5619" t="s">
        <v>84</v>
      </c>
      <c r="B21" s="78" t="s">
        <v>78</v>
      </c>
      <c r="C21" s="79">
        <f t="shared" si="0"/>
        <v>0</v>
      </c>
      <c r="D21" s="80"/>
      <c r="E21" s="81"/>
      <c r="F21" s="96"/>
      <c r="G21" s="96"/>
      <c r="H21" s="96"/>
      <c r="I21" s="96"/>
      <c r="J21" s="96"/>
      <c r="K21" s="96"/>
      <c r="L21" s="96"/>
      <c r="M21" s="96"/>
      <c r="N21" s="96"/>
      <c r="O21" s="84"/>
      <c r="P21" s="84"/>
      <c r="Q21" s="84"/>
      <c r="R21" s="84"/>
      <c r="S21" s="84"/>
      <c r="T21" s="85"/>
      <c r="U21" s="81"/>
      <c r="V21" s="129"/>
      <c r="W21" s="151"/>
      <c r="X21" s="152"/>
      <c r="Y21" s="130"/>
      <c r="Z21" s="90"/>
      <c r="AA21" s="91"/>
      <c r="AB21" s="131"/>
      <c r="AC21" s="132"/>
      <c r="AD21" s="97"/>
      <c r="AE21" s="133"/>
      <c r="AF21" s="134"/>
      <c r="AG21" s="97"/>
      <c r="AH21" s="98"/>
      <c r="AI21" s="99" t="str">
        <f t="shared" si="1"/>
        <v/>
      </c>
      <c r="CA21" s="100" t="str">
        <f t="shared" si="2"/>
        <v/>
      </c>
      <c r="CB21" s="100" t="str">
        <f t="shared" si="3"/>
        <v/>
      </c>
      <c r="CC21" s="100" t="str">
        <f t="shared" si="25"/>
        <v/>
      </c>
      <c r="CD21" s="101"/>
      <c r="CE21" s="100" t="str">
        <f t="shared" si="5"/>
        <v/>
      </c>
      <c r="CF21" s="100" t="str">
        <f t="shared" si="6"/>
        <v/>
      </c>
      <c r="CG21" s="100" t="str">
        <f t="shared" si="7"/>
        <v/>
      </c>
      <c r="CH21" s="100" t="str">
        <f t="shared" si="8"/>
        <v/>
      </c>
      <c r="CI21" s="100" t="str">
        <f t="shared" si="9"/>
        <v/>
      </c>
      <c r="CJ21" s="100" t="str">
        <f t="shared" si="10"/>
        <v/>
      </c>
      <c r="CK21" s="101"/>
      <c r="CL21" s="100" t="str">
        <f t="shared" si="12"/>
        <v/>
      </c>
      <c r="CM21" s="101"/>
      <c r="CU21" s="102">
        <f t="shared" si="13"/>
        <v>0</v>
      </c>
      <c r="CV21" s="102">
        <f t="shared" si="24"/>
        <v>0</v>
      </c>
      <c r="CW21" s="102">
        <f t="shared" si="26"/>
        <v>0</v>
      </c>
      <c r="CX21" s="103"/>
      <c r="CY21" s="102">
        <f t="shared" si="16"/>
        <v>0</v>
      </c>
      <c r="CZ21" s="102">
        <f t="shared" si="17"/>
        <v>0</v>
      </c>
      <c r="DA21" s="102">
        <f t="shared" si="18"/>
        <v>0</v>
      </c>
      <c r="DB21" s="102">
        <f t="shared" si="19"/>
        <v>0</v>
      </c>
      <c r="DC21" s="102">
        <f t="shared" si="20"/>
        <v>0</v>
      </c>
      <c r="DD21" s="102">
        <f t="shared" si="21"/>
        <v>0</v>
      </c>
      <c r="DE21" s="103"/>
      <c r="DF21" s="102">
        <f t="shared" si="23"/>
        <v>0</v>
      </c>
      <c r="DG21" s="104"/>
    </row>
    <row r="22" spans="1:111" ht="15" customHeight="1">
      <c r="A22" s="5620"/>
      <c r="B22" s="106" t="s">
        <v>79</v>
      </c>
      <c r="C22" s="107">
        <f t="shared" si="0"/>
        <v>0</v>
      </c>
      <c r="D22" s="108"/>
      <c r="E22" s="109"/>
      <c r="F22" s="123"/>
      <c r="G22" s="123"/>
      <c r="H22" s="123"/>
      <c r="I22" s="123"/>
      <c r="J22" s="123"/>
      <c r="K22" s="123"/>
      <c r="L22" s="123"/>
      <c r="M22" s="123"/>
      <c r="N22" s="123"/>
      <c r="O22" s="140"/>
      <c r="P22" s="111"/>
      <c r="Q22" s="111"/>
      <c r="R22" s="111"/>
      <c r="S22" s="111"/>
      <c r="T22" s="112"/>
      <c r="U22" s="147"/>
      <c r="V22" s="114"/>
      <c r="W22" s="115"/>
      <c r="X22" s="110"/>
      <c r="Y22" s="143"/>
      <c r="Z22" s="117"/>
      <c r="AA22" s="118"/>
      <c r="AB22" s="119"/>
      <c r="AC22" s="120"/>
      <c r="AD22" s="121"/>
      <c r="AE22" s="122"/>
      <c r="AF22" s="144"/>
      <c r="AG22" s="121"/>
      <c r="AH22" s="124"/>
      <c r="AI22" s="99" t="str">
        <f t="shared" si="1"/>
        <v/>
      </c>
      <c r="CA22" s="100" t="str">
        <f t="shared" si="2"/>
        <v/>
      </c>
      <c r="CB22" s="100" t="str">
        <f t="shared" si="3"/>
        <v/>
      </c>
      <c r="CC22" s="100" t="str">
        <f t="shared" si="25"/>
        <v/>
      </c>
      <c r="CD22" s="101"/>
      <c r="CE22" s="100" t="str">
        <f t="shared" si="5"/>
        <v/>
      </c>
      <c r="CF22" s="100" t="str">
        <f t="shared" si="6"/>
        <v/>
      </c>
      <c r="CG22" s="100" t="str">
        <f t="shared" si="7"/>
        <v/>
      </c>
      <c r="CH22" s="100" t="str">
        <f t="shared" si="8"/>
        <v/>
      </c>
      <c r="CI22" s="100" t="str">
        <f t="shared" si="9"/>
        <v/>
      </c>
      <c r="CJ22" s="100" t="str">
        <f t="shared" si="10"/>
        <v/>
      </c>
      <c r="CK22" s="101"/>
      <c r="CL22" s="100" t="str">
        <f t="shared" si="12"/>
        <v/>
      </c>
      <c r="CM22" s="101"/>
      <c r="CU22" s="102">
        <f t="shared" si="13"/>
        <v>0</v>
      </c>
      <c r="CV22" s="102">
        <f t="shared" si="24"/>
        <v>0</v>
      </c>
      <c r="CW22" s="102">
        <f t="shared" si="26"/>
        <v>0</v>
      </c>
      <c r="CX22" s="103"/>
      <c r="CY22" s="102">
        <f t="shared" si="16"/>
        <v>0</v>
      </c>
      <c r="CZ22" s="102">
        <f t="shared" si="17"/>
        <v>0</v>
      </c>
      <c r="DA22" s="102">
        <f t="shared" si="18"/>
        <v>0</v>
      </c>
      <c r="DB22" s="102">
        <f t="shared" si="19"/>
        <v>0</v>
      </c>
      <c r="DC22" s="102">
        <f t="shared" si="20"/>
        <v>0</v>
      </c>
      <c r="DD22" s="102">
        <f t="shared" si="21"/>
        <v>0</v>
      </c>
      <c r="DE22" s="103"/>
      <c r="DF22" s="102">
        <f t="shared" si="23"/>
        <v>0</v>
      </c>
      <c r="DG22" s="104"/>
    </row>
    <row r="23" spans="1:111" ht="15" customHeight="1">
      <c r="A23" s="5618" t="s">
        <v>85</v>
      </c>
      <c r="B23" s="78" t="s">
        <v>78</v>
      </c>
      <c r="C23" s="125">
        <f t="shared" ref="C23:C26" si="27">SUM(D23)</f>
        <v>0</v>
      </c>
      <c r="D23" s="95"/>
      <c r="E23" s="81"/>
      <c r="F23" s="84"/>
      <c r="G23" s="84"/>
      <c r="H23" s="84"/>
      <c r="I23" s="84"/>
      <c r="J23" s="84"/>
      <c r="K23" s="84"/>
      <c r="L23" s="84"/>
      <c r="M23" s="84"/>
      <c r="N23" s="84"/>
      <c r="O23" s="84"/>
      <c r="P23" s="84"/>
      <c r="Q23" s="84"/>
      <c r="R23" s="84"/>
      <c r="S23" s="84"/>
      <c r="T23" s="85"/>
      <c r="U23" s="86"/>
      <c r="V23" s="129"/>
      <c r="W23" s="153"/>
      <c r="X23" s="139"/>
      <c r="Y23" s="130"/>
      <c r="Z23" s="90"/>
      <c r="AA23" s="154"/>
      <c r="AB23" s="131"/>
      <c r="AC23" s="132"/>
      <c r="AD23" s="97"/>
      <c r="AE23" s="155"/>
      <c r="AF23" s="134"/>
      <c r="AG23" s="156"/>
      <c r="AH23" s="98"/>
      <c r="AI23" s="99" t="str">
        <f t="shared" si="1"/>
        <v/>
      </c>
      <c r="CA23" s="100" t="str">
        <f t="shared" si="2"/>
        <v/>
      </c>
      <c r="CB23" s="101"/>
      <c r="CC23" s="100" t="str">
        <f t="shared" si="25"/>
        <v/>
      </c>
      <c r="CD23" s="101"/>
      <c r="CE23" s="100" t="str">
        <f t="shared" si="5"/>
        <v/>
      </c>
      <c r="CF23" s="100" t="str">
        <f t="shared" si="6"/>
        <v/>
      </c>
      <c r="CG23" s="100" t="str">
        <f t="shared" si="7"/>
        <v/>
      </c>
      <c r="CH23" s="100" t="str">
        <f t="shared" si="8"/>
        <v/>
      </c>
      <c r="CI23" s="100" t="str">
        <f t="shared" si="9"/>
        <v/>
      </c>
      <c r="CJ23" s="101"/>
      <c r="CK23" s="101"/>
      <c r="CL23" s="101"/>
      <c r="CM23" s="101"/>
      <c r="CU23" s="102">
        <f t="shared" si="13"/>
        <v>0</v>
      </c>
      <c r="CV23" s="103"/>
      <c r="CW23" s="102">
        <f t="shared" si="26"/>
        <v>0</v>
      </c>
      <c r="CX23" s="103"/>
      <c r="CY23" s="102">
        <f t="shared" si="16"/>
        <v>0</v>
      </c>
      <c r="CZ23" s="102">
        <f t="shared" si="17"/>
        <v>0</v>
      </c>
      <c r="DA23" s="102">
        <f t="shared" si="18"/>
        <v>0</v>
      </c>
      <c r="DB23" s="102">
        <f t="shared" si="19"/>
        <v>0</v>
      </c>
      <c r="DC23" s="102">
        <f t="shared" si="20"/>
        <v>0</v>
      </c>
      <c r="DD23" s="103"/>
      <c r="DE23" s="103"/>
      <c r="DF23" s="103"/>
      <c r="DG23" s="104"/>
    </row>
    <row r="24" spans="1:111" ht="15" customHeight="1">
      <c r="A24" s="5618"/>
      <c r="B24" s="106" t="s">
        <v>79</v>
      </c>
      <c r="C24" s="125">
        <f t="shared" si="27"/>
        <v>0</v>
      </c>
      <c r="D24" s="157"/>
      <c r="E24" s="109"/>
      <c r="F24" s="111"/>
      <c r="G24" s="111"/>
      <c r="H24" s="111"/>
      <c r="I24" s="111"/>
      <c r="J24" s="111"/>
      <c r="K24" s="111"/>
      <c r="L24" s="111"/>
      <c r="M24" s="111"/>
      <c r="N24" s="111"/>
      <c r="O24" s="111"/>
      <c r="P24" s="111"/>
      <c r="Q24" s="111"/>
      <c r="R24" s="111"/>
      <c r="S24" s="111"/>
      <c r="T24" s="112"/>
      <c r="U24" s="113"/>
      <c r="V24" s="114"/>
      <c r="W24" s="158"/>
      <c r="X24" s="110"/>
      <c r="Y24" s="143"/>
      <c r="Z24" s="159"/>
      <c r="AA24" s="160"/>
      <c r="AB24" s="119"/>
      <c r="AC24" s="120"/>
      <c r="AD24" s="121"/>
      <c r="AE24" s="161"/>
      <c r="AF24" s="162"/>
      <c r="AG24" s="163"/>
      <c r="AH24" s="124"/>
      <c r="AI24" s="99" t="str">
        <f t="shared" si="1"/>
        <v/>
      </c>
      <c r="CA24" s="100" t="str">
        <f t="shared" si="2"/>
        <v/>
      </c>
      <c r="CB24" s="101"/>
      <c r="CC24" s="100" t="str">
        <f t="shared" si="25"/>
        <v/>
      </c>
      <c r="CD24" s="101"/>
      <c r="CE24" s="100" t="str">
        <f t="shared" si="5"/>
        <v/>
      </c>
      <c r="CF24" s="100" t="str">
        <f t="shared" si="6"/>
        <v/>
      </c>
      <c r="CG24" s="100" t="str">
        <f t="shared" si="7"/>
        <v/>
      </c>
      <c r="CH24" s="100" t="str">
        <f t="shared" si="8"/>
        <v/>
      </c>
      <c r="CI24" s="100" t="str">
        <f t="shared" si="9"/>
        <v/>
      </c>
      <c r="CJ24" s="101"/>
      <c r="CK24" s="101"/>
      <c r="CL24" s="101"/>
      <c r="CM24" s="101"/>
      <c r="CU24" s="102">
        <f t="shared" si="13"/>
        <v>0</v>
      </c>
      <c r="CV24" s="103"/>
      <c r="CW24" s="102">
        <f t="shared" si="26"/>
        <v>0</v>
      </c>
      <c r="CX24" s="103"/>
      <c r="CY24" s="102">
        <f t="shared" si="16"/>
        <v>0</v>
      </c>
      <c r="CZ24" s="102">
        <f t="shared" si="17"/>
        <v>0</v>
      </c>
      <c r="DA24" s="102">
        <f t="shared" si="18"/>
        <v>0</v>
      </c>
      <c r="DB24" s="102">
        <f t="shared" si="19"/>
        <v>0</v>
      </c>
      <c r="DC24" s="102">
        <f t="shared" si="20"/>
        <v>0</v>
      </c>
      <c r="DD24" s="103"/>
      <c r="DE24" s="103"/>
      <c r="DF24" s="103"/>
      <c r="DG24" s="104"/>
    </row>
    <row r="25" spans="1:111" ht="15" customHeight="1">
      <c r="A25" s="5619" t="s">
        <v>86</v>
      </c>
      <c r="B25" s="78" t="s">
        <v>78</v>
      </c>
      <c r="C25" s="79">
        <f t="shared" si="27"/>
        <v>0</v>
      </c>
      <c r="D25" s="164"/>
      <c r="E25" s="127"/>
      <c r="F25" s="83"/>
      <c r="G25" s="83"/>
      <c r="H25" s="83"/>
      <c r="I25" s="83"/>
      <c r="J25" s="83"/>
      <c r="K25" s="83"/>
      <c r="L25" s="83"/>
      <c r="M25" s="83"/>
      <c r="N25" s="83"/>
      <c r="O25" s="83"/>
      <c r="P25" s="84"/>
      <c r="Q25" s="84"/>
      <c r="R25" s="84"/>
      <c r="S25" s="84"/>
      <c r="T25" s="85"/>
      <c r="U25" s="86"/>
      <c r="V25" s="129"/>
      <c r="W25" s="153"/>
      <c r="X25" s="139"/>
      <c r="Y25" s="130"/>
      <c r="Z25" s="165"/>
      <c r="AA25" s="166"/>
      <c r="AB25" s="131"/>
      <c r="AC25" s="132"/>
      <c r="AD25" s="97"/>
      <c r="AE25" s="155"/>
      <c r="AF25" s="167"/>
      <c r="AG25" s="156"/>
      <c r="AH25" s="98"/>
      <c r="AI25" s="99" t="str">
        <f t="shared" si="1"/>
        <v/>
      </c>
      <c r="CA25" s="100" t="str">
        <f t="shared" si="2"/>
        <v/>
      </c>
      <c r="CB25" s="101"/>
      <c r="CC25" s="100" t="str">
        <f t="shared" si="25"/>
        <v/>
      </c>
      <c r="CD25" s="101"/>
      <c r="CE25" s="100" t="str">
        <f t="shared" si="5"/>
        <v/>
      </c>
      <c r="CF25" s="100" t="str">
        <f t="shared" si="6"/>
        <v/>
      </c>
      <c r="CG25" s="100" t="str">
        <f t="shared" si="7"/>
        <v/>
      </c>
      <c r="CH25" s="100" t="str">
        <f t="shared" si="8"/>
        <v/>
      </c>
      <c r="CI25" s="100" t="str">
        <f t="shared" si="9"/>
        <v/>
      </c>
      <c r="CJ25" s="101"/>
      <c r="CK25" s="101"/>
      <c r="CL25" s="101"/>
      <c r="CM25" s="101"/>
      <c r="CU25" s="102">
        <f t="shared" si="13"/>
        <v>0</v>
      </c>
      <c r="CV25" s="103"/>
      <c r="CW25" s="102">
        <f t="shared" si="26"/>
        <v>0</v>
      </c>
      <c r="CX25" s="103"/>
      <c r="CY25" s="102">
        <f t="shared" si="16"/>
        <v>0</v>
      </c>
      <c r="CZ25" s="102">
        <f t="shared" si="17"/>
        <v>0</v>
      </c>
      <c r="DA25" s="102">
        <f t="shared" si="18"/>
        <v>0</v>
      </c>
      <c r="DB25" s="102">
        <f t="shared" si="19"/>
        <v>0</v>
      </c>
      <c r="DC25" s="102">
        <f t="shared" si="20"/>
        <v>0</v>
      </c>
      <c r="DD25" s="103"/>
      <c r="DE25" s="103"/>
      <c r="DF25" s="103"/>
      <c r="DG25" s="104"/>
    </row>
    <row r="26" spans="1:111" ht="15" customHeight="1">
      <c r="A26" s="5620"/>
      <c r="B26" s="106" t="s">
        <v>79</v>
      </c>
      <c r="C26" s="107">
        <f t="shared" si="27"/>
        <v>0</v>
      </c>
      <c r="D26" s="133"/>
      <c r="E26" s="109"/>
      <c r="F26" s="111"/>
      <c r="G26" s="111"/>
      <c r="H26" s="111"/>
      <c r="I26" s="111"/>
      <c r="J26" s="111"/>
      <c r="K26" s="111"/>
      <c r="L26" s="111"/>
      <c r="M26" s="111"/>
      <c r="N26" s="111"/>
      <c r="O26" s="111"/>
      <c r="P26" s="111"/>
      <c r="Q26" s="111"/>
      <c r="R26" s="111"/>
      <c r="S26" s="111"/>
      <c r="T26" s="112"/>
      <c r="U26" s="113"/>
      <c r="V26" s="114"/>
      <c r="W26" s="158"/>
      <c r="X26" s="110"/>
      <c r="Y26" s="143"/>
      <c r="Z26" s="168"/>
      <c r="AA26" s="160"/>
      <c r="AB26" s="119"/>
      <c r="AC26" s="120"/>
      <c r="AD26" s="121"/>
      <c r="AE26" s="161"/>
      <c r="AF26" s="162"/>
      <c r="AG26" s="163"/>
      <c r="AH26" s="124"/>
      <c r="AI26" s="99" t="str">
        <f t="shared" si="1"/>
        <v/>
      </c>
      <c r="CA26" s="100" t="str">
        <f t="shared" si="2"/>
        <v/>
      </c>
      <c r="CB26" s="101"/>
      <c r="CC26" s="100" t="str">
        <f t="shared" si="25"/>
        <v/>
      </c>
      <c r="CD26" s="101"/>
      <c r="CE26" s="100" t="str">
        <f t="shared" si="5"/>
        <v/>
      </c>
      <c r="CF26" s="100" t="str">
        <f t="shared" si="6"/>
        <v/>
      </c>
      <c r="CG26" s="100" t="str">
        <f t="shared" si="7"/>
        <v/>
      </c>
      <c r="CH26" s="100" t="str">
        <f t="shared" si="8"/>
        <v/>
      </c>
      <c r="CI26" s="100" t="str">
        <f t="shared" si="9"/>
        <v/>
      </c>
      <c r="CJ26" s="101"/>
      <c r="CK26" s="101"/>
      <c r="CL26" s="101"/>
      <c r="CM26" s="101"/>
      <c r="CU26" s="102">
        <f t="shared" si="13"/>
        <v>0</v>
      </c>
      <c r="CV26" s="103"/>
      <c r="CW26" s="102">
        <f t="shared" si="26"/>
        <v>0</v>
      </c>
      <c r="CX26" s="103"/>
      <c r="CY26" s="102">
        <f t="shared" si="16"/>
        <v>0</v>
      </c>
      <c r="CZ26" s="102">
        <f t="shared" si="17"/>
        <v>0</v>
      </c>
      <c r="DA26" s="102">
        <f t="shared" si="18"/>
        <v>0</v>
      </c>
      <c r="DB26" s="102">
        <f t="shared" si="19"/>
        <v>0</v>
      </c>
      <c r="DC26" s="102">
        <f t="shared" si="20"/>
        <v>0</v>
      </c>
      <c r="DD26" s="103"/>
      <c r="DE26" s="103"/>
      <c r="DF26" s="103"/>
      <c r="DG26" s="104"/>
    </row>
    <row r="27" spans="1:111" ht="15" customHeight="1">
      <c r="A27" s="5621" t="s">
        <v>87</v>
      </c>
      <c r="B27" s="78" t="s">
        <v>78</v>
      </c>
      <c r="C27" s="78">
        <f t="shared" ref="C27:C28" si="28">SUM(F27:T27)</f>
        <v>0</v>
      </c>
      <c r="D27" s="80"/>
      <c r="E27" s="81"/>
      <c r="F27" s="96"/>
      <c r="G27" s="96"/>
      <c r="H27" s="96"/>
      <c r="I27" s="96"/>
      <c r="J27" s="96"/>
      <c r="K27" s="96"/>
      <c r="L27" s="96"/>
      <c r="M27" s="96"/>
      <c r="N27" s="96"/>
      <c r="O27" s="96"/>
      <c r="P27" s="96"/>
      <c r="Q27" s="96"/>
      <c r="R27" s="96"/>
      <c r="S27" s="96"/>
      <c r="T27" s="170"/>
      <c r="U27" s="127"/>
      <c r="V27" s="129"/>
      <c r="W27" s="153"/>
      <c r="X27" s="83"/>
      <c r="Y27" s="171"/>
      <c r="Z27" s="90"/>
      <c r="AA27" s="91"/>
      <c r="AB27" s="131"/>
      <c r="AC27" s="132"/>
      <c r="AD27" s="97"/>
      <c r="AE27" s="133"/>
      <c r="AF27" s="134"/>
      <c r="AG27" s="97"/>
      <c r="AH27" s="98"/>
      <c r="AI27" s="99" t="str">
        <f t="shared" si="1"/>
        <v/>
      </c>
      <c r="CA27" s="100" t="str">
        <f t="shared" si="2"/>
        <v/>
      </c>
      <c r="CB27" s="101"/>
      <c r="CC27" s="101"/>
      <c r="CD27" s="100" t="str">
        <f t="shared" si="4"/>
        <v/>
      </c>
      <c r="CE27" s="100" t="str">
        <f t="shared" si="5"/>
        <v/>
      </c>
      <c r="CF27" s="100" t="str">
        <f t="shared" si="6"/>
        <v/>
      </c>
      <c r="CG27" s="100" t="str">
        <f t="shared" si="7"/>
        <v/>
      </c>
      <c r="CH27" s="100" t="str">
        <f t="shared" si="8"/>
        <v/>
      </c>
      <c r="CI27" s="100" t="str">
        <f t="shared" si="9"/>
        <v/>
      </c>
      <c r="CJ27" s="100" t="str">
        <f t="shared" si="10"/>
        <v/>
      </c>
      <c r="CK27" s="101"/>
      <c r="CL27" s="100" t="str">
        <f t="shared" si="12"/>
        <v/>
      </c>
      <c r="CM27" s="101"/>
      <c r="CU27" s="102">
        <f t="shared" si="13"/>
        <v>0</v>
      </c>
      <c r="CV27" s="103"/>
      <c r="CW27" s="103"/>
      <c r="CX27" s="102">
        <f t="shared" si="15"/>
        <v>0</v>
      </c>
      <c r="CY27" s="102">
        <f t="shared" si="16"/>
        <v>0</v>
      </c>
      <c r="CZ27" s="102">
        <f t="shared" si="17"/>
        <v>0</v>
      </c>
      <c r="DA27" s="102">
        <f t="shared" si="18"/>
        <v>0</v>
      </c>
      <c r="DB27" s="102">
        <f t="shared" si="19"/>
        <v>0</v>
      </c>
      <c r="DC27" s="102">
        <f t="shared" si="20"/>
        <v>0</v>
      </c>
      <c r="DD27" s="102">
        <f t="shared" si="21"/>
        <v>0</v>
      </c>
      <c r="DE27" s="103"/>
      <c r="DF27" s="102">
        <f t="shared" si="23"/>
        <v>0</v>
      </c>
      <c r="DG27" s="104"/>
    </row>
    <row r="28" spans="1:111" ht="15" customHeight="1">
      <c r="A28" s="5621"/>
      <c r="B28" s="106" t="s">
        <v>79</v>
      </c>
      <c r="C28" s="172">
        <f t="shared" si="28"/>
        <v>0</v>
      </c>
      <c r="D28" s="108"/>
      <c r="E28" s="109"/>
      <c r="F28" s="139"/>
      <c r="G28" s="139"/>
      <c r="H28" s="139"/>
      <c r="I28" s="139"/>
      <c r="J28" s="139"/>
      <c r="K28" s="139"/>
      <c r="L28" s="139"/>
      <c r="M28" s="139"/>
      <c r="N28" s="110"/>
      <c r="O28" s="123"/>
      <c r="P28" s="123"/>
      <c r="Q28" s="139"/>
      <c r="R28" s="139"/>
      <c r="S28" s="139"/>
      <c r="T28" s="173"/>
      <c r="U28" s="142"/>
      <c r="V28" s="114"/>
      <c r="W28" s="158"/>
      <c r="X28" s="111"/>
      <c r="Y28" s="116"/>
      <c r="Z28" s="174"/>
      <c r="AA28" s="160"/>
      <c r="AB28" s="119"/>
      <c r="AC28" s="120"/>
      <c r="AD28" s="121"/>
      <c r="AE28" s="122"/>
      <c r="AF28" s="144"/>
      <c r="AG28" s="121"/>
      <c r="AH28" s="124"/>
      <c r="AI28" s="99" t="str">
        <f t="shared" si="1"/>
        <v/>
      </c>
      <c r="CA28" s="100" t="str">
        <f t="shared" si="2"/>
        <v/>
      </c>
      <c r="CB28" s="101"/>
      <c r="CC28" s="101"/>
      <c r="CD28" s="100" t="str">
        <f t="shared" si="4"/>
        <v/>
      </c>
      <c r="CE28" s="100" t="str">
        <f t="shared" si="5"/>
        <v/>
      </c>
      <c r="CF28" s="100" t="str">
        <f t="shared" si="6"/>
        <v/>
      </c>
      <c r="CG28" s="100" t="str">
        <f t="shared" si="7"/>
        <v/>
      </c>
      <c r="CH28" s="100" t="str">
        <f t="shared" si="8"/>
        <v/>
      </c>
      <c r="CI28" s="100" t="str">
        <f t="shared" si="9"/>
        <v/>
      </c>
      <c r="CJ28" s="100" t="str">
        <f t="shared" si="10"/>
        <v/>
      </c>
      <c r="CK28" s="101"/>
      <c r="CL28" s="100" t="str">
        <f t="shared" si="12"/>
        <v/>
      </c>
      <c r="CM28" s="101"/>
      <c r="CU28" s="102">
        <f t="shared" si="13"/>
        <v>0</v>
      </c>
      <c r="CV28" s="103"/>
      <c r="CW28" s="103"/>
      <c r="CX28" s="102">
        <f t="shared" si="15"/>
        <v>0</v>
      </c>
      <c r="CY28" s="102">
        <f t="shared" si="16"/>
        <v>0</v>
      </c>
      <c r="CZ28" s="102">
        <f t="shared" si="17"/>
        <v>0</v>
      </c>
      <c r="DA28" s="102">
        <f t="shared" si="18"/>
        <v>0</v>
      </c>
      <c r="DB28" s="102">
        <f t="shared" si="19"/>
        <v>0</v>
      </c>
      <c r="DC28" s="102">
        <f t="shared" si="20"/>
        <v>0</v>
      </c>
      <c r="DD28" s="102">
        <f t="shared" si="21"/>
        <v>0</v>
      </c>
      <c r="DE28" s="103"/>
      <c r="DF28" s="102">
        <f t="shared" si="23"/>
        <v>0</v>
      </c>
      <c r="DG28" s="104"/>
    </row>
    <row r="29" spans="1:111" ht="15" customHeight="1">
      <c r="A29" s="5619" t="s">
        <v>88</v>
      </c>
      <c r="B29" s="78" t="s">
        <v>78</v>
      </c>
      <c r="C29" s="175">
        <f t="shared" ref="C29:C30" si="29">SUM(L29:P29)</f>
        <v>0</v>
      </c>
      <c r="D29" s="176"/>
      <c r="E29" s="177"/>
      <c r="F29" s="84"/>
      <c r="G29" s="84"/>
      <c r="H29" s="84"/>
      <c r="I29" s="84"/>
      <c r="J29" s="84"/>
      <c r="K29" s="84"/>
      <c r="L29" s="96"/>
      <c r="M29" s="96"/>
      <c r="N29" s="96"/>
      <c r="O29" s="96"/>
      <c r="P29" s="96"/>
      <c r="Q29" s="84"/>
      <c r="R29" s="84"/>
      <c r="S29" s="84"/>
      <c r="T29" s="85"/>
      <c r="U29" s="81"/>
      <c r="V29" s="129"/>
      <c r="W29" s="153"/>
      <c r="X29" s="83"/>
      <c r="Y29" s="130"/>
      <c r="Z29" s="178"/>
      <c r="AA29" s="179"/>
      <c r="AB29" s="131"/>
      <c r="AC29" s="132"/>
      <c r="AD29" s="97"/>
      <c r="AE29" s="133"/>
      <c r="AF29" s="134"/>
      <c r="AG29" s="97"/>
      <c r="AH29" s="98"/>
      <c r="AI29" s="99" t="str">
        <f t="shared" si="1"/>
        <v/>
      </c>
      <c r="CA29" s="100" t="str">
        <f t="shared" si="2"/>
        <v/>
      </c>
      <c r="CB29" s="101"/>
      <c r="CC29" s="101"/>
      <c r="CD29" s="101"/>
      <c r="CE29" s="101"/>
      <c r="CF29" s="101"/>
      <c r="CG29" s="100" t="str">
        <f t="shared" si="7"/>
        <v/>
      </c>
      <c r="CH29" s="100" t="str">
        <f t="shared" si="8"/>
        <v/>
      </c>
      <c r="CI29" s="100" t="str">
        <f t="shared" si="9"/>
        <v/>
      </c>
      <c r="CJ29" s="100" t="str">
        <f t="shared" si="10"/>
        <v/>
      </c>
      <c r="CK29" s="101"/>
      <c r="CL29" s="100" t="str">
        <f t="shared" si="12"/>
        <v/>
      </c>
      <c r="CM29" s="101"/>
      <c r="CU29" s="102">
        <f t="shared" si="13"/>
        <v>0</v>
      </c>
      <c r="CV29" s="103"/>
      <c r="CW29" s="103"/>
      <c r="CX29" s="103"/>
      <c r="CY29" s="103"/>
      <c r="CZ29" s="103"/>
      <c r="DA29" s="102">
        <f t="shared" si="18"/>
        <v>0</v>
      </c>
      <c r="DB29" s="102">
        <f t="shared" si="19"/>
        <v>0</v>
      </c>
      <c r="DC29" s="102">
        <f t="shared" si="20"/>
        <v>0</v>
      </c>
      <c r="DD29" s="102">
        <f t="shared" si="21"/>
        <v>0</v>
      </c>
      <c r="DE29" s="103"/>
      <c r="DF29" s="102">
        <f t="shared" si="23"/>
        <v>0</v>
      </c>
      <c r="DG29" s="104"/>
    </row>
    <row r="30" spans="1:111" ht="15" customHeight="1">
      <c r="A30" s="5620"/>
      <c r="B30" s="106" t="s">
        <v>79</v>
      </c>
      <c r="C30" s="180">
        <f t="shared" si="29"/>
        <v>0</v>
      </c>
      <c r="D30" s="108"/>
      <c r="E30" s="109"/>
      <c r="F30" s="140"/>
      <c r="G30" s="140"/>
      <c r="H30" s="140"/>
      <c r="I30" s="140"/>
      <c r="J30" s="140"/>
      <c r="K30" s="140"/>
      <c r="L30" s="123"/>
      <c r="M30" s="110"/>
      <c r="N30" s="110"/>
      <c r="O30" s="123"/>
      <c r="P30" s="123"/>
      <c r="Q30" s="140"/>
      <c r="R30" s="140"/>
      <c r="S30" s="140"/>
      <c r="T30" s="181"/>
      <c r="U30" s="109"/>
      <c r="V30" s="114"/>
      <c r="W30" s="158"/>
      <c r="X30" s="111"/>
      <c r="Y30" s="143"/>
      <c r="Z30" s="182"/>
      <c r="AA30" s="183"/>
      <c r="AB30" s="119"/>
      <c r="AC30" s="120"/>
      <c r="AD30" s="121"/>
      <c r="AE30" s="122"/>
      <c r="AF30" s="144"/>
      <c r="AG30" s="121"/>
      <c r="AH30" s="124"/>
      <c r="AI30" s="99" t="str">
        <f t="shared" si="1"/>
        <v/>
      </c>
      <c r="CA30" s="100" t="str">
        <f t="shared" si="2"/>
        <v/>
      </c>
      <c r="CB30" s="101"/>
      <c r="CC30" s="101"/>
      <c r="CD30" s="101"/>
      <c r="CE30" s="101"/>
      <c r="CF30" s="101"/>
      <c r="CG30" s="100" t="str">
        <f t="shared" si="7"/>
        <v/>
      </c>
      <c r="CH30" s="100" t="str">
        <f t="shared" si="8"/>
        <v/>
      </c>
      <c r="CI30" s="100" t="str">
        <f t="shared" si="9"/>
        <v/>
      </c>
      <c r="CJ30" s="100" t="str">
        <f t="shared" si="10"/>
        <v/>
      </c>
      <c r="CK30" s="101"/>
      <c r="CL30" s="100" t="str">
        <f t="shared" si="12"/>
        <v/>
      </c>
      <c r="CM30" s="101"/>
      <c r="CU30" s="102">
        <f t="shared" si="13"/>
        <v>0</v>
      </c>
      <c r="CV30" s="103"/>
      <c r="CW30" s="103"/>
      <c r="CX30" s="103"/>
      <c r="CY30" s="103"/>
      <c r="CZ30" s="103"/>
      <c r="DA30" s="102">
        <f t="shared" si="18"/>
        <v>0</v>
      </c>
      <c r="DB30" s="102">
        <f t="shared" si="19"/>
        <v>0</v>
      </c>
      <c r="DC30" s="102">
        <f t="shared" si="20"/>
        <v>0</v>
      </c>
      <c r="DD30" s="102">
        <f t="shared" si="21"/>
        <v>0</v>
      </c>
      <c r="DE30" s="103"/>
      <c r="DF30" s="102">
        <f t="shared" si="23"/>
        <v>0</v>
      </c>
      <c r="DG30" s="104"/>
    </row>
    <row r="31" spans="1:111" ht="15" customHeight="1">
      <c r="A31" s="5618" t="s">
        <v>89</v>
      </c>
      <c r="B31" s="78" t="s">
        <v>78</v>
      </c>
      <c r="C31" s="78">
        <f t="shared" ref="C31:C32" si="30">SUM(F31:T31)</f>
        <v>0</v>
      </c>
      <c r="D31" s="80"/>
      <c r="E31" s="81"/>
      <c r="F31" s="82"/>
      <c r="G31" s="82"/>
      <c r="H31" s="82"/>
      <c r="I31" s="82"/>
      <c r="J31" s="82"/>
      <c r="K31" s="82"/>
      <c r="L31" s="82"/>
      <c r="M31" s="96"/>
      <c r="N31" s="96"/>
      <c r="O31" s="96"/>
      <c r="P31" s="96"/>
      <c r="Q31" s="82"/>
      <c r="R31" s="82"/>
      <c r="S31" s="82"/>
      <c r="T31" s="170"/>
      <c r="U31" s="184"/>
      <c r="V31" s="129"/>
      <c r="W31" s="151"/>
      <c r="X31" s="83"/>
      <c r="Y31" s="171"/>
      <c r="Z31" s="185"/>
      <c r="AA31" s="91"/>
      <c r="AB31" s="131"/>
      <c r="AC31" s="132"/>
      <c r="AD31" s="97"/>
      <c r="AE31" s="133"/>
      <c r="AF31" s="139"/>
      <c r="AG31" s="97"/>
      <c r="AH31" s="132"/>
      <c r="AI31" s="99" t="str">
        <f t="shared" si="1"/>
        <v/>
      </c>
      <c r="CA31" s="100" t="str">
        <f t="shared" si="2"/>
        <v/>
      </c>
      <c r="CB31" s="100" t="str">
        <f>IF(AND($C31&lt;&gt;0,W31=""),"* No olvide ingresar la variable "&amp;W$9&amp;""&amp;". Digite CERO si no tiene. ",IF(W31&gt;$C31,"* La variable Control con pareja, familiar u otro no debe ser mayor al Total. ",""))</f>
        <v/>
      </c>
      <c r="CC31" s="101"/>
      <c r="CD31" s="100" t="str">
        <f t="shared" si="4"/>
        <v/>
      </c>
      <c r="CE31" s="100" t="str">
        <f t="shared" si="5"/>
        <v/>
      </c>
      <c r="CF31" s="100" t="str">
        <f t="shared" si="6"/>
        <v/>
      </c>
      <c r="CG31" s="100" t="str">
        <f t="shared" si="7"/>
        <v/>
      </c>
      <c r="CH31" s="100" t="str">
        <f t="shared" si="8"/>
        <v/>
      </c>
      <c r="CI31" s="100" t="str">
        <f t="shared" si="9"/>
        <v/>
      </c>
      <c r="CJ31" s="100" t="str">
        <f t="shared" si="10"/>
        <v/>
      </c>
      <c r="CK31" s="100" t="str">
        <f t="shared" si="11"/>
        <v/>
      </c>
      <c r="CL31" s="100" t="str">
        <f t="shared" si="12"/>
        <v/>
      </c>
      <c r="CM31" s="100" t="str">
        <f t="shared" ref="CM31:CM32" si="31">IF(AND($C31&lt;&gt;0,AH31=""),"* No olvide ingresar la variable "&amp;AH$9&amp;""&amp;". Digite CERO si no tiene.  ",IF(AH31&gt;$C31,"* La variable Adolescente acude a control MAC con pareja no debe ser mayor al Total. ",""))</f>
        <v/>
      </c>
      <c r="CU31" s="102">
        <f t="shared" si="13"/>
        <v>0</v>
      </c>
      <c r="CV31" s="102">
        <f t="shared" si="24"/>
        <v>0</v>
      </c>
      <c r="CW31" s="103"/>
      <c r="CX31" s="102">
        <f t="shared" si="15"/>
        <v>0</v>
      </c>
      <c r="CY31" s="102">
        <f t="shared" si="16"/>
        <v>0</v>
      </c>
      <c r="CZ31" s="102">
        <f t="shared" si="17"/>
        <v>0</v>
      </c>
      <c r="DA31" s="102">
        <f t="shared" si="18"/>
        <v>0</v>
      </c>
      <c r="DB31" s="102">
        <f t="shared" si="19"/>
        <v>0</v>
      </c>
      <c r="DC31" s="102">
        <f t="shared" si="20"/>
        <v>0</v>
      </c>
      <c r="DD31" s="102">
        <f t="shared" si="21"/>
        <v>0</v>
      </c>
      <c r="DE31" s="102">
        <f t="shared" si="22"/>
        <v>0</v>
      </c>
      <c r="DF31" s="102">
        <f t="shared" si="23"/>
        <v>0</v>
      </c>
      <c r="DG31" s="102">
        <f t="shared" ref="DG31:DG32" si="32">IF(AND($C31&lt;&gt;0,AH31=""),1,IF(AH31&gt;$C31,1,0))</f>
        <v>0</v>
      </c>
    </row>
    <row r="32" spans="1:111" ht="15" customHeight="1">
      <c r="A32" s="5620"/>
      <c r="B32" s="106" t="s">
        <v>79</v>
      </c>
      <c r="C32" s="106">
        <f t="shared" si="30"/>
        <v>0</v>
      </c>
      <c r="D32" s="108"/>
      <c r="E32" s="109"/>
      <c r="F32" s="110"/>
      <c r="G32" s="110"/>
      <c r="H32" s="110"/>
      <c r="I32" s="110"/>
      <c r="J32" s="110"/>
      <c r="K32" s="110"/>
      <c r="L32" s="110"/>
      <c r="M32" s="110"/>
      <c r="N32" s="123"/>
      <c r="O32" s="123"/>
      <c r="P32" s="123"/>
      <c r="Q32" s="110"/>
      <c r="R32" s="110"/>
      <c r="S32" s="110"/>
      <c r="T32" s="186"/>
      <c r="U32" s="113"/>
      <c r="V32" s="114"/>
      <c r="W32" s="115"/>
      <c r="X32" s="111"/>
      <c r="Y32" s="116"/>
      <c r="Z32" s="187"/>
      <c r="AA32" s="118"/>
      <c r="AB32" s="119"/>
      <c r="AC32" s="120"/>
      <c r="AD32" s="121"/>
      <c r="AE32" s="122"/>
      <c r="AF32" s="110"/>
      <c r="AG32" s="121"/>
      <c r="AH32" s="120"/>
      <c r="AI32" s="99" t="str">
        <f t="shared" si="1"/>
        <v/>
      </c>
      <c r="CA32" s="100" t="str">
        <f t="shared" si="2"/>
        <v/>
      </c>
      <c r="CB32" s="100" t="str">
        <f>IF(AND($C32&lt;&gt;0,W32=""),"* No olvide ingresar la variable "&amp;W$9&amp;""&amp;". Digite CERO si no tiene.  ",IF(W32&gt;$C32,"* La variable Control con pareja, familiar u otro no debe ser mayor al Total. ",""))</f>
        <v/>
      </c>
      <c r="CC32" s="101"/>
      <c r="CD32" s="100" t="str">
        <f t="shared" si="4"/>
        <v/>
      </c>
      <c r="CE32" s="100" t="str">
        <f t="shared" si="5"/>
        <v/>
      </c>
      <c r="CF32" s="100" t="str">
        <f t="shared" si="6"/>
        <v/>
      </c>
      <c r="CG32" s="100" t="str">
        <f t="shared" si="7"/>
        <v/>
      </c>
      <c r="CH32" s="100" t="str">
        <f t="shared" si="8"/>
        <v/>
      </c>
      <c r="CI32" s="100" t="str">
        <f t="shared" si="9"/>
        <v/>
      </c>
      <c r="CJ32" s="100" t="str">
        <f t="shared" si="10"/>
        <v/>
      </c>
      <c r="CK32" s="100" t="str">
        <f t="shared" si="11"/>
        <v/>
      </c>
      <c r="CL32" s="100" t="str">
        <f t="shared" si="12"/>
        <v/>
      </c>
      <c r="CM32" s="100" t="str">
        <f t="shared" si="31"/>
        <v/>
      </c>
      <c r="CU32" s="102">
        <f t="shared" si="13"/>
        <v>0</v>
      </c>
      <c r="CV32" s="102">
        <f t="shared" si="24"/>
        <v>0</v>
      </c>
      <c r="CW32" s="103"/>
      <c r="CX32" s="102">
        <f t="shared" si="15"/>
        <v>0</v>
      </c>
      <c r="CY32" s="102">
        <f t="shared" si="16"/>
        <v>0</v>
      </c>
      <c r="CZ32" s="102">
        <f t="shared" si="17"/>
        <v>0</v>
      </c>
      <c r="DA32" s="102">
        <f t="shared" si="18"/>
        <v>0</v>
      </c>
      <c r="DB32" s="102">
        <f t="shared" si="19"/>
        <v>0</v>
      </c>
      <c r="DC32" s="102">
        <f t="shared" si="20"/>
        <v>0</v>
      </c>
      <c r="DD32" s="102">
        <f t="shared" si="21"/>
        <v>0</v>
      </c>
      <c r="DE32" s="102">
        <f t="shared" si="22"/>
        <v>0</v>
      </c>
      <c r="DF32" s="102">
        <f t="shared" si="23"/>
        <v>0</v>
      </c>
      <c r="DG32" s="102">
        <f t="shared" si="32"/>
        <v>0</v>
      </c>
    </row>
    <row r="33" spans="1:106" ht="18" customHeight="1">
      <c r="A33" s="5690" t="s">
        <v>90</v>
      </c>
      <c r="B33" s="5690"/>
      <c r="C33" s="5690"/>
      <c r="D33" s="5690"/>
      <c r="E33" s="5690"/>
      <c r="F33" s="5690"/>
      <c r="G33" s="5690"/>
      <c r="H33" s="5690"/>
      <c r="I33" s="5690"/>
      <c r="J33" s="5690"/>
      <c r="K33" s="5690"/>
      <c r="L33" s="5690"/>
      <c r="M33" s="5690"/>
      <c r="N33" s="5690"/>
      <c r="O33" s="5690"/>
      <c r="P33" s="5690"/>
      <c r="Q33" s="5690"/>
      <c r="R33" s="5690"/>
      <c r="S33" s="5690"/>
      <c r="T33" s="5690"/>
      <c r="U33" s="5690"/>
      <c r="V33" s="5690"/>
      <c r="W33" s="5690"/>
      <c r="X33" s="5690"/>
      <c r="Y33" s="5690"/>
      <c r="Z33" s="5622"/>
      <c r="AA33" s="5622"/>
      <c r="AB33" s="5690"/>
      <c r="AC33" s="5690"/>
      <c r="AD33" s="5690"/>
      <c r="AE33" s="5690"/>
      <c r="AF33" s="5690"/>
      <c r="AG33" s="5690"/>
      <c r="AH33" s="5690"/>
      <c r="AI33" s="188"/>
      <c r="AJ33" s="188"/>
      <c r="AK33" s="188"/>
      <c r="AL33" s="188"/>
      <c r="AM33" s="188"/>
      <c r="AN33" s="188"/>
    </row>
    <row r="34" spans="1:106" ht="26.45" customHeight="1">
      <c r="A34" s="5611" t="s">
        <v>40</v>
      </c>
      <c r="B34" s="5611" t="s">
        <v>41</v>
      </c>
      <c r="C34" s="5647" t="s">
        <v>91</v>
      </c>
      <c r="D34" s="5649"/>
      <c r="E34" s="5648"/>
      <c r="F34" s="5615" t="s">
        <v>43</v>
      </c>
      <c r="G34" s="5616"/>
      <c r="H34" s="5616"/>
      <c r="I34" s="5616"/>
      <c r="J34" s="5616"/>
      <c r="K34" s="5616"/>
      <c r="L34" s="5616"/>
      <c r="M34" s="5616"/>
      <c r="N34" s="5616"/>
      <c r="O34" s="5616"/>
      <c r="P34" s="5616"/>
      <c r="Q34" s="5616"/>
      <c r="R34" s="5616"/>
      <c r="S34" s="5616"/>
      <c r="T34" s="5616"/>
      <c r="U34" s="5616"/>
      <c r="V34" s="5616"/>
      <c r="W34" s="5616"/>
      <c r="X34" s="5616"/>
      <c r="Y34" s="5616"/>
      <c r="Z34" s="5616"/>
      <c r="AA34" s="5616"/>
      <c r="AB34" s="5616"/>
      <c r="AC34" s="5616"/>
      <c r="AD34" s="5616"/>
      <c r="AE34" s="5616"/>
      <c r="AF34" s="5616"/>
      <c r="AG34" s="5616"/>
      <c r="AH34" s="5617"/>
      <c r="AI34" s="5650" t="s">
        <v>92</v>
      </c>
      <c r="AJ34" s="5651"/>
      <c r="AK34" s="5640" t="s">
        <v>48</v>
      </c>
      <c r="AL34" s="5640" t="s">
        <v>49</v>
      </c>
      <c r="AM34" s="5640" t="s">
        <v>50</v>
      </c>
      <c r="AN34" s="5640" t="s">
        <v>51</v>
      </c>
    </row>
    <row r="35" spans="1:106" ht="31.5">
      <c r="A35" s="5612"/>
      <c r="B35" s="5612"/>
      <c r="C35" s="64" t="s">
        <v>93</v>
      </c>
      <c r="D35" s="194" t="s">
        <v>72</v>
      </c>
      <c r="E35" s="76" t="s">
        <v>73</v>
      </c>
      <c r="F35" s="195" t="s">
        <v>94</v>
      </c>
      <c r="G35" s="68" t="s">
        <v>95</v>
      </c>
      <c r="H35" s="68" t="s">
        <v>96</v>
      </c>
      <c r="I35" s="68" t="s">
        <v>97</v>
      </c>
      <c r="J35" s="196" t="s">
        <v>98</v>
      </c>
      <c r="K35" s="68" t="s">
        <v>99</v>
      </c>
      <c r="L35" s="68" t="s">
        <v>100</v>
      </c>
      <c r="M35" s="68" t="s">
        <v>101</v>
      </c>
      <c r="N35" s="68" t="s">
        <v>102</v>
      </c>
      <c r="O35" s="68" t="s">
        <v>103</v>
      </c>
      <c r="P35" s="68" t="s">
        <v>104</v>
      </c>
      <c r="Q35" s="68" t="s">
        <v>105</v>
      </c>
      <c r="R35" s="68" t="s">
        <v>106</v>
      </c>
      <c r="S35" s="68" t="s">
        <v>107</v>
      </c>
      <c r="T35" s="69" t="s">
        <v>108</v>
      </c>
      <c r="U35" s="69" t="s">
        <v>58</v>
      </c>
      <c r="V35" s="69" t="s">
        <v>59</v>
      </c>
      <c r="W35" s="69" t="s">
        <v>60</v>
      </c>
      <c r="X35" s="69" t="s">
        <v>61</v>
      </c>
      <c r="Y35" s="69" t="s">
        <v>62</v>
      </c>
      <c r="Z35" s="69" t="s">
        <v>63</v>
      </c>
      <c r="AA35" s="69" t="s">
        <v>64</v>
      </c>
      <c r="AB35" s="69" t="s">
        <v>65</v>
      </c>
      <c r="AC35" s="69" t="s">
        <v>66</v>
      </c>
      <c r="AD35" s="69" t="s">
        <v>67</v>
      </c>
      <c r="AE35" s="69" t="s">
        <v>68</v>
      </c>
      <c r="AF35" s="69" t="s">
        <v>69</v>
      </c>
      <c r="AG35" s="69" t="s">
        <v>70</v>
      </c>
      <c r="AH35" s="70" t="s">
        <v>71</v>
      </c>
      <c r="AI35" s="197" t="s">
        <v>109</v>
      </c>
      <c r="AJ35" s="198" t="s">
        <v>110</v>
      </c>
      <c r="AK35" s="5640"/>
      <c r="AL35" s="5640"/>
      <c r="AM35" s="5640"/>
      <c r="AN35" s="5640"/>
    </row>
    <row r="36" spans="1:106" ht="15" customHeight="1">
      <c r="A36" s="5619" t="s">
        <v>111</v>
      </c>
      <c r="B36" s="78" t="s">
        <v>78</v>
      </c>
      <c r="C36" s="78">
        <f t="shared" ref="C36:C73" si="33">SUM(D36:E36)</f>
        <v>0</v>
      </c>
      <c r="D36" s="199"/>
      <c r="E36" s="200"/>
      <c r="F36" s="95"/>
      <c r="G36" s="96"/>
      <c r="H36" s="96"/>
      <c r="I36" s="96"/>
      <c r="J36" s="201"/>
      <c r="K36" s="201"/>
      <c r="L36" s="96"/>
      <c r="M36" s="96"/>
      <c r="N36" s="202"/>
      <c r="O36" s="202"/>
      <c r="P36" s="86"/>
      <c r="Q36" s="96"/>
      <c r="R36" s="96"/>
      <c r="S36" s="96"/>
      <c r="T36" s="201"/>
      <c r="U36" s="201"/>
      <c r="V36" s="96"/>
      <c r="W36" s="96"/>
      <c r="X36" s="201"/>
      <c r="Y36" s="201"/>
      <c r="Z36" s="86"/>
      <c r="AA36" s="96"/>
      <c r="AB36" s="96"/>
      <c r="AC36" s="96"/>
      <c r="AD36" s="201"/>
      <c r="AE36" s="201"/>
      <c r="AF36" s="96"/>
      <c r="AG36" s="96"/>
      <c r="AH36" s="203"/>
      <c r="AI36" s="95"/>
      <c r="AJ36" s="204"/>
      <c r="AK36" s="93"/>
      <c r="AL36" s="93"/>
      <c r="AM36" s="93"/>
      <c r="AN36" s="204"/>
      <c r="AO36" s="99" t="str">
        <f t="shared" ref="AO36:AO37" si="34">CA36&amp;CB36&amp;CC36&amp;CD36&amp;CE36&amp;CF36&amp;CG36&amp;CH36</f>
        <v/>
      </c>
      <c r="CA36" s="100" t="str">
        <f t="shared" ref="CA36:CA39" si="35">IF((D36+E36)&lt;&gt;$C36," * La suma de la variable Sexo (Hombres + Mujeres) no puede ser distinto al Total","")</f>
        <v/>
      </c>
      <c r="CB36" s="100" t="str">
        <f t="shared" ref="CB36:CB38" si="36">IF(AND(SUM(F36:M36)&gt;0,AI36="")," * No olvide digitar la variable "&amp;AI$34&amp;""&amp;" de menor de 1 año. Digite CERO si no tiene. ",IF(AI36&gt;SUM(F36:M36),"* La variable Control con Presencia del padre de menor de 1 año no debe ser mayor al Total de Controles de menores de 1 año. ",""))</f>
        <v/>
      </c>
      <c r="CC36" s="100" t="str">
        <f t="shared" ref="CC36:CC39" si="37">IF(AND(SUM(N36:P36)&gt;0,AJ36="")," * No olvide digitar la variable "&amp;AI$34&amp;""&amp;" de 1 año a 3 años 11 meses 29 días. Digite CERO si no tiene. ",IF(AJ36&gt;SUM(N36:P36),"* La variable Control con Presencia del padre de 1 año a 3 años 11 meses 29 días no debe ser mayor al Total de Controles de 12 a 47 meses. ",""))</f>
        <v/>
      </c>
      <c r="CD36" s="100" t="str">
        <f t="shared" ref="CD36:CD39" si="38">IF(AND($C36&lt;&gt;0,AK36=""),"* No olvide ingresar la variable "&amp;AK$34&amp;""&amp;". Digite CERO si no tiene. ",IF(AK36&gt;$C36,"* La variable "&amp;AK$34&amp;""&amp;"no debe ser mayor al Total Ambos Sexos. ",""))</f>
        <v/>
      </c>
      <c r="CE36" s="100" t="str">
        <f t="shared" ref="CE36:CE39" si="39">IF(AND($C36&lt;&gt;0,AL36=""),"* No olvide ingresar la variable "&amp;AL$34&amp;""&amp;". Digite CERO si no tiene. ",IF(AL36&gt;$C36,"* La variable "&amp;AL$34&amp;""&amp;" no debe ser mayor al Total Ambos Sexos. ",""))</f>
        <v/>
      </c>
      <c r="CF36" s="100" t="str">
        <f t="shared" ref="CF36:CF39" si="40">IF(AND($C36&lt;&gt;0,AM36=""),"* No olvide ingresar la variable "&amp;AM$34&amp;""&amp;". Digite CERO si no tiene.  ",IF(AM36&gt;$C36,"* La variable Pueblos Originarios no debe ser mayor al Total Ambos Sexos. ",""))</f>
        <v/>
      </c>
      <c r="CG36" s="100" t="str">
        <f t="shared" ref="CG36:CG39" si="41">IF(AND($C36&lt;&gt;0,AN36=""),"* No olvide ingresar la variable "&amp;AN$34&amp;""&amp;". Digite CERO si no tiene.  ",IF(AN36&gt;$C36,"* La variable Migrantes no debe ser mayor al Total Ambos Sexos. ",""))</f>
        <v/>
      </c>
      <c r="CH36" s="100" t="str">
        <f t="shared" ref="CH36:CH39" si="42">IF(SUM(F36:AH36)&lt;&gt;$C36," * La suma total del rango etario no puede ser distinto al Total","")</f>
        <v/>
      </c>
      <c r="CI36" s="205"/>
      <c r="CU36" s="102">
        <f t="shared" ref="CU36:CU39" si="43">IF(C36&lt;&gt;SUM(D36+E36),1,0)</f>
        <v>0</v>
      </c>
      <c r="CV36" s="102">
        <f t="shared" ref="CV36:CV37" si="44">IF(AND(SUM(F36:M36)&gt;0,AI36=""),1,IF(AI36&gt;SUM(F36:M36),1,0))</f>
        <v>0</v>
      </c>
      <c r="CW36" s="102">
        <f t="shared" ref="CW36:CW39" si="45">IF(AND(SUM(N36:P36)&gt;0,AJ36=""),1,IF(AJ36&gt;SUM(N36:P36),1,0))</f>
        <v>0</v>
      </c>
      <c r="CX36" s="102">
        <f t="shared" ref="CX36:DA39" si="46">IF(AND($C36&lt;&gt;0,AK36=""),1,IF(AK36&gt;$C36,1,0))</f>
        <v>0</v>
      </c>
      <c r="CY36" s="102">
        <f t="shared" si="46"/>
        <v>0</v>
      </c>
      <c r="CZ36" s="102">
        <f t="shared" si="46"/>
        <v>0</v>
      </c>
      <c r="DA36" s="102">
        <f t="shared" si="46"/>
        <v>0</v>
      </c>
      <c r="DB36" s="102">
        <f t="shared" ref="DB36:DB39" si="47">IF(C36&lt;&gt;SUM(F36:AH36),1,0)</f>
        <v>0</v>
      </c>
    </row>
    <row r="37" spans="1:106" ht="15" customHeight="1">
      <c r="A37" s="5618"/>
      <c r="B37" s="206" t="s">
        <v>112</v>
      </c>
      <c r="C37" s="206">
        <f t="shared" si="33"/>
        <v>0</v>
      </c>
      <c r="D37" s="199"/>
      <c r="E37" s="200"/>
      <c r="F37" s="207"/>
      <c r="G37" s="208"/>
      <c r="H37" s="208"/>
      <c r="I37" s="209"/>
      <c r="J37" s="208"/>
      <c r="K37" s="208"/>
      <c r="L37" s="209"/>
      <c r="M37" s="208"/>
      <c r="N37" s="208"/>
      <c r="O37" s="209"/>
      <c r="P37" s="208"/>
      <c r="Q37" s="208"/>
      <c r="R37" s="209"/>
      <c r="S37" s="208"/>
      <c r="T37" s="208"/>
      <c r="U37" s="209"/>
      <c r="V37" s="208"/>
      <c r="W37" s="208"/>
      <c r="X37" s="209"/>
      <c r="Y37" s="208"/>
      <c r="Z37" s="208"/>
      <c r="AA37" s="209"/>
      <c r="AB37" s="208"/>
      <c r="AC37" s="208"/>
      <c r="AD37" s="209"/>
      <c r="AE37" s="208"/>
      <c r="AF37" s="208"/>
      <c r="AG37" s="209"/>
      <c r="AH37" s="210"/>
      <c r="AI37" s="207"/>
      <c r="AJ37" s="211"/>
      <c r="AK37" s="212"/>
      <c r="AL37" s="212"/>
      <c r="AM37" s="212"/>
      <c r="AN37" s="211"/>
      <c r="AO37" s="99" t="str">
        <f t="shared" si="34"/>
        <v/>
      </c>
      <c r="CA37" s="100" t="str">
        <f t="shared" si="35"/>
        <v/>
      </c>
      <c r="CB37" s="100" t="str">
        <f t="shared" si="36"/>
        <v/>
      </c>
      <c r="CC37" s="100" t="str">
        <f t="shared" si="37"/>
        <v/>
      </c>
      <c r="CD37" s="100" t="str">
        <f t="shared" si="38"/>
        <v/>
      </c>
      <c r="CE37" s="100" t="str">
        <f t="shared" si="39"/>
        <v/>
      </c>
      <c r="CF37" s="100" t="str">
        <f t="shared" si="40"/>
        <v/>
      </c>
      <c r="CG37" s="100" t="str">
        <f t="shared" si="41"/>
        <v/>
      </c>
      <c r="CH37" s="100" t="str">
        <f t="shared" si="42"/>
        <v/>
      </c>
      <c r="CU37" s="102">
        <f t="shared" si="43"/>
        <v>0</v>
      </c>
      <c r="CV37" s="102">
        <f t="shared" si="44"/>
        <v>0</v>
      </c>
      <c r="CW37" s="102">
        <f t="shared" si="45"/>
        <v>0</v>
      </c>
      <c r="CX37" s="102">
        <f t="shared" si="46"/>
        <v>0</v>
      </c>
      <c r="CY37" s="102">
        <f t="shared" si="46"/>
        <v>0</v>
      </c>
      <c r="CZ37" s="102">
        <f t="shared" si="46"/>
        <v>0</v>
      </c>
      <c r="DA37" s="102">
        <f t="shared" si="46"/>
        <v>0</v>
      </c>
      <c r="DB37" s="102">
        <f t="shared" si="47"/>
        <v>0</v>
      </c>
    </row>
    <row r="38" spans="1:106" ht="15" customHeight="1">
      <c r="A38" s="5618"/>
      <c r="B38" s="206" t="s">
        <v>79</v>
      </c>
      <c r="C38" s="172">
        <f t="shared" si="33"/>
        <v>0</v>
      </c>
      <c r="D38" s="199"/>
      <c r="E38" s="200"/>
      <c r="F38" s="207"/>
      <c r="G38" s="213"/>
      <c r="H38" s="213"/>
      <c r="I38" s="213"/>
      <c r="J38" s="213"/>
      <c r="K38" s="213"/>
      <c r="L38" s="213"/>
      <c r="M38" s="213"/>
      <c r="N38" s="213"/>
      <c r="O38" s="213"/>
      <c r="P38" s="213"/>
      <c r="Q38" s="213"/>
      <c r="R38" s="213"/>
      <c r="S38" s="213"/>
      <c r="T38" s="209"/>
      <c r="U38" s="209"/>
      <c r="V38" s="209"/>
      <c r="W38" s="209"/>
      <c r="X38" s="209"/>
      <c r="Y38" s="209"/>
      <c r="Z38" s="209"/>
      <c r="AA38" s="209"/>
      <c r="AB38" s="209"/>
      <c r="AC38" s="209"/>
      <c r="AD38" s="209"/>
      <c r="AE38" s="209"/>
      <c r="AF38" s="209"/>
      <c r="AG38" s="209"/>
      <c r="AH38" s="214"/>
      <c r="AI38" s="207"/>
      <c r="AJ38" s="215"/>
      <c r="AK38" s="212"/>
      <c r="AL38" s="212"/>
      <c r="AM38" s="212"/>
      <c r="AN38" s="211"/>
      <c r="AO38" s="99" t="str">
        <f>CA38&amp;CB38&amp;CD38&amp;CE38&amp;CF38&amp;CG38&amp;CH38</f>
        <v/>
      </c>
      <c r="CA38" s="100" t="str">
        <f t="shared" si="35"/>
        <v/>
      </c>
      <c r="CB38" s="100" t="str">
        <f t="shared" si="36"/>
        <v/>
      </c>
      <c r="CC38" s="216"/>
      <c r="CD38" s="100" t="str">
        <f t="shared" si="38"/>
        <v/>
      </c>
      <c r="CE38" s="100" t="str">
        <f t="shared" si="39"/>
        <v/>
      </c>
      <c r="CF38" s="100" t="str">
        <f t="shared" si="40"/>
        <v/>
      </c>
      <c r="CG38" s="100" t="str">
        <f t="shared" si="41"/>
        <v/>
      </c>
      <c r="CH38" s="100" t="str">
        <f t="shared" si="42"/>
        <v/>
      </c>
      <c r="CU38" s="102">
        <f t="shared" si="43"/>
        <v>0</v>
      </c>
      <c r="CV38" s="102">
        <f>IF(AND(SUM(F38)&gt;0,AI38=""),1,IF(AI38&gt;SUM(F38),1,0))</f>
        <v>0</v>
      </c>
      <c r="CW38" s="104"/>
      <c r="CX38" s="102">
        <f t="shared" si="46"/>
        <v>0</v>
      </c>
      <c r="CY38" s="102">
        <f t="shared" si="46"/>
        <v>0</v>
      </c>
      <c r="CZ38" s="102">
        <f t="shared" si="46"/>
        <v>0</v>
      </c>
      <c r="DA38" s="102">
        <f t="shared" si="46"/>
        <v>0</v>
      </c>
      <c r="DB38" s="102">
        <f t="shared" si="47"/>
        <v>0</v>
      </c>
    </row>
    <row r="39" spans="1:106" ht="15" customHeight="1">
      <c r="A39" s="5620"/>
      <c r="B39" s="217" t="s">
        <v>113</v>
      </c>
      <c r="C39" s="106">
        <f t="shared" si="33"/>
        <v>0</v>
      </c>
      <c r="D39" s="218"/>
      <c r="E39" s="219"/>
      <c r="F39" s="220"/>
      <c r="G39" s="147"/>
      <c r="H39" s="147"/>
      <c r="I39" s="147"/>
      <c r="J39" s="147"/>
      <c r="K39" s="140"/>
      <c r="L39" s="140"/>
      <c r="M39" s="140"/>
      <c r="N39" s="221"/>
      <c r="O39" s="110"/>
      <c r="P39" s="221"/>
      <c r="Q39" s="221"/>
      <c r="R39" s="110"/>
      <c r="S39" s="221"/>
      <c r="T39" s="140"/>
      <c r="U39" s="140"/>
      <c r="V39" s="140"/>
      <c r="W39" s="140"/>
      <c r="X39" s="140"/>
      <c r="Y39" s="140"/>
      <c r="Z39" s="140"/>
      <c r="AA39" s="140"/>
      <c r="AB39" s="140"/>
      <c r="AC39" s="140"/>
      <c r="AD39" s="140"/>
      <c r="AE39" s="140"/>
      <c r="AF39" s="140"/>
      <c r="AG39" s="222"/>
      <c r="AH39" s="181"/>
      <c r="AI39" s="223"/>
      <c r="AJ39" s="224"/>
      <c r="AK39" s="225"/>
      <c r="AL39" s="225"/>
      <c r="AM39" s="225"/>
      <c r="AN39" s="224"/>
      <c r="AO39" s="99" t="str">
        <f>CA39&amp;CC39&amp;CD39&amp;CE39&amp;CF39&amp;CG39&amp;CH39</f>
        <v/>
      </c>
      <c r="CA39" s="100" t="str">
        <f t="shared" si="35"/>
        <v/>
      </c>
      <c r="CB39" s="216"/>
      <c r="CC39" s="100" t="str">
        <f t="shared" si="37"/>
        <v/>
      </c>
      <c r="CD39" s="100" t="str">
        <f t="shared" si="38"/>
        <v/>
      </c>
      <c r="CE39" s="100" t="str">
        <f t="shared" si="39"/>
        <v/>
      </c>
      <c r="CF39" s="100" t="str">
        <f t="shared" si="40"/>
        <v/>
      </c>
      <c r="CG39" s="100" t="str">
        <f t="shared" si="41"/>
        <v/>
      </c>
      <c r="CH39" s="100" t="str">
        <f t="shared" si="42"/>
        <v/>
      </c>
      <c r="CU39" s="102">
        <f t="shared" si="43"/>
        <v>0</v>
      </c>
      <c r="CV39" s="104"/>
      <c r="CW39" s="102">
        <f t="shared" si="45"/>
        <v>0</v>
      </c>
      <c r="CX39" s="102">
        <f t="shared" si="46"/>
        <v>0</v>
      </c>
      <c r="CY39" s="102">
        <f t="shared" si="46"/>
        <v>0</v>
      </c>
      <c r="CZ39" s="102">
        <f t="shared" si="46"/>
        <v>0</v>
      </c>
      <c r="DA39" s="102">
        <f t="shared" si="46"/>
        <v>0</v>
      </c>
      <c r="DB39" s="102">
        <f t="shared" si="47"/>
        <v>0</v>
      </c>
    </row>
    <row r="40" spans="1:106" ht="18" customHeight="1">
      <c r="A40" s="5691" t="s">
        <v>114</v>
      </c>
      <c r="B40" s="5691"/>
      <c r="C40" s="5691"/>
      <c r="D40" s="5691"/>
      <c r="E40" s="5691"/>
      <c r="F40" s="5691"/>
      <c r="G40" s="5691"/>
      <c r="H40" s="5691"/>
      <c r="I40" s="5691"/>
      <c r="J40" s="5691"/>
      <c r="K40" s="5691"/>
      <c r="L40" s="5691"/>
      <c r="M40" s="5691"/>
      <c r="N40" s="5691"/>
      <c r="O40" s="5691"/>
      <c r="P40" s="5691"/>
      <c r="Q40" s="5691"/>
      <c r="R40" s="5691"/>
      <c r="S40" s="5691"/>
      <c r="T40" s="5691"/>
      <c r="U40" s="5691"/>
      <c r="V40" s="5691"/>
      <c r="W40" s="5691"/>
      <c r="X40" s="5691"/>
      <c r="Y40" s="5691"/>
      <c r="Z40" s="5691"/>
      <c r="AA40" s="5691"/>
      <c r="AB40" s="5691"/>
      <c r="AC40" s="5691"/>
      <c r="AD40" s="5691"/>
      <c r="AE40" s="5691"/>
      <c r="AF40" s="5691"/>
      <c r="AG40" s="5691"/>
      <c r="AH40" s="5691"/>
      <c r="AI40" s="5691"/>
      <c r="AJ40" s="5691"/>
      <c r="AK40" s="5691"/>
      <c r="AL40" s="5691"/>
      <c r="AM40" s="5692"/>
      <c r="AN40" s="227"/>
      <c r="AO40" s="228"/>
    </row>
    <row r="41" spans="1:106" ht="15" customHeight="1">
      <c r="A41" s="5611" t="s">
        <v>40</v>
      </c>
      <c r="B41" s="5611" t="s">
        <v>41</v>
      </c>
      <c r="C41" s="5642" t="s">
        <v>91</v>
      </c>
      <c r="D41" s="5627"/>
      <c r="E41" s="5624"/>
      <c r="F41" s="5615" t="s">
        <v>115</v>
      </c>
      <c r="G41" s="5616"/>
      <c r="H41" s="5616"/>
      <c r="I41" s="5616"/>
      <c r="J41" s="5616"/>
      <c r="K41" s="5616"/>
      <c r="L41" s="5616"/>
      <c r="M41" s="5616"/>
      <c r="N41" s="5616"/>
      <c r="O41" s="5616"/>
      <c r="P41" s="5616"/>
      <c r="Q41" s="5616"/>
      <c r="R41" s="5616"/>
      <c r="S41" s="5616"/>
      <c r="T41" s="5616"/>
      <c r="U41" s="5616"/>
      <c r="V41" s="5616"/>
      <c r="W41" s="5616"/>
      <c r="X41" s="5616"/>
      <c r="Y41" s="5616"/>
      <c r="Z41" s="5616"/>
      <c r="AA41" s="5616"/>
      <c r="AB41" s="5616"/>
      <c r="AC41" s="5616"/>
      <c r="AD41" s="5616"/>
      <c r="AE41" s="5616"/>
      <c r="AF41" s="5616"/>
      <c r="AG41" s="5616"/>
      <c r="AH41" s="5616"/>
      <c r="AI41" s="5616"/>
      <c r="AJ41" s="5616"/>
      <c r="AK41" s="5616"/>
      <c r="AL41" s="5616"/>
      <c r="AM41" s="5616"/>
      <c r="AN41" s="5646" t="s">
        <v>50</v>
      </c>
      <c r="AO41" s="5646" t="s">
        <v>51</v>
      </c>
      <c r="AP41" s="5613" t="s">
        <v>116</v>
      </c>
    </row>
    <row r="42" spans="1:106" ht="15" customHeight="1">
      <c r="A42" s="5641"/>
      <c r="B42" s="5641"/>
      <c r="C42" s="5643"/>
      <c r="D42" s="5644"/>
      <c r="E42" s="5645"/>
      <c r="F42" s="5615" t="s">
        <v>117</v>
      </c>
      <c r="G42" s="5652"/>
      <c r="H42" s="5615" t="s">
        <v>56</v>
      </c>
      <c r="I42" s="5652"/>
      <c r="J42" s="5615" t="s">
        <v>57</v>
      </c>
      <c r="K42" s="5652"/>
      <c r="L42" s="5615" t="s">
        <v>58</v>
      </c>
      <c r="M42" s="5652"/>
      <c r="N42" s="5647" t="s">
        <v>59</v>
      </c>
      <c r="O42" s="5648"/>
      <c r="P42" s="5647" t="s">
        <v>60</v>
      </c>
      <c r="Q42" s="5648"/>
      <c r="R42" s="5647" t="s">
        <v>61</v>
      </c>
      <c r="S42" s="5648"/>
      <c r="T42" s="5647" t="s">
        <v>62</v>
      </c>
      <c r="U42" s="5648"/>
      <c r="V42" s="5647" t="s">
        <v>63</v>
      </c>
      <c r="W42" s="5648"/>
      <c r="X42" s="5647" t="s">
        <v>64</v>
      </c>
      <c r="Y42" s="5648"/>
      <c r="Z42" s="5647" t="s">
        <v>65</v>
      </c>
      <c r="AA42" s="5648"/>
      <c r="AB42" s="5647" t="s">
        <v>66</v>
      </c>
      <c r="AC42" s="5648"/>
      <c r="AD42" s="5647" t="s">
        <v>67</v>
      </c>
      <c r="AE42" s="5648"/>
      <c r="AF42" s="5647" t="s">
        <v>68</v>
      </c>
      <c r="AG42" s="5648"/>
      <c r="AH42" s="5647" t="s">
        <v>69</v>
      </c>
      <c r="AI42" s="5648"/>
      <c r="AJ42" s="5647" t="s">
        <v>70</v>
      </c>
      <c r="AK42" s="5648"/>
      <c r="AL42" s="5647" t="s">
        <v>71</v>
      </c>
      <c r="AM42" s="5649"/>
      <c r="AN42" s="5646"/>
      <c r="AO42" s="5646"/>
      <c r="AP42" s="5671"/>
    </row>
    <row r="43" spans="1:106" ht="15" customHeight="1">
      <c r="A43" s="5612"/>
      <c r="B43" s="5612"/>
      <c r="C43" s="194" t="s">
        <v>93</v>
      </c>
      <c r="D43" s="59" t="s">
        <v>72</v>
      </c>
      <c r="E43" s="232" t="s">
        <v>73</v>
      </c>
      <c r="F43" s="75" t="s">
        <v>72</v>
      </c>
      <c r="G43" s="76" t="s">
        <v>73</v>
      </c>
      <c r="H43" s="75" t="s">
        <v>72</v>
      </c>
      <c r="I43" s="76" t="s">
        <v>73</v>
      </c>
      <c r="J43" s="75" t="s">
        <v>72</v>
      </c>
      <c r="K43" s="76" t="s">
        <v>73</v>
      </c>
      <c r="L43" s="75" t="s">
        <v>72</v>
      </c>
      <c r="M43" s="76" t="s">
        <v>73</v>
      </c>
      <c r="N43" s="75" t="s">
        <v>72</v>
      </c>
      <c r="O43" s="76" t="s">
        <v>73</v>
      </c>
      <c r="P43" s="75" t="s">
        <v>72</v>
      </c>
      <c r="Q43" s="76" t="s">
        <v>73</v>
      </c>
      <c r="R43" s="75" t="s">
        <v>72</v>
      </c>
      <c r="S43" s="76" t="s">
        <v>73</v>
      </c>
      <c r="T43" s="75" t="s">
        <v>72</v>
      </c>
      <c r="U43" s="76" t="s">
        <v>73</v>
      </c>
      <c r="V43" s="75" t="s">
        <v>72</v>
      </c>
      <c r="W43" s="76" t="s">
        <v>73</v>
      </c>
      <c r="X43" s="75" t="s">
        <v>72</v>
      </c>
      <c r="Y43" s="76" t="s">
        <v>73</v>
      </c>
      <c r="Z43" s="75" t="s">
        <v>72</v>
      </c>
      <c r="AA43" s="76" t="s">
        <v>73</v>
      </c>
      <c r="AB43" s="75" t="s">
        <v>72</v>
      </c>
      <c r="AC43" s="76" t="s">
        <v>73</v>
      </c>
      <c r="AD43" s="75" t="s">
        <v>72</v>
      </c>
      <c r="AE43" s="76" t="s">
        <v>73</v>
      </c>
      <c r="AF43" s="75" t="s">
        <v>72</v>
      </c>
      <c r="AG43" s="76" t="s">
        <v>73</v>
      </c>
      <c r="AH43" s="75" t="s">
        <v>72</v>
      </c>
      <c r="AI43" s="76" t="s">
        <v>73</v>
      </c>
      <c r="AJ43" s="75" t="s">
        <v>72</v>
      </c>
      <c r="AK43" s="76" t="s">
        <v>73</v>
      </c>
      <c r="AL43" s="75" t="s">
        <v>72</v>
      </c>
      <c r="AM43" s="59" t="s">
        <v>73</v>
      </c>
      <c r="AN43" s="5646"/>
      <c r="AO43" s="5646"/>
      <c r="AP43" s="5614"/>
    </row>
    <row r="44" spans="1:106" ht="15" customHeight="1">
      <c r="A44" s="5619" t="s">
        <v>118</v>
      </c>
      <c r="B44" s="78" t="s">
        <v>78</v>
      </c>
      <c r="C44" s="233">
        <f t="shared" si="33"/>
        <v>0</v>
      </c>
      <c r="D44" s="234">
        <f t="shared" ref="D44:E47" si="48">SUM(L44+N44+P44+R44+T44+V44+X44+Z44+AB44+AD44+AF44+AH44+AJ44+AL44)</f>
        <v>0</v>
      </c>
      <c r="E44" s="235">
        <f>SUM(M44+O44+Q44+S44+U44+W44+Y44+AA44+AC44+AE44+AG44+AI44+AK44+AM44)</f>
        <v>0</v>
      </c>
      <c r="F44" s="80"/>
      <c r="G44" s="236"/>
      <c r="H44" s="80"/>
      <c r="I44" s="236"/>
      <c r="J44" s="80"/>
      <c r="K44" s="236"/>
      <c r="L44" s="95"/>
      <c r="M44" s="237"/>
      <c r="N44" s="95"/>
      <c r="O44" s="237"/>
      <c r="P44" s="95"/>
      <c r="Q44" s="237"/>
      <c r="R44" s="95"/>
      <c r="S44" s="237"/>
      <c r="T44" s="95"/>
      <c r="U44" s="237"/>
      <c r="V44" s="95"/>
      <c r="W44" s="237"/>
      <c r="X44" s="95"/>
      <c r="Y44" s="237"/>
      <c r="Z44" s="95"/>
      <c r="AA44" s="237"/>
      <c r="AB44" s="95"/>
      <c r="AC44" s="237"/>
      <c r="AD44" s="95"/>
      <c r="AE44" s="237"/>
      <c r="AF44" s="95"/>
      <c r="AG44" s="237"/>
      <c r="AH44" s="95"/>
      <c r="AI44" s="237"/>
      <c r="AJ44" s="95"/>
      <c r="AK44" s="237"/>
      <c r="AL44" s="95"/>
      <c r="AM44" s="170"/>
      <c r="AN44" s="238"/>
      <c r="AO44" s="237"/>
      <c r="AP44" s="239"/>
      <c r="AQ44" s="99" t="str">
        <f t="shared" ref="AQ44:AQ66" si="49">CA44&amp;CB44&amp;CC44</f>
        <v/>
      </c>
      <c r="BU44" s="240"/>
      <c r="BV44" s="240"/>
      <c r="BW44" s="240"/>
      <c r="BX44" s="240"/>
      <c r="BY44" s="240"/>
      <c r="BZ44" s="240"/>
      <c r="CA44" s="100" t="str">
        <f t="shared" ref="CA44:CA66" si="50">IF(AND($C44&lt;&gt;0,AN44=""),"* No olvide ingresar la variable "&amp;AN$41&amp;""&amp;". Digite CERO si no tiene. ",IF(AN44&gt;$C44,"* La variable Pueblos Originarios no debe ser mayor al Total Ambos Sexos. ",""))</f>
        <v/>
      </c>
      <c r="CB44" s="100" t="str">
        <f t="shared" ref="CB44:CB66" si="51">IF(AND($C44&lt;&gt;0,AO44=""),"* No olvide ingresar la variable "&amp;AO$41&amp;""&amp;" (Digite CERO si no tiene). ",IF(AO44&gt;$C44,"* La variable Migrantes no debe ser mayor al Total Ambos Sexos. ",""))</f>
        <v/>
      </c>
      <c r="CC44" s="216"/>
      <c r="CD44" s="240"/>
      <c r="CU44" s="102">
        <f t="shared" ref="CU44:CU66" si="52">IF(AND($C44&lt;&gt;0,AN44=""),1,IF(AN44&gt;$C44,1,0))</f>
        <v>0</v>
      </c>
      <c r="CV44" s="102">
        <f t="shared" ref="CV44:CV66" si="53">IF(AND($C44&lt;&gt;0,AO44=""),1,IF(AO44&gt;$C44,1,0))</f>
        <v>0</v>
      </c>
      <c r="CW44" s="241"/>
    </row>
    <row r="45" spans="1:106" ht="15" customHeight="1">
      <c r="A45" s="5618"/>
      <c r="B45" s="206" t="s">
        <v>112</v>
      </c>
      <c r="C45" s="242">
        <f t="shared" si="33"/>
        <v>0</v>
      </c>
      <c r="D45" s="243">
        <f t="shared" si="48"/>
        <v>0</v>
      </c>
      <c r="E45" s="244">
        <f t="shared" si="48"/>
        <v>0</v>
      </c>
      <c r="F45" s="245"/>
      <c r="G45" s="246"/>
      <c r="H45" s="213"/>
      <c r="I45" s="246"/>
      <c r="J45" s="213"/>
      <c r="K45" s="246"/>
      <c r="L45" s="207"/>
      <c r="M45" s="247"/>
      <c r="N45" s="207"/>
      <c r="O45" s="247"/>
      <c r="P45" s="207"/>
      <c r="Q45" s="247"/>
      <c r="R45" s="207"/>
      <c r="S45" s="247"/>
      <c r="T45" s="207"/>
      <c r="U45" s="247"/>
      <c r="V45" s="207"/>
      <c r="W45" s="247"/>
      <c r="X45" s="207"/>
      <c r="Y45" s="247"/>
      <c r="Z45" s="207"/>
      <c r="AA45" s="247"/>
      <c r="AB45" s="207"/>
      <c r="AC45" s="247"/>
      <c r="AD45" s="207"/>
      <c r="AE45" s="247"/>
      <c r="AF45" s="207"/>
      <c r="AG45" s="247"/>
      <c r="AH45" s="207"/>
      <c r="AI45" s="247"/>
      <c r="AJ45" s="207"/>
      <c r="AK45" s="247"/>
      <c r="AL45" s="207"/>
      <c r="AM45" s="214"/>
      <c r="AN45" s="248"/>
      <c r="AO45" s="247"/>
      <c r="AP45" s="215"/>
      <c r="AQ45" s="99" t="str">
        <f t="shared" si="49"/>
        <v/>
      </c>
      <c r="BU45" s="240"/>
      <c r="BV45" s="240"/>
      <c r="BW45" s="240"/>
      <c r="BX45" s="240"/>
      <c r="BY45" s="240"/>
      <c r="BZ45" s="240"/>
      <c r="CA45" s="100" t="str">
        <f t="shared" si="50"/>
        <v/>
      </c>
      <c r="CB45" s="100" t="str">
        <f t="shared" si="51"/>
        <v/>
      </c>
      <c r="CC45" s="216"/>
      <c r="CD45" s="240"/>
      <c r="CU45" s="102">
        <f t="shared" si="52"/>
        <v>0</v>
      </c>
      <c r="CV45" s="102">
        <f t="shared" si="53"/>
        <v>0</v>
      </c>
      <c r="CW45" s="241"/>
    </row>
    <row r="46" spans="1:106" ht="13.5" customHeight="1">
      <c r="A46" s="5618"/>
      <c r="B46" s="206" t="s">
        <v>119</v>
      </c>
      <c r="C46" s="242">
        <f t="shared" si="33"/>
        <v>0</v>
      </c>
      <c r="D46" s="243">
        <f t="shared" si="48"/>
        <v>0</v>
      </c>
      <c r="E46" s="244">
        <f t="shared" si="48"/>
        <v>0</v>
      </c>
      <c r="F46" s="126"/>
      <c r="G46" s="249"/>
      <c r="H46" s="83"/>
      <c r="I46" s="249"/>
      <c r="J46" s="83"/>
      <c r="K46" s="249"/>
      <c r="L46" s="207"/>
      <c r="M46" s="247"/>
      <c r="N46" s="207"/>
      <c r="O46" s="247"/>
      <c r="P46" s="207"/>
      <c r="Q46" s="247"/>
      <c r="R46" s="207"/>
      <c r="S46" s="247"/>
      <c r="T46" s="207"/>
      <c r="U46" s="247"/>
      <c r="V46" s="207"/>
      <c r="W46" s="247"/>
      <c r="X46" s="207"/>
      <c r="Y46" s="247"/>
      <c r="Z46" s="207"/>
      <c r="AA46" s="247"/>
      <c r="AB46" s="207"/>
      <c r="AC46" s="247"/>
      <c r="AD46" s="207"/>
      <c r="AE46" s="247"/>
      <c r="AF46" s="207"/>
      <c r="AG46" s="247"/>
      <c r="AH46" s="207"/>
      <c r="AI46" s="247"/>
      <c r="AJ46" s="207"/>
      <c r="AK46" s="247"/>
      <c r="AL46" s="207"/>
      <c r="AM46" s="214"/>
      <c r="AN46" s="248"/>
      <c r="AO46" s="247"/>
      <c r="AP46" s="215"/>
      <c r="AQ46" s="99" t="str">
        <f t="shared" si="49"/>
        <v/>
      </c>
      <c r="BU46" s="240"/>
      <c r="BV46" s="240"/>
      <c r="BW46" s="240"/>
      <c r="BX46" s="240"/>
      <c r="BY46" s="240"/>
      <c r="BZ46" s="240"/>
      <c r="CA46" s="100" t="str">
        <f t="shared" si="50"/>
        <v/>
      </c>
      <c r="CB46" s="100" t="str">
        <f t="shared" si="51"/>
        <v/>
      </c>
      <c r="CC46" s="216"/>
      <c r="CD46" s="240"/>
      <c r="CU46" s="102">
        <f t="shared" si="52"/>
        <v>0</v>
      </c>
      <c r="CV46" s="102">
        <f t="shared" si="53"/>
        <v>0</v>
      </c>
      <c r="CW46" s="241"/>
    </row>
    <row r="47" spans="1:106" ht="13.5" customHeight="1">
      <c r="A47" s="5620"/>
      <c r="B47" s="217" t="s">
        <v>113</v>
      </c>
      <c r="C47" s="250">
        <f t="shared" si="33"/>
        <v>0</v>
      </c>
      <c r="D47" s="251">
        <f t="shared" si="48"/>
        <v>0</v>
      </c>
      <c r="E47" s="252">
        <f t="shared" si="48"/>
        <v>0</v>
      </c>
      <c r="F47" s="126"/>
      <c r="G47" s="253"/>
      <c r="H47" s="126"/>
      <c r="I47" s="253"/>
      <c r="J47" s="126"/>
      <c r="K47" s="253"/>
      <c r="L47" s="122"/>
      <c r="M47" s="254"/>
      <c r="N47" s="122"/>
      <c r="O47" s="254"/>
      <c r="P47" s="122"/>
      <c r="Q47" s="254"/>
      <c r="R47" s="122"/>
      <c r="S47" s="254"/>
      <c r="T47" s="122"/>
      <c r="U47" s="254"/>
      <c r="V47" s="122"/>
      <c r="W47" s="254"/>
      <c r="X47" s="122"/>
      <c r="Y47" s="254"/>
      <c r="Z47" s="122"/>
      <c r="AA47" s="254"/>
      <c r="AB47" s="122"/>
      <c r="AC47" s="254"/>
      <c r="AD47" s="122"/>
      <c r="AE47" s="254"/>
      <c r="AF47" s="122"/>
      <c r="AG47" s="254"/>
      <c r="AH47" s="122"/>
      <c r="AI47" s="254"/>
      <c r="AJ47" s="122"/>
      <c r="AK47" s="254"/>
      <c r="AL47" s="122"/>
      <c r="AM47" s="186"/>
      <c r="AN47" s="115"/>
      <c r="AO47" s="254"/>
      <c r="AP47" s="215"/>
      <c r="AQ47" s="99" t="str">
        <f t="shared" si="49"/>
        <v/>
      </c>
      <c r="BU47" s="240"/>
      <c r="BV47" s="240"/>
      <c r="BW47" s="240"/>
      <c r="BX47" s="240"/>
      <c r="BY47" s="240"/>
      <c r="BZ47" s="240"/>
      <c r="CA47" s="100" t="str">
        <f t="shared" si="50"/>
        <v/>
      </c>
      <c r="CB47" s="100" t="str">
        <f t="shared" si="51"/>
        <v/>
      </c>
      <c r="CC47" s="216"/>
      <c r="CD47" s="240"/>
      <c r="CU47" s="102">
        <f t="shared" si="52"/>
        <v>0</v>
      </c>
      <c r="CV47" s="102">
        <f t="shared" si="53"/>
        <v>0</v>
      </c>
      <c r="CW47" s="241"/>
    </row>
    <row r="48" spans="1:106" ht="13.5" customHeight="1">
      <c r="A48" s="5618" t="s">
        <v>120</v>
      </c>
      <c r="B48" s="78" t="s">
        <v>78</v>
      </c>
      <c r="C48" s="233">
        <f t="shared" si="33"/>
        <v>0</v>
      </c>
      <c r="D48" s="234">
        <f t="shared" ref="D48:E53" si="54">SUM(AF48+AH48+AJ48+AL48)</f>
        <v>0</v>
      </c>
      <c r="E48" s="235">
        <f t="shared" si="54"/>
        <v>0</v>
      </c>
      <c r="F48" s="80"/>
      <c r="G48" s="239"/>
      <c r="H48" s="80"/>
      <c r="I48" s="239"/>
      <c r="J48" s="80"/>
      <c r="K48" s="236"/>
      <c r="L48" s="80"/>
      <c r="M48" s="236"/>
      <c r="N48" s="80"/>
      <c r="O48" s="236"/>
      <c r="P48" s="80"/>
      <c r="Q48" s="236"/>
      <c r="R48" s="80"/>
      <c r="S48" s="236"/>
      <c r="T48" s="80"/>
      <c r="U48" s="236"/>
      <c r="V48" s="80"/>
      <c r="W48" s="236"/>
      <c r="X48" s="80"/>
      <c r="Y48" s="236"/>
      <c r="Z48" s="80"/>
      <c r="AA48" s="236"/>
      <c r="AB48" s="80"/>
      <c r="AC48" s="236"/>
      <c r="AD48" s="80"/>
      <c r="AE48" s="236"/>
      <c r="AF48" s="95"/>
      <c r="AG48" s="237"/>
      <c r="AH48" s="95"/>
      <c r="AI48" s="237"/>
      <c r="AJ48" s="95"/>
      <c r="AK48" s="237"/>
      <c r="AL48" s="95"/>
      <c r="AM48" s="170"/>
      <c r="AN48" s="238"/>
      <c r="AO48" s="237"/>
      <c r="AP48" s="239"/>
      <c r="AQ48" s="99" t="str">
        <f t="shared" si="49"/>
        <v/>
      </c>
      <c r="BU48" s="240"/>
      <c r="BV48" s="240"/>
      <c r="BW48" s="240"/>
      <c r="BX48" s="240"/>
      <c r="BY48" s="240"/>
      <c r="BZ48" s="240"/>
      <c r="CA48" s="100" t="str">
        <f t="shared" si="50"/>
        <v/>
      </c>
      <c r="CB48" s="100" t="str">
        <f t="shared" si="51"/>
        <v/>
      </c>
      <c r="CC48" s="216"/>
      <c r="CD48" s="240"/>
      <c r="CU48" s="102">
        <f t="shared" si="52"/>
        <v>0</v>
      </c>
      <c r="CV48" s="102">
        <f t="shared" si="53"/>
        <v>0</v>
      </c>
    </row>
    <row r="49" spans="1:100" ht="13.5" customHeight="1">
      <c r="A49" s="5618"/>
      <c r="B49" s="206" t="s">
        <v>112</v>
      </c>
      <c r="C49" s="255">
        <f t="shared" si="33"/>
        <v>0</v>
      </c>
      <c r="D49" s="256">
        <f t="shared" si="54"/>
        <v>0</v>
      </c>
      <c r="E49" s="257">
        <f t="shared" si="54"/>
        <v>0</v>
      </c>
      <c r="F49" s="258"/>
      <c r="G49" s="259"/>
      <c r="H49" s="258"/>
      <c r="I49" s="259"/>
      <c r="J49" s="258"/>
      <c r="K49" s="260"/>
      <c r="L49" s="258"/>
      <c r="M49" s="260"/>
      <c r="N49" s="258"/>
      <c r="O49" s="260"/>
      <c r="P49" s="258"/>
      <c r="Q49" s="260"/>
      <c r="R49" s="258"/>
      <c r="S49" s="260"/>
      <c r="T49" s="258"/>
      <c r="U49" s="260"/>
      <c r="V49" s="258"/>
      <c r="W49" s="260"/>
      <c r="X49" s="258"/>
      <c r="Y49" s="260"/>
      <c r="Z49" s="258"/>
      <c r="AA49" s="260"/>
      <c r="AB49" s="258"/>
      <c r="AC49" s="260"/>
      <c r="AD49" s="258"/>
      <c r="AE49" s="260"/>
      <c r="AF49" s="133"/>
      <c r="AG49" s="261"/>
      <c r="AH49" s="133"/>
      <c r="AI49" s="261"/>
      <c r="AJ49" s="133"/>
      <c r="AK49" s="261"/>
      <c r="AL49" s="133"/>
      <c r="AM49" s="173"/>
      <c r="AN49" s="262"/>
      <c r="AO49" s="261"/>
      <c r="AP49" s="259"/>
      <c r="AQ49" s="99" t="str">
        <f t="shared" si="49"/>
        <v/>
      </c>
      <c r="BU49" s="240"/>
      <c r="BV49" s="240"/>
      <c r="BW49" s="240"/>
      <c r="BX49" s="240"/>
      <c r="BY49" s="240"/>
      <c r="BZ49" s="240"/>
      <c r="CA49" s="100" t="str">
        <f t="shared" si="50"/>
        <v/>
      </c>
      <c r="CB49" s="100" t="str">
        <f t="shared" si="51"/>
        <v/>
      </c>
      <c r="CC49" s="216"/>
      <c r="CD49" s="240"/>
      <c r="CU49" s="102">
        <f t="shared" si="52"/>
        <v>0</v>
      </c>
      <c r="CV49" s="102">
        <f t="shared" si="53"/>
        <v>0</v>
      </c>
    </row>
    <row r="50" spans="1:100" ht="22.5">
      <c r="A50" s="5620"/>
      <c r="B50" s="263" t="s">
        <v>121</v>
      </c>
      <c r="C50" s="250">
        <f t="shared" si="33"/>
        <v>0</v>
      </c>
      <c r="D50" s="251">
        <f t="shared" si="54"/>
        <v>0</v>
      </c>
      <c r="E50" s="252">
        <f t="shared" si="54"/>
        <v>0</v>
      </c>
      <c r="F50" s="108"/>
      <c r="G50" s="264"/>
      <c r="H50" s="108"/>
      <c r="I50" s="264"/>
      <c r="J50" s="108"/>
      <c r="K50" s="265"/>
      <c r="L50" s="108"/>
      <c r="M50" s="265"/>
      <c r="N50" s="108"/>
      <c r="O50" s="265"/>
      <c r="P50" s="108"/>
      <c r="Q50" s="265"/>
      <c r="R50" s="108"/>
      <c r="S50" s="265"/>
      <c r="T50" s="108"/>
      <c r="U50" s="265"/>
      <c r="V50" s="108"/>
      <c r="W50" s="265"/>
      <c r="X50" s="108"/>
      <c r="Y50" s="265"/>
      <c r="Z50" s="108"/>
      <c r="AA50" s="265"/>
      <c r="AB50" s="108"/>
      <c r="AC50" s="265"/>
      <c r="AD50" s="108"/>
      <c r="AE50" s="265"/>
      <c r="AF50" s="122"/>
      <c r="AG50" s="254"/>
      <c r="AH50" s="122"/>
      <c r="AI50" s="254"/>
      <c r="AJ50" s="122"/>
      <c r="AK50" s="254"/>
      <c r="AL50" s="122"/>
      <c r="AM50" s="186"/>
      <c r="AN50" s="115"/>
      <c r="AO50" s="254"/>
      <c r="AP50" s="264"/>
      <c r="AQ50" s="99" t="str">
        <f t="shared" si="49"/>
        <v/>
      </c>
      <c r="BU50" s="240"/>
      <c r="BV50" s="240"/>
      <c r="BW50" s="240"/>
      <c r="BX50" s="240"/>
      <c r="BY50" s="240"/>
      <c r="BZ50" s="240"/>
      <c r="CA50" s="100" t="str">
        <f t="shared" si="50"/>
        <v/>
      </c>
      <c r="CB50" s="100" t="str">
        <f t="shared" si="51"/>
        <v/>
      </c>
      <c r="CC50" s="216"/>
      <c r="CD50" s="240"/>
      <c r="CU50" s="102">
        <f t="shared" si="52"/>
        <v>0</v>
      </c>
      <c r="CV50" s="102">
        <f t="shared" si="53"/>
        <v>0</v>
      </c>
    </row>
    <row r="51" spans="1:100" ht="13.5" customHeight="1">
      <c r="A51" s="5619" t="s">
        <v>122</v>
      </c>
      <c r="B51" s="78" t="s">
        <v>78</v>
      </c>
      <c r="C51" s="233">
        <f t="shared" si="33"/>
        <v>0</v>
      </c>
      <c r="D51" s="234">
        <f t="shared" si="54"/>
        <v>0</v>
      </c>
      <c r="E51" s="235">
        <f t="shared" si="54"/>
        <v>0</v>
      </c>
      <c r="F51" s="80"/>
      <c r="G51" s="239"/>
      <c r="H51" s="80"/>
      <c r="I51" s="239"/>
      <c r="J51" s="80"/>
      <c r="K51" s="236"/>
      <c r="L51" s="80"/>
      <c r="M51" s="236"/>
      <c r="N51" s="80"/>
      <c r="O51" s="236"/>
      <c r="P51" s="80"/>
      <c r="Q51" s="236"/>
      <c r="R51" s="80"/>
      <c r="S51" s="236"/>
      <c r="T51" s="80"/>
      <c r="U51" s="236"/>
      <c r="V51" s="80"/>
      <c r="W51" s="236"/>
      <c r="X51" s="80"/>
      <c r="Y51" s="236"/>
      <c r="Z51" s="80"/>
      <c r="AA51" s="236"/>
      <c r="AB51" s="80"/>
      <c r="AC51" s="236"/>
      <c r="AD51" s="80"/>
      <c r="AE51" s="236"/>
      <c r="AF51" s="95"/>
      <c r="AG51" s="237"/>
      <c r="AH51" s="95"/>
      <c r="AI51" s="237"/>
      <c r="AJ51" s="95"/>
      <c r="AK51" s="237"/>
      <c r="AL51" s="95"/>
      <c r="AM51" s="170"/>
      <c r="AN51" s="238"/>
      <c r="AO51" s="237"/>
      <c r="AP51" s="239"/>
      <c r="AQ51" s="99" t="str">
        <f t="shared" si="49"/>
        <v/>
      </c>
      <c r="BU51" s="240"/>
      <c r="BV51" s="240"/>
      <c r="BW51" s="240"/>
      <c r="BX51" s="240"/>
      <c r="BY51" s="240"/>
      <c r="BZ51" s="240"/>
      <c r="CA51" s="100" t="str">
        <f t="shared" si="50"/>
        <v/>
      </c>
      <c r="CB51" s="100" t="str">
        <f t="shared" si="51"/>
        <v/>
      </c>
      <c r="CC51" s="216"/>
      <c r="CD51" s="240"/>
      <c r="CU51" s="102">
        <f t="shared" si="52"/>
        <v>0</v>
      </c>
      <c r="CV51" s="102">
        <f t="shared" si="53"/>
        <v>0</v>
      </c>
    </row>
    <row r="52" spans="1:100" ht="15" customHeight="1">
      <c r="A52" s="5618"/>
      <c r="B52" s="206" t="s">
        <v>112</v>
      </c>
      <c r="C52" s="255">
        <f t="shared" si="33"/>
        <v>0</v>
      </c>
      <c r="D52" s="256">
        <f t="shared" si="54"/>
        <v>0</v>
      </c>
      <c r="E52" s="257">
        <f t="shared" si="54"/>
        <v>0</v>
      </c>
      <c r="F52" s="258"/>
      <c r="G52" s="259"/>
      <c r="H52" s="258"/>
      <c r="I52" s="259"/>
      <c r="J52" s="258"/>
      <c r="K52" s="260"/>
      <c r="L52" s="258"/>
      <c r="M52" s="260"/>
      <c r="N52" s="258"/>
      <c r="O52" s="260"/>
      <c r="P52" s="258"/>
      <c r="Q52" s="260"/>
      <c r="R52" s="258"/>
      <c r="S52" s="260"/>
      <c r="T52" s="258"/>
      <c r="U52" s="260"/>
      <c r="V52" s="258"/>
      <c r="W52" s="260"/>
      <c r="X52" s="258"/>
      <c r="Y52" s="260"/>
      <c r="Z52" s="258"/>
      <c r="AA52" s="260"/>
      <c r="AB52" s="258"/>
      <c r="AC52" s="260"/>
      <c r="AD52" s="258"/>
      <c r="AE52" s="260"/>
      <c r="AF52" s="133"/>
      <c r="AG52" s="261"/>
      <c r="AH52" s="133"/>
      <c r="AI52" s="261"/>
      <c r="AJ52" s="133"/>
      <c r="AK52" s="261"/>
      <c r="AL52" s="133"/>
      <c r="AM52" s="173"/>
      <c r="AN52" s="262"/>
      <c r="AO52" s="261"/>
      <c r="AP52" s="259"/>
      <c r="AQ52" s="99" t="str">
        <f t="shared" si="49"/>
        <v/>
      </c>
      <c r="BU52" s="240"/>
      <c r="BV52" s="240"/>
      <c r="BW52" s="240"/>
      <c r="BX52" s="240"/>
      <c r="BY52" s="240"/>
      <c r="BZ52" s="240"/>
      <c r="CA52" s="100" t="str">
        <f t="shared" si="50"/>
        <v/>
      </c>
      <c r="CB52" s="100" t="str">
        <f t="shared" si="51"/>
        <v/>
      </c>
      <c r="CC52" s="216"/>
      <c r="CD52" s="240"/>
      <c r="CU52" s="102">
        <f t="shared" si="52"/>
        <v>0</v>
      </c>
      <c r="CV52" s="102">
        <f t="shared" si="53"/>
        <v>0</v>
      </c>
    </row>
    <row r="53" spans="1:100" ht="24.6" customHeight="1">
      <c r="A53" s="5620"/>
      <c r="B53" s="263" t="s">
        <v>121</v>
      </c>
      <c r="C53" s="250">
        <f t="shared" si="33"/>
        <v>0</v>
      </c>
      <c r="D53" s="251">
        <f t="shared" si="54"/>
        <v>0</v>
      </c>
      <c r="E53" s="252">
        <f t="shared" si="54"/>
        <v>0</v>
      </c>
      <c r="F53" s="108"/>
      <c r="G53" s="264"/>
      <c r="H53" s="108"/>
      <c r="I53" s="264"/>
      <c r="J53" s="108"/>
      <c r="K53" s="265"/>
      <c r="L53" s="108"/>
      <c r="M53" s="265"/>
      <c r="N53" s="108"/>
      <c r="O53" s="265"/>
      <c r="P53" s="108"/>
      <c r="Q53" s="265"/>
      <c r="R53" s="108"/>
      <c r="S53" s="265"/>
      <c r="T53" s="108"/>
      <c r="U53" s="265"/>
      <c r="V53" s="108"/>
      <c r="W53" s="265"/>
      <c r="X53" s="108"/>
      <c r="Y53" s="265"/>
      <c r="Z53" s="108"/>
      <c r="AA53" s="265"/>
      <c r="AB53" s="108"/>
      <c r="AC53" s="265"/>
      <c r="AD53" s="108"/>
      <c r="AE53" s="265"/>
      <c r="AF53" s="122"/>
      <c r="AG53" s="254"/>
      <c r="AH53" s="122"/>
      <c r="AI53" s="254"/>
      <c r="AJ53" s="122"/>
      <c r="AK53" s="254"/>
      <c r="AL53" s="122"/>
      <c r="AM53" s="186"/>
      <c r="AN53" s="115"/>
      <c r="AO53" s="254"/>
      <c r="AP53" s="264"/>
      <c r="AQ53" s="99" t="str">
        <f t="shared" si="49"/>
        <v/>
      </c>
      <c r="BU53" s="240"/>
      <c r="BV53" s="240"/>
      <c r="BW53" s="240"/>
      <c r="BX53" s="240"/>
      <c r="BY53" s="240"/>
      <c r="BZ53" s="240"/>
      <c r="CA53" s="100" t="str">
        <f t="shared" si="50"/>
        <v/>
      </c>
      <c r="CB53" s="100" t="str">
        <f t="shared" si="51"/>
        <v/>
      </c>
      <c r="CC53" s="216"/>
      <c r="CD53" s="240"/>
      <c r="CU53" s="102">
        <f t="shared" si="52"/>
        <v>0</v>
      </c>
      <c r="CV53" s="102">
        <f t="shared" si="53"/>
        <v>0</v>
      </c>
    </row>
    <row r="54" spans="1:100" ht="15" customHeight="1">
      <c r="A54" s="5619" t="s">
        <v>123</v>
      </c>
      <c r="B54" s="78" t="s">
        <v>78</v>
      </c>
      <c r="C54" s="233">
        <f t="shared" si="33"/>
        <v>0</v>
      </c>
      <c r="D54" s="234">
        <f t="shared" ref="D54:D62" si="55">SUM(F54+H54+J54+L54+N54+P54+R54+T54+V54+X54+Z54+AB54+AD54+AF54+AH54+AJ54+AL54)</f>
        <v>0</v>
      </c>
      <c r="E54" s="235">
        <f t="shared" ref="E54:E62" si="56">SUM(G54+I54+K54+M54+O54+Q54+S54+U54+W54+Y54+AA54+AC54+AE54+AG54+AI54+AK54+AM54)</f>
        <v>0</v>
      </c>
      <c r="F54" s="95"/>
      <c r="G54" s="237"/>
      <c r="H54" s="95"/>
      <c r="I54" s="237"/>
      <c r="J54" s="95"/>
      <c r="K54" s="237"/>
      <c r="L54" s="95"/>
      <c r="M54" s="237"/>
      <c r="N54" s="95"/>
      <c r="O54" s="237"/>
      <c r="P54" s="95"/>
      <c r="Q54" s="237"/>
      <c r="R54" s="95"/>
      <c r="S54" s="237"/>
      <c r="T54" s="95"/>
      <c r="U54" s="237"/>
      <c r="V54" s="95"/>
      <c r="W54" s="237"/>
      <c r="X54" s="95"/>
      <c r="Y54" s="237"/>
      <c r="Z54" s="95"/>
      <c r="AA54" s="237"/>
      <c r="AB54" s="95"/>
      <c r="AC54" s="237"/>
      <c r="AD54" s="95"/>
      <c r="AE54" s="237"/>
      <c r="AF54" s="95"/>
      <c r="AG54" s="237"/>
      <c r="AH54" s="95"/>
      <c r="AI54" s="237"/>
      <c r="AJ54" s="95"/>
      <c r="AK54" s="237"/>
      <c r="AL54" s="95"/>
      <c r="AM54" s="170"/>
      <c r="AN54" s="238"/>
      <c r="AO54" s="237"/>
      <c r="AP54" s="239"/>
      <c r="AQ54" s="99" t="str">
        <f t="shared" si="49"/>
        <v/>
      </c>
      <c r="BU54" s="240"/>
      <c r="BV54" s="240"/>
      <c r="BW54" s="240"/>
      <c r="BX54" s="240"/>
      <c r="BY54" s="240"/>
      <c r="BZ54" s="240"/>
      <c r="CA54" s="100" t="str">
        <f t="shared" si="50"/>
        <v/>
      </c>
      <c r="CB54" s="100" t="str">
        <f t="shared" si="51"/>
        <v/>
      </c>
      <c r="CC54" s="216"/>
      <c r="CD54" s="240"/>
      <c r="CU54" s="102">
        <f t="shared" si="52"/>
        <v>0</v>
      </c>
      <c r="CV54" s="102">
        <f t="shared" si="53"/>
        <v>0</v>
      </c>
    </row>
    <row r="55" spans="1:100" ht="15" customHeight="1">
      <c r="A55" s="5618"/>
      <c r="B55" s="206" t="s">
        <v>112</v>
      </c>
      <c r="C55" s="242">
        <f t="shared" si="33"/>
        <v>0</v>
      </c>
      <c r="D55" s="243">
        <f t="shared" si="55"/>
        <v>0</v>
      </c>
      <c r="E55" s="244">
        <f t="shared" si="56"/>
        <v>0</v>
      </c>
      <c r="F55" s="207"/>
      <c r="G55" s="247"/>
      <c r="H55" s="207"/>
      <c r="I55" s="247"/>
      <c r="J55" s="207"/>
      <c r="K55" s="247"/>
      <c r="L55" s="207"/>
      <c r="M55" s="247"/>
      <c r="N55" s="207"/>
      <c r="O55" s="247"/>
      <c r="P55" s="207"/>
      <c r="Q55" s="247"/>
      <c r="R55" s="207"/>
      <c r="S55" s="247"/>
      <c r="T55" s="207"/>
      <c r="U55" s="247"/>
      <c r="V55" s="207"/>
      <c r="W55" s="247"/>
      <c r="X55" s="207"/>
      <c r="Y55" s="247"/>
      <c r="Z55" s="207"/>
      <c r="AA55" s="247"/>
      <c r="AB55" s="207"/>
      <c r="AC55" s="247"/>
      <c r="AD55" s="207"/>
      <c r="AE55" s="247"/>
      <c r="AF55" s="207"/>
      <c r="AG55" s="247"/>
      <c r="AH55" s="207"/>
      <c r="AI55" s="247"/>
      <c r="AJ55" s="207"/>
      <c r="AK55" s="247"/>
      <c r="AL55" s="207"/>
      <c r="AM55" s="214"/>
      <c r="AN55" s="248"/>
      <c r="AO55" s="247"/>
      <c r="AP55" s="215"/>
      <c r="AQ55" s="99" t="str">
        <f t="shared" si="49"/>
        <v/>
      </c>
      <c r="BU55" s="240"/>
      <c r="BV55" s="240"/>
      <c r="BW55" s="240"/>
      <c r="BX55" s="240"/>
      <c r="BY55" s="240"/>
      <c r="BZ55" s="240"/>
      <c r="CA55" s="100" t="str">
        <f t="shared" si="50"/>
        <v/>
      </c>
      <c r="CB55" s="100" t="str">
        <f t="shared" si="51"/>
        <v/>
      </c>
      <c r="CC55" s="216"/>
      <c r="CD55" s="240"/>
      <c r="CU55" s="102">
        <f t="shared" si="52"/>
        <v>0</v>
      </c>
      <c r="CV55" s="102">
        <f t="shared" si="53"/>
        <v>0</v>
      </c>
    </row>
    <row r="56" spans="1:100" ht="15" customHeight="1">
      <c r="A56" s="5620"/>
      <c r="B56" s="206" t="s">
        <v>79</v>
      </c>
      <c r="C56" s="250">
        <f t="shared" si="33"/>
        <v>0</v>
      </c>
      <c r="D56" s="251">
        <f t="shared" si="55"/>
        <v>0</v>
      </c>
      <c r="E56" s="252">
        <f t="shared" si="56"/>
        <v>0</v>
      </c>
      <c r="F56" s="122"/>
      <c r="G56" s="254"/>
      <c r="H56" s="122"/>
      <c r="I56" s="254"/>
      <c r="J56" s="122"/>
      <c r="K56" s="254"/>
      <c r="L56" s="122"/>
      <c r="M56" s="254"/>
      <c r="N56" s="122"/>
      <c r="O56" s="254"/>
      <c r="P56" s="122"/>
      <c r="Q56" s="254"/>
      <c r="R56" s="122"/>
      <c r="S56" s="254"/>
      <c r="T56" s="122"/>
      <c r="U56" s="254"/>
      <c r="V56" s="122"/>
      <c r="W56" s="254"/>
      <c r="X56" s="122"/>
      <c r="Y56" s="254"/>
      <c r="Z56" s="122"/>
      <c r="AA56" s="254"/>
      <c r="AB56" s="122"/>
      <c r="AC56" s="254"/>
      <c r="AD56" s="122"/>
      <c r="AE56" s="254"/>
      <c r="AF56" s="122"/>
      <c r="AG56" s="254"/>
      <c r="AH56" s="122"/>
      <c r="AI56" s="254"/>
      <c r="AJ56" s="122"/>
      <c r="AK56" s="254"/>
      <c r="AL56" s="122"/>
      <c r="AM56" s="186"/>
      <c r="AN56" s="115"/>
      <c r="AO56" s="254"/>
      <c r="AP56" s="264"/>
      <c r="AQ56" s="99" t="str">
        <f t="shared" si="49"/>
        <v/>
      </c>
      <c r="BU56" s="240"/>
      <c r="BV56" s="240"/>
      <c r="BW56" s="240"/>
      <c r="BX56" s="240"/>
      <c r="BY56" s="240"/>
      <c r="BZ56" s="240"/>
      <c r="CA56" s="100" t="str">
        <f t="shared" si="50"/>
        <v/>
      </c>
      <c r="CB56" s="100" t="str">
        <f t="shared" si="51"/>
        <v/>
      </c>
      <c r="CC56" s="216"/>
      <c r="CD56" s="240"/>
      <c r="CU56" s="102">
        <f t="shared" si="52"/>
        <v>0</v>
      </c>
      <c r="CV56" s="102">
        <f t="shared" si="53"/>
        <v>0</v>
      </c>
    </row>
    <row r="57" spans="1:100" ht="15" customHeight="1">
      <c r="A57" s="5619" t="s">
        <v>124</v>
      </c>
      <c r="B57" s="78" t="s">
        <v>78</v>
      </c>
      <c r="C57" s="233">
        <f t="shared" si="33"/>
        <v>0</v>
      </c>
      <c r="D57" s="234">
        <f t="shared" si="55"/>
        <v>0</v>
      </c>
      <c r="E57" s="235">
        <f t="shared" si="56"/>
        <v>0</v>
      </c>
      <c r="F57" s="95"/>
      <c r="G57" s="237"/>
      <c r="H57" s="95"/>
      <c r="I57" s="237"/>
      <c r="J57" s="95"/>
      <c r="K57" s="237"/>
      <c r="L57" s="95"/>
      <c r="M57" s="237"/>
      <c r="N57" s="95"/>
      <c r="O57" s="237"/>
      <c r="P57" s="95"/>
      <c r="Q57" s="237"/>
      <c r="R57" s="95"/>
      <c r="S57" s="237"/>
      <c r="T57" s="95"/>
      <c r="U57" s="237"/>
      <c r="V57" s="95"/>
      <c r="W57" s="237"/>
      <c r="X57" s="95"/>
      <c r="Y57" s="237"/>
      <c r="Z57" s="95"/>
      <c r="AA57" s="237"/>
      <c r="AB57" s="95"/>
      <c r="AC57" s="237"/>
      <c r="AD57" s="95"/>
      <c r="AE57" s="237"/>
      <c r="AF57" s="95"/>
      <c r="AG57" s="237"/>
      <c r="AH57" s="95"/>
      <c r="AI57" s="237"/>
      <c r="AJ57" s="95"/>
      <c r="AK57" s="237"/>
      <c r="AL57" s="95"/>
      <c r="AM57" s="170"/>
      <c r="AN57" s="238"/>
      <c r="AO57" s="237"/>
      <c r="AP57" s="239"/>
      <c r="AQ57" s="99" t="str">
        <f t="shared" si="49"/>
        <v/>
      </c>
      <c r="BU57" s="240"/>
      <c r="BV57" s="240"/>
      <c r="BW57" s="240"/>
      <c r="BX57" s="240"/>
      <c r="BY57" s="240"/>
      <c r="BZ57" s="240"/>
      <c r="CA57" s="100" t="str">
        <f t="shared" si="50"/>
        <v/>
      </c>
      <c r="CB57" s="100" t="str">
        <f t="shared" si="51"/>
        <v/>
      </c>
      <c r="CC57" s="216"/>
      <c r="CD57" s="240"/>
      <c r="CU57" s="102">
        <f t="shared" si="52"/>
        <v>0</v>
      </c>
      <c r="CV57" s="102">
        <f t="shared" si="53"/>
        <v>0</v>
      </c>
    </row>
    <row r="58" spans="1:100" ht="15" customHeight="1">
      <c r="A58" s="5618"/>
      <c r="B58" s="206" t="s">
        <v>112</v>
      </c>
      <c r="C58" s="242">
        <f t="shared" si="33"/>
        <v>0</v>
      </c>
      <c r="D58" s="243">
        <f t="shared" si="55"/>
        <v>0</v>
      </c>
      <c r="E58" s="244">
        <f t="shared" si="56"/>
        <v>0</v>
      </c>
      <c r="F58" s="207"/>
      <c r="G58" s="247"/>
      <c r="H58" s="207"/>
      <c r="I58" s="247"/>
      <c r="J58" s="207"/>
      <c r="K58" s="247"/>
      <c r="L58" s="207"/>
      <c r="M58" s="247"/>
      <c r="N58" s="207"/>
      <c r="O58" s="247"/>
      <c r="P58" s="207"/>
      <c r="Q58" s="247"/>
      <c r="R58" s="207"/>
      <c r="S58" s="247"/>
      <c r="T58" s="207"/>
      <c r="U58" s="247"/>
      <c r="V58" s="207"/>
      <c r="W58" s="247"/>
      <c r="X58" s="207"/>
      <c r="Y58" s="247"/>
      <c r="Z58" s="207"/>
      <c r="AA58" s="247"/>
      <c r="AB58" s="207"/>
      <c r="AC58" s="247"/>
      <c r="AD58" s="207"/>
      <c r="AE58" s="247"/>
      <c r="AF58" s="207"/>
      <c r="AG58" s="247"/>
      <c r="AH58" s="207"/>
      <c r="AI58" s="247"/>
      <c r="AJ58" s="207"/>
      <c r="AK58" s="247"/>
      <c r="AL58" s="207"/>
      <c r="AM58" s="214"/>
      <c r="AN58" s="248"/>
      <c r="AO58" s="247"/>
      <c r="AP58" s="215"/>
      <c r="AQ58" s="99" t="str">
        <f t="shared" si="49"/>
        <v/>
      </c>
      <c r="BU58" s="240"/>
      <c r="BV58" s="240"/>
      <c r="BW58" s="240"/>
      <c r="BX58" s="240"/>
      <c r="BY58" s="240"/>
      <c r="BZ58" s="240"/>
      <c r="CA58" s="100" t="str">
        <f t="shared" si="50"/>
        <v/>
      </c>
      <c r="CB58" s="100" t="str">
        <f t="shared" si="51"/>
        <v/>
      </c>
      <c r="CC58" s="216"/>
      <c r="CD58" s="240"/>
      <c r="CU58" s="102">
        <f t="shared" si="52"/>
        <v>0</v>
      </c>
      <c r="CV58" s="102">
        <f t="shared" si="53"/>
        <v>0</v>
      </c>
    </row>
    <row r="59" spans="1:100" ht="15" customHeight="1">
      <c r="A59" s="5618"/>
      <c r="B59" s="206" t="s">
        <v>79</v>
      </c>
      <c r="C59" s="242">
        <f t="shared" si="33"/>
        <v>0</v>
      </c>
      <c r="D59" s="243">
        <f t="shared" si="55"/>
        <v>0</v>
      </c>
      <c r="E59" s="244">
        <f t="shared" si="56"/>
        <v>0</v>
      </c>
      <c r="F59" s="207"/>
      <c r="G59" s="247"/>
      <c r="H59" s="207"/>
      <c r="I59" s="247"/>
      <c r="J59" s="207"/>
      <c r="K59" s="247"/>
      <c r="L59" s="207"/>
      <c r="M59" s="247"/>
      <c r="N59" s="207"/>
      <c r="O59" s="247"/>
      <c r="P59" s="207"/>
      <c r="Q59" s="247"/>
      <c r="R59" s="207"/>
      <c r="S59" s="247"/>
      <c r="T59" s="207"/>
      <c r="U59" s="247"/>
      <c r="V59" s="207"/>
      <c r="W59" s="247"/>
      <c r="X59" s="207"/>
      <c r="Y59" s="247"/>
      <c r="Z59" s="207"/>
      <c r="AA59" s="247"/>
      <c r="AB59" s="207"/>
      <c r="AC59" s="247"/>
      <c r="AD59" s="207"/>
      <c r="AE59" s="247"/>
      <c r="AF59" s="207"/>
      <c r="AG59" s="247"/>
      <c r="AH59" s="207"/>
      <c r="AI59" s="247"/>
      <c r="AJ59" s="207"/>
      <c r="AK59" s="247"/>
      <c r="AL59" s="207"/>
      <c r="AM59" s="214"/>
      <c r="AN59" s="248"/>
      <c r="AO59" s="247"/>
      <c r="AP59" s="215"/>
      <c r="AQ59" s="99" t="str">
        <f t="shared" si="49"/>
        <v/>
      </c>
      <c r="BU59" s="240"/>
      <c r="BV59" s="240"/>
      <c r="BW59" s="240"/>
      <c r="BX59" s="240"/>
      <c r="BY59" s="240"/>
      <c r="BZ59" s="240"/>
      <c r="CA59" s="100" t="str">
        <f t="shared" si="50"/>
        <v/>
      </c>
      <c r="CB59" s="100" t="str">
        <f t="shared" si="51"/>
        <v/>
      </c>
      <c r="CC59" s="216"/>
      <c r="CD59" s="240"/>
      <c r="CU59" s="102">
        <f t="shared" si="52"/>
        <v>0</v>
      </c>
      <c r="CV59" s="102">
        <f t="shared" si="53"/>
        <v>0</v>
      </c>
    </row>
    <row r="60" spans="1:100" ht="15" customHeight="1">
      <c r="A60" s="5618"/>
      <c r="B60" s="206" t="s">
        <v>119</v>
      </c>
      <c r="C60" s="242">
        <f t="shared" si="33"/>
        <v>0</v>
      </c>
      <c r="D60" s="243">
        <f t="shared" si="55"/>
        <v>0</v>
      </c>
      <c r="E60" s="244">
        <f t="shared" si="56"/>
        <v>0</v>
      </c>
      <c r="F60" s="207"/>
      <c r="G60" s="247"/>
      <c r="H60" s="207"/>
      <c r="I60" s="247"/>
      <c r="J60" s="207"/>
      <c r="K60" s="247"/>
      <c r="L60" s="207"/>
      <c r="M60" s="247"/>
      <c r="N60" s="207"/>
      <c r="O60" s="247"/>
      <c r="P60" s="207"/>
      <c r="Q60" s="247"/>
      <c r="R60" s="207"/>
      <c r="S60" s="247"/>
      <c r="T60" s="207"/>
      <c r="U60" s="247"/>
      <c r="V60" s="207"/>
      <c r="W60" s="247"/>
      <c r="X60" s="207"/>
      <c r="Y60" s="247"/>
      <c r="Z60" s="207"/>
      <c r="AA60" s="247"/>
      <c r="AB60" s="207"/>
      <c r="AC60" s="247"/>
      <c r="AD60" s="207"/>
      <c r="AE60" s="247"/>
      <c r="AF60" s="207"/>
      <c r="AG60" s="247"/>
      <c r="AH60" s="207"/>
      <c r="AI60" s="247"/>
      <c r="AJ60" s="207"/>
      <c r="AK60" s="247"/>
      <c r="AL60" s="207"/>
      <c r="AM60" s="214"/>
      <c r="AN60" s="248"/>
      <c r="AO60" s="247"/>
      <c r="AP60" s="215"/>
      <c r="AQ60" s="99" t="str">
        <f t="shared" si="49"/>
        <v/>
      </c>
      <c r="BU60" s="240"/>
      <c r="BV60" s="240"/>
      <c r="BW60" s="240"/>
      <c r="BX60" s="240"/>
      <c r="BY60" s="240"/>
      <c r="BZ60" s="240"/>
      <c r="CA60" s="100" t="str">
        <f t="shared" si="50"/>
        <v/>
      </c>
      <c r="CB60" s="100" t="str">
        <f t="shared" si="51"/>
        <v/>
      </c>
      <c r="CC60" s="216"/>
      <c r="CD60" s="240"/>
      <c r="CU60" s="102">
        <f t="shared" si="52"/>
        <v>0</v>
      </c>
      <c r="CV60" s="102">
        <f t="shared" si="53"/>
        <v>0</v>
      </c>
    </row>
    <row r="61" spans="1:100" ht="15" customHeight="1">
      <c r="A61" s="5618"/>
      <c r="B61" s="206" t="s">
        <v>113</v>
      </c>
      <c r="C61" s="266">
        <f t="shared" si="33"/>
        <v>0</v>
      </c>
      <c r="D61" s="267">
        <f t="shared" si="55"/>
        <v>0</v>
      </c>
      <c r="E61" s="268">
        <f t="shared" si="56"/>
        <v>0</v>
      </c>
      <c r="F61" s="207"/>
      <c r="G61" s="247"/>
      <c r="H61" s="207"/>
      <c r="I61" s="247"/>
      <c r="J61" s="207"/>
      <c r="K61" s="247"/>
      <c r="L61" s="207"/>
      <c r="M61" s="247"/>
      <c r="N61" s="207"/>
      <c r="O61" s="247"/>
      <c r="P61" s="207"/>
      <c r="Q61" s="247"/>
      <c r="R61" s="207"/>
      <c r="S61" s="247"/>
      <c r="T61" s="207"/>
      <c r="U61" s="247"/>
      <c r="V61" s="207"/>
      <c r="W61" s="247"/>
      <c r="X61" s="207"/>
      <c r="Y61" s="247"/>
      <c r="Z61" s="207"/>
      <c r="AA61" s="247"/>
      <c r="AB61" s="207"/>
      <c r="AC61" s="247"/>
      <c r="AD61" s="207"/>
      <c r="AE61" s="247"/>
      <c r="AF61" s="207"/>
      <c r="AG61" s="247"/>
      <c r="AH61" s="207"/>
      <c r="AI61" s="247"/>
      <c r="AJ61" s="207"/>
      <c r="AK61" s="247"/>
      <c r="AL61" s="207"/>
      <c r="AM61" s="214"/>
      <c r="AN61" s="248"/>
      <c r="AO61" s="247"/>
      <c r="AP61" s="215"/>
      <c r="AQ61" s="99" t="str">
        <f t="shared" si="49"/>
        <v/>
      </c>
      <c r="BU61" s="240"/>
      <c r="BV61" s="240"/>
      <c r="BW61" s="240"/>
      <c r="BX61" s="240"/>
      <c r="BY61" s="240"/>
      <c r="BZ61" s="240"/>
      <c r="CA61" s="100" t="str">
        <f t="shared" si="50"/>
        <v/>
      </c>
      <c r="CB61" s="100" t="str">
        <f t="shared" si="51"/>
        <v/>
      </c>
      <c r="CC61" s="216"/>
      <c r="CD61" s="240"/>
      <c r="CU61" s="102">
        <f t="shared" si="52"/>
        <v>0</v>
      </c>
      <c r="CV61" s="102">
        <f t="shared" si="53"/>
        <v>0</v>
      </c>
    </row>
    <row r="62" spans="1:100" ht="24" customHeight="1">
      <c r="A62" s="5620"/>
      <c r="B62" s="263" t="s">
        <v>121</v>
      </c>
      <c r="C62" s="255">
        <f t="shared" si="33"/>
        <v>0</v>
      </c>
      <c r="D62" s="256">
        <f t="shared" si="55"/>
        <v>0</v>
      </c>
      <c r="E62" s="269">
        <f t="shared" si="56"/>
        <v>0</v>
      </c>
      <c r="F62" s="122"/>
      <c r="G62" s="254"/>
      <c r="H62" s="122"/>
      <c r="I62" s="254"/>
      <c r="J62" s="122"/>
      <c r="K62" s="254"/>
      <c r="L62" s="122"/>
      <c r="M62" s="254"/>
      <c r="N62" s="122"/>
      <c r="O62" s="121"/>
      <c r="P62" s="122"/>
      <c r="Q62" s="121"/>
      <c r="R62" s="122"/>
      <c r="S62" s="254"/>
      <c r="T62" s="122"/>
      <c r="U62" s="254"/>
      <c r="V62" s="122"/>
      <c r="W62" s="254"/>
      <c r="X62" s="122"/>
      <c r="Y62" s="254"/>
      <c r="Z62" s="122"/>
      <c r="AA62" s="254"/>
      <c r="AB62" s="122"/>
      <c r="AC62" s="254"/>
      <c r="AD62" s="122"/>
      <c r="AE62" s="254"/>
      <c r="AF62" s="122"/>
      <c r="AG62" s="254"/>
      <c r="AH62" s="122"/>
      <c r="AI62" s="254"/>
      <c r="AJ62" s="122"/>
      <c r="AK62" s="254"/>
      <c r="AL62" s="270"/>
      <c r="AM62" s="186"/>
      <c r="AN62" s="115"/>
      <c r="AO62" s="254"/>
      <c r="AP62" s="264"/>
      <c r="AQ62" s="99" t="str">
        <f t="shared" si="49"/>
        <v/>
      </c>
      <c r="BU62" s="240"/>
      <c r="BV62" s="240"/>
      <c r="BW62" s="240"/>
      <c r="BX62" s="240"/>
      <c r="BY62" s="240"/>
      <c r="BZ62" s="240"/>
      <c r="CA62" s="100" t="str">
        <f t="shared" si="50"/>
        <v/>
      </c>
      <c r="CB62" s="100" t="str">
        <f t="shared" si="51"/>
        <v/>
      </c>
      <c r="CC62" s="216"/>
      <c r="CD62" s="240"/>
      <c r="CU62" s="102">
        <f t="shared" si="52"/>
        <v>0</v>
      </c>
      <c r="CV62" s="102">
        <f t="shared" si="53"/>
        <v>0</v>
      </c>
    </row>
    <row r="63" spans="1:100" ht="15" customHeight="1">
      <c r="A63" s="5619" t="s">
        <v>125</v>
      </c>
      <c r="B63" s="78" t="s">
        <v>78</v>
      </c>
      <c r="C63" s="233">
        <f t="shared" si="33"/>
        <v>0</v>
      </c>
      <c r="D63" s="234">
        <f t="shared" ref="D63:E66" si="57">SUM(F63+H63+J63+L63)</f>
        <v>0</v>
      </c>
      <c r="E63" s="235">
        <f t="shared" si="57"/>
        <v>0</v>
      </c>
      <c r="F63" s="95"/>
      <c r="G63" s="237"/>
      <c r="H63" s="95"/>
      <c r="I63" s="237"/>
      <c r="J63" s="95"/>
      <c r="K63" s="237"/>
      <c r="L63" s="95"/>
      <c r="M63" s="237"/>
      <c r="N63" s="80"/>
      <c r="O63" s="239"/>
      <c r="P63" s="80"/>
      <c r="Q63" s="239"/>
      <c r="R63" s="80"/>
      <c r="S63" s="236"/>
      <c r="T63" s="80"/>
      <c r="U63" s="236"/>
      <c r="V63" s="80"/>
      <c r="W63" s="236"/>
      <c r="X63" s="80"/>
      <c r="Y63" s="236"/>
      <c r="Z63" s="80"/>
      <c r="AA63" s="236"/>
      <c r="AB63" s="80"/>
      <c r="AC63" s="236"/>
      <c r="AD63" s="80"/>
      <c r="AE63" s="236"/>
      <c r="AF63" s="80"/>
      <c r="AG63" s="236"/>
      <c r="AH63" s="80"/>
      <c r="AI63" s="236"/>
      <c r="AJ63" s="80"/>
      <c r="AK63" s="236"/>
      <c r="AL63" s="271"/>
      <c r="AM63" s="85"/>
      <c r="AN63" s="238"/>
      <c r="AO63" s="237"/>
      <c r="AP63" s="239"/>
      <c r="AQ63" s="99" t="str">
        <f t="shared" si="49"/>
        <v/>
      </c>
      <c r="BU63" s="240"/>
      <c r="BV63" s="240"/>
      <c r="BW63" s="240"/>
      <c r="BX63" s="240"/>
      <c r="BY63" s="240"/>
      <c r="BZ63" s="240"/>
      <c r="CA63" s="100" t="str">
        <f t="shared" si="50"/>
        <v/>
      </c>
      <c r="CB63" s="100" t="str">
        <f t="shared" si="51"/>
        <v/>
      </c>
      <c r="CC63" s="216"/>
      <c r="CD63" s="240"/>
      <c r="CU63" s="102">
        <f t="shared" si="52"/>
        <v>0</v>
      </c>
      <c r="CV63" s="102">
        <f t="shared" si="53"/>
        <v>0</v>
      </c>
    </row>
    <row r="64" spans="1:100" ht="15" customHeight="1">
      <c r="A64" s="5618"/>
      <c r="B64" s="206" t="s">
        <v>112</v>
      </c>
      <c r="C64" s="242">
        <f t="shared" si="33"/>
        <v>0</v>
      </c>
      <c r="D64" s="243">
        <f t="shared" si="57"/>
        <v>0</v>
      </c>
      <c r="E64" s="244">
        <f t="shared" si="57"/>
        <v>0</v>
      </c>
      <c r="F64" s="207"/>
      <c r="G64" s="247"/>
      <c r="H64" s="207"/>
      <c r="I64" s="247"/>
      <c r="J64" s="207"/>
      <c r="K64" s="247"/>
      <c r="L64" s="207"/>
      <c r="M64" s="247"/>
      <c r="N64" s="245"/>
      <c r="O64" s="215"/>
      <c r="P64" s="245"/>
      <c r="Q64" s="215"/>
      <c r="R64" s="245"/>
      <c r="S64" s="246"/>
      <c r="T64" s="245"/>
      <c r="U64" s="246"/>
      <c r="V64" s="245"/>
      <c r="W64" s="246"/>
      <c r="X64" s="245"/>
      <c r="Y64" s="246"/>
      <c r="Z64" s="245"/>
      <c r="AA64" s="246"/>
      <c r="AB64" s="245"/>
      <c r="AC64" s="246"/>
      <c r="AD64" s="245"/>
      <c r="AE64" s="246"/>
      <c r="AF64" s="245"/>
      <c r="AG64" s="246"/>
      <c r="AH64" s="245"/>
      <c r="AI64" s="246"/>
      <c r="AJ64" s="245"/>
      <c r="AK64" s="246"/>
      <c r="AL64" s="272"/>
      <c r="AM64" s="273"/>
      <c r="AN64" s="248"/>
      <c r="AO64" s="247"/>
      <c r="AP64" s="215"/>
      <c r="AQ64" s="99" t="str">
        <f t="shared" si="49"/>
        <v/>
      </c>
      <c r="BU64" s="240"/>
      <c r="BV64" s="240"/>
      <c r="BW64" s="240"/>
      <c r="BX64" s="240"/>
      <c r="BY64" s="240"/>
      <c r="BZ64" s="240"/>
      <c r="CA64" s="100" t="str">
        <f t="shared" si="50"/>
        <v/>
      </c>
      <c r="CB64" s="100" t="str">
        <f t="shared" si="51"/>
        <v/>
      </c>
      <c r="CC64" s="216"/>
      <c r="CD64" s="240"/>
      <c r="CU64" s="102">
        <f t="shared" si="52"/>
        <v>0</v>
      </c>
      <c r="CV64" s="102">
        <f t="shared" si="53"/>
        <v>0</v>
      </c>
    </row>
    <row r="65" spans="1:102" ht="15" customHeight="1">
      <c r="A65" s="5618"/>
      <c r="B65" s="206" t="s">
        <v>79</v>
      </c>
      <c r="C65" s="242">
        <f t="shared" si="33"/>
        <v>0</v>
      </c>
      <c r="D65" s="243">
        <f t="shared" si="57"/>
        <v>0</v>
      </c>
      <c r="E65" s="244">
        <f t="shared" si="57"/>
        <v>0</v>
      </c>
      <c r="F65" s="207"/>
      <c r="G65" s="247"/>
      <c r="H65" s="207"/>
      <c r="I65" s="247"/>
      <c r="J65" s="207"/>
      <c r="K65" s="247"/>
      <c r="L65" s="207"/>
      <c r="M65" s="247"/>
      <c r="N65" s="245"/>
      <c r="O65" s="215"/>
      <c r="P65" s="245"/>
      <c r="Q65" s="215"/>
      <c r="R65" s="245"/>
      <c r="S65" s="246"/>
      <c r="T65" s="245"/>
      <c r="U65" s="246"/>
      <c r="V65" s="245"/>
      <c r="W65" s="246"/>
      <c r="X65" s="245"/>
      <c r="Y65" s="246"/>
      <c r="Z65" s="245"/>
      <c r="AA65" s="246"/>
      <c r="AB65" s="245"/>
      <c r="AC65" s="246"/>
      <c r="AD65" s="245"/>
      <c r="AE65" s="246"/>
      <c r="AF65" s="245"/>
      <c r="AG65" s="246"/>
      <c r="AH65" s="245"/>
      <c r="AI65" s="246"/>
      <c r="AJ65" s="245"/>
      <c r="AK65" s="246"/>
      <c r="AL65" s="272"/>
      <c r="AM65" s="273"/>
      <c r="AN65" s="248"/>
      <c r="AO65" s="247"/>
      <c r="AP65" s="215"/>
      <c r="AQ65" s="99" t="str">
        <f t="shared" si="49"/>
        <v/>
      </c>
      <c r="BU65" s="240"/>
      <c r="BV65" s="240"/>
      <c r="BW65" s="240"/>
      <c r="BX65" s="240"/>
      <c r="BY65" s="240"/>
      <c r="BZ65" s="240"/>
      <c r="CA65" s="100" t="str">
        <f t="shared" si="50"/>
        <v/>
      </c>
      <c r="CB65" s="100" t="str">
        <f t="shared" si="51"/>
        <v/>
      </c>
      <c r="CC65" s="216"/>
      <c r="CD65" s="240"/>
      <c r="CU65" s="102">
        <f t="shared" si="52"/>
        <v>0</v>
      </c>
      <c r="CV65" s="102">
        <f t="shared" si="53"/>
        <v>0</v>
      </c>
    </row>
    <row r="66" spans="1:102" ht="15" customHeight="1">
      <c r="A66" s="5620"/>
      <c r="B66" s="106" t="s">
        <v>119</v>
      </c>
      <c r="C66" s="250">
        <f t="shared" si="33"/>
        <v>0</v>
      </c>
      <c r="D66" s="251">
        <f t="shared" si="57"/>
        <v>0</v>
      </c>
      <c r="E66" s="252">
        <f t="shared" si="57"/>
        <v>0</v>
      </c>
      <c r="F66" s="122"/>
      <c r="G66" s="254"/>
      <c r="H66" s="122"/>
      <c r="I66" s="254"/>
      <c r="J66" s="122"/>
      <c r="K66" s="254"/>
      <c r="L66" s="122"/>
      <c r="M66" s="254"/>
      <c r="N66" s="108"/>
      <c r="O66" s="264"/>
      <c r="P66" s="108"/>
      <c r="Q66" s="264"/>
      <c r="R66" s="108"/>
      <c r="S66" s="265"/>
      <c r="T66" s="108"/>
      <c r="U66" s="265"/>
      <c r="V66" s="108"/>
      <c r="W66" s="265"/>
      <c r="X66" s="108"/>
      <c r="Y66" s="265"/>
      <c r="Z66" s="108"/>
      <c r="AA66" s="265"/>
      <c r="AB66" s="108"/>
      <c r="AC66" s="265"/>
      <c r="AD66" s="108"/>
      <c r="AE66" s="265"/>
      <c r="AF66" s="108"/>
      <c r="AG66" s="265"/>
      <c r="AH66" s="108"/>
      <c r="AI66" s="265"/>
      <c r="AJ66" s="108"/>
      <c r="AK66" s="265"/>
      <c r="AL66" s="274"/>
      <c r="AM66" s="112"/>
      <c r="AN66" s="115"/>
      <c r="AO66" s="254"/>
      <c r="AP66" s="264"/>
      <c r="AQ66" s="99" t="str">
        <f t="shared" si="49"/>
        <v/>
      </c>
      <c r="BU66" s="240"/>
      <c r="BV66" s="240"/>
      <c r="BW66" s="240"/>
      <c r="BX66" s="240"/>
      <c r="BY66" s="240"/>
      <c r="BZ66" s="240"/>
      <c r="CA66" s="100" t="str">
        <f t="shared" si="50"/>
        <v/>
      </c>
      <c r="CB66" s="100" t="str">
        <f t="shared" si="51"/>
        <v/>
      </c>
      <c r="CC66" s="216"/>
      <c r="CD66" s="240"/>
      <c r="CU66" s="102">
        <f t="shared" si="52"/>
        <v>0</v>
      </c>
      <c r="CV66" s="102">
        <f t="shared" si="53"/>
        <v>0</v>
      </c>
    </row>
    <row r="67" spans="1:102" ht="18" customHeight="1">
      <c r="A67" s="5691" t="s">
        <v>126</v>
      </c>
      <c r="B67" s="5691"/>
      <c r="C67" s="5691"/>
      <c r="D67" s="5691"/>
      <c r="E67" s="5691"/>
      <c r="F67" s="5691"/>
      <c r="G67" s="5691"/>
      <c r="H67" s="5691"/>
      <c r="I67" s="5691"/>
      <c r="J67" s="5691"/>
      <c r="K67" s="5691"/>
      <c r="L67" s="5691"/>
      <c r="M67" s="52"/>
      <c r="N67" s="52"/>
    </row>
    <row r="68" spans="1:102" ht="19.899999999999999" customHeight="1">
      <c r="A68" s="5642" t="s">
        <v>127</v>
      </c>
      <c r="B68" s="5624"/>
      <c r="C68" s="5615" t="s">
        <v>108</v>
      </c>
      <c r="D68" s="5616"/>
      <c r="E68" s="5652"/>
      <c r="F68" s="5616" t="s">
        <v>58</v>
      </c>
      <c r="G68" s="5616"/>
      <c r="H68" s="5617"/>
      <c r="I68" s="5657" t="s">
        <v>50</v>
      </c>
      <c r="J68" s="5613" t="s">
        <v>51</v>
      </c>
      <c r="K68" s="5653" t="s">
        <v>48</v>
      </c>
      <c r="L68" s="5655" t="s">
        <v>49</v>
      </c>
    </row>
    <row r="69" spans="1:102" ht="33.75" customHeight="1">
      <c r="A69" s="5659"/>
      <c r="B69" s="5625"/>
      <c r="C69" s="56" t="s">
        <v>93</v>
      </c>
      <c r="D69" s="196" t="s">
        <v>72</v>
      </c>
      <c r="E69" s="76" t="s">
        <v>73</v>
      </c>
      <c r="F69" s="59" t="s">
        <v>93</v>
      </c>
      <c r="G69" s="75" t="s">
        <v>72</v>
      </c>
      <c r="H69" s="70" t="s">
        <v>73</v>
      </c>
      <c r="I69" s="5658"/>
      <c r="J69" s="5614"/>
      <c r="K69" s="5654"/>
      <c r="L69" s="5656"/>
    </row>
    <row r="70" spans="1:102" ht="15" customHeight="1">
      <c r="A70" s="5660" t="s">
        <v>128</v>
      </c>
      <c r="B70" s="5660"/>
      <c r="C70" s="78">
        <f t="shared" si="33"/>
        <v>0</v>
      </c>
      <c r="D70" s="278"/>
      <c r="E70" s="279"/>
      <c r="F70" s="280">
        <f t="shared" ref="F70:F73" si="58">SUM(G70:H70)</f>
        <v>0</v>
      </c>
      <c r="G70" s="184"/>
      <c r="H70" s="214"/>
      <c r="I70" s="281"/>
      <c r="J70" s="282"/>
      <c r="K70" s="279"/>
      <c r="L70" s="283"/>
      <c r="M70" s="99" t="str">
        <f t="shared" ref="M70:M73" si="59">$CA70&amp;CB70&amp;CC70&amp;CD70</f>
        <v/>
      </c>
      <c r="AR70" s="240"/>
      <c r="AS70" s="240"/>
      <c r="AT70" s="240"/>
      <c r="AU70" s="240"/>
      <c r="AV70" s="240"/>
      <c r="AW70" s="240"/>
      <c r="AX70" s="240"/>
      <c r="AY70" s="240"/>
      <c r="AZ70" s="240"/>
      <c r="BA70" s="240"/>
      <c r="BB70" s="240"/>
      <c r="BC70" s="240"/>
      <c r="BD70" s="240"/>
      <c r="BE70" s="240"/>
      <c r="BF70" s="240"/>
      <c r="BG70" s="240"/>
      <c r="BH70" s="240"/>
      <c r="BI70" s="240"/>
      <c r="BJ70" s="240"/>
      <c r="BK70" s="240"/>
      <c r="BL70" s="240"/>
      <c r="BM70" s="240"/>
      <c r="BN70" s="240"/>
      <c r="BO70" s="240"/>
      <c r="BP70" s="240"/>
      <c r="BQ70" s="240"/>
      <c r="BR70" s="240"/>
      <c r="BS70" s="240"/>
      <c r="BT70" s="240"/>
      <c r="BU70" s="240"/>
      <c r="BV70" s="240"/>
      <c r="BW70" s="240"/>
      <c r="BX70" s="240"/>
      <c r="BY70" s="240"/>
      <c r="BZ70" s="240"/>
      <c r="CA70" s="100" t="str">
        <f t="shared" ref="CA70:CA73" si="60">IF(AND(($C70+F70)&lt;&gt;0,$I70=""),"* No olvide ingresar la variable "&amp;$I$68&amp;""&amp;". Digite CERO si no tiene. ",IF(I70&gt;($C70+$F70),"* La variable de Pueblos Originarios no debe ser mayor a la suma de los grupos etarios de Ambos Sexos. ",""))</f>
        <v/>
      </c>
      <c r="CB70" s="100" t="str">
        <f t="shared" ref="CB70:CB73" si="61">IF(AND(($C70+F70)&lt;&gt;0,$J70=""),"* No olvide ingresar la variable "&amp;$J$68&amp;""&amp;". Digite CERO si no tiene. ",IF(J70&gt;($C70+$F70),"* La variable Migrantes no debe ser mayor a la suma de los grupos etarios de Ambos Sexos. ",""))</f>
        <v/>
      </c>
      <c r="CC70" s="100" t="str">
        <f t="shared" ref="CC70:CC73" si="62">IF(AND(($C70+F70)&lt;&gt;0,$K70=""),"* No olvide ingresar la variable "&amp;$K$68&amp;""&amp;". Digite CERO si no tiene. ",IF(K70&gt;($C70+$F70),"* La variable "&amp;$K$68&amp;" no debe ser mayor a la suma de los grupos etarios de Ambos Sexos. ",""))</f>
        <v/>
      </c>
      <c r="CD70" s="100" t="str">
        <f t="shared" ref="CD70:CD73" si="63">IF(AND(($C70+F70)&lt;&gt;0,$L70=""),"* No olvide ingresar la variable "&amp;$L$68&amp;""&amp;". Digite CERO si no tiene. ",IF(L70&gt;($C70+$F70),"* La variable "&amp;$L$68&amp;" no debe ser mayor a la suma de los grupos etarios de Ambos Sexos. ",""))</f>
        <v/>
      </c>
      <c r="CE70" s="205"/>
      <c r="CF70" s="205"/>
      <c r="CI70" s="205"/>
      <c r="CU70" s="102">
        <f t="shared" ref="CU70:CU73" si="64">IF(AND(($C70+F70)&lt;&gt;0,$I70=""),1,IF(I70&gt;($C70+$F70),1,0))</f>
        <v>0</v>
      </c>
      <c r="CV70" s="102">
        <f t="shared" ref="CV70:CV73" si="65">IF(AND(($C70+F70)&lt;&gt;0,$J70=""),1,IF(J70&gt;($C70+$F70),1,0))</f>
        <v>0</v>
      </c>
      <c r="CW70" s="102">
        <f t="shared" ref="CW70:CW73" si="66">IF(AND(($C70+F70)&lt;&gt;0,$K70=""),1,IF(K70&gt;($C70+$F70),1,0))</f>
        <v>0</v>
      </c>
      <c r="CX70" s="102">
        <f t="shared" ref="CX70:CX73" si="67">IF(AND(($C70+F70)&lt;&gt;0,$L70=""),1,IF(L70&gt;($C70+$F70),1,0))</f>
        <v>0</v>
      </c>
    </row>
    <row r="71" spans="1:102" ht="15" customHeight="1">
      <c r="A71" s="5661" t="s">
        <v>129</v>
      </c>
      <c r="B71" s="5661"/>
      <c r="C71" s="206">
        <f t="shared" si="33"/>
        <v>0</v>
      </c>
      <c r="D71" s="278"/>
      <c r="E71" s="279"/>
      <c r="F71" s="285">
        <f t="shared" si="58"/>
        <v>0</v>
      </c>
      <c r="G71" s="278"/>
      <c r="H71" s="214"/>
      <c r="I71" s="281"/>
      <c r="J71" s="282"/>
      <c r="K71" s="279"/>
      <c r="L71" s="283"/>
      <c r="M71" s="99" t="str">
        <f t="shared" si="59"/>
        <v/>
      </c>
      <c r="AR71" s="240"/>
      <c r="AS71" s="240"/>
      <c r="AT71" s="240"/>
      <c r="AU71" s="240"/>
      <c r="AV71" s="240"/>
      <c r="AW71" s="240"/>
      <c r="AX71" s="240"/>
      <c r="AY71" s="240"/>
      <c r="AZ71" s="240"/>
      <c r="BA71" s="240"/>
      <c r="BB71" s="240"/>
      <c r="BC71" s="240"/>
      <c r="BD71" s="240"/>
      <c r="BE71" s="240"/>
      <c r="BF71" s="240"/>
      <c r="BG71" s="240"/>
      <c r="BH71" s="240"/>
      <c r="BI71" s="240"/>
      <c r="BJ71" s="240"/>
      <c r="BK71" s="240"/>
      <c r="BL71" s="240"/>
      <c r="BM71" s="240"/>
      <c r="BN71" s="240"/>
      <c r="BO71" s="240"/>
      <c r="BP71" s="240"/>
      <c r="BQ71" s="240"/>
      <c r="BR71" s="240"/>
      <c r="BS71" s="240"/>
      <c r="BT71" s="240"/>
      <c r="BU71" s="240"/>
      <c r="BV71" s="240"/>
      <c r="BW71" s="240"/>
      <c r="BX71" s="240"/>
      <c r="BY71" s="240"/>
      <c r="BZ71" s="240"/>
      <c r="CA71" s="100" t="str">
        <f t="shared" si="60"/>
        <v/>
      </c>
      <c r="CB71" s="100" t="str">
        <f t="shared" si="61"/>
        <v/>
      </c>
      <c r="CC71" s="100" t="str">
        <f t="shared" si="62"/>
        <v/>
      </c>
      <c r="CD71" s="100" t="str">
        <f t="shared" si="63"/>
        <v/>
      </c>
      <c r="CE71" s="205"/>
      <c r="CF71" s="205"/>
      <c r="CI71" s="205"/>
      <c r="CU71" s="102">
        <f t="shared" si="64"/>
        <v>0</v>
      </c>
      <c r="CV71" s="102">
        <f t="shared" si="65"/>
        <v>0</v>
      </c>
      <c r="CW71" s="102">
        <f t="shared" si="66"/>
        <v>0</v>
      </c>
      <c r="CX71" s="102">
        <f t="shared" si="67"/>
        <v>0</v>
      </c>
    </row>
    <row r="72" spans="1:102" ht="15" customHeight="1">
      <c r="A72" s="5661" t="s">
        <v>130</v>
      </c>
      <c r="B72" s="5661"/>
      <c r="C72" s="206">
        <f t="shared" si="33"/>
        <v>0</v>
      </c>
      <c r="D72" s="278"/>
      <c r="E72" s="279"/>
      <c r="F72" s="285">
        <f t="shared" si="58"/>
        <v>0</v>
      </c>
      <c r="G72" s="278"/>
      <c r="H72" s="214"/>
      <c r="I72" s="281"/>
      <c r="J72" s="282"/>
      <c r="K72" s="279"/>
      <c r="L72" s="283"/>
      <c r="M72" s="99" t="str">
        <f t="shared" si="59"/>
        <v/>
      </c>
      <c r="AR72" s="240"/>
      <c r="AS72" s="240"/>
      <c r="AT72" s="240"/>
      <c r="AU72" s="240"/>
      <c r="AV72" s="240"/>
      <c r="AW72" s="240"/>
      <c r="AX72" s="240"/>
      <c r="AY72" s="240"/>
      <c r="AZ72" s="240"/>
      <c r="BA72" s="240"/>
      <c r="BB72" s="240"/>
      <c r="BC72" s="240"/>
      <c r="BD72" s="240"/>
      <c r="BE72" s="240"/>
      <c r="BF72" s="240"/>
      <c r="BG72" s="240"/>
      <c r="BH72" s="240"/>
      <c r="BI72" s="240"/>
      <c r="BJ72" s="240"/>
      <c r="BK72" s="240"/>
      <c r="BL72" s="240"/>
      <c r="BM72" s="240"/>
      <c r="BN72" s="240"/>
      <c r="BO72" s="240"/>
      <c r="BP72" s="240"/>
      <c r="BQ72" s="240"/>
      <c r="BR72" s="240"/>
      <c r="BS72" s="240"/>
      <c r="BT72" s="240"/>
      <c r="BU72" s="240"/>
      <c r="BV72" s="240"/>
      <c r="BW72" s="240"/>
      <c r="BX72" s="240"/>
      <c r="BY72" s="240"/>
      <c r="BZ72" s="240"/>
      <c r="CA72" s="100" t="str">
        <f t="shared" si="60"/>
        <v/>
      </c>
      <c r="CB72" s="100" t="str">
        <f t="shared" si="61"/>
        <v/>
      </c>
      <c r="CC72" s="100" t="str">
        <f t="shared" si="62"/>
        <v/>
      </c>
      <c r="CD72" s="100" t="str">
        <f t="shared" si="63"/>
        <v/>
      </c>
      <c r="CE72" s="205"/>
      <c r="CF72" s="205"/>
      <c r="CI72" s="205"/>
      <c r="CU72" s="102">
        <f t="shared" si="64"/>
        <v>0</v>
      </c>
      <c r="CV72" s="102">
        <f t="shared" si="65"/>
        <v>0</v>
      </c>
      <c r="CW72" s="102">
        <f t="shared" si="66"/>
        <v>0</v>
      </c>
      <c r="CX72" s="102">
        <f t="shared" si="67"/>
        <v>0</v>
      </c>
    </row>
    <row r="73" spans="1:102" ht="15" customHeight="1">
      <c r="A73" s="5662" t="s">
        <v>131</v>
      </c>
      <c r="B73" s="5662"/>
      <c r="C73" s="172">
        <f t="shared" si="33"/>
        <v>0</v>
      </c>
      <c r="D73" s="278"/>
      <c r="E73" s="279"/>
      <c r="F73" s="286">
        <f t="shared" si="58"/>
        <v>0</v>
      </c>
      <c r="G73" s="278"/>
      <c r="H73" s="214"/>
      <c r="I73" s="281"/>
      <c r="J73" s="282"/>
      <c r="K73" s="279"/>
      <c r="L73" s="283"/>
      <c r="M73" s="99" t="str">
        <f t="shared" si="59"/>
        <v/>
      </c>
      <c r="AR73" s="240"/>
      <c r="AS73" s="240"/>
      <c r="AT73" s="240"/>
      <c r="AU73" s="240"/>
      <c r="AV73" s="240"/>
      <c r="AW73" s="240"/>
      <c r="AX73" s="240"/>
      <c r="AY73" s="240"/>
      <c r="AZ73" s="240"/>
      <c r="BA73" s="240"/>
      <c r="BB73" s="240"/>
      <c r="BC73" s="240"/>
      <c r="BD73" s="240"/>
      <c r="BE73" s="240"/>
      <c r="BF73" s="240"/>
      <c r="BG73" s="240"/>
      <c r="BH73" s="240"/>
      <c r="BI73" s="240"/>
      <c r="BJ73" s="240"/>
      <c r="BK73" s="240"/>
      <c r="BL73" s="240"/>
      <c r="BM73" s="240"/>
      <c r="BN73" s="240"/>
      <c r="BO73" s="240"/>
      <c r="BP73" s="240"/>
      <c r="BQ73" s="240"/>
      <c r="BR73" s="240"/>
      <c r="BS73" s="240"/>
      <c r="BT73" s="240"/>
      <c r="BU73" s="240"/>
      <c r="BV73" s="240"/>
      <c r="BW73" s="240"/>
      <c r="BX73" s="240"/>
      <c r="BY73" s="240"/>
      <c r="BZ73" s="240"/>
      <c r="CA73" s="100" t="str">
        <f t="shared" si="60"/>
        <v/>
      </c>
      <c r="CB73" s="100" t="str">
        <f t="shared" si="61"/>
        <v/>
      </c>
      <c r="CC73" s="100" t="str">
        <f t="shared" si="62"/>
        <v/>
      </c>
      <c r="CD73" s="100" t="str">
        <f t="shared" si="63"/>
        <v/>
      </c>
      <c r="CE73" s="205"/>
      <c r="CF73" s="205"/>
      <c r="CI73" s="205"/>
      <c r="CU73" s="102">
        <f t="shared" si="64"/>
        <v>0</v>
      </c>
      <c r="CV73" s="102">
        <f t="shared" si="65"/>
        <v>0</v>
      </c>
      <c r="CW73" s="102">
        <f t="shared" si="66"/>
        <v>0</v>
      </c>
      <c r="CX73" s="102">
        <f t="shared" si="67"/>
        <v>0</v>
      </c>
    </row>
    <row r="74" spans="1:102" ht="15" customHeight="1">
      <c r="A74" s="5640" t="s">
        <v>91</v>
      </c>
      <c r="B74" s="5640"/>
      <c r="C74" s="287">
        <f t="shared" ref="C74:L74" si="68">SUM(C70:C73)</f>
        <v>0</v>
      </c>
      <c r="D74" s="288">
        <f t="shared" si="68"/>
        <v>0</v>
      </c>
      <c r="E74" s="289">
        <f t="shared" si="68"/>
        <v>0</v>
      </c>
      <c r="F74" s="289">
        <f t="shared" si="68"/>
        <v>0</v>
      </c>
      <c r="G74" s="288">
        <f t="shared" si="68"/>
        <v>0</v>
      </c>
      <c r="H74" s="290">
        <f t="shared" si="68"/>
        <v>0</v>
      </c>
      <c r="I74" s="291">
        <f t="shared" si="68"/>
        <v>0</v>
      </c>
      <c r="J74" s="287">
        <f t="shared" si="68"/>
        <v>0</v>
      </c>
      <c r="K74" s="289">
        <f t="shared" si="68"/>
        <v>0</v>
      </c>
      <c r="L74" s="287">
        <f t="shared" si="68"/>
        <v>0</v>
      </c>
    </row>
    <row r="75" spans="1:102" ht="18" customHeight="1">
      <c r="A75" s="5622" t="s">
        <v>132</v>
      </c>
      <c r="B75" s="5622"/>
      <c r="C75" s="5622"/>
      <c r="D75" s="5622"/>
      <c r="E75" s="5622"/>
      <c r="F75" s="5622"/>
      <c r="G75" s="5622"/>
      <c r="H75" s="5622"/>
      <c r="I75" s="5622"/>
      <c r="J75" s="5622"/>
      <c r="K75" s="5622"/>
      <c r="L75" s="5622"/>
      <c r="M75" s="5622"/>
    </row>
    <row r="76" spans="1:102" ht="18" customHeight="1">
      <c r="A76" s="5646" t="s">
        <v>133</v>
      </c>
      <c r="B76" s="5646" t="s">
        <v>91</v>
      </c>
      <c r="C76" s="5646" t="s">
        <v>44</v>
      </c>
      <c r="D76" s="5663"/>
      <c r="E76" s="5666" t="s">
        <v>134</v>
      </c>
      <c r="F76" s="5646"/>
      <c r="G76" s="5652" t="s">
        <v>135</v>
      </c>
      <c r="H76" s="5646"/>
      <c r="I76" s="5663"/>
      <c r="J76" s="5664" t="s">
        <v>50</v>
      </c>
      <c r="K76" s="5646" t="s">
        <v>51</v>
      </c>
      <c r="L76" s="5640" t="s">
        <v>48</v>
      </c>
      <c r="M76" s="5640" t="s">
        <v>49</v>
      </c>
    </row>
    <row r="77" spans="1:102" ht="45" customHeight="1">
      <c r="A77" s="5646"/>
      <c r="B77" s="5646"/>
      <c r="C77" s="75" t="s">
        <v>72</v>
      </c>
      <c r="D77" s="60" t="s">
        <v>73</v>
      </c>
      <c r="E77" s="293" t="s">
        <v>136</v>
      </c>
      <c r="F77" s="76" t="s">
        <v>137</v>
      </c>
      <c r="G77" s="75" t="s">
        <v>138</v>
      </c>
      <c r="H77" s="68" t="s">
        <v>139</v>
      </c>
      <c r="I77" s="60" t="s">
        <v>140</v>
      </c>
      <c r="J77" s="5664"/>
      <c r="K77" s="5646"/>
      <c r="L77" s="5640"/>
      <c r="M77" s="5640"/>
    </row>
    <row r="78" spans="1:102" ht="15" customHeight="1">
      <c r="A78" s="78" t="s">
        <v>141</v>
      </c>
      <c r="B78" s="79">
        <f t="shared" ref="B78:B93" si="69">SUM(C78:D78)</f>
        <v>0</v>
      </c>
      <c r="C78" s="86"/>
      <c r="D78" s="170"/>
      <c r="E78" s="238"/>
      <c r="F78" s="237"/>
      <c r="G78" s="80"/>
      <c r="H78" s="86"/>
      <c r="I78" s="170"/>
      <c r="J78" s="294"/>
      <c r="K78" s="93"/>
      <c r="L78" s="295"/>
      <c r="M78" s="93"/>
      <c r="N78" s="99" t="str">
        <f t="shared" ref="N78:N82" si="70">CA78&amp;CB78&amp;CC78&amp;CD78</f>
        <v/>
      </c>
      <c r="AS78" s="240"/>
      <c r="AT78" s="240"/>
      <c r="AU78" s="240"/>
      <c r="AV78" s="240"/>
      <c r="AW78" s="240"/>
      <c r="AX78" s="240"/>
      <c r="AY78" s="240"/>
      <c r="AZ78" s="240"/>
      <c r="BA78" s="240"/>
      <c r="BB78" s="240"/>
      <c r="BC78" s="240"/>
      <c r="BD78" s="240"/>
      <c r="BE78" s="240"/>
      <c r="BF78" s="240"/>
      <c r="BG78" s="240"/>
      <c r="BH78" s="240"/>
      <c r="BI78" s="240"/>
      <c r="BJ78" s="240"/>
      <c r="BK78" s="240"/>
      <c r="BL78" s="240"/>
      <c r="BM78" s="240"/>
      <c r="BN78" s="240"/>
      <c r="BO78" s="240"/>
      <c r="BP78" s="240"/>
      <c r="BQ78" s="240"/>
      <c r="BR78" s="240"/>
      <c r="BS78" s="240"/>
      <c r="BT78" s="240"/>
      <c r="BU78" s="240"/>
      <c r="BV78" s="240"/>
      <c r="BW78" s="240"/>
      <c r="BX78" s="240"/>
      <c r="BY78" s="240"/>
      <c r="BZ78" s="240"/>
      <c r="CA78" s="100" t="str">
        <f t="shared" ref="CA78:CA82" si="71">IF(AND($B78&lt;&gt;0,J78=""),"* No olvide ingresar la variable "&amp;J$76&amp;""&amp;". Digite CERO si no tiene. ",IF(J78&gt;$B78,"* La variable Pueblos Originarios no debe ser mayor al Total. ",""))</f>
        <v/>
      </c>
      <c r="CB78" s="100" t="str">
        <f t="shared" ref="CB78:CB82" si="72">IF(AND($B78&lt;&gt;0,K78=""),"* No olvide ingresar la variable "&amp;K$76&amp;""&amp;". Digite CERO si no tiene. ",IF(K78&gt;$B78,"* La variable Migrantes no debe ser mayor al Total. ",""))</f>
        <v/>
      </c>
      <c r="CC78" s="100" t="str">
        <f t="shared" ref="CC78:CC82" si="73">IF(AND($B78&lt;&gt;0,L78=""),"* No olvide ingresar la variable "&amp;L$76&amp;""&amp;". Digite CERO si no tiene.  ",IF(L78&gt;$B78,"* La variable "&amp;L$76&amp;""&amp;"no debe ser mayor al Total. ",""))</f>
        <v/>
      </c>
      <c r="CD78" s="100" t="str">
        <f t="shared" ref="CD78:CD82" si="74">IF(AND($B78&lt;&gt;0,M78=""),"* No olvide ingresar la variable "&amp;M$76&amp;""&amp;". Digite CERO si no tiene.  ",IF(M78&gt;$B78,"* La variable "&amp;M$76&amp;""&amp;" no debe ser mayor al Total. ",""))</f>
        <v/>
      </c>
      <c r="CF78" s="205"/>
      <c r="CG78" s="205"/>
      <c r="CH78" s="205"/>
      <c r="CI78" s="205"/>
      <c r="CU78" s="102">
        <f t="shared" ref="CU78:CX82" si="75">IF(AND($B78&lt;&gt;0,J78=""),1,IF(J78&gt;$B78,1,0))</f>
        <v>0</v>
      </c>
      <c r="CV78" s="102">
        <f t="shared" si="75"/>
        <v>0</v>
      </c>
      <c r="CW78" s="102">
        <f t="shared" si="75"/>
        <v>0</v>
      </c>
      <c r="CX78" s="102">
        <f t="shared" si="75"/>
        <v>0</v>
      </c>
    </row>
    <row r="79" spans="1:102" ht="15" customHeight="1">
      <c r="A79" s="206" t="s">
        <v>142</v>
      </c>
      <c r="B79" s="296">
        <f t="shared" si="69"/>
        <v>0</v>
      </c>
      <c r="C79" s="278"/>
      <c r="D79" s="214"/>
      <c r="E79" s="248"/>
      <c r="F79" s="247"/>
      <c r="G79" s="127"/>
      <c r="H79" s="209"/>
      <c r="I79" s="214"/>
      <c r="J79" s="297"/>
      <c r="K79" s="283"/>
      <c r="L79" s="298"/>
      <c r="M79" s="283"/>
      <c r="N79" s="99" t="str">
        <f t="shared" si="70"/>
        <v/>
      </c>
      <c r="AS79" s="240"/>
      <c r="AT79" s="240"/>
      <c r="AU79" s="240"/>
      <c r="AV79" s="240"/>
      <c r="AW79" s="240"/>
      <c r="AX79" s="240"/>
      <c r="AY79" s="240"/>
      <c r="AZ79" s="240"/>
      <c r="BA79" s="240"/>
      <c r="BB79" s="240"/>
      <c r="BC79" s="240"/>
      <c r="BD79" s="240"/>
      <c r="BE79" s="240"/>
      <c r="BF79" s="240"/>
      <c r="BG79" s="240"/>
      <c r="BH79" s="240"/>
      <c r="BI79" s="240"/>
      <c r="BJ79" s="240"/>
      <c r="BK79" s="240"/>
      <c r="BL79" s="240"/>
      <c r="BM79" s="240"/>
      <c r="BN79" s="240"/>
      <c r="BO79" s="240"/>
      <c r="BP79" s="240"/>
      <c r="BQ79" s="240"/>
      <c r="BR79" s="240"/>
      <c r="BS79" s="240"/>
      <c r="BT79" s="240"/>
      <c r="BU79" s="240"/>
      <c r="BV79" s="240"/>
      <c r="BW79" s="240"/>
      <c r="BX79" s="240"/>
      <c r="BY79" s="240"/>
      <c r="BZ79" s="240"/>
      <c r="CA79" s="100" t="str">
        <f t="shared" si="71"/>
        <v/>
      </c>
      <c r="CB79" s="100" t="str">
        <f t="shared" si="72"/>
        <v/>
      </c>
      <c r="CC79" s="100" t="str">
        <f t="shared" si="73"/>
        <v/>
      </c>
      <c r="CD79" s="100" t="str">
        <f t="shared" si="74"/>
        <v/>
      </c>
      <c r="CF79" s="205"/>
      <c r="CG79" s="205"/>
      <c r="CH79" s="205"/>
      <c r="CI79" s="205"/>
      <c r="CU79" s="102">
        <f t="shared" si="75"/>
        <v>0</v>
      </c>
      <c r="CV79" s="102">
        <f t="shared" si="75"/>
        <v>0</v>
      </c>
      <c r="CW79" s="102">
        <f t="shared" si="75"/>
        <v>0</v>
      </c>
      <c r="CX79" s="102">
        <f t="shared" si="75"/>
        <v>0</v>
      </c>
    </row>
    <row r="80" spans="1:102" ht="15" customHeight="1">
      <c r="A80" s="206" t="s">
        <v>143</v>
      </c>
      <c r="B80" s="296">
        <f t="shared" si="69"/>
        <v>0</v>
      </c>
      <c r="C80" s="278"/>
      <c r="D80" s="214"/>
      <c r="E80" s="248"/>
      <c r="F80" s="247"/>
      <c r="G80" s="299"/>
      <c r="H80" s="209"/>
      <c r="I80" s="214"/>
      <c r="J80" s="297"/>
      <c r="K80" s="283"/>
      <c r="L80" s="298"/>
      <c r="M80" s="283"/>
      <c r="N80" s="99" t="str">
        <f t="shared" si="70"/>
        <v/>
      </c>
      <c r="AS80" s="240"/>
      <c r="AT80" s="240"/>
      <c r="AU80" s="240"/>
      <c r="AV80" s="240"/>
      <c r="AW80" s="240"/>
      <c r="AX80" s="240"/>
      <c r="AY80" s="240"/>
      <c r="AZ80" s="240"/>
      <c r="BA80" s="240"/>
      <c r="BB80" s="240"/>
      <c r="BC80" s="240"/>
      <c r="BD80" s="240"/>
      <c r="BE80" s="240"/>
      <c r="BF80" s="240"/>
      <c r="BG80" s="240"/>
      <c r="BH80" s="240"/>
      <c r="BI80" s="240"/>
      <c r="BJ80" s="240"/>
      <c r="BK80" s="240"/>
      <c r="BL80" s="240"/>
      <c r="BM80" s="240"/>
      <c r="BN80" s="240"/>
      <c r="BO80" s="240"/>
      <c r="BP80" s="240"/>
      <c r="BQ80" s="240"/>
      <c r="BR80" s="240"/>
      <c r="BS80" s="240"/>
      <c r="BT80" s="240"/>
      <c r="BU80" s="240"/>
      <c r="BV80" s="240"/>
      <c r="BW80" s="240"/>
      <c r="BX80" s="240"/>
      <c r="BY80" s="240"/>
      <c r="BZ80" s="240"/>
      <c r="CA80" s="100" t="str">
        <f t="shared" si="71"/>
        <v/>
      </c>
      <c r="CB80" s="100" t="str">
        <f t="shared" si="72"/>
        <v/>
      </c>
      <c r="CC80" s="100" t="str">
        <f t="shared" si="73"/>
        <v/>
      </c>
      <c r="CD80" s="100" t="str">
        <f t="shared" si="74"/>
        <v/>
      </c>
      <c r="CF80" s="205"/>
      <c r="CG80" s="205"/>
      <c r="CH80" s="205"/>
      <c r="CI80" s="205"/>
      <c r="CU80" s="102">
        <f t="shared" si="75"/>
        <v>0</v>
      </c>
      <c r="CV80" s="102">
        <f t="shared" si="75"/>
        <v>0</v>
      </c>
      <c r="CW80" s="102">
        <f t="shared" si="75"/>
        <v>0</v>
      </c>
      <c r="CX80" s="102">
        <f t="shared" si="75"/>
        <v>0</v>
      </c>
    </row>
    <row r="81" spans="1:102" ht="15" customHeight="1">
      <c r="A81" s="206" t="s">
        <v>144</v>
      </c>
      <c r="B81" s="296">
        <f t="shared" si="69"/>
        <v>0</v>
      </c>
      <c r="C81" s="278"/>
      <c r="D81" s="214"/>
      <c r="E81" s="248"/>
      <c r="F81" s="247"/>
      <c r="G81" s="299"/>
      <c r="H81" s="209"/>
      <c r="I81" s="214"/>
      <c r="J81" s="297"/>
      <c r="K81" s="283"/>
      <c r="L81" s="298"/>
      <c r="M81" s="283"/>
      <c r="N81" s="99" t="str">
        <f t="shared" si="70"/>
        <v/>
      </c>
      <c r="AS81" s="240"/>
      <c r="AT81" s="240"/>
      <c r="AU81" s="240"/>
      <c r="AV81" s="240"/>
      <c r="AW81" s="240"/>
      <c r="AX81" s="240"/>
      <c r="AY81" s="240"/>
      <c r="AZ81" s="240"/>
      <c r="BA81" s="240"/>
      <c r="BB81" s="240"/>
      <c r="BC81" s="240"/>
      <c r="BD81" s="240"/>
      <c r="BE81" s="240"/>
      <c r="BF81" s="240"/>
      <c r="BG81" s="240"/>
      <c r="BH81" s="240"/>
      <c r="BI81" s="240"/>
      <c r="BJ81" s="240"/>
      <c r="BK81" s="240"/>
      <c r="BL81" s="240"/>
      <c r="BM81" s="240"/>
      <c r="BN81" s="240"/>
      <c r="BO81" s="240"/>
      <c r="BP81" s="240"/>
      <c r="BQ81" s="240"/>
      <c r="BR81" s="240"/>
      <c r="BS81" s="240"/>
      <c r="BT81" s="240"/>
      <c r="BU81" s="240"/>
      <c r="BV81" s="240"/>
      <c r="BW81" s="240"/>
      <c r="BX81" s="240"/>
      <c r="BY81" s="240"/>
      <c r="BZ81" s="240"/>
      <c r="CA81" s="100" t="str">
        <f t="shared" si="71"/>
        <v/>
      </c>
      <c r="CB81" s="100" t="str">
        <f t="shared" si="72"/>
        <v/>
      </c>
      <c r="CC81" s="100" t="str">
        <f t="shared" si="73"/>
        <v/>
      </c>
      <c r="CD81" s="100" t="str">
        <f t="shared" si="74"/>
        <v/>
      </c>
      <c r="CF81" s="205"/>
      <c r="CG81" s="205"/>
      <c r="CH81" s="205"/>
      <c r="CI81" s="205"/>
      <c r="CU81" s="102">
        <f t="shared" si="75"/>
        <v>0</v>
      </c>
      <c r="CV81" s="102">
        <f t="shared" si="75"/>
        <v>0</v>
      </c>
      <c r="CW81" s="102">
        <f t="shared" si="75"/>
        <v>0</v>
      </c>
      <c r="CX81" s="102">
        <f t="shared" si="75"/>
        <v>0</v>
      </c>
    </row>
    <row r="82" spans="1:102" ht="15" customHeight="1">
      <c r="A82" s="206" t="s">
        <v>145</v>
      </c>
      <c r="B82" s="296">
        <f t="shared" si="69"/>
        <v>0</v>
      </c>
      <c r="C82" s="278"/>
      <c r="D82" s="214"/>
      <c r="E82" s="248"/>
      <c r="F82" s="247"/>
      <c r="G82" s="299"/>
      <c r="H82" s="209"/>
      <c r="I82" s="214"/>
      <c r="J82" s="297"/>
      <c r="K82" s="283"/>
      <c r="L82" s="298"/>
      <c r="M82" s="283"/>
      <c r="N82" s="99" t="str">
        <f t="shared" si="70"/>
        <v/>
      </c>
      <c r="AS82" s="240"/>
      <c r="AT82" s="240"/>
      <c r="AU82" s="240"/>
      <c r="AV82" s="240"/>
      <c r="AW82" s="240"/>
      <c r="AX82" s="240"/>
      <c r="AY82" s="240"/>
      <c r="AZ82" s="240"/>
      <c r="BA82" s="240"/>
      <c r="BB82" s="240"/>
      <c r="BC82" s="240"/>
      <c r="BD82" s="240"/>
      <c r="BE82" s="240"/>
      <c r="BF82" s="240"/>
      <c r="BG82" s="240"/>
      <c r="BH82" s="240"/>
      <c r="BI82" s="240"/>
      <c r="BJ82" s="240"/>
      <c r="BK82" s="240"/>
      <c r="BL82" s="240"/>
      <c r="BM82" s="240"/>
      <c r="BN82" s="240"/>
      <c r="BO82" s="240"/>
      <c r="BP82" s="240"/>
      <c r="BQ82" s="240"/>
      <c r="BR82" s="240"/>
      <c r="BS82" s="240"/>
      <c r="BT82" s="240"/>
      <c r="BU82" s="240"/>
      <c r="BV82" s="240"/>
      <c r="BW82" s="240"/>
      <c r="BX82" s="240"/>
      <c r="BY82" s="240"/>
      <c r="BZ82" s="240"/>
      <c r="CA82" s="100" t="str">
        <f t="shared" si="71"/>
        <v/>
      </c>
      <c r="CB82" s="100" t="str">
        <f t="shared" si="72"/>
        <v/>
      </c>
      <c r="CC82" s="100" t="str">
        <f t="shared" si="73"/>
        <v/>
      </c>
      <c r="CD82" s="100" t="str">
        <f t="shared" si="74"/>
        <v/>
      </c>
      <c r="CF82" s="205"/>
      <c r="CG82" s="205"/>
      <c r="CH82" s="205"/>
      <c r="CI82" s="205"/>
      <c r="CU82" s="102">
        <f t="shared" si="75"/>
        <v>0</v>
      </c>
      <c r="CV82" s="102">
        <f t="shared" si="75"/>
        <v>0</v>
      </c>
      <c r="CW82" s="102">
        <f t="shared" si="75"/>
        <v>0</v>
      </c>
      <c r="CX82" s="102">
        <f t="shared" si="75"/>
        <v>0</v>
      </c>
    </row>
    <row r="83" spans="1:102" ht="15" customHeight="1">
      <c r="A83" s="300" t="s">
        <v>146</v>
      </c>
      <c r="B83" s="282"/>
      <c r="C83" s="301"/>
      <c r="D83" s="181"/>
      <c r="E83" s="302"/>
      <c r="F83" s="253"/>
      <c r="G83" s="303"/>
      <c r="H83" s="123"/>
      <c r="I83" s="304"/>
      <c r="J83" s="305"/>
      <c r="K83" s="306"/>
      <c r="L83" s="307"/>
      <c r="M83" s="306"/>
      <c r="N83" s="99"/>
      <c r="AS83" s="240"/>
      <c r="AT83" s="240"/>
      <c r="AU83" s="240"/>
      <c r="AV83" s="240"/>
      <c r="AW83" s="240"/>
      <c r="AX83" s="240"/>
      <c r="AY83" s="240"/>
      <c r="AZ83" s="240"/>
      <c r="BA83" s="240"/>
      <c r="BB83" s="240"/>
      <c r="BC83" s="240"/>
      <c r="BD83" s="240"/>
      <c r="BE83" s="240"/>
      <c r="BF83" s="240"/>
      <c r="BG83" s="240"/>
      <c r="BH83" s="240"/>
      <c r="BI83" s="240"/>
      <c r="BJ83" s="240"/>
      <c r="BK83" s="240"/>
      <c r="BL83" s="240"/>
      <c r="BM83" s="240"/>
      <c r="BN83" s="240"/>
      <c r="BO83" s="240"/>
      <c r="BP83" s="240"/>
      <c r="BQ83" s="240"/>
      <c r="BR83" s="240"/>
      <c r="BS83" s="240"/>
      <c r="BT83" s="240"/>
      <c r="BU83" s="240"/>
      <c r="BV83" s="240"/>
      <c r="BW83" s="240"/>
      <c r="BX83" s="240"/>
      <c r="BY83" s="240"/>
      <c r="BZ83" s="240"/>
      <c r="CA83" s="240"/>
      <c r="CB83" s="240"/>
      <c r="CC83" s="240"/>
      <c r="CD83" s="240"/>
      <c r="CE83" s="240"/>
      <c r="CF83" s="205"/>
      <c r="CG83" s="205"/>
      <c r="CH83" s="205"/>
      <c r="CI83" s="205"/>
    </row>
    <row r="84" spans="1:102" ht="18" customHeight="1">
      <c r="A84" s="5622" t="s">
        <v>147</v>
      </c>
      <c r="B84" s="5622"/>
      <c r="C84" s="5622"/>
      <c r="D84" s="5622"/>
      <c r="E84" s="5622"/>
      <c r="F84" s="5622"/>
      <c r="G84" s="5622"/>
      <c r="H84" s="5622"/>
      <c r="I84" s="5622"/>
      <c r="J84" s="5622"/>
      <c r="K84" s="5622"/>
      <c r="L84" s="5622"/>
      <c r="M84" s="5622"/>
      <c r="N84" s="5622"/>
      <c r="O84" s="5622"/>
      <c r="P84" s="5622"/>
      <c r="Q84" s="5622"/>
      <c r="R84" s="5622"/>
      <c r="S84" s="5622"/>
      <c r="T84" s="5622"/>
      <c r="U84" s="5622"/>
      <c r="V84" s="5622"/>
      <c r="W84" s="5622"/>
      <c r="X84" s="5622"/>
      <c r="Y84" s="5622"/>
      <c r="Z84" s="5622"/>
      <c r="AA84" s="5622"/>
      <c r="AB84" s="5622"/>
      <c r="AC84" s="5622"/>
      <c r="AD84" s="5622"/>
      <c r="AE84" s="5622"/>
      <c r="AF84" s="5622"/>
      <c r="AG84" s="52"/>
      <c r="AH84" s="52"/>
    </row>
    <row r="85" spans="1:102" ht="15" customHeight="1">
      <c r="A85" s="5611" t="s">
        <v>40</v>
      </c>
      <c r="B85" s="5642" t="s">
        <v>91</v>
      </c>
      <c r="C85" s="5627"/>
      <c r="D85" s="5624"/>
      <c r="E85" s="5615" t="s">
        <v>115</v>
      </c>
      <c r="F85" s="5616"/>
      <c r="G85" s="5616"/>
      <c r="H85" s="5616"/>
      <c r="I85" s="5616"/>
      <c r="J85" s="5616"/>
      <c r="K85" s="5616"/>
      <c r="L85" s="5616"/>
      <c r="M85" s="5616"/>
      <c r="N85" s="5616"/>
      <c r="O85" s="5616"/>
      <c r="P85" s="5616"/>
      <c r="Q85" s="5616"/>
      <c r="R85" s="5616"/>
      <c r="S85" s="5616"/>
      <c r="T85" s="5616"/>
      <c r="U85" s="5616"/>
      <c r="V85" s="5616"/>
      <c r="W85" s="5616"/>
      <c r="X85" s="5616"/>
      <c r="Y85" s="5616"/>
      <c r="Z85" s="5616"/>
      <c r="AA85" s="5616"/>
      <c r="AB85" s="5616"/>
      <c r="AC85" s="5616"/>
      <c r="AD85" s="5616"/>
      <c r="AE85" s="5616"/>
      <c r="AF85" s="5617"/>
      <c r="AG85" s="5657" t="s">
        <v>51</v>
      </c>
      <c r="AH85" s="5613" t="s">
        <v>50</v>
      </c>
    </row>
    <row r="86" spans="1:102" ht="15" customHeight="1">
      <c r="A86" s="5641"/>
      <c r="B86" s="5643"/>
      <c r="C86" s="5644"/>
      <c r="D86" s="5645"/>
      <c r="E86" s="5615" t="s">
        <v>58</v>
      </c>
      <c r="F86" s="5652"/>
      <c r="G86" s="5649" t="s">
        <v>59</v>
      </c>
      <c r="H86" s="5648"/>
      <c r="I86" s="5649" t="s">
        <v>60</v>
      </c>
      <c r="J86" s="5648"/>
      <c r="K86" s="5647" t="s">
        <v>61</v>
      </c>
      <c r="L86" s="5648"/>
      <c r="M86" s="5649" t="s">
        <v>62</v>
      </c>
      <c r="N86" s="5648"/>
      <c r="O86" s="5649" t="s">
        <v>63</v>
      </c>
      <c r="P86" s="5648"/>
      <c r="Q86" s="5649" t="s">
        <v>64</v>
      </c>
      <c r="R86" s="5648"/>
      <c r="S86" s="5649" t="s">
        <v>65</v>
      </c>
      <c r="T86" s="5648"/>
      <c r="U86" s="5649" t="s">
        <v>66</v>
      </c>
      <c r="V86" s="5648"/>
      <c r="W86" s="5649" t="s">
        <v>67</v>
      </c>
      <c r="X86" s="5649"/>
      <c r="Y86" s="5647" t="s">
        <v>68</v>
      </c>
      <c r="Z86" s="5648"/>
      <c r="AA86" s="5647" t="s">
        <v>69</v>
      </c>
      <c r="AB86" s="5648"/>
      <c r="AC86" s="5647" t="s">
        <v>70</v>
      </c>
      <c r="AD86" s="5648"/>
      <c r="AE86" s="5649" t="s">
        <v>71</v>
      </c>
      <c r="AF86" s="5686"/>
      <c r="AG86" s="5665"/>
      <c r="AH86" s="5671"/>
    </row>
    <row r="87" spans="1:102" ht="15" customHeight="1">
      <c r="A87" s="5612"/>
      <c r="B87" s="194" t="s">
        <v>93</v>
      </c>
      <c r="C87" s="196" t="s">
        <v>72</v>
      </c>
      <c r="D87" s="76" t="s">
        <v>73</v>
      </c>
      <c r="E87" s="75" t="s">
        <v>72</v>
      </c>
      <c r="F87" s="76" t="s">
        <v>73</v>
      </c>
      <c r="G87" s="196" t="s">
        <v>72</v>
      </c>
      <c r="H87" s="76" t="s">
        <v>73</v>
      </c>
      <c r="I87" s="196" t="s">
        <v>72</v>
      </c>
      <c r="J87" s="76" t="s">
        <v>73</v>
      </c>
      <c r="K87" s="75" t="s">
        <v>72</v>
      </c>
      <c r="L87" s="76" t="s">
        <v>73</v>
      </c>
      <c r="M87" s="196" t="s">
        <v>72</v>
      </c>
      <c r="N87" s="76" t="s">
        <v>73</v>
      </c>
      <c r="O87" s="196" t="s">
        <v>72</v>
      </c>
      <c r="P87" s="76" t="s">
        <v>73</v>
      </c>
      <c r="Q87" s="196" t="s">
        <v>72</v>
      </c>
      <c r="R87" s="76" t="s">
        <v>73</v>
      </c>
      <c r="S87" s="196" t="s">
        <v>72</v>
      </c>
      <c r="T87" s="76" t="s">
        <v>73</v>
      </c>
      <c r="U87" s="196" t="s">
        <v>72</v>
      </c>
      <c r="V87" s="76" t="s">
        <v>73</v>
      </c>
      <c r="W87" s="196" t="s">
        <v>72</v>
      </c>
      <c r="X87" s="59" t="s">
        <v>73</v>
      </c>
      <c r="Y87" s="75" t="s">
        <v>72</v>
      </c>
      <c r="Z87" s="76" t="s">
        <v>73</v>
      </c>
      <c r="AA87" s="75" t="s">
        <v>72</v>
      </c>
      <c r="AB87" s="76" t="s">
        <v>73</v>
      </c>
      <c r="AC87" s="75" t="s">
        <v>72</v>
      </c>
      <c r="AD87" s="76" t="s">
        <v>73</v>
      </c>
      <c r="AE87" s="196" t="s">
        <v>72</v>
      </c>
      <c r="AF87" s="60" t="s">
        <v>73</v>
      </c>
      <c r="AG87" s="5658"/>
      <c r="AH87" s="5614"/>
    </row>
    <row r="88" spans="1:102" ht="15" customHeight="1">
      <c r="A88" s="206" t="s">
        <v>148</v>
      </c>
      <c r="B88" s="309">
        <f t="shared" si="69"/>
        <v>0</v>
      </c>
      <c r="C88" s="310">
        <f t="shared" ref="C88:C93" si="76">SUM(E88+G88+I88+K88+M88+O88+Q88+S88+U88+W88+Y88+AA88+AC88+AE88)</f>
        <v>0</v>
      </c>
      <c r="D88" s="311">
        <f t="shared" ref="D88:D93" si="77">SUM(+F88+H88+J88+L88+N88+P88+R88+T88+V88+X88+Z88+AB88+AD88+AF88)</f>
        <v>0</v>
      </c>
      <c r="E88" s="207"/>
      <c r="F88" s="247"/>
      <c r="G88" s="278"/>
      <c r="H88" s="247"/>
      <c r="I88" s="278"/>
      <c r="J88" s="247"/>
      <c r="K88" s="207"/>
      <c r="L88" s="247"/>
      <c r="M88" s="278"/>
      <c r="N88" s="247"/>
      <c r="O88" s="278"/>
      <c r="P88" s="247"/>
      <c r="Q88" s="278"/>
      <c r="R88" s="247"/>
      <c r="S88" s="278"/>
      <c r="T88" s="247"/>
      <c r="U88" s="278"/>
      <c r="V88" s="247"/>
      <c r="W88" s="278"/>
      <c r="X88" s="312"/>
      <c r="Y88" s="207"/>
      <c r="Z88" s="247"/>
      <c r="AA88" s="207"/>
      <c r="AB88" s="247"/>
      <c r="AC88" s="207"/>
      <c r="AD88" s="247"/>
      <c r="AE88" s="278"/>
      <c r="AF88" s="214"/>
      <c r="AG88" s="294"/>
      <c r="AH88" s="93"/>
      <c r="AI88" s="99" t="str">
        <f t="shared" ref="AI88:AI93" si="78">$CA88&amp;CB88</f>
        <v/>
      </c>
      <c r="BN88" s="240"/>
      <c r="BO88" s="240"/>
      <c r="BP88" s="240"/>
      <c r="BQ88" s="240"/>
      <c r="BR88" s="240"/>
      <c r="BS88" s="240"/>
      <c r="BT88" s="240"/>
      <c r="BU88" s="240"/>
      <c r="BV88" s="240"/>
      <c r="BW88" s="240"/>
      <c r="BX88" s="240"/>
      <c r="BY88" s="240"/>
      <c r="BZ88" s="240"/>
      <c r="CA88" s="100" t="str">
        <f t="shared" ref="CA88:CA93" si="79">IF(AND($B88&lt;&gt;0,AG88=""),"* No olvide ingresar la variable "&amp;AG$85&amp;""&amp;". Digite CERO si no tiene. ",IF(AG88&gt;$B88,"* La variable Migrantes no debe ser mayor al Total Ambos Sexos. ",""))</f>
        <v/>
      </c>
      <c r="CB88" s="100" t="str">
        <f t="shared" ref="CB88:CB93" si="80">IF(AND($B88&lt;&gt;0,AH88=""),"* No olvide ingresar la variable "&amp;AH$85&amp;""&amp;". Digite CERO si no tiene. ",IF(AH88&gt;$B88,"* La variable Pueblos Originarios no debe ser mayor al Total Ambos Sexos. ",""))</f>
        <v/>
      </c>
      <c r="CC88" s="240"/>
      <c r="CD88" s="240"/>
      <c r="CE88" s="205"/>
      <c r="CF88" s="205"/>
      <c r="CG88" s="205"/>
      <c r="CH88" s="205"/>
      <c r="CI88" s="205"/>
      <c r="CU88" s="102">
        <f t="shared" ref="CU88:CV93" si="81">IF(AND($B88&lt;&gt;0,AG88=""),1,IF(AG88&gt;$B88,1,0))</f>
        <v>0</v>
      </c>
      <c r="CV88" s="102">
        <f t="shared" si="81"/>
        <v>0</v>
      </c>
    </row>
    <row r="89" spans="1:102" ht="15" customHeight="1">
      <c r="A89" s="206" t="s">
        <v>149</v>
      </c>
      <c r="B89" s="309">
        <f t="shared" si="69"/>
        <v>0</v>
      </c>
      <c r="C89" s="310">
        <f t="shared" si="76"/>
        <v>0</v>
      </c>
      <c r="D89" s="311">
        <f t="shared" si="77"/>
        <v>0</v>
      </c>
      <c r="E89" s="207"/>
      <c r="F89" s="247"/>
      <c r="G89" s="278"/>
      <c r="H89" s="247"/>
      <c r="I89" s="278"/>
      <c r="J89" s="247"/>
      <c r="K89" s="207"/>
      <c r="L89" s="247"/>
      <c r="M89" s="278"/>
      <c r="N89" s="247"/>
      <c r="O89" s="278"/>
      <c r="P89" s="247"/>
      <c r="Q89" s="278"/>
      <c r="R89" s="247"/>
      <c r="S89" s="278"/>
      <c r="T89" s="247"/>
      <c r="U89" s="278"/>
      <c r="V89" s="247"/>
      <c r="W89" s="278"/>
      <c r="X89" s="312"/>
      <c r="Y89" s="207"/>
      <c r="Z89" s="247"/>
      <c r="AA89" s="207"/>
      <c r="AB89" s="247"/>
      <c r="AC89" s="207"/>
      <c r="AD89" s="247"/>
      <c r="AE89" s="278"/>
      <c r="AF89" s="214"/>
      <c r="AG89" s="297"/>
      <c r="AH89" s="283"/>
      <c r="AI89" s="99" t="str">
        <f t="shared" si="78"/>
        <v/>
      </c>
      <c r="BN89" s="240"/>
      <c r="BO89" s="240"/>
      <c r="BP89" s="240"/>
      <c r="BQ89" s="240"/>
      <c r="BR89" s="240"/>
      <c r="BS89" s="240"/>
      <c r="BT89" s="240"/>
      <c r="BU89" s="240"/>
      <c r="BV89" s="240"/>
      <c r="BW89" s="240"/>
      <c r="BX89" s="240"/>
      <c r="BY89" s="240"/>
      <c r="BZ89" s="240"/>
      <c r="CA89" s="100" t="str">
        <f t="shared" si="79"/>
        <v/>
      </c>
      <c r="CB89" s="100" t="str">
        <f t="shared" si="80"/>
        <v/>
      </c>
      <c r="CC89" s="240"/>
      <c r="CD89" s="240"/>
      <c r="CE89" s="205"/>
      <c r="CF89" s="205"/>
      <c r="CG89" s="205"/>
      <c r="CH89" s="205"/>
      <c r="CI89" s="205"/>
      <c r="CU89" s="102">
        <f t="shared" si="81"/>
        <v>0</v>
      </c>
      <c r="CV89" s="102">
        <f t="shared" si="81"/>
        <v>0</v>
      </c>
    </row>
    <row r="90" spans="1:102" ht="15" customHeight="1">
      <c r="A90" s="146" t="s">
        <v>150</v>
      </c>
      <c r="B90" s="313">
        <f t="shared" si="69"/>
        <v>0</v>
      </c>
      <c r="C90" s="314">
        <f t="shared" si="76"/>
        <v>0</v>
      </c>
      <c r="D90" s="269">
        <f t="shared" si="77"/>
        <v>0</v>
      </c>
      <c r="E90" s="157"/>
      <c r="F90" s="315"/>
      <c r="G90" s="303"/>
      <c r="H90" s="315"/>
      <c r="I90" s="303"/>
      <c r="J90" s="315"/>
      <c r="K90" s="157"/>
      <c r="L90" s="315"/>
      <c r="M90" s="303"/>
      <c r="N90" s="315"/>
      <c r="O90" s="303"/>
      <c r="P90" s="315"/>
      <c r="Q90" s="303"/>
      <c r="R90" s="315"/>
      <c r="S90" s="303"/>
      <c r="T90" s="315"/>
      <c r="U90" s="303"/>
      <c r="V90" s="315"/>
      <c r="W90" s="303"/>
      <c r="X90" s="316"/>
      <c r="Y90" s="157"/>
      <c r="Z90" s="315"/>
      <c r="AA90" s="157"/>
      <c r="AB90" s="315"/>
      <c r="AC90" s="157"/>
      <c r="AD90" s="315"/>
      <c r="AE90" s="303"/>
      <c r="AF90" s="304"/>
      <c r="AG90" s="317"/>
      <c r="AH90" s="120"/>
      <c r="AI90" s="99" t="str">
        <f t="shared" si="78"/>
        <v/>
      </c>
      <c r="BN90" s="240"/>
      <c r="BO90" s="240"/>
      <c r="BP90" s="240"/>
      <c r="BQ90" s="240"/>
      <c r="BR90" s="240"/>
      <c r="BS90" s="240"/>
      <c r="BT90" s="240"/>
      <c r="BU90" s="240"/>
      <c r="BV90" s="240"/>
      <c r="BW90" s="240"/>
      <c r="BX90" s="240"/>
      <c r="BY90" s="240"/>
      <c r="BZ90" s="240"/>
      <c r="CA90" s="100" t="str">
        <f t="shared" si="79"/>
        <v/>
      </c>
      <c r="CB90" s="100" t="str">
        <f t="shared" si="80"/>
        <v/>
      </c>
      <c r="CC90" s="240"/>
      <c r="CD90" s="240"/>
      <c r="CE90" s="205"/>
      <c r="CF90" s="205"/>
      <c r="CG90" s="205"/>
      <c r="CH90" s="205"/>
      <c r="CI90" s="205"/>
      <c r="CU90" s="102">
        <f t="shared" si="81"/>
        <v>0</v>
      </c>
      <c r="CV90" s="102">
        <f t="shared" si="81"/>
        <v>0</v>
      </c>
    </row>
    <row r="91" spans="1:102" ht="15" customHeight="1">
      <c r="A91" s="206" t="s">
        <v>151</v>
      </c>
      <c r="B91" s="318">
        <f t="shared" si="69"/>
        <v>0</v>
      </c>
      <c r="C91" s="319">
        <f t="shared" si="76"/>
        <v>0</v>
      </c>
      <c r="D91" s="320">
        <f t="shared" si="77"/>
        <v>0</v>
      </c>
      <c r="E91" s="207"/>
      <c r="F91" s="247"/>
      <c r="G91" s="278"/>
      <c r="H91" s="247"/>
      <c r="I91" s="278"/>
      <c r="J91" s="247"/>
      <c r="K91" s="207"/>
      <c r="L91" s="247"/>
      <c r="M91" s="278"/>
      <c r="N91" s="247"/>
      <c r="O91" s="278"/>
      <c r="P91" s="247"/>
      <c r="Q91" s="278"/>
      <c r="R91" s="247"/>
      <c r="S91" s="278"/>
      <c r="T91" s="247"/>
      <c r="U91" s="278"/>
      <c r="V91" s="247"/>
      <c r="W91" s="278"/>
      <c r="X91" s="312"/>
      <c r="Y91" s="207"/>
      <c r="Z91" s="247"/>
      <c r="AA91" s="207"/>
      <c r="AB91" s="247"/>
      <c r="AC91" s="207"/>
      <c r="AD91" s="247"/>
      <c r="AE91" s="278"/>
      <c r="AF91" s="214"/>
      <c r="AG91" s="297"/>
      <c r="AH91" s="283"/>
      <c r="AI91" s="99" t="str">
        <f t="shared" si="78"/>
        <v/>
      </c>
      <c r="BN91" s="240"/>
      <c r="BO91" s="240"/>
      <c r="BP91" s="240"/>
      <c r="BQ91" s="240"/>
      <c r="BR91" s="240"/>
      <c r="BS91" s="240"/>
      <c r="BT91" s="240"/>
      <c r="BU91" s="240"/>
      <c r="BV91" s="240"/>
      <c r="BW91" s="240"/>
      <c r="BX91" s="240"/>
      <c r="BY91" s="240"/>
      <c r="BZ91" s="240"/>
      <c r="CA91" s="100" t="str">
        <f t="shared" si="79"/>
        <v/>
      </c>
      <c r="CB91" s="100" t="str">
        <f t="shared" si="80"/>
        <v/>
      </c>
      <c r="CC91" s="240"/>
      <c r="CD91" s="240"/>
      <c r="CE91" s="205"/>
      <c r="CF91" s="205"/>
      <c r="CG91" s="205"/>
      <c r="CH91" s="205"/>
      <c r="CI91" s="205"/>
      <c r="CU91" s="102">
        <f t="shared" si="81"/>
        <v>0</v>
      </c>
      <c r="CV91" s="102">
        <f t="shared" si="81"/>
        <v>0</v>
      </c>
    </row>
    <row r="92" spans="1:102" ht="15" customHeight="1">
      <c r="A92" s="206" t="s">
        <v>152</v>
      </c>
      <c r="B92" s="309">
        <f t="shared" si="69"/>
        <v>0</v>
      </c>
      <c r="C92" s="310">
        <f t="shared" si="76"/>
        <v>0</v>
      </c>
      <c r="D92" s="311">
        <f t="shared" si="77"/>
        <v>0</v>
      </c>
      <c r="E92" s="207"/>
      <c r="F92" s="247"/>
      <c r="G92" s="278"/>
      <c r="H92" s="247"/>
      <c r="I92" s="278"/>
      <c r="J92" s="247"/>
      <c r="K92" s="207"/>
      <c r="L92" s="247"/>
      <c r="M92" s="278"/>
      <c r="N92" s="247"/>
      <c r="O92" s="278"/>
      <c r="P92" s="247"/>
      <c r="Q92" s="278"/>
      <c r="R92" s="247"/>
      <c r="S92" s="278"/>
      <c r="T92" s="247"/>
      <c r="U92" s="278"/>
      <c r="V92" s="247"/>
      <c r="W92" s="278"/>
      <c r="X92" s="312"/>
      <c r="Y92" s="207"/>
      <c r="Z92" s="247"/>
      <c r="AA92" s="207"/>
      <c r="AB92" s="247"/>
      <c r="AC92" s="207"/>
      <c r="AD92" s="247"/>
      <c r="AE92" s="278"/>
      <c r="AF92" s="214"/>
      <c r="AG92" s="297"/>
      <c r="AH92" s="283"/>
      <c r="AI92" s="99" t="str">
        <f t="shared" si="78"/>
        <v/>
      </c>
      <c r="BN92" s="240"/>
      <c r="BO92" s="240"/>
      <c r="BP92" s="240"/>
      <c r="BQ92" s="240"/>
      <c r="BR92" s="240"/>
      <c r="BS92" s="240"/>
      <c r="BT92" s="240"/>
      <c r="BU92" s="240"/>
      <c r="BV92" s="240"/>
      <c r="BW92" s="240"/>
      <c r="BX92" s="240"/>
      <c r="BY92" s="240"/>
      <c r="BZ92" s="240"/>
      <c r="CA92" s="100" t="str">
        <f t="shared" si="79"/>
        <v/>
      </c>
      <c r="CB92" s="100" t="str">
        <f t="shared" si="80"/>
        <v/>
      </c>
      <c r="CC92" s="240"/>
      <c r="CD92" s="240"/>
      <c r="CE92" s="205"/>
      <c r="CF92" s="205"/>
      <c r="CG92" s="205"/>
      <c r="CH92" s="205"/>
      <c r="CI92" s="205"/>
      <c r="CU92" s="102">
        <f t="shared" si="81"/>
        <v>0</v>
      </c>
      <c r="CV92" s="102">
        <f t="shared" si="81"/>
        <v>0</v>
      </c>
    </row>
    <row r="93" spans="1:102" ht="15" customHeight="1">
      <c r="A93" s="146" t="s">
        <v>153</v>
      </c>
      <c r="B93" s="313">
        <f t="shared" si="69"/>
        <v>0</v>
      </c>
      <c r="C93" s="314">
        <f t="shared" si="76"/>
        <v>0</v>
      </c>
      <c r="D93" s="269">
        <f t="shared" si="77"/>
        <v>0</v>
      </c>
      <c r="E93" s="157"/>
      <c r="F93" s="315"/>
      <c r="G93" s="303"/>
      <c r="H93" s="315"/>
      <c r="I93" s="303"/>
      <c r="J93" s="315"/>
      <c r="K93" s="157"/>
      <c r="L93" s="315"/>
      <c r="M93" s="303"/>
      <c r="N93" s="315"/>
      <c r="O93" s="303"/>
      <c r="P93" s="315"/>
      <c r="Q93" s="303"/>
      <c r="R93" s="315"/>
      <c r="S93" s="303"/>
      <c r="T93" s="315"/>
      <c r="U93" s="303"/>
      <c r="V93" s="315"/>
      <c r="W93" s="303"/>
      <c r="X93" s="316"/>
      <c r="Y93" s="157"/>
      <c r="Z93" s="315"/>
      <c r="AA93" s="157"/>
      <c r="AB93" s="315"/>
      <c r="AC93" s="157"/>
      <c r="AD93" s="315"/>
      <c r="AE93" s="303"/>
      <c r="AF93" s="304"/>
      <c r="AG93" s="321"/>
      <c r="AH93" s="322"/>
      <c r="AI93" s="99" t="str">
        <f t="shared" si="78"/>
        <v/>
      </c>
      <c r="BN93" s="240"/>
      <c r="BO93" s="240"/>
      <c r="BP93" s="240"/>
      <c r="BQ93" s="240"/>
      <c r="BR93" s="240"/>
      <c r="BS93" s="240"/>
      <c r="BT93" s="240"/>
      <c r="BU93" s="240"/>
      <c r="BV93" s="240"/>
      <c r="BW93" s="240"/>
      <c r="BX93" s="240"/>
      <c r="BY93" s="240"/>
      <c r="BZ93" s="240"/>
      <c r="CA93" s="100" t="str">
        <f t="shared" si="79"/>
        <v/>
      </c>
      <c r="CB93" s="100" t="str">
        <f t="shared" si="80"/>
        <v/>
      </c>
      <c r="CC93" s="240"/>
      <c r="CD93" s="240"/>
      <c r="CE93" s="205"/>
      <c r="CF93" s="205"/>
      <c r="CG93" s="205"/>
      <c r="CH93" s="205"/>
      <c r="CI93" s="205"/>
      <c r="CU93" s="102">
        <f t="shared" si="81"/>
        <v>0</v>
      </c>
      <c r="CV93" s="102">
        <f t="shared" si="81"/>
        <v>0</v>
      </c>
    </row>
    <row r="94" spans="1:102" ht="23.25" customHeight="1">
      <c r="A94" s="5697" t="s">
        <v>154</v>
      </c>
      <c r="B94" s="5697"/>
      <c r="C94" s="5697"/>
      <c r="D94" s="5697"/>
      <c r="E94" s="5697"/>
      <c r="F94" s="5697"/>
      <c r="G94" s="5697"/>
      <c r="H94" s="5697"/>
      <c r="I94" s="5697"/>
      <c r="J94" s="5697"/>
      <c r="K94" s="5697"/>
      <c r="L94" s="5697"/>
      <c r="M94" s="5697"/>
      <c r="N94" s="5697"/>
    </row>
    <row r="95" spans="1:102" ht="15" customHeight="1">
      <c r="A95" s="5672" t="s">
        <v>155</v>
      </c>
      <c r="B95" s="5673" t="s">
        <v>156</v>
      </c>
      <c r="C95" s="5674"/>
      <c r="D95" s="5674"/>
      <c r="E95" s="5674"/>
      <c r="F95" s="5674"/>
      <c r="G95" s="5674"/>
      <c r="H95" s="5674"/>
      <c r="I95" s="5674"/>
      <c r="J95" s="5674"/>
      <c r="K95" s="5675"/>
      <c r="L95" s="5676" t="s">
        <v>157</v>
      </c>
    </row>
    <row r="96" spans="1:102" ht="15" customHeight="1">
      <c r="A96" s="5615"/>
      <c r="B96" s="5679" t="s">
        <v>91</v>
      </c>
      <c r="C96" s="5681" t="s">
        <v>158</v>
      </c>
      <c r="D96" s="5683" t="s">
        <v>159</v>
      </c>
      <c r="E96" s="5683"/>
      <c r="F96" s="5684" t="s">
        <v>160</v>
      </c>
      <c r="G96" s="5667"/>
      <c r="H96" s="5667"/>
      <c r="I96" s="5667"/>
      <c r="J96" s="5667"/>
      <c r="K96" s="5685"/>
      <c r="L96" s="5677"/>
    </row>
    <row r="97" spans="1:99" ht="23.25" customHeight="1">
      <c r="A97" s="5615"/>
      <c r="B97" s="5680"/>
      <c r="C97" s="5682"/>
      <c r="D97" s="325" t="s">
        <v>161</v>
      </c>
      <c r="E97" s="326" t="s">
        <v>162</v>
      </c>
      <c r="F97" s="327" t="s">
        <v>163</v>
      </c>
      <c r="G97" s="328" t="s">
        <v>164</v>
      </c>
      <c r="H97" s="328" t="s">
        <v>165</v>
      </c>
      <c r="I97" s="328" t="s">
        <v>166</v>
      </c>
      <c r="J97" s="328" t="s">
        <v>167</v>
      </c>
      <c r="K97" s="329" t="s">
        <v>168</v>
      </c>
      <c r="L97" s="5678"/>
    </row>
    <row r="98" spans="1:99">
      <c r="A98" s="330" t="s">
        <v>169</v>
      </c>
      <c r="B98" s="331">
        <f t="shared" ref="B98:B111" si="82">SUM(C98:K98)</f>
        <v>0</v>
      </c>
      <c r="C98" s="332"/>
      <c r="D98" s="333"/>
      <c r="E98" s="334"/>
      <c r="F98" s="333"/>
      <c r="G98" s="335"/>
      <c r="H98" s="335"/>
      <c r="I98" s="335"/>
      <c r="J98" s="335"/>
      <c r="K98" s="336"/>
      <c r="L98" s="334"/>
      <c r="M98" s="99" t="str">
        <f t="shared" ref="M98:M110" si="83">$CA98</f>
        <v/>
      </c>
      <c r="CA98" s="100" t="str">
        <f t="shared" ref="CA98:CA109" si="84">IF(AND($B98&lt;&gt;0,L98=""),"* No olvide ingresar la variable "&amp;L$95&amp;""&amp;". Digite CERO si no tiene. ",IF(L98&gt;$B98,"* La variable Total PAP informados en trans masculino no debe ser mayor al Total. ",""))</f>
        <v/>
      </c>
      <c r="CU98" s="102">
        <f t="shared" ref="CU98:CU110" si="85">IF(AND($B98&lt;&gt;0,L98=""),1,IF(L98&gt;$B98,1,0))</f>
        <v>0</v>
      </c>
    </row>
    <row r="99" spans="1:99">
      <c r="A99" s="337" t="s">
        <v>170</v>
      </c>
      <c r="B99" s="338">
        <f t="shared" si="82"/>
        <v>0</v>
      </c>
      <c r="C99" s="332"/>
      <c r="D99" s="333"/>
      <c r="E99" s="334"/>
      <c r="F99" s="333"/>
      <c r="G99" s="335"/>
      <c r="H99" s="335"/>
      <c r="I99" s="335"/>
      <c r="J99" s="335"/>
      <c r="K99" s="336"/>
      <c r="L99" s="334"/>
      <c r="M99" s="99" t="str">
        <f t="shared" si="83"/>
        <v/>
      </c>
      <c r="CA99" s="100" t="str">
        <f t="shared" si="84"/>
        <v/>
      </c>
      <c r="CU99" s="102">
        <f t="shared" si="85"/>
        <v>0</v>
      </c>
    </row>
    <row r="100" spans="1:99">
      <c r="A100" s="337" t="s">
        <v>171</v>
      </c>
      <c r="B100" s="331">
        <f t="shared" si="82"/>
        <v>0</v>
      </c>
      <c r="C100" s="332"/>
      <c r="D100" s="333"/>
      <c r="E100" s="334"/>
      <c r="F100" s="333"/>
      <c r="G100" s="335"/>
      <c r="H100" s="335"/>
      <c r="I100" s="335"/>
      <c r="J100" s="335"/>
      <c r="K100" s="336"/>
      <c r="L100" s="334"/>
      <c r="M100" s="99" t="str">
        <f t="shared" si="83"/>
        <v/>
      </c>
      <c r="CA100" s="100" t="str">
        <f t="shared" si="84"/>
        <v/>
      </c>
      <c r="CU100" s="102">
        <f t="shared" si="85"/>
        <v>0</v>
      </c>
    </row>
    <row r="101" spans="1:99">
      <c r="A101" s="337" t="s">
        <v>172</v>
      </c>
      <c r="B101" s="338">
        <f t="shared" si="82"/>
        <v>0</v>
      </c>
      <c r="C101" s="332"/>
      <c r="D101" s="333"/>
      <c r="E101" s="334"/>
      <c r="F101" s="333"/>
      <c r="G101" s="335"/>
      <c r="H101" s="335"/>
      <c r="I101" s="335"/>
      <c r="J101" s="335"/>
      <c r="K101" s="336"/>
      <c r="L101" s="334"/>
      <c r="M101" s="99" t="str">
        <f t="shared" si="83"/>
        <v/>
      </c>
      <c r="CA101" s="100" t="str">
        <f t="shared" si="84"/>
        <v/>
      </c>
      <c r="CU101" s="102">
        <f t="shared" si="85"/>
        <v>0</v>
      </c>
    </row>
    <row r="102" spans="1:99">
      <c r="A102" s="337" t="s">
        <v>173</v>
      </c>
      <c r="B102" s="338">
        <f t="shared" si="82"/>
        <v>0</v>
      </c>
      <c r="C102" s="332"/>
      <c r="D102" s="333"/>
      <c r="E102" s="334"/>
      <c r="F102" s="333"/>
      <c r="G102" s="335"/>
      <c r="H102" s="335"/>
      <c r="I102" s="335"/>
      <c r="J102" s="335"/>
      <c r="K102" s="336"/>
      <c r="L102" s="334"/>
      <c r="M102" s="99" t="str">
        <f t="shared" si="83"/>
        <v/>
      </c>
      <c r="CA102" s="100" t="str">
        <f t="shared" si="84"/>
        <v/>
      </c>
      <c r="CU102" s="102">
        <f t="shared" si="85"/>
        <v>0</v>
      </c>
    </row>
    <row r="103" spans="1:99">
      <c r="A103" s="337" t="s">
        <v>174</v>
      </c>
      <c r="B103" s="338">
        <f t="shared" si="82"/>
        <v>0</v>
      </c>
      <c r="C103" s="332"/>
      <c r="D103" s="333"/>
      <c r="E103" s="334"/>
      <c r="F103" s="333"/>
      <c r="G103" s="335"/>
      <c r="H103" s="335"/>
      <c r="I103" s="335"/>
      <c r="J103" s="335"/>
      <c r="K103" s="336"/>
      <c r="L103" s="334"/>
      <c r="M103" s="99" t="str">
        <f t="shared" si="83"/>
        <v/>
      </c>
      <c r="CA103" s="100" t="str">
        <f t="shared" si="84"/>
        <v/>
      </c>
      <c r="CU103" s="102">
        <f t="shared" si="85"/>
        <v>0</v>
      </c>
    </row>
    <row r="104" spans="1:99">
      <c r="A104" s="337" t="s">
        <v>175</v>
      </c>
      <c r="B104" s="338">
        <f t="shared" si="82"/>
        <v>0</v>
      </c>
      <c r="C104" s="332"/>
      <c r="D104" s="333"/>
      <c r="E104" s="334"/>
      <c r="F104" s="333"/>
      <c r="G104" s="335"/>
      <c r="H104" s="335"/>
      <c r="I104" s="335"/>
      <c r="J104" s="335"/>
      <c r="K104" s="336"/>
      <c r="L104" s="334"/>
      <c r="M104" s="99" t="str">
        <f t="shared" si="83"/>
        <v/>
      </c>
      <c r="CA104" s="100" t="str">
        <f t="shared" si="84"/>
        <v/>
      </c>
      <c r="CU104" s="102">
        <f t="shared" si="85"/>
        <v>0</v>
      </c>
    </row>
    <row r="105" spans="1:99">
      <c r="A105" s="337" t="s">
        <v>176</v>
      </c>
      <c r="B105" s="338">
        <f t="shared" si="82"/>
        <v>0</v>
      </c>
      <c r="C105" s="332"/>
      <c r="D105" s="333"/>
      <c r="E105" s="334"/>
      <c r="F105" s="333"/>
      <c r="G105" s="335"/>
      <c r="H105" s="335"/>
      <c r="I105" s="335"/>
      <c r="J105" s="335"/>
      <c r="K105" s="336"/>
      <c r="L105" s="334"/>
      <c r="M105" s="99" t="str">
        <f t="shared" si="83"/>
        <v/>
      </c>
      <c r="CA105" s="100" t="str">
        <f t="shared" si="84"/>
        <v/>
      </c>
      <c r="CU105" s="102">
        <f t="shared" si="85"/>
        <v>0</v>
      </c>
    </row>
    <row r="106" spans="1:99">
      <c r="A106" s="337" t="s">
        <v>177</v>
      </c>
      <c r="B106" s="338">
        <f t="shared" si="82"/>
        <v>0</v>
      </c>
      <c r="C106" s="332"/>
      <c r="D106" s="333"/>
      <c r="E106" s="334"/>
      <c r="F106" s="333"/>
      <c r="G106" s="335"/>
      <c r="H106" s="335"/>
      <c r="I106" s="335"/>
      <c r="J106" s="335"/>
      <c r="K106" s="336"/>
      <c r="L106" s="334"/>
      <c r="M106" s="99" t="str">
        <f t="shared" si="83"/>
        <v/>
      </c>
      <c r="CA106" s="100" t="str">
        <f t="shared" si="84"/>
        <v/>
      </c>
      <c r="CU106" s="102">
        <f t="shared" si="85"/>
        <v>0</v>
      </c>
    </row>
    <row r="107" spans="1:99">
      <c r="A107" s="337" t="s">
        <v>178</v>
      </c>
      <c r="B107" s="338">
        <f t="shared" si="82"/>
        <v>0</v>
      </c>
      <c r="C107" s="332"/>
      <c r="D107" s="333"/>
      <c r="E107" s="334"/>
      <c r="F107" s="333"/>
      <c r="G107" s="335"/>
      <c r="H107" s="335"/>
      <c r="I107" s="335"/>
      <c r="J107" s="335"/>
      <c r="K107" s="336"/>
      <c r="L107" s="334"/>
      <c r="M107" s="99" t="str">
        <f t="shared" si="83"/>
        <v/>
      </c>
      <c r="CA107" s="100" t="str">
        <f t="shared" si="84"/>
        <v/>
      </c>
      <c r="CU107" s="102">
        <f t="shared" si="85"/>
        <v>0</v>
      </c>
    </row>
    <row r="108" spans="1:99">
      <c r="A108" s="337" t="s">
        <v>179</v>
      </c>
      <c r="B108" s="338">
        <f t="shared" si="82"/>
        <v>0</v>
      </c>
      <c r="C108" s="332"/>
      <c r="D108" s="333"/>
      <c r="E108" s="334"/>
      <c r="F108" s="333"/>
      <c r="G108" s="335"/>
      <c r="H108" s="335"/>
      <c r="I108" s="335"/>
      <c r="J108" s="335"/>
      <c r="K108" s="336"/>
      <c r="L108" s="334"/>
      <c r="M108" s="99" t="str">
        <f t="shared" si="83"/>
        <v/>
      </c>
      <c r="CA108" s="100" t="str">
        <f t="shared" si="84"/>
        <v/>
      </c>
      <c r="CU108" s="102">
        <f t="shared" si="85"/>
        <v>0</v>
      </c>
    </row>
    <row r="109" spans="1:99">
      <c r="A109" s="337" t="s">
        <v>180</v>
      </c>
      <c r="B109" s="338">
        <f t="shared" si="82"/>
        <v>0</v>
      </c>
      <c r="C109" s="332"/>
      <c r="D109" s="333"/>
      <c r="E109" s="334"/>
      <c r="F109" s="333"/>
      <c r="G109" s="335"/>
      <c r="H109" s="335"/>
      <c r="I109" s="335"/>
      <c r="J109" s="335"/>
      <c r="K109" s="336"/>
      <c r="L109" s="334"/>
      <c r="M109" s="99" t="str">
        <f t="shared" si="83"/>
        <v/>
      </c>
      <c r="CA109" s="100" t="str">
        <f t="shared" si="84"/>
        <v/>
      </c>
      <c r="CU109" s="102">
        <f t="shared" si="85"/>
        <v>0</v>
      </c>
    </row>
    <row r="110" spans="1:99">
      <c r="A110" s="339" t="s">
        <v>71</v>
      </c>
      <c r="B110" s="340">
        <f t="shared" si="82"/>
        <v>0</v>
      </c>
      <c r="C110" s="341"/>
      <c r="D110" s="342"/>
      <c r="E110" s="343"/>
      <c r="F110" s="342"/>
      <c r="G110" s="344"/>
      <c r="H110" s="344"/>
      <c r="I110" s="344"/>
      <c r="J110" s="344"/>
      <c r="K110" s="345"/>
      <c r="L110" s="343"/>
      <c r="M110" s="99" t="str">
        <f t="shared" si="83"/>
        <v/>
      </c>
      <c r="CA110" s="100" t="str">
        <f>IF(AND($B110&lt;&gt;0,L110=""),"* No olvide ingresar la variable "&amp;L$95&amp;""&amp;". Digite CERO si no tiene. ",IF(L110&gt;$B110,"* La variable Total PAP informados en trans masculino no debe ser mayor al Total. ",""))</f>
        <v/>
      </c>
      <c r="CU110" s="102">
        <f t="shared" si="85"/>
        <v>0</v>
      </c>
    </row>
    <row r="111" spans="1:99">
      <c r="A111" s="346" t="s">
        <v>91</v>
      </c>
      <c r="B111" s="347">
        <f t="shared" si="82"/>
        <v>0</v>
      </c>
      <c r="C111" s="347">
        <f t="shared" ref="C111:L111" si="86">SUM(C98:C110)</f>
        <v>0</v>
      </c>
      <c r="D111" s="348">
        <f t="shared" si="86"/>
        <v>0</v>
      </c>
      <c r="E111" s="349">
        <f t="shared" si="86"/>
        <v>0</v>
      </c>
      <c r="F111" s="348">
        <f t="shared" si="86"/>
        <v>0</v>
      </c>
      <c r="G111" s="350">
        <f t="shared" si="86"/>
        <v>0</v>
      </c>
      <c r="H111" s="350">
        <f t="shared" si="86"/>
        <v>0</v>
      </c>
      <c r="I111" s="350">
        <f t="shared" si="86"/>
        <v>0</v>
      </c>
      <c r="J111" s="350">
        <f t="shared" si="86"/>
        <v>0</v>
      </c>
      <c r="K111" s="351">
        <f t="shared" si="86"/>
        <v>0</v>
      </c>
      <c r="L111" s="349">
        <f t="shared" si="86"/>
        <v>0</v>
      </c>
    </row>
    <row r="112" spans="1:99" ht="18" customHeight="1">
      <c r="A112" s="352" t="s">
        <v>181</v>
      </c>
      <c r="B112" s="353"/>
      <c r="C112" s="353"/>
      <c r="D112" s="353"/>
      <c r="E112" s="353"/>
      <c r="F112" s="353"/>
      <c r="G112" s="353"/>
      <c r="H112" s="353"/>
      <c r="I112" s="353"/>
      <c r="J112" s="353"/>
      <c r="K112" s="353"/>
      <c r="L112" s="354"/>
    </row>
    <row r="113" spans="1:99" ht="30.75" customHeight="1">
      <c r="A113" s="5695" t="s">
        <v>182</v>
      </c>
      <c r="B113" s="5695"/>
      <c r="C113" s="5695"/>
      <c r="D113" s="5695"/>
      <c r="E113" s="5695"/>
      <c r="F113" s="5695"/>
      <c r="G113" s="5695"/>
      <c r="H113" s="5695"/>
      <c r="I113" s="5695"/>
      <c r="J113" s="5695"/>
      <c r="K113" s="5695"/>
      <c r="L113" s="5695"/>
      <c r="M113" s="355"/>
      <c r="N113" s="355"/>
    </row>
    <row r="114" spans="1:99" ht="15" customHeight="1">
      <c r="A114" s="5683" t="s">
        <v>155</v>
      </c>
      <c r="B114" s="5684" t="s">
        <v>183</v>
      </c>
      <c r="C114" s="5667"/>
      <c r="D114" s="5667"/>
      <c r="E114" s="5667"/>
      <c r="F114" s="5667"/>
      <c r="G114" s="5667"/>
      <c r="H114" s="5667"/>
      <c r="I114" s="5667"/>
      <c r="J114" s="5667"/>
      <c r="K114" s="5685"/>
      <c r="L114" s="5607" t="s">
        <v>157</v>
      </c>
    </row>
    <row r="115" spans="1:99" ht="15" customHeight="1">
      <c r="A115" s="5646"/>
      <c r="B115" s="5687" t="s">
        <v>91</v>
      </c>
      <c r="C115" s="5681" t="s">
        <v>158</v>
      </c>
      <c r="D115" s="5683" t="s">
        <v>159</v>
      </c>
      <c r="E115" s="5683"/>
      <c r="F115" s="5684" t="s">
        <v>160</v>
      </c>
      <c r="G115" s="5667"/>
      <c r="H115" s="5667"/>
      <c r="I115" s="5667"/>
      <c r="J115" s="5667"/>
      <c r="K115" s="5685"/>
      <c r="L115" s="5608"/>
    </row>
    <row r="116" spans="1:99" ht="27" customHeight="1">
      <c r="A116" s="5646"/>
      <c r="B116" s="5689"/>
      <c r="C116" s="5693"/>
      <c r="D116" s="356" t="s">
        <v>161</v>
      </c>
      <c r="E116" s="357" t="s">
        <v>162</v>
      </c>
      <c r="F116" s="358" t="s">
        <v>163</v>
      </c>
      <c r="G116" s="359" t="s">
        <v>164</v>
      </c>
      <c r="H116" s="359" t="s">
        <v>165</v>
      </c>
      <c r="I116" s="359" t="s">
        <v>166</v>
      </c>
      <c r="J116" s="359" t="s">
        <v>167</v>
      </c>
      <c r="K116" s="324" t="s">
        <v>168</v>
      </c>
      <c r="L116" s="5609"/>
    </row>
    <row r="117" spans="1:99">
      <c r="A117" s="330" t="s">
        <v>169</v>
      </c>
      <c r="B117" s="331">
        <f t="shared" ref="B117:B149" si="87">SUM(C117:K117)</f>
        <v>0</v>
      </c>
      <c r="C117" s="334"/>
      <c r="D117" s="333"/>
      <c r="E117" s="334"/>
      <c r="F117" s="333"/>
      <c r="G117" s="335"/>
      <c r="H117" s="335"/>
      <c r="I117" s="335"/>
      <c r="J117" s="335"/>
      <c r="K117" s="336"/>
      <c r="L117" s="360"/>
      <c r="M117" s="99" t="str">
        <f t="shared" ref="M117:M148" si="88">$CA117</f>
        <v/>
      </c>
      <c r="CA117" s="100" t="str">
        <f t="shared" ref="CA117:CA129" si="89">IF(AND($B117&lt;&gt;0,L117=""),"* No olvide ingresar la variable "&amp;L$114&amp;""&amp;". Digite CERO si no tiene. ",IF(L117&gt;$B117,"* La variable Total PAP informados en trans masculino no debe ser mayor al Total. ",""))</f>
        <v/>
      </c>
      <c r="CU117" s="102">
        <f t="shared" ref="CU117:CU148" si="90">IF(AND($B117&lt;&gt;0,L117=""),1,IF(L117&gt;$B117,1,0))</f>
        <v>0</v>
      </c>
    </row>
    <row r="118" spans="1:99">
      <c r="A118" s="337" t="s">
        <v>170</v>
      </c>
      <c r="B118" s="331">
        <f t="shared" si="87"/>
        <v>0</v>
      </c>
      <c r="C118" s="334"/>
      <c r="D118" s="333"/>
      <c r="E118" s="334"/>
      <c r="F118" s="333"/>
      <c r="G118" s="335"/>
      <c r="H118" s="335"/>
      <c r="I118" s="335"/>
      <c r="J118" s="335"/>
      <c r="K118" s="336"/>
      <c r="L118" s="334"/>
      <c r="M118" s="99" t="str">
        <f t="shared" si="88"/>
        <v/>
      </c>
      <c r="CA118" s="100" t="str">
        <f t="shared" si="89"/>
        <v/>
      </c>
      <c r="CU118" s="102">
        <f t="shared" si="90"/>
        <v>0</v>
      </c>
    </row>
    <row r="119" spans="1:99">
      <c r="A119" s="337" t="s">
        <v>171</v>
      </c>
      <c r="B119" s="331">
        <f t="shared" si="87"/>
        <v>0</v>
      </c>
      <c r="C119" s="334"/>
      <c r="D119" s="333"/>
      <c r="E119" s="334"/>
      <c r="F119" s="333"/>
      <c r="G119" s="335"/>
      <c r="H119" s="335"/>
      <c r="I119" s="335"/>
      <c r="J119" s="335"/>
      <c r="K119" s="336"/>
      <c r="L119" s="334"/>
      <c r="M119" s="99" t="str">
        <f t="shared" si="88"/>
        <v/>
      </c>
      <c r="CA119" s="100" t="str">
        <f t="shared" si="89"/>
        <v/>
      </c>
      <c r="CU119" s="102">
        <f t="shared" si="90"/>
        <v>0</v>
      </c>
    </row>
    <row r="120" spans="1:99">
      <c r="A120" s="337" t="s">
        <v>172</v>
      </c>
      <c r="B120" s="331">
        <f t="shared" si="87"/>
        <v>0</v>
      </c>
      <c r="C120" s="334"/>
      <c r="D120" s="333"/>
      <c r="E120" s="334"/>
      <c r="F120" s="333"/>
      <c r="G120" s="335"/>
      <c r="H120" s="335"/>
      <c r="I120" s="335"/>
      <c r="J120" s="335"/>
      <c r="K120" s="336"/>
      <c r="L120" s="334"/>
      <c r="M120" s="99" t="str">
        <f t="shared" si="88"/>
        <v/>
      </c>
      <c r="CA120" s="100" t="str">
        <f t="shared" si="89"/>
        <v/>
      </c>
      <c r="CU120" s="102">
        <f t="shared" si="90"/>
        <v>0</v>
      </c>
    </row>
    <row r="121" spans="1:99">
      <c r="A121" s="337" t="s">
        <v>173</v>
      </c>
      <c r="B121" s="331">
        <f t="shared" si="87"/>
        <v>0</v>
      </c>
      <c r="C121" s="334"/>
      <c r="D121" s="333"/>
      <c r="E121" s="334"/>
      <c r="F121" s="333"/>
      <c r="G121" s="335"/>
      <c r="H121" s="335"/>
      <c r="I121" s="335"/>
      <c r="J121" s="335"/>
      <c r="K121" s="336"/>
      <c r="L121" s="334"/>
      <c r="M121" s="99" t="str">
        <f t="shared" si="88"/>
        <v/>
      </c>
      <c r="CA121" s="100" t="str">
        <f t="shared" si="89"/>
        <v/>
      </c>
      <c r="CU121" s="102">
        <f t="shared" si="90"/>
        <v>0</v>
      </c>
    </row>
    <row r="122" spans="1:99">
      <c r="A122" s="337" t="s">
        <v>174</v>
      </c>
      <c r="B122" s="331">
        <f t="shared" si="87"/>
        <v>0</v>
      </c>
      <c r="C122" s="334"/>
      <c r="D122" s="333"/>
      <c r="E122" s="334"/>
      <c r="F122" s="333"/>
      <c r="G122" s="335"/>
      <c r="H122" s="335"/>
      <c r="I122" s="335"/>
      <c r="J122" s="335"/>
      <c r="K122" s="336"/>
      <c r="L122" s="334"/>
      <c r="M122" s="99" t="str">
        <f t="shared" si="88"/>
        <v/>
      </c>
      <c r="CA122" s="100" t="str">
        <f t="shared" si="89"/>
        <v/>
      </c>
      <c r="CU122" s="102">
        <f t="shared" si="90"/>
        <v>0</v>
      </c>
    </row>
    <row r="123" spans="1:99">
      <c r="A123" s="337" t="s">
        <v>175</v>
      </c>
      <c r="B123" s="331">
        <f t="shared" si="87"/>
        <v>0</v>
      </c>
      <c r="C123" s="334"/>
      <c r="D123" s="333"/>
      <c r="E123" s="334"/>
      <c r="F123" s="333"/>
      <c r="G123" s="335"/>
      <c r="H123" s="335"/>
      <c r="I123" s="335"/>
      <c r="J123" s="335"/>
      <c r="K123" s="336"/>
      <c r="L123" s="334"/>
      <c r="M123" s="99" t="str">
        <f t="shared" si="88"/>
        <v/>
      </c>
      <c r="CA123" s="100" t="str">
        <f t="shared" si="89"/>
        <v/>
      </c>
      <c r="CU123" s="102">
        <f t="shared" si="90"/>
        <v>0</v>
      </c>
    </row>
    <row r="124" spans="1:99">
      <c r="A124" s="337" t="s">
        <v>176</v>
      </c>
      <c r="B124" s="331">
        <f t="shared" si="87"/>
        <v>0</v>
      </c>
      <c r="C124" s="334"/>
      <c r="D124" s="333"/>
      <c r="E124" s="334"/>
      <c r="F124" s="333"/>
      <c r="G124" s="335"/>
      <c r="H124" s="335"/>
      <c r="I124" s="335"/>
      <c r="J124" s="335"/>
      <c r="K124" s="336"/>
      <c r="L124" s="334"/>
      <c r="M124" s="99" t="str">
        <f t="shared" si="88"/>
        <v/>
      </c>
      <c r="CA124" s="100" t="str">
        <f t="shared" si="89"/>
        <v/>
      </c>
      <c r="CU124" s="102">
        <f t="shared" si="90"/>
        <v>0</v>
      </c>
    </row>
    <row r="125" spans="1:99">
      <c r="A125" s="337" t="s">
        <v>177</v>
      </c>
      <c r="B125" s="331">
        <f t="shared" si="87"/>
        <v>0</v>
      </c>
      <c r="C125" s="334"/>
      <c r="D125" s="333"/>
      <c r="E125" s="334"/>
      <c r="F125" s="333"/>
      <c r="G125" s="335"/>
      <c r="H125" s="335"/>
      <c r="I125" s="335"/>
      <c r="J125" s="335"/>
      <c r="K125" s="336"/>
      <c r="L125" s="334"/>
      <c r="M125" s="99" t="str">
        <f t="shared" si="88"/>
        <v/>
      </c>
      <c r="CA125" s="100" t="str">
        <f t="shared" si="89"/>
        <v/>
      </c>
      <c r="CU125" s="102">
        <f t="shared" si="90"/>
        <v>0</v>
      </c>
    </row>
    <row r="126" spans="1:99">
      <c r="A126" s="337" t="s">
        <v>178</v>
      </c>
      <c r="B126" s="331">
        <f t="shared" si="87"/>
        <v>0</v>
      </c>
      <c r="C126" s="334"/>
      <c r="D126" s="333"/>
      <c r="E126" s="334"/>
      <c r="F126" s="333"/>
      <c r="G126" s="335"/>
      <c r="H126" s="335"/>
      <c r="I126" s="335"/>
      <c r="J126" s="335"/>
      <c r="K126" s="336"/>
      <c r="L126" s="334"/>
      <c r="M126" s="99" t="str">
        <f t="shared" si="88"/>
        <v/>
      </c>
      <c r="CA126" s="100" t="str">
        <f t="shared" si="89"/>
        <v/>
      </c>
      <c r="CU126" s="102">
        <f t="shared" si="90"/>
        <v>0</v>
      </c>
    </row>
    <row r="127" spans="1:99">
      <c r="A127" s="337" t="s">
        <v>179</v>
      </c>
      <c r="B127" s="331">
        <f t="shared" si="87"/>
        <v>0</v>
      </c>
      <c r="C127" s="334"/>
      <c r="D127" s="333"/>
      <c r="E127" s="334"/>
      <c r="F127" s="333"/>
      <c r="G127" s="335"/>
      <c r="H127" s="335"/>
      <c r="I127" s="335"/>
      <c r="J127" s="335"/>
      <c r="K127" s="336"/>
      <c r="L127" s="334"/>
      <c r="M127" s="99" t="str">
        <f t="shared" si="88"/>
        <v/>
      </c>
      <c r="CA127" s="100" t="str">
        <f t="shared" si="89"/>
        <v/>
      </c>
      <c r="CU127" s="102">
        <f t="shared" si="90"/>
        <v>0</v>
      </c>
    </row>
    <row r="128" spans="1:99">
      <c r="A128" s="337" t="s">
        <v>180</v>
      </c>
      <c r="B128" s="331">
        <f t="shared" si="87"/>
        <v>0</v>
      </c>
      <c r="C128" s="334"/>
      <c r="D128" s="333"/>
      <c r="E128" s="334"/>
      <c r="F128" s="333"/>
      <c r="G128" s="335"/>
      <c r="H128" s="335"/>
      <c r="I128" s="335"/>
      <c r="J128" s="335"/>
      <c r="K128" s="336"/>
      <c r="L128" s="334"/>
      <c r="M128" s="99" t="str">
        <f t="shared" si="88"/>
        <v/>
      </c>
      <c r="CA128" s="100" t="str">
        <f t="shared" si="89"/>
        <v/>
      </c>
      <c r="CU128" s="102">
        <f t="shared" si="90"/>
        <v>0</v>
      </c>
    </row>
    <row r="129" spans="1:99">
      <c r="A129" s="339" t="s">
        <v>71</v>
      </c>
      <c r="B129" s="340">
        <f t="shared" si="87"/>
        <v>0</v>
      </c>
      <c r="C129" s="343"/>
      <c r="D129" s="342"/>
      <c r="E129" s="343"/>
      <c r="F129" s="342"/>
      <c r="G129" s="344"/>
      <c r="H129" s="344"/>
      <c r="I129" s="344"/>
      <c r="J129" s="344"/>
      <c r="K129" s="345"/>
      <c r="L129" s="343"/>
      <c r="M129" s="99" t="str">
        <f t="shared" si="88"/>
        <v/>
      </c>
      <c r="CA129" s="100" t="str">
        <f t="shared" si="89"/>
        <v/>
      </c>
      <c r="CU129" s="102">
        <f t="shared" si="90"/>
        <v>0</v>
      </c>
    </row>
    <row r="130" spans="1:99">
      <c r="A130" s="346" t="s">
        <v>91</v>
      </c>
      <c r="B130" s="347">
        <f t="shared" si="87"/>
        <v>0</v>
      </c>
      <c r="C130" s="347">
        <f t="shared" ref="C130:L149" si="91">SUM(C117:C129)</f>
        <v>0</v>
      </c>
      <c r="D130" s="348">
        <f t="shared" si="91"/>
        <v>0</v>
      </c>
      <c r="E130" s="349">
        <f t="shared" si="91"/>
        <v>0</v>
      </c>
      <c r="F130" s="348">
        <f t="shared" si="91"/>
        <v>0</v>
      </c>
      <c r="G130" s="350">
        <f t="shared" si="91"/>
        <v>0</v>
      </c>
      <c r="H130" s="350">
        <f t="shared" si="91"/>
        <v>0</v>
      </c>
      <c r="I130" s="350">
        <f t="shared" si="91"/>
        <v>0</v>
      </c>
      <c r="J130" s="350">
        <f t="shared" si="91"/>
        <v>0</v>
      </c>
      <c r="K130" s="351">
        <f t="shared" si="91"/>
        <v>0</v>
      </c>
      <c r="L130" s="349">
        <f t="shared" si="91"/>
        <v>0</v>
      </c>
    </row>
    <row r="131" spans="1:99" ht="18" customHeight="1">
      <c r="A131" s="352" t="s">
        <v>181</v>
      </c>
      <c r="B131" s="361"/>
      <c r="C131" s="361"/>
      <c r="D131" s="353"/>
      <c r="E131" s="353"/>
      <c r="F131" s="353"/>
      <c r="G131" s="353"/>
      <c r="H131" s="353"/>
      <c r="I131" s="353"/>
      <c r="J131" s="353"/>
      <c r="K131" s="353"/>
      <c r="L131" s="362"/>
    </row>
    <row r="132" spans="1:99" ht="18" customHeight="1">
      <c r="A132" s="5696" t="s">
        <v>184</v>
      </c>
      <c r="B132" s="5696"/>
      <c r="C132" s="5696"/>
      <c r="D132" s="5696"/>
      <c r="E132" s="5696"/>
      <c r="F132" s="5696"/>
      <c r="G132" s="5696"/>
      <c r="H132" s="5696"/>
      <c r="I132" s="5696"/>
      <c r="J132" s="5696"/>
      <c r="K132" s="5696"/>
      <c r="L132" s="363"/>
    </row>
    <row r="133" spans="1:99" ht="15" customHeight="1">
      <c r="A133" s="5683" t="s">
        <v>155</v>
      </c>
      <c r="B133" s="5684" t="s">
        <v>183</v>
      </c>
      <c r="C133" s="5667"/>
      <c r="D133" s="5667"/>
      <c r="E133" s="5667"/>
      <c r="F133" s="5667"/>
      <c r="G133" s="5667"/>
      <c r="H133" s="5667"/>
      <c r="I133" s="5667"/>
      <c r="J133" s="5667"/>
      <c r="K133" s="5685"/>
      <c r="L133" s="5607" t="s">
        <v>157</v>
      </c>
    </row>
    <row r="134" spans="1:99" ht="15" customHeight="1">
      <c r="A134" s="5646"/>
      <c r="B134" s="5687" t="s">
        <v>91</v>
      </c>
      <c r="C134" s="5681" t="s">
        <v>158</v>
      </c>
      <c r="D134" s="5683" t="s">
        <v>159</v>
      </c>
      <c r="E134" s="5683"/>
      <c r="F134" s="5684" t="s">
        <v>160</v>
      </c>
      <c r="G134" s="5667"/>
      <c r="H134" s="5667"/>
      <c r="I134" s="5667"/>
      <c r="J134" s="5667"/>
      <c r="K134" s="5685"/>
      <c r="L134" s="5608"/>
    </row>
    <row r="135" spans="1:99" ht="31.5">
      <c r="A135" s="5646"/>
      <c r="B135" s="5689"/>
      <c r="C135" s="5693"/>
      <c r="D135" s="356" t="s">
        <v>161</v>
      </c>
      <c r="E135" s="357" t="s">
        <v>162</v>
      </c>
      <c r="F135" s="358" t="s">
        <v>163</v>
      </c>
      <c r="G135" s="359" t="s">
        <v>164</v>
      </c>
      <c r="H135" s="359" t="s">
        <v>165</v>
      </c>
      <c r="I135" s="359" t="s">
        <v>166</v>
      </c>
      <c r="J135" s="359" t="s">
        <v>167</v>
      </c>
      <c r="K135" s="324" t="s">
        <v>168</v>
      </c>
      <c r="L135" s="5609"/>
    </row>
    <row r="136" spans="1:99">
      <c r="A136" s="330" t="s">
        <v>169</v>
      </c>
      <c r="B136" s="331">
        <f t="shared" si="87"/>
        <v>0</v>
      </c>
      <c r="C136" s="334"/>
      <c r="D136" s="333"/>
      <c r="E136" s="334"/>
      <c r="F136" s="333"/>
      <c r="G136" s="335"/>
      <c r="H136" s="335"/>
      <c r="I136" s="335"/>
      <c r="J136" s="335"/>
      <c r="K136" s="336"/>
      <c r="L136" s="360"/>
      <c r="M136" s="99" t="str">
        <f t="shared" si="88"/>
        <v/>
      </c>
      <c r="CA136" s="100" t="str">
        <f t="shared" ref="CA136:CA148" si="92">IF(AND($B136&lt;&gt;0,L136=""),"* No olvide ingresar la variable "&amp;L$133&amp;""&amp;". Digite CERO si no tiene. ",IF(L136&gt;$B136,"* La variable Total PAP informados en trans masculino no debe ser mayor al Total. ",""))</f>
        <v/>
      </c>
      <c r="CU136" s="102">
        <f t="shared" si="90"/>
        <v>0</v>
      </c>
    </row>
    <row r="137" spans="1:99">
      <c r="A137" s="337" t="s">
        <v>170</v>
      </c>
      <c r="B137" s="331">
        <f t="shared" si="87"/>
        <v>0</v>
      </c>
      <c r="C137" s="334"/>
      <c r="D137" s="333"/>
      <c r="E137" s="334"/>
      <c r="F137" s="333"/>
      <c r="G137" s="335"/>
      <c r="H137" s="335"/>
      <c r="I137" s="335"/>
      <c r="J137" s="335"/>
      <c r="K137" s="336"/>
      <c r="L137" s="334"/>
      <c r="M137" s="99" t="str">
        <f t="shared" si="88"/>
        <v/>
      </c>
      <c r="CA137" s="100" t="str">
        <f t="shared" si="92"/>
        <v/>
      </c>
      <c r="CU137" s="102">
        <f t="shared" si="90"/>
        <v>0</v>
      </c>
    </row>
    <row r="138" spans="1:99">
      <c r="A138" s="337" t="s">
        <v>171</v>
      </c>
      <c r="B138" s="331">
        <f t="shared" si="87"/>
        <v>0</v>
      </c>
      <c r="C138" s="334"/>
      <c r="D138" s="333"/>
      <c r="E138" s="334"/>
      <c r="F138" s="333"/>
      <c r="G138" s="335"/>
      <c r="H138" s="335"/>
      <c r="I138" s="335"/>
      <c r="J138" s="335"/>
      <c r="K138" s="336"/>
      <c r="L138" s="334"/>
      <c r="M138" s="99" t="str">
        <f t="shared" si="88"/>
        <v/>
      </c>
      <c r="CA138" s="100" t="str">
        <f t="shared" si="92"/>
        <v/>
      </c>
      <c r="CU138" s="102">
        <f t="shared" si="90"/>
        <v>0</v>
      </c>
    </row>
    <row r="139" spans="1:99">
      <c r="A139" s="337" t="s">
        <v>172</v>
      </c>
      <c r="B139" s="331">
        <f t="shared" si="87"/>
        <v>0</v>
      </c>
      <c r="C139" s="334"/>
      <c r="D139" s="333"/>
      <c r="E139" s="334"/>
      <c r="F139" s="333"/>
      <c r="G139" s="335"/>
      <c r="H139" s="335"/>
      <c r="I139" s="335"/>
      <c r="J139" s="335"/>
      <c r="K139" s="336"/>
      <c r="L139" s="334"/>
      <c r="M139" s="99" t="str">
        <f t="shared" si="88"/>
        <v/>
      </c>
      <c r="CA139" s="100" t="str">
        <f t="shared" si="92"/>
        <v/>
      </c>
      <c r="CU139" s="102">
        <f t="shared" si="90"/>
        <v>0</v>
      </c>
    </row>
    <row r="140" spans="1:99">
      <c r="A140" s="337" t="s">
        <v>173</v>
      </c>
      <c r="B140" s="331">
        <f t="shared" si="87"/>
        <v>0</v>
      </c>
      <c r="C140" s="334"/>
      <c r="D140" s="333"/>
      <c r="E140" s="334"/>
      <c r="F140" s="333"/>
      <c r="G140" s="335"/>
      <c r="H140" s="335"/>
      <c r="I140" s="335"/>
      <c r="J140" s="335"/>
      <c r="K140" s="336"/>
      <c r="L140" s="334"/>
      <c r="M140" s="99" t="str">
        <f t="shared" si="88"/>
        <v/>
      </c>
      <c r="CA140" s="100" t="str">
        <f t="shared" si="92"/>
        <v/>
      </c>
      <c r="CU140" s="102">
        <f t="shared" si="90"/>
        <v>0</v>
      </c>
    </row>
    <row r="141" spans="1:99">
      <c r="A141" s="337" t="s">
        <v>174</v>
      </c>
      <c r="B141" s="331">
        <f t="shared" si="87"/>
        <v>0</v>
      </c>
      <c r="C141" s="334"/>
      <c r="D141" s="333"/>
      <c r="E141" s="334"/>
      <c r="F141" s="333"/>
      <c r="G141" s="335"/>
      <c r="H141" s="335"/>
      <c r="I141" s="335"/>
      <c r="J141" s="335"/>
      <c r="K141" s="336"/>
      <c r="L141" s="334"/>
      <c r="M141" s="99" t="str">
        <f t="shared" si="88"/>
        <v/>
      </c>
      <c r="CA141" s="100" t="str">
        <f t="shared" si="92"/>
        <v/>
      </c>
      <c r="CU141" s="102">
        <f t="shared" si="90"/>
        <v>0</v>
      </c>
    </row>
    <row r="142" spans="1:99">
      <c r="A142" s="337" t="s">
        <v>175</v>
      </c>
      <c r="B142" s="331">
        <f t="shared" si="87"/>
        <v>0</v>
      </c>
      <c r="C142" s="334"/>
      <c r="D142" s="333"/>
      <c r="E142" s="334"/>
      <c r="F142" s="333"/>
      <c r="G142" s="335"/>
      <c r="H142" s="335"/>
      <c r="I142" s="335"/>
      <c r="J142" s="335"/>
      <c r="K142" s="336"/>
      <c r="L142" s="334"/>
      <c r="M142" s="99" t="str">
        <f t="shared" si="88"/>
        <v/>
      </c>
      <c r="CA142" s="100" t="str">
        <f t="shared" si="92"/>
        <v/>
      </c>
      <c r="CU142" s="102">
        <f t="shared" si="90"/>
        <v>0</v>
      </c>
    </row>
    <row r="143" spans="1:99">
      <c r="A143" s="337" t="s">
        <v>176</v>
      </c>
      <c r="B143" s="331">
        <f t="shared" si="87"/>
        <v>0</v>
      </c>
      <c r="C143" s="334"/>
      <c r="D143" s="333"/>
      <c r="E143" s="334"/>
      <c r="F143" s="333"/>
      <c r="G143" s="335"/>
      <c r="H143" s="335"/>
      <c r="I143" s="335"/>
      <c r="J143" s="335"/>
      <c r="K143" s="336"/>
      <c r="L143" s="334"/>
      <c r="M143" s="99" t="str">
        <f t="shared" si="88"/>
        <v/>
      </c>
      <c r="CA143" s="100" t="str">
        <f t="shared" si="92"/>
        <v/>
      </c>
      <c r="CU143" s="102">
        <f t="shared" si="90"/>
        <v>0</v>
      </c>
    </row>
    <row r="144" spans="1:99">
      <c r="A144" s="337" t="s">
        <v>177</v>
      </c>
      <c r="B144" s="331">
        <f t="shared" si="87"/>
        <v>0</v>
      </c>
      <c r="C144" s="334"/>
      <c r="D144" s="333"/>
      <c r="E144" s="334"/>
      <c r="F144" s="333"/>
      <c r="G144" s="335"/>
      <c r="H144" s="335"/>
      <c r="I144" s="335"/>
      <c r="J144" s="335"/>
      <c r="K144" s="336"/>
      <c r="L144" s="334"/>
      <c r="M144" s="99" t="str">
        <f t="shared" si="88"/>
        <v/>
      </c>
      <c r="CA144" s="100" t="str">
        <f t="shared" si="92"/>
        <v/>
      </c>
      <c r="CU144" s="102">
        <f t="shared" si="90"/>
        <v>0</v>
      </c>
    </row>
    <row r="145" spans="1:99">
      <c r="A145" s="337" t="s">
        <v>178</v>
      </c>
      <c r="B145" s="331">
        <f t="shared" si="87"/>
        <v>0</v>
      </c>
      <c r="C145" s="334"/>
      <c r="D145" s="333"/>
      <c r="E145" s="334"/>
      <c r="F145" s="333"/>
      <c r="G145" s="335"/>
      <c r="H145" s="335"/>
      <c r="I145" s="335"/>
      <c r="J145" s="335"/>
      <c r="K145" s="336"/>
      <c r="L145" s="334"/>
      <c r="M145" s="99" t="str">
        <f t="shared" si="88"/>
        <v/>
      </c>
      <c r="CA145" s="100" t="str">
        <f t="shared" si="92"/>
        <v/>
      </c>
      <c r="CU145" s="102">
        <f t="shared" si="90"/>
        <v>0</v>
      </c>
    </row>
    <row r="146" spans="1:99">
      <c r="A146" s="337" t="s">
        <v>179</v>
      </c>
      <c r="B146" s="331">
        <f t="shared" si="87"/>
        <v>0</v>
      </c>
      <c r="C146" s="334"/>
      <c r="D146" s="333"/>
      <c r="E146" s="334"/>
      <c r="F146" s="333"/>
      <c r="G146" s="335"/>
      <c r="H146" s="335"/>
      <c r="I146" s="335"/>
      <c r="J146" s="335"/>
      <c r="K146" s="336"/>
      <c r="L146" s="334"/>
      <c r="M146" s="99" t="str">
        <f t="shared" si="88"/>
        <v/>
      </c>
      <c r="CA146" s="100" t="str">
        <f t="shared" si="92"/>
        <v/>
      </c>
      <c r="CU146" s="102">
        <f t="shared" si="90"/>
        <v>0</v>
      </c>
    </row>
    <row r="147" spans="1:99">
      <c r="A147" s="337" t="s">
        <v>180</v>
      </c>
      <c r="B147" s="331">
        <f t="shared" si="87"/>
        <v>0</v>
      </c>
      <c r="C147" s="334"/>
      <c r="D147" s="333"/>
      <c r="E147" s="334"/>
      <c r="F147" s="333"/>
      <c r="G147" s="335"/>
      <c r="H147" s="335"/>
      <c r="I147" s="335"/>
      <c r="J147" s="335"/>
      <c r="K147" s="336"/>
      <c r="L147" s="334"/>
      <c r="M147" s="99" t="str">
        <f t="shared" si="88"/>
        <v/>
      </c>
      <c r="CA147" s="100" t="str">
        <f t="shared" si="92"/>
        <v/>
      </c>
      <c r="CU147" s="102">
        <f t="shared" si="90"/>
        <v>0</v>
      </c>
    </row>
    <row r="148" spans="1:99">
      <c r="A148" s="339" t="s">
        <v>71</v>
      </c>
      <c r="B148" s="340">
        <f t="shared" si="87"/>
        <v>0</v>
      </c>
      <c r="C148" s="343"/>
      <c r="D148" s="342"/>
      <c r="E148" s="343"/>
      <c r="F148" s="342"/>
      <c r="G148" s="344"/>
      <c r="H148" s="344"/>
      <c r="I148" s="344"/>
      <c r="J148" s="344"/>
      <c r="K148" s="345"/>
      <c r="L148" s="343"/>
      <c r="M148" s="99" t="str">
        <f t="shared" si="88"/>
        <v/>
      </c>
      <c r="CA148" s="100" t="str">
        <f t="shared" si="92"/>
        <v/>
      </c>
      <c r="CU148" s="102">
        <f t="shared" si="90"/>
        <v>0</v>
      </c>
    </row>
    <row r="149" spans="1:99">
      <c r="A149" s="346" t="s">
        <v>91</v>
      </c>
      <c r="B149" s="347">
        <f t="shared" si="87"/>
        <v>0</v>
      </c>
      <c r="C149" s="347">
        <f t="shared" si="91"/>
        <v>0</v>
      </c>
      <c r="D149" s="348">
        <f t="shared" si="91"/>
        <v>0</v>
      </c>
      <c r="E149" s="349">
        <f t="shared" si="91"/>
        <v>0</v>
      </c>
      <c r="F149" s="348">
        <f t="shared" si="91"/>
        <v>0</v>
      </c>
      <c r="G149" s="350">
        <f t="shared" si="91"/>
        <v>0</v>
      </c>
      <c r="H149" s="350">
        <f t="shared" si="91"/>
        <v>0</v>
      </c>
      <c r="I149" s="350">
        <f t="shared" si="91"/>
        <v>0</v>
      </c>
      <c r="J149" s="350">
        <f t="shared" si="91"/>
        <v>0</v>
      </c>
      <c r="K149" s="351">
        <f t="shared" si="91"/>
        <v>0</v>
      </c>
      <c r="L149" s="349">
        <f t="shared" si="91"/>
        <v>0</v>
      </c>
    </row>
    <row r="150" spans="1:99">
      <c r="A150" s="361" t="s">
        <v>185</v>
      </c>
      <c r="B150" s="361"/>
      <c r="C150" s="361"/>
      <c r="D150" s="353"/>
      <c r="E150" s="353"/>
      <c r="F150" s="353"/>
      <c r="G150" s="353"/>
      <c r="H150" s="353"/>
      <c r="I150" s="353"/>
      <c r="J150" s="353"/>
      <c r="K150" s="353"/>
      <c r="L150" s="362"/>
    </row>
    <row r="151" spans="1:99" ht="27" customHeight="1">
      <c r="A151" s="5695" t="s">
        <v>186</v>
      </c>
      <c r="B151" s="5695"/>
      <c r="C151" s="5695"/>
      <c r="D151" s="5695"/>
      <c r="E151" s="5695"/>
      <c r="F151" s="5695"/>
      <c r="G151" s="5695"/>
      <c r="H151" s="5695"/>
      <c r="I151" s="5695"/>
      <c r="J151" s="5695"/>
      <c r="K151" s="5695"/>
      <c r="L151" s="5695"/>
      <c r="M151" s="5695"/>
      <c r="N151" s="355"/>
    </row>
    <row r="152" spans="1:99" ht="18" customHeight="1">
      <c r="A152" s="5683" t="s">
        <v>187</v>
      </c>
      <c r="B152" s="5687" t="s">
        <v>188</v>
      </c>
      <c r="C152" s="5667" t="s">
        <v>189</v>
      </c>
      <c r="D152" s="5667"/>
      <c r="E152" s="5667"/>
      <c r="F152" s="5667"/>
      <c r="G152" s="5668" t="s">
        <v>190</v>
      </c>
      <c r="H152" s="5701" t="s">
        <v>191</v>
      </c>
      <c r="I152" s="5684" t="s">
        <v>192</v>
      </c>
      <c r="J152" s="5667"/>
      <c r="K152" s="5667"/>
      <c r="L152" s="5694"/>
      <c r="M152" s="5607" t="s">
        <v>193</v>
      </c>
      <c r="N152" s="5607" t="s">
        <v>194</v>
      </c>
    </row>
    <row r="153" spans="1:99" ht="18" customHeight="1">
      <c r="A153" s="5646"/>
      <c r="B153" s="5688"/>
      <c r="C153" s="5681" t="s">
        <v>195</v>
      </c>
      <c r="D153" s="5684" t="s">
        <v>160</v>
      </c>
      <c r="E153" s="5667"/>
      <c r="F153" s="5667"/>
      <c r="G153" s="5669"/>
      <c r="H153" s="5702"/>
      <c r="I153" s="5687" t="s">
        <v>195</v>
      </c>
      <c r="J153" s="5684" t="s">
        <v>160</v>
      </c>
      <c r="K153" s="5667"/>
      <c r="L153" s="5694"/>
      <c r="M153" s="5608"/>
      <c r="N153" s="5608"/>
    </row>
    <row r="154" spans="1:99" ht="18" customHeight="1">
      <c r="A154" s="5646"/>
      <c r="B154" s="5689"/>
      <c r="C154" s="5693"/>
      <c r="D154" s="358" t="s">
        <v>196</v>
      </c>
      <c r="E154" s="359" t="s">
        <v>197</v>
      </c>
      <c r="F154" s="323" t="s">
        <v>198</v>
      </c>
      <c r="G154" s="5670"/>
      <c r="H154" s="5703"/>
      <c r="I154" s="5689"/>
      <c r="J154" s="358" t="s">
        <v>196</v>
      </c>
      <c r="K154" s="359" t="s">
        <v>197</v>
      </c>
      <c r="L154" s="364" t="s">
        <v>198</v>
      </c>
      <c r="M154" s="5609"/>
      <c r="N154" s="5609"/>
    </row>
    <row r="155" spans="1:99">
      <c r="A155" s="337" t="s">
        <v>171</v>
      </c>
      <c r="B155" s="365"/>
      <c r="C155" s="365"/>
      <c r="D155" s="366"/>
      <c r="E155" s="367"/>
      <c r="F155" s="368"/>
      <c r="G155" s="369"/>
      <c r="H155" s="365"/>
      <c r="I155" s="365"/>
      <c r="J155" s="366"/>
      <c r="K155" s="367"/>
      <c r="L155" s="368"/>
      <c r="M155" s="365"/>
      <c r="N155" s="365"/>
      <c r="O155" s="48" t="str">
        <f t="shared" ref="O155:O165" si="93">$CA155</f>
        <v/>
      </c>
      <c r="CA155" s="100" t="str">
        <f t="shared" ref="CA155:CA165" si="94">IF(AND($B155&lt;&gt;0,M155=""),"* No olvide ingresar la variable "&amp;M$152&amp;""&amp;". Digite CERO si no tiene. ",IF(M155&gt;$B155,"* La variable Total PAP informados en trans masculino no debe ser mayor al Total. ",""))</f>
        <v/>
      </c>
      <c r="CU155" s="102">
        <f t="shared" ref="CU155:CU165" si="95">IF(AND($B155&lt;&gt;0,M155=""),1,IF(M155&gt;$B155,1,0))</f>
        <v>0</v>
      </c>
    </row>
    <row r="156" spans="1:99">
      <c r="A156" s="337" t="s">
        <v>172</v>
      </c>
      <c r="B156" s="365"/>
      <c r="C156" s="365"/>
      <c r="D156" s="366"/>
      <c r="E156" s="367"/>
      <c r="F156" s="368"/>
      <c r="G156" s="369"/>
      <c r="H156" s="365"/>
      <c r="I156" s="365"/>
      <c r="J156" s="366"/>
      <c r="K156" s="367"/>
      <c r="L156" s="368"/>
      <c r="M156" s="365"/>
      <c r="N156" s="365"/>
      <c r="O156" s="48" t="str">
        <f t="shared" si="93"/>
        <v/>
      </c>
      <c r="CA156" s="100" t="str">
        <f t="shared" si="94"/>
        <v/>
      </c>
      <c r="CU156" s="102">
        <f t="shared" si="95"/>
        <v>0</v>
      </c>
    </row>
    <row r="157" spans="1:99">
      <c r="A157" s="337" t="s">
        <v>173</v>
      </c>
      <c r="B157" s="365"/>
      <c r="C157" s="365"/>
      <c r="D157" s="366"/>
      <c r="E157" s="367"/>
      <c r="F157" s="368"/>
      <c r="G157" s="369"/>
      <c r="H157" s="365"/>
      <c r="I157" s="365"/>
      <c r="J157" s="366"/>
      <c r="K157" s="367"/>
      <c r="L157" s="368"/>
      <c r="M157" s="365"/>
      <c r="N157" s="365"/>
      <c r="O157" s="48" t="str">
        <f t="shared" si="93"/>
        <v/>
      </c>
      <c r="CA157" s="100" t="str">
        <f t="shared" si="94"/>
        <v/>
      </c>
      <c r="CU157" s="102">
        <f t="shared" si="95"/>
        <v>0</v>
      </c>
    </row>
    <row r="158" spans="1:99">
      <c r="A158" s="337" t="s">
        <v>174</v>
      </c>
      <c r="B158" s="365"/>
      <c r="C158" s="365"/>
      <c r="D158" s="366"/>
      <c r="E158" s="367"/>
      <c r="F158" s="368"/>
      <c r="G158" s="369"/>
      <c r="H158" s="365"/>
      <c r="I158" s="365"/>
      <c r="J158" s="366"/>
      <c r="K158" s="367"/>
      <c r="L158" s="368"/>
      <c r="M158" s="365"/>
      <c r="N158" s="365"/>
      <c r="O158" s="48" t="str">
        <f t="shared" si="93"/>
        <v/>
      </c>
      <c r="CA158" s="100" t="str">
        <f t="shared" si="94"/>
        <v/>
      </c>
      <c r="CU158" s="102">
        <f t="shared" si="95"/>
        <v>0</v>
      </c>
    </row>
    <row r="159" spans="1:99">
      <c r="A159" s="337" t="s">
        <v>175</v>
      </c>
      <c r="B159" s="365"/>
      <c r="C159" s="365"/>
      <c r="D159" s="366"/>
      <c r="E159" s="367"/>
      <c r="F159" s="368"/>
      <c r="G159" s="369"/>
      <c r="H159" s="365"/>
      <c r="I159" s="365"/>
      <c r="J159" s="366"/>
      <c r="K159" s="367"/>
      <c r="L159" s="368"/>
      <c r="M159" s="365"/>
      <c r="N159" s="365"/>
      <c r="O159" s="48" t="str">
        <f t="shared" si="93"/>
        <v/>
      </c>
      <c r="CA159" s="100" t="str">
        <f t="shared" si="94"/>
        <v/>
      </c>
      <c r="CU159" s="102">
        <f t="shared" si="95"/>
        <v>0</v>
      </c>
    </row>
    <row r="160" spans="1:99">
      <c r="A160" s="337" t="s">
        <v>176</v>
      </c>
      <c r="B160" s="365"/>
      <c r="C160" s="365"/>
      <c r="D160" s="366"/>
      <c r="E160" s="367"/>
      <c r="F160" s="368"/>
      <c r="G160" s="369"/>
      <c r="H160" s="365"/>
      <c r="I160" s="365"/>
      <c r="J160" s="366"/>
      <c r="K160" s="367"/>
      <c r="L160" s="368"/>
      <c r="M160" s="365"/>
      <c r="N160" s="365"/>
      <c r="O160" s="48" t="str">
        <f t="shared" si="93"/>
        <v/>
      </c>
      <c r="CA160" s="100" t="str">
        <f t="shared" si="94"/>
        <v/>
      </c>
      <c r="CU160" s="102">
        <f t="shared" si="95"/>
        <v>0</v>
      </c>
    </row>
    <row r="161" spans="1:100">
      <c r="A161" s="337" t="s">
        <v>177</v>
      </c>
      <c r="B161" s="365"/>
      <c r="C161" s="365"/>
      <c r="D161" s="366"/>
      <c r="E161" s="367"/>
      <c r="F161" s="368"/>
      <c r="G161" s="369"/>
      <c r="H161" s="365"/>
      <c r="I161" s="365"/>
      <c r="J161" s="366"/>
      <c r="K161" s="367"/>
      <c r="L161" s="368"/>
      <c r="M161" s="365"/>
      <c r="N161" s="365"/>
      <c r="O161" s="48" t="str">
        <f t="shared" si="93"/>
        <v/>
      </c>
      <c r="CA161" s="100" t="str">
        <f t="shared" si="94"/>
        <v/>
      </c>
      <c r="CU161" s="102">
        <f t="shared" si="95"/>
        <v>0</v>
      </c>
    </row>
    <row r="162" spans="1:100">
      <c r="A162" s="337" t="s">
        <v>178</v>
      </c>
      <c r="B162" s="365"/>
      <c r="C162" s="365"/>
      <c r="D162" s="366"/>
      <c r="E162" s="367"/>
      <c r="F162" s="368"/>
      <c r="G162" s="369"/>
      <c r="H162" s="365"/>
      <c r="I162" s="365"/>
      <c r="J162" s="366"/>
      <c r="K162" s="367"/>
      <c r="L162" s="368"/>
      <c r="M162" s="365"/>
      <c r="N162" s="365"/>
      <c r="O162" s="48" t="str">
        <f t="shared" si="93"/>
        <v/>
      </c>
      <c r="CA162" s="100" t="str">
        <f t="shared" si="94"/>
        <v/>
      </c>
      <c r="CU162" s="102">
        <f t="shared" si="95"/>
        <v>0</v>
      </c>
    </row>
    <row r="163" spans="1:100">
      <c r="A163" s="337" t="s">
        <v>179</v>
      </c>
      <c r="B163" s="365"/>
      <c r="C163" s="365"/>
      <c r="D163" s="366"/>
      <c r="E163" s="367"/>
      <c r="F163" s="368"/>
      <c r="G163" s="369"/>
      <c r="H163" s="365"/>
      <c r="I163" s="365"/>
      <c r="J163" s="366"/>
      <c r="K163" s="367"/>
      <c r="L163" s="368"/>
      <c r="M163" s="365"/>
      <c r="N163" s="365"/>
      <c r="O163" s="48" t="str">
        <f t="shared" si="93"/>
        <v/>
      </c>
      <c r="CA163" s="100" t="str">
        <f t="shared" si="94"/>
        <v/>
      </c>
      <c r="CU163" s="102">
        <f t="shared" si="95"/>
        <v>0</v>
      </c>
    </row>
    <row r="164" spans="1:100">
      <c r="A164" s="337" t="s">
        <v>180</v>
      </c>
      <c r="B164" s="365"/>
      <c r="C164" s="365"/>
      <c r="D164" s="366"/>
      <c r="E164" s="367"/>
      <c r="F164" s="368"/>
      <c r="G164" s="369"/>
      <c r="H164" s="365"/>
      <c r="I164" s="365"/>
      <c r="J164" s="366"/>
      <c r="K164" s="367"/>
      <c r="L164" s="368"/>
      <c r="M164" s="365"/>
      <c r="N164" s="365"/>
      <c r="O164" s="48" t="str">
        <f t="shared" si="93"/>
        <v/>
      </c>
      <c r="CA164" s="100" t="str">
        <f t="shared" si="94"/>
        <v/>
      </c>
      <c r="CU164" s="102">
        <f t="shared" si="95"/>
        <v>0</v>
      </c>
    </row>
    <row r="165" spans="1:100">
      <c r="A165" s="339" t="s">
        <v>71</v>
      </c>
      <c r="B165" s="370"/>
      <c r="C165" s="370"/>
      <c r="D165" s="371"/>
      <c r="E165" s="372"/>
      <c r="F165" s="373"/>
      <c r="G165" s="374"/>
      <c r="H165" s="370"/>
      <c r="I165" s="370"/>
      <c r="J165" s="371"/>
      <c r="K165" s="372"/>
      <c r="L165" s="373"/>
      <c r="M165" s="370"/>
      <c r="N165" s="370"/>
      <c r="O165" s="48" t="str">
        <f t="shared" si="93"/>
        <v/>
      </c>
      <c r="CA165" s="100" t="str">
        <f t="shared" si="94"/>
        <v/>
      </c>
      <c r="CU165" s="102">
        <f t="shared" si="95"/>
        <v>0</v>
      </c>
    </row>
    <row r="166" spans="1:100">
      <c r="A166" s="346" t="s">
        <v>91</v>
      </c>
      <c r="B166" s="347">
        <f>SUM(B155:B165)</f>
        <v>0</v>
      </c>
      <c r="C166" s="347">
        <f t="shared" ref="C166:M200" si="96">SUM(C155:C165)</f>
        <v>0</v>
      </c>
      <c r="D166" s="348">
        <f t="shared" si="96"/>
        <v>0</v>
      </c>
      <c r="E166" s="350">
        <f t="shared" si="96"/>
        <v>0</v>
      </c>
      <c r="F166" s="351">
        <f t="shared" si="96"/>
        <v>0</v>
      </c>
      <c r="G166" s="375">
        <f t="shared" si="96"/>
        <v>0</v>
      </c>
      <c r="H166" s="376">
        <f t="shared" si="96"/>
        <v>0</v>
      </c>
      <c r="I166" s="347">
        <f t="shared" si="96"/>
        <v>0</v>
      </c>
      <c r="J166" s="348">
        <f t="shared" si="96"/>
        <v>0</v>
      </c>
      <c r="K166" s="350">
        <f t="shared" si="96"/>
        <v>0</v>
      </c>
      <c r="L166" s="351">
        <f t="shared" si="96"/>
        <v>0</v>
      </c>
      <c r="M166" s="349">
        <f t="shared" si="96"/>
        <v>0</v>
      </c>
      <c r="N166" s="349">
        <f>SUM(N155:N165)</f>
        <v>0</v>
      </c>
    </row>
    <row r="167" spans="1:100" ht="18" customHeight="1">
      <c r="A167" s="352" t="s">
        <v>181</v>
      </c>
      <c r="B167" s="353"/>
      <c r="C167" s="353"/>
      <c r="D167" s="353"/>
      <c r="E167" s="353"/>
      <c r="F167" s="353"/>
      <c r="G167" s="353"/>
      <c r="H167" s="353"/>
      <c r="I167" s="353"/>
      <c r="J167" s="353"/>
      <c r="K167" s="353"/>
      <c r="L167" s="354"/>
    </row>
    <row r="168" spans="1:100" ht="37.5" customHeight="1">
      <c r="A168" s="5695" t="s">
        <v>199</v>
      </c>
      <c r="B168" s="5695"/>
      <c r="C168" s="5695"/>
      <c r="D168" s="5695"/>
      <c r="E168" s="5695"/>
      <c r="F168" s="5695"/>
      <c r="G168" s="5695"/>
      <c r="H168" s="5695"/>
      <c r="I168" s="355"/>
      <c r="J168" s="355"/>
      <c r="K168" s="355"/>
      <c r="L168" s="355"/>
      <c r="M168" s="355"/>
      <c r="N168" s="355"/>
    </row>
    <row r="169" spans="1:100" ht="15" customHeight="1">
      <c r="A169" s="5672" t="s">
        <v>187</v>
      </c>
      <c r="B169" s="5687" t="s">
        <v>200</v>
      </c>
      <c r="C169" s="5667" t="s">
        <v>201</v>
      </c>
      <c r="D169" s="5667"/>
      <c r="E169" s="5667"/>
      <c r="F169" s="5685"/>
      <c r="G169" s="5698" t="s">
        <v>190</v>
      </c>
      <c r="H169" s="5607" t="s">
        <v>202</v>
      </c>
      <c r="I169" s="5607" t="s">
        <v>203</v>
      </c>
    </row>
    <row r="170" spans="1:100" ht="15" customHeight="1">
      <c r="A170" s="5615"/>
      <c r="B170" s="5688"/>
      <c r="C170" s="5681" t="s">
        <v>195</v>
      </c>
      <c r="D170" s="5684" t="s">
        <v>160</v>
      </c>
      <c r="E170" s="5667"/>
      <c r="F170" s="5685"/>
      <c r="G170" s="5699"/>
      <c r="H170" s="5608"/>
      <c r="I170" s="5608"/>
    </row>
    <row r="171" spans="1:100">
      <c r="A171" s="5615"/>
      <c r="B171" s="5689"/>
      <c r="C171" s="5693"/>
      <c r="D171" s="358" t="s">
        <v>196</v>
      </c>
      <c r="E171" s="359" t="s">
        <v>197</v>
      </c>
      <c r="F171" s="324" t="s">
        <v>198</v>
      </c>
      <c r="G171" s="5700"/>
      <c r="H171" s="5609"/>
      <c r="I171" s="5609"/>
    </row>
    <row r="172" spans="1:100">
      <c r="A172" s="337" t="s">
        <v>171</v>
      </c>
      <c r="B172" s="365"/>
      <c r="C172" s="365"/>
      <c r="D172" s="366"/>
      <c r="E172" s="367"/>
      <c r="F172" s="368"/>
      <c r="G172" s="369"/>
      <c r="H172" s="365"/>
      <c r="I172" s="365"/>
      <c r="J172" s="48" t="str">
        <f t="shared" ref="J172:J199" si="97">$CA172&amp;CC172</f>
        <v/>
      </c>
      <c r="CA172" s="100" t="str">
        <f t="shared" ref="CA172:CA182" si="98">IF(AND($B172&lt;&gt;0,G172=""),"* No olvide ingresar la variable "&amp;G$169&amp;""&amp;". Digite CERO si no tiene. ",IF(G172&gt;$B172,"* La variable Total VPH informados en trans masculino no debe ser mayor al Total. ",""))</f>
        <v/>
      </c>
      <c r="CB172" s="100" t="str">
        <f t="shared" ref="CB172:CB182" si="99">IF(AND($B172&lt;&gt;0,H172=""),"* No olvide ingresar la variable "&amp;H$169&amp;""&amp;". Digite CERO si no tiene. ",IF(H172&gt;$B172,"* La variable Total examen VPH autotoma informado no debe ser mayor al Total. ",""))</f>
        <v/>
      </c>
      <c r="CU172" s="102">
        <f t="shared" ref="CU172:CU199" si="100">IF(AND($B172&lt;&gt;0,G172=""),1,IF(G172&gt;$B172,1,0))</f>
        <v>0</v>
      </c>
      <c r="CV172" s="102">
        <f t="shared" ref="CV172:CV199" si="101">IF(AND($B172&lt;&gt;0,H172=""),1,IF(H172&gt;$B172,1,0))</f>
        <v>0</v>
      </c>
    </row>
    <row r="173" spans="1:100">
      <c r="A173" s="337" t="s">
        <v>172</v>
      </c>
      <c r="B173" s="365"/>
      <c r="C173" s="365"/>
      <c r="D173" s="366"/>
      <c r="E173" s="367"/>
      <c r="F173" s="368"/>
      <c r="G173" s="369"/>
      <c r="H173" s="365"/>
      <c r="I173" s="365"/>
      <c r="J173" s="48" t="str">
        <f t="shared" si="97"/>
        <v/>
      </c>
      <c r="CA173" s="100" t="str">
        <f t="shared" si="98"/>
        <v/>
      </c>
      <c r="CB173" s="100" t="str">
        <f t="shared" si="99"/>
        <v/>
      </c>
      <c r="CU173" s="102">
        <f t="shared" si="100"/>
        <v>0</v>
      </c>
      <c r="CV173" s="102">
        <f t="shared" si="101"/>
        <v>0</v>
      </c>
    </row>
    <row r="174" spans="1:100">
      <c r="A174" s="337" t="s">
        <v>173</v>
      </c>
      <c r="B174" s="365"/>
      <c r="C174" s="365"/>
      <c r="D174" s="366"/>
      <c r="E174" s="367"/>
      <c r="F174" s="368"/>
      <c r="G174" s="369"/>
      <c r="H174" s="365"/>
      <c r="I174" s="365"/>
      <c r="J174" s="48" t="str">
        <f t="shared" si="97"/>
        <v/>
      </c>
      <c r="CA174" s="100" t="str">
        <f t="shared" si="98"/>
        <v/>
      </c>
      <c r="CB174" s="100" t="str">
        <f t="shared" si="99"/>
        <v/>
      </c>
      <c r="CU174" s="102">
        <f t="shared" si="100"/>
        <v>0</v>
      </c>
      <c r="CV174" s="102">
        <f t="shared" si="101"/>
        <v>0</v>
      </c>
    </row>
    <row r="175" spans="1:100">
      <c r="A175" s="337" t="s">
        <v>174</v>
      </c>
      <c r="B175" s="365"/>
      <c r="C175" s="365"/>
      <c r="D175" s="366"/>
      <c r="E175" s="367"/>
      <c r="F175" s="368"/>
      <c r="G175" s="369"/>
      <c r="H175" s="365"/>
      <c r="I175" s="365"/>
      <c r="J175" s="48" t="str">
        <f t="shared" si="97"/>
        <v/>
      </c>
      <c r="CA175" s="100" t="str">
        <f t="shared" si="98"/>
        <v/>
      </c>
      <c r="CB175" s="100" t="str">
        <f t="shared" si="99"/>
        <v/>
      </c>
      <c r="CU175" s="102">
        <f t="shared" si="100"/>
        <v>0</v>
      </c>
      <c r="CV175" s="102">
        <f t="shared" si="101"/>
        <v>0</v>
      </c>
    </row>
    <row r="176" spans="1:100">
      <c r="A176" s="337" t="s">
        <v>175</v>
      </c>
      <c r="B176" s="365"/>
      <c r="C176" s="365"/>
      <c r="D176" s="366"/>
      <c r="E176" s="367"/>
      <c r="F176" s="368"/>
      <c r="G176" s="369"/>
      <c r="H176" s="365"/>
      <c r="I176" s="365"/>
      <c r="J176" s="48" t="str">
        <f t="shared" si="97"/>
        <v/>
      </c>
      <c r="CA176" s="100" t="str">
        <f t="shared" si="98"/>
        <v/>
      </c>
      <c r="CB176" s="100" t="str">
        <f t="shared" si="99"/>
        <v/>
      </c>
      <c r="CU176" s="102">
        <f t="shared" si="100"/>
        <v>0</v>
      </c>
      <c r="CV176" s="102">
        <f t="shared" si="101"/>
        <v>0</v>
      </c>
    </row>
    <row r="177" spans="1:100">
      <c r="A177" s="337" t="s">
        <v>176</v>
      </c>
      <c r="B177" s="365"/>
      <c r="C177" s="365"/>
      <c r="D177" s="366"/>
      <c r="E177" s="367"/>
      <c r="F177" s="368"/>
      <c r="G177" s="369"/>
      <c r="H177" s="365"/>
      <c r="I177" s="365"/>
      <c r="J177" s="48" t="str">
        <f t="shared" si="97"/>
        <v/>
      </c>
      <c r="CA177" s="100" t="str">
        <f t="shared" si="98"/>
        <v/>
      </c>
      <c r="CB177" s="100" t="str">
        <f t="shared" si="99"/>
        <v/>
      </c>
      <c r="CU177" s="102">
        <f t="shared" si="100"/>
        <v>0</v>
      </c>
      <c r="CV177" s="102">
        <f t="shared" si="101"/>
        <v>0</v>
      </c>
    </row>
    <row r="178" spans="1:100">
      <c r="A178" s="337" t="s">
        <v>177</v>
      </c>
      <c r="B178" s="365"/>
      <c r="C178" s="365"/>
      <c r="D178" s="366"/>
      <c r="E178" s="367"/>
      <c r="F178" s="368"/>
      <c r="G178" s="369"/>
      <c r="H178" s="365"/>
      <c r="I178" s="365"/>
      <c r="J178" s="48" t="str">
        <f t="shared" si="97"/>
        <v/>
      </c>
      <c r="CA178" s="100" t="str">
        <f t="shared" si="98"/>
        <v/>
      </c>
      <c r="CB178" s="100" t="str">
        <f t="shared" si="99"/>
        <v/>
      </c>
      <c r="CU178" s="102">
        <f t="shared" si="100"/>
        <v>0</v>
      </c>
      <c r="CV178" s="102">
        <f t="shared" si="101"/>
        <v>0</v>
      </c>
    </row>
    <row r="179" spans="1:100">
      <c r="A179" s="337" t="s">
        <v>178</v>
      </c>
      <c r="B179" s="365"/>
      <c r="C179" s="365"/>
      <c r="D179" s="366"/>
      <c r="E179" s="367"/>
      <c r="F179" s="368"/>
      <c r="G179" s="369"/>
      <c r="H179" s="365"/>
      <c r="I179" s="365"/>
      <c r="J179" s="48" t="str">
        <f t="shared" si="97"/>
        <v/>
      </c>
      <c r="CA179" s="100" t="str">
        <f t="shared" si="98"/>
        <v/>
      </c>
      <c r="CB179" s="100" t="str">
        <f t="shared" si="99"/>
        <v/>
      </c>
      <c r="CU179" s="102">
        <f t="shared" si="100"/>
        <v>0</v>
      </c>
      <c r="CV179" s="102">
        <f t="shared" si="101"/>
        <v>0</v>
      </c>
    </row>
    <row r="180" spans="1:100">
      <c r="A180" s="337" t="s">
        <v>179</v>
      </c>
      <c r="B180" s="365"/>
      <c r="C180" s="365"/>
      <c r="D180" s="366"/>
      <c r="E180" s="367"/>
      <c r="F180" s="368"/>
      <c r="G180" s="369"/>
      <c r="H180" s="365"/>
      <c r="I180" s="365"/>
      <c r="J180" s="48" t="str">
        <f t="shared" si="97"/>
        <v/>
      </c>
      <c r="CA180" s="100" t="str">
        <f t="shared" si="98"/>
        <v/>
      </c>
      <c r="CB180" s="100" t="str">
        <f t="shared" si="99"/>
        <v/>
      </c>
      <c r="CU180" s="102">
        <f t="shared" si="100"/>
        <v>0</v>
      </c>
      <c r="CV180" s="102">
        <f t="shared" si="101"/>
        <v>0</v>
      </c>
    </row>
    <row r="181" spans="1:100">
      <c r="A181" s="337" t="s">
        <v>180</v>
      </c>
      <c r="B181" s="365"/>
      <c r="C181" s="365"/>
      <c r="D181" s="366"/>
      <c r="E181" s="367"/>
      <c r="F181" s="368"/>
      <c r="G181" s="369"/>
      <c r="H181" s="365"/>
      <c r="I181" s="365"/>
      <c r="J181" s="48" t="str">
        <f t="shared" si="97"/>
        <v/>
      </c>
      <c r="CA181" s="100" t="str">
        <f t="shared" si="98"/>
        <v/>
      </c>
      <c r="CB181" s="100" t="str">
        <f t="shared" si="99"/>
        <v/>
      </c>
      <c r="CU181" s="102">
        <f t="shared" si="100"/>
        <v>0</v>
      </c>
      <c r="CV181" s="102">
        <f t="shared" si="101"/>
        <v>0</v>
      </c>
    </row>
    <row r="182" spans="1:100">
      <c r="A182" s="339" t="s">
        <v>71</v>
      </c>
      <c r="B182" s="370"/>
      <c r="C182" s="370"/>
      <c r="D182" s="371"/>
      <c r="E182" s="372"/>
      <c r="F182" s="373"/>
      <c r="G182" s="374"/>
      <c r="H182" s="370"/>
      <c r="I182" s="370"/>
      <c r="J182" s="48" t="str">
        <f t="shared" si="97"/>
        <v/>
      </c>
      <c r="CA182" s="100" t="str">
        <f t="shared" si="98"/>
        <v/>
      </c>
      <c r="CB182" s="100" t="str">
        <f t="shared" si="99"/>
        <v/>
      </c>
      <c r="CU182" s="102">
        <f t="shared" si="100"/>
        <v>0</v>
      </c>
      <c r="CV182" s="102">
        <f t="shared" si="101"/>
        <v>0</v>
      </c>
    </row>
    <row r="183" spans="1:100">
      <c r="A183" s="346" t="s">
        <v>91</v>
      </c>
      <c r="B183" s="347">
        <f>SUM(B172:B182)</f>
        <v>0</v>
      </c>
      <c r="C183" s="347">
        <f t="shared" si="96"/>
        <v>0</v>
      </c>
      <c r="D183" s="348">
        <f t="shared" si="96"/>
        <v>0</v>
      </c>
      <c r="E183" s="350">
        <f t="shared" si="96"/>
        <v>0</v>
      </c>
      <c r="F183" s="351">
        <f t="shared" si="96"/>
        <v>0</v>
      </c>
      <c r="G183" s="375">
        <f t="shared" si="96"/>
        <v>0</v>
      </c>
      <c r="H183" s="349">
        <f t="shared" si="96"/>
        <v>0</v>
      </c>
      <c r="I183" s="349">
        <f t="shared" ref="I183:I200" si="102">SUM(I172:I182)</f>
        <v>0</v>
      </c>
    </row>
    <row r="184" spans="1:100" ht="18" customHeight="1">
      <c r="A184" s="1" t="s">
        <v>204</v>
      </c>
    </row>
    <row r="185" spans="1:100" ht="33" customHeight="1">
      <c r="A185" s="5695" t="s">
        <v>205</v>
      </c>
      <c r="B185" s="5695"/>
      <c r="C185" s="5695"/>
      <c r="D185" s="5695"/>
      <c r="E185" s="5695"/>
      <c r="F185" s="5695"/>
      <c r="G185" s="5695"/>
      <c r="H185" s="5695"/>
      <c r="I185" s="355"/>
      <c r="J185" s="355"/>
      <c r="K185" s="355"/>
      <c r="L185" s="355"/>
      <c r="M185" s="355"/>
    </row>
    <row r="186" spans="1:100" ht="15" customHeight="1">
      <c r="A186" s="5683" t="s">
        <v>187</v>
      </c>
      <c r="B186" s="5687" t="s">
        <v>200</v>
      </c>
      <c r="C186" s="5684" t="s">
        <v>201</v>
      </c>
      <c r="D186" s="5667"/>
      <c r="E186" s="5667"/>
      <c r="F186" s="5685"/>
      <c r="G186" s="5698" t="s">
        <v>190</v>
      </c>
      <c r="H186" s="5607" t="s">
        <v>202</v>
      </c>
      <c r="I186" s="5607" t="s">
        <v>203</v>
      </c>
      <c r="K186" s="354"/>
    </row>
    <row r="187" spans="1:100" ht="15" customHeight="1">
      <c r="A187" s="5646"/>
      <c r="B187" s="5688"/>
      <c r="C187" s="5681" t="s">
        <v>195</v>
      </c>
      <c r="D187" s="5684" t="s">
        <v>160</v>
      </c>
      <c r="E187" s="5667"/>
      <c r="F187" s="5685"/>
      <c r="G187" s="5699"/>
      <c r="H187" s="5608"/>
      <c r="I187" s="5608"/>
      <c r="K187" s="354"/>
    </row>
    <row r="188" spans="1:100">
      <c r="A188" s="5646"/>
      <c r="B188" s="5689"/>
      <c r="C188" s="5693"/>
      <c r="D188" s="358" t="s">
        <v>196</v>
      </c>
      <c r="E188" s="359" t="s">
        <v>197</v>
      </c>
      <c r="F188" s="324" t="s">
        <v>206</v>
      </c>
      <c r="G188" s="5700"/>
      <c r="H188" s="5609"/>
      <c r="I188" s="5609"/>
      <c r="K188" s="354"/>
    </row>
    <row r="189" spans="1:100">
      <c r="A189" s="337" t="s">
        <v>171</v>
      </c>
      <c r="B189" s="365"/>
      <c r="C189" s="365"/>
      <c r="D189" s="366"/>
      <c r="E189" s="367"/>
      <c r="F189" s="368"/>
      <c r="G189" s="369"/>
      <c r="H189" s="365"/>
      <c r="I189" s="365"/>
      <c r="J189" s="48" t="str">
        <f t="shared" si="97"/>
        <v/>
      </c>
      <c r="K189" s="354"/>
      <c r="CA189" s="100" t="str">
        <f t="shared" ref="CA189:CA199" si="103">IF(AND($B189&lt;&gt;0,G189=""),"*No olvide ingresar la variable "&amp;G$186&amp;""&amp;". Digite CERO si no tiene. ",IF(G189&gt;$B189,"* La variable Total VPH informados en trans masculino no debe ser mayor al Total. ",""))</f>
        <v/>
      </c>
      <c r="CB189" s="100" t="str">
        <f t="shared" ref="CB189:CB199" si="104">IF(AND($B189&lt;&gt;0,H189=""),"* No olvide ingresar la variable "&amp;H$186&amp;""&amp;". Digite CERO si no tiene. ",IF(H189&gt;$B189,"* La variable Total examen VPH autotoma informado no debe ser mayor al Total. ",""))</f>
        <v/>
      </c>
      <c r="CU189" s="102">
        <f t="shared" si="100"/>
        <v>0</v>
      </c>
      <c r="CV189" s="102">
        <f t="shared" si="101"/>
        <v>0</v>
      </c>
    </row>
    <row r="190" spans="1:100">
      <c r="A190" s="337" t="s">
        <v>172</v>
      </c>
      <c r="B190" s="365"/>
      <c r="C190" s="365"/>
      <c r="D190" s="366"/>
      <c r="E190" s="367"/>
      <c r="F190" s="368"/>
      <c r="G190" s="369"/>
      <c r="H190" s="365"/>
      <c r="I190" s="365"/>
      <c r="J190" s="48" t="str">
        <f t="shared" si="97"/>
        <v/>
      </c>
      <c r="K190" s="354"/>
      <c r="CA190" s="100" t="str">
        <f t="shared" si="103"/>
        <v/>
      </c>
      <c r="CB190" s="100" t="str">
        <f t="shared" si="104"/>
        <v/>
      </c>
      <c r="CU190" s="102">
        <f t="shared" si="100"/>
        <v>0</v>
      </c>
      <c r="CV190" s="102">
        <f t="shared" si="101"/>
        <v>0</v>
      </c>
    </row>
    <row r="191" spans="1:100">
      <c r="A191" s="337" t="s">
        <v>173</v>
      </c>
      <c r="B191" s="365"/>
      <c r="C191" s="365"/>
      <c r="D191" s="366"/>
      <c r="E191" s="367"/>
      <c r="F191" s="368"/>
      <c r="G191" s="369"/>
      <c r="H191" s="365"/>
      <c r="I191" s="365"/>
      <c r="J191" s="48" t="str">
        <f t="shared" si="97"/>
        <v/>
      </c>
      <c r="K191" s="354"/>
      <c r="CA191" s="100" t="str">
        <f t="shared" si="103"/>
        <v/>
      </c>
      <c r="CB191" s="100" t="str">
        <f t="shared" si="104"/>
        <v/>
      </c>
      <c r="CU191" s="102">
        <f t="shared" si="100"/>
        <v>0</v>
      </c>
      <c r="CV191" s="102">
        <f t="shared" si="101"/>
        <v>0</v>
      </c>
    </row>
    <row r="192" spans="1:100">
      <c r="A192" s="337" t="s">
        <v>174</v>
      </c>
      <c r="B192" s="365"/>
      <c r="C192" s="365"/>
      <c r="D192" s="366"/>
      <c r="E192" s="367"/>
      <c r="F192" s="368"/>
      <c r="G192" s="369"/>
      <c r="H192" s="365"/>
      <c r="I192" s="365"/>
      <c r="J192" s="48" t="str">
        <f t="shared" si="97"/>
        <v/>
      </c>
      <c r="K192" s="354"/>
      <c r="CA192" s="100" t="str">
        <f t="shared" si="103"/>
        <v/>
      </c>
      <c r="CB192" s="100" t="str">
        <f t="shared" si="104"/>
        <v/>
      </c>
      <c r="CU192" s="102">
        <f t="shared" si="100"/>
        <v>0</v>
      </c>
      <c r="CV192" s="102">
        <f t="shared" si="101"/>
        <v>0</v>
      </c>
    </row>
    <row r="193" spans="1:100">
      <c r="A193" s="337" t="s">
        <v>175</v>
      </c>
      <c r="B193" s="365"/>
      <c r="C193" s="365"/>
      <c r="D193" s="366"/>
      <c r="E193" s="367"/>
      <c r="F193" s="368"/>
      <c r="G193" s="369"/>
      <c r="H193" s="365"/>
      <c r="I193" s="365"/>
      <c r="J193" s="48" t="str">
        <f t="shared" si="97"/>
        <v/>
      </c>
      <c r="K193" s="354"/>
      <c r="CA193" s="100" t="str">
        <f t="shared" si="103"/>
        <v/>
      </c>
      <c r="CB193" s="100" t="str">
        <f t="shared" si="104"/>
        <v/>
      </c>
      <c r="CU193" s="102">
        <f t="shared" si="100"/>
        <v>0</v>
      </c>
      <c r="CV193" s="102">
        <f t="shared" si="101"/>
        <v>0</v>
      </c>
    </row>
    <row r="194" spans="1:100">
      <c r="A194" s="337" t="s">
        <v>176</v>
      </c>
      <c r="B194" s="365"/>
      <c r="C194" s="365"/>
      <c r="D194" s="366"/>
      <c r="E194" s="367"/>
      <c r="F194" s="368"/>
      <c r="G194" s="369"/>
      <c r="H194" s="365"/>
      <c r="I194" s="365"/>
      <c r="J194" s="48" t="str">
        <f t="shared" si="97"/>
        <v/>
      </c>
      <c r="K194" s="354"/>
      <c r="CA194" s="100" t="str">
        <f t="shared" si="103"/>
        <v/>
      </c>
      <c r="CB194" s="100" t="str">
        <f t="shared" si="104"/>
        <v/>
      </c>
      <c r="CU194" s="102">
        <f t="shared" si="100"/>
        <v>0</v>
      </c>
      <c r="CV194" s="102">
        <f t="shared" si="101"/>
        <v>0</v>
      </c>
    </row>
    <row r="195" spans="1:100">
      <c r="A195" s="337" t="s">
        <v>177</v>
      </c>
      <c r="B195" s="365"/>
      <c r="C195" s="365"/>
      <c r="D195" s="366"/>
      <c r="E195" s="367"/>
      <c r="F195" s="368"/>
      <c r="G195" s="369"/>
      <c r="H195" s="365"/>
      <c r="I195" s="365"/>
      <c r="J195" s="48" t="str">
        <f t="shared" si="97"/>
        <v/>
      </c>
      <c r="K195" s="354"/>
      <c r="CA195" s="100" t="str">
        <f t="shared" si="103"/>
        <v/>
      </c>
      <c r="CB195" s="100" t="str">
        <f t="shared" si="104"/>
        <v/>
      </c>
      <c r="CU195" s="102">
        <f t="shared" si="100"/>
        <v>0</v>
      </c>
      <c r="CV195" s="102">
        <f t="shared" si="101"/>
        <v>0</v>
      </c>
    </row>
    <row r="196" spans="1:100">
      <c r="A196" s="337" t="s">
        <v>178</v>
      </c>
      <c r="B196" s="365"/>
      <c r="C196" s="365"/>
      <c r="D196" s="366"/>
      <c r="E196" s="367"/>
      <c r="F196" s="368"/>
      <c r="G196" s="369"/>
      <c r="H196" s="365"/>
      <c r="I196" s="365"/>
      <c r="J196" s="48" t="str">
        <f t="shared" si="97"/>
        <v/>
      </c>
      <c r="K196" s="354"/>
      <c r="CA196" s="100" t="str">
        <f t="shared" si="103"/>
        <v/>
      </c>
      <c r="CB196" s="100" t="str">
        <f t="shared" si="104"/>
        <v/>
      </c>
      <c r="CU196" s="102">
        <f t="shared" si="100"/>
        <v>0</v>
      </c>
      <c r="CV196" s="102">
        <f t="shared" si="101"/>
        <v>0</v>
      </c>
    </row>
    <row r="197" spans="1:100">
      <c r="A197" s="337" t="s">
        <v>179</v>
      </c>
      <c r="B197" s="365"/>
      <c r="C197" s="365"/>
      <c r="D197" s="366"/>
      <c r="E197" s="367"/>
      <c r="F197" s="368"/>
      <c r="G197" s="369"/>
      <c r="H197" s="365"/>
      <c r="I197" s="365"/>
      <c r="J197" s="48" t="str">
        <f t="shared" si="97"/>
        <v/>
      </c>
      <c r="K197" s="354"/>
      <c r="CA197" s="100" t="str">
        <f t="shared" si="103"/>
        <v/>
      </c>
      <c r="CB197" s="100" t="str">
        <f t="shared" si="104"/>
        <v/>
      </c>
      <c r="CU197" s="102">
        <f t="shared" si="100"/>
        <v>0</v>
      </c>
      <c r="CV197" s="102">
        <f t="shared" si="101"/>
        <v>0</v>
      </c>
    </row>
    <row r="198" spans="1:100">
      <c r="A198" s="337" t="s">
        <v>180</v>
      </c>
      <c r="B198" s="365"/>
      <c r="C198" s="365"/>
      <c r="D198" s="366"/>
      <c r="E198" s="367"/>
      <c r="F198" s="368"/>
      <c r="G198" s="369"/>
      <c r="H198" s="365"/>
      <c r="I198" s="365"/>
      <c r="J198" s="48" t="str">
        <f t="shared" si="97"/>
        <v/>
      </c>
      <c r="K198" s="354"/>
      <c r="CA198" s="100" t="str">
        <f t="shared" si="103"/>
        <v/>
      </c>
      <c r="CB198" s="100" t="str">
        <f t="shared" si="104"/>
        <v/>
      </c>
      <c r="CU198" s="102">
        <f t="shared" si="100"/>
        <v>0</v>
      </c>
      <c r="CV198" s="102">
        <f t="shared" si="101"/>
        <v>0</v>
      </c>
    </row>
    <row r="199" spans="1:100">
      <c r="A199" s="339" t="s">
        <v>71</v>
      </c>
      <c r="B199" s="370"/>
      <c r="C199" s="370"/>
      <c r="D199" s="371"/>
      <c r="E199" s="372"/>
      <c r="F199" s="373"/>
      <c r="G199" s="374"/>
      <c r="H199" s="370"/>
      <c r="I199" s="370"/>
      <c r="J199" s="48" t="str">
        <f t="shared" si="97"/>
        <v/>
      </c>
      <c r="K199" s="354"/>
      <c r="CA199" s="100" t="str">
        <f t="shared" si="103"/>
        <v/>
      </c>
      <c r="CB199" s="100" t="str">
        <f t="shared" si="104"/>
        <v/>
      </c>
      <c r="CU199" s="102">
        <f t="shared" si="100"/>
        <v>0</v>
      </c>
      <c r="CV199" s="102">
        <f t="shared" si="101"/>
        <v>0</v>
      </c>
    </row>
    <row r="200" spans="1:100">
      <c r="A200" s="346" t="s">
        <v>91</v>
      </c>
      <c r="B200" s="347">
        <f>SUM(B189:B199)</f>
        <v>0</v>
      </c>
      <c r="C200" s="347">
        <f t="shared" si="96"/>
        <v>0</v>
      </c>
      <c r="D200" s="348">
        <f t="shared" si="96"/>
        <v>0</v>
      </c>
      <c r="E200" s="350">
        <f t="shared" si="96"/>
        <v>0</v>
      </c>
      <c r="F200" s="351">
        <f t="shared" si="96"/>
        <v>0</v>
      </c>
      <c r="G200" s="375">
        <f>SUM(G189:G199)</f>
        <v>0</v>
      </c>
      <c r="H200" s="349">
        <f t="shared" si="96"/>
        <v>0</v>
      </c>
      <c r="I200" s="349">
        <f t="shared" si="102"/>
        <v>0</v>
      </c>
      <c r="K200" s="354"/>
    </row>
    <row r="256" s="48" customFormat="1" ht="17.25" customHeight="1"/>
    <row r="257" spans="1:2" ht="12" customHeight="1"/>
    <row r="258" spans="1:2" ht="25.5" hidden="1" customHeight="1">
      <c r="A258" s="377">
        <f>SUM(C11:C32,C36:C39,C44:C66,C70:C73,F70:F73,B78:B83,B88:B93,B98:B110,B117:B129,B136:B148,B155:B165,B172:B182,B189:B199)</f>
        <v>0</v>
      </c>
      <c r="B258" s="377">
        <f>SUM(CU11:DG199)</f>
        <v>0</v>
      </c>
    </row>
  </sheetData>
  <sheetProtection algorithmName="SHA-512" hashValue="ujf7pCoO0LNQzkfiszm5NQiMCyJ5VnGb/XpEehnukNp6uydMHVHoQVZ97n41mMcP5uNkgvKd7fnVYKy8asx5sw==" saltValue="S9oO8uRmtdIoTZyU1RSIfA==" spinCount="100000" sheet="1" objects="1" scenarios="1"/>
  <mergeCells count="168">
    <mergeCell ref="A94:N94"/>
    <mergeCell ref="A113:L113"/>
    <mergeCell ref="A185:H185"/>
    <mergeCell ref="A168:H168"/>
    <mergeCell ref="A133:A135"/>
    <mergeCell ref="A186:A188"/>
    <mergeCell ref="B186:B188"/>
    <mergeCell ref="C186:F186"/>
    <mergeCell ref="G186:G188"/>
    <mergeCell ref="H186:H188"/>
    <mergeCell ref="C187:C188"/>
    <mergeCell ref="D187:F187"/>
    <mergeCell ref="A169:A171"/>
    <mergeCell ref="B169:B171"/>
    <mergeCell ref="C169:F169"/>
    <mergeCell ref="G169:G171"/>
    <mergeCell ref="H169:H171"/>
    <mergeCell ref="C170:C171"/>
    <mergeCell ref="D170:F170"/>
    <mergeCell ref="H152:H154"/>
    <mergeCell ref="I152:L152"/>
    <mergeCell ref="C134:C135"/>
    <mergeCell ref="D134:E134"/>
    <mergeCell ref="F134:K134"/>
    <mergeCell ref="A152:A154"/>
    <mergeCell ref="B152:B154"/>
    <mergeCell ref="A33:AH33"/>
    <mergeCell ref="A40:AM40"/>
    <mergeCell ref="A67:L67"/>
    <mergeCell ref="A75:M75"/>
    <mergeCell ref="A84:AF84"/>
    <mergeCell ref="M152:M154"/>
    <mergeCell ref="C153:C154"/>
    <mergeCell ref="D153:F153"/>
    <mergeCell ref="I153:I154"/>
    <mergeCell ref="J153:L153"/>
    <mergeCell ref="A151:M151"/>
    <mergeCell ref="A114:A116"/>
    <mergeCell ref="B114:K114"/>
    <mergeCell ref="L114:L116"/>
    <mergeCell ref="B115:B116"/>
    <mergeCell ref="C115:C116"/>
    <mergeCell ref="D115:E115"/>
    <mergeCell ref="F115:K115"/>
    <mergeCell ref="A132:K132"/>
    <mergeCell ref="B133:K133"/>
    <mergeCell ref="L133:L135"/>
    <mergeCell ref="B134:B135"/>
    <mergeCell ref="C152:F152"/>
    <mergeCell ref="G152:G154"/>
    <mergeCell ref="AP41:AP43"/>
    <mergeCell ref="A95:A97"/>
    <mergeCell ref="B95:K95"/>
    <mergeCell ref="L95:L97"/>
    <mergeCell ref="B96:B97"/>
    <mergeCell ref="C96:C97"/>
    <mergeCell ref="D96:E96"/>
    <mergeCell ref="F96:K96"/>
    <mergeCell ref="M76:M77"/>
    <mergeCell ref="AH85:AH87"/>
    <mergeCell ref="E86:F86"/>
    <mergeCell ref="G86:H86"/>
    <mergeCell ref="I86:J86"/>
    <mergeCell ref="K86:L86"/>
    <mergeCell ref="M86:N86"/>
    <mergeCell ref="O86:P86"/>
    <mergeCell ref="Q86:R86"/>
    <mergeCell ref="S86:T86"/>
    <mergeCell ref="Y86:Z86"/>
    <mergeCell ref="AA86:AB86"/>
    <mergeCell ref="AC86:AD86"/>
    <mergeCell ref="AE86:AF86"/>
    <mergeCell ref="AG85:AG87"/>
    <mergeCell ref="E76:F76"/>
    <mergeCell ref="G76:I76"/>
    <mergeCell ref="A85:A87"/>
    <mergeCell ref="B85:D86"/>
    <mergeCell ref="E85:AF85"/>
    <mergeCell ref="U86:V86"/>
    <mergeCell ref="W86:X86"/>
    <mergeCell ref="A76:A77"/>
    <mergeCell ref="B76:B77"/>
    <mergeCell ref="K76:K77"/>
    <mergeCell ref="L76:L77"/>
    <mergeCell ref="A70:B70"/>
    <mergeCell ref="A71:B71"/>
    <mergeCell ref="A72:B72"/>
    <mergeCell ref="A73:B73"/>
    <mergeCell ref="A74:B74"/>
    <mergeCell ref="C76:D76"/>
    <mergeCell ref="J76:J77"/>
    <mergeCell ref="C68:E68"/>
    <mergeCell ref="F68:H68"/>
    <mergeCell ref="K68:K69"/>
    <mergeCell ref="L68:L69"/>
    <mergeCell ref="I68:I69"/>
    <mergeCell ref="J68:J69"/>
    <mergeCell ref="A44:A47"/>
    <mergeCell ref="A48:A50"/>
    <mergeCell ref="A51:A53"/>
    <mergeCell ref="A54:A56"/>
    <mergeCell ref="A57:A62"/>
    <mergeCell ref="A63:A66"/>
    <mergeCell ref="A68:B69"/>
    <mergeCell ref="AO41:AO43"/>
    <mergeCell ref="F42:G42"/>
    <mergeCell ref="H42:I42"/>
    <mergeCell ref="J42:K42"/>
    <mergeCell ref="L42:M42"/>
    <mergeCell ref="N42:O42"/>
    <mergeCell ref="P42:Q42"/>
    <mergeCell ref="R42:S42"/>
    <mergeCell ref="T42:U42"/>
    <mergeCell ref="V42:W42"/>
    <mergeCell ref="AL42:AM42"/>
    <mergeCell ref="AH42:AI42"/>
    <mergeCell ref="AJ42:AK42"/>
    <mergeCell ref="A41:A43"/>
    <mergeCell ref="B41:B43"/>
    <mergeCell ref="C41:E42"/>
    <mergeCell ref="F41:AM41"/>
    <mergeCell ref="AN41:AN43"/>
    <mergeCell ref="X42:Y42"/>
    <mergeCell ref="A34:A35"/>
    <mergeCell ref="B34:B35"/>
    <mergeCell ref="C34:E34"/>
    <mergeCell ref="F34:AH34"/>
    <mergeCell ref="AI34:AJ34"/>
    <mergeCell ref="AK34:AK35"/>
    <mergeCell ref="AL34:AL35"/>
    <mergeCell ref="AM34:AM35"/>
    <mergeCell ref="Z42:AA42"/>
    <mergeCell ref="AB42:AC42"/>
    <mergeCell ref="AD42:AE42"/>
    <mergeCell ref="AF42:AG42"/>
    <mergeCell ref="X9:X10"/>
    <mergeCell ref="Y9:Y10"/>
    <mergeCell ref="Z9:Z10"/>
    <mergeCell ref="U9:V9"/>
    <mergeCell ref="A21:A22"/>
    <mergeCell ref="A23:A24"/>
    <mergeCell ref="AB9:AB10"/>
    <mergeCell ref="AN34:AN35"/>
    <mergeCell ref="A36:A39"/>
    <mergeCell ref="N152:N154"/>
    <mergeCell ref="I169:I171"/>
    <mergeCell ref="I186:I188"/>
    <mergeCell ref="A6:P6"/>
    <mergeCell ref="A9:A10"/>
    <mergeCell ref="B9:B10"/>
    <mergeCell ref="C9:C10"/>
    <mergeCell ref="D9:T9"/>
    <mergeCell ref="A19:A20"/>
    <mergeCell ref="A25:A26"/>
    <mergeCell ref="A27:A28"/>
    <mergeCell ref="A29:A30"/>
    <mergeCell ref="A8:AH8"/>
    <mergeCell ref="AD9:AD10"/>
    <mergeCell ref="AE9:AG9"/>
    <mergeCell ref="AH9:AH10"/>
    <mergeCell ref="A31:A32"/>
    <mergeCell ref="A11:A12"/>
    <mergeCell ref="A13:A14"/>
    <mergeCell ref="A15:A16"/>
    <mergeCell ref="A17:A18"/>
    <mergeCell ref="AA9:AA10"/>
    <mergeCell ref="AC9:AC10"/>
    <mergeCell ref="W9:W10"/>
  </mergeCells>
  <dataValidations count="6">
    <dataValidation allowBlank="1" showInputMessage="1" showErrorMessage="1" errorTitle="Error de ingreso" error="Debe ingresar sólo números enteros positivos." sqref="C115:K116 B95:B112 C130:K131 L114 C111:L112 L95 L130:L133 B132:K132 I153:L154 C149:L150 I166:N166 M152:N152 I167:L167 B152 C134:K135 C153:F154 G152:H152 B133:B135 C187:F188 A151:A200 G169:I169 C170:F171 A94:A135 G186:I186 B114:B131 A136:B150 B200:I200 B169:C169 B183:I184 B166:H167 C96:K97 J169:K184 B186:C186 J186:K200" xr:uid="{00000000-0002-0000-0100-000000000000}"/>
    <dataValidation type="whole" operator="greaterThanOrEqual" allowBlank="1" showInputMessage="1" showErrorMessage="1" errorTitle="Error" error="Favor ingresar sólo números." sqref="D36:AN39 D70:L73 E88:AH93" xr:uid="{00BB000C-0044-427B-AC85-005D00D400EE}">
      <formula1>0</formula1>
    </dataValidation>
    <dataValidation type="whole" operator="greaterThanOrEqual" allowBlank="1" showInputMessage="1" showErrorMessage="1" sqref="C117:L129 C98:L110 C136:L148" xr:uid="{00C90029-0077-4CBA-970E-002500BF0049}">
      <formula1>0</formula1>
    </dataValidation>
    <dataValidation type="whole" allowBlank="1" showInputMessage="1" showErrorMessage="1" sqref="C78:M83 B83" xr:uid="{00EE00DF-005C-4E53-BAD4-000F00C60072}">
      <formula1>0</formula1>
      <formula2>9.99999999999999E+36</formula2>
    </dataValidation>
    <dataValidation type="whole" allowBlank="1" showInputMessage="1" showErrorMessage="1" sqref="D11:AH32" xr:uid="{00F200C1-0045-4CAD-8638-007C009D00AC}">
      <formula1>0</formula1>
      <formula2>9.99999999999999E+34</formula2>
    </dataValidation>
    <dataValidation type="whole" allowBlank="1" showInputMessage="1" showErrorMessage="1" sqref="B155:N165 B172:I182 B189:I199 F44:AP66" xr:uid="{00D000A7-0013-4D52-A788-00D0004E001F}">
      <formula1>0</formula1>
      <formula2>9.99999999999999E+39</formula2>
    </dataValidation>
  </dataValidations>
  <pageMargins left="0.7" right="0.7" top="0.75" bottom="0.75" header="0.3" footer="0.3"/>
  <pageSetup paperSize="9" orientation="portrait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:CL51"/>
  <sheetViews>
    <sheetView showGridLines="0" workbookViewId="0"/>
  </sheetViews>
  <sheetFormatPr baseColWidth="10" defaultColWidth="11.42578125" defaultRowHeight="15"/>
  <cols>
    <col min="1" max="1" width="44.140625" customWidth="1"/>
    <col min="2" max="2" width="13.42578125" customWidth="1"/>
    <col min="78" max="78" width="12" hidden="1" customWidth="1"/>
    <col min="79" max="90" width="11.42578125" hidden="1" customWidth="1"/>
    <col min="91" max="130" width="11.42578125" customWidth="1"/>
  </cols>
  <sheetData>
    <row r="1" spans="1:85">
      <c r="A1" s="378" t="s">
        <v>37</v>
      </c>
    </row>
    <row r="2" spans="1:85">
      <c r="A2" s="378" t="str">
        <f>CONCATENATE("COMUNA: ",NOMBRE!B2, " (",NOMBRE!C2,NOMBRE!D2,NOMBRE!E2,NOMBRE!F2,NOMBRE!G2,")")</f>
        <v>COMUNA: MAIPU (13119)</v>
      </c>
    </row>
    <row r="3" spans="1:85">
      <c r="A3" s="378" t="str">
        <f>CONCATENATE("ESTABLECIMIENTO/ESTRATEGIA: ", NOMBRE!B3, " (",NOMBRE!C3,NOMBRE!D3,NOMBRE!E3,NOMBRE!F3,NOMBRE!G3,NOMBRE!H3,")")</f>
        <v>ESTABLECIMIENTO/ESTRATEGIA: CESFAM DR. CARLOS GODOY (111380)</v>
      </c>
    </row>
    <row r="4" spans="1:85">
      <c r="A4" s="378" t="str">
        <f>CONCATENATE("MES: ",NOMBRE!B6, " (",NOMBRE!C6,NOMBRE!D6,")")</f>
        <v>MES: MARZO (03)</v>
      </c>
    </row>
    <row r="5" spans="1:85">
      <c r="A5" s="378" t="str">
        <f>CONCATENATE("AÑO: ",NOMBRE!B7)</f>
        <v>AÑO: 2026</v>
      </c>
    </row>
    <row r="6" spans="1:85" s="379" customFormat="1" ht="19.5">
      <c r="A6" s="5704" t="s">
        <v>207</v>
      </c>
      <c r="B6" s="5704"/>
      <c r="C6" s="5704"/>
      <c r="D6" s="5704"/>
      <c r="E6" s="5704"/>
      <c r="F6" s="5704"/>
      <c r="G6" s="5704"/>
      <c r="H6" s="5704"/>
      <c r="I6" s="5704"/>
      <c r="J6" s="5704"/>
      <c r="K6" s="5704"/>
      <c r="L6" s="5704"/>
      <c r="M6" s="5704"/>
      <c r="N6" s="5704"/>
      <c r="O6" s="5704"/>
      <c r="P6" s="5704"/>
      <c r="Q6" s="5704"/>
      <c r="R6" s="5704"/>
      <c r="S6" s="5704"/>
      <c r="T6" s="5704"/>
      <c r="U6" s="5704"/>
      <c r="V6" s="5704"/>
      <c r="W6" s="5704"/>
      <c r="X6" s="5704"/>
      <c r="Y6" s="5704"/>
      <c r="Z6" s="5704"/>
      <c r="AA6" s="5704"/>
      <c r="AB6" s="5704"/>
      <c r="AC6" s="5704"/>
      <c r="AD6" s="5704"/>
      <c r="AE6" s="381"/>
      <c r="AF6" s="382"/>
      <c r="AG6" s="383"/>
      <c r="AH6" s="383"/>
      <c r="AI6" s="383"/>
      <c r="AJ6" s="383"/>
      <c r="AK6" s="383"/>
      <c r="AL6" s="383"/>
      <c r="AM6" s="383"/>
      <c r="AN6" s="383"/>
      <c r="AO6" s="383"/>
      <c r="AP6" s="383"/>
      <c r="AQ6" s="383"/>
      <c r="AR6" s="383"/>
      <c r="AS6" s="383"/>
      <c r="AT6" s="383"/>
      <c r="AU6" s="383"/>
      <c r="AV6" s="383"/>
      <c r="AW6" s="383"/>
      <c r="AX6" s="383"/>
      <c r="AY6" s="383"/>
      <c r="AZ6" s="383"/>
      <c r="BA6" s="383"/>
      <c r="BB6" s="383"/>
      <c r="BC6" s="383"/>
      <c r="BD6" s="383"/>
      <c r="BE6" s="383"/>
      <c r="BF6" s="383"/>
      <c r="BG6" s="383"/>
      <c r="BH6" s="383"/>
      <c r="BI6" s="383"/>
      <c r="BJ6" s="383"/>
      <c r="BK6" s="383"/>
      <c r="BL6" s="383"/>
      <c r="BM6" s="383"/>
      <c r="BN6" s="383"/>
      <c r="BO6" s="383"/>
      <c r="BP6" s="383"/>
      <c r="BQ6" s="383"/>
      <c r="BR6" s="383"/>
      <c r="BS6" s="383"/>
      <c r="BT6" s="383"/>
      <c r="BU6" s="383"/>
      <c r="BV6" s="383"/>
      <c r="BW6" s="383"/>
      <c r="BX6" s="383"/>
      <c r="BY6" s="383"/>
      <c r="BZ6" s="383"/>
      <c r="CA6" s="384"/>
      <c r="CB6" s="384"/>
      <c r="CC6" s="384"/>
      <c r="CD6" s="384"/>
      <c r="CE6" s="384"/>
      <c r="CF6" s="384"/>
      <c r="CG6" s="384"/>
    </row>
    <row r="8" spans="1:85" s="385" customFormat="1" ht="18" customHeight="1">
      <c r="A8" s="5713" t="s">
        <v>208</v>
      </c>
      <c r="B8" s="5713"/>
      <c r="C8" s="5713"/>
      <c r="D8" s="5713"/>
      <c r="E8" s="5713"/>
      <c r="F8" s="5713"/>
      <c r="G8" s="5713"/>
      <c r="H8" s="5713"/>
      <c r="I8" s="5713"/>
      <c r="J8" s="5713"/>
      <c r="K8" s="5713"/>
      <c r="L8" s="5713"/>
      <c r="M8" s="5713"/>
      <c r="N8" s="5713"/>
      <c r="O8" s="5713"/>
      <c r="P8" s="5713"/>
      <c r="Q8" s="5713"/>
      <c r="R8" s="5713"/>
      <c r="S8" s="5713"/>
      <c r="T8" s="5713"/>
      <c r="U8" s="5713"/>
      <c r="V8" s="5713"/>
      <c r="W8" s="5713"/>
      <c r="X8" s="5713"/>
      <c r="Y8" s="5713"/>
      <c r="Z8" s="5713"/>
      <c r="AA8" s="5713"/>
      <c r="AB8" s="5713"/>
      <c r="AC8" s="5713"/>
      <c r="AD8" s="5713"/>
      <c r="AE8" s="5713"/>
      <c r="AF8" s="5713"/>
    </row>
    <row r="9" spans="1:85" ht="15" customHeight="1">
      <c r="A9" s="5718" t="s">
        <v>41</v>
      </c>
      <c r="B9" s="5707" t="s">
        <v>91</v>
      </c>
      <c r="C9" s="5708"/>
      <c r="D9" s="5709"/>
      <c r="E9" s="5710" t="s">
        <v>58</v>
      </c>
      <c r="F9" s="5711"/>
      <c r="G9" s="5710" t="s">
        <v>59</v>
      </c>
      <c r="H9" s="5712"/>
      <c r="I9" s="5710" t="s">
        <v>60</v>
      </c>
      <c r="J9" s="5712"/>
      <c r="K9" s="5710" t="s">
        <v>61</v>
      </c>
      <c r="L9" s="5712"/>
      <c r="M9" s="5710" t="s">
        <v>62</v>
      </c>
      <c r="N9" s="5712"/>
      <c r="O9" s="5710" t="s">
        <v>63</v>
      </c>
      <c r="P9" s="5712"/>
      <c r="Q9" s="5710" t="s">
        <v>64</v>
      </c>
      <c r="R9" s="5712"/>
      <c r="S9" s="5710" t="s">
        <v>65</v>
      </c>
      <c r="T9" s="5712"/>
      <c r="U9" s="5710" t="s">
        <v>66</v>
      </c>
      <c r="V9" s="5712"/>
      <c r="W9" s="5710" t="s">
        <v>67</v>
      </c>
      <c r="X9" s="5712"/>
      <c r="Y9" s="5710" t="s">
        <v>68</v>
      </c>
      <c r="Z9" s="5712"/>
      <c r="AA9" s="5710" t="s">
        <v>69</v>
      </c>
      <c r="AB9" s="5712"/>
      <c r="AC9" s="5710" t="s">
        <v>70</v>
      </c>
      <c r="AD9" s="5712"/>
      <c r="AE9" s="5710" t="s">
        <v>71</v>
      </c>
      <c r="AF9" s="5716"/>
      <c r="AG9" s="5714" t="s">
        <v>50</v>
      </c>
      <c r="AH9" s="5718" t="s">
        <v>51</v>
      </c>
    </row>
    <row r="10" spans="1:85" ht="15" customHeight="1">
      <c r="A10" s="5719"/>
      <c r="B10" s="396" t="s">
        <v>93</v>
      </c>
      <c r="C10" s="397" t="s">
        <v>72</v>
      </c>
      <c r="D10" s="390" t="s">
        <v>73</v>
      </c>
      <c r="E10" s="397" t="s">
        <v>72</v>
      </c>
      <c r="F10" s="398" t="s">
        <v>73</v>
      </c>
      <c r="G10" s="396" t="s">
        <v>72</v>
      </c>
      <c r="H10" s="398" t="s">
        <v>73</v>
      </c>
      <c r="I10" s="396" t="s">
        <v>72</v>
      </c>
      <c r="J10" s="398" t="s">
        <v>73</v>
      </c>
      <c r="K10" s="396" t="s">
        <v>72</v>
      </c>
      <c r="L10" s="398" t="s">
        <v>73</v>
      </c>
      <c r="M10" s="396" t="s">
        <v>72</v>
      </c>
      <c r="N10" s="398" t="s">
        <v>73</v>
      </c>
      <c r="O10" s="396" t="s">
        <v>72</v>
      </c>
      <c r="P10" s="398" t="s">
        <v>73</v>
      </c>
      <c r="Q10" s="396" t="s">
        <v>72</v>
      </c>
      <c r="R10" s="398" t="s">
        <v>73</v>
      </c>
      <c r="S10" s="396" t="s">
        <v>72</v>
      </c>
      <c r="T10" s="398" t="s">
        <v>73</v>
      </c>
      <c r="U10" s="396" t="s">
        <v>72</v>
      </c>
      <c r="V10" s="398" t="s">
        <v>73</v>
      </c>
      <c r="W10" s="396" t="s">
        <v>72</v>
      </c>
      <c r="X10" s="398" t="s">
        <v>73</v>
      </c>
      <c r="Y10" s="396" t="s">
        <v>72</v>
      </c>
      <c r="Z10" s="398" t="s">
        <v>73</v>
      </c>
      <c r="AA10" s="396" t="s">
        <v>72</v>
      </c>
      <c r="AB10" s="398" t="s">
        <v>73</v>
      </c>
      <c r="AC10" s="396" t="s">
        <v>72</v>
      </c>
      <c r="AD10" s="398" t="s">
        <v>73</v>
      </c>
      <c r="AE10" s="396" t="s">
        <v>72</v>
      </c>
      <c r="AF10" s="399" t="s">
        <v>73</v>
      </c>
      <c r="AG10" s="5715"/>
      <c r="AH10" s="5719"/>
    </row>
    <row r="11" spans="1:85" ht="15" customHeight="1">
      <c r="A11" s="400" t="s">
        <v>209</v>
      </c>
      <c r="B11" s="401">
        <f>SUM(B12:B17)</f>
        <v>0</v>
      </c>
      <c r="C11" s="402">
        <f>SUM(C12:C17)</f>
        <v>0</v>
      </c>
      <c r="D11" s="392">
        <f>SUM(D12:D17)</f>
        <v>0</v>
      </c>
      <c r="E11" s="402">
        <f>SUM(E12:E17)</f>
        <v>0</v>
      </c>
      <c r="F11" s="403">
        <f t="shared" ref="F11:AF11" si="0">SUM(F12:F17)</f>
        <v>0</v>
      </c>
      <c r="G11" s="402">
        <f t="shared" si="0"/>
        <v>0</v>
      </c>
      <c r="H11" s="404">
        <f t="shared" si="0"/>
        <v>0</v>
      </c>
      <c r="I11" s="401">
        <f t="shared" si="0"/>
        <v>0</v>
      </c>
      <c r="J11" s="404">
        <f t="shared" si="0"/>
        <v>0</v>
      </c>
      <c r="K11" s="401">
        <f t="shared" si="0"/>
        <v>0</v>
      </c>
      <c r="L11" s="404">
        <f t="shared" si="0"/>
        <v>0</v>
      </c>
      <c r="M11" s="401">
        <f t="shared" si="0"/>
        <v>0</v>
      </c>
      <c r="N11" s="404">
        <f t="shared" si="0"/>
        <v>0</v>
      </c>
      <c r="O11" s="401">
        <f t="shared" si="0"/>
        <v>0</v>
      </c>
      <c r="P11" s="404">
        <f t="shared" si="0"/>
        <v>0</v>
      </c>
      <c r="Q11" s="401">
        <f t="shared" si="0"/>
        <v>0</v>
      </c>
      <c r="R11" s="404">
        <f t="shared" si="0"/>
        <v>0</v>
      </c>
      <c r="S11" s="401">
        <f t="shared" si="0"/>
        <v>0</v>
      </c>
      <c r="T11" s="404">
        <f t="shared" si="0"/>
        <v>0</v>
      </c>
      <c r="U11" s="401">
        <f t="shared" si="0"/>
        <v>0</v>
      </c>
      <c r="V11" s="404">
        <f t="shared" si="0"/>
        <v>0</v>
      </c>
      <c r="W11" s="401">
        <f t="shared" si="0"/>
        <v>0</v>
      </c>
      <c r="X11" s="404">
        <f t="shared" si="0"/>
        <v>0</v>
      </c>
      <c r="Y11" s="401">
        <f t="shared" si="0"/>
        <v>0</v>
      </c>
      <c r="Z11" s="404">
        <f t="shared" si="0"/>
        <v>0</v>
      </c>
      <c r="AA11" s="401">
        <f t="shared" si="0"/>
        <v>0</v>
      </c>
      <c r="AB11" s="404">
        <f t="shared" si="0"/>
        <v>0</v>
      </c>
      <c r="AC11" s="401">
        <f t="shared" si="0"/>
        <v>0</v>
      </c>
      <c r="AD11" s="404">
        <f t="shared" si="0"/>
        <v>0</v>
      </c>
      <c r="AE11" s="401">
        <f t="shared" si="0"/>
        <v>0</v>
      </c>
      <c r="AF11" s="402">
        <f t="shared" si="0"/>
        <v>0</v>
      </c>
      <c r="AG11" s="405">
        <f>SUM(AG12:AG17)</f>
        <v>0</v>
      </c>
      <c r="AH11" s="406">
        <f>SUM(AH12:AH17)</f>
        <v>0</v>
      </c>
    </row>
    <row r="12" spans="1:85" ht="15" customHeight="1">
      <c r="A12" s="407" t="s">
        <v>78</v>
      </c>
      <c r="B12" s="408">
        <f t="shared" ref="B12:B17" si="1">SUM(C12:D12)</f>
        <v>0</v>
      </c>
      <c r="C12" s="409">
        <f t="shared" ref="C12:D17" si="2">SUM(E12+G12+I12+K12+M12+O12+Q12+S12+U12+W12+Y12+AA12+AC12+AE12)</f>
        <v>0</v>
      </c>
      <c r="D12" s="410">
        <f t="shared" ref="D12:D13" si="3">SUM(F12+H12+J12+L12+N12+P12+R12+T12+V12+X12+Z12+AB12+AD12+AF12)</f>
        <v>0</v>
      </c>
      <c r="E12" s="411"/>
      <c r="F12" s="412"/>
      <c r="G12" s="413"/>
      <c r="H12" s="412"/>
      <c r="I12" s="413"/>
      <c r="J12" s="412"/>
      <c r="K12" s="413"/>
      <c r="L12" s="412"/>
      <c r="M12" s="413"/>
      <c r="N12" s="412"/>
      <c r="O12" s="413"/>
      <c r="P12" s="412"/>
      <c r="Q12" s="413"/>
      <c r="R12" s="412"/>
      <c r="S12" s="413"/>
      <c r="T12" s="412"/>
      <c r="U12" s="413"/>
      <c r="V12" s="412"/>
      <c r="W12" s="413"/>
      <c r="X12" s="412"/>
      <c r="Y12" s="413"/>
      <c r="Z12" s="412"/>
      <c r="AA12" s="413"/>
      <c r="AB12" s="412"/>
      <c r="AC12" s="413"/>
      <c r="AD12" s="412"/>
      <c r="AE12" s="413"/>
      <c r="AF12" s="414"/>
      <c r="AG12" s="415"/>
      <c r="AH12" s="416"/>
      <c r="AI12" s="417" t="str">
        <f t="shared" ref="AI12:AI17" si="4">CA12&amp;CB12</f>
        <v/>
      </c>
      <c r="CA12" s="418" t="str">
        <f t="shared" ref="CA12:CA17" si="5">IF(AND($B12&lt;&gt;0,AG12=""),"* No olvide ingresar la columna "&amp;AG$9&amp;""&amp;". Digite CERO si no tiene. ",IF(AG12&gt;$B12,"* El Número de Pueblos Originarios no puede superar el Total Ambos Sexos. ",""))</f>
        <v/>
      </c>
      <c r="CB12" s="418" t="str">
        <f t="shared" ref="CB12:CB17" si="6">IF(AND($B12&lt;&gt;0,AH12=""),"* No olvide ingresar la columna "&amp;AH$9&amp;""&amp;". Digite CERO si no tiene.  ",IF(AH12&gt;$B12,"* El Número de Migrantes no puede superar el Total Ambos Sexos. ",""))</f>
        <v/>
      </c>
      <c r="CF12" s="419">
        <f>IF(AND($B12&lt;&gt;0,AG12=""),1,IF(AG12&gt;$B12,1,0))</f>
        <v>0</v>
      </c>
      <c r="CG12" s="419">
        <f t="shared" ref="CF12:CG17" si="7">IF(AND($B12&lt;&gt;0,AH12=""),1,IF(AH12&gt;$B12,1,0))</f>
        <v>0</v>
      </c>
    </row>
    <row r="13" spans="1:85" ht="15" customHeight="1">
      <c r="A13" s="420" t="s">
        <v>112</v>
      </c>
      <c r="B13" s="408">
        <f t="shared" si="1"/>
        <v>0</v>
      </c>
      <c r="C13" s="421">
        <f t="shared" si="2"/>
        <v>0</v>
      </c>
      <c r="D13" s="422">
        <f t="shared" si="3"/>
        <v>0</v>
      </c>
      <c r="E13" s="423"/>
      <c r="F13" s="424"/>
      <c r="G13" s="425"/>
      <c r="H13" s="424"/>
      <c r="I13" s="425"/>
      <c r="J13" s="424"/>
      <c r="K13" s="425"/>
      <c r="L13" s="424"/>
      <c r="M13" s="425"/>
      <c r="N13" s="424"/>
      <c r="O13" s="425"/>
      <c r="P13" s="424"/>
      <c r="Q13" s="425"/>
      <c r="R13" s="424"/>
      <c r="S13" s="425"/>
      <c r="T13" s="424"/>
      <c r="U13" s="425"/>
      <c r="V13" s="424"/>
      <c r="W13" s="425"/>
      <c r="X13" s="424"/>
      <c r="Y13" s="425"/>
      <c r="Z13" s="424"/>
      <c r="AA13" s="425"/>
      <c r="AB13" s="424"/>
      <c r="AC13" s="425"/>
      <c r="AD13" s="424"/>
      <c r="AE13" s="425"/>
      <c r="AF13" s="426"/>
      <c r="AG13" s="415"/>
      <c r="AH13" s="416"/>
      <c r="AI13" s="417" t="str">
        <f t="shared" si="4"/>
        <v/>
      </c>
      <c r="CA13" s="418" t="str">
        <f t="shared" si="5"/>
        <v/>
      </c>
      <c r="CB13" s="418" t="str">
        <f t="shared" si="6"/>
        <v/>
      </c>
      <c r="CF13" s="419">
        <f t="shared" si="7"/>
        <v>0</v>
      </c>
      <c r="CG13" s="419">
        <f t="shared" si="7"/>
        <v>0</v>
      </c>
    </row>
    <row r="14" spans="1:85" ht="15" customHeight="1">
      <c r="A14" s="420" t="s">
        <v>79</v>
      </c>
      <c r="B14" s="408">
        <f t="shared" si="1"/>
        <v>0</v>
      </c>
      <c r="C14" s="421">
        <f t="shared" si="2"/>
        <v>0</v>
      </c>
      <c r="D14" s="422">
        <f t="shared" si="2"/>
        <v>0</v>
      </c>
      <c r="E14" s="411"/>
      <c r="F14" s="412"/>
      <c r="G14" s="413"/>
      <c r="H14" s="412"/>
      <c r="I14" s="413"/>
      <c r="J14" s="412"/>
      <c r="K14" s="413"/>
      <c r="L14" s="412"/>
      <c r="M14" s="413"/>
      <c r="N14" s="412"/>
      <c r="O14" s="413"/>
      <c r="P14" s="412"/>
      <c r="Q14" s="413"/>
      <c r="R14" s="412"/>
      <c r="S14" s="413"/>
      <c r="T14" s="412"/>
      <c r="U14" s="413"/>
      <c r="V14" s="412"/>
      <c r="W14" s="413"/>
      <c r="X14" s="412"/>
      <c r="Y14" s="413"/>
      <c r="Z14" s="412"/>
      <c r="AA14" s="413"/>
      <c r="AB14" s="412"/>
      <c r="AC14" s="413"/>
      <c r="AD14" s="412"/>
      <c r="AE14" s="413"/>
      <c r="AF14" s="414"/>
      <c r="AG14" s="415"/>
      <c r="AH14" s="416"/>
      <c r="AI14" s="417" t="str">
        <f t="shared" si="4"/>
        <v/>
      </c>
      <c r="CA14" s="418" t="str">
        <f t="shared" si="5"/>
        <v/>
      </c>
      <c r="CB14" s="418" t="str">
        <f t="shared" si="6"/>
        <v/>
      </c>
      <c r="CF14" s="419">
        <f t="shared" si="7"/>
        <v>0</v>
      </c>
      <c r="CG14" s="419">
        <f t="shared" si="7"/>
        <v>0</v>
      </c>
    </row>
    <row r="15" spans="1:85" ht="15" customHeight="1">
      <c r="A15" s="420" t="s">
        <v>119</v>
      </c>
      <c r="B15" s="408">
        <f t="shared" si="1"/>
        <v>0</v>
      </c>
      <c r="C15" s="421">
        <f t="shared" si="2"/>
        <v>0</v>
      </c>
      <c r="D15" s="422">
        <f t="shared" si="2"/>
        <v>0</v>
      </c>
      <c r="E15" s="411"/>
      <c r="F15" s="412"/>
      <c r="G15" s="413"/>
      <c r="H15" s="412"/>
      <c r="I15" s="413"/>
      <c r="J15" s="412"/>
      <c r="K15" s="413"/>
      <c r="L15" s="412"/>
      <c r="M15" s="413"/>
      <c r="N15" s="412"/>
      <c r="O15" s="413"/>
      <c r="P15" s="412"/>
      <c r="Q15" s="413"/>
      <c r="R15" s="412"/>
      <c r="S15" s="413"/>
      <c r="T15" s="412"/>
      <c r="U15" s="413"/>
      <c r="V15" s="412"/>
      <c r="W15" s="413"/>
      <c r="X15" s="412"/>
      <c r="Y15" s="413"/>
      <c r="Z15" s="412"/>
      <c r="AA15" s="413"/>
      <c r="AB15" s="412"/>
      <c r="AC15" s="413"/>
      <c r="AD15" s="412"/>
      <c r="AE15" s="413"/>
      <c r="AF15" s="414"/>
      <c r="AG15" s="415"/>
      <c r="AH15" s="416"/>
      <c r="AI15" s="417" t="str">
        <f t="shared" si="4"/>
        <v/>
      </c>
      <c r="CA15" s="418" t="str">
        <f t="shared" si="5"/>
        <v/>
      </c>
      <c r="CB15" s="418" t="str">
        <f t="shared" si="6"/>
        <v/>
      </c>
      <c r="CF15" s="419">
        <f t="shared" si="7"/>
        <v>0</v>
      </c>
      <c r="CG15" s="419">
        <f t="shared" si="7"/>
        <v>0</v>
      </c>
    </row>
    <row r="16" spans="1:85" ht="15" customHeight="1">
      <c r="A16" s="427" t="s">
        <v>210</v>
      </c>
      <c r="B16" s="408">
        <f t="shared" si="1"/>
        <v>0</v>
      </c>
      <c r="C16" s="421">
        <f t="shared" si="2"/>
        <v>0</v>
      </c>
      <c r="D16" s="422">
        <f t="shared" si="2"/>
        <v>0</v>
      </c>
      <c r="E16" s="411"/>
      <c r="F16" s="412"/>
      <c r="G16" s="413"/>
      <c r="H16" s="412"/>
      <c r="I16" s="413"/>
      <c r="J16" s="412"/>
      <c r="K16" s="413"/>
      <c r="L16" s="412"/>
      <c r="M16" s="413"/>
      <c r="N16" s="412"/>
      <c r="O16" s="413"/>
      <c r="P16" s="412"/>
      <c r="Q16" s="413"/>
      <c r="R16" s="412"/>
      <c r="S16" s="413"/>
      <c r="T16" s="412"/>
      <c r="U16" s="413"/>
      <c r="V16" s="412"/>
      <c r="W16" s="413"/>
      <c r="X16" s="412"/>
      <c r="Y16" s="413"/>
      <c r="Z16" s="412"/>
      <c r="AA16" s="413"/>
      <c r="AB16" s="412"/>
      <c r="AC16" s="413"/>
      <c r="AD16" s="412"/>
      <c r="AE16" s="413"/>
      <c r="AF16" s="414"/>
      <c r="AG16" s="415"/>
      <c r="AH16" s="416"/>
      <c r="AI16" s="417" t="str">
        <f t="shared" si="4"/>
        <v/>
      </c>
      <c r="CA16" s="418" t="str">
        <f t="shared" si="5"/>
        <v/>
      </c>
      <c r="CB16" s="418" t="str">
        <f t="shared" si="6"/>
        <v/>
      </c>
      <c r="CF16" s="419">
        <f t="shared" si="7"/>
        <v>0</v>
      </c>
      <c r="CG16" s="419">
        <f t="shared" si="7"/>
        <v>0</v>
      </c>
    </row>
    <row r="17" spans="1:86" ht="15" customHeight="1">
      <c r="A17" s="428" t="s">
        <v>211</v>
      </c>
      <c r="B17" s="429">
        <f t="shared" si="1"/>
        <v>0</v>
      </c>
      <c r="C17" s="430">
        <f t="shared" si="2"/>
        <v>0</v>
      </c>
      <c r="D17" s="431">
        <f t="shared" si="2"/>
        <v>0</v>
      </c>
      <c r="E17" s="432"/>
      <c r="F17" s="433"/>
      <c r="G17" s="432"/>
      <c r="H17" s="433"/>
      <c r="I17" s="432"/>
      <c r="J17" s="433"/>
      <c r="K17" s="432"/>
      <c r="L17" s="433"/>
      <c r="M17" s="432"/>
      <c r="N17" s="433"/>
      <c r="O17" s="432"/>
      <c r="P17" s="433"/>
      <c r="Q17" s="432"/>
      <c r="R17" s="433"/>
      <c r="S17" s="432"/>
      <c r="T17" s="433"/>
      <c r="U17" s="432"/>
      <c r="V17" s="433"/>
      <c r="W17" s="432"/>
      <c r="X17" s="433"/>
      <c r="Y17" s="432"/>
      <c r="Z17" s="433"/>
      <c r="AA17" s="432"/>
      <c r="AB17" s="434"/>
      <c r="AC17" s="435"/>
      <c r="AD17" s="434"/>
      <c r="AE17" s="435"/>
      <c r="AF17" s="436"/>
      <c r="AG17" s="437"/>
      <c r="AH17" s="438"/>
      <c r="AI17" s="417" t="str">
        <f t="shared" si="4"/>
        <v/>
      </c>
      <c r="CA17" s="418" t="str">
        <f t="shared" si="5"/>
        <v/>
      </c>
      <c r="CB17" s="418" t="str">
        <f t="shared" si="6"/>
        <v/>
      </c>
      <c r="CF17" s="419">
        <f t="shared" si="7"/>
        <v>0</v>
      </c>
      <c r="CG17" s="419">
        <f t="shared" si="7"/>
        <v>0</v>
      </c>
    </row>
    <row r="18" spans="1:86" s="385" customFormat="1" ht="18" customHeight="1">
      <c r="A18" s="5713" t="s">
        <v>212</v>
      </c>
      <c r="B18" s="5713"/>
      <c r="C18" s="5713"/>
      <c r="D18" s="5713"/>
      <c r="E18" s="5713"/>
      <c r="F18" s="5713"/>
      <c r="G18" s="5713"/>
      <c r="H18" s="5713"/>
      <c r="I18" s="5713"/>
      <c r="J18" s="5713"/>
      <c r="K18" s="5713"/>
      <c r="L18" s="5713"/>
      <c r="M18" s="5713"/>
      <c r="N18" s="5713"/>
      <c r="O18" s="5713"/>
      <c r="P18" s="5713"/>
      <c r="Q18" s="5713"/>
      <c r="R18" s="5713"/>
      <c r="S18" s="5713"/>
      <c r="T18" s="5713"/>
      <c r="U18" s="5713"/>
      <c r="V18" s="5713"/>
      <c r="W18" s="5713"/>
      <c r="X18" s="5713"/>
      <c r="Y18" s="5713"/>
      <c r="Z18" s="5713"/>
      <c r="AA18" s="5713"/>
      <c r="AB18" s="5713"/>
      <c r="AC18" s="5713"/>
      <c r="AD18" s="5713"/>
      <c r="AE18" s="5713"/>
      <c r="AF18" s="5713"/>
      <c r="AG18" s="439"/>
      <c r="AH18" s="439"/>
    </row>
    <row r="19" spans="1:86" ht="15" customHeight="1">
      <c r="A19" s="5705" t="s">
        <v>213</v>
      </c>
      <c r="B19" s="5707" t="s">
        <v>91</v>
      </c>
      <c r="C19" s="5708"/>
      <c r="D19" s="5709"/>
      <c r="E19" s="5710" t="s">
        <v>58</v>
      </c>
      <c r="F19" s="5711"/>
      <c r="G19" s="5710" t="s">
        <v>59</v>
      </c>
      <c r="H19" s="5712"/>
      <c r="I19" s="5710" t="s">
        <v>60</v>
      </c>
      <c r="J19" s="5712"/>
      <c r="K19" s="5710" t="s">
        <v>61</v>
      </c>
      <c r="L19" s="5712"/>
      <c r="M19" s="5710" t="s">
        <v>62</v>
      </c>
      <c r="N19" s="5712"/>
      <c r="O19" s="5710" t="s">
        <v>63</v>
      </c>
      <c r="P19" s="5712"/>
      <c r="Q19" s="5710" t="s">
        <v>64</v>
      </c>
      <c r="R19" s="5712"/>
      <c r="S19" s="5710" t="s">
        <v>65</v>
      </c>
      <c r="T19" s="5712"/>
      <c r="U19" s="5710" t="s">
        <v>66</v>
      </c>
      <c r="V19" s="5712"/>
      <c r="W19" s="5710" t="s">
        <v>67</v>
      </c>
      <c r="X19" s="5712"/>
      <c r="Y19" s="5710" t="s">
        <v>68</v>
      </c>
      <c r="Z19" s="5712"/>
      <c r="AA19" s="5710" t="s">
        <v>69</v>
      </c>
      <c r="AB19" s="5712"/>
      <c r="AC19" s="5710" t="s">
        <v>70</v>
      </c>
      <c r="AD19" s="5712"/>
      <c r="AE19" s="5710" t="s">
        <v>71</v>
      </c>
      <c r="AF19" s="5716"/>
      <c r="AG19" s="5714" t="s">
        <v>50</v>
      </c>
      <c r="AH19" s="5718" t="s">
        <v>51</v>
      </c>
    </row>
    <row r="20" spans="1:86" ht="15" customHeight="1">
      <c r="A20" s="5706"/>
      <c r="B20" s="396" t="s">
        <v>93</v>
      </c>
      <c r="C20" s="397" t="s">
        <v>72</v>
      </c>
      <c r="D20" s="390" t="s">
        <v>73</v>
      </c>
      <c r="E20" s="396" t="s">
        <v>72</v>
      </c>
      <c r="F20" s="398" t="s">
        <v>73</v>
      </c>
      <c r="G20" s="396" t="s">
        <v>72</v>
      </c>
      <c r="H20" s="398" t="s">
        <v>73</v>
      </c>
      <c r="I20" s="396" t="s">
        <v>72</v>
      </c>
      <c r="J20" s="398" t="s">
        <v>73</v>
      </c>
      <c r="K20" s="396" t="s">
        <v>72</v>
      </c>
      <c r="L20" s="398" t="s">
        <v>73</v>
      </c>
      <c r="M20" s="396" t="s">
        <v>72</v>
      </c>
      <c r="N20" s="398" t="s">
        <v>73</v>
      </c>
      <c r="O20" s="396" t="s">
        <v>72</v>
      </c>
      <c r="P20" s="398" t="s">
        <v>73</v>
      </c>
      <c r="Q20" s="396" t="s">
        <v>72</v>
      </c>
      <c r="R20" s="398" t="s">
        <v>73</v>
      </c>
      <c r="S20" s="396" t="s">
        <v>72</v>
      </c>
      <c r="T20" s="398" t="s">
        <v>73</v>
      </c>
      <c r="U20" s="396" t="s">
        <v>72</v>
      </c>
      <c r="V20" s="398" t="s">
        <v>73</v>
      </c>
      <c r="W20" s="396" t="s">
        <v>72</v>
      </c>
      <c r="X20" s="398" t="s">
        <v>73</v>
      </c>
      <c r="Y20" s="396" t="s">
        <v>72</v>
      </c>
      <c r="Z20" s="398" t="s">
        <v>73</v>
      </c>
      <c r="AA20" s="396" t="s">
        <v>72</v>
      </c>
      <c r="AB20" s="398" t="s">
        <v>73</v>
      </c>
      <c r="AC20" s="396" t="s">
        <v>72</v>
      </c>
      <c r="AD20" s="398" t="s">
        <v>73</v>
      </c>
      <c r="AE20" s="396" t="s">
        <v>72</v>
      </c>
      <c r="AF20" s="399" t="s">
        <v>73</v>
      </c>
      <c r="AG20" s="5715"/>
      <c r="AH20" s="5719"/>
    </row>
    <row r="21" spans="1:86" ht="15" customHeight="1">
      <c r="A21" s="400" t="s">
        <v>91</v>
      </c>
      <c r="B21" s="401">
        <f>SUM(B22:B25)</f>
        <v>0</v>
      </c>
      <c r="C21" s="402">
        <f>SUM(C22:C25)</f>
        <v>0</v>
      </c>
      <c r="D21" s="392">
        <f>SUM(D22:D25)</f>
        <v>0</v>
      </c>
      <c r="E21" s="401">
        <f t="shared" ref="E21:AF21" si="8">SUM(E22:E25)</f>
        <v>0</v>
      </c>
      <c r="F21" s="403">
        <f t="shared" si="8"/>
        <v>0</v>
      </c>
      <c r="G21" s="401">
        <f t="shared" si="8"/>
        <v>0</v>
      </c>
      <c r="H21" s="403">
        <f t="shared" si="8"/>
        <v>0</v>
      </c>
      <c r="I21" s="401">
        <f t="shared" si="8"/>
        <v>0</v>
      </c>
      <c r="J21" s="403">
        <f t="shared" si="8"/>
        <v>0</v>
      </c>
      <c r="K21" s="401">
        <f t="shared" si="8"/>
        <v>0</v>
      </c>
      <c r="L21" s="403">
        <f t="shared" si="8"/>
        <v>0</v>
      </c>
      <c r="M21" s="401">
        <f t="shared" si="8"/>
        <v>0</v>
      </c>
      <c r="N21" s="403">
        <f t="shared" si="8"/>
        <v>0</v>
      </c>
      <c r="O21" s="401">
        <f t="shared" si="8"/>
        <v>0</v>
      </c>
      <c r="P21" s="403">
        <f t="shared" si="8"/>
        <v>0</v>
      </c>
      <c r="Q21" s="401">
        <f t="shared" si="8"/>
        <v>0</v>
      </c>
      <c r="R21" s="403">
        <f t="shared" si="8"/>
        <v>0</v>
      </c>
      <c r="S21" s="401">
        <f t="shared" si="8"/>
        <v>0</v>
      </c>
      <c r="T21" s="403">
        <f t="shared" si="8"/>
        <v>0</v>
      </c>
      <c r="U21" s="401">
        <f t="shared" si="8"/>
        <v>0</v>
      </c>
      <c r="V21" s="403">
        <f t="shared" si="8"/>
        <v>0</v>
      </c>
      <c r="W21" s="401">
        <f t="shared" si="8"/>
        <v>0</v>
      </c>
      <c r="X21" s="403">
        <f t="shared" si="8"/>
        <v>0</v>
      </c>
      <c r="Y21" s="401">
        <f t="shared" si="8"/>
        <v>0</v>
      </c>
      <c r="Z21" s="403">
        <f t="shared" si="8"/>
        <v>0</v>
      </c>
      <c r="AA21" s="401">
        <f t="shared" si="8"/>
        <v>0</v>
      </c>
      <c r="AB21" s="403">
        <f t="shared" si="8"/>
        <v>0</v>
      </c>
      <c r="AC21" s="401">
        <f t="shared" si="8"/>
        <v>0</v>
      </c>
      <c r="AD21" s="403">
        <f t="shared" si="8"/>
        <v>0</v>
      </c>
      <c r="AE21" s="401">
        <f t="shared" si="8"/>
        <v>0</v>
      </c>
      <c r="AF21" s="440">
        <f t="shared" si="8"/>
        <v>0</v>
      </c>
      <c r="AG21" s="405">
        <f>SUM(AG22:AG25)</f>
        <v>0</v>
      </c>
      <c r="AH21" s="406">
        <f>SUM(AH22:AH25)</f>
        <v>0</v>
      </c>
      <c r="AI21" s="441" t="str">
        <f t="shared" ref="AI21:AI25" si="9">CA21&amp;CB21&amp;CC21</f>
        <v/>
      </c>
      <c r="CA21" s="417"/>
      <c r="CB21" s="418" t="str">
        <f>IF(C21&lt;&gt;C11," * Debe coincidir el Total de EMP según estado nutricional en Hombres, con los EMP realizados en Hombres según Profesional de la Sección A","")</f>
        <v/>
      </c>
      <c r="CC21" s="418" t="str">
        <f>IF(D21&lt;&gt;D11," * Debe coincidir el Total de EMP según estado nutricional en Mujeres, con los EMP realizados en Mujeres según Profesional de la Sección A","")</f>
        <v/>
      </c>
      <c r="CG21" s="419">
        <f>IF(C21&lt;&gt;C11,1,0)</f>
        <v>0</v>
      </c>
      <c r="CH21" s="419">
        <f>IF(D21&lt;&gt;D11,1,0)</f>
        <v>0</v>
      </c>
    </row>
    <row r="22" spans="1:86" ht="15" customHeight="1">
      <c r="A22" s="407" t="s">
        <v>214</v>
      </c>
      <c r="B22" s="408">
        <f t="shared" ref="B22:B35" si="10">SUM(C22:D22)</f>
        <v>0</v>
      </c>
      <c r="C22" s="421">
        <f t="shared" ref="C22:D35" si="11">SUM(E22+G22+I22+K22+M22+O22+Q22+S22+U22+W22+Y22+AA22+AC22+AE22)</f>
        <v>0</v>
      </c>
      <c r="D22" s="422">
        <f>SUM(F22+H22+J22+L22+N22+P22+R22+T22+V22+X22+Z22+AB22+AD22+AF22)</f>
        <v>0</v>
      </c>
      <c r="E22" s="413"/>
      <c r="F22" s="412"/>
      <c r="G22" s="413"/>
      <c r="H22" s="412"/>
      <c r="I22" s="413"/>
      <c r="J22" s="412"/>
      <c r="K22" s="413"/>
      <c r="L22" s="412"/>
      <c r="M22" s="413"/>
      <c r="N22" s="412"/>
      <c r="O22" s="413"/>
      <c r="P22" s="412"/>
      <c r="Q22" s="413"/>
      <c r="R22" s="412"/>
      <c r="S22" s="413"/>
      <c r="T22" s="412"/>
      <c r="U22" s="413"/>
      <c r="V22" s="412"/>
      <c r="W22" s="413"/>
      <c r="X22" s="412"/>
      <c r="Y22" s="413"/>
      <c r="Z22" s="412"/>
      <c r="AA22" s="413"/>
      <c r="AB22" s="412"/>
      <c r="AC22" s="413"/>
      <c r="AD22" s="412"/>
      <c r="AE22" s="413"/>
      <c r="AF22" s="414"/>
      <c r="AG22" s="415"/>
      <c r="AH22" s="416"/>
      <c r="AI22" s="441" t="str">
        <f t="shared" si="9"/>
        <v/>
      </c>
      <c r="CA22" s="418" t="str">
        <f t="shared" ref="CA22:CA25" si="12">IF(AND($B22&lt;&gt;0,AG22=""),"* No olvide digitar la columna "&amp;AG$19&amp;""&amp;". Digite CERO si no tiene.  ",IF(AG22&gt;$B22,"* El Número de Pueblos Originarios no puede superar el Total Ambos Sexos. ",""))</f>
        <v/>
      </c>
      <c r="CB22" s="418" t="str">
        <f t="shared" ref="CB22:CB25" si="13">IF(AND($B22&lt;&gt;0,AH22=""),"* No olvide ingresar la columna "&amp;AH$19&amp;""&amp;" (Digite CERO si no tiene).  ",IF(AH22&gt;$B22,"* El Número de Migrantes no puede superar el Total Ambos Sexos. ",""))</f>
        <v/>
      </c>
      <c r="CF22" s="419">
        <f t="shared" ref="CF22:CG35" si="14">IF(AND($B22&lt;&gt;0,AG22=""),1,IF(AG22&gt;$B22,1,0))</f>
        <v>0</v>
      </c>
      <c r="CG22" s="419">
        <f>IF(AND($B22&lt;&gt;0,AH22=""),1,IF(AH22&gt;$B22,1,0))</f>
        <v>0</v>
      </c>
    </row>
    <row r="23" spans="1:86" ht="15" customHeight="1">
      <c r="A23" s="420" t="s">
        <v>215</v>
      </c>
      <c r="B23" s="408">
        <f t="shared" si="10"/>
        <v>0</v>
      </c>
      <c r="C23" s="421">
        <f t="shared" si="11"/>
        <v>0</v>
      </c>
      <c r="D23" s="422">
        <f t="shared" si="11"/>
        <v>0</v>
      </c>
      <c r="E23" s="425"/>
      <c r="F23" s="424"/>
      <c r="G23" s="425"/>
      <c r="H23" s="424"/>
      <c r="I23" s="425"/>
      <c r="J23" s="424"/>
      <c r="K23" s="425"/>
      <c r="L23" s="424"/>
      <c r="M23" s="425"/>
      <c r="N23" s="424"/>
      <c r="O23" s="425"/>
      <c r="P23" s="424"/>
      <c r="Q23" s="425"/>
      <c r="R23" s="424"/>
      <c r="S23" s="425"/>
      <c r="T23" s="424"/>
      <c r="U23" s="425"/>
      <c r="V23" s="424"/>
      <c r="W23" s="425"/>
      <c r="X23" s="424"/>
      <c r="Y23" s="425"/>
      <c r="Z23" s="424"/>
      <c r="AA23" s="425"/>
      <c r="AB23" s="424"/>
      <c r="AC23" s="425"/>
      <c r="AD23" s="424"/>
      <c r="AE23" s="425"/>
      <c r="AF23" s="426"/>
      <c r="AG23" s="442"/>
      <c r="AH23" s="443"/>
      <c r="AI23" s="441" t="str">
        <f t="shared" si="9"/>
        <v/>
      </c>
      <c r="CA23" s="418" t="str">
        <f t="shared" si="12"/>
        <v/>
      </c>
      <c r="CB23" s="418" t="str">
        <f t="shared" si="13"/>
        <v/>
      </c>
      <c r="CF23" s="419">
        <f t="shared" si="14"/>
        <v>0</v>
      </c>
      <c r="CG23" s="419">
        <f t="shared" si="14"/>
        <v>0</v>
      </c>
    </row>
    <row r="24" spans="1:86" ht="15" customHeight="1">
      <c r="A24" s="420" t="s">
        <v>216</v>
      </c>
      <c r="B24" s="408">
        <f t="shared" si="10"/>
        <v>0</v>
      </c>
      <c r="C24" s="421">
        <f t="shared" si="11"/>
        <v>0</v>
      </c>
      <c r="D24" s="422">
        <f t="shared" si="11"/>
        <v>0</v>
      </c>
      <c r="E24" s="413"/>
      <c r="F24" s="412"/>
      <c r="G24" s="413"/>
      <c r="H24" s="412"/>
      <c r="I24" s="413"/>
      <c r="J24" s="412"/>
      <c r="K24" s="413"/>
      <c r="L24" s="412"/>
      <c r="M24" s="413"/>
      <c r="N24" s="412"/>
      <c r="O24" s="413"/>
      <c r="P24" s="412"/>
      <c r="Q24" s="413"/>
      <c r="R24" s="412"/>
      <c r="S24" s="413"/>
      <c r="T24" s="412"/>
      <c r="U24" s="413"/>
      <c r="V24" s="412"/>
      <c r="W24" s="413"/>
      <c r="X24" s="412"/>
      <c r="Y24" s="413"/>
      <c r="Z24" s="412"/>
      <c r="AA24" s="413"/>
      <c r="AB24" s="412"/>
      <c r="AC24" s="413"/>
      <c r="AD24" s="412"/>
      <c r="AE24" s="413"/>
      <c r="AF24" s="414"/>
      <c r="AG24" s="415"/>
      <c r="AH24" s="416"/>
      <c r="AI24" s="441" t="str">
        <f t="shared" si="9"/>
        <v/>
      </c>
      <c r="CA24" s="418" t="str">
        <f t="shared" si="12"/>
        <v/>
      </c>
      <c r="CB24" s="418" t="str">
        <f t="shared" si="13"/>
        <v/>
      </c>
      <c r="CF24" s="419">
        <f t="shared" si="14"/>
        <v>0</v>
      </c>
      <c r="CG24" s="419">
        <f t="shared" si="14"/>
        <v>0</v>
      </c>
    </row>
    <row r="25" spans="1:86" ht="15" customHeight="1">
      <c r="A25" s="444" t="s">
        <v>217</v>
      </c>
      <c r="B25" s="429">
        <f t="shared" si="10"/>
        <v>0</v>
      </c>
      <c r="C25" s="430">
        <f t="shared" si="11"/>
        <v>0</v>
      </c>
      <c r="D25" s="431">
        <f t="shared" si="11"/>
        <v>0</v>
      </c>
      <c r="E25" s="432"/>
      <c r="F25" s="433"/>
      <c r="G25" s="432"/>
      <c r="H25" s="433"/>
      <c r="I25" s="432"/>
      <c r="J25" s="433"/>
      <c r="K25" s="432"/>
      <c r="L25" s="433"/>
      <c r="M25" s="432"/>
      <c r="N25" s="433"/>
      <c r="O25" s="432"/>
      <c r="P25" s="433"/>
      <c r="Q25" s="432"/>
      <c r="R25" s="433"/>
      <c r="S25" s="432"/>
      <c r="T25" s="433"/>
      <c r="U25" s="432"/>
      <c r="V25" s="433"/>
      <c r="W25" s="432"/>
      <c r="X25" s="433"/>
      <c r="Y25" s="432"/>
      <c r="Z25" s="433"/>
      <c r="AA25" s="432"/>
      <c r="AB25" s="433"/>
      <c r="AC25" s="432"/>
      <c r="AD25" s="433"/>
      <c r="AE25" s="432"/>
      <c r="AF25" s="445"/>
      <c r="AG25" s="437"/>
      <c r="AH25" s="438"/>
      <c r="AI25" s="441" t="str">
        <f t="shared" si="9"/>
        <v/>
      </c>
      <c r="CA25" s="418" t="str">
        <f t="shared" si="12"/>
        <v/>
      </c>
      <c r="CB25" s="418" t="str">
        <f t="shared" si="13"/>
        <v/>
      </c>
      <c r="CF25" s="419">
        <f t="shared" si="14"/>
        <v>0</v>
      </c>
      <c r="CG25" s="419">
        <f t="shared" si="14"/>
        <v>0</v>
      </c>
    </row>
    <row r="26" spans="1:86" s="385" customFormat="1" ht="18" customHeight="1">
      <c r="A26" s="5717" t="s">
        <v>218</v>
      </c>
      <c r="B26" s="5717"/>
      <c r="C26" s="5717"/>
      <c r="D26" s="5717"/>
      <c r="E26" s="5717"/>
      <c r="F26" s="5717"/>
      <c r="G26" s="5717"/>
      <c r="H26" s="5717"/>
      <c r="I26" s="5717"/>
      <c r="J26" s="5717"/>
      <c r="K26" s="5717"/>
      <c r="L26" s="5717"/>
      <c r="M26" s="5717"/>
      <c r="N26" s="5717"/>
      <c r="O26" s="5717"/>
      <c r="P26" s="5717"/>
      <c r="Q26" s="5717"/>
      <c r="R26" s="5717"/>
      <c r="S26" s="5717"/>
      <c r="T26" s="5717"/>
      <c r="U26" s="5717"/>
      <c r="V26" s="5717"/>
      <c r="W26" s="5717"/>
      <c r="X26" s="5717"/>
      <c r="Y26" s="5717"/>
      <c r="Z26" s="5717"/>
      <c r="AA26" s="5717"/>
      <c r="AB26" s="5717"/>
      <c r="AC26" s="5717"/>
      <c r="AD26" s="5717"/>
      <c r="AE26" s="5717"/>
      <c r="AF26" s="5717"/>
      <c r="AG26" s="439"/>
      <c r="AH26" s="439"/>
      <c r="AI26" s="441"/>
    </row>
    <row r="27" spans="1:86" ht="15" customHeight="1">
      <c r="A27" s="5718" t="s">
        <v>219</v>
      </c>
      <c r="B27" s="5707" t="s">
        <v>91</v>
      </c>
      <c r="C27" s="5708"/>
      <c r="D27" s="5709"/>
      <c r="E27" s="5710" t="s">
        <v>58</v>
      </c>
      <c r="F27" s="5711"/>
      <c r="G27" s="5710" t="s">
        <v>59</v>
      </c>
      <c r="H27" s="5712"/>
      <c r="I27" s="5710" t="s">
        <v>60</v>
      </c>
      <c r="J27" s="5712"/>
      <c r="K27" s="5710" t="s">
        <v>61</v>
      </c>
      <c r="L27" s="5712"/>
      <c r="M27" s="5710" t="s">
        <v>62</v>
      </c>
      <c r="N27" s="5712"/>
      <c r="O27" s="5710" t="s">
        <v>63</v>
      </c>
      <c r="P27" s="5712"/>
      <c r="Q27" s="5710" t="s">
        <v>64</v>
      </c>
      <c r="R27" s="5712"/>
      <c r="S27" s="5710" t="s">
        <v>65</v>
      </c>
      <c r="T27" s="5712"/>
      <c r="U27" s="5710" t="s">
        <v>66</v>
      </c>
      <c r="V27" s="5712"/>
      <c r="W27" s="5710" t="s">
        <v>67</v>
      </c>
      <c r="X27" s="5712"/>
      <c r="Y27" s="5710" t="s">
        <v>68</v>
      </c>
      <c r="Z27" s="5712"/>
      <c r="AA27" s="5710" t="s">
        <v>69</v>
      </c>
      <c r="AB27" s="5712"/>
      <c r="AC27" s="5710" t="s">
        <v>70</v>
      </c>
      <c r="AD27" s="5712"/>
      <c r="AE27" s="5710" t="s">
        <v>71</v>
      </c>
      <c r="AF27" s="5716"/>
      <c r="AG27" s="5714" t="s">
        <v>50</v>
      </c>
      <c r="AH27" s="5718" t="s">
        <v>51</v>
      </c>
    </row>
    <row r="28" spans="1:86" ht="15" customHeight="1">
      <c r="A28" s="5719"/>
      <c r="B28" s="396" t="s">
        <v>93</v>
      </c>
      <c r="C28" s="397" t="s">
        <v>72</v>
      </c>
      <c r="D28" s="390" t="s">
        <v>73</v>
      </c>
      <c r="E28" s="396" t="s">
        <v>72</v>
      </c>
      <c r="F28" s="398" t="s">
        <v>73</v>
      </c>
      <c r="G28" s="396" t="s">
        <v>72</v>
      </c>
      <c r="H28" s="398" t="s">
        <v>73</v>
      </c>
      <c r="I28" s="396" t="s">
        <v>72</v>
      </c>
      <c r="J28" s="398" t="s">
        <v>73</v>
      </c>
      <c r="K28" s="396" t="s">
        <v>72</v>
      </c>
      <c r="L28" s="398" t="s">
        <v>73</v>
      </c>
      <c r="M28" s="396" t="s">
        <v>72</v>
      </c>
      <c r="N28" s="398" t="s">
        <v>73</v>
      </c>
      <c r="O28" s="396" t="s">
        <v>72</v>
      </c>
      <c r="P28" s="398" t="s">
        <v>73</v>
      </c>
      <c r="Q28" s="396" t="s">
        <v>72</v>
      </c>
      <c r="R28" s="398" t="s">
        <v>73</v>
      </c>
      <c r="S28" s="396" t="s">
        <v>72</v>
      </c>
      <c r="T28" s="398" t="s">
        <v>73</v>
      </c>
      <c r="U28" s="396" t="s">
        <v>72</v>
      </c>
      <c r="V28" s="398" t="s">
        <v>73</v>
      </c>
      <c r="W28" s="396" t="s">
        <v>72</v>
      </c>
      <c r="X28" s="398" t="s">
        <v>73</v>
      </c>
      <c r="Y28" s="396" t="s">
        <v>72</v>
      </c>
      <c r="Z28" s="398" t="s">
        <v>73</v>
      </c>
      <c r="AA28" s="396" t="s">
        <v>72</v>
      </c>
      <c r="AB28" s="398" t="s">
        <v>73</v>
      </c>
      <c r="AC28" s="396" t="s">
        <v>72</v>
      </c>
      <c r="AD28" s="398" t="s">
        <v>73</v>
      </c>
      <c r="AE28" s="396" t="s">
        <v>72</v>
      </c>
      <c r="AF28" s="399" t="s">
        <v>73</v>
      </c>
      <c r="AG28" s="5715"/>
      <c r="AH28" s="5719"/>
    </row>
    <row r="29" spans="1:86" ht="15" customHeight="1">
      <c r="A29" s="446" t="s">
        <v>220</v>
      </c>
      <c r="B29" s="447">
        <f t="shared" si="10"/>
        <v>0</v>
      </c>
      <c r="C29" s="409">
        <f t="shared" si="11"/>
        <v>0</v>
      </c>
      <c r="D29" s="410">
        <f t="shared" ref="D29:D35" si="15">SUM(F29+H29+J29+L29+N29+P29+R29+T29+V29+X29+Z29+AB29+AD29+AF29)</f>
        <v>0</v>
      </c>
      <c r="E29" s="448"/>
      <c r="F29" s="449"/>
      <c r="G29" s="448"/>
      <c r="H29" s="449"/>
      <c r="I29" s="448"/>
      <c r="J29" s="449"/>
      <c r="K29" s="448"/>
      <c r="L29" s="449"/>
      <c r="M29" s="448"/>
      <c r="N29" s="449"/>
      <c r="O29" s="448"/>
      <c r="P29" s="449"/>
      <c r="Q29" s="448"/>
      <c r="R29" s="449"/>
      <c r="S29" s="448"/>
      <c r="T29" s="449"/>
      <c r="U29" s="448"/>
      <c r="V29" s="449"/>
      <c r="W29" s="448"/>
      <c r="X29" s="449"/>
      <c r="Y29" s="448"/>
      <c r="Z29" s="449"/>
      <c r="AA29" s="448"/>
      <c r="AB29" s="449"/>
      <c r="AC29" s="448"/>
      <c r="AD29" s="449"/>
      <c r="AE29" s="448"/>
      <c r="AF29" s="450"/>
      <c r="AG29" s="451"/>
      <c r="AH29" s="452"/>
      <c r="AI29" s="441" t="str">
        <f t="shared" ref="AI29:AI35" si="16">$CA29&amp;CB29</f>
        <v/>
      </c>
      <c r="CA29" s="418" t="str">
        <f t="shared" ref="CA29:CA30" si="17">IF(AND($B29&lt;&gt;0,AG29=""),"* No olvide ingresar la columna "&amp;AG$27&amp;""&amp;". Digite CERO si no tiene.  ",IF(AG29&gt;$B29,"* El Número de Pueblos Originarios no puede superar el Total Ambos Sexos. ",""))</f>
        <v/>
      </c>
      <c r="CB29" s="418" t="str">
        <f t="shared" ref="CB29:CB30" si="18">IF(AND($B29&lt;&gt;0,AH29=""),"* No olvide ingresar la columna "&amp;AH$19&amp;""&amp;". Digite CERO si no tiene.  ",IF(AH29&gt;$B29,"* El Número de Migrantes no puede superar el Total Ambos Sexos. ",""))</f>
        <v/>
      </c>
      <c r="CF29" s="419">
        <f t="shared" si="14"/>
        <v>0</v>
      </c>
      <c r="CG29" s="419">
        <f t="shared" si="14"/>
        <v>0</v>
      </c>
    </row>
    <row r="30" spans="1:86" ht="15" customHeight="1">
      <c r="A30" s="453" t="s">
        <v>221</v>
      </c>
      <c r="B30" s="429">
        <f t="shared" si="10"/>
        <v>0</v>
      </c>
      <c r="C30" s="430">
        <f t="shared" si="11"/>
        <v>0</v>
      </c>
      <c r="D30" s="431">
        <f t="shared" si="15"/>
        <v>0</v>
      </c>
      <c r="E30" s="435"/>
      <c r="F30" s="434"/>
      <c r="G30" s="435"/>
      <c r="H30" s="434"/>
      <c r="I30" s="435"/>
      <c r="J30" s="434"/>
      <c r="K30" s="435"/>
      <c r="L30" s="434"/>
      <c r="M30" s="435"/>
      <c r="N30" s="434"/>
      <c r="O30" s="435"/>
      <c r="P30" s="434"/>
      <c r="Q30" s="435"/>
      <c r="R30" s="434"/>
      <c r="S30" s="435"/>
      <c r="T30" s="434"/>
      <c r="U30" s="435"/>
      <c r="V30" s="434"/>
      <c r="W30" s="435"/>
      <c r="X30" s="434"/>
      <c r="Y30" s="435"/>
      <c r="Z30" s="434"/>
      <c r="AA30" s="435"/>
      <c r="AB30" s="434"/>
      <c r="AC30" s="435"/>
      <c r="AD30" s="434"/>
      <c r="AE30" s="435"/>
      <c r="AF30" s="436"/>
      <c r="AG30" s="454"/>
      <c r="AH30" s="438"/>
      <c r="AI30" s="441" t="str">
        <f t="shared" si="16"/>
        <v/>
      </c>
      <c r="CA30" s="418" t="str">
        <f t="shared" si="17"/>
        <v/>
      </c>
      <c r="CB30" s="418" t="str">
        <f t="shared" si="18"/>
        <v/>
      </c>
      <c r="CF30" s="419">
        <f t="shared" si="14"/>
        <v>0</v>
      </c>
      <c r="CG30" s="419">
        <f t="shared" si="14"/>
        <v>0</v>
      </c>
    </row>
    <row r="31" spans="1:86" ht="18" customHeight="1">
      <c r="A31" s="5717" t="s">
        <v>222</v>
      </c>
      <c r="B31" s="5717"/>
      <c r="C31" s="5717"/>
      <c r="D31" s="5717"/>
      <c r="E31" s="5717"/>
      <c r="F31" s="5717"/>
      <c r="G31" s="5717"/>
      <c r="H31" s="5717"/>
      <c r="I31" s="5717"/>
      <c r="J31" s="5717"/>
      <c r="K31" s="5717"/>
      <c r="L31" s="5717"/>
      <c r="M31" s="5717"/>
      <c r="N31" s="5717"/>
      <c r="O31" s="5717"/>
      <c r="P31" s="5717"/>
      <c r="Q31" s="5717"/>
      <c r="R31" s="5717"/>
      <c r="S31" s="5717"/>
      <c r="T31" s="5717"/>
      <c r="U31" s="5717"/>
      <c r="V31" s="5717"/>
      <c r="W31" s="5717"/>
      <c r="X31" s="5717"/>
      <c r="Y31" s="5717"/>
      <c r="Z31" s="5717"/>
      <c r="AA31" s="5717"/>
      <c r="AB31" s="5717"/>
      <c r="AC31" s="5717"/>
      <c r="AD31" s="5717"/>
      <c r="AE31" s="5717"/>
      <c r="AF31" s="5717"/>
      <c r="AG31" s="455"/>
      <c r="AH31" s="456"/>
    </row>
    <row r="32" spans="1:86" ht="15" customHeight="1">
      <c r="A32" s="5718" t="s">
        <v>219</v>
      </c>
      <c r="B32" s="5707" t="s">
        <v>91</v>
      </c>
      <c r="C32" s="5708"/>
      <c r="D32" s="5709"/>
      <c r="E32" s="5710" t="s">
        <v>58</v>
      </c>
      <c r="F32" s="5711"/>
      <c r="G32" s="5710" t="s">
        <v>59</v>
      </c>
      <c r="H32" s="5712"/>
      <c r="I32" s="5710" t="s">
        <v>60</v>
      </c>
      <c r="J32" s="5712"/>
      <c r="K32" s="5710" t="s">
        <v>61</v>
      </c>
      <c r="L32" s="5712"/>
      <c r="M32" s="5710" t="s">
        <v>62</v>
      </c>
      <c r="N32" s="5712"/>
      <c r="O32" s="5710" t="s">
        <v>63</v>
      </c>
      <c r="P32" s="5712"/>
      <c r="Q32" s="5710" t="s">
        <v>64</v>
      </c>
      <c r="R32" s="5712"/>
      <c r="S32" s="5710" t="s">
        <v>65</v>
      </c>
      <c r="T32" s="5712"/>
      <c r="U32" s="5710" t="s">
        <v>66</v>
      </c>
      <c r="V32" s="5712"/>
      <c r="W32" s="5710" t="s">
        <v>67</v>
      </c>
      <c r="X32" s="5712"/>
      <c r="Y32" s="5710" t="s">
        <v>68</v>
      </c>
      <c r="Z32" s="5712"/>
      <c r="AA32" s="5710" t="s">
        <v>69</v>
      </c>
      <c r="AB32" s="5712"/>
      <c r="AC32" s="5710" t="s">
        <v>70</v>
      </c>
      <c r="AD32" s="5712"/>
      <c r="AE32" s="5710" t="s">
        <v>71</v>
      </c>
      <c r="AF32" s="5716"/>
      <c r="AG32" s="5714" t="s">
        <v>50</v>
      </c>
      <c r="AH32" s="5718" t="s">
        <v>51</v>
      </c>
    </row>
    <row r="33" spans="1:85" ht="15" customHeight="1">
      <c r="A33" s="5719"/>
      <c r="B33" s="396" t="s">
        <v>93</v>
      </c>
      <c r="C33" s="397" t="s">
        <v>72</v>
      </c>
      <c r="D33" s="390" t="s">
        <v>73</v>
      </c>
      <c r="E33" s="396" t="s">
        <v>72</v>
      </c>
      <c r="F33" s="398" t="s">
        <v>73</v>
      </c>
      <c r="G33" s="396" t="s">
        <v>72</v>
      </c>
      <c r="H33" s="398" t="s">
        <v>73</v>
      </c>
      <c r="I33" s="396" t="s">
        <v>72</v>
      </c>
      <c r="J33" s="398" t="s">
        <v>73</v>
      </c>
      <c r="K33" s="396" t="s">
        <v>72</v>
      </c>
      <c r="L33" s="398" t="s">
        <v>73</v>
      </c>
      <c r="M33" s="396" t="s">
        <v>72</v>
      </c>
      <c r="N33" s="398" t="s">
        <v>73</v>
      </c>
      <c r="O33" s="396" t="s">
        <v>72</v>
      </c>
      <c r="P33" s="398" t="s">
        <v>73</v>
      </c>
      <c r="Q33" s="396" t="s">
        <v>72</v>
      </c>
      <c r="R33" s="398" t="s">
        <v>73</v>
      </c>
      <c r="S33" s="396" t="s">
        <v>72</v>
      </c>
      <c r="T33" s="398" t="s">
        <v>73</v>
      </c>
      <c r="U33" s="396" t="s">
        <v>72</v>
      </c>
      <c r="V33" s="398" t="s">
        <v>73</v>
      </c>
      <c r="W33" s="396" t="s">
        <v>72</v>
      </c>
      <c r="X33" s="398" t="s">
        <v>73</v>
      </c>
      <c r="Y33" s="396" t="s">
        <v>72</v>
      </c>
      <c r="Z33" s="398" t="s">
        <v>73</v>
      </c>
      <c r="AA33" s="396" t="s">
        <v>72</v>
      </c>
      <c r="AB33" s="398" t="s">
        <v>73</v>
      </c>
      <c r="AC33" s="396" t="s">
        <v>72</v>
      </c>
      <c r="AD33" s="398" t="s">
        <v>73</v>
      </c>
      <c r="AE33" s="396" t="s">
        <v>72</v>
      </c>
      <c r="AF33" s="399" t="s">
        <v>73</v>
      </c>
      <c r="AG33" s="5715"/>
      <c r="AH33" s="5719"/>
    </row>
    <row r="34" spans="1:85" ht="15" customHeight="1">
      <c r="A34" s="457" t="s">
        <v>223</v>
      </c>
      <c r="B34" s="408">
        <f t="shared" si="10"/>
        <v>0</v>
      </c>
      <c r="C34" s="421">
        <f t="shared" si="11"/>
        <v>0</v>
      </c>
      <c r="D34" s="422">
        <f t="shared" si="15"/>
        <v>0</v>
      </c>
      <c r="E34" s="413"/>
      <c r="F34" s="412"/>
      <c r="G34" s="413"/>
      <c r="H34" s="412"/>
      <c r="I34" s="413"/>
      <c r="J34" s="412"/>
      <c r="K34" s="413"/>
      <c r="L34" s="412"/>
      <c r="M34" s="413"/>
      <c r="N34" s="412"/>
      <c r="O34" s="413"/>
      <c r="P34" s="412"/>
      <c r="Q34" s="413"/>
      <c r="R34" s="412"/>
      <c r="S34" s="413"/>
      <c r="T34" s="412"/>
      <c r="U34" s="413"/>
      <c r="V34" s="412"/>
      <c r="W34" s="413"/>
      <c r="X34" s="412"/>
      <c r="Y34" s="413"/>
      <c r="Z34" s="412"/>
      <c r="AA34" s="413"/>
      <c r="AB34" s="412"/>
      <c r="AC34" s="413"/>
      <c r="AD34" s="412"/>
      <c r="AE34" s="413"/>
      <c r="AF34" s="414"/>
      <c r="AG34" s="451"/>
      <c r="AH34" s="452"/>
      <c r="AI34" s="441" t="str">
        <f t="shared" si="16"/>
        <v/>
      </c>
      <c r="CA34" s="418" t="str">
        <f t="shared" ref="CA34:CA35" si="19">IF(AND($B34&lt;&gt;0,AG34=""),"* No olvide ingresar la columna "&amp;AG$19&amp;""&amp;". Digite CERO si no tiene. ",IF(AG34&gt;$B34,"* El Número de Pueblos Originarios no puede superar el Total Ambos Sexos. ",""))</f>
        <v/>
      </c>
      <c r="CB34" s="418" t="str">
        <f t="shared" ref="CB34:CB35" si="20">IF(AND($B34&lt;&gt;0,AH34=""),"* No olvide ingresar la columna "&amp;AH$19&amp;""&amp;". Digite CERO si no tiene. ",IF(AH34&gt;$B34,"* El Número de Migrantes no puede superar el Total Ambos Sexos. ",""))</f>
        <v/>
      </c>
      <c r="CF34" s="419">
        <f t="shared" si="14"/>
        <v>0</v>
      </c>
      <c r="CG34" s="419">
        <f t="shared" ref="CG34:CG35" si="21">IF(AND($B34&lt;&gt;0,AH34=""),1,IF(AH34&gt;$B34,1,0))</f>
        <v>0</v>
      </c>
    </row>
    <row r="35" spans="1:85" ht="15" customHeight="1">
      <c r="A35" s="458" t="s">
        <v>224</v>
      </c>
      <c r="B35" s="429">
        <f t="shared" si="10"/>
        <v>0</v>
      </c>
      <c r="C35" s="430">
        <f t="shared" si="11"/>
        <v>0</v>
      </c>
      <c r="D35" s="431">
        <f t="shared" si="15"/>
        <v>0</v>
      </c>
      <c r="E35" s="432"/>
      <c r="F35" s="433"/>
      <c r="G35" s="432"/>
      <c r="H35" s="433"/>
      <c r="I35" s="432"/>
      <c r="J35" s="433"/>
      <c r="K35" s="432"/>
      <c r="L35" s="433"/>
      <c r="M35" s="432"/>
      <c r="N35" s="433"/>
      <c r="O35" s="432"/>
      <c r="P35" s="433"/>
      <c r="Q35" s="432"/>
      <c r="R35" s="433"/>
      <c r="S35" s="432"/>
      <c r="T35" s="433"/>
      <c r="U35" s="432"/>
      <c r="V35" s="433"/>
      <c r="W35" s="432"/>
      <c r="X35" s="433"/>
      <c r="Y35" s="432"/>
      <c r="Z35" s="433"/>
      <c r="AA35" s="432"/>
      <c r="AB35" s="433"/>
      <c r="AC35" s="432"/>
      <c r="AD35" s="433"/>
      <c r="AE35" s="432"/>
      <c r="AF35" s="445"/>
      <c r="AG35" s="454"/>
      <c r="AH35" s="459"/>
      <c r="AI35" s="441" t="str">
        <f t="shared" si="16"/>
        <v/>
      </c>
      <c r="CA35" s="418" t="str">
        <f t="shared" si="19"/>
        <v/>
      </c>
      <c r="CB35" s="418" t="str">
        <f t="shared" si="20"/>
        <v/>
      </c>
      <c r="CF35" s="419">
        <f t="shared" si="14"/>
        <v>0</v>
      </c>
      <c r="CG35" s="419">
        <f t="shared" si="21"/>
        <v>0</v>
      </c>
    </row>
    <row r="51" spans="1:2" s="379" customFormat="1" ht="16.5" hidden="1" customHeight="1">
      <c r="A51" s="460">
        <f>SUM(B12:B17,B22:B25,B29:B30,B34:B35)</f>
        <v>0</v>
      </c>
      <c r="B51" s="460">
        <f>SUM(CF12:CH35)</f>
        <v>0</v>
      </c>
    </row>
  </sheetData>
  <sheetProtection algorithmName="SHA-512" hashValue="oJ7uzXH5dyMz8GlWBvaIKmXhjNq0PoAtLKQWm0pgvObIT5cWGT2IYXi46Q0MDlJy3siDp8u6Tq2Wg0VnErlQ0g==" saltValue="2jmXRkMqVS8GQ0dyIUnL3Q==" spinCount="100000" sheet="1" objects="1" scenarios="1"/>
  <mergeCells count="77">
    <mergeCell ref="A31:AF31"/>
    <mergeCell ref="A9:A10"/>
    <mergeCell ref="B9:D9"/>
    <mergeCell ref="AC27:AD27"/>
    <mergeCell ref="A27:A28"/>
    <mergeCell ref="B27:D27"/>
    <mergeCell ref="E27:F27"/>
    <mergeCell ref="G27:H27"/>
    <mergeCell ref="I27:J27"/>
    <mergeCell ref="K19:L19"/>
    <mergeCell ref="M19:N19"/>
    <mergeCell ref="S19:T19"/>
    <mergeCell ref="U19:V19"/>
    <mergeCell ref="AE19:AF19"/>
    <mergeCell ref="AH32:AH33"/>
    <mergeCell ref="AG9:AG10"/>
    <mergeCell ref="AH9:AH10"/>
    <mergeCell ref="E9:F9"/>
    <mergeCell ref="G9:H9"/>
    <mergeCell ref="I9:J9"/>
    <mergeCell ref="K9:L9"/>
    <mergeCell ref="M9:N9"/>
    <mergeCell ref="O9:P9"/>
    <mergeCell ref="Q9:R9"/>
    <mergeCell ref="S9:T9"/>
    <mergeCell ref="U9:V9"/>
    <mergeCell ref="W9:X9"/>
    <mergeCell ref="Y9:Z9"/>
    <mergeCell ref="AA9:AB9"/>
    <mergeCell ref="AE9:AF9"/>
    <mergeCell ref="B32:D32"/>
    <mergeCell ref="E32:F32"/>
    <mergeCell ref="G32:H32"/>
    <mergeCell ref="I32:J32"/>
    <mergeCell ref="AH19:AH20"/>
    <mergeCell ref="O32:P32"/>
    <mergeCell ref="Q32:R32"/>
    <mergeCell ref="S32:T32"/>
    <mergeCell ref="U32:V32"/>
    <mergeCell ref="W32:X32"/>
    <mergeCell ref="Y32:Z32"/>
    <mergeCell ref="AE27:AF27"/>
    <mergeCell ref="AG27:AG28"/>
    <mergeCell ref="AH27:AH28"/>
    <mergeCell ref="Y27:Z27"/>
    <mergeCell ref="AA27:AB27"/>
    <mergeCell ref="AG19:AG20"/>
    <mergeCell ref="K32:L32"/>
    <mergeCell ref="M32:N32"/>
    <mergeCell ref="S27:T27"/>
    <mergeCell ref="U27:V27"/>
    <mergeCell ref="W27:X27"/>
    <mergeCell ref="K27:L27"/>
    <mergeCell ref="M27:N27"/>
    <mergeCell ref="O27:P27"/>
    <mergeCell ref="Q27:R27"/>
    <mergeCell ref="AA32:AB32"/>
    <mergeCell ref="AC32:AD32"/>
    <mergeCell ref="AE32:AF32"/>
    <mergeCell ref="AG32:AG33"/>
    <mergeCell ref="A26:AF26"/>
    <mergeCell ref="A32:A33"/>
    <mergeCell ref="A6:AD6"/>
    <mergeCell ref="A19:A20"/>
    <mergeCell ref="B19:D19"/>
    <mergeCell ref="E19:F19"/>
    <mergeCell ref="G19:H19"/>
    <mergeCell ref="I19:J19"/>
    <mergeCell ref="Y19:Z19"/>
    <mergeCell ref="AA19:AB19"/>
    <mergeCell ref="AC19:AD19"/>
    <mergeCell ref="A8:AF8"/>
    <mergeCell ref="A18:AF18"/>
    <mergeCell ref="AC9:AD9"/>
    <mergeCell ref="W19:X19"/>
    <mergeCell ref="O19:P19"/>
    <mergeCell ref="Q19:R19"/>
  </mergeCells>
  <dataValidations count="2">
    <dataValidation operator="notBetween" allowBlank="1" showInputMessage="1" showErrorMessage="1" error="Valor no Permitido" sqref="A30" xr:uid="{00000000-0002-0000-0200-000000000000}"/>
    <dataValidation type="whole" operator="greaterThanOrEqual" allowBlank="1" showInputMessage="1" showErrorMessage="1" sqref="E12:AH17 E29:AH30 E22:AH25 E34:AH35" xr:uid="{0039002B-00BE-406D-998E-00F500B50056}">
      <formula1>0</formula1>
    </dataValidation>
  </dataValidations>
  <pageMargins left="0.7" right="0.7" top="0.75" bottom="0.75" header="0.3" footer="0.3"/>
  <pageSetup paperSize="9" orientation="portrait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/>
  <dimension ref="A1:CR827"/>
  <sheetViews>
    <sheetView showGridLines="0" workbookViewId="0"/>
  </sheetViews>
  <sheetFormatPr baseColWidth="10" defaultColWidth="11.42578125" defaultRowHeight="15"/>
  <cols>
    <col min="1" max="1" width="31" customWidth="1"/>
    <col min="2" max="2" width="28.7109375" customWidth="1"/>
    <col min="3" max="3" width="16.42578125" customWidth="1"/>
    <col min="4" max="7" width="15.7109375" customWidth="1"/>
    <col min="8" max="8" width="16.5703125" customWidth="1"/>
    <col min="9" max="12" width="15.7109375" customWidth="1"/>
    <col min="23" max="23" width="13.140625" customWidth="1"/>
    <col min="53" max="61" width="11.42578125" customWidth="1"/>
    <col min="72" max="78" width="16" customWidth="1"/>
    <col min="79" max="94" width="11.42578125" style="385" hidden="1" customWidth="1"/>
    <col min="95" max="96" width="11.42578125" hidden="1" customWidth="1"/>
    <col min="97" max="130" width="11.42578125" customWidth="1"/>
  </cols>
  <sheetData>
    <row r="1" spans="1:94">
      <c r="A1" s="378" t="s">
        <v>37</v>
      </c>
    </row>
    <row r="2" spans="1:94">
      <c r="A2" s="378" t="str">
        <f>CONCATENATE("COMUNA: ",NOMBRE!B2, " (",NOMBRE!C2,NOMBRE!D2,NOMBRE!E2,NOMBRE!F2,NOMBRE!G2,")")</f>
        <v>COMUNA: MAIPU (13119)</v>
      </c>
    </row>
    <row r="3" spans="1:94">
      <c r="A3" s="378" t="str">
        <f>CONCATENATE("ESTABLECIMIENTO/ESTRATEGIA: ", NOMBRE!B3, " (",NOMBRE!C3,NOMBRE!D3,NOMBRE!E3,NOMBRE!F3,NOMBRE!G3,NOMBRE!H3,")")</f>
        <v>ESTABLECIMIENTO/ESTRATEGIA: CESFAM DR. CARLOS GODOY (111380)</v>
      </c>
    </row>
    <row r="4" spans="1:94">
      <c r="A4" s="378" t="str">
        <f>CONCATENATE("MES: ",NOMBRE!B6, " (",NOMBRE!C6,NOMBRE!D6,")")</f>
        <v>MES: MARZO (03)</v>
      </c>
    </row>
    <row r="5" spans="1:94">
      <c r="A5" s="378" t="str">
        <f>CONCATENATE("AÑO: ",NOMBRE!B7)</f>
        <v>AÑO: 2026</v>
      </c>
    </row>
    <row r="6" spans="1:94" s="461" customFormat="1" ht="18" customHeight="1">
      <c r="A6" s="5704" t="s">
        <v>225</v>
      </c>
      <c r="B6" s="5704"/>
      <c r="C6" s="5704"/>
      <c r="D6" s="5704"/>
      <c r="E6" s="5704"/>
      <c r="F6" s="5704"/>
      <c r="G6" s="5704"/>
      <c r="H6" s="5704"/>
      <c r="I6" s="5704"/>
      <c r="J6" s="5704"/>
      <c r="K6" s="5704"/>
      <c r="L6" s="5704"/>
      <c r="M6" s="5704"/>
      <c r="N6" s="5704"/>
      <c r="O6" s="5704"/>
      <c r="P6" s="5704"/>
      <c r="Q6" s="5704"/>
      <c r="R6" s="5704"/>
      <c r="S6" s="5704"/>
      <c r="T6" s="5704"/>
      <c r="U6" s="5704"/>
      <c r="V6" s="5704"/>
      <c r="W6" s="5704"/>
      <c r="X6" s="5704"/>
      <c r="Y6" s="5740"/>
      <c r="Z6" s="462"/>
      <c r="AA6" s="462"/>
      <c r="AB6" s="463"/>
      <c r="AC6" s="463"/>
      <c r="AD6" s="463"/>
      <c r="AE6" s="463"/>
      <c r="AF6" s="463"/>
      <c r="AG6" s="463"/>
      <c r="AH6" s="463"/>
      <c r="AI6" s="463"/>
      <c r="AJ6" s="463"/>
      <c r="AK6" s="463"/>
      <c r="AL6" s="463"/>
      <c r="AM6" s="463"/>
      <c r="CA6" s="464"/>
      <c r="CB6" s="464"/>
      <c r="CC6" s="464"/>
      <c r="CD6" s="464"/>
      <c r="CE6" s="464"/>
      <c r="CF6" s="464"/>
      <c r="CG6" s="464"/>
      <c r="CH6" s="464"/>
      <c r="CI6" s="464"/>
      <c r="CJ6" s="464"/>
      <c r="CK6" s="464"/>
      <c r="CL6" s="464"/>
      <c r="CM6" s="464"/>
      <c r="CN6" s="464"/>
      <c r="CO6" s="464"/>
      <c r="CP6" s="464"/>
    </row>
    <row r="8" spans="1:94" ht="18" customHeight="1">
      <c r="A8" s="465" t="s">
        <v>226</v>
      </c>
      <c r="B8" s="466"/>
      <c r="C8" s="466"/>
      <c r="D8" s="466"/>
      <c r="E8" s="466"/>
      <c r="F8" s="466"/>
      <c r="G8" s="466"/>
      <c r="H8" s="466"/>
      <c r="I8" s="466"/>
      <c r="J8" s="466"/>
      <c r="K8" s="466"/>
      <c r="L8" s="466"/>
      <c r="M8" s="466"/>
      <c r="N8" s="466"/>
      <c r="O8" s="466"/>
      <c r="P8" s="467"/>
      <c r="Q8" s="468"/>
      <c r="R8" s="469"/>
      <c r="S8" s="469"/>
      <c r="T8" s="469"/>
      <c r="U8" s="469"/>
      <c r="V8" s="469"/>
      <c r="W8" s="469"/>
      <c r="X8" s="469"/>
      <c r="Y8" s="469"/>
      <c r="Z8" s="48"/>
      <c r="AA8" s="48"/>
      <c r="AB8" s="48"/>
      <c r="AC8" s="48"/>
      <c r="AD8" s="48"/>
      <c r="AE8" s="48"/>
      <c r="AF8" s="48"/>
      <c r="AG8" s="48"/>
      <c r="AH8" s="48"/>
      <c r="AI8" s="48"/>
      <c r="AJ8" s="48"/>
      <c r="AK8" s="48"/>
      <c r="AL8" s="48"/>
      <c r="AM8" s="48"/>
      <c r="AN8" s="48"/>
      <c r="AO8" s="48"/>
      <c r="AP8" s="48"/>
      <c r="AQ8" s="48"/>
      <c r="AR8" s="48"/>
      <c r="AS8" s="48"/>
      <c r="AT8" s="48"/>
      <c r="AU8" s="48"/>
      <c r="AV8" s="48"/>
      <c r="AW8" s="48"/>
      <c r="AX8" s="48"/>
      <c r="AY8" s="48"/>
    </row>
    <row r="9" spans="1:94" ht="18" customHeight="1">
      <c r="A9" s="470" t="s">
        <v>227</v>
      </c>
      <c r="B9" s="471"/>
      <c r="C9" s="471"/>
      <c r="D9" s="471"/>
      <c r="E9" s="471"/>
      <c r="F9" s="472"/>
      <c r="G9" s="240"/>
      <c r="H9" s="473"/>
      <c r="I9" s="474"/>
      <c r="J9" s="240"/>
      <c r="K9" s="475"/>
      <c r="L9" s="240"/>
      <c r="M9" s="473"/>
      <c r="N9" s="474"/>
      <c r="O9" s="474"/>
      <c r="P9" s="476"/>
      <c r="Q9" s="240"/>
      <c r="R9" s="473"/>
      <c r="S9" s="473"/>
      <c r="T9" s="473"/>
      <c r="U9" s="473"/>
      <c r="V9" s="473"/>
      <c r="W9" s="473"/>
      <c r="X9" s="473"/>
      <c r="Y9" s="474"/>
      <c r="Z9" s="48"/>
      <c r="AA9" s="48"/>
      <c r="AB9" s="48"/>
      <c r="AC9" s="48"/>
      <c r="AD9" s="48"/>
      <c r="AE9" s="48"/>
      <c r="AF9" s="48"/>
      <c r="AG9" s="48"/>
      <c r="AH9" s="48"/>
      <c r="AI9" s="48"/>
      <c r="AJ9" s="48"/>
      <c r="AK9" s="48"/>
      <c r="AL9" s="48"/>
      <c r="AM9" s="48"/>
      <c r="AN9" s="48"/>
      <c r="AO9" s="48"/>
      <c r="AP9" s="48"/>
      <c r="AQ9" s="48"/>
      <c r="AR9" s="48"/>
      <c r="AS9" s="48"/>
      <c r="AT9" s="48"/>
      <c r="AU9" s="48"/>
      <c r="AV9" s="48"/>
      <c r="AW9" s="48"/>
      <c r="AX9" s="48"/>
      <c r="AY9" s="48"/>
    </row>
    <row r="10" spans="1:94" ht="15" customHeight="1">
      <c r="A10" s="5646" t="s">
        <v>228</v>
      </c>
      <c r="B10" s="5646"/>
      <c r="C10" s="5642" t="s">
        <v>229</v>
      </c>
      <c r="D10" s="5627"/>
      <c r="E10" s="5624"/>
      <c r="F10" s="5615" t="s">
        <v>115</v>
      </c>
      <c r="G10" s="5616"/>
      <c r="H10" s="5616"/>
      <c r="I10" s="5616"/>
      <c r="J10" s="5616"/>
      <c r="K10" s="5616"/>
      <c r="L10" s="5616"/>
      <c r="M10" s="5616"/>
      <c r="N10" s="5616"/>
      <c r="O10" s="5616"/>
      <c r="P10" s="5616"/>
      <c r="Q10" s="5616"/>
      <c r="R10" s="5616"/>
      <c r="S10" s="5616"/>
      <c r="T10" s="5616"/>
      <c r="U10" s="5616"/>
      <c r="V10" s="5616"/>
      <c r="W10" s="5616"/>
      <c r="X10" s="5616"/>
      <c r="Y10" s="5652"/>
      <c r="Z10" s="48"/>
      <c r="AA10" s="48"/>
      <c r="AB10" s="48"/>
      <c r="AC10" s="48"/>
      <c r="AD10" s="48"/>
      <c r="AE10" s="48"/>
      <c r="AF10" s="48"/>
      <c r="AG10" s="48"/>
      <c r="AH10" s="48"/>
      <c r="AI10" s="48"/>
      <c r="AJ10" s="48"/>
      <c r="AK10" s="48"/>
      <c r="AL10" s="48"/>
      <c r="AM10" s="48"/>
      <c r="AN10" s="48"/>
      <c r="AO10" s="48"/>
      <c r="AP10" s="48"/>
      <c r="AQ10" s="48"/>
      <c r="AR10" s="48"/>
      <c r="AS10" s="48"/>
      <c r="AT10" s="48"/>
      <c r="AU10" s="48"/>
      <c r="AV10" s="48"/>
      <c r="AW10" s="48"/>
      <c r="AX10" s="48"/>
      <c r="AY10" s="48"/>
    </row>
    <row r="11" spans="1:94" ht="15" customHeight="1">
      <c r="A11" s="5646"/>
      <c r="B11" s="5646"/>
      <c r="C11" s="5659"/>
      <c r="D11" s="5731"/>
      <c r="E11" s="5625"/>
      <c r="F11" s="5615" t="s">
        <v>94</v>
      </c>
      <c r="G11" s="5652"/>
      <c r="H11" s="5615" t="s">
        <v>95</v>
      </c>
      <c r="I11" s="5652"/>
      <c r="J11" s="5615" t="s">
        <v>96</v>
      </c>
      <c r="K11" s="5652"/>
      <c r="L11" s="5615" t="s">
        <v>97</v>
      </c>
      <c r="M11" s="5652"/>
      <c r="N11" s="5615" t="s">
        <v>98</v>
      </c>
      <c r="O11" s="5652"/>
      <c r="P11" s="5615" t="s">
        <v>99</v>
      </c>
      <c r="Q11" s="5652"/>
      <c r="R11" s="5615" t="s">
        <v>100</v>
      </c>
      <c r="S11" s="5652"/>
      <c r="T11" s="5615" t="s">
        <v>230</v>
      </c>
      <c r="U11" s="5652"/>
      <c r="V11" s="5615" t="s">
        <v>102</v>
      </c>
      <c r="W11" s="5652"/>
      <c r="X11" s="5615" t="s">
        <v>231</v>
      </c>
      <c r="Y11" s="5652"/>
      <c r="Z11" s="48"/>
      <c r="AA11" s="48"/>
      <c r="AB11" s="48"/>
      <c r="AC11" s="48"/>
      <c r="AD11" s="48"/>
      <c r="AE11" s="48"/>
      <c r="AF11" s="48"/>
      <c r="AG11" s="48"/>
      <c r="AH11" s="48"/>
      <c r="AI11" s="48"/>
      <c r="AJ11" s="48"/>
      <c r="AK11" s="48"/>
      <c r="AL11" s="48"/>
      <c r="AM11" s="48"/>
      <c r="AN11" s="48"/>
      <c r="AO11" s="48"/>
      <c r="AP11" s="48"/>
      <c r="AQ11" s="48"/>
      <c r="AR11" s="48"/>
      <c r="AS11" s="48"/>
      <c r="AT11" s="48"/>
      <c r="AU11" s="48"/>
      <c r="AV11" s="48"/>
      <c r="AW11" s="48"/>
      <c r="AX11" s="48"/>
      <c r="AY11" s="48"/>
    </row>
    <row r="12" spans="1:94" ht="15" customHeight="1">
      <c r="A12" s="5646"/>
      <c r="B12" s="5646"/>
      <c r="C12" s="75" t="s">
        <v>93</v>
      </c>
      <c r="D12" s="196" t="s">
        <v>72</v>
      </c>
      <c r="E12" s="76" t="s">
        <v>73</v>
      </c>
      <c r="F12" s="478" t="s">
        <v>72</v>
      </c>
      <c r="G12" s="76" t="s">
        <v>73</v>
      </c>
      <c r="H12" s="478" t="s">
        <v>72</v>
      </c>
      <c r="I12" s="76" t="s">
        <v>73</v>
      </c>
      <c r="J12" s="478" t="s">
        <v>72</v>
      </c>
      <c r="K12" s="76" t="s">
        <v>73</v>
      </c>
      <c r="L12" s="478" t="s">
        <v>72</v>
      </c>
      <c r="M12" s="76" t="s">
        <v>73</v>
      </c>
      <c r="N12" s="478" t="s">
        <v>72</v>
      </c>
      <c r="O12" s="76" t="s">
        <v>73</v>
      </c>
      <c r="P12" s="478" t="s">
        <v>72</v>
      </c>
      <c r="Q12" s="76" t="s">
        <v>73</v>
      </c>
      <c r="R12" s="478" t="s">
        <v>72</v>
      </c>
      <c r="S12" s="76" t="s">
        <v>73</v>
      </c>
      <c r="T12" s="478" t="s">
        <v>72</v>
      </c>
      <c r="U12" s="76" t="s">
        <v>73</v>
      </c>
      <c r="V12" s="478" t="s">
        <v>72</v>
      </c>
      <c r="W12" s="76" t="s">
        <v>73</v>
      </c>
      <c r="X12" s="478" t="s">
        <v>72</v>
      </c>
      <c r="Y12" s="76" t="s">
        <v>73</v>
      </c>
      <c r="Z12" s="48"/>
      <c r="AA12" s="48"/>
      <c r="AB12" s="48"/>
      <c r="AC12" s="48"/>
      <c r="AD12" s="48"/>
      <c r="AE12" s="48"/>
      <c r="AF12" s="48"/>
      <c r="AG12" s="48"/>
      <c r="AH12" s="48"/>
      <c r="AI12" s="48"/>
      <c r="AJ12" s="48"/>
      <c r="AK12" s="48"/>
      <c r="AL12" s="48"/>
      <c r="AM12" s="48"/>
      <c r="AN12" s="48"/>
      <c r="AO12" s="48"/>
      <c r="AP12" s="48"/>
      <c r="AQ12" s="48"/>
      <c r="AR12" s="48"/>
      <c r="AS12" s="48"/>
      <c r="AT12" s="48"/>
      <c r="AU12" s="48"/>
      <c r="AV12" s="48"/>
      <c r="AW12" s="48"/>
      <c r="AX12" s="48"/>
      <c r="AY12" s="48"/>
    </row>
    <row r="13" spans="1:94" ht="15" customHeight="1">
      <c r="A13" s="5737" t="s">
        <v>232</v>
      </c>
      <c r="B13" s="5737"/>
      <c r="C13" s="480">
        <f t="shared" ref="C13:C29" si="0">SUM(D13+E13)</f>
        <v>0</v>
      </c>
      <c r="D13" s="481">
        <f t="shared" ref="D13:E15" si="1">SUM(F13+H13+J13+L13+N13+P13+R13+T13+V13+X13)</f>
        <v>0</v>
      </c>
      <c r="E13" s="482">
        <f t="shared" si="1"/>
        <v>0</v>
      </c>
      <c r="F13" s="483"/>
      <c r="G13" s="484"/>
      <c r="H13" s="483"/>
      <c r="I13" s="484"/>
      <c r="J13" s="483"/>
      <c r="K13" s="484"/>
      <c r="L13" s="483"/>
      <c r="M13" s="484"/>
      <c r="N13" s="483"/>
      <c r="O13" s="484"/>
      <c r="P13" s="483"/>
      <c r="Q13" s="484"/>
      <c r="R13" s="483"/>
      <c r="S13" s="484"/>
      <c r="T13" s="483"/>
      <c r="U13" s="484"/>
      <c r="V13" s="483"/>
      <c r="W13" s="484"/>
      <c r="X13" s="483"/>
      <c r="Y13" s="484"/>
      <c r="Z13" s="48"/>
      <c r="AA13" s="48"/>
      <c r="AB13" s="48"/>
      <c r="AC13" s="48"/>
      <c r="AD13" s="48"/>
      <c r="AE13" s="48"/>
      <c r="AF13" s="48"/>
      <c r="AG13" s="48"/>
      <c r="AH13" s="48"/>
      <c r="AI13" s="48"/>
      <c r="AJ13" s="48"/>
      <c r="AK13" s="48"/>
      <c r="AL13" s="48"/>
      <c r="AM13" s="48"/>
      <c r="AN13" s="48"/>
      <c r="AO13" s="48"/>
      <c r="AP13" s="48"/>
      <c r="AQ13" s="48"/>
      <c r="AR13" s="48"/>
      <c r="AS13" s="48"/>
      <c r="AT13" s="48"/>
      <c r="AU13" s="48"/>
      <c r="AV13" s="48"/>
      <c r="AW13" s="48"/>
      <c r="AX13" s="48"/>
      <c r="AY13" s="48"/>
    </row>
    <row r="14" spans="1:94" ht="15" customHeight="1">
      <c r="A14" s="5738" t="s">
        <v>233</v>
      </c>
      <c r="B14" s="485" t="s">
        <v>214</v>
      </c>
      <c r="C14" s="486">
        <f t="shared" si="0"/>
        <v>0</v>
      </c>
      <c r="D14" s="487">
        <f t="shared" si="1"/>
        <v>0</v>
      </c>
      <c r="E14" s="488">
        <f t="shared" si="1"/>
        <v>0</v>
      </c>
      <c r="F14" s="95"/>
      <c r="G14" s="204"/>
      <c r="H14" s="95"/>
      <c r="I14" s="204"/>
      <c r="J14" s="95"/>
      <c r="K14" s="204"/>
      <c r="L14" s="95"/>
      <c r="M14" s="204"/>
      <c r="N14" s="95"/>
      <c r="O14" s="204"/>
      <c r="P14" s="95"/>
      <c r="Q14" s="204"/>
      <c r="R14" s="95"/>
      <c r="S14" s="204"/>
      <c r="T14" s="95"/>
      <c r="U14" s="204"/>
      <c r="V14" s="95"/>
      <c r="W14" s="204"/>
      <c r="X14" s="95"/>
      <c r="Y14" s="204"/>
      <c r="Z14" s="48"/>
      <c r="AA14" s="48"/>
      <c r="AB14" s="48"/>
      <c r="AC14" s="48"/>
      <c r="AD14" s="48"/>
      <c r="AE14" s="48"/>
      <c r="AF14" s="48"/>
      <c r="AG14" s="48"/>
      <c r="AH14" s="48"/>
      <c r="AI14" s="48"/>
      <c r="AJ14" s="48"/>
      <c r="AK14" s="48"/>
      <c r="AL14" s="48"/>
      <c r="AM14" s="48"/>
      <c r="AN14" s="48"/>
      <c r="AO14" s="48"/>
      <c r="AP14" s="48"/>
      <c r="AQ14" s="48"/>
      <c r="AR14" s="48"/>
      <c r="AS14" s="48"/>
      <c r="AT14" s="48"/>
      <c r="AU14" s="48"/>
      <c r="AV14" s="48"/>
      <c r="AW14" s="48"/>
      <c r="AX14" s="48"/>
      <c r="AY14" s="48"/>
    </row>
    <row r="15" spans="1:94" ht="15" customHeight="1">
      <c r="A15" s="5739"/>
      <c r="B15" s="490" t="s">
        <v>234</v>
      </c>
      <c r="C15" s="491">
        <f t="shared" si="0"/>
        <v>0</v>
      </c>
      <c r="D15" s="492">
        <f t="shared" si="1"/>
        <v>0</v>
      </c>
      <c r="E15" s="493">
        <f t="shared" si="1"/>
        <v>0</v>
      </c>
      <c r="F15" s="494"/>
      <c r="G15" s="495"/>
      <c r="H15" s="122"/>
      <c r="I15" s="121"/>
      <c r="J15" s="122"/>
      <c r="K15" s="121"/>
      <c r="L15" s="494"/>
      <c r="M15" s="495"/>
      <c r="N15" s="494"/>
      <c r="O15" s="495"/>
      <c r="P15" s="494"/>
      <c r="Q15" s="495"/>
      <c r="R15" s="494"/>
      <c r="S15" s="495"/>
      <c r="T15" s="494"/>
      <c r="U15" s="496"/>
      <c r="V15" s="494"/>
      <c r="W15" s="496"/>
      <c r="X15" s="494"/>
      <c r="Y15" s="495"/>
      <c r="Z15" s="48"/>
      <c r="AA15" s="48"/>
      <c r="AB15" s="48"/>
      <c r="AC15" s="48"/>
      <c r="AD15" s="48"/>
      <c r="AE15" s="48"/>
      <c r="AF15" s="48"/>
      <c r="AG15" s="48"/>
      <c r="AH15" s="48"/>
      <c r="AI15" s="48"/>
      <c r="AJ15" s="48"/>
      <c r="AK15" s="48"/>
      <c r="AL15" s="48"/>
      <c r="AM15" s="48"/>
      <c r="AN15" s="48"/>
      <c r="AO15" s="48"/>
      <c r="AP15" s="48"/>
      <c r="AQ15" s="48"/>
      <c r="AR15" s="48"/>
      <c r="AS15" s="48"/>
      <c r="AT15" s="48"/>
      <c r="AU15" s="48"/>
      <c r="AV15" s="48"/>
      <c r="AW15" s="48"/>
      <c r="AX15" s="48"/>
      <c r="AY15" s="48"/>
    </row>
    <row r="16" spans="1:94" ht="18" customHeight="1">
      <c r="A16" s="470" t="s">
        <v>235</v>
      </c>
      <c r="B16" s="471"/>
      <c r="C16" s="471"/>
      <c r="D16" s="471"/>
      <c r="E16" s="471"/>
      <c r="F16" s="471"/>
      <c r="G16" s="471"/>
      <c r="H16" s="471"/>
      <c r="I16" s="471"/>
      <c r="J16" s="471"/>
      <c r="K16" s="471"/>
      <c r="L16" s="471"/>
      <c r="M16" s="471"/>
      <c r="N16" s="471"/>
      <c r="O16" s="471"/>
      <c r="P16" s="472"/>
      <c r="Q16" s="497"/>
      <c r="R16" s="498"/>
      <c r="S16" s="498"/>
      <c r="T16" s="48"/>
      <c r="U16" s="48"/>
      <c r="V16" s="48"/>
      <c r="W16" s="48"/>
      <c r="X16" s="48"/>
      <c r="Y16" s="48"/>
      <c r="Z16" s="48"/>
      <c r="AA16" s="48"/>
      <c r="AB16" s="48"/>
      <c r="AC16" s="48"/>
      <c r="AD16" s="48"/>
      <c r="AE16" s="48"/>
      <c r="AF16" s="48"/>
      <c r="AG16" s="48"/>
      <c r="AH16" s="48"/>
      <c r="AI16" s="48"/>
      <c r="AJ16" s="48"/>
      <c r="AK16" s="48"/>
      <c r="AL16" s="48"/>
      <c r="AM16" s="48"/>
      <c r="AN16" s="48"/>
      <c r="AO16" s="48"/>
      <c r="AP16" s="48"/>
      <c r="AQ16" s="48"/>
      <c r="AR16" s="48"/>
      <c r="AS16" s="48"/>
      <c r="AT16" s="48"/>
      <c r="AU16" s="48"/>
      <c r="AV16" s="48"/>
      <c r="AW16" s="48"/>
      <c r="AX16" s="48"/>
      <c r="AY16" s="48"/>
    </row>
    <row r="17" spans="1:90" ht="15" customHeight="1">
      <c r="A17" s="5613" t="s">
        <v>236</v>
      </c>
      <c r="B17" s="5613" t="s">
        <v>237</v>
      </c>
      <c r="C17" s="5642" t="s">
        <v>238</v>
      </c>
      <c r="D17" s="5627"/>
      <c r="E17" s="5624"/>
      <c r="F17" s="5647" t="s">
        <v>115</v>
      </c>
      <c r="G17" s="5649"/>
      <c r="H17" s="5649"/>
      <c r="I17" s="5649"/>
      <c r="J17" s="5649"/>
      <c r="K17" s="5649"/>
      <c r="L17" s="5649"/>
      <c r="M17" s="5649"/>
      <c r="N17" s="5649"/>
      <c r="O17" s="5649"/>
      <c r="P17" s="5649"/>
      <c r="Q17" s="5649"/>
      <c r="R17" s="5657" t="s">
        <v>50</v>
      </c>
      <c r="S17" s="5613" t="s">
        <v>51</v>
      </c>
      <c r="T17" s="48"/>
      <c r="U17" s="48"/>
      <c r="V17" s="48"/>
      <c r="W17" s="48"/>
      <c r="X17" s="48"/>
      <c r="Y17" s="48"/>
      <c r="Z17" s="48"/>
      <c r="AA17" s="48"/>
      <c r="AB17" s="48"/>
      <c r="AC17" s="48"/>
      <c r="AD17" s="48"/>
      <c r="AE17" s="48"/>
      <c r="AF17" s="48"/>
      <c r="AG17" s="48"/>
      <c r="AH17" s="48"/>
      <c r="AI17" s="48"/>
      <c r="AJ17" s="48"/>
      <c r="AK17" s="48"/>
      <c r="AL17" s="48"/>
      <c r="AM17" s="48"/>
      <c r="AN17" s="48"/>
      <c r="AO17" s="48"/>
      <c r="AP17" s="48"/>
      <c r="AQ17" s="48"/>
      <c r="AR17" s="48"/>
      <c r="AS17" s="48"/>
      <c r="AT17" s="48"/>
      <c r="AU17" s="48"/>
      <c r="AV17" s="48"/>
      <c r="AW17" s="48"/>
      <c r="AX17" s="48"/>
      <c r="AY17" s="48"/>
    </row>
    <row r="18" spans="1:90" ht="15" customHeight="1">
      <c r="A18" s="5671"/>
      <c r="B18" s="5671"/>
      <c r="C18" s="5659"/>
      <c r="D18" s="5731"/>
      <c r="E18" s="5625"/>
      <c r="F18" s="5615" t="s">
        <v>239</v>
      </c>
      <c r="G18" s="5652"/>
      <c r="H18" s="5615" t="s">
        <v>240</v>
      </c>
      <c r="I18" s="5652"/>
      <c r="J18" s="5615" t="s">
        <v>102</v>
      </c>
      <c r="K18" s="5652"/>
      <c r="L18" s="5615" t="s">
        <v>241</v>
      </c>
      <c r="M18" s="5652"/>
      <c r="N18" s="5615" t="s">
        <v>242</v>
      </c>
      <c r="O18" s="5652"/>
      <c r="P18" s="5615" t="s">
        <v>243</v>
      </c>
      <c r="Q18" s="5616"/>
      <c r="R18" s="5665"/>
      <c r="S18" s="5671"/>
      <c r="T18" s="48"/>
      <c r="U18" s="48"/>
      <c r="V18" s="48"/>
      <c r="W18" s="48"/>
      <c r="X18" s="48"/>
      <c r="Y18" s="48"/>
      <c r="Z18" s="48"/>
      <c r="AA18" s="48"/>
      <c r="AB18" s="48"/>
      <c r="AC18" s="48"/>
      <c r="AD18" s="48"/>
      <c r="AE18" s="48"/>
      <c r="AF18" s="48"/>
      <c r="AG18" s="48"/>
      <c r="AH18" s="48"/>
      <c r="AI18" s="48"/>
      <c r="AJ18" s="48"/>
      <c r="AK18" s="48"/>
      <c r="AL18" s="48"/>
      <c r="AM18" s="48"/>
      <c r="AN18" s="48"/>
      <c r="AO18" s="48"/>
      <c r="AP18" s="48"/>
      <c r="AQ18" s="48"/>
      <c r="AR18" s="48"/>
      <c r="AS18" s="48"/>
      <c r="AT18" s="48"/>
      <c r="AU18" s="48"/>
      <c r="AV18" s="48"/>
      <c r="AW18" s="48"/>
      <c r="AX18" s="48"/>
      <c r="AY18" s="48"/>
    </row>
    <row r="19" spans="1:90" ht="15" customHeight="1">
      <c r="A19" s="5614"/>
      <c r="B19" s="5614"/>
      <c r="C19" s="499" t="s">
        <v>93</v>
      </c>
      <c r="D19" s="68" t="s">
        <v>72</v>
      </c>
      <c r="E19" s="76" t="s">
        <v>73</v>
      </c>
      <c r="F19" s="75" t="s">
        <v>72</v>
      </c>
      <c r="G19" s="76" t="s">
        <v>73</v>
      </c>
      <c r="H19" s="75" t="s">
        <v>72</v>
      </c>
      <c r="I19" s="76" t="s">
        <v>73</v>
      </c>
      <c r="J19" s="75" t="s">
        <v>72</v>
      </c>
      <c r="K19" s="76" t="s">
        <v>73</v>
      </c>
      <c r="L19" s="75" t="s">
        <v>72</v>
      </c>
      <c r="M19" s="76" t="s">
        <v>73</v>
      </c>
      <c r="N19" s="75" t="s">
        <v>72</v>
      </c>
      <c r="O19" s="76" t="s">
        <v>73</v>
      </c>
      <c r="P19" s="75" t="s">
        <v>72</v>
      </c>
      <c r="Q19" s="59" t="s">
        <v>73</v>
      </c>
      <c r="R19" s="5658"/>
      <c r="S19" s="5614"/>
      <c r="T19" s="48"/>
      <c r="U19" s="48"/>
      <c r="V19" s="48"/>
      <c r="W19" s="48"/>
      <c r="X19" s="48"/>
      <c r="Y19" s="48"/>
      <c r="Z19" s="48"/>
      <c r="AA19" s="48"/>
      <c r="AB19" s="48"/>
      <c r="AC19" s="48"/>
      <c r="AD19" s="48"/>
      <c r="AE19" s="48"/>
      <c r="AF19" s="48"/>
      <c r="AG19" s="48"/>
      <c r="AH19" s="48"/>
      <c r="AI19" s="48"/>
      <c r="AJ19" s="48"/>
      <c r="AK19" s="48"/>
      <c r="AL19" s="48"/>
      <c r="AM19" s="48"/>
      <c r="AN19" s="48"/>
      <c r="AO19" s="48"/>
      <c r="AP19" s="48"/>
      <c r="AQ19" s="48"/>
      <c r="AR19" s="48"/>
      <c r="AS19" s="48"/>
      <c r="AT19" s="48"/>
      <c r="AU19" s="48"/>
      <c r="AV19" s="48"/>
      <c r="AW19" s="48"/>
      <c r="AX19" s="48"/>
      <c r="AY19" s="48"/>
    </row>
    <row r="20" spans="1:90" ht="15" customHeight="1">
      <c r="A20" s="5726" t="s">
        <v>244</v>
      </c>
      <c r="B20" s="5727"/>
      <c r="C20" s="500">
        <f t="shared" si="0"/>
        <v>0</v>
      </c>
      <c r="D20" s="501">
        <f t="shared" ref="D20:E46" si="2">SUM(F20+H20+J20+L20+N20+P20)</f>
        <v>0</v>
      </c>
      <c r="E20" s="502">
        <f t="shared" si="2"/>
        <v>0</v>
      </c>
      <c r="F20" s="483"/>
      <c r="G20" s="503"/>
      <c r="H20" s="483"/>
      <c r="I20" s="503"/>
      <c r="J20" s="483"/>
      <c r="K20" s="503"/>
      <c r="L20" s="483"/>
      <c r="M20" s="503"/>
      <c r="N20" s="483"/>
      <c r="O20" s="503"/>
      <c r="P20" s="483"/>
      <c r="Q20" s="504"/>
      <c r="R20" s="505"/>
      <c r="S20" s="506"/>
      <c r="T20" s="507" t="str">
        <f t="shared" ref="T20:T41" si="3">$CA20&amp;CB20</f>
        <v/>
      </c>
      <c r="U20" s="508"/>
      <c r="V20" s="508"/>
      <c r="W20" s="508"/>
      <c r="X20" s="508"/>
      <c r="Y20" s="508"/>
      <c r="Z20" s="508"/>
      <c r="AA20" s="508"/>
      <c r="AB20" s="508"/>
      <c r="AC20" s="508"/>
      <c r="AD20" s="508"/>
      <c r="AE20" s="508"/>
      <c r="AF20" s="508"/>
      <c r="AG20" s="508"/>
      <c r="AH20" s="508"/>
      <c r="AI20" s="508"/>
      <c r="AJ20" s="508"/>
      <c r="AK20" s="508"/>
      <c r="AL20" s="508"/>
      <c r="AM20" s="508"/>
      <c r="AN20" s="508"/>
      <c r="AO20" s="508"/>
      <c r="AP20" s="508"/>
      <c r="AQ20" s="508"/>
      <c r="AR20" s="508"/>
      <c r="AS20" s="508"/>
      <c r="AT20" s="508"/>
      <c r="AU20" s="508"/>
      <c r="AV20" s="508"/>
      <c r="AW20" s="508"/>
      <c r="AX20" s="508"/>
      <c r="AY20" s="509"/>
      <c r="AZ20" s="510"/>
      <c r="BA20" s="510"/>
      <c r="BB20" s="510"/>
      <c r="BC20" s="510"/>
      <c r="BD20" s="510"/>
      <c r="BE20" s="510"/>
      <c r="BF20" s="510"/>
      <c r="BG20" s="510"/>
      <c r="BH20" s="510"/>
      <c r="BI20" s="510"/>
      <c r="BJ20" s="510"/>
      <c r="BK20" s="510"/>
      <c r="BL20" s="510"/>
      <c r="BM20" s="510"/>
      <c r="BN20" s="510"/>
      <c r="BO20" s="510"/>
      <c r="BP20" s="510"/>
      <c r="BQ20" s="510"/>
      <c r="BR20" s="510"/>
      <c r="BS20" s="510"/>
      <c r="BT20" s="510"/>
      <c r="BU20" s="510"/>
      <c r="BV20" s="510"/>
      <c r="BW20" s="510"/>
      <c r="BX20" s="510"/>
      <c r="BY20" s="510"/>
      <c r="BZ20" s="510"/>
      <c r="CA20" s="511" t="str">
        <f t="shared" ref="CA20:CA41" si="4">IF(AND($C20&lt;&gt;0,R20=""),"* No olvide ingresar la variable "&amp;R$17&amp;""&amp;". Digite CERO si no tiene. ",IF(R20&gt;$C20,"* La variable Pueblos Originarios no debe ser mayor al Total Ambos Sexos. ",""))</f>
        <v/>
      </c>
      <c r="CB20" s="511" t="str">
        <f t="shared" ref="CB20:CB41" si="5">IF(AND($C20&lt;&gt;0,S20=""),"* No olvide ingresar la variable "&amp;S$17&amp;""&amp;". Digite CERO si no tiene. ",IF(S20&gt;$C20,"* La variable Migrantes no debe ser mayor al Total Ambos Sexos. ",""))</f>
        <v/>
      </c>
      <c r="CC20" s="510"/>
      <c r="CD20" s="510"/>
      <c r="CE20" s="512"/>
      <c r="CF20" s="512"/>
      <c r="CG20" s="512"/>
      <c r="CH20" s="512"/>
      <c r="CI20" s="512"/>
      <c r="CK20" s="513">
        <f t="shared" ref="CK20:CL41" si="6">IF(AND($C20&lt;&gt;0,R20=""),1,IF(R20&gt;$C20,1,0))</f>
        <v>0</v>
      </c>
      <c r="CL20" s="513">
        <f>IF(AND($C20&lt;&gt;0,S20=""),1,IF(S20&gt;$C20,1,0))</f>
        <v>0</v>
      </c>
    </row>
    <row r="21" spans="1:90" ht="15" customHeight="1">
      <c r="A21" s="5619" t="s">
        <v>245</v>
      </c>
      <c r="B21" s="277" t="s">
        <v>214</v>
      </c>
      <c r="C21" s="486">
        <f t="shared" si="0"/>
        <v>0</v>
      </c>
      <c r="D21" s="514">
        <f t="shared" si="2"/>
        <v>0</v>
      </c>
      <c r="E21" s="488">
        <f t="shared" si="2"/>
        <v>0</v>
      </c>
      <c r="F21" s="164"/>
      <c r="G21" s="515"/>
      <c r="H21" s="164"/>
      <c r="I21" s="515"/>
      <c r="J21" s="164"/>
      <c r="K21" s="515"/>
      <c r="L21" s="164"/>
      <c r="M21" s="515"/>
      <c r="N21" s="516"/>
      <c r="O21" s="515"/>
      <c r="P21" s="516"/>
      <c r="Q21" s="89"/>
      <c r="R21" s="517"/>
      <c r="S21" s="282"/>
      <c r="T21" s="507" t="str">
        <f t="shared" si="3"/>
        <v/>
      </c>
      <c r="U21" s="508"/>
      <c r="V21" s="508"/>
      <c r="W21" s="508"/>
      <c r="X21" s="508"/>
      <c r="Y21" s="508"/>
      <c r="Z21" s="508"/>
      <c r="AA21" s="508"/>
      <c r="AB21" s="508"/>
      <c r="AC21" s="508"/>
      <c r="AD21" s="508"/>
      <c r="AE21" s="508"/>
      <c r="AF21" s="508"/>
      <c r="AG21" s="508"/>
      <c r="AH21" s="508"/>
      <c r="AI21" s="508"/>
      <c r="AJ21" s="508"/>
      <c r="AK21" s="508"/>
      <c r="AL21" s="508"/>
      <c r="AM21" s="508"/>
      <c r="AN21" s="508"/>
      <c r="AO21" s="508"/>
      <c r="AP21" s="508"/>
      <c r="AQ21" s="508"/>
      <c r="AR21" s="508"/>
      <c r="AS21" s="508"/>
      <c r="AT21" s="508"/>
      <c r="AU21" s="508"/>
      <c r="AV21" s="508"/>
      <c r="AW21" s="508"/>
      <c r="AX21" s="508"/>
      <c r="AY21" s="509"/>
      <c r="AZ21" s="510"/>
      <c r="BA21" s="510"/>
      <c r="BB21" s="510"/>
      <c r="BC21" s="510"/>
      <c r="BD21" s="510"/>
      <c r="BE21" s="510"/>
      <c r="BF21" s="510"/>
      <c r="BG21" s="510"/>
      <c r="BH21" s="510"/>
      <c r="BI21" s="510"/>
      <c r="BJ21" s="510"/>
      <c r="BK21" s="510"/>
      <c r="BL21" s="510"/>
      <c r="BM21" s="510"/>
      <c r="BN21" s="510"/>
      <c r="BO21" s="510"/>
      <c r="BP21" s="510"/>
      <c r="BQ21" s="510"/>
      <c r="BR21" s="510"/>
      <c r="BS21" s="510"/>
      <c r="BT21" s="510"/>
      <c r="BU21" s="510"/>
      <c r="BV21" s="510"/>
      <c r="BW21" s="510"/>
      <c r="BX21" s="510"/>
      <c r="BY21" s="510"/>
      <c r="BZ21" s="510"/>
      <c r="CA21" s="511" t="str">
        <f t="shared" si="4"/>
        <v/>
      </c>
      <c r="CB21" s="511" t="str">
        <f t="shared" si="5"/>
        <v/>
      </c>
      <c r="CC21" s="510"/>
      <c r="CD21" s="510"/>
      <c r="CE21" s="512"/>
      <c r="CF21" s="512"/>
      <c r="CG21" s="512"/>
      <c r="CH21" s="512"/>
      <c r="CI21" s="512"/>
      <c r="CK21" s="513">
        <f t="shared" si="6"/>
        <v>0</v>
      </c>
      <c r="CL21" s="513">
        <f t="shared" si="6"/>
        <v>0</v>
      </c>
    </row>
    <row r="22" spans="1:90" ht="15" customHeight="1">
      <c r="A22" s="5618"/>
      <c r="B22" s="284" t="s">
        <v>246</v>
      </c>
      <c r="C22" s="518">
        <f t="shared" si="0"/>
        <v>0</v>
      </c>
      <c r="D22" s="519">
        <f t="shared" si="2"/>
        <v>0</v>
      </c>
      <c r="E22" s="520">
        <f t="shared" si="2"/>
        <v>0</v>
      </c>
      <c r="F22" s="207"/>
      <c r="G22" s="247"/>
      <c r="H22" s="164"/>
      <c r="I22" s="515"/>
      <c r="J22" s="207"/>
      <c r="K22" s="247"/>
      <c r="L22" s="207"/>
      <c r="M22" s="247"/>
      <c r="N22" s="521"/>
      <c r="O22" s="247"/>
      <c r="P22" s="521"/>
      <c r="Q22" s="312"/>
      <c r="R22" s="297"/>
      <c r="S22" s="283"/>
      <c r="T22" s="507" t="str">
        <f t="shared" si="3"/>
        <v/>
      </c>
      <c r="U22" s="508"/>
      <c r="V22" s="508"/>
      <c r="W22" s="508"/>
      <c r="X22" s="508"/>
      <c r="Y22" s="508"/>
      <c r="Z22" s="508"/>
      <c r="AA22" s="508"/>
      <c r="AB22" s="508"/>
      <c r="AC22" s="508"/>
      <c r="AD22" s="508"/>
      <c r="AE22" s="508"/>
      <c r="AF22" s="508"/>
      <c r="AG22" s="508"/>
      <c r="AH22" s="508"/>
      <c r="AI22" s="508"/>
      <c r="AJ22" s="508"/>
      <c r="AK22" s="508"/>
      <c r="AL22" s="508"/>
      <c r="AM22" s="508"/>
      <c r="AN22" s="508"/>
      <c r="AO22" s="508"/>
      <c r="AP22" s="508"/>
      <c r="AQ22" s="508"/>
      <c r="AR22" s="508"/>
      <c r="AS22" s="508"/>
      <c r="AT22" s="508"/>
      <c r="AU22" s="508"/>
      <c r="AV22" s="508"/>
      <c r="AW22" s="508"/>
      <c r="AX22" s="508"/>
      <c r="AY22" s="509"/>
      <c r="AZ22" s="510"/>
      <c r="BA22" s="510"/>
      <c r="BB22" s="510"/>
      <c r="BC22" s="510"/>
      <c r="BD22" s="510"/>
      <c r="BE22" s="510"/>
      <c r="BF22" s="510"/>
      <c r="BG22" s="510"/>
      <c r="BH22" s="510"/>
      <c r="BI22" s="510"/>
      <c r="BJ22" s="510"/>
      <c r="BK22" s="510"/>
      <c r="BL22" s="510"/>
      <c r="BM22" s="510"/>
      <c r="BN22" s="510"/>
      <c r="BO22" s="510"/>
      <c r="BP22" s="510"/>
      <c r="BQ22" s="510"/>
      <c r="BR22" s="510"/>
      <c r="BS22" s="510"/>
      <c r="BT22" s="510"/>
      <c r="BU22" s="510"/>
      <c r="BV22" s="510"/>
      <c r="BW22" s="510"/>
      <c r="BX22" s="510"/>
      <c r="BY22" s="510"/>
      <c r="BZ22" s="510"/>
      <c r="CA22" s="511" t="str">
        <f t="shared" si="4"/>
        <v/>
      </c>
      <c r="CB22" s="511" t="str">
        <f t="shared" si="5"/>
        <v/>
      </c>
      <c r="CC22" s="510"/>
      <c r="CD22" s="510"/>
      <c r="CE22" s="512"/>
      <c r="CF22" s="512"/>
      <c r="CG22" s="512"/>
      <c r="CH22" s="512"/>
      <c r="CI22" s="512"/>
      <c r="CK22" s="513">
        <f t="shared" si="6"/>
        <v>0</v>
      </c>
      <c r="CL22" s="513">
        <f t="shared" si="6"/>
        <v>0</v>
      </c>
    </row>
    <row r="23" spans="1:90" ht="15" customHeight="1">
      <c r="A23" s="5618"/>
      <c r="B23" s="522" t="s">
        <v>247</v>
      </c>
      <c r="C23" s="523">
        <f t="shared" si="0"/>
        <v>0</v>
      </c>
      <c r="D23" s="524">
        <f t="shared" si="2"/>
        <v>0</v>
      </c>
      <c r="E23" s="525">
        <f t="shared" si="2"/>
        <v>0</v>
      </c>
      <c r="F23" s="207"/>
      <c r="G23" s="247"/>
      <c r="H23" s="164"/>
      <c r="I23" s="515"/>
      <c r="J23" s="207"/>
      <c r="K23" s="247"/>
      <c r="L23" s="207"/>
      <c r="M23" s="247"/>
      <c r="N23" s="521"/>
      <c r="O23" s="247"/>
      <c r="P23" s="521"/>
      <c r="Q23" s="312"/>
      <c r="R23" s="297"/>
      <c r="S23" s="283"/>
      <c r="T23" s="507" t="str">
        <f t="shared" si="3"/>
        <v/>
      </c>
      <c r="U23" s="508"/>
      <c r="V23" s="508"/>
      <c r="W23" s="508"/>
      <c r="X23" s="508"/>
      <c r="Y23" s="508"/>
      <c r="Z23" s="508"/>
      <c r="AA23" s="508"/>
      <c r="AB23" s="508"/>
      <c r="AC23" s="508"/>
      <c r="AD23" s="508"/>
      <c r="AE23" s="508"/>
      <c r="AF23" s="508"/>
      <c r="AG23" s="508"/>
      <c r="AH23" s="508"/>
      <c r="AI23" s="508"/>
      <c r="AJ23" s="508"/>
      <c r="AK23" s="508"/>
      <c r="AL23" s="508"/>
      <c r="AM23" s="508"/>
      <c r="AN23" s="508"/>
      <c r="AO23" s="508"/>
      <c r="AP23" s="508"/>
      <c r="AQ23" s="508"/>
      <c r="AR23" s="508"/>
      <c r="AS23" s="508"/>
      <c r="AT23" s="508"/>
      <c r="AU23" s="508"/>
      <c r="AV23" s="508"/>
      <c r="AW23" s="508"/>
      <c r="AX23" s="508"/>
      <c r="AY23" s="509"/>
      <c r="AZ23" s="510"/>
      <c r="BA23" s="510"/>
      <c r="BB23" s="510"/>
      <c r="BC23" s="510"/>
      <c r="BD23" s="510"/>
      <c r="BE23" s="510"/>
      <c r="BF23" s="510"/>
      <c r="BG23" s="510"/>
      <c r="BH23" s="510"/>
      <c r="BI23" s="510"/>
      <c r="BJ23" s="510"/>
      <c r="BK23" s="510"/>
      <c r="BL23" s="510"/>
      <c r="BM23" s="510"/>
      <c r="BN23" s="510"/>
      <c r="BO23" s="510"/>
      <c r="BP23" s="510"/>
      <c r="BQ23" s="510"/>
      <c r="BR23" s="510"/>
      <c r="BS23" s="510"/>
      <c r="BT23" s="510"/>
      <c r="BU23" s="510"/>
      <c r="BV23" s="510"/>
      <c r="BW23" s="510"/>
      <c r="BX23" s="510"/>
      <c r="BY23" s="510"/>
      <c r="BZ23" s="510"/>
      <c r="CA23" s="511" t="str">
        <f t="shared" si="4"/>
        <v/>
      </c>
      <c r="CB23" s="511" t="str">
        <f t="shared" si="5"/>
        <v/>
      </c>
      <c r="CC23" s="510"/>
      <c r="CD23" s="510"/>
      <c r="CE23" s="512"/>
      <c r="CF23" s="512"/>
      <c r="CG23" s="512"/>
      <c r="CH23" s="512"/>
      <c r="CI23" s="512"/>
      <c r="CK23" s="513">
        <f t="shared" si="6"/>
        <v>0</v>
      </c>
      <c r="CL23" s="513">
        <f t="shared" si="6"/>
        <v>0</v>
      </c>
    </row>
    <row r="24" spans="1:90" ht="15" customHeight="1">
      <c r="A24" s="5620"/>
      <c r="B24" s="490" t="s">
        <v>248</v>
      </c>
      <c r="C24" s="491">
        <f t="shared" si="0"/>
        <v>0</v>
      </c>
      <c r="D24" s="526">
        <f t="shared" si="2"/>
        <v>0</v>
      </c>
      <c r="E24" s="493">
        <f t="shared" si="2"/>
        <v>0</v>
      </c>
      <c r="F24" s="122"/>
      <c r="G24" s="254"/>
      <c r="H24" s="122"/>
      <c r="I24" s="254"/>
      <c r="J24" s="122"/>
      <c r="K24" s="254"/>
      <c r="L24" s="122"/>
      <c r="M24" s="254"/>
      <c r="N24" s="270"/>
      <c r="O24" s="254"/>
      <c r="P24" s="270"/>
      <c r="Q24" s="116"/>
      <c r="R24" s="317"/>
      <c r="S24" s="120"/>
      <c r="T24" s="507" t="str">
        <f t="shared" si="3"/>
        <v/>
      </c>
      <c r="U24" s="508"/>
      <c r="V24" s="508"/>
      <c r="W24" s="508"/>
      <c r="X24" s="508"/>
      <c r="Y24" s="508"/>
      <c r="Z24" s="508"/>
      <c r="AA24" s="508"/>
      <c r="AB24" s="508"/>
      <c r="AC24" s="508"/>
      <c r="AD24" s="508"/>
      <c r="AE24" s="508"/>
      <c r="AF24" s="508"/>
      <c r="AG24" s="508"/>
      <c r="AH24" s="508"/>
      <c r="AI24" s="508"/>
      <c r="AJ24" s="508"/>
      <c r="AK24" s="508"/>
      <c r="AL24" s="508"/>
      <c r="AM24" s="508"/>
      <c r="AN24" s="508"/>
      <c r="AO24" s="508"/>
      <c r="AP24" s="508"/>
      <c r="AQ24" s="508"/>
      <c r="AR24" s="508"/>
      <c r="AS24" s="508"/>
      <c r="AT24" s="508"/>
      <c r="AU24" s="508"/>
      <c r="AV24" s="508"/>
      <c r="AW24" s="508"/>
      <c r="AX24" s="508"/>
      <c r="AY24" s="509"/>
      <c r="AZ24" s="510"/>
      <c r="BA24" s="510"/>
      <c r="BB24" s="510"/>
      <c r="BC24" s="510"/>
      <c r="BD24" s="510"/>
      <c r="BE24" s="510"/>
      <c r="BF24" s="510"/>
      <c r="BG24" s="510"/>
      <c r="BH24" s="510"/>
      <c r="BI24" s="510"/>
      <c r="BJ24" s="510"/>
      <c r="BK24" s="510"/>
      <c r="BL24" s="510"/>
      <c r="BM24" s="510"/>
      <c r="BN24" s="510"/>
      <c r="BO24" s="510"/>
      <c r="BP24" s="510"/>
      <c r="BQ24" s="510"/>
      <c r="BR24" s="510"/>
      <c r="BS24" s="510"/>
      <c r="BT24" s="510"/>
      <c r="BU24" s="510"/>
      <c r="BV24" s="510"/>
      <c r="BW24" s="510"/>
      <c r="BX24" s="510"/>
      <c r="BY24" s="510"/>
      <c r="BZ24" s="510"/>
      <c r="CA24" s="511" t="str">
        <f t="shared" si="4"/>
        <v/>
      </c>
      <c r="CB24" s="511" t="str">
        <f t="shared" si="5"/>
        <v/>
      </c>
      <c r="CC24" s="510"/>
      <c r="CD24" s="510"/>
      <c r="CE24" s="512"/>
      <c r="CF24" s="512"/>
      <c r="CG24" s="512"/>
      <c r="CH24" s="512"/>
      <c r="CI24" s="512"/>
      <c r="CK24" s="513">
        <f t="shared" si="6"/>
        <v>0</v>
      </c>
      <c r="CL24" s="513">
        <f t="shared" si="6"/>
        <v>0</v>
      </c>
    </row>
    <row r="25" spans="1:90" ht="21">
      <c r="A25" s="5619" t="s">
        <v>249</v>
      </c>
      <c r="B25" s="277" t="s">
        <v>250</v>
      </c>
      <c r="C25" s="486">
        <f t="shared" si="0"/>
        <v>0</v>
      </c>
      <c r="D25" s="514">
        <f t="shared" si="2"/>
        <v>0</v>
      </c>
      <c r="E25" s="488">
        <f t="shared" si="2"/>
        <v>0</v>
      </c>
      <c r="F25" s="95"/>
      <c r="G25" s="237"/>
      <c r="H25" s="95"/>
      <c r="I25" s="237"/>
      <c r="J25" s="95"/>
      <c r="K25" s="237"/>
      <c r="L25" s="95"/>
      <c r="M25" s="237"/>
      <c r="N25" s="527"/>
      <c r="O25" s="237"/>
      <c r="P25" s="527"/>
      <c r="Q25" s="528"/>
      <c r="R25" s="294"/>
      <c r="S25" s="93"/>
      <c r="T25" s="507" t="str">
        <f t="shared" si="3"/>
        <v/>
      </c>
      <c r="U25" s="508"/>
      <c r="V25" s="508"/>
      <c r="W25" s="508"/>
      <c r="X25" s="508"/>
      <c r="Y25" s="508"/>
      <c r="Z25" s="508"/>
      <c r="AA25" s="508"/>
      <c r="AB25" s="508"/>
      <c r="AC25" s="508"/>
      <c r="AD25" s="508"/>
      <c r="AE25" s="508"/>
      <c r="AF25" s="508"/>
      <c r="AG25" s="508"/>
      <c r="AH25" s="508"/>
      <c r="AI25" s="508"/>
      <c r="AJ25" s="508"/>
      <c r="AK25" s="508"/>
      <c r="AL25" s="508"/>
      <c r="AM25" s="508"/>
      <c r="AN25" s="508"/>
      <c r="AO25" s="508"/>
      <c r="AP25" s="508"/>
      <c r="AQ25" s="508"/>
      <c r="AR25" s="508"/>
      <c r="AS25" s="508"/>
      <c r="AT25" s="508"/>
      <c r="AU25" s="508"/>
      <c r="AV25" s="508"/>
      <c r="AW25" s="508"/>
      <c r="AX25" s="508"/>
      <c r="AY25" s="509"/>
      <c r="AZ25" s="510"/>
      <c r="BA25" s="510"/>
      <c r="BB25" s="510"/>
      <c r="BC25" s="510"/>
      <c r="BD25" s="510"/>
      <c r="BE25" s="510"/>
      <c r="BF25" s="510"/>
      <c r="BG25" s="510"/>
      <c r="BH25" s="510"/>
      <c r="BI25" s="510"/>
      <c r="BJ25" s="510"/>
      <c r="BK25" s="510"/>
      <c r="BL25" s="510"/>
      <c r="BM25" s="510"/>
      <c r="BN25" s="510"/>
      <c r="BO25" s="510"/>
      <c r="BP25" s="510"/>
      <c r="BQ25" s="510"/>
      <c r="BR25" s="510"/>
      <c r="BS25" s="510"/>
      <c r="BT25" s="510"/>
      <c r="BU25" s="510"/>
      <c r="BV25" s="510"/>
      <c r="BW25" s="510"/>
      <c r="BX25" s="510"/>
      <c r="BY25" s="510"/>
      <c r="BZ25" s="510"/>
      <c r="CA25" s="511" t="str">
        <f t="shared" si="4"/>
        <v/>
      </c>
      <c r="CB25" s="511" t="str">
        <f t="shared" si="5"/>
        <v/>
      </c>
      <c r="CC25" s="510"/>
      <c r="CD25" s="510"/>
      <c r="CE25" s="512"/>
      <c r="CF25" s="512"/>
      <c r="CG25" s="512"/>
      <c r="CH25" s="512"/>
      <c r="CI25" s="512"/>
      <c r="CK25" s="513">
        <f t="shared" si="6"/>
        <v>0</v>
      </c>
      <c r="CL25" s="513">
        <f t="shared" si="6"/>
        <v>0</v>
      </c>
    </row>
    <row r="26" spans="1:90" ht="15" customHeight="1">
      <c r="A26" s="5618"/>
      <c r="B26" s="529" t="s">
        <v>251</v>
      </c>
      <c r="C26" s="518">
        <f t="shared" si="0"/>
        <v>0</v>
      </c>
      <c r="D26" s="519">
        <f t="shared" si="2"/>
        <v>0</v>
      </c>
      <c r="E26" s="520">
        <f t="shared" si="2"/>
        <v>0</v>
      </c>
      <c r="F26" s="164"/>
      <c r="G26" s="515"/>
      <c r="H26" s="164"/>
      <c r="I26" s="515"/>
      <c r="J26" s="164"/>
      <c r="K26" s="515"/>
      <c r="L26" s="164"/>
      <c r="M26" s="515"/>
      <c r="N26" s="516"/>
      <c r="O26" s="515"/>
      <c r="P26" s="516"/>
      <c r="Q26" s="89"/>
      <c r="R26" s="517"/>
      <c r="S26" s="282"/>
      <c r="T26" s="507" t="str">
        <f t="shared" si="3"/>
        <v/>
      </c>
      <c r="U26" s="508"/>
      <c r="V26" s="508"/>
      <c r="W26" s="508"/>
      <c r="X26" s="508"/>
      <c r="Y26" s="508"/>
      <c r="Z26" s="508"/>
      <c r="AA26" s="508"/>
      <c r="AB26" s="508"/>
      <c r="AC26" s="508"/>
      <c r="AD26" s="508"/>
      <c r="AE26" s="508"/>
      <c r="AF26" s="508"/>
      <c r="AG26" s="508"/>
      <c r="AH26" s="508"/>
      <c r="AI26" s="508"/>
      <c r="AJ26" s="508"/>
      <c r="AK26" s="508"/>
      <c r="AL26" s="508"/>
      <c r="AM26" s="508"/>
      <c r="AN26" s="508"/>
      <c r="AO26" s="508"/>
      <c r="AP26" s="508"/>
      <c r="AQ26" s="508"/>
      <c r="AR26" s="508"/>
      <c r="AS26" s="508"/>
      <c r="AT26" s="508"/>
      <c r="AU26" s="508"/>
      <c r="AV26" s="508"/>
      <c r="AW26" s="508"/>
      <c r="AX26" s="508"/>
      <c r="AY26" s="509"/>
      <c r="AZ26" s="510"/>
      <c r="BA26" s="510"/>
      <c r="BB26" s="510"/>
      <c r="BC26" s="510"/>
      <c r="BD26" s="510"/>
      <c r="BE26" s="510"/>
      <c r="BF26" s="510"/>
      <c r="BG26" s="510"/>
      <c r="BH26" s="510"/>
      <c r="BI26" s="510"/>
      <c r="BJ26" s="510"/>
      <c r="BK26" s="510"/>
      <c r="BL26" s="510"/>
      <c r="BM26" s="510"/>
      <c r="BN26" s="510"/>
      <c r="BO26" s="510"/>
      <c r="BP26" s="510"/>
      <c r="BQ26" s="510"/>
      <c r="BR26" s="510"/>
      <c r="BS26" s="510"/>
      <c r="BT26" s="510"/>
      <c r="BU26" s="510"/>
      <c r="BV26" s="510"/>
      <c r="BW26" s="510"/>
      <c r="BX26" s="510"/>
      <c r="BY26" s="510"/>
      <c r="BZ26" s="510"/>
      <c r="CA26" s="511" t="str">
        <f t="shared" si="4"/>
        <v/>
      </c>
      <c r="CB26" s="511" t="str">
        <f t="shared" si="5"/>
        <v/>
      </c>
      <c r="CC26" s="510"/>
      <c r="CD26" s="510"/>
      <c r="CE26" s="512"/>
      <c r="CF26" s="512"/>
      <c r="CG26" s="512"/>
      <c r="CH26" s="512"/>
      <c r="CI26" s="512"/>
      <c r="CK26" s="513">
        <f t="shared" si="6"/>
        <v>0</v>
      </c>
      <c r="CL26" s="513">
        <f t="shared" si="6"/>
        <v>0</v>
      </c>
    </row>
    <row r="27" spans="1:90" ht="15" customHeight="1">
      <c r="A27" s="5618"/>
      <c r="B27" s="529" t="s">
        <v>252</v>
      </c>
      <c r="C27" s="518">
        <f t="shared" si="0"/>
        <v>0</v>
      </c>
      <c r="D27" s="519">
        <f t="shared" si="2"/>
        <v>0</v>
      </c>
      <c r="E27" s="520">
        <f t="shared" si="2"/>
        <v>0</v>
      </c>
      <c r="F27" s="164"/>
      <c r="G27" s="515"/>
      <c r="H27" s="164"/>
      <c r="I27" s="515"/>
      <c r="J27" s="164"/>
      <c r="K27" s="515"/>
      <c r="L27" s="164"/>
      <c r="M27" s="515"/>
      <c r="N27" s="516"/>
      <c r="O27" s="515"/>
      <c r="P27" s="516"/>
      <c r="Q27" s="89"/>
      <c r="R27" s="517"/>
      <c r="S27" s="282"/>
      <c r="T27" s="507" t="str">
        <f t="shared" si="3"/>
        <v/>
      </c>
      <c r="U27" s="508"/>
      <c r="V27" s="508"/>
      <c r="W27" s="508"/>
      <c r="X27" s="508"/>
      <c r="Y27" s="508"/>
      <c r="Z27" s="508"/>
      <c r="AA27" s="508"/>
      <c r="AB27" s="508"/>
      <c r="AC27" s="508"/>
      <c r="AD27" s="508"/>
      <c r="AE27" s="508"/>
      <c r="AF27" s="508"/>
      <c r="AG27" s="508"/>
      <c r="AH27" s="508"/>
      <c r="AI27" s="508"/>
      <c r="AJ27" s="508"/>
      <c r="AK27" s="508"/>
      <c r="AL27" s="508"/>
      <c r="AM27" s="508"/>
      <c r="AN27" s="508"/>
      <c r="AO27" s="508"/>
      <c r="AP27" s="508"/>
      <c r="AQ27" s="508"/>
      <c r="AR27" s="508"/>
      <c r="AS27" s="508"/>
      <c r="AT27" s="508"/>
      <c r="AU27" s="508"/>
      <c r="AV27" s="508"/>
      <c r="AW27" s="508"/>
      <c r="AX27" s="508"/>
      <c r="AY27" s="509"/>
      <c r="AZ27" s="510"/>
      <c r="BA27" s="510"/>
      <c r="BB27" s="510"/>
      <c r="BC27" s="510"/>
      <c r="BD27" s="510"/>
      <c r="BE27" s="510"/>
      <c r="BF27" s="510"/>
      <c r="BG27" s="510"/>
      <c r="BH27" s="510"/>
      <c r="BI27" s="510"/>
      <c r="BJ27" s="510"/>
      <c r="BK27" s="510"/>
      <c r="BL27" s="510"/>
      <c r="BM27" s="510"/>
      <c r="BN27" s="510"/>
      <c r="BO27" s="510"/>
      <c r="BP27" s="510"/>
      <c r="BQ27" s="510"/>
      <c r="BR27" s="510"/>
      <c r="BS27" s="510"/>
      <c r="BT27" s="510"/>
      <c r="BU27" s="510"/>
      <c r="BV27" s="510"/>
      <c r="BW27" s="510"/>
      <c r="BX27" s="510"/>
      <c r="BY27" s="510"/>
      <c r="BZ27" s="510"/>
      <c r="CA27" s="511" t="str">
        <f t="shared" si="4"/>
        <v/>
      </c>
      <c r="CB27" s="511" t="str">
        <f t="shared" si="5"/>
        <v/>
      </c>
      <c r="CC27" s="510"/>
      <c r="CD27" s="510"/>
      <c r="CE27" s="512"/>
      <c r="CF27" s="512"/>
      <c r="CG27" s="512"/>
      <c r="CH27" s="512"/>
      <c r="CI27" s="512"/>
      <c r="CK27" s="513">
        <f t="shared" si="6"/>
        <v>0</v>
      </c>
      <c r="CL27" s="513">
        <f t="shared" si="6"/>
        <v>0</v>
      </c>
    </row>
    <row r="28" spans="1:90" ht="15" customHeight="1">
      <c r="A28" s="5618"/>
      <c r="B28" s="530" t="s">
        <v>253</v>
      </c>
      <c r="C28" s="531">
        <f t="shared" si="0"/>
        <v>0</v>
      </c>
      <c r="D28" s="532">
        <f t="shared" si="2"/>
        <v>0</v>
      </c>
      <c r="E28" s="533">
        <f t="shared" si="2"/>
        <v>0</v>
      </c>
      <c r="F28" s="164"/>
      <c r="G28" s="515"/>
      <c r="H28" s="164"/>
      <c r="I28" s="515"/>
      <c r="J28" s="164"/>
      <c r="K28" s="515"/>
      <c r="L28" s="164"/>
      <c r="M28" s="515"/>
      <c r="N28" s="516"/>
      <c r="O28" s="515"/>
      <c r="P28" s="516"/>
      <c r="Q28" s="89"/>
      <c r="R28" s="517"/>
      <c r="S28" s="282"/>
      <c r="T28" s="507" t="str">
        <f t="shared" si="3"/>
        <v/>
      </c>
      <c r="U28" s="508"/>
      <c r="V28" s="508"/>
      <c r="W28" s="508"/>
      <c r="X28" s="508"/>
      <c r="Y28" s="508"/>
      <c r="Z28" s="508"/>
      <c r="AA28" s="508"/>
      <c r="AB28" s="508"/>
      <c r="AC28" s="508"/>
      <c r="AD28" s="508"/>
      <c r="AE28" s="508"/>
      <c r="AF28" s="508"/>
      <c r="AG28" s="508"/>
      <c r="AH28" s="508"/>
      <c r="AI28" s="508"/>
      <c r="AJ28" s="508"/>
      <c r="AK28" s="508"/>
      <c r="AL28" s="508"/>
      <c r="AM28" s="508"/>
      <c r="AN28" s="508"/>
      <c r="AO28" s="508"/>
      <c r="AP28" s="508"/>
      <c r="AQ28" s="508"/>
      <c r="AR28" s="508"/>
      <c r="AS28" s="508"/>
      <c r="AT28" s="508"/>
      <c r="AU28" s="508"/>
      <c r="AV28" s="508"/>
      <c r="AW28" s="508"/>
      <c r="AX28" s="508"/>
      <c r="AY28" s="509"/>
      <c r="AZ28" s="510"/>
      <c r="BA28" s="510"/>
      <c r="BB28" s="510"/>
      <c r="BC28" s="510"/>
      <c r="BD28" s="510"/>
      <c r="BE28" s="510"/>
      <c r="BF28" s="510"/>
      <c r="BG28" s="510"/>
      <c r="BH28" s="510"/>
      <c r="BI28" s="510"/>
      <c r="BJ28" s="510"/>
      <c r="BK28" s="510"/>
      <c r="BL28" s="510"/>
      <c r="BM28" s="510"/>
      <c r="BN28" s="510"/>
      <c r="BO28" s="510"/>
      <c r="BP28" s="510"/>
      <c r="BQ28" s="510"/>
      <c r="BR28" s="510"/>
      <c r="BS28" s="510"/>
      <c r="BT28" s="510"/>
      <c r="BU28" s="510"/>
      <c r="BV28" s="510"/>
      <c r="BW28" s="510"/>
      <c r="BX28" s="510"/>
      <c r="BY28" s="510"/>
      <c r="BZ28" s="510"/>
      <c r="CA28" s="511" t="str">
        <f t="shared" si="4"/>
        <v/>
      </c>
      <c r="CB28" s="511" t="str">
        <f t="shared" si="5"/>
        <v/>
      </c>
      <c r="CC28" s="510"/>
      <c r="CD28" s="510"/>
      <c r="CE28" s="512"/>
      <c r="CF28" s="512"/>
      <c r="CG28" s="512"/>
      <c r="CH28" s="512"/>
      <c r="CI28" s="512"/>
      <c r="CK28" s="513">
        <f t="shared" si="6"/>
        <v>0</v>
      </c>
      <c r="CL28" s="513">
        <f t="shared" si="6"/>
        <v>0</v>
      </c>
    </row>
    <row r="29" spans="1:90" ht="21">
      <c r="A29" s="5618"/>
      <c r="B29" s="530" t="s">
        <v>254</v>
      </c>
      <c r="C29" s="531">
        <f t="shared" si="0"/>
        <v>0</v>
      </c>
      <c r="D29" s="532">
        <f t="shared" si="2"/>
        <v>0</v>
      </c>
      <c r="E29" s="533">
        <f t="shared" si="2"/>
        <v>0</v>
      </c>
      <c r="F29" s="164"/>
      <c r="G29" s="515"/>
      <c r="H29" s="164"/>
      <c r="I29" s="515"/>
      <c r="J29" s="164"/>
      <c r="K29" s="515"/>
      <c r="L29" s="164"/>
      <c r="M29" s="515"/>
      <c r="N29" s="516"/>
      <c r="O29" s="515"/>
      <c r="P29" s="516"/>
      <c r="Q29" s="89"/>
      <c r="R29" s="517"/>
      <c r="S29" s="282"/>
      <c r="T29" s="507" t="str">
        <f t="shared" si="3"/>
        <v/>
      </c>
      <c r="U29" s="508"/>
      <c r="V29" s="508"/>
      <c r="W29" s="508"/>
      <c r="X29" s="508"/>
      <c r="Y29" s="508"/>
      <c r="Z29" s="508"/>
      <c r="AA29" s="508"/>
      <c r="AB29" s="508"/>
      <c r="AC29" s="508"/>
      <c r="AD29" s="508"/>
      <c r="AE29" s="508"/>
      <c r="AF29" s="508"/>
      <c r="AG29" s="508"/>
      <c r="AH29" s="508"/>
      <c r="AI29" s="508"/>
      <c r="AJ29" s="508"/>
      <c r="AK29" s="508"/>
      <c r="AL29" s="508"/>
      <c r="AM29" s="508"/>
      <c r="AN29" s="508"/>
      <c r="AO29" s="508"/>
      <c r="AP29" s="508"/>
      <c r="AQ29" s="508"/>
      <c r="AR29" s="508"/>
      <c r="AS29" s="508"/>
      <c r="AT29" s="508"/>
      <c r="AU29" s="508"/>
      <c r="AV29" s="508"/>
      <c r="AW29" s="508"/>
      <c r="AX29" s="508"/>
      <c r="AY29" s="509"/>
      <c r="AZ29" s="510"/>
      <c r="BA29" s="510"/>
      <c r="BB29" s="510"/>
      <c r="BC29" s="510"/>
      <c r="BD29" s="510"/>
      <c r="BE29" s="510"/>
      <c r="BF29" s="510"/>
      <c r="BG29" s="510"/>
      <c r="BH29" s="510"/>
      <c r="BI29" s="510"/>
      <c r="BJ29" s="510"/>
      <c r="BK29" s="510"/>
      <c r="BL29" s="510"/>
      <c r="BM29" s="510"/>
      <c r="BN29" s="510"/>
      <c r="BO29" s="510"/>
      <c r="BP29" s="510"/>
      <c r="BQ29" s="510"/>
      <c r="BR29" s="510"/>
      <c r="BS29" s="510"/>
      <c r="BT29" s="510"/>
      <c r="BU29" s="510"/>
      <c r="BV29" s="510"/>
      <c r="BW29" s="510"/>
      <c r="BX29" s="510"/>
      <c r="BY29" s="510"/>
      <c r="BZ29" s="510"/>
      <c r="CA29" s="511" t="str">
        <f t="shared" si="4"/>
        <v/>
      </c>
      <c r="CB29" s="511" t="str">
        <f t="shared" si="5"/>
        <v/>
      </c>
      <c r="CC29" s="510"/>
      <c r="CD29" s="510"/>
      <c r="CE29" s="512"/>
      <c r="CF29" s="512"/>
      <c r="CG29" s="512"/>
      <c r="CH29" s="512"/>
      <c r="CI29" s="512"/>
      <c r="CK29" s="513">
        <f t="shared" si="6"/>
        <v>0</v>
      </c>
      <c r="CL29" s="513">
        <f t="shared" si="6"/>
        <v>0</v>
      </c>
    </row>
    <row r="30" spans="1:90" ht="15" customHeight="1">
      <c r="A30" s="5618"/>
      <c r="B30" s="530" t="s">
        <v>255</v>
      </c>
      <c r="C30" s="531">
        <f t="shared" ref="C30:C31" si="7">SUM(D30:E30)</f>
        <v>0</v>
      </c>
      <c r="D30" s="532">
        <f t="shared" si="2"/>
        <v>0</v>
      </c>
      <c r="E30" s="533">
        <f t="shared" si="2"/>
        <v>0</v>
      </c>
      <c r="F30" s="164"/>
      <c r="G30" s="515"/>
      <c r="H30" s="164"/>
      <c r="I30" s="515"/>
      <c r="J30" s="164"/>
      <c r="K30" s="515"/>
      <c r="L30" s="164"/>
      <c r="M30" s="515"/>
      <c r="N30" s="516"/>
      <c r="O30" s="515"/>
      <c r="P30" s="516"/>
      <c r="Q30" s="89"/>
      <c r="R30" s="517"/>
      <c r="S30" s="282"/>
      <c r="T30" s="507" t="str">
        <f t="shared" si="3"/>
        <v/>
      </c>
      <c r="U30" s="508"/>
      <c r="V30" s="508"/>
      <c r="W30" s="508"/>
      <c r="X30" s="508"/>
      <c r="Y30" s="508"/>
      <c r="Z30" s="508"/>
      <c r="AA30" s="508"/>
      <c r="AB30" s="508"/>
      <c r="AC30" s="508"/>
      <c r="AD30" s="508"/>
      <c r="AE30" s="508"/>
      <c r="AF30" s="508"/>
      <c r="AG30" s="508"/>
      <c r="AH30" s="508"/>
      <c r="AI30" s="508"/>
      <c r="AJ30" s="508"/>
      <c r="AK30" s="508"/>
      <c r="AL30" s="508"/>
      <c r="AM30" s="508"/>
      <c r="AN30" s="508"/>
      <c r="AO30" s="508"/>
      <c r="AP30" s="508"/>
      <c r="AQ30" s="508"/>
      <c r="AR30" s="508"/>
      <c r="AS30" s="508"/>
      <c r="AT30" s="508"/>
      <c r="AU30" s="508"/>
      <c r="AV30" s="508"/>
      <c r="AW30" s="508"/>
      <c r="AX30" s="508"/>
      <c r="AY30" s="509"/>
      <c r="AZ30" s="510"/>
      <c r="BA30" s="510"/>
      <c r="BB30" s="510"/>
      <c r="BC30" s="510"/>
      <c r="BD30" s="510"/>
      <c r="BE30" s="510"/>
      <c r="BF30" s="510"/>
      <c r="BG30" s="510"/>
      <c r="BH30" s="510"/>
      <c r="BI30" s="510"/>
      <c r="BJ30" s="510"/>
      <c r="BK30" s="510"/>
      <c r="BL30" s="510"/>
      <c r="BM30" s="510"/>
      <c r="BN30" s="510"/>
      <c r="BO30" s="510"/>
      <c r="BP30" s="510"/>
      <c r="BQ30" s="510"/>
      <c r="BR30" s="510"/>
      <c r="BS30" s="510"/>
      <c r="BT30" s="510"/>
      <c r="BU30" s="510"/>
      <c r="BV30" s="510"/>
      <c r="BW30" s="510"/>
      <c r="BX30" s="510"/>
      <c r="BY30" s="510"/>
      <c r="BZ30" s="510"/>
      <c r="CA30" s="511" t="str">
        <f t="shared" si="4"/>
        <v/>
      </c>
      <c r="CB30" s="511" t="str">
        <f t="shared" si="5"/>
        <v/>
      </c>
      <c r="CC30" s="510"/>
      <c r="CD30" s="510"/>
      <c r="CE30" s="512"/>
      <c r="CF30" s="512"/>
      <c r="CG30" s="512"/>
      <c r="CH30" s="512"/>
      <c r="CI30" s="512"/>
      <c r="CK30" s="513">
        <f t="shared" si="6"/>
        <v>0</v>
      </c>
      <c r="CL30" s="513">
        <f t="shared" si="6"/>
        <v>0</v>
      </c>
    </row>
    <row r="31" spans="1:90" ht="24.75" customHeight="1">
      <c r="A31" s="5618"/>
      <c r="B31" s="530" t="s">
        <v>256</v>
      </c>
      <c r="C31" s="531">
        <f t="shared" si="7"/>
        <v>0</v>
      </c>
      <c r="D31" s="519">
        <f t="shared" si="2"/>
        <v>0</v>
      </c>
      <c r="E31" s="520">
        <f t="shared" si="2"/>
        <v>0</v>
      </c>
      <c r="F31" s="164"/>
      <c r="G31" s="515"/>
      <c r="H31" s="164"/>
      <c r="I31" s="515"/>
      <c r="J31" s="164"/>
      <c r="K31" s="515"/>
      <c r="L31" s="164"/>
      <c r="M31" s="515"/>
      <c r="N31" s="516"/>
      <c r="O31" s="515"/>
      <c r="P31" s="516"/>
      <c r="Q31" s="89"/>
      <c r="R31" s="517"/>
      <c r="S31" s="282"/>
      <c r="T31" s="507" t="str">
        <f t="shared" si="3"/>
        <v/>
      </c>
      <c r="U31" s="508"/>
      <c r="V31" s="508"/>
      <c r="W31" s="508"/>
      <c r="X31" s="508"/>
      <c r="Y31" s="508"/>
      <c r="Z31" s="508"/>
      <c r="AA31" s="508"/>
      <c r="AB31" s="508"/>
      <c r="AC31" s="508"/>
      <c r="AD31" s="508"/>
      <c r="AE31" s="508"/>
      <c r="AF31" s="508"/>
      <c r="AG31" s="508"/>
      <c r="AH31" s="508"/>
      <c r="AI31" s="508"/>
      <c r="AJ31" s="508"/>
      <c r="AK31" s="508"/>
      <c r="AL31" s="508"/>
      <c r="AM31" s="508"/>
      <c r="AN31" s="508"/>
      <c r="AO31" s="508"/>
      <c r="AP31" s="508"/>
      <c r="AQ31" s="508"/>
      <c r="AR31" s="508"/>
      <c r="AS31" s="508"/>
      <c r="AT31" s="508"/>
      <c r="AU31" s="508"/>
      <c r="AV31" s="508"/>
      <c r="AW31" s="508"/>
      <c r="AX31" s="508"/>
      <c r="AY31" s="509"/>
      <c r="AZ31" s="510"/>
      <c r="BA31" s="510"/>
      <c r="BB31" s="510"/>
      <c r="BC31" s="510"/>
      <c r="BD31" s="510"/>
      <c r="BE31" s="510"/>
      <c r="BF31" s="510"/>
      <c r="BG31" s="510"/>
      <c r="BH31" s="510"/>
      <c r="BI31" s="510"/>
      <c r="BJ31" s="510"/>
      <c r="BK31" s="510"/>
      <c r="BL31" s="510"/>
      <c r="BM31" s="510"/>
      <c r="BN31" s="510"/>
      <c r="BO31" s="510"/>
      <c r="BP31" s="510"/>
      <c r="BQ31" s="510"/>
      <c r="BR31" s="510"/>
      <c r="BS31" s="510"/>
      <c r="BT31" s="510"/>
      <c r="BU31" s="510"/>
      <c r="BV31" s="510"/>
      <c r="BW31" s="510"/>
      <c r="BX31" s="510"/>
      <c r="BY31" s="510"/>
      <c r="BZ31" s="510"/>
      <c r="CA31" s="511" t="str">
        <f t="shared" si="4"/>
        <v/>
      </c>
      <c r="CB31" s="511" t="str">
        <f t="shared" si="5"/>
        <v/>
      </c>
      <c r="CC31" s="510"/>
      <c r="CD31" s="510"/>
      <c r="CE31" s="512"/>
      <c r="CF31" s="512"/>
      <c r="CG31" s="512"/>
      <c r="CH31" s="512"/>
      <c r="CI31" s="512"/>
      <c r="CK31" s="513">
        <f t="shared" si="6"/>
        <v>0</v>
      </c>
      <c r="CL31" s="513">
        <f t="shared" si="6"/>
        <v>0</v>
      </c>
    </row>
    <row r="32" spans="1:90" ht="15" customHeight="1">
      <c r="A32" s="5618"/>
      <c r="B32" s="530" t="s">
        <v>257</v>
      </c>
      <c r="C32" s="518">
        <f t="shared" ref="C32:C41" si="8">SUM(D32+E32)</f>
        <v>0</v>
      </c>
      <c r="D32" s="519">
        <f t="shared" si="2"/>
        <v>0</v>
      </c>
      <c r="E32" s="520">
        <f t="shared" si="2"/>
        <v>0</v>
      </c>
      <c r="F32" s="207"/>
      <c r="G32" s="247"/>
      <c r="H32" s="207"/>
      <c r="I32" s="247"/>
      <c r="J32" s="207"/>
      <c r="K32" s="247"/>
      <c r="L32" s="207"/>
      <c r="M32" s="247"/>
      <c r="N32" s="521"/>
      <c r="O32" s="247"/>
      <c r="P32" s="521"/>
      <c r="Q32" s="312"/>
      <c r="R32" s="297"/>
      <c r="S32" s="283"/>
      <c r="T32" s="507" t="str">
        <f t="shared" si="3"/>
        <v/>
      </c>
      <c r="U32" s="508"/>
      <c r="V32" s="508"/>
      <c r="W32" s="508"/>
      <c r="X32" s="508"/>
      <c r="Y32" s="508"/>
      <c r="Z32" s="508"/>
      <c r="AA32" s="508"/>
      <c r="AB32" s="508"/>
      <c r="AC32" s="508"/>
      <c r="AD32" s="508"/>
      <c r="AE32" s="508"/>
      <c r="AF32" s="508"/>
      <c r="AG32" s="508"/>
      <c r="AH32" s="508"/>
      <c r="AI32" s="508"/>
      <c r="AJ32" s="508"/>
      <c r="AK32" s="508"/>
      <c r="AL32" s="508"/>
      <c r="AM32" s="508"/>
      <c r="AN32" s="508"/>
      <c r="AO32" s="508"/>
      <c r="AP32" s="508"/>
      <c r="AQ32" s="508"/>
      <c r="AR32" s="508"/>
      <c r="AS32" s="508"/>
      <c r="AT32" s="508"/>
      <c r="AU32" s="508"/>
      <c r="AV32" s="508"/>
      <c r="AW32" s="508"/>
      <c r="AX32" s="508"/>
      <c r="AY32" s="509"/>
      <c r="AZ32" s="510"/>
      <c r="BA32" s="510"/>
      <c r="BB32" s="510"/>
      <c r="BC32" s="510"/>
      <c r="BD32" s="510"/>
      <c r="BE32" s="510"/>
      <c r="BF32" s="510"/>
      <c r="BG32" s="510"/>
      <c r="BH32" s="510"/>
      <c r="BI32" s="510"/>
      <c r="BJ32" s="510"/>
      <c r="BK32" s="510"/>
      <c r="BL32" s="510"/>
      <c r="BM32" s="510"/>
      <c r="BN32" s="510"/>
      <c r="BO32" s="510"/>
      <c r="BP32" s="510"/>
      <c r="BQ32" s="510"/>
      <c r="BR32" s="510"/>
      <c r="BS32" s="510"/>
      <c r="BT32" s="510"/>
      <c r="BU32" s="510"/>
      <c r="BV32" s="510"/>
      <c r="BW32" s="510"/>
      <c r="BX32" s="510"/>
      <c r="BY32" s="510"/>
      <c r="BZ32" s="510"/>
      <c r="CA32" s="511" t="str">
        <f t="shared" si="4"/>
        <v/>
      </c>
      <c r="CB32" s="511" t="str">
        <f t="shared" si="5"/>
        <v/>
      </c>
      <c r="CC32" s="510"/>
      <c r="CD32" s="510"/>
      <c r="CE32" s="512"/>
      <c r="CF32" s="512"/>
      <c r="CG32" s="512"/>
      <c r="CH32" s="512"/>
      <c r="CI32" s="512"/>
      <c r="CK32" s="513">
        <f t="shared" si="6"/>
        <v>0</v>
      </c>
      <c r="CL32" s="513">
        <f t="shared" si="6"/>
        <v>0</v>
      </c>
    </row>
    <row r="33" spans="1:90" ht="15" customHeight="1">
      <c r="A33" s="5618"/>
      <c r="B33" s="1" t="s">
        <v>258</v>
      </c>
      <c r="C33" s="523">
        <f t="shared" si="8"/>
        <v>0</v>
      </c>
      <c r="D33" s="524">
        <f t="shared" si="2"/>
        <v>0</v>
      </c>
      <c r="E33" s="525">
        <f t="shared" si="2"/>
        <v>0</v>
      </c>
      <c r="F33" s="534"/>
      <c r="G33" s="535"/>
      <c r="H33" s="534"/>
      <c r="I33" s="535"/>
      <c r="J33" s="534"/>
      <c r="K33" s="535"/>
      <c r="L33" s="534"/>
      <c r="M33" s="535"/>
      <c r="N33" s="536"/>
      <c r="O33" s="535"/>
      <c r="P33" s="536"/>
      <c r="Q33" s="537"/>
      <c r="R33" s="538"/>
      <c r="S33" s="539"/>
      <c r="T33" s="507" t="str">
        <f t="shared" si="3"/>
        <v/>
      </c>
      <c r="U33" s="508"/>
      <c r="V33" s="508"/>
      <c r="W33" s="508"/>
      <c r="X33" s="508"/>
      <c r="Y33" s="508"/>
      <c r="Z33" s="508"/>
      <c r="AA33" s="508"/>
      <c r="AB33" s="508"/>
      <c r="AC33" s="508"/>
      <c r="AD33" s="508"/>
      <c r="AE33" s="508"/>
      <c r="AF33" s="508"/>
      <c r="AG33" s="508"/>
      <c r="AH33" s="508"/>
      <c r="AI33" s="508"/>
      <c r="AJ33" s="508"/>
      <c r="AK33" s="508"/>
      <c r="AL33" s="508"/>
      <c r="AM33" s="508"/>
      <c r="AN33" s="508"/>
      <c r="AO33" s="508"/>
      <c r="AP33" s="508"/>
      <c r="AQ33" s="508"/>
      <c r="AR33" s="508"/>
      <c r="AS33" s="508"/>
      <c r="AT33" s="508"/>
      <c r="AU33" s="508"/>
      <c r="AV33" s="508"/>
      <c r="AW33" s="508"/>
      <c r="AX33" s="508"/>
      <c r="AY33" s="509"/>
      <c r="AZ33" s="510"/>
      <c r="BA33" s="510"/>
      <c r="BB33" s="510"/>
      <c r="BC33" s="510"/>
      <c r="BD33" s="510"/>
      <c r="BE33" s="510"/>
      <c r="BF33" s="510"/>
      <c r="BG33" s="510"/>
      <c r="BH33" s="510"/>
      <c r="BI33" s="510"/>
      <c r="BJ33" s="510"/>
      <c r="BK33" s="510"/>
      <c r="BL33" s="510"/>
      <c r="BM33" s="510"/>
      <c r="BN33" s="510"/>
      <c r="BO33" s="510"/>
      <c r="BP33" s="510"/>
      <c r="BQ33" s="510"/>
      <c r="BR33" s="510"/>
      <c r="BS33" s="510"/>
      <c r="BT33" s="510"/>
      <c r="BU33" s="510"/>
      <c r="BV33" s="510"/>
      <c r="BW33" s="510"/>
      <c r="BX33" s="510"/>
      <c r="BY33" s="510"/>
      <c r="BZ33" s="510"/>
      <c r="CA33" s="511" t="str">
        <f t="shared" si="4"/>
        <v/>
      </c>
      <c r="CB33" s="511" t="str">
        <f t="shared" si="5"/>
        <v/>
      </c>
      <c r="CC33" s="510"/>
      <c r="CD33" s="510"/>
      <c r="CE33" s="512"/>
      <c r="CF33" s="512"/>
      <c r="CG33" s="512"/>
      <c r="CH33" s="512"/>
      <c r="CI33" s="512"/>
      <c r="CK33" s="513">
        <f t="shared" si="6"/>
        <v>0</v>
      </c>
      <c r="CL33" s="513">
        <f t="shared" si="6"/>
        <v>0</v>
      </c>
    </row>
    <row r="34" spans="1:90" ht="15" customHeight="1">
      <c r="A34" s="5618"/>
      <c r="B34" s="284" t="s">
        <v>259</v>
      </c>
      <c r="C34" s="523">
        <f t="shared" si="8"/>
        <v>0</v>
      </c>
      <c r="D34" s="524">
        <f t="shared" si="2"/>
        <v>0</v>
      </c>
      <c r="E34" s="525">
        <f t="shared" si="2"/>
        <v>0</v>
      </c>
      <c r="F34" s="534"/>
      <c r="G34" s="535"/>
      <c r="H34" s="534"/>
      <c r="I34" s="535"/>
      <c r="J34" s="534"/>
      <c r="K34" s="535"/>
      <c r="L34" s="534"/>
      <c r="M34" s="535"/>
      <c r="N34" s="536"/>
      <c r="O34" s="535"/>
      <c r="P34" s="536"/>
      <c r="Q34" s="537"/>
      <c r="R34" s="538"/>
      <c r="S34" s="539"/>
      <c r="T34" s="507" t="str">
        <f t="shared" si="3"/>
        <v/>
      </c>
      <c r="U34" s="508"/>
      <c r="V34" s="508"/>
      <c r="W34" s="508"/>
      <c r="X34" s="508"/>
      <c r="Y34" s="508"/>
      <c r="Z34" s="508"/>
      <c r="AA34" s="508"/>
      <c r="AB34" s="508"/>
      <c r="AC34" s="508"/>
      <c r="AD34" s="508"/>
      <c r="AE34" s="508"/>
      <c r="AF34" s="508"/>
      <c r="AG34" s="508"/>
      <c r="AH34" s="508"/>
      <c r="AI34" s="508"/>
      <c r="AJ34" s="508"/>
      <c r="AK34" s="508"/>
      <c r="AL34" s="508"/>
      <c r="AM34" s="508"/>
      <c r="AN34" s="508"/>
      <c r="AO34" s="508"/>
      <c r="AP34" s="508"/>
      <c r="AQ34" s="508"/>
      <c r="AR34" s="508"/>
      <c r="AS34" s="508"/>
      <c r="AT34" s="508"/>
      <c r="AU34" s="508"/>
      <c r="AV34" s="508"/>
      <c r="AW34" s="508"/>
      <c r="AX34" s="508"/>
      <c r="AY34" s="509"/>
      <c r="AZ34" s="510"/>
      <c r="BA34" s="510"/>
      <c r="BB34" s="510"/>
      <c r="BC34" s="510"/>
      <c r="BD34" s="510"/>
      <c r="BE34" s="510"/>
      <c r="BF34" s="510"/>
      <c r="BG34" s="510"/>
      <c r="BH34" s="510"/>
      <c r="BI34" s="510"/>
      <c r="BJ34" s="510"/>
      <c r="BK34" s="510"/>
      <c r="BL34" s="510"/>
      <c r="BM34" s="510"/>
      <c r="BN34" s="510"/>
      <c r="BO34" s="510"/>
      <c r="BP34" s="510"/>
      <c r="BQ34" s="510"/>
      <c r="BR34" s="510"/>
      <c r="BS34" s="510"/>
      <c r="BT34" s="510"/>
      <c r="BU34" s="510"/>
      <c r="BV34" s="510"/>
      <c r="BW34" s="510"/>
      <c r="BX34" s="510"/>
      <c r="BY34" s="510"/>
      <c r="BZ34" s="510"/>
      <c r="CA34" s="511" t="str">
        <f t="shared" si="4"/>
        <v/>
      </c>
      <c r="CB34" s="511" t="str">
        <f t="shared" si="5"/>
        <v/>
      </c>
      <c r="CC34" s="510"/>
      <c r="CD34" s="510"/>
      <c r="CE34" s="512"/>
      <c r="CF34" s="512"/>
      <c r="CG34" s="512"/>
      <c r="CH34" s="512"/>
      <c r="CI34" s="512"/>
      <c r="CK34" s="513">
        <f t="shared" si="6"/>
        <v>0</v>
      </c>
      <c r="CL34" s="513">
        <f t="shared" si="6"/>
        <v>0</v>
      </c>
    </row>
    <row r="35" spans="1:90" ht="15" customHeight="1">
      <c r="A35" s="5618"/>
      <c r="B35" s="540" t="s">
        <v>260</v>
      </c>
      <c r="C35" s="541">
        <f t="shared" si="8"/>
        <v>0</v>
      </c>
      <c r="D35" s="542">
        <f t="shared" si="2"/>
        <v>0</v>
      </c>
      <c r="E35" s="543">
        <f t="shared" si="2"/>
        <v>0</v>
      </c>
      <c r="F35" s="534"/>
      <c r="G35" s="535"/>
      <c r="H35" s="534"/>
      <c r="I35" s="535"/>
      <c r="J35" s="534"/>
      <c r="K35" s="535"/>
      <c r="L35" s="534"/>
      <c r="M35" s="535"/>
      <c r="N35" s="536"/>
      <c r="O35" s="535"/>
      <c r="P35" s="536"/>
      <c r="Q35" s="537"/>
      <c r="R35" s="538"/>
      <c r="S35" s="539"/>
      <c r="T35" s="507" t="str">
        <f t="shared" si="3"/>
        <v/>
      </c>
      <c r="U35" s="508"/>
      <c r="V35" s="508"/>
      <c r="W35" s="508"/>
      <c r="X35" s="508"/>
      <c r="Y35" s="508"/>
      <c r="Z35" s="508"/>
      <c r="AA35" s="508"/>
      <c r="AB35" s="508"/>
      <c r="AC35" s="508"/>
      <c r="AD35" s="508"/>
      <c r="AE35" s="508"/>
      <c r="AF35" s="508"/>
      <c r="AG35" s="508"/>
      <c r="AH35" s="508"/>
      <c r="AI35" s="508"/>
      <c r="AJ35" s="508"/>
      <c r="AK35" s="508"/>
      <c r="AL35" s="508"/>
      <c r="AM35" s="508"/>
      <c r="AN35" s="508"/>
      <c r="AO35" s="508"/>
      <c r="AP35" s="508"/>
      <c r="AQ35" s="508"/>
      <c r="AR35" s="508"/>
      <c r="AS35" s="508"/>
      <c r="AT35" s="508"/>
      <c r="AU35" s="508"/>
      <c r="AV35" s="508"/>
      <c r="AW35" s="508"/>
      <c r="AX35" s="508"/>
      <c r="AY35" s="509"/>
      <c r="AZ35" s="510"/>
      <c r="BA35" s="510"/>
      <c r="BB35" s="510"/>
      <c r="BC35" s="510"/>
      <c r="BD35" s="510"/>
      <c r="BE35" s="510"/>
      <c r="BF35" s="510"/>
      <c r="BG35" s="510"/>
      <c r="BH35" s="510"/>
      <c r="BI35" s="510"/>
      <c r="BJ35" s="510"/>
      <c r="BK35" s="510"/>
      <c r="BL35" s="510"/>
      <c r="BM35" s="510"/>
      <c r="BN35" s="510"/>
      <c r="BO35" s="510"/>
      <c r="BP35" s="510"/>
      <c r="BQ35" s="510"/>
      <c r="BR35" s="510"/>
      <c r="BS35" s="510"/>
      <c r="BT35" s="510"/>
      <c r="BU35" s="510"/>
      <c r="BV35" s="510"/>
      <c r="BW35" s="510"/>
      <c r="BX35" s="510"/>
      <c r="BY35" s="510"/>
      <c r="BZ35" s="510"/>
      <c r="CA35" s="511" t="str">
        <f t="shared" si="4"/>
        <v/>
      </c>
      <c r="CB35" s="511" t="str">
        <f t="shared" si="5"/>
        <v/>
      </c>
      <c r="CC35" s="510"/>
      <c r="CD35" s="510"/>
      <c r="CE35" s="512"/>
      <c r="CF35" s="512"/>
      <c r="CG35" s="512"/>
      <c r="CH35" s="512"/>
      <c r="CI35" s="512"/>
      <c r="CK35" s="513">
        <f t="shared" si="6"/>
        <v>0</v>
      </c>
      <c r="CL35" s="513">
        <f t="shared" si="6"/>
        <v>0</v>
      </c>
    </row>
    <row r="36" spans="1:90">
      <c r="A36" s="5620"/>
      <c r="B36" s="544" t="s">
        <v>261</v>
      </c>
      <c r="C36" s="491">
        <f t="shared" si="8"/>
        <v>0</v>
      </c>
      <c r="D36" s="526">
        <f t="shared" si="2"/>
        <v>0</v>
      </c>
      <c r="E36" s="493">
        <f t="shared" si="2"/>
        <v>0</v>
      </c>
      <c r="F36" s="122"/>
      <c r="G36" s="254"/>
      <c r="H36" s="122"/>
      <c r="I36" s="254"/>
      <c r="J36" s="122"/>
      <c r="K36" s="254"/>
      <c r="L36" s="122"/>
      <c r="M36" s="254"/>
      <c r="N36" s="270"/>
      <c r="O36" s="254"/>
      <c r="P36" s="270"/>
      <c r="Q36" s="116"/>
      <c r="R36" s="317"/>
      <c r="S36" s="120"/>
      <c r="T36" s="507" t="str">
        <f t="shared" si="3"/>
        <v/>
      </c>
      <c r="U36" s="508"/>
      <c r="V36" s="508"/>
      <c r="W36" s="508"/>
      <c r="X36" s="508"/>
      <c r="Y36" s="508"/>
      <c r="Z36" s="508"/>
      <c r="AA36" s="508"/>
      <c r="AB36" s="508"/>
      <c r="AC36" s="508"/>
      <c r="AD36" s="508"/>
      <c r="AE36" s="508"/>
      <c r="AF36" s="508"/>
      <c r="AG36" s="508"/>
      <c r="AH36" s="508"/>
      <c r="AI36" s="508"/>
      <c r="AJ36" s="508"/>
      <c r="AK36" s="508"/>
      <c r="AL36" s="508"/>
      <c r="AM36" s="508"/>
      <c r="AN36" s="508"/>
      <c r="AO36" s="508"/>
      <c r="AP36" s="508"/>
      <c r="AQ36" s="508"/>
      <c r="AR36" s="508"/>
      <c r="AS36" s="508"/>
      <c r="AT36" s="508"/>
      <c r="AU36" s="508"/>
      <c r="AV36" s="508"/>
      <c r="AW36" s="508"/>
      <c r="AX36" s="508"/>
      <c r="AY36" s="509"/>
      <c r="AZ36" s="510"/>
      <c r="BA36" s="510"/>
      <c r="BB36" s="510"/>
      <c r="BC36" s="510"/>
      <c r="BD36" s="510"/>
      <c r="BE36" s="510"/>
      <c r="BF36" s="510"/>
      <c r="BG36" s="510"/>
      <c r="BH36" s="510"/>
      <c r="BI36" s="510"/>
      <c r="BJ36" s="510"/>
      <c r="BK36" s="510"/>
      <c r="BL36" s="510"/>
      <c r="BM36" s="510"/>
      <c r="BN36" s="510"/>
      <c r="BO36" s="510"/>
      <c r="BP36" s="510"/>
      <c r="BQ36" s="510"/>
      <c r="BR36" s="510"/>
      <c r="BS36" s="510"/>
      <c r="BT36" s="510"/>
      <c r="BU36" s="510"/>
      <c r="BV36" s="510"/>
      <c r="BW36" s="510"/>
      <c r="BX36" s="510"/>
      <c r="BY36" s="510"/>
      <c r="BZ36" s="510"/>
      <c r="CA36" s="511" t="str">
        <f t="shared" si="4"/>
        <v/>
      </c>
      <c r="CB36" s="511" t="str">
        <f t="shared" si="5"/>
        <v/>
      </c>
      <c r="CC36" s="510"/>
      <c r="CD36" s="510"/>
      <c r="CE36" s="512"/>
      <c r="CF36" s="512"/>
      <c r="CG36" s="512"/>
      <c r="CH36" s="512"/>
      <c r="CI36" s="512"/>
      <c r="CK36" s="513">
        <f t="shared" si="6"/>
        <v>0</v>
      </c>
      <c r="CL36" s="513">
        <f t="shared" si="6"/>
        <v>0</v>
      </c>
    </row>
    <row r="37" spans="1:90" ht="15" customHeight="1">
      <c r="A37" s="5728" t="s">
        <v>262</v>
      </c>
      <c r="B37" s="522" t="s">
        <v>247</v>
      </c>
      <c r="C37" s="518">
        <f t="shared" si="8"/>
        <v>0</v>
      </c>
      <c r="D37" s="519">
        <f t="shared" si="2"/>
        <v>0</v>
      </c>
      <c r="E37" s="520">
        <f t="shared" si="2"/>
        <v>0</v>
      </c>
      <c r="F37" s="164"/>
      <c r="G37" s="515"/>
      <c r="H37" s="164"/>
      <c r="I37" s="515"/>
      <c r="J37" s="164"/>
      <c r="K37" s="515"/>
      <c r="L37" s="164"/>
      <c r="M37" s="515"/>
      <c r="N37" s="164"/>
      <c r="O37" s="515"/>
      <c r="P37" s="516"/>
      <c r="Q37" s="89"/>
      <c r="R37" s="517"/>
      <c r="S37" s="282"/>
      <c r="T37" s="507" t="str">
        <f t="shared" si="3"/>
        <v/>
      </c>
      <c r="U37" s="508"/>
      <c r="V37" s="508"/>
      <c r="W37" s="508"/>
      <c r="X37" s="508"/>
      <c r="Y37" s="508"/>
      <c r="Z37" s="508"/>
      <c r="AA37" s="508"/>
      <c r="AB37" s="508"/>
      <c r="AC37" s="508"/>
      <c r="AD37" s="508"/>
      <c r="AE37" s="508"/>
      <c r="AF37" s="508"/>
      <c r="AG37" s="508"/>
      <c r="AH37" s="508"/>
      <c r="AI37" s="508"/>
      <c r="AJ37" s="508"/>
      <c r="AK37" s="508"/>
      <c r="AL37" s="508"/>
      <c r="AM37" s="508"/>
      <c r="AN37" s="508"/>
      <c r="AO37" s="508"/>
      <c r="AP37" s="508"/>
      <c r="AQ37" s="508"/>
      <c r="AR37" s="508"/>
      <c r="AS37" s="508"/>
      <c r="AT37" s="508"/>
      <c r="AU37" s="508"/>
      <c r="AV37" s="508"/>
      <c r="AW37" s="508"/>
      <c r="AX37" s="508"/>
      <c r="AY37" s="509"/>
      <c r="AZ37" s="510"/>
      <c r="BA37" s="510"/>
      <c r="BB37" s="510"/>
      <c r="BC37" s="510"/>
      <c r="BD37" s="510"/>
      <c r="BE37" s="510"/>
      <c r="BF37" s="510"/>
      <c r="BG37" s="510"/>
      <c r="BH37" s="510"/>
      <c r="BI37" s="510"/>
      <c r="BJ37" s="510"/>
      <c r="BK37" s="510"/>
      <c r="BL37" s="510"/>
      <c r="BM37" s="510"/>
      <c r="BN37" s="510"/>
      <c r="BO37" s="510"/>
      <c r="BP37" s="510"/>
      <c r="BQ37" s="510"/>
      <c r="BR37" s="510"/>
      <c r="BS37" s="510"/>
      <c r="BT37" s="510"/>
      <c r="BU37" s="510"/>
      <c r="BV37" s="510"/>
      <c r="BW37" s="510"/>
      <c r="BX37" s="510"/>
      <c r="BY37" s="510"/>
      <c r="BZ37" s="510"/>
      <c r="CA37" s="511" t="str">
        <f t="shared" si="4"/>
        <v/>
      </c>
      <c r="CB37" s="511" t="str">
        <f t="shared" si="5"/>
        <v/>
      </c>
      <c r="CC37" s="510"/>
      <c r="CD37" s="510"/>
      <c r="CE37" s="512"/>
      <c r="CF37" s="512"/>
      <c r="CG37" s="512"/>
      <c r="CH37" s="512"/>
      <c r="CI37" s="512"/>
      <c r="CK37" s="513">
        <f t="shared" si="6"/>
        <v>0</v>
      </c>
      <c r="CL37" s="513">
        <f t="shared" si="6"/>
        <v>0</v>
      </c>
    </row>
    <row r="38" spans="1:90" ht="15" customHeight="1">
      <c r="A38" s="5728"/>
      <c r="B38" s="490" t="s">
        <v>248</v>
      </c>
      <c r="C38" s="545">
        <f t="shared" si="8"/>
        <v>0</v>
      </c>
      <c r="D38" s="546">
        <f t="shared" si="2"/>
        <v>0</v>
      </c>
      <c r="E38" s="547">
        <f t="shared" si="2"/>
        <v>0</v>
      </c>
      <c r="F38" s="534"/>
      <c r="G38" s="535"/>
      <c r="H38" s="534"/>
      <c r="I38" s="535"/>
      <c r="J38" s="534"/>
      <c r="K38" s="535"/>
      <c r="L38" s="534"/>
      <c r="M38" s="535"/>
      <c r="N38" s="534"/>
      <c r="O38" s="535"/>
      <c r="P38" s="536"/>
      <c r="Q38" s="537"/>
      <c r="R38" s="538"/>
      <c r="S38" s="539"/>
      <c r="T38" s="507" t="str">
        <f t="shared" si="3"/>
        <v/>
      </c>
      <c r="U38" s="508"/>
      <c r="V38" s="508"/>
      <c r="W38" s="508"/>
      <c r="X38" s="508"/>
      <c r="Y38" s="508"/>
      <c r="Z38" s="508"/>
      <c r="AA38" s="508"/>
      <c r="AB38" s="508"/>
      <c r="AC38" s="508"/>
      <c r="AD38" s="508"/>
      <c r="AE38" s="508"/>
      <c r="AF38" s="508"/>
      <c r="AG38" s="508"/>
      <c r="AH38" s="508"/>
      <c r="AI38" s="508"/>
      <c r="AJ38" s="508"/>
      <c r="AK38" s="508"/>
      <c r="AL38" s="508"/>
      <c r="AM38" s="508"/>
      <c r="AN38" s="508"/>
      <c r="AO38" s="508"/>
      <c r="AP38" s="508"/>
      <c r="AQ38" s="508"/>
      <c r="AR38" s="508"/>
      <c r="AS38" s="508"/>
      <c r="AT38" s="508"/>
      <c r="AU38" s="508"/>
      <c r="AV38" s="508"/>
      <c r="AW38" s="508"/>
      <c r="AX38" s="508"/>
      <c r="AY38" s="509"/>
      <c r="AZ38" s="510"/>
      <c r="BA38" s="510"/>
      <c r="BB38" s="510"/>
      <c r="BC38" s="510"/>
      <c r="BD38" s="510"/>
      <c r="BE38" s="510"/>
      <c r="BF38" s="510"/>
      <c r="BG38" s="510"/>
      <c r="BH38" s="510"/>
      <c r="BI38" s="510"/>
      <c r="BJ38" s="510"/>
      <c r="BK38" s="510"/>
      <c r="BL38" s="510"/>
      <c r="BM38" s="510"/>
      <c r="BN38" s="510"/>
      <c r="BO38" s="510"/>
      <c r="BP38" s="510"/>
      <c r="BQ38" s="510"/>
      <c r="BR38" s="510"/>
      <c r="BS38" s="510"/>
      <c r="BT38" s="510"/>
      <c r="BU38" s="510"/>
      <c r="BV38" s="510"/>
      <c r="BW38" s="510"/>
      <c r="BX38" s="510"/>
      <c r="BY38" s="510"/>
      <c r="BZ38" s="510"/>
      <c r="CA38" s="511" t="str">
        <f t="shared" si="4"/>
        <v/>
      </c>
      <c r="CB38" s="511" t="str">
        <f t="shared" si="5"/>
        <v/>
      </c>
      <c r="CC38" s="510"/>
      <c r="CD38" s="510"/>
      <c r="CE38" s="512"/>
      <c r="CF38" s="512"/>
      <c r="CG38" s="512"/>
      <c r="CH38" s="512"/>
      <c r="CI38" s="512"/>
      <c r="CK38" s="513">
        <f t="shared" si="6"/>
        <v>0</v>
      </c>
      <c r="CL38" s="513">
        <f t="shared" si="6"/>
        <v>0</v>
      </c>
    </row>
    <row r="39" spans="1:90" ht="15" customHeight="1">
      <c r="A39" s="5619" t="s">
        <v>263</v>
      </c>
      <c r="B39" s="77" t="s">
        <v>246</v>
      </c>
      <c r="C39" s="500">
        <f t="shared" si="8"/>
        <v>0</v>
      </c>
      <c r="D39" s="501">
        <f t="shared" si="2"/>
        <v>0</v>
      </c>
      <c r="E39" s="488">
        <f t="shared" si="2"/>
        <v>0</v>
      </c>
      <c r="F39" s="95"/>
      <c r="G39" s="237"/>
      <c r="H39" s="95"/>
      <c r="I39" s="237"/>
      <c r="J39" s="95"/>
      <c r="K39" s="237"/>
      <c r="L39" s="95"/>
      <c r="M39" s="237"/>
      <c r="N39" s="95"/>
      <c r="O39" s="237"/>
      <c r="P39" s="527"/>
      <c r="Q39" s="528"/>
      <c r="R39" s="294"/>
      <c r="S39" s="93"/>
      <c r="T39" s="507" t="str">
        <f t="shared" si="3"/>
        <v/>
      </c>
      <c r="U39" s="508"/>
      <c r="V39" s="508"/>
      <c r="W39" s="508"/>
      <c r="X39" s="508"/>
      <c r="Y39" s="508"/>
      <c r="Z39" s="508"/>
      <c r="AA39" s="508"/>
      <c r="AB39" s="508"/>
      <c r="AC39" s="508"/>
      <c r="AD39" s="508"/>
      <c r="AE39" s="508"/>
      <c r="AF39" s="508"/>
      <c r="AG39" s="508"/>
      <c r="AH39" s="508"/>
      <c r="AI39" s="508"/>
      <c r="AJ39" s="508"/>
      <c r="AK39" s="508"/>
      <c r="AL39" s="508"/>
      <c r="AM39" s="508"/>
      <c r="AN39" s="508"/>
      <c r="AO39" s="508"/>
      <c r="AP39" s="508"/>
      <c r="AQ39" s="508"/>
      <c r="AR39" s="508"/>
      <c r="AS39" s="508"/>
      <c r="AT39" s="508"/>
      <c r="AU39" s="508"/>
      <c r="AV39" s="508"/>
      <c r="AW39" s="508"/>
      <c r="AX39" s="508"/>
      <c r="AY39" s="509"/>
      <c r="AZ39" s="510"/>
      <c r="BA39" s="510"/>
      <c r="BB39" s="510"/>
      <c r="BC39" s="510"/>
      <c r="BD39" s="510"/>
      <c r="BE39" s="510"/>
      <c r="BF39" s="510"/>
      <c r="BG39" s="510"/>
      <c r="BH39" s="510"/>
      <c r="BI39" s="510"/>
      <c r="BJ39" s="510"/>
      <c r="BK39" s="510"/>
      <c r="BL39" s="510"/>
      <c r="BM39" s="510"/>
      <c r="BN39" s="510"/>
      <c r="BO39" s="510"/>
      <c r="BP39" s="510"/>
      <c r="BQ39" s="510"/>
      <c r="BR39" s="510"/>
      <c r="BS39" s="510"/>
      <c r="BT39" s="510"/>
      <c r="BU39" s="510"/>
      <c r="BV39" s="510"/>
      <c r="BW39" s="510"/>
      <c r="BX39" s="510"/>
      <c r="BY39" s="510"/>
      <c r="BZ39" s="510"/>
      <c r="CA39" s="511" t="str">
        <f t="shared" si="4"/>
        <v/>
      </c>
      <c r="CB39" s="511" t="str">
        <f t="shared" si="5"/>
        <v/>
      </c>
      <c r="CC39" s="510"/>
      <c r="CD39" s="510"/>
      <c r="CE39" s="512"/>
      <c r="CF39" s="512"/>
      <c r="CG39" s="512"/>
      <c r="CH39" s="512"/>
      <c r="CI39" s="512"/>
      <c r="CK39" s="513">
        <f t="shared" si="6"/>
        <v>0</v>
      </c>
      <c r="CL39" s="513">
        <f t="shared" si="6"/>
        <v>0</v>
      </c>
    </row>
    <row r="40" spans="1:90" ht="15" customHeight="1">
      <c r="A40" s="5618"/>
      <c r="B40" s="284" t="s">
        <v>247</v>
      </c>
      <c r="C40" s="523">
        <f t="shared" si="8"/>
        <v>0</v>
      </c>
      <c r="D40" s="524">
        <f t="shared" si="2"/>
        <v>0</v>
      </c>
      <c r="E40" s="525">
        <f t="shared" si="2"/>
        <v>0</v>
      </c>
      <c r="F40" s="207"/>
      <c r="G40" s="247"/>
      <c r="H40" s="207"/>
      <c r="I40" s="247"/>
      <c r="J40" s="207"/>
      <c r="K40" s="247"/>
      <c r="L40" s="207"/>
      <c r="M40" s="247"/>
      <c r="N40" s="207"/>
      <c r="O40" s="247"/>
      <c r="P40" s="521"/>
      <c r="Q40" s="312"/>
      <c r="R40" s="297"/>
      <c r="S40" s="283"/>
      <c r="T40" s="507" t="str">
        <f t="shared" si="3"/>
        <v/>
      </c>
      <c r="U40" s="508"/>
      <c r="V40" s="508"/>
      <c r="W40" s="508"/>
      <c r="X40" s="508"/>
      <c r="Y40" s="508"/>
      <c r="Z40" s="508"/>
      <c r="AA40" s="508"/>
      <c r="AB40" s="508"/>
      <c r="AC40" s="508"/>
      <c r="AD40" s="508"/>
      <c r="AE40" s="508"/>
      <c r="AF40" s="508"/>
      <c r="AG40" s="508"/>
      <c r="AH40" s="508"/>
      <c r="AI40" s="508"/>
      <c r="AJ40" s="508"/>
      <c r="AK40" s="508"/>
      <c r="AL40" s="508"/>
      <c r="AM40" s="508"/>
      <c r="AN40" s="508"/>
      <c r="AO40" s="508"/>
      <c r="AP40" s="508"/>
      <c r="AQ40" s="508"/>
      <c r="AR40" s="508"/>
      <c r="AS40" s="508"/>
      <c r="AT40" s="508"/>
      <c r="AU40" s="508"/>
      <c r="AV40" s="508"/>
      <c r="AW40" s="508"/>
      <c r="AX40" s="508"/>
      <c r="AY40" s="509"/>
      <c r="AZ40" s="510"/>
      <c r="BA40" s="510"/>
      <c r="BB40" s="510"/>
      <c r="BC40" s="510"/>
      <c r="BD40" s="510"/>
      <c r="BE40" s="510"/>
      <c r="BF40" s="510"/>
      <c r="BG40" s="510"/>
      <c r="BH40" s="510"/>
      <c r="BI40" s="510"/>
      <c r="BJ40" s="510"/>
      <c r="BK40" s="510"/>
      <c r="BL40" s="510"/>
      <c r="BM40" s="510"/>
      <c r="BN40" s="510"/>
      <c r="BO40" s="510"/>
      <c r="BP40" s="510"/>
      <c r="BQ40" s="510"/>
      <c r="BR40" s="510"/>
      <c r="BS40" s="510"/>
      <c r="BT40" s="510"/>
      <c r="BU40" s="510"/>
      <c r="BV40" s="510"/>
      <c r="BW40" s="510"/>
      <c r="BX40" s="510"/>
      <c r="BY40" s="510"/>
      <c r="BZ40" s="510"/>
      <c r="CA40" s="511" t="str">
        <f t="shared" si="4"/>
        <v/>
      </c>
      <c r="CB40" s="511" t="str">
        <f t="shared" si="5"/>
        <v/>
      </c>
      <c r="CC40" s="510"/>
      <c r="CD40" s="510"/>
      <c r="CE40" s="512"/>
      <c r="CF40" s="512"/>
      <c r="CG40" s="512"/>
      <c r="CH40" s="512"/>
      <c r="CI40" s="512"/>
      <c r="CK40" s="513">
        <f t="shared" si="6"/>
        <v>0</v>
      </c>
      <c r="CL40" s="513">
        <f t="shared" si="6"/>
        <v>0</v>
      </c>
    </row>
    <row r="41" spans="1:90" ht="15" customHeight="1">
      <c r="A41" s="5620"/>
      <c r="B41" s="490" t="s">
        <v>248</v>
      </c>
      <c r="C41" s="491">
        <f t="shared" si="8"/>
        <v>0</v>
      </c>
      <c r="D41" s="526">
        <f t="shared" si="2"/>
        <v>0</v>
      </c>
      <c r="E41" s="493">
        <f t="shared" si="2"/>
        <v>0</v>
      </c>
      <c r="F41" s="122"/>
      <c r="G41" s="254"/>
      <c r="H41" s="122"/>
      <c r="I41" s="254"/>
      <c r="J41" s="122"/>
      <c r="K41" s="254"/>
      <c r="L41" s="122"/>
      <c r="M41" s="254"/>
      <c r="N41" s="122"/>
      <c r="O41" s="254"/>
      <c r="P41" s="270"/>
      <c r="Q41" s="116"/>
      <c r="R41" s="317"/>
      <c r="S41" s="120"/>
      <c r="T41" s="507" t="str">
        <f t="shared" si="3"/>
        <v/>
      </c>
      <c r="U41" s="508"/>
      <c r="V41" s="508"/>
      <c r="W41" s="508"/>
      <c r="X41" s="508"/>
      <c r="Y41" s="508"/>
      <c r="Z41" s="508"/>
      <c r="AA41" s="508"/>
      <c r="AB41" s="508"/>
      <c r="AC41" s="508"/>
      <c r="AD41" s="508"/>
      <c r="AE41" s="508"/>
      <c r="AF41" s="508"/>
      <c r="AG41" s="508"/>
      <c r="AH41" s="508"/>
      <c r="AI41" s="508"/>
      <c r="AJ41" s="508"/>
      <c r="AK41" s="508"/>
      <c r="AL41" s="508"/>
      <c r="AM41" s="508"/>
      <c r="AN41" s="508"/>
      <c r="AO41" s="508"/>
      <c r="AP41" s="508"/>
      <c r="AQ41" s="508"/>
      <c r="AR41" s="508"/>
      <c r="AS41" s="508"/>
      <c r="AT41" s="508"/>
      <c r="AU41" s="508"/>
      <c r="AV41" s="508"/>
      <c r="AW41" s="508"/>
      <c r="AX41" s="508"/>
      <c r="AY41" s="509"/>
      <c r="AZ41" s="510"/>
      <c r="BA41" s="510"/>
      <c r="BB41" s="510"/>
      <c r="BC41" s="510"/>
      <c r="BD41" s="510"/>
      <c r="BE41" s="510"/>
      <c r="BF41" s="510"/>
      <c r="BG41" s="510"/>
      <c r="BH41" s="510"/>
      <c r="BI41" s="510"/>
      <c r="BJ41" s="510"/>
      <c r="BK41" s="510"/>
      <c r="BL41" s="510"/>
      <c r="BM41" s="510"/>
      <c r="BN41" s="510"/>
      <c r="BO41" s="510"/>
      <c r="BP41" s="510"/>
      <c r="BQ41" s="510"/>
      <c r="BR41" s="510"/>
      <c r="BS41" s="510"/>
      <c r="BT41" s="510"/>
      <c r="BU41" s="510"/>
      <c r="BV41" s="510"/>
      <c r="BW41" s="510"/>
      <c r="BX41" s="510"/>
      <c r="BY41" s="510"/>
      <c r="BZ41" s="510"/>
      <c r="CA41" s="511" t="str">
        <f t="shared" si="4"/>
        <v/>
      </c>
      <c r="CB41" s="511" t="str">
        <f t="shared" si="5"/>
        <v/>
      </c>
      <c r="CC41" s="510"/>
      <c r="CD41" s="510"/>
      <c r="CE41" s="512"/>
      <c r="CF41" s="512"/>
      <c r="CG41" s="512"/>
      <c r="CH41" s="512"/>
      <c r="CI41" s="512"/>
      <c r="CK41" s="513">
        <f t="shared" si="6"/>
        <v>0</v>
      </c>
      <c r="CL41" s="513">
        <f t="shared" si="6"/>
        <v>0</v>
      </c>
    </row>
    <row r="42" spans="1:90" ht="18" customHeight="1">
      <c r="A42" s="548" t="s">
        <v>264</v>
      </c>
      <c r="B42" s="549"/>
      <c r="C42" s="549"/>
      <c r="D42" s="549"/>
      <c r="E42" s="549"/>
      <c r="F42" s="549"/>
      <c r="G42" s="549"/>
      <c r="H42" s="549"/>
      <c r="I42" s="549"/>
      <c r="J42" s="549"/>
      <c r="K42" s="549"/>
      <c r="L42" s="549"/>
      <c r="M42" s="549"/>
      <c r="N42" s="549"/>
      <c r="O42" s="549"/>
      <c r="P42" s="549"/>
      <c r="Q42" s="48"/>
      <c r="R42" s="48"/>
      <c r="S42" s="48"/>
      <c r="T42" s="48"/>
      <c r="U42" s="48"/>
      <c r="V42" s="48"/>
      <c r="W42" s="48"/>
      <c r="X42" s="48"/>
      <c r="Y42" s="48"/>
      <c r="Z42" s="48"/>
      <c r="AA42" s="48"/>
      <c r="AB42" s="48"/>
      <c r="AC42" s="48"/>
      <c r="AD42" s="48"/>
      <c r="AE42" s="48"/>
      <c r="AF42" s="48"/>
      <c r="AG42" s="48"/>
      <c r="AH42" s="48"/>
      <c r="AI42" s="48"/>
      <c r="AJ42" s="48"/>
      <c r="AK42" s="48"/>
      <c r="AL42" s="48"/>
      <c r="AM42" s="48"/>
      <c r="AN42" s="48"/>
      <c r="AO42" s="48"/>
      <c r="AP42" s="48"/>
      <c r="AQ42" s="48"/>
      <c r="AR42" s="48"/>
      <c r="AS42" s="48"/>
      <c r="AT42" s="48"/>
      <c r="AU42" s="48"/>
      <c r="AV42" s="48"/>
      <c r="AW42" s="48"/>
      <c r="AX42" s="48"/>
      <c r="AY42" s="48"/>
    </row>
    <row r="43" spans="1:90" ht="15" customHeight="1">
      <c r="A43" s="5613" t="s">
        <v>265</v>
      </c>
      <c r="B43" s="5642" t="s">
        <v>238</v>
      </c>
      <c r="C43" s="5627"/>
      <c r="D43" s="5624"/>
      <c r="E43" s="5647" t="s">
        <v>115</v>
      </c>
      <c r="F43" s="5649"/>
      <c r="G43" s="5649"/>
      <c r="H43" s="5649"/>
      <c r="I43" s="5649"/>
      <c r="J43" s="5649"/>
      <c r="K43" s="5649"/>
      <c r="L43" s="5649"/>
      <c r="M43" s="5649"/>
      <c r="N43" s="5649"/>
      <c r="O43" s="5649"/>
      <c r="P43" s="5649"/>
      <c r="Q43" s="5657" t="s">
        <v>50</v>
      </c>
      <c r="R43" s="5613" t="s">
        <v>51</v>
      </c>
      <c r="S43" s="48"/>
      <c r="T43" s="48"/>
      <c r="U43" s="48"/>
      <c r="V43" s="48"/>
      <c r="W43" s="48"/>
      <c r="X43" s="48"/>
      <c r="Y43" s="48"/>
      <c r="Z43" s="48"/>
      <c r="AA43" s="48"/>
      <c r="AB43" s="48"/>
      <c r="AC43" s="48"/>
      <c r="AD43" s="48"/>
      <c r="AE43" s="48"/>
      <c r="AF43" s="48"/>
      <c r="AG43" s="48"/>
      <c r="AH43" s="48"/>
      <c r="AI43" s="48"/>
      <c r="AJ43" s="48"/>
      <c r="AK43" s="48"/>
      <c r="AL43" s="48"/>
      <c r="AM43" s="48"/>
      <c r="AN43" s="48"/>
      <c r="AO43" s="48"/>
      <c r="AP43" s="48"/>
      <c r="AQ43" s="48"/>
      <c r="AR43" s="48"/>
      <c r="AS43" s="48"/>
      <c r="AT43" s="48"/>
      <c r="AU43" s="48"/>
      <c r="AV43" s="48"/>
      <c r="AW43" s="48"/>
      <c r="AX43" s="48"/>
      <c r="AY43" s="48"/>
    </row>
    <row r="44" spans="1:90" ht="15" customHeight="1">
      <c r="A44" s="5671"/>
      <c r="B44" s="5659"/>
      <c r="C44" s="5731"/>
      <c r="D44" s="5625"/>
      <c r="E44" s="5615" t="s">
        <v>239</v>
      </c>
      <c r="F44" s="5652"/>
      <c r="G44" s="5615" t="s">
        <v>240</v>
      </c>
      <c r="H44" s="5652"/>
      <c r="I44" s="5615" t="s">
        <v>102</v>
      </c>
      <c r="J44" s="5652"/>
      <c r="K44" s="5615" t="s">
        <v>241</v>
      </c>
      <c r="L44" s="5652"/>
      <c r="M44" s="5615" t="s">
        <v>242</v>
      </c>
      <c r="N44" s="5652"/>
      <c r="O44" s="5615" t="s">
        <v>243</v>
      </c>
      <c r="P44" s="5616"/>
      <c r="Q44" s="5665"/>
      <c r="R44" s="5671"/>
      <c r="S44" s="48"/>
      <c r="T44" s="48"/>
      <c r="U44" s="48"/>
      <c r="V44" s="48"/>
      <c r="W44" s="48"/>
      <c r="X44" s="48"/>
      <c r="Y44" s="48"/>
      <c r="Z44" s="48"/>
      <c r="AA44" s="48"/>
      <c r="AB44" s="48"/>
      <c r="AC44" s="48"/>
      <c r="AD44" s="48"/>
      <c r="AE44" s="48"/>
      <c r="AF44" s="48"/>
      <c r="AG44" s="48"/>
      <c r="AH44" s="48"/>
      <c r="AI44" s="48"/>
      <c r="AJ44" s="48"/>
      <c r="AK44" s="48"/>
      <c r="AL44" s="48"/>
      <c r="AM44" s="48"/>
      <c r="AN44" s="48"/>
      <c r="AO44" s="48"/>
      <c r="AP44" s="48"/>
      <c r="AQ44" s="48"/>
      <c r="AR44" s="48"/>
      <c r="AS44" s="48"/>
      <c r="AT44" s="48"/>
      <c r="AU44" s="48"/>
      <c r="AV44" s="48"/>
      <c r="AW44" s="48"/>
      <c r="AX44" s="48"/>
      <c r="AY44" s="48"/>
    </row>
    <row r="45" spans="1:90" ht="15" customHeight="1">
      <c r="A45" s="5614"/>
      <c r="B45" s="550" t="s">
        <v>93</v>
      </c>
      <c r="C45" s="196" t="s">
        <v>72</v>
      </c>
      <c r="D45" s="74" t="s">
        <v>73</v>
      </c>
      <c r="E45" s="75" t="s">
        <v>72</v>
      </c>
      <c r="F45" s="62" t="s">
        <v>73</v>
      </c>
      <c r="G45" s="75" t="s">
        <v>72</v>
      </c>
      <c r="H45" s="62" t="s">
        <v>73</v>
      </c>
      <c r="I45" s="75" t="s">
        <v>72</v>
      </c>
      <c r="J45" s="62" t="s">
        <v>73</v>
      </c>
      <c r="K45" s="75" t="s">
        <v>72</v>
      </c>
      <c r="L45" s="62" t="s">
        <v>73</v>
      </c>
      <c r="M45" s="75" t="s">
        <v>72</v>
      </c>
      <c r="N45" s="62" t="s">
        <v>73</v>
      </c>
      <c r="O45" s="75" t="s">
        <v>72</v>
      </c>
      <c r="P45" s="63" t="s">
        <v>73</v>
      </c>
      <c r="Q45" s="5658"/>
      <c r="R45" s="5614"/>
      <c r="S45" s="48"/>
      <c r="T45" s="48"/>
      <c r="U45" s="48"/>
      <c r="V45" s="48"/>
      <c r="W45" s="48"/>
      <c r="X45" s="48"/>
      <c r="Y45" s="48"/>
      <c r="Z45" s="48"/>
      <c r="AA45" s="48"/>
      <c r="AB45" s="48"/>
      <c r="AC45" s="48"/>
      <c r="AD45" s="48"/>
      <c r="AE45" s="48"/>
      <c r="AF45" s="48"/>
      <c r="AG45" s="48"/>
      <c r="AH45" s="48"/>
      <c r="AI45" s="48"/>
      <c r="AJ45" s="48"/>
      <c r="AK45" s="48"/>
      <c r="AL45" s="48"/>
      <c r="AM45" s="48"/>
      <c r="AN45" s="48"/>
      <c r="AO45" s="48"/>
      <c r="AP45" s="48"/>
      <c r="AQ45" s="48"/>
      <c r="AR45" s="48"/>
      <c r="AS45" s="48"/>
      <c r="AT45" s="48"/>
      <c r="AU45" s="48"/>
      <c r="AV45" s="48"/>
      <c r="AW45" s="48"/>
      <c r="AX45" s="48"/>
      <c r="AY45" s="48"/>
    </row>
    <row r="46" spans="1:90" ht="15" customHeight="1">
      <c r="A46" s="551" t="s">
        <v>246</v>
      </c>
      <c r="B46" s="552">
        <f t="shared" ref="B46:B48" si="9">SUM(C46+D46)</f>
        <v>0</v>
      </c>
      <c r="C46" s="553">
        <f t="shared" ref="C46:D49" si="10">SUM(E46+G46+I46+K46+M46+O46)</f>
        <v>0</v>
      </c>
      <c r="D46" s="554">
        <f t="shared" si="2"/>
        <v>0</v>
      </c>
      <c r="E46" s="95"/>
      <c r="F46" s="204"/>
      <c r="G46" s="95"/>
      <c r="H46" s="204"/>
      <c r="I46" s="95"/>
      <c r="J46" s="237"/>
      <c r="K46" s="95"/>
      <c r="L46" s="237"/>
      <c r="M46" s="527"/>
      <c r="N46" s="237"/>
      <c r="O46" s="527"/>
      <c r="P46" s="528"/>
      <c r="Q46" s="294"/>
      <c r="R46" s="93"/>
      <c r="S46" s="507" t="str">
        <f t="shared" ref="S46:S49" si="11">$CA46&amp;CB46</f>
        <v/>
      </c>
      <c r="T46" s="508"/>
      <c r="U46" s="508"/>
      <c r="V46" s="508"/>
      <c r="W46" s="508"/>
      <c r="X46" s="508"/>
      <c r="Y46" s="508"/>
      <c r="Z46" s="508"/>
      <c r="AA46" s="508"/>
      <c r="AB46" s="508"/>
      <c r="AC46" s="508"/>
      <c r="AD46" s="508"/>
      <c r="AE46" s="508"/>
      <c r="AF46" s="508"/>
      <c r="AG46" s="508"/>
      <c r="AH46" s="508"/>
      <c r="AI46" s="508"/>
      <c r="AJ46" s="508"/>
      <c r="AK46" s="508"/>
      <c r="AL46" s="508"/>
      <c r="AM46" s="508"/>
      <c r="AN46" s="508"/>
      <c r="AO46" s="508"/>
      <c r="AP46" s="508"/>
      <c r="AQ46" s="508"/>
      <c r="AR46" s="508"/>
      <c r="AS46" s="508"/>
      <c r="AT46" s="508"/>
      <c r="AU46" s="508"/>
      <c r="AV46" s="508"/>
      <c r="AW46" s="508"/>
      <c r="AX46" s="509"/>
      <c r="AY46" s="509"/>
      <c r="AZ46" s="510"/>
      <c r="BA46" s="510"/>
      <c r="BB46" s="510"/>
      <c r="BC46" s="510"/>
      <c r="BD46" s="510"/>
      <c r="BE46" s="510"/>
      <c r="BF46" s="510"/>
      <c r="BG46" s="510"/>
      <c r="BH46" s="510"/>
      <c r="BI46" s="510"/>
      <c r="BJ46" s="510"/>
      <c r="BK46" s="510"/>
      <c r="BL46" s="510"/>
      <c r="BM46" s="510"/>
      <c r="BN46" s="510"/>
      <c r="BO46" s="510"/>
      <c r="BP46" s="510"/>
      <c r="BQ46" s="510"/>
      <c r="BR46" s="510"/>
      <c r="BS46" s="510"/>
      <c r="BT46" s="510"/>
      <c r="BU46" s="510"/>
      <c r="BV46" s="510"/>
      <c r="BW46" s="510"/>
      <c r="BX46" s="510"/>
      <c r="BY46" s="510"/>
      <c r="BZ46" s="510"/>
      <c r="CA46" s="511" t="str">
        <f t="shared" ref="CA46:CA49" si="12">IF(AND($B46&lt;&gt;0,Q46=""),"* No olvide ingresar la variable "&amp;Q$43&amp;""&amp;". Digite CERO si no tiene. ",IF(Q46&gt;$B46,"* La variable Pueblos Originarios no debe ser mayor al Total Ambos Sexos. ",""))</f>
        <v/>
      </c>
      <c r="CB46" s="511" t="str">
        <f t="shared" ref="CB46:CB49" si="13">IF(AND($B46&lt;&gt;0,R46=""),"* No olvide ingresar la variable "&amp;R$43&amp;""&amp;" (Digite CERO si no tiene). ",IF(R46&gt;$B46,"* La variable Migrantes no debe ser mayor al Total Ambos Sexos. ",""))</f>
        <v/>
      </c>
      <c r="CC46" s="510"/>
      <c r="CD46" s="510"/>
      <c r="CE46" s="512"/>
      <c r="CF46" s="512"/>
      <c r="CG46" s="512"/>
      <c r="CH46" s="512"/>
      <c r="CI46" s="512"/>
      <c r="CK46" s="513">
        <f t="shared" ref="CK46:CK49" si="14">IF(AND($B46&lt;&gt;0,Q46=""),1,IF(Q46&gt;$B46,1,0))</f>
        <v>0</v>
      </c>
      <c r="CL46" s="513">
        <f t="shared" ref="CL46:CL49" si="15">IF(AND($B46&lt;&gt;0,R46=""),1,IF(R46&gt;$B46,1,0))</f>
        <v>0</v>
      </c>
    </row>
    <row r="47" spans="1:90" ht="15" customHeight="1">
      <c r="A47" s="555" t="s">
        <v>247</v>
      </c>
      <c r="B47" s="556">
        <f t="shared" si="9"/>
        <v>0</v>
      </c>
      <c r="C47" s="557">
        <f t="shared" si="10"/>
        <v>0</v>
      </c>
      <c r="D47" s="280">
        <f t="shared" si="10"/>
        <v>0</v>
      </c>
      <c r="E47" s="207"/>
      <c r="F47" s="94"/>
      <c r="G47" s="164"/>
      <c r="H47" s="94"/>
      <c r="I47" s="164"/>
      <c r="J47" s="515"/>
      <c r="K47" s="164"/>
      <c r="L47" s="515"/>
      <c r="M47" s="516"/>
      <c r="N47" s="515"/>
      <c r="O47" s="516"/>
      <c r="P47" s="89"/>
      <c r="Q47" s="297"/>
      <c r="R47" s="283"/>
      <c r="S47" s="507" t="str">
        <f t="shared" si="11"/>
        <v/>
      </c>
      <c r="T47" s="508"/>
      <c r="U47" s="508"/>
      <c r="V47" s="508"/>
      <c r="W47" s="508"/>
      <c r="X47" s="508"/>
      <c r="Y47" s="508"/>
      <c r="Z47" s="508"/>
      <c r="AA47" s="508"/>
      <c r="AB47" s="508"/>
      <c r="AC47" s="508"/>
      <c r="AD47" s="508"/>
      <c r="AE47" s="508"/>
      <c r="AF47" s="508"/>
      <c r="AG47" s="508"/>
      <c r="AH47" s="508"/>
      <c r="AI47" s="508"/>
      <c r="AJ47" s="508"/>
      <c r="AK47" s="508"/>
      <c r="AL47" s="508"/>
      <c r="AM47" s="508"/>
      <c r="AN47" s="508"/>
      <c r="AO47" s="508"/>
      <c r="AP47" s="508"/>
      <c r="AQ47" s="508"/>
      <c r="AR47" s="508"/>
      <c r="AS47" s="508"/>
      <c r="AT47" s="508"/>
      <c r="AU47" s="508"/>
      <c r="AV47" s="508"/>
      <c r="AW47" s="508"/>
      <c r="AX47" s="509"/>
      <c r="AY47" s="509"/>
      <c r="AZ47" s="510"/>
      <c r="BA47" s="510"/>
      <c r="BB47" s="510"/>
      <c r="BC47" s="510"/>
      <c r="BD47" s="510"/>
      <c r="BE47" s="510"/>
      <c r="BF47" s="510"/>
      <c r="BG47" s="510"/>
      <c r="BH47" s="510"/>
      <c r="BI47" s="510"/>
      <c r="BJ47" s="510"/>
      <c r="BK47" s="510"/>
      <c r="BL47" s="510"/>
      <c r="BM47" s="510"/>
      <c r="BN47" s="510"/>
      <c r="BO47" s="510"/>
      <c r="BP47" s="510"/>
      <c r="BQ47" s="510"/>
      <c r="BR47" s="510"/>
      <c r="BS47" s="510"/>
      <c r="BT47" s="510"/>
      <c r="BU47" s="510"/>
      <c r="BV47" s="510"/>
      <c r="BW47" s="510"/>
      <c r="BX47" s="510"/>
      <c r="BY47" s="510"/>
      <c r="BZ47" s="510"/>
      <c r="CA47" s="511" t="str">
        <f t="shared" si="12"/>
        <v/>
      </c>
      <c r="CB47" s="511" t="str">
        <f t="shared" si="13"/>
        <v/>
      </c>
      <c r="CC47" s="510"/>
      <c r="CD47" s="510"/>
      <c r="CE47" s="512"/>
      <c r="CF47" s="512"/>
      <c r="CG47" s="512"/>
      <c r="CH47" s="512"/>
      <c r="CI47" s="512"/>
      <c r="CK47" s="513">
        <f t="shared" si="14"/>
        <v>0</v>
      </c>
      <c r="CL47" s="513">
        <f t="shared" si="15"/>
        <v>0</v>
      </c>
    </row>
    <row r="48" spans="1:90" ht="15" customHeight="1">
      <c r="A48" s="555" t="s">
        <v>248</v>
      </c>
      <c r="B48" s="558">
        <f t="shared" si="9"/>
        <v>0</v>
      </c>
      <c r="C48" s="559">
        <f t="shared" si="10"/>
        <v>0</v>
      </c>
      <c r="D48" s="285">
        <f t="shared" si="10"/>
        <v>0</v>
      </c>
      <c r="E48" s="207"/>
      <c r="F48" s="279"/>
      <c r="G48" s="207"/>
      <c r="H48" s="279"/>
      <c r="I48" s="207"/>
      <c r="J48" s="247"/>
      <c r="K48" s="207"/>
      <c r="L48" s="247"/>
      <c r="M48" s="521"/>
      <c r="N48" s="247"/>
      <c r="O48" s="521"/>
      <c r="P48" s="312"/>
      <c r="Q48" s="297"/>
      <c r="R48" s="283"/>
      <c r="S48" s="507" t="str">
        <f t="shared" si="11"/>
        <v/>
      </c>
      <c r="T48" s="508"/>
      <c r="U48" s="508"/>
      <c r="V48" s="508"/>
      <c r="W48" s="508"/>
      <c r="X48" s="508"/>
      <c r="Y48" s="508"/>
      <c r="Z48" s="508"/>
      <c r="AA48" s="508"/>
      <c r="AB48" s="508"/>
      <c r="AC48" s="508"/>
      <c r="AD48" s="508"/>
      <c r="AE48" s="508"/>
      <c r="AF48" s="508"/>
      <c r="AG48" s="508"/>
      <c r="AH48" s="508"/>
      <c r="AI48" s="508"/>
      <c r="AJ48" s="508"/>
      <c r="AK48" s="508"/>
      <c r="AL48" s="508"/>
      <c r="AM48" s="508"/>
      <c r="AN48" s="508"/>
      <c r="AO48" s="508"/>
      <c r="AP48" s="508"/>
      <c r="AQ48" s="508"/>
      <c r="AR48" s="508"/>
      <c r="AS48" s="508"/>
      <c r="AT48" s="508"/>
      <c r="AU48" s="508"/>
      <c r="AV48" s="508"/>
      <c r="AW48" s="508"/>
      <c r="AX48" s="509"/>
      <c r="AY48" s="509"/>
      <c r="AZ48" s="510"/>
      <c r="BA48" s="510"/>
      <c r="BB48" s="510"/>
      <c r="BC48" s="510"/>
      <c r="BD48" s="510"/>
      <c r="BE48" s="510"/>
      <c r="BF48" s="510"/>
      <c r="BG48" s="510"/>
      <c r="BH48" s="510"/>
      <c r="BI48" s="510"/>
      <c r="BJ48" s="510"/>
      <c r="BK48" s="510"/>
      <c r="BL48" s="510"/>
      <c r="BM48" s="510"/>
      <c r="BN48" s="510"/>
      <c r="BO48" s="510"/>
      <c r="BP48" s="510"/>
      <c r="BQ48" s="510"/>
      <c r="BR48" s="510"/>
      <c r="BS48" s="510"/>
      <c r="BT48" s="510"/>
      <c r="BU48" s="510"/>
      <c r="BV48" s="510"/>
      <c r="BW48" s="510"/>
      <c r="BX48" s="510"/>
      <c r="BY48" s="510"/>
      <c r="BZ48" s="510"/>
      <c r="CA48" s="511" t="str">
        <f t="shared" si="12"/>
        <v/>
      </c>
      <c r="CB48" s="511" t="str">
        <f t="shared" si="13"/>
        <v/>
      </c>
      <c r="CC48" s="510"/>
      <c r="CD48" s="510"/>
      <c r="CE48" s="512"/>
      <c r="CF48" s="512"/>
      <c r="CG48" s="512"/>
      <c r="CH48" s="512"/>
      <c r="CI48" s="512"/>
      <c r="CK48" s="513">
        <f t="shared" si="14"/>
        <v>0</v>
      </c>
      <c r="CL48" s="513">
        <f t="shared" si="15"/>
        <v>0</v>
      </c>
    </row>
    <row r="49" spans="1:90" ht="15" customHeight="1">
      <c r="A49" s="560" t="s">
        <v>266</v>
      </c>
      <c r="B49" s="561">
        <f>SUM(C49:D49)</f>
        <v>0</v>
      </c>
      <c r="C49" s="562">
        <f t="shared" si="10"/>
        <v>0</v>
      </c>
      <c r="D49" s="563">
        <f t="shared" si="10"/>
        <v>0</v>
      </c>
      <c r="E49" s="157"/>
      <c r="F49" s="564"/>
      <c r="G49" s="157"/>
      <c r="H49" s="564"/>
      <c r="I49" s="157"/>
      <c r="J49" s="315"/>
      <c r="K49" s="157"/>
      <c r="L49" s="315"/>
      <c r="M49" s="565"/>
      <c r="N49" s="315"/>
      <c r="O49" s="565"/>
      <c r="P49" s="316"/>
      <c r="Q49" s="321"/>
      <c r="R49" s="322"/>
      <c r="S49" s="507" t="str">
        <f t="shared" si="11"/>
        <v/>
      </c>
      <c r="T49" s="508"/>
      <c r="U49" s="508"/>
      <c r="V49" s="508"/>
      <c r="W49" s="508"/>
      <c r="X49" s="508"/>
      <c r="Y49" s="508"/>
      <c r="Z49" s="508"/>
      <c r="AA49" s="508"/>
      <c r="AB49" s="508"/>
      <c r="AC49" s="508"/>
      <c r="AD49" s="508"/>
      <c r="AE49" s="508"/>
      <c r="AF49" s="508"/>
      <c r="AG49" s="508"/>
      <c r="AH49" s="508"/>
      <c r="AI49" s="508"/>
      <c r="AJ49" s="508"/>
      <c r="AK49" s="508"/>
      <c r="AL49" s="508"/>
      <c r="AM49" s="508"/>
      <c r="AN49" s="508"/>
      <c r="AO49" s="508"/>
      <c r="AP49" s="508"/>
      <c r="AQ49" s="508"/>
      <c r="AR49" s="508"/>
      <c r="AS49" s="508"/>
      <c r="AT49" s="508"/>
      <c r="AU49" s="508"/>
      <c r="AV49" s="508"/>
      <c r="AW49" s="508"/>
      <c r="AX49" s="509"/>
      <c r="AY49" s="509"/>
      <c r="AZ49" s="510"/>
      <c r="BA49" s="510"/>
      <c r="BB49" s="510"/>
      <c r="BC49" s="510"/>
      <c r="BD49" s="510"/>
      <c r="BE49" s="510"/>
      <c r="BF49" s="510"/>
      <c r="BG49" s="510"/>
      <c r="BH49" s="510"/>
      <c r="BI49" s="510"/>
      <c r="BJ49" s="510"/>
      <c r="BK49" s="510"/>
      <c r="BL49" s="510"/>
      <c r="BM49" s="510"/>
      <c r="BN49" s="510"/>
      <c r="BO49" s="510"/>
      <c r="BP49" s="510"/>
      <c r="BQ49" s="510"/>
      <c r="BR49" s="510"/>
      <c r="BS49" s="510"/>
      <c r="BT49" s="510"/>
      <c r="BU49" s="510"/>
      <c r="BV49" s="510"/>
      <c r="BW49" s="510"/>
      <c r="BX49" s="510"/>
      <c r="BY49" s="510"/>
      <c r="BZ49" s="510"/>
      <c r="CA49" s="511" t="str">
        <f t="shared" si="12"/>
        <v/>
      </c>
      <c r="CB49" s="511" t="str">
        <f t="shared" si="13"/>
        <v/>
      </c>
      <c r="CC49" s="510"/>
      <c r="CD49" s="510"/>
      <c r="CE49" s="512"/>
      <c r="CF49" s="512"/>
      <c r="CG49" s="512"/>
      <c r="CH49" s="512"/>
      <c r="CI49" s="512"/>
      <c r="CK49" s="513">
        <f t="shared" si="14"/>
        <v>0</v>
      </c>
      <c r="CL49" s="513">
        <f t="shared" si="15"/>
        <v>0</v>
      </c>
    </row>
    <row r="50" spans="1:90" ht="18" customHeight="1">
      <c r="A50" s="470" t="s">
        <v>267</v>
      </c>
      <c r="B50" s="471"/>
      <c r="C50" s="471"/>
      <c r="D50" s="471"/>
      <c r="E50" s="471"/>
      <c r="F50" s="471"/>
      <c r="G50" s="471"/>
      <c r="H50" s="471"/>
      <c r="I50" s="48"/>
      <c r="J50" s="48"/>
      <c r="K50" s="48"/>
      <c r="L50" s="48"/>
      <c r="M50" s="48"/>
      <c r="N50" s="48"/>
      <c r="O50" s="48"/>
      <c r="P50" s="48"/>
      <c r="Q50" s="48"/>
      <c r="R50" s="48"/>
      <c r="S50" s="48"/>
      <c r="T50" s="48"/>
      <c r="U50" s="48"/>
      <c r="V50" s="48"/>
      <c r="W50" s="48"/>
      <c r="X50" s="48"/>
      <c r="Y50" s="48"/>
      <c r="Z50" s="48"/>
      <c r="AA50" s="48"/>
      <c r="AB50" s="48"/>
      <c r="AC50" s="48"/>
      <c r="AD50" s="48"/>
      <c r="AE50" s="48"/>
      <c r="AF50" s="48"/>
      <c r="AG50" s="48"/>
      <c r="AH50" s="48"/>
      <c r="AI50" s="48"/>
      <c r="AJ50" s="48"/>
      <c r="AK50" s="48"/>
      <c r="AL50" s="48"/>
      <c r="AM50" s="48"/>
      <c r="AN50" s="48"/>
      <c r="AO50" s="48"/>
      <c r="AP50" s="48"/>
      <c r="AQ50" s="48"/>
      <c r="AR50" s="48"/>
      <c r="AS50" s="48"/>
      <c r="AT50" s="48"/>
      <c r="AU50" s="48"/>
      <c r="AV50" s="48"/>
      <c r="AW50" s="48"/>
      <c r="AX50" s="48"/>
      <c r="AY50" s="48"/>
    </row>
    <row r="51" spans="1:90" ht="15" customHeight="1">
      <c r="A51" s="5611" t="s">
        <v>268</v>
      </c>
      <c r="B51" s="5642" t="s">
        <v>229</v>
      </c>
      <c r="C51" s="5627"/>
      <c r="D51" s="5624"/>
      <c r="E51" s="5646" t="s">
        <v>115</v>
      </c>
      <c r="F51" s="5646"/>
      <c r="G51" s="5646"/>
      <c r="H51" s="5615"/>
      <c r="I51" s="5631" t="s">
        <v>50</v>
      </c>
      <c r="J51" s="5734" t="s">
        <v>51</v>
      </c>
      <c r="K51" s="48"/>
      <c r="L51" s="48"/>
      <c r="M51" s="48"/>
      <c r="N51" s="48"/>
      <c r="O51" s="48"/>
      <c r="P51" s="48"/>
      <c r="Q51" s="48"/>
      <c r="R51" s="48"/>
      <c r="S51" s="48"/>
      <c r="T51" s="48"/>
      <c r="U51" s="48"/>
      <c r="V51" s="48"/>
      <c r="W51" s="48"/>
      <c r="X51" s="48"/>
      <c r="Y51" s="48"/>
      <c r="Z51" s="48"/>
      <c r="AA51" s="48"/>
      <c r="AB51" s="48"/>
      <c r="AC51" s="48"/>
      <c r="AD51" s="48"/>
      <c r="AE51" s="48"/>
      <c r="AF51" s="48"/>
      <c r="AG51" s="48"/>
      <c r="AH51" s="48"/>
      <c r="AI51" s="48"/>
      <c r="AJ51" s="48"/>
      <c r="AK51" s="48"/>
      <c r="AL51" s="48"/>
      <c r="AM51" s="48"/>
      <c r="AN51" s="48"/>
      <c r="AO51" s="48"/>
      <c r="AP51" s="48"/>
      <c r="AQ51" s="48"/>
      <c r="AR51" s="48"/>
      <c r="AS51" s="48"/>
      <c r="AT51" s="48"/>
      <c r="AU51" s="48"/>
      <c r="AV51" s="48"/>
      <c r="AW51" s="48"/>
      <c r="AX51" s="48"/>
      <c r="AY51" s="48"/>
    </row>
    <row r="52" spans="1:90" ht="15" customHeight="1">
      <c r="A52" s="5641"/>
      <c r="B52" s="5659"/>
      <c r="C52" s="5731"/>
      <c r="D52" s="5625"/>
      <c r="E52" s="5615" t="s">
        <v>95</v>
      </c>
      <c r="F52" s="5652"/>
      <c r="G52" s="5615" t="s">
        <v>96</v>
      </c>
      <c r="H52" s="5616"/>
      <c r="I52" s="5733"/>
      <c r="J52" s="5735"/>
      <c r="K52" s="48"/>
      <c r="L52" s="48"/>
      <c r="M52" s="48"/>
      <c r="N52" s="48"/>
      <c r="O52" s="48"/>
      <c r="P52" s="48"/>
      <c r="Q52" s="48"/>
      <c r="R52" s="48"/>
      <c r="S52" s="48"/>
      <c r="T52" s="48"/>
      <c r="U52" s="48"/>
      <c r="V52" s="48"/>
      <c r="W52" s="48"/>
      <c r="X52" s="48"/>
      <c r="Y52" s="48"/>
      <c r="Z52" s="48"/>
      <c r="AA52" s="48"/>
      <c r="AB52" s="48"/>
      <c r="AC52" s="48"/>
      <c r="AD52" s="48"/>
      <c r="AE52" s="48"/>
      <c r="AF52" s="48"/>
      <c r="AG52" s="48"/>
      <c r="AH52" s="48"/>
      <c r="AI52" s="48"/>
      <c r="AJ52" s="48"/>
      <c r="AK52" s="48"/>
      <c r="AL52" s="48"/>
      <c r="AM52" s="48"/>
      <c r="AN52" s="48"/>
      <c r="AO52" s="48"/>
      <c r="AP52" s="48"/>
      <c r="AQ52" s="48"/>
      <c r="AR52" s="48"/>
      <c r="AS52" s="48"/>
      <c r="AT52" s="48"/>
      <c r="AU52" s="48"/>
      <c r="AV52" s="48"/>
      <c r="AW52" s="48"/>
      <c r="AX52" s="48"/>
      <c r="AY52" s="48"/>
    </row>
    <row r="53" spans="1:90" ht="15" customHeight="1">
      <c r="A53" s="5612"/>
      <c r="B53" s="550" t="s">
        <v>93</v>
      </c>
      <c r="C53" s="196" t="s">
        <v>72</v>
      </c>
      <c r="D53" s="74" t="s">
        <v>73</v>
      </c>
      <c r="E53" s="75" t="s">
        <v>72</v>
      </c>
      <c r="F53" s="76" t="s">
        <v>73</v>
      </c>
      <c r="G53" s="75" t="s">
        <v>72</v>
      </c>
      <c r="H53" s="59" t="s">
        <v>73</v>
      </c>
      <c r="I53" s="5632"/>
      <c r="J53" s="5736"/>
      <c r="K53" s="48"/>
      <c r="L53" s="48"/>
      <c r="M53" s="48"/>
      <c r="N53" s="48"/>
      <c r="O53" s="48"/>
      <c r="P53" s="48"/>
      <c r="Q53" s="48"/>
      <c r="R53" s="48"/>
      <c r="S53" s="48"/>
      <c r="T53" s="48"/>
      <c r="U53" s="48"/>
      <c r="V53" s="48"/>
      <c r="W53" s="48"/>
      <c r="X53" s="48"/>
      <c r="Y53" s="48"/>
      <c r="Z53" s="48"/>
      <c r="AA53" s="48"/>
      <c r="AB53" s="48"/>
      <c r="AC53" s="48"/>
      <c r="AD53" s="48"/>
      <c r="AE53" s="48"/>
      <c r="AF53" s="48"/>
      <c r="AG53" s="48"/>
      <c r="AH53" s="48"/>
      <c r="AI53" s="48"/>
      <c r="AJ53" s="48"/>
      <c r="AK53" s="48"/>
      <c r="AL53" s="48"/>
      <c r="AM53" s="48"/>
      <c r="AN53" s="48"/>
      <c r="AO53" s="48"/>
      <c r="AP53" s="48"/>
      <c r="AQ53" s="48"/>
      <c r="AR53" s="48"/>
      <c r="AS53" s="48"/>
      <c r="AT53" s="48"/>
      <c r="AU53" s="48"/>
      <c r="AV53" s="48"/>
      <c r="AW53" s="48"/>
      <c r="AX53" s="48"/>
      <c r="AY53" s="48"/>
    </row>
    <row r="54" spans="1:90" ht="21" customHeight="1">
      <c r="A54" s="567" t="s">
        <v>269</v>
      </c>
      <c r="B54" s="568">
        <f t="shared" ref="B54:B57" si="16">SUM(C54+D54)</f>
        <v>0</v>
      </c>
      <c r="C54" s="569">
        <f t="shared" ref="C54:D57" si="17">SUM(E54+G54)</f>
        <v>0</v>
      </c>
      <c r="D54" s="502">
        <f t="shared" ref="D54:D55" si="18">SUM(F54+H54)</f>
        <v>0</v>
      </c>
      <c r="E54" s="570">
        <f>SUM(E55:E57)</f>
        <v>0</v>
      </c>
      <c r="F54" s="289">
        <f t="shared" ref="F54:J54" si="19">SUM(F55:F57)</f>
        <v>0</v>
      </c>
      <c r="G54" s="571">
        <f t="shared" si="19"/>
        <v>0</v>
      </c>
      <c r="H54" s="572">
        <f t="shared" si="19"/>
        <v>0</v>
      </c>
      <c r="I54" s="573">
        <f>SUM(I55:I57)</f>
        <v>0</v>
      </c>
      <c r="J54" s="574">
        <f t="shared" si="19"/>
        <v>0</v>
      </c>
      <c r="K54" s="48"/>
      <c r="L54" s="48"/>
      <c r="M54" s="48"/>
      <c r="N54" s="48"/>
      <c r="O54" s="48"/>
      <c r="P54" s="48"/>
      <c r="Q54" s="48"/>
      <c r="R54" s="48"/>
      <c r="S54" s="48"/>
      <c r="T54" s="48"/>
      <c r="U54" s="48"/>
      <c r="V54" s="48"/>
      <c r="W54" s="48"/>
      <c r="X54" s="48"/>
      <c r="Y54" s="48"/>
      <c r="Z54" s="48"/>
      <c r="AA54" s="48"/>
      <c r="AB54" s="48"/>
      <c r="AC54" s="48"/>
      <c r="AD54" s="48"/>
      <c r="AE54" s="48"/>
      <c r="AF54" s="48"/>
      <c r="AG54" s="48"/>
      <c r="AH54" s="48"/>
      <c r="AI54" s="48"/>
      <c r="AJ54" s="48"/>
      <c r="AK54" s="48"/>
      <c r="AL54" s="48"/>
      <c r="AM54" s="48"/>
      <c r="AN54" s="48"/>
      <c r="AO54" s="48"/>
      <c r="AP54" s="48"/>
      <c r="AQ54" s="48"/>
      <c r="AR54" s="48"/>
      <c r="AS54" s="48"/>
      <c r="AT54" s="48"/>
      <c r="AU54" s="48"/>
      <c r="AV54" s="48"/>
      <c r="AW54" s="48"/>
      <c r="AX54" s="48"/>
      <c r="AY54" s="48"/>
    </row>
    <row r="55" spans="1:90" ht="15" customHeight="1">
      <c r="A55" s="575" t="s">
        <v>214</v>
      </c>
      <c r="B55" s="576">
        <f t="shared" si="16"/>
        <v>0</v>
      </c>
      <c r="C55" s="577">
        <f t="shared" si="17"/>
        <v>0</v>
      </c>
      <c r="D55" s="520">
        <f t="shared" si="18"/>
        <v>0</v>
      </c>
      <c r="E55" s="164"/>
      <c r="F55" s="94"/>
      <c r="G55" s="516"/>
      <c r="H55" s="89"/>
      <c r="I55" s="248"/>
      <c r="J55" s="247"/>
      <c r="K55" s="507" t="str">
        <f t="shared" ref="K55:K74" si="20">$CA55&amp;CB55</f>
        <v/>
      </c>
      <c r="L55" s="508"/>
      <c r="M55" s="508"/>
      <c r="N55" s="508"/>
      <c r="O55" s="508"/>
      <c r="P55" s="508"/>
      <c r="Q55" s="508"/>
      <c r="R55" s="508"/>
      <c r="S55" s="508"/>
      <c r="T55" s="508"/>
      <c r="U55" s="508"/>
      <c r="V55" s="508"/>
      <c r="W55" s="508"/>
      <c r="X55" s="508"/>
      <c r="Y55" s="508"/>
      <c r="Z55" s="508"/>
      <c r="AA55" s="508"/>
      <c r="AB55" s="508"/>
      <c r="AC55" s="508"/>
      <c r="AD55" s="508"/>
      <c r="AE55" s="508"/>
      <c r="AF55" s="508"/>
      <c r="AG55" s="508"/>
      <c r="AH55" s="508"/>
      <c r="AI55" s="508"/>
      <c r="AJ55" s="508"/>
      <c r="AK55" s="508"/>
      <c r="AL55" s="508"/>
      <c r="AM55" s="508"/>
      <c r="AN55" s="508"/>
      <c r="AO55" s="508"/>
      <c r="AP55" s="509"/>
      <c r="AQ55" s="509"/>
      <c r="AR55" s="509"/>
      <c r="AS55" s="509"/>
      <c r="AT55" s="509"/>
      <c r="AU55" s="509"/>
      <c r="AV55" s="509"/>
      <c r="AW55" s="509"/>
      <c r="AX55" s="509"/>
      <c r="AY55" s="509"/>
      <c r="AZ55" s="510"/>
      <c r="BA55" s="510"/>
      <c r="BB55" s="510"/>
      <c r="BC55" s="510"/>
      <c r="BD55" s="510"/>
      <c r="BE55" s="510"/>
      <c r="BF55" s="510"/>
      <c r="BG55" s="510"/>
      <c r="BH55" s="510"/>
      <c r="BI55" s="510"/>
      <c r="BJ55" s="510"/>
      <c r="BK55" s="510"/>
      <c r="BL55" s="510"/>
      <c r="BM55" s="510"/>
      <c r="BN55" s="510"/>
      <c r="BO55" s="510"/>
      <c r="BP55" s="510"/>
      <c r="BQ55" s="510"/>
      <c r="BR55" s="510"/>
      <c r="BS55" s="510"/>
      <c r="BT55" s="510"/>
      <c r="BU55" s="510"/>
      <c r="BV55" s="510"/>
      <c r="BW55" s="510"/>
      <c r="BX55" s="510"/>
      <c r="BY55" s="510"/>
      <c r="BZ55" s="510"/>
      <c r="CA55" s="511" t="str">
        <f t="shared" ref="CA55:CA57" si="21">IF(AND($B55&lt;&gt;0,I55=""),"* No olvide ingresar la variable "&amp;I$51&amp;""&amp;". Digite CERO si no tiene. ",IF(I55&gt;$B55,"* La variable Pueblos Originarios no debe ser mayor al Total Ambos Sexos. ",""))</f>
        <v/>
      </c>
      <c r="CB55" s="511" t="str">
        <f t="shared" ref="CB55:CB57" si="22">IF(AND($B55&lt;&gt;0,J55=""),"* No olvide ingresar la variable "&amp;J$51&amp;""&amp;" (Digite CERO si no tiene). ",IF(J55&gt;$B55,"* La variable Migrantes no debe ser mayor al Total Ambos Sexos. ",""))</f>
        <v/>
      </c>
      <c r="CC55" s="510"/>
      <c r="CD55" s="510"/>
      <c r="CE55" s="512"/>
      <c r="CF55" s="512"/>
      <c r="CG55" s="512"/>
      <c r="CH55" s="512"/>
      <c r="CI55" s="512"/>
      <c r="CK55" s="513">
        <f t="shared" ref="CK55:CL57" si="23">IF(AND($B55&lt;&gt;0,I55=""),1,IF(I55&gt;$B55,1,0))</f>
        <v>0</v>
      </c>
      <c r="CL55" s="513">
        <f>IF(AND($B55&lt;&gt;0,J55=""),1,IF(J55&gt;$B55,1,0))</f>
        <v>0</v>
      </c>
    </row>
    <row r="56" spans="1:90" ht="15" customHeight="1">
      <c r="A56" s="555" t="s">
        <v>270</v>
      </c>
      <c r="B56" s="578">
        <f t="shared" si="16"/>
        <v>0</v>
      </c>
      <c r="C56" s="579">
        <f t="shared" si="17"/>
        <v>0</v>
      </c>
      <c r="D56" s="525">
        <f t="shared" si="17"/>
        <v>0</v>
      </c>
      <c r="E56" s="207"/>
      <c r="F56" s="279"/>
      <c r="G56" s="521"/>
      <c r="H56" s="312"/>
      <c r="I56" s="248"/>
      <c r="J56" s="247"/>
      <c r="K56" s="507" t="str">
        <f t="shared" si="20"/>
        <v/>
      </c>
      <c r="L56" s="508"/>
      <c r="M56" s="508"/>
      <c r="N56" s="508"/>
      <c r="O56" s="508"/>
      <c r="P56" s="508"/>
      <c r="Q56" s="508"/>
      <c r="R56" s="508"/>
      <c r="S56" s="508"/>
      <c r="T56" s="508"/>
      <c r="U56" s="508"/>
      <c r="V56" s="508"/>
      <c r="W56" s="508"/>
      <c r="X56" s="508"/>
      <c r="Y56" s="508"/>
      <c r="Z56" s="508"/>
      <c r="AA56" s="508"/>
      <c r="AB56" s="508"/>
      <c r="AC56" s="508"/>
      <c r="AD56" s="508"/>
      <c r="AE56" s="508"/>
      <c r="AF56" s="508"/>
      <c r="AG56" s="508"/>
      <c r="AH56" s="508"/>
      <c r="AI56" s="508"/>
      <c r="AJ56" s="508"/>
      <c r="AK56" s="508"/>
      <c r="AL56" s="508"/>
      <c r="AM56" s="508"/>
      <c r="AN56" s="508"/>
      <c r="AO56" s="508"/>
      <c r="AP56" s="509"/>
      <c r="AQ56" s="509"/>
      <c r="AR56" s="509"/>
      <c r="AS56" s="509"/>
      <c r="AT56" s="509"/>
      <c r="AU56" s="509"/>
      <c r="AV56" s="509"/>
      <c r="AW56" s="509"/>
      <c r="AX56" s="509"/>
      <c r="AY56" s="509"/>
      <c r="AZ56" s="510"/>
      <c r="BA56" s="510"/>
      <c r="BB56" s="510"/>
      <c r="BC56" s="510"/>
      <c r="BD56" s="510"/>
      <c r="BE56" s="510"/>
      <c r="BF56" s="510"/>
      <c r="BG56" s="510"/>
      <c r="BH56" s="510"/>
      <c r="BI56" s="510"/>
      <c r="BJ56" s="510"/>
      <c r="BK56" s="510"/>
      <c r="BL56" s="510"/>
      <c r="BM56" s="510"/>
      <c r="BN56" s="510"/>
      <c r="BO56" s="510"/>
      <c r="BP56" s="510"/>
      <c r="BQ56" s="510"/>
      <c r="BR56" s="510"/>
      <c r="BS56" s="510"/>
      <c r="BT56" s="510"/>
      <c r="BU56" s="510"/>
      <c r="BV56" s="510"/>
      <c r="BW56" s="510"/>
      <c r="BX56" s="510"/>
      <c r="BY56" s="510"/>
      <c r="BZ56" s="510"/>
      <c r="CA56" s="511" t="str">
        <f t="shared" si="21"/>
        <v/>
      </c>
      <c r="CB56" s="511" t="str">
        <f t="shared" si="22"/>
        <v/>
      </c>
      <c r="CC56" s="510"/>
      <c r="CD56" s="510"/>
      <c r="CE56" s="512"/>
      <c r="CF56" s="512"/>
      <c r="CG56" s="512"/>
      <c r="CH56" s="512"/>
      <c r="CI56" s="512"/>
      <c r="CK56" s="513">
        <f t="shared" si="23"/>
        <v>0</v>
      </c>
      <c r="CL56" s="513">
        <f t="shared" si="23"/>
        <v>0</v>
      </c>
    </row>
    <row r="57" spans="1:90" ht="15" customHeight="1">
      <c r="A57" s="580" t="s">
        <v>271</v>
      </c>
      <c r="B57" s="581">
        <f t="shared" si="16"/>
        <v>0</v>
      </c>
      <c r="C57" s="582">
        <f t="shared" si="17"/>
        <v>0</v>
      </c>
      <c r="D57" s="493">
        <f t="shared" si="17"/>
        <v>0</v>
      </c>
      <c r="E57" s="122"/>
      <c r="F57" s="121"/>
      <c r="G57" s="270"/>
      <c r="H57" s="116"/>
      <c r="I57" s="115"/>
      <c r="J57" s="254"/>
      <c r="K57" s="507" t="str">
        <f t="shared" si="20"/>
        <v/>
      </c>
      <c r="L57" s="508"/>
      <c r="M57" s="508"/>
      <c r="N57" s="508"/>
      <c r="O57" s="508"/>
      <c r="P57" s="508"/>
      <c r="Q57" s="508"/>
      <c r="R57" s="508"/>
      <c r="S57" s="508"/>
      <c r="T57" s="508"/>
      <c r="U57" s="508"/>
      <c r="V57" s="508"/>
      <c r="W57" s="508"/>
      <c r="X57" s="508"/>
      <c r="Y57" s="508"/>
      <c r="Z57" s="508"/>
      <c r="AA57" s="508"/>
      <c r="AB57" s="508"/>
      <c r="AC57" s="508"/>
      <c r="AD57" s="508"/>
      <c r="AE57" s="508"/>
      <c r="AF57" s="508"/>
      <c r="AG57" s="508"/>
      <c r="AH57" s="508"/>
      <c r="AI57" s="508"/>
      <c r="AJ57" s="508"/>
      <c r="AK57" s="508"/>
      <c r="AL57" s="508"/>
      <c r="AM57" s="508"/>
      <c r="AN57" s="508"/>
      <c r="AO57" s="508"/>
      <c r="AP57" s="509"/>
      <c r="AQ57" s="509"/>
      <c r="AR57" s="509"/>
      <c r="AS57" s="509"/>
      <c r="AT57" s="509"/>
      <c r="AU57" s="509"/>
      <c r="AV57" s="509"/>
      <c r="AW57" s="509"/>
      <c r="AX57" s="509"/>
      <c r="AY57" s="509"/>
      <c r="AZ57" s="510"/>
      <c r="BA57" s="510"/>
      <c r="BB57" s="510"/>
      <c r="BC57" s="510"/>
      <c r="BD57" s="510"/>
      <c r="BE57" s="510"/>
      <c r="BF57" s="510"/>
      <c r="BG57" s="510"/>
      <c r="BH57" s="510"/>
      <c r="BI57" s="510"/>
      <c r="BJ57" s="510"/>
      <c r="BK57" s="510"/>
      <c r="BL57" s="510"/>
      <c r="BM57" s="510"/>
      <c r="BN57" s="510"/>
      <c r="BO57" s="510"/>
      <c r="BP57" s="510"/>
      <c r="BQ57" s="510"/>
      <c r="BR57" s="510"/>
      <c r="BS57" s="510"/>
      <c r="BT57" s="510"/>
      <c r="BU57" s="510"/>
      <c r="BV57" s="510"/>
      <c r="BW57" s="510"/>
      <c r="BX57" s="510"/>
      <c r="BY57" s="510"/>
      <c r="BZ57" s="510"/>
      <c r="CA57" s="511" t="str">
        <f t="shared" si="21"/>
        <v/>
      </c>
      <c r="CB57" s="511" t="str">
        <f t="shared" si="22"/>
        <v/>
      </c>
      <c r="CC57" s="510"/>
      <c r="CD57" s="510"/>
      <c r="CE57" s="512"/>
      <c r="CF57" s="512"/>
      <c r="CG57" s="512"/>
      <c r="CH57" s="512"/>
      <c r="CI57" s="512"/>
      <c r="CK57" s="513">
        <f t="shared" si="23"/>
        <v>0</v>
      </c>
      <c r="CL57" s="513">
        <f t="shared" si="23"/>
        <v>0</v>
      </c>
    </row>
    <row r="58" spans="1:90" ht="18" customHeight="1">
      <c r="A58" s="470" t="s">
        <v>272</v>
      </c>
      <c r="B58" s="471"/>
      <c r="C58" s="471"/>
      <c r="D58" s="471"/>
      <c r="E58" s="471"/>
      <c r="F58" s="471"/>
      <c r="G58" s="471"/>
      <c r="H58" s="471"/>
      <c r="I58" s="471"/>
      <c r="J58" s="472"/>
      <c r="K58" s="472"/>
      <c r="L58" s="48"/>
      <c r="M58" s="48"/>
      <c r="N58" s="48"/>
      <c r="O58" s="48"/>
      <c r="P58" s="48"/>
      <c r="Q58" s="48"/>
      <c r="R58" s="48"/>
      <c r="S58" s="48"/>
      <c r="T58" s="48"/>
      <c r="U58" s="48"/>
      <c r="V58" s="48"/>
      <c r="W58" s="48"/>
      <c r="X58" s="48"/>
      <c r="Y58" s="48"/>
      <c r="Z58" s="48"/>
      <c r="AA58" s="48"/>
      <c r="AB58" s="48"/>
      <c r="AC58" s="48"/>
      <c r="AD58" s="48"/>
      <c r="AE58" s="48"/>
      <c r="AF58" s="48"/>
      <c r="AG58" s="48"/>
      <c r="AH58" s="48"/>
      <c r="AI58" s="48"/>
      <c r="AJ58" s="48"/>
      <c r="AK58" s="48"/>
      <c r="AL58" s="48"/>
      <c r="AM58" s="48"/>
      <c r="AN58" s="48"/>
      <c r="AO58" s="48"/>
      <c r="AP58" s="48"/>
      <c r="AQ58" s="48"/>
      <c r="AR58" s="48"/>
      <c r="AS58" s="48"/>
      <c r="AT58" s="48"/>
      <c r="AU58" s="48"/>
      <c r="AV58" s="48"/>
      <c r="AW58" s="48"/>
      <c r="AX58" s="48"/>
      <c r="AY58" s="48"/>
    </row>
    <row r="59" spans="1:90" ht="15" customHeight="1">
      <c r="A59" s="5642" t="s">
        <v>273</v>
      </c>
      <c r="B59" s="5624"/>
      <c r="C59" s="5613" t="s">
        <v>91</v>
      </c>
      <c r="D59" s="5615" t="s">
        <v>274</v>
      </c>
      <c r="E59" s="5616"/>
      <c r="F59" s="5616"/>
      <c r="G59" s="5616"/>
      <c r="H59" s="5616"/>
      <c r="I59" s="5616"/>
      <c r="J59" s="5617"/>
      <c r="K59" s="5627" t="s">
        <v>50</v>
      </c>
      <c r="L59" s="5613" t="s">
        <v>51</v>
      </c>
      <c r="M59" s="48"/>
      <c r="N59" s="48"/>
      <c r="O59" s="48"/>
      <c r="P59" s="48"/>
      <c r="Q59" s="48"/>
      <c r="R59" s="48"/>
      <c r="S59" s="48"/>
      <c r="T59" s="48"/>
      <c r="U59" s="48"/>
      <c r="V59" s="48"/>
      <c r="W59" s="48"/>
      <c r="X59" s="48"/>
      <c r="Y59" s="48"/>
      <c r="Z59" s="48"/>
      <c r="AA59" s="48"/>
      <c r="AB59" s="48"/>
      <c r="AC59" s="48"/>
      <c r="AD59" s="48"/>
      <c r="AE59" s="48"/>
      <c r="AF59" s="48"/>
      <c r="AG59" s="48"/>
      <c r="AH59" s="48"/>
      <c r="AI59" s="48"/>
      <c r="AJ59" s="48"/>
      <c r="AK59" s="48"/>
      <c r="AL59" s="48"/>
      <c r="AM59" s="48"/>
      <c r="AN59" s="48"/>
      <c r="AO59" s="48"/>
      <c r="AP59" s="48"/>
      <c r="AQ59" s="48"/>
      <c r="AR59" s="48"/>
      <c r="AS59" s="48"/>
      <c r="AT59" s="48"/>
      <c r="AU59" s="48"/>
      <c r="AV59" s="48"/>
      <c r="AW59" s="48"/>
      <c r="AX59" s="48"/>
      <c r="AY59" s="48"/>
    </row>
    <row r="60" spans="1:90" ht="21">
      <c r="A60" s="5659"/>
      <c r="B60" s="5625"/>
      <c r="C60" s="5614"/>
      <c r="D60" s="75" t="s">
        <v>275</v>
      </c>
      <c r="E60" s="68" t="s">
        <v>276</v>
      </c>
      <c r="F60" s="68" t="s">
        <v>277</v>
      </c>
      <c r="G60" s="68" t="s">
        <v>278</v>
      </c>
      <c r="H60" s="68" t="s">
        <v>279</v>
      </c>
      <c r="I60" s="68" t="s">
        <v>280</v>
      </c>
      <c r="J60" s="70" t="s">
        <v>281</v>
      </c>
      <c r="K60" s="5644"/>
      <c r="L60" s="5671"/>
      <c r="M60" s="48"/>
      <c r="N60" s="48"/>
      <c r="O60" s="48"/>
      <c r="P60" s="48"/>
      <c r="Q60" s="48"/>
      <c r="R60" s="48"/>
      <c r="S60" s="48"/>
      <c r="T60" s="48"/>
      <c r="U60" s="48"/>
      <c r="V60" s="48"/>
      <c r="W60" s="48"/>
      <c r="X60" s="48"/>
      <c r="Y60" s="48"/>
      <c r="Z60" s="48"/>
      <c r="AA60" s="48"/>
      <c r="AB60" s="48"/>
      <c r="AC60" s="48"/>
      <c r="AD60" s="48"/>
      <c r="AE60" s="48"/>
      <c r="AF60" s="48"/>
      <c r="AG60" s="48"/>
      <c r="AH60" s="48"/>
      <c r="AI60" s="48"/>
      <c r="AJ60" s="48"/>
      <c r="AK60" s="48"/>
      <c r="AL60" s="48"/>
      <c r="AM60" s="48"/>
      <c r="AN60" s="48"/>
      <c r="AO60" s="48"/>
      <c r="AP60" s="48"/>
      <c r="AQ60" s="48"/>
      <c r="AR60" s="48"/>
      <c r="AS60" s="48"/>
      <c r="AT60" s="48"/>
      <c r="AU60" s="48"/>
      <c r="AV60" s="48"/>
      <c r="AW60" s="48"/>
      <c r="AX60" s="48"/>
      <c r="AY60" s="48"/>
    </row>
    <row r="61" spans="1:90" ht="15" customHeight="1">
      <c r="A61" s="5729" t="s">
        <v>282</v>
      </c>
      <c r="B61" s="5730"/>
      <c r="C61" s="583">
        <f t="shared" ref="C61:C63" si="24">SUM(D61:H61)</f>
        <v>0</v>
      </c>
      <c r="D61" s="95"/>
      <c r="E61" s="96"/>
      <c r="F61" s="96"/>
      <c r="G61" s="96"/>
      <c r="H61" s="96"/>
      <c r="I61" s="584"/>
      <c r="J61" s="585"/>
      <c r="K61" s="295"/>
      <c r="L61" s="93"/>
      <c r="M61" s="507" t="str">
        <f t="shared" ref="M61:M67" si="25">$CA61&amp;CB61</f>
        <v/>
      </c>
      <c r="N61" s="508"/>
      <c r="O61" s="508"/>
      <c r="P61" s="508"/>
      <c r="Q61" s="508"/>
      <c r="R61" s="508"/>
      <c r="S61" s="508"/>
      <c r="T61" s="508"/>
      <c r="U61" s="508"/>
      <c r="V61" s="508"/>
      <c r="W61" s="508"/>
      <c r="X61" s="508"/>
      <c r="Y61" s="508"/>
      <c r="Z61" s="508"/>
      <c r="AA61" s="508"/>
      <c r="AB61" s="508"/>
      <c r="AC61" s="508"/>
      <c r="AD61" s="508"/>
      <c r="AE61" s="508"/>
      <c r="AF61" s="508"/>
      <c r="AG61" s="508"/>
      <c r="AH61" s="508"/>
      <c r="AI61" s="508"/>
      <c r="AJ61" s="508"/>
      <c r="AK61" s="508"/>
      <c r="AL61" s="508"/>
      <c r="AM61" s="508"/>
      <c r="AN61" s="508"/>
      <c r="AO61" s="508"/>
      <c r="AP61" s="508"/>
      <c r="AQ61" s="508"/>
      <c r="AR61" s="509"/>
      <c r="AS61" s="509"/>
      <c r="AT61" s="509"/>
      <c r="AU61" s="509"/>
      <c r="AV61" s="509"/>
      <c r="AW61" s="509"/>
      <c r="AX61" s="509"/>
      <c r="AY61" s="509"/>
      <c r="AZ61" s="510"/>
      <c r="BA61" s="510"/>
      <c r="BB61" s="510"/>
      <c r="BC61" s="510"/>
      <c r="BD61" s="510"/>
      <c r="BE61" s="510"/>
      <c r="BF61" s="510"/>
      <c r="BG61" s="510"/>
      <c r="BH61" s="510"/>
      <c r="BI61" s="510"/>
      <c r="BJ61" s="510"/>
      <c r="BK61" s="510"/>
      <c r="BL61" s="510"/>
      <c r="BM61" s="510"/>
      <c r="BN61" s="510"/>
      <c r="BO61" s="510"/>
      <c r="BP61" s="510"/>
      <c r="BQ61" s="510"/>
      <c r="BR61" s="510"/>
      <c r="BS61" s="510"/>
      <c r="BT61" s="510"/>
      <c r="BU61" s="510"/>
      <c r="BV61" s="510"/>
      <c r="BW61" s="510"/>
      <c r="BX61" s="510"/>
      <c r="BY61" s="510"/>
      <c r="BZ61" s="510"/>
      <c r="CA61" s="511" t="str">
        <f t="shared" ref="CA61:CA67" si="26">IF(AND($C61&lt;&gt;0,K61=""),"* No olvide ingresar la variable "&amp;K$59&amp;""&amp;". Digite CERO si no tiene. ",IF(K61&gt;$C61,"* La variable Pueblos Originarios no debe ser mayor al Total. ",""))</f>
        <v/>
      </c>
      <c r="CB61" s="511" t="str">
        <f t="shared" ref="CB61:CB67" si="27">IF(AND($C61&lt;&gt;0,L61=""),"* No olvide ingresar la variable "&amp;L$59&amp;""&amp;". Digite CERO si no tiene. ",IF(L61&gt;$C61,"* La variable Migrantes no debe ser mayor al Total. ",""))</f>
        <v/>
      </c>
      <c r="CC61" s="510"/>
      <c r="CD61" s="510"/>
      <c r="CE61" s="512"/>
      <c r="CF61" s="512"/>
      <c r="CG61" s="512"/>
      <c r="CH61" s="512"/>
      <c r="CI61" s="512"/>
      <c r="CK61" s="513">
        <f t="shared" ref="CK61:CL67" si="28">IF(AND($C61&lt;&gt;0,K61=""),1,IF(K61&gt;$C61,1,0))</f>
        <v>0</v>
      </c>
      <c r="CL61" s="513">
        <f>IF(AND($C61&lt;&gt;0,L61=""),1,IF(L61&gt;$C61,1,0))</f>
        <v>0</v>
      </c>
    </row>
    <row r="62" spans="1:90" ht="15" customHeight="1">
      <c r="A62" s="5732" t="s">
        <v>283</v>
      </c>
      <c r="B62" s="5732"/>
      <c r="C62" s="587">
        <f t="shared" si="24"/>
        <v>0</v>
      </c>
      <c r="D62" s="164"/>
      <c r="E62" s="82"/>
      <c r="F62" s="82"/>
      <c r="G62" s="82"/>
      <c r="H62" s="82"/>
      <c r="I62" s="83"/>
      <c r="J62" s="128"/>
      <c r="K62" s="298"/>
      <c r="L62" s="283"/>
      <c r="M62" s="507" t="str">
        <f t="shared" si="25"/>
        <v/>
      </c>
      <c r="N62" s="508"/>
      <c r="O62" s="508"/>
      <c r="P62" s="508"/>
      <c r="Q62" s="508"/>
      <c r="R62" s="508"/>
      <c r="S62" s="508"/>
      <c r="T62" s="508"/>
      <c r="U62" s="508"/>
      <c r="V62" s="508"/>
      <c r="W62" s="508"/>
      <c r="X62" s="508"/>
      <c r="Y62" s="508"/>
      <c r="Z62" s="508"/>
      <c r="AA62" s="508"/>
      <c r="AB62" s="508"/>
      <c r="AC62" s="508"/>
      <c r="AD62" s="508"/>
      <c r="AE62" s="508"/>
      <c r="AF62" s="508"/>
      <c r="AG62" s="508"/>
      <c r="AH62" s="508"/>
      <c r="AI62" s="508"/>
      <c r="AJ62" s="508"/>
      <c r="AK62" s="508"/>
      <c r="AL62" s="508"/>
      <c r="AM62" s="508"/>
      <c r="AN62" s="508"/>
      <c r="AO62" s="508"/>
      <c r="AP62" s="508"/>
      <c r="AQ62" s="508"/>
      <c r="AR62" s="509"/>
      <c r="AS62" s="509"/>
      <c r="AT62" s="509"/>
      <c r="AU62" s="509"/>
      <c r="AV62" s="509"/>
      <c r="AW62" s="509"/>
      <c r="AX62" s="509"/>
      <c r="AY62" s="509"/>
      <c r="AZ62" s="510"/>
      <c r="BA62" s="510"/>
      <c r="BB62" s="510"/>
      <c r="BC62" s="510"/>
      <c r="BD62" s="510"/>
      <c r="BE62" s="510"/>
      <c r="BF62" s="510"/>
      <c r="BG62" s="510"/>
      <c r="BH62" s="510"/>
      <c r="BI62" s="510"/>
      <c r="BJ62" s="510"/>
      <c r="BK62" s="510"/>
      <c r="BL62" s="510"/>
      <c r="BM62" s="510"/>
      <c r="BN62" s="510"/>
      <c r="BO62" s="510"/>
      <c r="BP62" s="510"/>
      <c r="BQ62" s="510"/>
      <c r="BR62" s="510"/>
      <c r="BS62" s="510"/>
      <c r="BT62" s="510"/>
      <c r="BU62" s="510"/>
      <c r="BV62" s="510"/>
      <c r="BW62" s="510"/>
      <c r="BX62" s="510"/>
      <c r="BY62" s="510"/>
      <c r="BZ62" s="510"/>
      <c r="CA62" s="511" t="str">
        <f t="shared" si="26"/>
        <v/>
      </c>
      <c r="CB62" s="511" t="str">
        <f t="shared" si="27"/>
        <v/>
      </c>
      <c r="CC62" s="510"/>
      <c r="CD62" s="510"/>
      <c r="CE62" s="512"/>
      <c r="CF62" s="512"/>
      <c r="CG62" s="512"/>
      <c r="CH62" s="512"/>
      <c r="CI62" s="512"/>
      <c r="CK62" s="513">
        <f t="shared" si="28"/>
        <v>0</v>
      </c>
      <c r="CL62" s="513">
        <f t="shared" si="28"/>
        <v>0</v>
      </c>
    </row>
    <row r="63" spans="1:90" ht="15" customHeight="1">
      <c r="A63" s="5732" t="s">
        <v>284</v>
      </c>
      <c r="B63" s="5732"/>
      <c r="C63" s="587">
        <f t="shared" si="24"/>
        <v>0</v>
      </c>
      <c r="D63" s="207"/>
      <c r="E63" s="209"/>
      <c r="F63" s="209"/>
      <c r="G63" s="209"/>
      <c r="H63" s="209"/>
      <c r="I63" s="213"/>
      <c r="J63" s="273"/>
      <c r="K63" s="298"/>
      <c r="L63" s="283"/>
      <c r="M63" s="507" t="str">
        <f t="shared" si="25"/>
        <v/>
      </c>
      <c r="N63" s="508"/>
      <c r="O63" s="508"/>
      <c r="P63" s="508"/>
      <c r="Q63" s="508"/>
      <c r="R63" s="508"/>
      <c r="S63" s="508"/>
      <c r="T63" s="508"/>
      <c r="U63" s="508"/>
      <c r="V63" s="508"/>
      <c r="W63" s="508"/>
      <c r="X63" s="508"/>
      <c r="Y63" s="508"/>
      <c r="Z63" s="508"/>
      <c r="AA63" s="508"/>
      <c r="AB63" s="508"/>
      <c r="AC63" s="508"/>
      <c r="AD63" s="508"/>
      <c r="AE63" s="508"/>
      <c r="AF63" s="508"/>
      <c r="AG63" s="508"/>
      <c r="AH63" s="508"/>
      <c r="AI63" s="508"/>
      <c r="AJ63" s="508"/>
      <c r="AK63" s="508"/>
      <c r="AL63" s="508"/>
      <c r="AM63" s="508"/>
      <c r="AN63" s="508"/>
      <c r="AO63" s="508"/>
      <c r="AP63" s="508"/>
      <c r="AQ63" s="508"/>
      <c r="AR63" s="509"/>
      <c r="AS63" s="509"/>
      <c r="AT63" s="509"/>
      <c r="AU63" s="509"/>
      <c r="AV63" s="509"/>
      <c r="AW63" s="509"/>
      <c r="AX63" s="509"/>
      <c r="AY63" s="509"/>
      <c r="AZ63" s="510"/>
      <c r="BA63" s="510"/>
      <c r="BB63" s="510"/>
      <c r="BC63" s="510"/>
      <c r="BD63" s="510"/>
      <c r="BE63" s="510"/>
      <c r="BF63" s="510"/>
      <c r="BG63" s="510"/>
      <c r="BH63" s="510"/>
      <c r="BI63" s="510"/>
      <c r="BJ63" s="510"/>
      <c r="BK63" s="510"/>
      <c r="BL63" s="510"/>
      <c r="BM63" s="510"/>
      <c r="BN63" s="510"/>
      <c r="BO63" s="510"/>
      <c r="BP63" s="510"/>
      <c r="BQ63" s="510"/>
      <c r="BR63" s="510"/>
      <c r="BS63" s="510"/>
      <c r="BT63" s="510"/>
      <c r="BU63" s="510"/>
      <c r="BV63" s="510"/>
      <c r="BW63" s="510"/>
      <c r="BX63" s="510"/>
      <c r="BY63" s="510"/>
      <c r="BZ63" s="510"/>
      <c r="CA63" s="511" t="str">
        <f t="shared" si="26"/>
        <v/>
      </c>
      <c r="CB63" s="511" t="str">
        <f t="shared" si="27"/>
        <v/>
      </c>
      <c r="CC63" s="510"/>
      <c r="CD63" s="510"/>
      <c r="CE63" s="512"/>
      <c r="CF63" s="512"/>
      <c r="CG63" s="512"/>
      <c r="CH63" s="512"/>
      <c r="CI63" s="512"/>
      <c r="CK63" s="513">
        <f t="shared" si="28"/>
        <v>0</v>
      </c>
      <c r="CL63" s="513">
        <f t="shared" si="28"/>
        <v>0</v>
      </c>
    </row>
    <row r="64" spans="1:90" ht="15" customHeight="1">
      <c r="A64" s="5732" t="s">
        <v>285</v>
      </c>
      <c r="B64" s="5732"/>
      <c r="C64" s="523">
        <f t="shared" ref="C64:C66" si="29">SUM(H64:J64)</f>
        <v>0</v>
      </c>
      <c r="D64" s="588"/>
      <c r="E64" s="589"/>
      <c r="F64" s="589"/>
      <c r="G64" s="589"/>
      <c r="H64" s="590"/>
      <c r="I64" s="209"/>
      <c r="J64" s="214"/>
      <c r="K64" s="298"/>
      <c r="L64" s="283"/>
      <c r="M64" s="507" t="str">
        <f t="shared" si="25"/>
        <v/>
      </c>
      <c r="N64" s="508"/>
      <c r="O64" s="508"/>
      <c r="P64" s="508"/>
      <c r="Q64" s="508"/>
      <c r="R64" s="508"/>
      <c r="S64" s="508"/>
      <c r="T64" s="508"/>
      <c r="U64" s="508"/>
      <c r="V64" s="508"/>
      <c r="W64" s="508"/>
      <c r="X64" s="508"/>
      <c r="Y64" s="508"/>
      <c r="Z64" s="508"/>
      <c r="AA64" s="508"/>
      <c r="AB64" s="508"/>
      <c r="AC64" s="508"/>
      <c r="AD64" s="508"/>
      <c r="AE64" s="508"/>
      <c r="AF64" s="508"/>
      <c r="AG64" s="508"/>
      <c r="AH64" s="508"/>
      <c r="AI64" s="508"/>
      <c r="AJ64" s="508"/>
      <c r="AK64" s="508"/>
      <c r="AL64" s="508"/>
      <c r="AM64" s="508"/>
      <c r="AN64" s="508"/>
      <c r="AO64" s="508"/>
      <c r="AP64" s="508"/>
      <c r="AQ64" s="508"/>
      <c r="AR64" s="509"/>
      <c r="AS64" s="509"/>
      <c r="AT64" s="509"/>
      <c r="AU64" s="509"/>
      <c r="AV64" s="509"/>
      <c r="AW64" s="509"/>
      <c r="AX64" s="509"/>
      <c r="AY64" s="509"/>
      <c r="AZ64" s="510"/>
      <c r="BA64" s="510"/>
      <c r="BB64" s="510"/>
      <c r="BC64" s="510"/>
      <c r="BD64" s="510"/>
      <c r="BE64" s="510"/>
      <c r="BF64" s="510"/>
      <c r="BG64" s="510"/>
      <c r="BH64" s="510"/>
      <c r="BI64" s="510"/>
      <c r="BJ64" s="510"/>
      <c r="BK64" s="510"/>
      <c r="BL64" s="510"/>
      <c r="BM64" s="510"/>
      <c r="BN64" s="510"/>
      <c r="BO64" s="510"/>
      <c r="BP64" s="510"/>
      <c r="BQ64" s="510"/>
      <c r="BR64" s="510"/>
      <c r="BS64" s="510"/>
      <c r="BT64" s="510"/>
      <c r="BU64" s="510"/>
      <c r="BV64" s="510"/>
      <c r="BW64" s="510"/>
      <c r="BX64" s="510"/>
      <c r="BY64" s="510"/>
      <c r="BZ64" s="510"/>
      <c r="CA64" s="511" t="str">
        <f t="shared" si="26"/>
        <v/>
      </c>
      <c r="CB64" s="511" t="str">
        <f t="shared" si="27"/>
        <v/>
      </c>
      <c r="CC64" s="510"/>
      <c r="CD64" s="510"/>
      <c r="CE64" s="512"/>
      <c r="CF64" s="512"/>
      <c r="CG64" s="512"/>
      <c r="CH64" s="512"/>
      <c r="CI64" s="512"/>
      <c r="CK64" s="513">
        <f t="shared" si="28"/>
        <v>0</v>
      </c>
      <c r="CL64" s="513">
        <f t="shared" si="28"/>
        <v>0</v>
      </c>
    </row>
    <row r="65" spans="1:90" ht="24" customHeight="1">
      <c r="A65" s="5732" t="s">
        <v>286</v>
      </c>
      <c r="B65" s="5732"/>
      <c r="C65" s="523">
        <f t="shared" si="29"/>
        <v>0</v>
      </c>
      <c r="D65" s="588"/>
      <c r="E65" s="589"/>
      <c r="F65" s="589"/>
      <c r="G65" s="589"/>
      <c r="H65" s="590"/>
      <c r="I65" s="209"/>
      <c r="J65" s="214"/>
      <c r="K65" s="298"/>
      <c r="L65" s="283"/>
      <c r="M65" s="507" t="str">
        <f t="shared" si="25"/>
        <v/>
      </c>
      <c r="N65" s="508"/>
      <c r="O65" s="508"/>
      <c r="P65" s="508"/>
      <c r="Q65" s="508"/>
      <c r="R65" s="508"/>
      <c r="S65" s="508"/>
      <c r="T65" s="508"/>
      <c r="U65" s="508"/>
      <c r="V65" s="508"/>
      <c r="W65" s="508"/>
      <c r="X65" s="508"/>
      <c r="Y65" s="508"/>
      <c r="Z65" s="508"/>
      <c r="AA65" s="508"/>
      <c r="AB65" s="508"/>
      <c r="AC65" s="508"/>
      <c r="AD65" s="508"/>
      <c r="AE65" s="508"/>
      <c r="AF65" s="508"/>
      <c r="AG65" s="508"/>
      <c r="AH65" s="508"/>
      <c r="AI65" s="508"/>
      <c r="AJ65" s="508"/>
      <c r="AK65" s="508"/>
      <c r="AL65" s="508"/>
      <c r="AM65" s="508"/>
      <c r="AN65" s="508"/>
      <c r="AO65" s="508"/>
      <c r="AP65" s="508"/>
      <c r="AQ65" s="508"/>
      <c r="AR65" s="509"/>
      <c r="AS65" s="509"/>
      <c r="AT65" s="509"/>
      <c r="AU65" s="509"/>
      <c r="AV65" s="509"/>
      <c r="AW65" s="509"/>
      <c r="AX65" s="509"/>
      <c r="AY65" s="509"/>
      <c r="AZ65" s="510"/>
      <c r="BA65" s="510"/>
      <c r="BB65" s="510"/>
      <c r="BC65" s="510"/>
      <c r="BD65" s="510"/>
      <c r="BE65" s="510"/>
      <c r="BF65" s="510"/>
      <c r="BG65" s="510"/>
      <c r="BH65" s="510"/>
      <c r="BI65" s="510"/>
      <c r="BJ65" s="510"/>
      <c r="BK65" s="510"/>
      <c r="BL65" s="510"/>
      <c r="BM65" s="510"/>
      <c r="BN65" s="510"/>
      <c r="BO65" s="510"/>
      <c r="BP65" s="510"/>
      <c r="BQ65" s="510"/>
      <c r="BR65" s="510"/>
      <c r="BS65" s="510"/>
      <c r="BT65" s="510"/>
      <c r="BU65" s="510"/>
      <c r="BV65" s="510"/>
      <c r="BW65" s="510"/>
      <c r="BX65" s="510"/>
      <c r="BY65" s="510"/>
      <c r="BZ65" s="510"/>
      <c r="CA65" s="511" t="str">
        <f t="shared" si="26"/>
        <v/>
      </c>
      <c r="CB65" s="511" t="str">
        <f t="shared" si="27"/>
        <v/>
      </c>
      <c r="CC65" s="510"/>
      <c r="CD65" s="510"/>
      <c r="CE65" s="512"/>
      <c r="CF65" s="512"/>
      <c r="CG65" s="512"/>
      <c r="CH65" s="512"/>
      <c r="CI65" s="512"/>
      <c r="CK65" s="513">
        <f t="shared" si="28"/>
        <v>0</v>
      </c>
      <c r="CL65" s="513">
        <f t="shared" si="28"/>
        <v>0</v>
      </c>
    </row>
    <row r="66" spans="1:90" ht="15" customHeight="1">
      <c r="A66" s="5741" t="s">
        <v>287</v>
      </c>
      <c r="B66" s="5741"/>
      <c r="C66" s="591">
        <f t="shared" si="29"/>
        <v>0</v>
      </c>
      <c r="D66" s="108"/>
      <c r="E66" s="111"/>
      <c r="F66" s="111"/>
      <c r="G66" s="111"/>
      <c r="H66" s="592"/>
      <c r="I66" s="110"/>
      <c r="J66" s="186"/>
      <c r="K66" s="119"/>
      <c r="L66" s="120"/>
      <c r="M66" s="507" t="str">
        <f t="shared" si="25"/>
        <v/>
      </c>
      <c r="N66" s="508"/>
      <c r="O66" s="508"/>
      <c r="P66" s="508"/>
      <c r="Q66" s="508"/>
      <c r="R66" s="508"/>
      <c r="S66" s="508"/>
      <c r="T66" s="508"/>
      <c r="U66" s="508"/>
      <c r="V66" s="508"/>
      <c r="W66" s="508"/>
      <c r="X66" s="508"/>
      <c r="Y66" s="508"/>
      <c r="Z66" s="508"/>
      <c r="AA66" s="508"/>
      <c r="AB66" s="508"/>
      <c r="AC66" s="508"/>
      <c r="AD66" s="508"/>
      <c r="AE66" s="508"/>
      <c r="AF66" s="508"/>
      <c r="AG66" s="508"/>
      <c r="AH66" s="508"/>
      <c r="AI66" s="508"/>
      <c r="AJ66" s="508"/>
      <c r="AK66" s="508"/>
      <c r="AL66" s="508"/>
      <c r="AM66" s="508"/>
      <c r="AN66" s="508"/>
      <c r="AO66" s="508"/>
      <c r="AP66" s="508"/>
      <c r="AQ66" s="508"/>
      <c r="AR66" s="509"/>
      <c r="AS66" s="509"/>
      <c r="AT66" s="509"/>
      <c r="AU66" s="509"/>
      <c r="AV66" s="509"/>
      <c r="AW66" s="509"/>
      <c r="AX66" s="509"/>
      <c r="AY66" s="509"/>
      <c r="AZ66" s="510"/>
      <c r="BA66" s="510"/>
      <c r="BB66" s="510"/>
      <c r="BC66" s="510"/>
      <c r="BD66" s="510"/>
      <c r="BE66" s="510"/>
      <c r="BF66" s="510"/>
      <c r="BG66" s="510"/>
      <c r="BH66" s="510"/>
      <c r="BI66" s="510"/>
      <c r="BJ66" s="510"/>
      <c r="BK66" s="510"/>
      <c r="BL66" s="510"/>
      <c r="BM66" s="510"/>
      <c r="BN66" s="510"/>
      <c r="BO66" s="510"/>
      <c r="BP66" s="510"/>
      <c r="BQ66" s="510"/>
      <c r="BR66" s="510"/>
      <c r="BS66" s="510"/>
      <c r="BT66" s="510"/>
      <c r="BU66" s="510"/>
      <c r="BV66" s="510"/>
      <c r="BW66" s="510"/>
      <c r="BX66" s="510"/>
      <c r="BY66" s="510"/>
      <c r="BZ66" s="510"/>
      <c r="CA66" s="511" t="str">
        <f t="shared" si="26"/>
        <v/>
      </c>
      <c r="CB66" s="511" t="str">
        <f t="shared" si="27"/>
        <v/>
      </c>
      <c r="CC66" s="510"/>
      <c r="CD66" s="510"/>
      <c r="CE66" s="512"/>
      <c r="CF66" s="512"/>
      <c r="CG66" s="512"/>
      <c r="CH66" s="512"/>
      <c r="CI66" s="512"/>
      <c r="CK66" s="513">
        <f t="shared" si="28"/>
        <v>0</v>
      </c>
      <c r="CL66" s="513">
        <f t="shared" si="28"/>
        <v>0</v>
      </c>
    </row>
    <row r="67" spans="1:90" ht="15" customHeight="1">
      <c r="A67" s="5742" t="s">
        <v>288</v>
      </c>
      <c r="B67" s="5742"/>
      <c r="C67" s="593">
        <f>SUM(D67:J67)</f>
        <v>0</v>
      </c>
      <c r="D67" s="594"/>
      <c r="E67" s="595"/>
      <c r="F67" s="595"/>
      <c r="G67" s="595"/>
      <c r="H67" s="123"/>
      <c r="I67" s="123"/>
      <c r="J67" s="304"/>
      <c r="K67" s="596"/>
      <c r="L67" s="322"/>
      <c r="M67" s="507" t="str">
        <f t="shared" si="25"/>
        <v/>
      </c>
      <c r="N67" s="508"/>
      <c r="O67" s="508"/>
      <c r="P67" s="508"/>
      <c r="Q67" s="508"/>
      <c r="R67" s="508"/>
      <c r="S67" s="508"/>
      <c r="T67" s="508"/>
      <c r="U67" s="508"/>
      <c r="V67" s="508"/>
      <c r="W67" s="508"/>
      <c r="X67" s="508"/>
      <c r="Y67" s="508"/>
      <c r="Z67" s="508"/>
      <c r="AA67" s="508"/>
      <c r="AB67" s="508"/>
      <c r="AC67" s="508"/>
      <c r="AD67" s="508"/>
      <c r="AE67" s="508"/>
      <c r="AF67" s="508"/>
      <c r="AG67" s="508"/>
      <c r="AH67" s="508"/>
      <c r="AI67" s="508"/>
      <c r="AJ67" s="508"/>
      <c r="AK67" s="508"/>
      <c r="AL67" s="508"/>
      <c r="AM67" s="508"/>
      <c r="AN67" s="508"/>
      <c r="AO67" s="508"/>
      <c r="AP67" s="508"/>
      <c r="AQ67" s="508"/>
      <c r="AR67" s="509"/>
      <c r="AS67" s="509"/>
      <c r="AT67" s="509"/>
      <c r="AU67" s="509"/>
      <c r="AV67" s="509"/>
      <c r="AW67" s="509"/>
      <c r="AX67" s="509"/>
      <c r="AY67" s="509"/>
      <c r="AZ67" s="510"/>
      <c r="BA67" s="510"/>
      <c r="BB67" s="510"/>
      <c r="BC67" s="510"/>
      <c r="BD67" s="510"/>
      <c r="BE67" s="510"/>
      <c r="BF67" s="510"/>
      <c r="BG67" s="510"/>
      <c r="BH67" s="510"/>
      <c r="BI67" s="510"/>
      <c r="BJ67" s="510"/>
      <c r="BK67" s="510"/>
      <c r="BL67" s="510"/>
      <c r="BM67" s="510"/>
      <c r="BN67" s="510"/>
      <c r="BO67" s="510"/>
      <c r="BP67" s="510"/>
      <c r="BQ67" s="510"/>
      <c r="BR67" s="510"/>
      <c r="BS67" s="510"/>
      <c r="BT67" s="510"/>
      <c r="BU67" s="510"/>
      <c r="BV67" s="510"/>
      <c r="BW67" s="510"/>
      <c r="BX67" s="510"/>
      <c r="BY67" s="510"/>
      <c r="BZ67" s="510"/>
      <c r="CA67" s="511" t="str">
        <f t="shared" si="26"/>
        <v/>
      </c>
      <c r="CB67" s="511" t="str">
        <f t="shared" si="27"/>
        <v/>
      </c>
      <c r="CC67" s="510"/>
      <c r="CD67" s="510"/>
      <c r="CE67" s="512"/>
      <c r="CF67" s="512"/>
      <c r="CG67" s="512"/>
      <c r="CH67" s="512"/>
      <c r="CI67" s="512"/>
      <c r="CK67" s="513">
        <f t="shared" si="28"/>
        <v>0</v>
      </c>
      <c r="CL67" s="513">
        <f t="shared" si="28"/>
        <v>0</v>
      </c>
    </row>
    <row r="68" spans="1:90" ht="18" customHeight="1">
      <c r="A68" s="470" t="s">
        <v>289</v>
      </c>
      <c r="B68" s="471"/>
      <c r="C68" s="471"/>
      <c r="D68" s="471"/>
      <c r="E68" s="471"/>
      <c r="F68" s="471"/>
      <c r="G68" s="471"/>
      <c r="H68" s="471"/>
      <c r="I68" s="471"/>
      <c r="J68" s="472"/>
      <c r="K68" s="472"/>
      <c r="L68" s="597"/>
      <c r="M68" s="48"/>
      <c r="N68" s="48"/>
      <c r="O68" s="48"/>
      <c r="P68" s="48"/>
      <c r="Q68" s="48"/>
      <c r="R68" s="48"/>
      <c r="S68" s="48"/>
      <c r="T68" s="48"/>
      <c r="U68" s="48"/>
      <c r="V68" s="48"/>
      <c r="W68" s="48"/>
      <c r="X68" s="48"/>
      <c r="Y68" s="48"/>
      <c r="Z68" s="48"/>
      <c r="AA68" s="48"/>
      <c r="AB68" s="48"/>
      <c r="AC68" s="48"/>
      <c r="AD68" s="48"/>
      <c r="AE68" s="48"/>
      <c r="AF68" s="48"/>
      <c r="AG68" s="48"/>
      <c r="AH68" s="48"/>
      <c r="AI68" s="48"/>
      <c r="AJ68" s="48"/>
      <c r="AK68" s="48"/>
      <c r="AL68" s="48"/>
      <c r="AM68" s="48"/>
      <c r="AN68" s="48"/>
      <c r="AO68" s="48"/>
      <c r="AP68" s="48"/>
      <c r="AQ68" s="48"/>
      <c r="AR68" s="48"/>
      <c r="AS68" s="48"/>
      <c r="AT68" s="48"/>
      <c r="AU68" s="48"/>
      <c r="AV68" s="48"/>
      <c r="AW68" s="48"/>
      <c r="AX68" s="48"/>
      <c r="AY68" s="48"/>
    </row>
    <row r="69" spans="1:90" ht="15" customHeight="1">
      <c r="A69" s="5624" t="s">
        <v>237</v>
      </c>
      <c r="B69" s="5642" t="s">
        <v>229</v>
      </c>
      <c r="C69" s="5627"/>
      <c r="D69" s="5624"/>
      <c r="E69" s="5646" t="s">
        <v>115</v>
      </c>
      <c r="F69" s="5646"/>
      <c r="G69" s="5646"/>
      <c r="H69" s="5663"/>
      <c r="I69" s="5657" t="s">
        <v>50</v>
      </c>
      <c r="J69" s="5613" t="s">
        <v>51</v>
      </c>
      <c r="K69" s="48"/>
      <c r="L69" s="48"/>
      <c r="M69" s="48"/>
      <c r="N69" s="48"/>
      <c r="O69" s="48"/>
      <c r="P69" s="48"/>
      <c r="Q69" s="48"/>
      <c r="R69" s="48"/>
      <c r="S69" s="48"/>
      <c r="T69" s="48"/>
      <c r="U69" s="48"/>
      <c r="V69" s="48"/>
      <c r="W69" s="48"/>
      <c r="X69" s="48"/>
      <c r="Y69" s="48"/>
      <c r="Z69" s="48"/>
      <c r="AA69" s="48"/>
      <c r="AB69" s="48"/>
      <c r="AC69" s="48"/>
      <c r="AD69" s="48"/>
      <c r="AE69" s="48"/>
      <c r="AF69" s="48"/>
      <c r="AG69" s="48"/>
      <c r="AH69" s="48"/>
      <c r="AI69" s="48"/>
      <c r="AJ69" s="48"/>
      <c r="AK69" s="48"/>
      <c r="AL69" s="48"/>
      <c r="AM69" s="48"/>
      <c r="AN69" s="48"/>
      <c r="AO69" s="48"/>
      <c r="AP69" s="48"/>
      <c r="AQ69" s="48"/>
      <c r="AR69" s="48"/>
      <c r="AS69" s="48"/>
      <c r="AT69" s="48"/>
      <c r="AU69" s="48"/>
      <c r="AV69" s="48"/>
      <c r="AW69" s="48"/>
      <c r="AX69" s="48"/>
      <c r="AY69" s="48"/>
    </row>
    <row r="70" spans="1:90" ht="15" customHeight="1">
      <c r="A70" s="5645"/>
      <c r="B70" s="5659"/>
      <c r="C70" s="5731"/>
      <c r="D70" s="5625"/>
      <c r="E70" s="5615" t="s">
        <v>97</v>
      </c>
      <c r="F70" s="5652"/>
      <c r="G70" s="5616" t="s">
        <v>98</v>
      </c>
      <c r="H70" s="5617"/>
      <c r="I70" s="5665"/>
      <c r="J70" s="5671"/>
      <c r="K70" s="48"/>
      <c r="L70" s="48"/>
      <c r="M70" s="48"/>
      <c r="N70" s="48"/>
      <c r="O70" s="48"/>
      <c r="P70" s="48"/>
      <c r="Q70" s="48"/>
      <c r="R70" s="48"/>
      <c r="S70" s="48"/>
      <c r="T70" s="48"/>
      <c r="U70" s="48"/>
      <c r="V70" s="48"/>
      <c r="W70" s="48"/>
      <c r="X70" s="48"/>
      <c r="Y70" s="48"/>
      <c r="Z70" s="48"/>
      <c r="AA70" s="48"/>
      <c r="AB70" s="48"/>
      <c r="AC70" s="48"/>
      <c r="AD70" s="48"/>
      <c r="AE70" s="48"/>
      <c r="AF70" s="48"/>
      <c r="AG70" s="48"/>
      <c r="AH70" s="48"/>
      <c r="AI70" s="48"/>
      <c r="AJ70" s="48"/>
      <c r="AK70" s="48"/>
      <c r="AL70" s="48"/>
      <c r="AM70" s="48"/>
      <c r="AN70" s="48"/>
      <c r="AO70" s="48"/>
      <c r="AP70" s="48"/>
      <c r="AQ70" s="48"/>
      <c r="AR70" s="48"/>
      <c r="AS70" s="48"/>
      <c r="AT70" s="48"/>
      <c r="AU70" s="48"/>
      <c r="AV70" s="48"/>
      <c r="AW70" s="48"/>
      <c r="AX70" s="48"/>
      <c r="AY70" s="48"/>
    </row>
    <row r="71" spans="1:90" ht="15" customHeight="1">
      <c r="A71" s="5625"/>
      <c r="B71" s="598" t="s">
        <v>93</v>
      </c>
      <c r="C71" s="196" t="s">
        <v>72</v>
      </c>
      <c r="D71" s="74" t="s">
        <v>73</v>
      </c>
      <c r="E71" s="75" t="s">
        <v>72</v>
      </c>
      <c r="F71" s="76" t="s">
        <v>73</v>
      </c>
      <c r="G71" s="75" t="s">
        <v>72</v>
      </c>
      <c r="H71" s="60" t="s">
        <v>73</v>
      </c>
      <c r="I71" s="5658"/>
      <c r="J71" s="5614"/>
      <c r="K71" s="48"/>
      <c r="L71" s="48"/>
      <c r="M71" s="48"/>
      <c r="N71" s="48"/>
      <c r="O71" s="48"/>
      <c r="P71" s="48"/>
      <c r="Q71" s="48"/>
      <c r="R71" s="48"/>
      <c r="S71" s="48"/>
      <c r="T71" s="48"/>
      <c r="U71" s="48"/>
      <c r="V71" s="48"/>
      <c r="W71" s="48"/>
      <c r="X71" s="48"/>
      <c r="Y71" s="48"/>
      <c r="Z71" s="48"/>
      <c r="AA71" s="48"/>
      <c r="AB71" s="48"/>
      <c r="AC71" s="48"/>
      <c r="AD71" s="48"/>
      <c r="AE71" s="48"/>
      <c r="AF71" s="48"/>
      <c r="AG71" s="48"/>
      <c r="AH71" s="48"/>
      <c r="AI71" s="48"/>
      <c r="AJ71" s="48"/>
      <c r="AK71" s="48"/>
      <c r="AL71" s="48"/>
      <c r="AM71" s="48"/>
      <c r="AN71" s="48"/>
      <c r="AO71" s="48"/>
      <c r="AP71" s="48"/>
      <c r="AQ71" s="48"/>
      <c r="AR71" s="48"/>
      <c r="AS71" s="48"/>
      <c r="AT71" s="48"/>
      <c r="AU71" s="48"/>
      <c r="AV71" s="48"/>
      <c r="AW71" s="48"/>
      <c r="AX71" s="48"/>
      <c r="AY71" s="48"/>
    </row>
    <row r="72" spans="1:90" ht="15" customHeight="1">
      <c r="A72" s="599" t="s">
        <v>214</v>
      </c>
      <c r="B72" s="600">
        <f t="shared" ref="B72:B74" si="30">SUM(C72:D72)</f>
        <v>0</v>
      </c>
      <c r="C72" s="601">
        <f t="shared" ref="C72:D74" si="31">+E72+G72</f>
        <v>0</v>
      </c>
      <c r="D72" s="602">
        <f t="shared" si="31"/>
        <v>0</v>
      </c>
      <c r="E72" s="95"/>
      <c r="F72" s="94"/>
      <c r="G72" s="164"/>
      <c r="H72" s="129"/>
      <c r="I72" s="92"/>
      <c r="J72" s="282"/>
      <c r="K72" s="507" t="str">
        <f t="shared" si="20"/>
        <v/>
      </c>
      <c r="L72" s="508"/>
      <c r="M72" s="508"/>
      <c r="N72" s="508"/>
      <c r="O72" s="508"/>
      <c r="P72" s="508"/>
      <c r="Q72" s="508"/>
      <c r="R72" s="508"/>
      <c r="S72" s="508"/>
      <c r="T72" s="508"/>
      <c r="U72" s="508"/>
      <c r="V72" s="508"/>
      <c r="W72" s="508"/>
      <c r="X72" s="508"/>
      <c r="Y72" s="508"/>
      <c r="Z72" s="508"/>
      <c r="AA72" s="508"/>
      <c r="AB72" s="508"/>
      <c r="AC72" s="508"/>
      <c r="AD72" s="508"/>
      <c r="AE72" s="508"/>
      <c r="AF72" s="508"/>
      <c r="AG72" s="508"/>
      <c r="AH72" s="508"/>
      <c r="AI72" s="508"/>
      <c r="AJ72" s="508"/>
      <c r="AK72" s="508"/>
      <c r="AL72" s="508"/>
      <c r="AM72" s="508"/>
      <c r="AN72" s="508"/>
      <c r="AO72" s="508"/>
      <c r="AP72" s="509"/>
      <c r="AQ72" s="509"/>
      <c r="AR72" s="509"/>
      <c r="AS72" s="509"/>
      <c r="AT72" s="509"/>
      <c r="AU72" s="509"/>
      <c r="AV72" s="509"/>
      <c r="AW72" s="509"/>
      <c r="AX72" s="509"/>
      <c r="AY72" s="509"/>
      <c r="AZ72" s="510"/>
      <c r="BA72" s="510"/>
      <c r="BB72" s="510"/>
      <c r="BC72" s="510"/>
      <c r="BD72" s="510"/>
      <c r="BE72" s="510"/>
      <c r="BF72" s="510"/>
      <c r="BG72" s="510"/>
      <c r="BH72" s="510"/>
      <c r="BI72" s="510"/>
      <c r="BJ72" s="510"/>
      <c r="BK72" s="510"/>
      <c r="BL72" s="510"/>
      <c r="BM72" s="510"/>
      <c r="BN72" s="510"/>
      <c r="BO72" s="510"/>
      <c r="BP72" s="510"/>
      <c r="BQ72" s="510"/>
      <c r="BR72" s="510"/>
      <c r="BS72" s="510"/>
      <c r="BT72" s="510"/>
      <c r="BU72" s="510"/>
      <c r="BV72" s="510"/>
      <c r="BW72" s="510"/>
      <c r="BX72" s="510"/>
      <c r="BY72" s="510"/>
      <c r="BZ72" s="510"/>
      <c r="CA72" s="511" t="str">
        <f t="shared" ref="CA72:CA74" si="32">IF(AND($B72&lt;&gt;0,I72=""),"* No olvide ingresar la variable "&amp;I$51&amp;""&amp;". Digite CERO si no tiene. ",IF(I72&gt;$B72,"* La variable Pueblos Originarios no debe ser mayor al Total Ambos Sexos. ",""))</f>
        <v/>
      </c>
      <c r="CB72" s="511" t="str">
        <f t="shared" ref="CB72:CB74" si="33">IF(AND($B72&lt;&gt;0,J72=""),"* No olvide ingresar la variable "&amp;J$51&amp;""&amp;" (Digite CERO si no tiene). ",IF(J72&gt;$B72,"* La variable Migrantes no debe ser mayor al Total Ambos Sexos. ",""))</f>
        <v/>
      </c>
      <c r="CC72" s="510"/>
      <c r="CD72" s="510"/>
      <c r="CE72" s="512"/>
      <c r="CF72" s="512"/>
      <c r="CG72" s="512"/>
      <c r="CH72" s="512"/>
      <c r="CI72" s="512"/>
      <c r="CK72" s="513">
        <f t="shared" ref="CK72:CL74" si="34">IF(AND($B72&lt;&gt;0,I72=""),1,IF(I72&gt;$B72,1,0))</f>
        <v>0</v>
      </c>
      <c r="CL72" s="513">
        <f>IF(AND($B72&lt;&gt;0,J72=""),1,IF(J72&gt;$B72,1,0))</f>
        <v>0</v>
      </c>
    </row>
    <row r="73" spans="1:90" ht="15" customHeight="1">
      <c r="A73" s="603" t="s">
        <v>270</v>
      </c>
      <c r="B73" s="578">
        <f t="shared" si="30"/>
        <v>0</v>
      </c>
      <c r="C73" s="604">
        <f t="shared" si="31"/>
        <v>0</v>
      </c>
      <c r="D73" s="605">
        <f t="shared" si="31"/>
        <v>0</v>
      </c>
      <c r="E73" s="207"/>
      <c r="F73" s="279"/>
      <c r="G73" s="207"/>
      <c r="H73" s="606"/>
      <c r="I73" s="298"/>
      <c r="J73" s="283"/>
      <c r="K73" s="507" t="str">
        <f t="shared" si="20"/>
        <v/>
      </c>
      <c r="L73" s="508"/>
      <c r="M73" s="508"/>
      <c r="N73" s="508"/>
      <c r="O73" s="508"/>
      <c r="P73" s="508"/>
      <c r="Q73" s="508"/>
      <c r="R73" s="508"/>
      <c r="S73" s="508"/>
      <c r="T73" s="508"/>
      <c r="U73" s="508"/>
      <c r="V73" s="508"/>
      <c r="W73" s="508"/>
      <c r="X73" s="508"/>
      <c r="Y73" s="508"/>
      <c r="Z73" s="508"/>
      <c r="AA73" s="508"/>
      <c r="AB73" s="508"/>
      <c r="AC73" s="508"/>
      <c r="AD73" s="508"/>
      <c r="AE73" s="508"/>
      <c r="AF73" s="508"/>
      <c r="AG73" s="508"/>
      <c r="AH73" s="508"/>
      <c r="AI73" s="508"/>
      <c r="AJ73" s="508"/>
      <c r="AK73" s="508"/>
      <c r="AL73" s="508"/>
      <c r="AM73" s="508"/>
      <c r="AN73" s="508"/>
      <c r="AO73" s="508"/>
      <c r="AP73" s="509"/>
      <c r="AQ73" s="509"/>
      <c r="AR73" s="509"/>
      <c r="AS73" s="509"/>
      <c r="AT73" s="509"/>
      <c r="AU73" s="509"/>
      <c r="AV73" s="509"/>
      <c r="AW73" s="509"/>
      <c r="AX73" s="509"/>
      <c r="AY73" s="509"/>
      <c r="AZ73" s="510"/>
      <c r="BA73" s="510"/>
      <c r="BB73" s="510"/>
      <c r="BC73" s="510"/>
      <c r="BD73" s="510"/>
      <c r="BE73" s="510"/>
      <c r="BF73" s="510"/>
      <c r="BG73" s="510"/>
      <c r="BH73" s="510"/>
      <c r="BI73" s="510"/>
      <c r="BJ73" s="510"/>
      <c r="BK73" s="510"/>
      <c r="BL73" s="510"/>
      <c r="BM73" s="510"/>
      <c r="BN73" s="510"/>
      <c r="BO73" s="510"/>
      <c r="BP73" s="510"/>
      <c r="BQ73" s="510"/>
      <c r="BR73" s="510"/>
      <c r="BS73" s="510"/>
      <c r="BT73" s="510"/>
      <c r="BU73" s="510"/>
      <c r="BV73" s="510"/>
      <c r="BW73" s="510"/>
      <c r="BX73" s="510"/>
      <c r="BY73" s="510"/>
      <c r="BZ73" s="510"/>
      <c r="CA73" s="511" t="str">
        <f t="shared" si="32"/>
        <v/>
      </c>
      <c r="CB73" s="511" t="str">
        <f t="shared" si="33"/>
        <v/>
      </c>
      <c r="CC73" s="510"/>
      <c r="CD73" s="510"/>
      <c r="CE73" s="512"/>
      <c r="CF73" s="512"/>
      <c r="CG73" s="512"/>
      <c r="CH73" s="512"/>
      <c r="CI73" s="512"/>
      <c r="CK73" s="513">
        <f t="shared" si="34"/>
        <v>0</v>
      </c>
      <c r="CL73" s="513">
        <f t="shared" si="34"/>
        <v>0</v>
      </c>
    </row>
    <row r="74" spans="1:90" ht="15" customHeight="1">
      <c r="A74" s="580" t="s">
        <v>290</v>
      </c>
      <c r="B74" s="581">
        <f t="shared" si="30"/>
        <v>0</v>
      </c>
      <c r="C74" s="607">
        <f t="shared" si="31"/>
        <v>0</v>
      </c>
      <c r="D74" s="608">
        <f t="shared" si="31"/>
        <v>0</v>
      </c>
      <c r="E74" s="122"/>
      <c r="F74" s="121"/>
      <c r="G74" s="122"/>
      <c r="H74" s="114"/>
      <c r="I74" s="119"/>
      <c r="J74" s="120"/>
      <c r="K74" s="507" t="str">
        <f t="shared" si="20"/>
        <v/>
      </c>
      <c r="L74" s="508"/>
      <c r="M74" s="508"/>
      <c r="N74" s="508"/>
      <c r="O74" s="508"/>
      <c r="P74" s="508"/>
      <c r="Q74" s="508"/>
      <c r="R74" s="508"/>
      <c r="S74" s="508"/>
      <c r="T74" s="508"/>
      <c r="U74" s="508"/>
      <c r="V74" s="508"/>
      <c r="W74" s="508"/>
      <c r="X74" s="508"/>
      <c r="Y74" s="508"/>
      <c r="Z74" s="508"/>
      <c r="AA74" s="508"/>
      <c r="AB74" s="508"/>
      <c r="AC74" s="508"/>
      <c r="AD74" s="508"/>
      <c r="AE74" s="508"/>
      <c r="AF74" s="508"/>
      <c r="AG74" s="508"/>
      <c r="AH74" s="508"/>
      <c r="AI74" s="508"/>
      <c r="AJ74" s="508"/>
      <c r="AK74" s="508"/>
      <c r="AL74" s="508"/>
      <c r="AM74" s="508"/>
      <c r="AN74" s="508"/>
      <c r="AO74" s="508"/>
      <c r="AP74" s="509"/>
      <c r="AQ74" s="509"/>
      <c r="AR74" s="509"/>
      <c r="AS74" s="509"/>
      <c r="AT74" s="509"/>
      <c r="AU74" s="509"/>
      <c r="AV74" s="509"/>
      <c r="AW74" s="509"/>
      <c r="AX74" s="509"/>
      <c r="AY74" s="509"/>
      <c r="AZ74" s="510"/>
      <c r="BA74" s="510"/>
      <c r="BB74" s="510"/>
      <c r="BC74" s="510"/>
      <c r="BD74" s="510"/>
      <c r="BE74" s="510"/>
      <c r="BF74" s="510"/>
      <c r="BG74" s="510"/>
      <c r="BH74" s="510"/>
      <c r="BI74" s="510"/>
      <c r="BJ74" s="510"/>
      <c r="BK74" s="510"/>
      <c r="BL74" s="510"/>
      <c r="BM74" s="510"/>
      <c r="BN74" s="510"/>
      <c r="BO74" s="510"/>
      <c r="BP74" s="510"/>
      <c r="BQ74" s="510"/>
      <c r="BR74" s="510"/>
      <c r="BS74" s="510"/>
      <c r="BT74" s="510"/>
      <c r="BU74" s="510"/>
      <c r="BV74" s="510"/>
      <c r="BW74" s="510"/>
      <c r="BX74" s="510"/>
      <c r="BY74" s="510"/>
      <c r="BZ74" s="510"/>
      <c r="CA74" s="511" t="str">
        <f t="shared" si="32"/>
        <v/>
      </c>
      <c r="CB74" s="511" t="str">
        <f t="shared" si="33"/>
        <v/>
      </c>
      <c r="CC74" s="510"/>
      <c r="CD74" s="510"/>
      <c r="CE74" s="512"/>
      <c r="CF74" s="512"/>
      <c r="CG74" s="512"/>
      <c r="CH74" s="512"/>
      <c r="CI74" s="512"/>
      <c r="CK74" s="513">
        <f t="shared" si="34"/>
        <v>0</v>
      </c>
      <c r="CL74" s="513">
        <f t="shared" si="34"/>
        <v>0</v>
      </c>
    </row>
    <row r="75" spans="1:90" ht="18" customHeight="1">
      <c r="A75" s="609" t="s">
        <v>291</v>
      </c>
      <c r="B75" s="610"/>
      <c r="C75" s="610"/>
      <c r="D75" s="610"/>
      <c r="E75" s="610"/>
      <c r="F75" s="610"/>
      <c r="G75" s="610"/>
      <c r="H75" s="48"/>
      <c r="I75" s="48"/>
      <c r="J75" s="48"/>
      <c r="K75" s="48"/>
      <c r="L75" s="48"/>
      <c r="M75" s="48"/>
      <c r="N75" s="48"/>
      <c r="O75" s="48"/>
      <c r="P75" s="48"/>
      <c r="Q75" s="48"/>
      <c r="R75" s="48"/>
      <c r="S75" s="48"/>
      <c r="T75" s="48"/>
      <c r="U75" s="48"/>
      <c r="V75" s="48"/>
      <c r="W75" s="48"/>
      <c r="X75" s="48"/>
      <c r="Y75" s="48"/>
      <c r="Z75" s="48"/>
      <c r="AA75" s="48"/>
      <c r="AB75" s="48"/>
      <c r="AC75" s="48"/>
      <c r="AD75" s="48"/>
      <c r="AE75" s="48"/>
      <c r="AF75" s="48"/>
      <c r="AG75" s="48"/>
      <c r="AH75" s="48"/>
      <c r="AI75" s="48"/>
      <c r="AJ75" s="48"/>
      <c r="AK75" s="48"/>
      <c r="AL75" s="48"/>
      <c r="AM75" s="48"/>
      <c r="AN75" s="48"/>
      <c r="AO75" s="48"/>
      <c r="AP75" s="48"/>
      <c r="AQ75" s="48"/>
      <c r="AR75" s="48"/>
      <c r="AS75" s="48"/>
      <c r="AT75" s="48"/>
      <c r="AU75" s="48"/>
      <c r="AV75" s="48"/>
      <c r="AW75" s="48"/>
      <c r="AX75" s="48"/>
      <c r="AY75" s="48"/>
    </row>
    <row r="76" spans="1:90" ht="18" customHeight="1">
      <c r="A76" s="609" t="s">
        <v>292</v>
      </c>
      <c r="B76" s="611"/>
      <c r="C76" s="611"/>
      <c r="D76" s="611"/>
      <c r="E76" s="611"/>
      <c r="F76" s="611"/>
      <c r="G76" s="611"/>
      <c r="H76" s="48"/>
      <c r="I76" s="48"/>
      <c r="J76" s="48"/>
      <c r="K76" s="48"/>
      <c r="L76" s="48"/>
      <c r="M76" s="48"/>
      <c r="N76" s="48"/>
      <c r="O76" s="48"/>
      <c r="P76" s="48"/>
      <c r="Q76" s="48"/>
      <c r="R76" s="48"/>
      <c r="S76" s="48"/>
      <c r="T76" s="48"/>
      <c r="U76" s="48"/>
      <c r="V76" s="48"/>
      <c r="W76" s="48"/>
      <c r="X76" s="48"/>
      <c r="Y76" s="48"/>
      <c r="Z76" s="48"/>
      <c r="AA76" s="48"/>
      <c r="AB76" s="48"/>
      <c r="AC76" s="48"/>
      <c r="AD76" s="48"/>
      <c r="AE76" s="48"/>
      <c r="AF76" s="48"/>
      <c r="AG76" s="48"/>
      <c r="AH76" s="48"/>
      <c r="AI76" s="48"/>
      <c r="AJ76" s="48"/>
      <c r="AK76" s="48"/>
      <c r="AL76" s="48"/>
      <c r="AM76" s="48"/>
      <c r="AN76" s="48"/>
      <c r="AO76" s="48"/>
      <c r="AP76" s="48"/>
      <c r="AQ76" s="48"/>
      <c r="AR76" s="48"/>
      <c r="AS76" s="48"/>
      <c r="AT76" s="48"/>
      <c r="AU76" s="48"/>
      <c r="AV76" s="48"/>
      <c r="AW76" s="48"/>
      <c r="AX76" s="48"/>
      <c r="AY76" s="48"/>
    </row>
    <row r="77" spans="1:90" ht="15" customHeight="1">
      <c r="A77" s="5613" t="s">
        <v>213</v>
      </c>
      <c r="B77" s="5613" t="s">
        <v>91</v>
      </c>
      <c r="C77" s="48"/>
      <c r="D77" s="48"/>
      <c r="E77" s="48"/>
      <c r="F77" s="48"/>
      <c r="G77" s="48"/>
      <c r="H77" s="48"/>
      <c r="I77" s="48"/>
      <c r="J77" s="48"/>
      <c r="K77" s="48"/>
      <c r="L77" s="48"/>
      <c r="M77" s="48"/>
      <c r="N77" s="48"/>
      <c r="O77" s="48"/>
      <c r="P77" s="48"/>
      <c r="Q77" s="48"/>
      <c r="R77" s="48"/>
      <c r="S77" s="48"/>
      <c r="T77" s="48"/>
      <c r="U77" s="48"/>
      <c r="V77" s="48"/>
      <c r="W77" s="48"/>
      <c r="X77" s="48"/>
      <c r="Y77" s="48"/>
      <c r="Z77" s="48"/>
      <c r="AA77" s="48"/>
      <c r="AB77" s="48"/>
      <c r="AC77" s="48"/>
      <c r="AD77" s="48"/>
      <c r="AE77" s="48"/>
      <c r="AF77" s="48"/>
      <c r="AG77" s="48"/>
      <c r="AH77" s="48"/>
      <c r="AI77" s="48"/>
      <c r="AJ77" s="48"/>
      <c r="AK77" s="48"/>
      <c r="AL77" s="48"/>
      <c r="AM77" s="48"/>
      <c r="AN77" s="48"/>
      <c r="AO77" s="48"/>
      <c r="AP77" s="48"/>
      <c r="AQ77" s="48"/>
      <c r="AR77" s="48"/>
      <c r="AS77" s="48"/>
      <c r="AT77" s="48"/>
      <c r="AU77" s="48"/>
      <c r="AV77" s="48"/>
      <c r="AW77" s="48"/>
      <c r="AX77" s="48"/>
      <c r="AY77" s="48"/>
    </row>
    <row r="78" spans="1:90" ht="15" customHeight="1">
      <c r="A78" s="5671"/>
      <c r="B78" s="5614"/>
      <c r="C78" s="48"/>
      <c r="D78" s="48"/>
      <c r="E78" s="48"/>
      <c r="F78" s="48"/>
      <c r="G78" s="48"/>
      <c r="H78" s="48"/>
      <c r="I78" s="48"/>
      <c r="J78" s="48"/>
      <c r="K78" s="48"/>
      <c r="L78" s="48"/>
      <c r="M78" s="48"/>
      <c r="N78" s="48"/>
      <c r="O78" s="48"/>
      <c r="P78" s="48"/>
      <c r="Q78" s="48"/>
      <c r="R78" s="48"/>
      <c r="S78" s="48"/>
      <c r="T78" s="48"/>
      <c r="U78" s="48"/>
      <c r="V78" s="48"/>
      <c r="W78" s="48"/>
      <c r="X78" s="48"/>
      <c r="Y78" s="48"/>
      <c r="Z78" s="48"/>
      <c r="AA78" s="48"/>
      <c r="AB78" s="48"/>
      <c r="AC78" s="48"/>
      <c r="AD78" s="48"/>
      <c r="AE78" s="48"/>
      <c r="AF78" s="48"/>
      <c r="AG78" s="48"/>
      <c r="AH78" s="48"/>
      <c r="AI78" s="48"/>
      <c r="AJ78" s="48"/>
      <c r="AK78" s="48"/>
      <c r="AL78" s="48"/>
      <c r="AM78" s="48"/>
      <c r="AN78" s="48"/>
      <c r="AO78" s="48"/>
      <c r="AP78" s="48"/>
      <c r="AQ78" s="48"/>
      <c r="AR78" s="48"/>
      <c r="AS78" s="48"/>
      <c r="AT78" s="48"/>
      <c r="AU78" s="48"/>
      <c r="AV78" s="48"/>
      <c r="AW78" s="48"/>
      <c r="AX78" s="48"/>
      <c r="AY78" s="48"/>
    </row>
    <row r="79" spans="1:90" ht="15" customHeight="1">
      <c r="A79" s="5614"/>
      <c r="B79" s="287">
        <f>SUM(B80:B83)</f>
        <v>0</v>
      </c>
      <c r="C79" s="48"/>
      <c r="D79" s="48"/>
      <c r="E79" s="48"/>
      <c r="F79" s="48"/>
      <c r="G79" s="48"/>
      <c r="H79" s="48"/>
      <c r="I79" s="48"/>
      <c r="J79" s="48"/>
      <c r="K79" s="48"/>
      <c r="L79" s="48"/>
      <c r="M79" s="48"/>
      <c r="N79" s="48"/>
      <c r="O79" s="48"/>
      <c r="P79" s="48"/>
      <c r="Q79" s="48"/>
      <c r="R79" s="48"/>
      <c r="S79" s="48"/>
      <c r="T79" s="48"/>
      <c r="U79" s="48"/>
      <c r="V79" s="48"/>
      <c r="W79" s="48"/>
      <c r="X79" s="48"/>
      <c r="Y79" s="48"/>
      <c r="Z79" s="48"/>
      <c r="AA79" s="48"/>
      <c r="AB79" s="48"/>
      <c r="AC79" s="48"/>
      <c r="AD79" s="48"/>
      <c r="AE79" s="48"/>
      <c r="AF79" s="48"/>
      <c r="AG79" s="48"/>
      <c r="AH79" s="48"/>
      <c r="AI79" s="48"/>
      <c r="AJ79" s="48"/>
      <c r="AK79" s="48"/>
      <c r="AL79" s="48"/>
      <c r="AM79" s="48"/>
      <c r="AN79" s="48"/>
      <c r="AO79" s="48"/>
      <c r="AP79" s="48"/>
      <c r="AQ79" s="48"/>
      <c r="AR79" s="48"/>
      <c r="AS79" s="48"/>
      <c r="AT79" s="48"/>
      <c r="AU79" s="48"/>
      <c r="AV79" s="48"/>
      <c r="AW79" s="48"/>
      <c r="AX79" s="48"/>
      <c r="AY79" s="48"/>
    </row>
    <row r="80" spans="1:90" ht="15" customHeight="1">
      <c r="A80" s="612" t="s">
        <v>293</v>
      </c>
      <c r="B80" s="282"/>
      <c r="C80" s="48"/>
      <c r="D80" s="48"/>
      <c r="E80" s="48"/>
      <c r="F80" s="48"/>
      <c r="G80" s="48"/>
      <c r="H80" s="48"/>
      <c r="I80" s="48"/>
      <c r="J80" s="48"/>
      <c r="K80" s="48"/>
      <c r="L80" s="48"/>
      <c r="M80" s="48"/>
      <c r="N80" s="48"/>
      <c r="O80" s="48"/>
      <c r="P80" s="48"/>
      <c r="Q80" s="48"/>
      <c r="R80" s="48"/>
      <c r="S80" s="48"/>
      <c r="T80" s="48"/>
      <c r="U80" s="48"/>
      <c r="V80" s="48"/>
      <c r="W80" s="48"/>
      <c r="X80" s="48"/>
      <c r="Y80" s="48"/>
      <c r="Z80" s="48"/>
      <c r="AA80" s="48"/>
      <c r="AB80" s="48"/>
      <c r="AC80" s="48"/>
      <c r="AD80" s="48"/>
      <c r="AE80" s="48"/>
      <c r="AF80" s="48"/>
      <c r="AG80" s="48"/>
      <c r="AH80" s="48"/>
      <c r="AI80" s="48"/>
      <c r="AJ80" s="48"/>
      <c r="AK80" s="48"/>
      <c r="AL80" s="48"/>
      <c r="AM80" s="48"/>
      <c r="AN80" s="48"/>
      <c r="AO80" s="48"/>
      <c r="AP80" s="48"/>
      <c r="AQ80" s="48"/>
      <c r="AR80" s="48"/>
      <c r="AS80" s="48"/>
      <c r="AT80" s="48"/>
      <c r="AU80" s="48"/>
      <c r="AV80" s="48"/>
      <c r="AW80" s="48"/>
      <c r="AX80" s="48"/>
      <c r="AY80" s="48"/>
    </row>
    <row r="81" spans="1:93" ht="15" customHeight="1">
      <c r="A81" s="206" t="s">
        <v>216</v>
      </c>
      <c r="B81" s="283"/>
      <c r="C81" s="48"/>
      <c r="D81" s="48"/>
      <c r="E81" s="48"/>
      <c r="F81" s="48"/>
      <c r="G81" s="48"/>
      <c r="H81" s="48"/>
      <c r="I81" s="48"/>
      <c r="J81" s="48"/>
      <c r="K81" s="48"/>
      <c r="L81" s="48"/>
      <c r="M81" s="48"/>
      <c r="N81" s="48"/>
      <c r="O81" s="48"/>
      <c r="P81" s="48"/>
      <c r="Q81" s="48"/>
      <c r="R81" s="48"/>
      <c r="S81" s="48"/>
      <c r="T81" s="48"/>
      <c r="U81" s="48"/>
      <c r="V81" s="48"/>
      <c r="W81" s="48"/>
      <c r="X81" s="48"/>
      <c r="Y81" s="48"/>
      <c r="Z81" s="48"/>
      <c r="AA81" s="48"/>
      <c r="AB81" s="48"/>
      <c r="AC81" s="48"/>
      <c r="AD81" s="48"/>
      <c r="AE81" s="48"/>
      <c r="AF81" s="48"/>
      <c r="AG81" s="48"/>
      <c r="AH81" s="48"/>
      <c r="AI81" s="48"/>
      <c r="AJ81" s="48"/>
      <c r="AK81" s="48"/>
      <c r="AL81" s="48"/>
      <c r="AM81" s="48"/>
      <c r="AN81" s="48"/>
      <c r="AO81" s="48"/>
      <c r="AP81" s="48"/>
      <c r="AQ81" s="48"/>
      <c r="AR81" s="48"/>
      <c r="AS81" s="48"/>
      <c r="AT81" s="48"/>
      <c r="AU81" s="48"/>
      <c r="AV81" s="48"/>
      <c r="AW81" s="48"/>
      <c r="AX81" s="48"/>
      <c r="AY81" s="48"/>
    </row>
    <row r="82" spans="1:93" ht="15" customHeight="1">
      <c r="A82" s="206" t="s">
        <v>214</v>
      </c>
      <c r="B82" s="283"/>
      <c r="C82" s="48"/>
      <c r="D82" s="48"/>
      <c r="E82" s="48"/>
      <c r="F82" s="48"/>
      <c r="G82" s="48"/>
      <c r="H82" s="48"/>
      <c r="I82" s="48"/>
      <c r="J82" s="48"/>
      <c r="K82" s="48"/>
      <c r="L82" s="48"/>
      <c r="M82" s="48"/>
      <c r="N82" s="48"/>
      <c r="O82" s="48"/>
      <c r="P82" s="48"/>
      <c r="Q82" s="48"/>
      <c r="R82" s="48"/>
      <c r="S82" s="48"/>
      <c r="T82" s="48"/>
      <c r="U82" s="48"/>
      <c r="V82" s="48"/>
      <c r="W82" s="48"/>
      <c r="X82" s="48"/>
      <c r="Y82" s="48"/>
      <c r="Z82" s="48"/>
      <c r="AA82" s="48"/>
      <c r="AB82" s="48"/>
      <c r="AC82" s="48"/>
      <c r="AD82" s="48"/>
      <c r="AE82" s="48"/>
      <c r="AF82" s="48"/>
      <c r="AG82" s="48"/>
      <c r="AH82" s="48"/>
      <c r="AI82" s="48"/>
      <c r="AJ82" s="48"/>
      <c r="AK82" s="48"/>
      <c r="AL82" s="48"/>
      <c r="AM82" s="48"/>
      <c r="AN82" s="48"/>
      <c r="AO82" s="48"/>
      <c r="AP82" s="48"/>
      <c r="AQ82" s="48"/>
      <c r="AR82" s="48"/>
      <c r="AS82" s="48"/>
      <c r="AT82" s="48"/>
      <c r="AU82" s="48"/>
      <c r="AV82" s="48"/>
      <c r="AW82" s="48"/>
      <c r="AX82" s="48"/>
      <c r="AY82" s="48"/>
    </row>
    <row r="83" spans="1:93" ht="15" customHeight="1">
      <c r="A83" s="106" t="s">
        <v>294</v>
      </c>
      <c r="B83" s="120"/>
      <c r="C83" s="48"/>
      <c r="D83" s="48"/>
      <c r="E83" s="48"/>
      <c r="F83" s="48"/>
      <c r="G83" s="48"/>
      <c r="H83" s="48"/>
      <c r="I83" s="48"/>
      <c r="J83" s="48"/>
      <c r="K83" s="48"/>
      <c r="L83" s="48"/>
      <c r="M83" s="48"/>
      <c r="N83" s="48"/>
      <c r="O83" s="48"/>
      <c r="P83" s="48"/>
      <c r="Q83" s="48"/>
      <c r="R83" s="48"/>
      <c r="S83" s="48"/>
      <c r="T83" s="48"/>
      <c r="U83" s="48"/>
      <c r="V83" s="48"/>
      <c r="W83" s="48"/>
      <c r="X83" s="48"/>
      <c r="Y83" s="48"/>
      <c r="Z83" s="48"/>
      <c r="AA83" s="48"/>
      <c r="AB83" s="48"/>
      <c r="AC83" s="48"/>
      <c r="AD83" s="48"/>
      <c r="AE83" s="48"/>
      <c r="AF83" s="48"/>
      <c r="AG83" s="48"/>
      <c r="AH83" s="48"/>
      <c r="AI83" s="48"/>
      <c r="AJ83" s="48"/>
      <c r="AK83" s="48"/>
      <c r="AL83" s="48"/>
      <c r="AM83" s="48"/>
      <c r="AN83" s="48"/>
      <c r="AO83" s="48"/>
      <c r="AP83" s="48"/>
      <c r="AQ83" s="48"/>
      <c r="AR83" s="48"/>
      <c r="AS83" s="48"/>
      <c r="AT83" s="48"/>
      <c r="AU83" s="48"/>
      <c r="AV83" s="48"/>
      <c r="AW83" s="48"/>
      <c r="AX83" s="48"/>
      <c r="AY83" s="48"/>
    </row>
    <row r="84" spans="1:93" ht="18" customHeight="1">
      <c r="A84" s="465" t="s">
        <v>295</v>
      </c>
      <c r="B84" s="48"/>
      <c r="C84" s="48"/>
      <c r="D84" s="48"/>
      <c r="E84" s="48"/>
      <c r="F84" s="48"/>
      <c r="G84" s="48"/>
      <c r="H84" s="48"/>
      <c r="I84" s="48"/>
      <c r="J84" s="48"/>
      <c r="K84" s="48"/>
      <c r="L84" s="48"/>
      <c r="M84" s="48"/>
      <c r="N84" s="48"/>
      <c r="O84" s="48"/>
      <c r="P84" s="48"/>
      <c r="Q84" s="48"/>
      <c r="R84" s="48"/>
      <c r="S84" s="48"/>
      <c r="T84" s="48"/>
      <c r="U84" s="48"/>
      <c r="V84" s="48"/>
      <c r="W84" s="48"/>
      <c r="X84" s="48"/>
      <c r="Y84" s="48"/>
      <c r="Z84" s="48"/>
      <c r="AA84" s="48"/>
      <c r="AB84" s="48"/>
      <c r="AC84" s="48"/>
      <c r="AD84" s="48"/>
      <c r="AE84" s="48"/>
      <c r="AF84" s="48"/>
      <c r="AG84" s="48"/>
      <c r="AH84" s="48"/>
      <c r="AI84" s="48"/>
      <c r="AJ84" s="48"/>
      <c r="AK84" s="48"/>
      <c r="AL84" s="48"/>
      <c r="AM84" s="48"/>
      <c r="AN84" s="48"/>
      <c r="AO84" s="48"/>
      <c r="AP84" s="48"/>
      <c r="AQ84" s="48"/>
      <c r="AR84" s="48"/>
      <c r="AS84" s="48"/>
      <c r="AT84" s="48"/>
      <c r="AU84" s="48"/>
      <c r="AV84" s="48"/>
      <c r="AW84" s="48"/>
      <c r="AX84" s="48"/>
      <c r="AY84" s="48"/>
    </row>
    <row r="85" spans="1:93" ht="52.5">
      <c r="A85" s="58" t="s">
        <v>296</v>
      </c>
      <c r="B85" s="230" t="s">
        <v>297</v>
      </c>
      <c r="C85" s="75" t="s">
        <v>298</v>
      </c>
      <c r="D85" s="68" t="s">
        <v>299</v>
      </c>
      <c r="E85" s="68" t="s">
        <v>300</v>
      </c>
      <c r="F85" s="76" t="s">
        <v>301</v>
      </c>
      <c r="G85" s="48"/>
      <c r="H85" s="48"/>
      <c r="I85" s="48"/>
      <c r="J85" s="48"/>
      <c r="K85" s="48"/>
      <c r="L85" s="48"/>
      <c r="M85" s="48"/>
      <c r="N85" s="48"/>
      <c r="O85" s="48"/>
      <c r="P85" s="48"/>
      <c r="Q85" s="48"/>
      <c r="R85" s="48"/>
      <c r="S85" s="48"/>
      <c r="T85" s="48"/>
      <c r="U85" s="48"/>
      <c r="V85" s="48"/>
      <c r="W85" s="48"/>
      <c r="X85" s="48"/>
      <c r="Y85" s="48"/>
      <c r="Z85" s="48"/>
      <c r="AA85" s="48"/>
      <c r="AB85" s="48"/>
      <c r="AC85" s="48"/>
      <c r="AD85" s="48"/>
      <c r="AE85" s="48"/>
      <c r="AF85" s="48"/>
      <c r="AG85" s="48"/>
      <c r="AH85" s="48"/>
      <c r="AI85" s="48"/>
      <c r="AJ85" s="48"/>
      <c r="AK85" s="48"/>
      <c r="AL85" s="48"/>
      <c r="AM85" s="48"/>
      <c r="AN85" s="48"/>
      <c r="AO85" s="48"/>
      <c r="AP85" s="48"/>
      <c r="AQ85" s="48"/>
      <c r="AR85" s="48"/>
      <c r="AS85" s="48"/>
      <c r="AT85" s="48"/>
      <c r="AU85" s="48"/>
      <c r="AV85" s="48"/>
      <c r="AW85" s="48"/>
      <c r="AX85" s="48"/>
      <c r="AY85" s="48"/>
    </row>
    <row r="86" spans="1:93" ht="15" customHeight="1">
      <c r="A86" s="613" t="s">
        <v>302</v>
      </c>
      <c r="B86" s="93"/>
      <c r="C86" s="95"/>
      <c r="D86" s="96"/>
      <c r="E86" s="96"/>
      <c r="F86" s="237"/>
      <c r="G86" s="507" t="str">
        <f t="shared" ref="G86:G87" si="35">$CA86&amp;CB86&amp;CC86&amp;CD86&amp;CE86</f>
        <v/>
      </c>
      <c r="H86" s="48"/>
      <c r="I86" s="48"/>
      <c r="J86" s="48"/>
      <c r="K86" s="48"/>
      <c r="L86" s="48"/>
      <c r="M86" s="48"/>
      <c r="N86" s="48"/>
      <c r="O86" s="48"/>
      <c r="P86" s="48"/>
      <c r="Q86" s="48"/>
      <c r="R86" s="48"/>
      <c r="S86" s="48"/>
      <c r="T86" s="48"/>
      <c r="U86" s="48"/>
      <c r="V86" s="48"/>
      <c r="W86" s="48"/>
      <c r="X86" s="48"/>
      <c r="Y86" s="48"/>
      <c r="Z86" s="48"/>
      <c r="AA86" s="48"/>
      <c r="AB86" s="48"/>
      <c r="AC86" s="48"/>
      <c r="AD86" s="48"/>
      <c r="AE86" s="48"/>
      <c r="AF86" s="48"/>
      <c r="AG86" s="48"/>
      <c r="AH86" s="48"/>
      <c r="AI86" s="48"/>
      <c r="AJ86" s="48"/>
      <c r="AK86" s="48"/>
      <c r="AL86" s="48"/>
      <c r="AM86" s="48"/>
      <c r="AN86" s="48"/>
      <c r="AO86" s="48"/>
      <c r="AP86" s="48"/>
      <c r="AQ86" s="48"/>
      <c r="AR86" s="48"/>
      <c r="AS86" s="48"/>
      <c r="AT86" s="48"/>
      <c r="AU86" s="48"/>
      <c r="AV86" s="48"/>
      <c r="AW86" s="48"/>
      <c r="AX86" s="48"/>
      <c r="AY86" s="48"/>
      <c r="CA86" s="511" t="str">
        <f t="shared" ref="CA86:CA87" si="36">IF(CK86=1,"* Las Aplicaciones de EPSA con resultado de Riesgo psicosocial NO DEBE ser MAYOR que el Total de las Aplicaciones. ","")</f>
        <v/>
      </c>
      <c r="CB86" s="614" t="str">
        <f t="shared" ref="CB86:CB87" si="37">IF(CL86=1,"* Las Aplicaciones de EPSA con resultado de Riesgo psicosocial NO DEBE ser MENOR que la variable Plan de equipo de cabecera en gestantes con 3 o más riesgos psicosociales. ","")</f>
        <v/>
      </c>
      <c r="CC86" s="614" t="str">
        <f t="shared" ref="CC86:CC87" si="38">IF(CM86=1,"* Las Aplicaciones de EPSA asociadas a Violencia de Género NO DEBEN ser MAYOR al Total de Aplicaciones. ","")</f>
        <v/>
      </c>
      <c r="CD86" s="614" t="str">
        <f t="shared" ref="CD86:CD87" si="39">IF(CN86=1,"* Las Aplicaciones de EPSA asociadas a 3 o más riesgos psicosociales NO DEBEN ser MAYOR al Total de Aplicaciones. ","")</f>
        <v/>
      </c>
      <c r="CE86" s="614" t="str">
        <f t="shared" ref="CE86:CE87" si="40">IF(CO86=1,"* La variable Plan de equipo de cabecera en gestantes con 3 o más riesgos psicosociales NO DEBE ser MAYOR al Total de Aplicaciones. ","")</f>
        <v/>
      </c>
      <c r="CF86" s="615"/>
      <c r="CG86" s="615"/>
      <c r="CH86" s="615"/>
      <c r="CI86" s="615"/>
      <c r="CJ86" s="615"/>
      <c r="CK86" s="616">
        <f t="shared" ref="CK86:CK87" si="41">IF(B86&lt;C86,1,0)</f>
        <v>0</v>
      </c>
      <c r="CL86" s="616">
        <f t="shared" ref="CL86:CL87" si="42">IF(C86&lt;F86,1,0)</f>
        <v>0</v>
      </c>
      <c r="CM86" s="616">
        <f t="shared" ref="CM86:CO87" si="43">IF(D86&gt;$B86,1,0)</f>
        <v>0</v>
      </c>
      <c r="CN86" s="616">
        <f t="shared" si="43"/>
        <v>0</v>
      </c>
      <c r="CO86" s="616">
        <f t="shared" si="43"/>
        <v>0</v>
      </c>
    </row>
    <row r="87" spans="1:93" ht="15" customHeight="1">
      <c r="A87" s="617" t="s">
        <v>303</v>
      </c>
      <c r="B87" s="322"/>
      <c r="C87" s="157"/>
      <c r="D87" s="123"/>
      <c r="E87" s="123"/>
      <c r="F87" s="315"/>
      <c r="G87" s="507" t="str">
        <f t="shared" si="35"/>
        <v/>
      </c>
      <c r="H87" s="48"/>
      <c r="I87" s="48"/>
      <c r="J87" s="48"/>
      <c r="K87" s="48"/>
      <c r="L87" s="48"/>
      <c r="M87" s="48"/>
      <c r="N87" s="48"/>
      <c r="O87" s="48"/>
      <c r="P87" s="48"/>
      <c r="Q87" s="48"/>
      <c r="R87" s="48"/>
      <c r="S87" s="48"/>
      <c r="T87" s="48"/>
      <c r="U87" s="48"/>
      <c r="V87" s="48"/>
      <c r="W87" s="48"/>
      <c r="X87" s="48"/>
      <c r="Y87" s="48"/>
      <c r="Z87" s="48"/>
      <c r="AA87" s="48"/>
      <c r="AB87" s="48"/>
      <c r="AC87" s="48"/>
      <c r="AD87" s="48"/>
      <c r="AE87" s="48"/>
      <c r="AF87" s="48"/>
      <c r="AG87" s="48"/>
      <c r="AH87" s="48"/>
      <c r="AI87" s="48"/>
      <c r="AJ87" s="48"/>
      <c r="AK87" s="48"/>
      <c r="AL87" s="48"/>
      <c r="AM87" s="48"/>
      <c r="AN87" s="48"/>
      <c r="AO87" s="48"/>
      <c r="AP87" s="48"/>
      <c r="AQ87" s="48"/>
      <c r="AR87" s="48"/>
      <c r="AS87" s="48"/>
      <c r="AT87" s="48"/>
      <c r="AU87" s="48"/>
      <c r="AV87" s="48"/>
      <c r="AW87" s="48"/>
      <c r="AX87" s="48"/>
      <c r="AY87" s="48"/>
      <c r="CA87" s="511" t="str">
        <f t="shared" si="36"/>
        <v/>
      </c>
      <c r="CB87" s="614" t="str">
        <f t="shared" si="37"/>
        <v/>
      </c>
      <c r="CC87" s="614" t="str">
        <f t="shared" si="38"/>
        <v/>
      </c>
      <c r="CD87" s="614" t="str">
        <f t="shared" si="39"/>
        <v/>
      </c>
      <c r="CE87" s="614" t="str">
        <f t="shared" si="40"/>
        <v/>
      </c>
      <c r="CF87" s="615"/>
      <c r="CG87" s="615"/>
      <c r="CH87" s="615"/>
      <c r="CI87" s="615"/>
      <c r="CJ87" s="615"/>
      <c r="CK87" s="616">
        <f t="shared" si="41"/>
        <v>0</v>
      </c>
      <c r="CL87" s="616">
        <f t="shared" si="42"/>
        <v>0</v>
      </c>
      <c r="CM87" s="616">
        <f t="shared" si="43"/>
        <v>0</v>
      </c>
      <c r="CN87" s="616">
        <f t="shared" si="43"/>
        <v>0</v>
      </c>
      <c r="CO87" s="616">
        <f t="shared" si="43"/>
        <v>0</v>
      </c>
    </row>
    <row r="88" spans="1:93" ht="18" customHeight="1">
      <c r="A88" s="465" t="s">
        <v>304</v>
      </c>
      <c r="B88" s="472"/>
      <c r="C88" s="472"/>
      <c r="D88" s="472"/>
      <c r="E88" s="472"/>
      <c r="F88" s="611"/>
      <c r="G88" s="48"/>
      <c r="H88" s="48"/>
      <c r="I88" s="48"/>
      <c r="J88" s="48"/>
      <c r="K88" s="48"/>
      <c r="L88" s="48"/>
      <c r="M88" s="48"/>
      <c r="N88" s="48"/>
      <c r="O88" s="48"/>
      <c r="P88" s="48"/>
      <c r="Q88" s="48"/>
      <c r="R88" s="48"/>
      <c r="S88" s="48"/>
      <c r="T88" s="48"/>
      <c r="U88" s="48"/>
      <c r="V88" s="48"/>
      <c r="W88" s="48"/>
      <c r="X88" s="48"/>
      <c r="Y88" s="48"/>
      <c r="Z88" s="48"/>
      <c r="AA88" s="48"/>
      <c r="AB88" s="48"/>
      <c r="AC88" s="48"/>
      <c r="AD88" s="48"/>
      <c r="AE88" s="48"/>
      <c r="AF88" s="48"/>
      <c r="AG88" s="48"/>
      <c r="AH88" s="48"/>
      <c r="AI88" s="48"/>
      <c r="AJ88" s="48"/>
      <c r="AK88" s="48"/>
      <c r="AL88" s="48"/>
      <c r="AM88" s="48"/>
      <c r="AN88" s="48"/>
      <c r="AO88" s="48"/>
      <c r="AP88" s="48"/>
      <c r="AQ88" s="48"/>
      <c r="AR88" s="48"/>
      <c r="AS88" s="48"/>
      <c r="AT88" s="48"/>
      <c r="AU88" s="48"/>
      <c r="AV88" s="48"/>
      <c r="AW88" s="48"/>
      <c r="AX88" s="48"/>
      <c r="AY88" s="48"/>
    </row>
    <row r="89" spans="1:93" ht="39" customHeight="1">
      <c r="A89" s="5642" t="s">
        <v>305</v>
      </c>
      <c r="B89" s="5624"/>
      <c r="C89" s="75" t="s">
        <v>306</v>
      </c>
      <c r="D89" s="68" t="s">
        <v>307</v>
      </c>
      <c r="E89" s="68" t="s">
        <v>308</v>
      </c>
      <c r="F89" s="68" t="s">
        <v>309</v>
      </c>
      <c r="G89" s="60" t="s">
        <v>310</v>
      </c>
      <c r="H89" s="76" t="s">
        <v>311</v>
      </c>
      <c r="I89" s="48"/>
      <c r="J89" s="48"/>
      <c r="K89" s="48"/>
      <c r="L89" s="48"/>
      <c r="M89" s="48"/>
      <c r="N89" s="48"/>
      <c r="O89" s="48"/>
      <c r="P89" s="48"/>
      <c r="Q89" s="48"/>
      <c r="R89" s="48"/>
      <c r="S89" s="48"/>
      <c r="T89" s="48"/>
      <c r="U89" s="48"/>
      <c r="V89" s="48"/>
      <c r="W89" s="48"/>
      <c r="X89" s="48"/>
      <c r="Y89" s="48"/>
      <c r="Z89" s="48"/>
      <c r="AA89" s="48"/>
      <c r="AB89" s="48"/>
      <c r="AC89" s="48"/>
      <c r="AD89" s="48"/>
      <c r="AE89" s="48"/>
      <c r="AF89" s="48"/>
      <c r="AG89" s="48"/>
      <c r="AH89" s="48"/>
      <c r="AI89" s="48"/>
      <c r="AJ89" s="48"/>
      <c r="AK89" s="48"/>
      <c r="AL89" s="48"/>
      <c r="AM89" s="48"/>
      <c r="AN89" s="48"/>
      <c r="AO89" s="48"/>
      <c r="AP89" s="48"/>
      <c r="AQ89" s="48"/>
      <c r="AR89" s="48"/>
      <c r="AS89" s="48"/>
      <c r="AT89" s="48"/>
      <c r="AU89" s="48"/>
      <c r="AV89" s="48"/>
      <c r="AW89" s="48"/>
      <c r="AX89" s="48"/>
      <c r="AY89" s="48"/>
    </row>
    <row r="90" spans="1:93" ht="24" customHeight="1">
      <c r="A90" s="5738" t="s">
        <v>312</v>
      </c>
      <c r="B90" s="618" t="s">
        <v>313</v>
      </c>
      <c r="C90" s="86"/>
      <c r="D90" s="584"/>
      <c r="E90" s="584"/>
      <c r="F90" s="96"/>
      <c r="G90" s="170"/>
      <c r="H90" s="204"/>
      <c r="I90" s="507" t="str">
        <f t="shared" ref="I90:I93" si="44">$CA90</f>
        <v/>
      </c>
      <c r="J90" s="48"/>
      <c r="K90" s="48"/>
      <c r="L90" s="48"/>
      <c r="M90" s="48"/>
      <c r="N90" s="48"/>
      <c r="O90" s="48"/>
      <c r="P90" s="48"/>
      <c r="Q90" s="48"/>
      <c r="R90" s="48"/>
      <c r="S90" s="48"/>
      <c r="T90" s="48"/>
      <c r="U90" s="48"/>
      <c r="V90" s="48"/>
      <c r="W90" s="48"/>
      <c r="X90" s="48"/>
      <c r="Y90" s="48"/>
      <c r="Z90" s="48"/>
      <c r="AA90" s="48"/>
      <c r="AB90" s="48"/>
      <c r="AC90" s="48"/>
      <c r="AD90" s="48"/>
      <c r="AE90" s="48"/>
      <c r="AF90" s="48"/>
      <c r="AG90" s="48"/>
      <c r="AH90" s="48"/>
      <c r="AI90" s="48"/>
      <c r="AJ90" s="48"/>
      <c r="AK90" s="48"/>
      <c r="AL90" s="48"/>
      <c r="AM90" s="48"/>
      <c r="AN90" s="48"/>
      <c r="AO90" s="48"/>
      <c r="AP90" s="48"/>
      <c r="AQ90" s="48"/>
      <c r="AR90" s="48"/>
      <c r="AS90" s="48"/>
      <c r="AT90" s="48"/>
      <c r="AU90" s="48"/>
      <c r="AV90" s="48"/>
      <c r="AW90" s="48"/>
      <c r="AX90" s="48"/>
      <c r="AY90" s="48"/>
      <c r="CA90" s="511" t="str">
        <f t="shared" ref="CA90:CA93" si="45">IF(AND($C90&lt;&gt;0,H90=""),"* No olvide ingresar la variable "&amp;H$89&amp;""&amp;". Digite CERO si no tiene. ",IF(H90&gt;$C90,"* La variable Casos alterados derivados a Salud Mental no debe ser mayor al Total de Aplicaciones. ",""))</f>
        <v/>
      </c>
      <c r="CB90" s="510"/>
      <c r="CC90" s="510"/>
      <c r="CD90" s="510"/>
      <c r="CE90" s="512"/>
      <c r="CF90" s="512"/>
      <c r="CG90" s="512"/>
      <c r="CH90" s="512"/>
      <c r="CI90" s="512"/>
      <c r="CK90" s="513">
        <f t="shared" ref="CK90:CK93" si="46">IF(AND($C90&lt;&gt;0,H90=""),1,IF(H90&gt;$C90,1,0))</f>
        <v>0</v>
      </c>
    </row>
    <row r="91" spans="1:93" ht="21.6" customHeight="1">
      <c r="A91" s="5739"/>
      <c r="B91" s="619" t="s">
        <v>314</v>
      </c>
      <c r="C91" s="113"/>
      <c r="D91" s="162"/>
      <c r="E91" s="162"/>
      <c r="F91" s="110"/>
      <c r="G91" s="186"/>
      <c r="H91" s="121"/>
      <c r="I91" s="507" t="str">
        <f t="shared" si="44"/>
        <v/>
      </c>
      <c r="J91" s="48"/>
      <c r="K91" s="48"/>
      <c r="L91" s="48"/>
      <c r="M91" s="48"/>
      <c r="N91" s="48"/>
      <c r="O91" s="48"/>
      <c r="P91" s="48"/>
      <c r="Q91" s="48"/>
      <c r="R91" s="48"/>
      <c r="S91" s="48"/>
      <c r="T91" s="48"/>
      <c r="U91" s="48"/>
      <c r="V91" s="48"/>
      <c r="W91" s="48"/>
      <c r="X91" s="48"/>
      <c r="Y91" s="48"/>
      <c r="Z91" s="48"/>
      <c r="AA91" s="48"/>
      <c r="AB91" s="48"/>
      <c r="AC91" s="48"/>
      <c r="AD91" s="48"/>
      <c r="AE91" s="48"/>
      <c r="AF91" s="48"/>
      <c r="AG91" s="48"/>
      <c r="AH91" s="48"/>
      <c r="AI91" s="48"/>
      <c r="AJ91" s="48"/>
      <c r="AK91" s="48"/>
      <c r="AL91" s="48"/>
      <c r="AM91" s="48"/>
      <c r="AN91" s="48"/>
      <c r="AO91" s="48"/>
      <c r="AP91" s="48"/>
      <c r="AQ91" s="48"/>
      <c r="AR91" s="48"/>
      <c r="AS91" s="48"/>
      <c r="AT91" s="48"/>
      <c r="AU91" s="48"/>
      <c r="AV91" s="48"/>
      <c r="AW91" s="48"/>
      <c r="AX91" s="48"/>
      <c r="AY91" s="48"/>
      <c r="CA91" s="511" t="str">
        <f t="shared" si="45"/>
        <v/>
      </c>
      <c r="CB91" s="510"/>
      <c r="CC91" s="510"/>
      <c r="CD91" s="510"/>
      <c r="CE91" s="512"/>
      <c r="CF91" s="512"/>
      <c r="CG91" s="512"/>
      <c r="CH91" s="512"/>
      <c r="CI91" s="512"/>
      <c r="CK91" s="513">
        <f t="shared" si="46"/>
        <v>0</v>
      </c>
    </row>
    <row r="92" spans="1:93" ht="15" customHeight="1">
      <c r="A92" s="5618" t="s">
        <v>315</v>
      </c>
      <c r="B92" s="620" t="s">
        <v>316</v>
      </c>
      <c r="C92" s="95"/>
      <c r="D92" s="96"/>
      <c r="E92" s="96"/>
      <c r="F92" s="84"/>
      <c r="G92" s="85"/>
      <c r="H92" s="621"/>
      <c r="I92" s="507" t="str">
        <f t="shared" si="44"/>
        <v/>
      </c>
      <c r="J92" s="48"/>
      <c r="K92" s="48"/>
      <c r="L92" s="48"/>
      <c r="M92" s="48"/>
      <c r="N92" s="48"/>
      <c r="O92" s="48"/>
      <c r="P92" s="48"/>
      <c r="Q92" s="48"/>
      <c r="R92" s="48"/>
      <c r="S92" s="48"/>
      <c r="T92" s="48"/>
      <c r="U92" s="48"/>
      <c r="V92" s="48"/>
      <c r="W92" s="48"/>
      <c r="X92" s="48"/>
      <c r="Y92" s="48"/>
      <c r="Z92" s="48"/>
      <c r="AA92" s="48"/>
      <c r="AB92" s="48"/>
      <c r="AC92" s="48"/>
      <c r="AD92" s="48"/>
      <c r="AE92" s="48"/>
      <c r="AF92" s="48"/>
      <c r="AG92" s="48"/>
      <c r="AH92" s="48"/>
      <c r="AI92" s="48"/>
      <c r="AJ92" s="48"/>
      <c r="AK92" s="48"/>
      <c r="AL92" s="48"/>
      <c r="AM92" s="48"/>
      <c r="AN92" s="48"/>
      <c r="AO92" s="48"/>
      <c r="AP92" s="48"/>
      <c r="AQ92" s="48"/>
      <c r="AR92" s="48"/>
      <c r="AS92" s="48"/>
      <c r="AT92" s="48"/>
      <c r="AU92" s="48"/>
      <c r="AV92" s="48"/>
      <c r="AW92" s="48"/>
      <c r="AX92" s="48"/>
      <c r="AY92" s="48"/>
      <c r="CA92" s="511" t="str">
        <f t="shared" si="45"/>
        <v/>
      </c>
      <c r="CB92" s="510"/>
      <c r="CC92" s="510"/>
      <c r="CD92" s="510"/>
      <c r="CE92" s="512"/>
      <c r="CF92" s="512"/>
      <c r="CG92" s="512"/>
      <c r="CH92" s="512"/>
      <c r="CI92" s="512"/>
      <c r="CK92" s="513">
        <f t="shared" si="46"/>
        <v>0</v>
      </c>
    </row>
    <row r="93" spans="1:93" ht="15" customHeight="1">
      <c r="A93" s="5620"/>
      <c r="B93" s="619" t="s">
        <v>317</v>
      </c>
      <c r="C93" s="122"/>
      <c r="D93" s="110"/>
      <c r="E93" s="110"/>
      <c r="F93" s="111"/>
      <c r="G93" s="112"/>
      <c r="H93" s="622"/>
      <c r="I93" s="507" t="str">
        <f t="shared" si="44"/>
        <v/>
      </c>
      <c r="J93" s="48"/>
      <c r="K93" s="48"/>
      <c r="L93" s="48"/>
      <c r="M93" s="48"/>
      <c r="N93" s="48"/>
      <c r="O93" s="48"/>
      <c r="P93" s="48"/>
      <c r="Q93" s="48"/>
      <c r="R93" s="48"/>
      <c r="S93" s="48"/>
      <c r="T93" s="48"/>
      <c r="U93" s="48"/>
      <c r="V93" s="48"/>
      <c r="W93" s="48"/>
      <c r="X93" s="48"/>
      <c r="Y93" s="48"/>
      <c r="Z93" s="48"/>
      <c r="AA93" s="48"/>
      <c r="AB93" s="48"/>
      <c r="AC93" s="48"/>
      <c r="AD93" s="48"/>
      <c r="AE93" s="48"/>
      <c r="AF93" s="48"/>
      <c r="AG93" s="48"/>
      <c r="AH93" s="48"/>
      <c r="AI93" s="48"/>
      <c r="AJ93" s="48"/>
      <c r="AK93" s="48"/>
      <c r="AL93" s="48"/>
      <c r="AM93" s="48"/>
      <c r="AN93" s="48"/>
      <c r="AO93" s="48"/>
      <c r="AP93" s="48"/>
      <c r="AQ93" s="48"/>
      <c r="AR93" s="48"/>
      <c r="AS93" s="48"/>
      <c r="AT93" s="48"/>
      <c r="AU93" s="48"/>
      <c r="AV93" s="48"/>
      <c r="AW93" s="48"/>
      <c r="AX93" s="48"/>
      <c r="AY93" s="48"/>
      <c r="CA93" s="511" t="str">
        <f t="shared" si="45"/>
        <v/>
      </c>
      <c r="CB93" s="510"/>
      <c r="CC93" s="510"/>
      <c r="CD93" s="510"/>
      <c r="CE93" s="512"/>
      <c r="CF93" s="512"/>
      <c r="CG93" s="512"/>
      <c r="CH93" s="512"/>
      <c r="CI93" s="512"/>
      <c r="CK93" s="513">
        <f t="shared" si="46"/>
        <v>0</v>
      </c>
    </row>
    <row r="94" spans="1:93" ht="18" customHeight="1">
      <c r="A94" s="465" t="s">
        <v>318</v>
      </c>
      <c r="B94" s="623"/>
      <c r="C94" s="624"/>
      <c r="D94" s="624"/>
      <c r="E94" s="624"/>
      <c r="F94" s="469"/>
      <c r="G94" s="610"/>
      <c r="H94" s="625"/>
      <c r="I94" s="469"/>
      <c r="J94" s="48"/>
      <c r="K94" s="48"/>
      <c r="L94" s="48"/>
      <c r="M94" s="48"/>
      <c r="N94" s="48"/>
      <c r="O94" s="48"/>
      <c r="P94" s="48"/>
      <c r="Q94" s="48"/>
      <c r="R94" s="48"/>
      <c r="S94" s="48"/>
      <c r="T94" s="48"/>
      <c r="U94" s="48"/>
      <c r="V94" s="48"/>
      <c r="W94" s="48"/>
      <c r="X94" s="48"/>
      <c r="Y94" s="48"/>
      <c r="Z94" s="48"/>
      <c r="AA94" s="48"/>
      <c r="AB94" s="48"/>
      <c r="AC94" s="48"/>
      <c r="AD94" s="48"/>
      <c r="AE94" s="48"/>
      <c r="AF94" s="48"/>
      <c r="AG94" s="48"/>
      <c r="AH94" s="48"/>
      <c r="AI94" s="48"/>
      <c r="AJ94" s="48"/>
      <c r="AK94" s="48"/>
      <c r="AL94" s="48"/>
      <c r="AM94" s="48"/>
      <c r="AN94" s="48"/>
      <c r="AO94" s="48"/>
      <c r="AP94" s="48"/>
      <c r="AQ94" s="48"/>
      <c r="AR94" s="48"/>
      <c r="AS94" s="48"/>
      <c r="AT94" s="48"/>
      <c r="AU94" s="48"/>
      <c r="AV94" s="48"/>
      <c r="AW94" s="48"/>
      <c r="AX94" s="48"/>
      <c r="AY94" s="48"/>
    </row>
    <row r="95" spans="1:93" ht="15" customHeight="1">
      <c r="A95" s="5627" t="s">
        <v>213</v>
      </c>
      <c r="B95" s="5624"/>
      <c r="C95" s="5615" t="s">
        <v>91</v>
      </c>
      <c r="D95" s="5616"/>
      <c r="E95" s="5652"/>
      <c r="F95" s="5615" t="s">
        <v>108</v>
      </c>
      <c r="G95" s="5652"/>
      <c r="H95" s="5615" t="s">
        <v>58</v>
      </c>
      <c r="I95" s="5652"/>
      <c r="J95" s="48"/>
      <c r="K95" s="48"/>
      <c r="L95" s="48"/>
      <c r="M95" s="48"/>
      <c r="N95" s="48"/>
      <c r="O95" s="48"/>
      <c r="P95" s="48"/>
      <c r="Q95" s="48"/>
      <c r="R95" s="48"/>
      <c r="S95" s="48"/>
      <c r="T95" s="48"/>
      <c r="U95" s="48"/>
      <c r="V95" s="48"/>
      <c r="W95" s="48"/>
      <c r="X95" s="48"/>
      <c r="Y95" s="48"/>
      <c r="Z95" s="48"/>
      <c r="AA95" s="48"/>
      <c r="AB95" s="48"/>
      <c r="AC95" s="48"/>
      <c r="AD95" s="48"/>
      <c r="AE95" s="48"/>
      <c r="AF95" s="48"/>
      <c r="AG95" s="48"/>
      <c r="AH95" s="48"/>
      <c r="AI95" s="48"/>
      <c r="AJ95" s="48"/>
      <c r="AK95" s="48"/>
      <c r="AL95" s="48"/>
      <c r="AM95" s="48"/>
      <c r="AN95" s="48"/>
      <c r="AO95" s="48"/>
      <c r="AP95" s="48"/>
      <c r="AQ95" s="48"/>
      <c r="AR95" s="48"/>
      <c r="AS95" s="48"/>
      <c r="AT95" s="48"/>
      <c r="AU95" s="48"/>
      <c r="AV95" s="48"/>
      <c r="AW95" s="48"/>
      <c r="AX95" s="48"/>
      <c r="AY95" s="48"/>
    </row>
    <row r="96" spans="1:93" ht="15" customHeight="1">
      <c r="A96" s="5731"/>
      <c r="B96" s="5625"/>
      <c r="C96" s="75" t="s">
        <v>93</v>
      </c>
      <c r="D96" s="196" t="s">
        <v>72</v>
      </c>
      <c r="E96" s="76" t="s">
        <v>73</v>
      </c>
      <c r="F96" s="75" t="s">
        <v>72</v>
      </c>
      <c r="G96" s="76" t="s">
        <v>73</v>
      </c>
      <c r="H96" s="75" t="s">
        <v>72</v>
      </c>
      <c r="I96" s="76" t="s">
        <v>73</v>
      </c>
      <c r="J96" s="48"/>
      <c r="K96" s="48"/>
      <c r="L96" s="48"/>
      <c r="M96" s="48"/>
      <c r="N96" s="48"/>
      <c r="O96" s="48"/>
      <c r="P96" s="48"/>
      <c r="Q96" s="48"/>
      <c r="R96" s="48"/>
      <c r="S96" s="48"/>
      <c r="T96" s="48"/>
      <c r="U96" s="48"/>
      <c r="V96" s="48"/>
      <c r="W96" s="48"/>
      <c r="X96" s="48"/>
      <c r="Y96" s="48"/>
      <c r="Z96" s="48"/>
      <c r="AA96" s="48"/>
      <c r="AB96" s="48"/>
      <c r="AC96" s="48"/>
      <c r="AD96" s="48"/>
      <c r="AE96" s="48"/>
      <c r="AF96" s="48"/>
      <c r="AG96" s="48"/>
      <c r="AH96" s="48"/>
      <c r="AI96" s="48"/>
      <c r="AJ96" s="48"/>
      <c r="AK96" s="48"/>
      <c r="AL96" s="48"/>
      <c r="AM96" s="48"/>
      <c r="AN96" s="48"/>
      <c r="AO96" s="48"/>
      <c r="AP96" s="48"/>
      <c r="AQ96" s="48"/>
      <c r="AR96" s="48"/>
      <c r="AS96" s="48"/>
      <c r="AT96" s="48"/>
      <c r="AU96" s="48"/>
      <c r="AV96" s="48"/>
      <c r="AW96" s="48"/>
      <c r="AX96" s="48"/>
      <c r="AY96" s="48"/>
    </row>
    <row r="97" spans="1:90" ht="15" customHeight="1">
      <c r="A97" s="5615" t="s">
        <v>91</v>
      </c>
      <c r="B97" s="5652"/>
      <c r="C97" s="570">
        <f t="shared" ref="C97:I97" si="47">SUM(C98:C102)</f>
        <v>0</v>
      </c>
      <c r="D97" s="288">
        <f t="shared" si="47"/>
        <v>0</v>
      </c>
      <c r="E97" s="289">
        <f t="shared" si="47"/>
        <v>0</v>
      </c>
      <c r="F97" s="570">
        <f>SUM(F98:F102)</f>
        <v>0</v>
      </c>
      <c r="G97" s="289">
        <f t="shared" si="47"/>
        <v>0</v>
      </c>
      <c r="H97" s="570">
        <f t="shared" si="47"/>
        <v>0</v>
      </c>
      <c r="I97" s="289">
        <f t="shared" si="47"/>
        <v>0</v>
      </c>
      <c r="J97" s="48"/>
      <c r="K97" s="48"/>
      <c r="L97" s="48"/>
      <c r="M97" s="48"/>
      <c r="N97" s="48"/>
      <c r="O97" s="48"/>
      <c r="P97" s="48"/>
      <c r="Q97" s="48"/>
      <c r="R97" s="48"/>
      <c r="S97" s="48"/>
      <c r="T97" s="48"/>
      <c r="U97" s="48"/>
      <c r="V97" s="48"/>
      <c r="W97" s="48"/>
      <c r="X97" s="48"/>
      <c r="Y97" s="48"/>
      <c r="Z97" s="48"/>
      <c r="AA97" s="48"/>
      <c r="AB97" s="48"/>
      <c r="AC97" s="48"/>
      <c r="AD97" s="48"/>
      <c r="AE97" s="48"/>
      <c r="AF97" s="48"/>
      <c r="AG97" s="48"/>
      <c r="AH97" s="48"/>
      <c r="AI97" s="48"/>
      <c r="AJ97" s="48"/>
      <c r="AK97" s="48"/>
      <c r="AL97" s="48"/>
      <c r="AM97" s="48"/>
      <c r="AN97" s="48"/>
      <c r="AO97" s="48"/>
      <c r="AP97" s="48"/>
      <c r="AQ97" s="48"/>
      <c r="AR97" s="48"/>
      <c r="AS97" s="48"/>
      <c r="AT97" s="48"/>
      <c r="AU97" s="48"/>
      <c r="AV97" s="48"/>
      <c r="AW97" s="48"/>
      <c r="AX97" s="48"/>
      <c r="AY97" s="48"/>
    </row>
    <row r="98" spans="1:90" ht="15" customHeight="1">
      <c r="A98" s="5743" t="s">
        <v>214</v>
      </c>
      <c r="B98" s="5744"/>
      <c r="C98" s="626">
        <f t="shared" ref="C98:C99" si="48">SUM(D98+E98)</f>
        <v>0</v>
      </c>
      <c r="D98" s="627">
        <f t="shared" ref="D98:E102" si="49">SUM(F98+H98)</f>
        <v>0</v>
      </c>
      <c r="E98" s="554">
        <f>SUM(G98+I98)</f>
        <v>0</v>
      </c>
      <c r="F98" s="95"/>
      <c r="G98" s="204"/>
      <c r="H98" s="95"/>
      <c r="I98" s="237"/>
      <c r="J98" s="48"/>
      <c r="K98" s="48"/>
      <c r="L98" s="48"/>
      <c r="M98" s="48"/>
      <c r="N98" s="48"/>
      <c r="O98" s="48"/>
      <c r="P98" s="48"/>
      <c r="Q98" s="48"/>
      <c r="R98" s="48"/>
      <c r="S98" s="48"/>
      <c r="T98" s="48"/>
      <c r="U98" s="48"/>
      <c r="V98" s="48"/>
      <c r="W98" s="48"/>
      <c r="X98" s="48"/>
      <c r="Y98" s="48"/>
      <c r="Z98" s="48"/>
      <c r="AA98" s="48"/>
      <c r="AB98" s="48"/>
      <c r="AC98" s="48"/>
      <c r="AD98" s="48"/>
      <c r="AE98" s="48"/>
      <c r="AF98" s="48"/>
      <c r="AG98" s="48"/>
      <c r="AH98" s="48"/>
      <c r="AI98" s="48"/>
      <c r="AJ98" s="48"/>
      <c r="AK98" s="48"/>
      <c r="AL98" s="48"/>
      <c r="AM98" s="48"/>
      <c r="AN98" s="48"/>
      <c r="AO98" s="48"/>
      <c r="AP98" s="48"/>
      <c r="AQ98" s="48"/>
      <c r="AR98" s="48"/>
      <c r="AS98" s="48"/>
      <c r="AT98" s="48"/>
      <c r="AU98" s="48"/>
      <c r="AV98" s="48"/>
      <c r="AW98" s="48"/>
      <c r="AX98" s="48"/>
      <c r="AY98" s="48"/>
    </row>
    <row r="99" spans="1:90" ht="15" customHeight="1">
      <c r="A99" s="5745" t="s">
        <v>294</v>
      </c>
      <c r="B99" s="5746"/>
      <c r="C99" s="628">
        <f t="shared" si="48"/>
        <v>0</v>
      </c>
      <c r="D99" s="629">
        <f t="shared" si="49"/>
        <v>0</v>
      </c>
      <c r="E99" s="280">
        <f t="shared" si="49"/>
        <v>0</v>
      </c>
      <c r="F99" s="164"/>
      <c r="G99" s="94"/>
      <c r="H99" s="164"/>
      <c r="I99" s="515"/>
      <c r="J99" s="48"/>
      <c r="K99" s="48"/>
      <c r="L99" s="48"/>
      <c r="M99" s="48"/>
      <c r="N99" s="48"/>
      <c r="O99" s="48"/>
      <c r="P99" s="48"/>
      <c r="Q99" s="48"/>
      <c r="R99" s="48"/>
      <c r="S99" s="48"/>
      <c r="T99" s="48"/>
      <c r="U99" s="48"/>
      <c r="V99" s="48"/>
      <c r="W99" s="48"/>
      <c r="X99" s="48"/>
      <c r="Y99" s="48"/>
      <c r="Z99" s="48"/>
      <c r="AA99" s="48"/>
      <c r="AB99" s="48"/>
      <c r="AC99" s="48"/>
      <c r="AD99" s="48"/>
      <c r="AE99" s="48"/>
      <c r="AF99" s="48"/>
      <c r="AG99" s="48"/>
      <c r="AH99" s="48"/>
      <c r="AI99" s="48"/>
      <c r="AJ99" s="48"/>
      <c r="AK99" s="48"/>
      <c r="AL99" s="48"/>
      <c r="AM99" s="48"/>
      <c r="AN99" s="48"/>
      <c r="AO99" s="48"/>
      <c r="AP99" s="48"/>
      <c r="AQ99" s="48"/>
      <c r="AR99" s="48"/>
      <c r="AS99" s="48"/>
      <c r="AT99" s="48"/>
      <c r="AU99" s="48"/>
      <c r="AV99" s="48"/>
      <c r="AW99" s="48"/>
      <c r="AX99" s="48"/>
      <c r="AY99" s="48"/>
    </row>
    <row r="100" spans="1:90" ht="15" customHeight="1">
      <c r="A100" s="5745" t="s">
        <v>216</v>
      </c>
      <c r="B100" s="5746"/>
      <c r="C100" s="628">
        <f t="shared" ref="C100:C151" si="50">SUM(D100+E100)</f>
        <v>0</v>
      </c>
      <c r="D100" s="629">
        <f t="shared" si="49"/>
        <v>0</v>
      </c>
      <c r="E100" s="280">
        <f t="shared" si="49"/>
        <v>0</v>
      </c>
      <c r="F100" s="207"/>
      <c r="G100" s="279"/>
      <c r="H100" s="207"/>
      <c r="I100" s="247"/>
      <c r="J100" s="48"/>
      <c r="K100" s="48"/>
      <c r="L100" s="48"/>
      <c r="M100" s="48"/>
      <c r="N100" s="48"/>
      <c r="O100" s="48"/>
      <c r="P100" s="48"/>
      <c r="Q100" s="48"/>
      <c r="R100" s="48"/>
      <c r="S100" s="48"/>
      <c r="T100" s="48"/>
      <c r="U100" s="48"/>
      <c r="V100" s="48"/>
      <c r="W100" s="48"/>
      <c r="X100" s="48"/>
      <c r="Y100" s="48"/>
      <c r="Z100" s="48"/>
      <c r="AA100" s="48"/>
      <c r="AB100" s="48"/>
      <c r="AC100" s="48"/>
      <c r="AD100" s="48"/>
      <c r="AE100" s="48"/>
      <c r="AF100" s="48"/>
      <c r="AG100" s="48"/>
      <c r="AH100" s="48"/>
      <c r="AI100" s="48"/>
      <c r="AJ100" s="48"/>
      <c r="AK100" s="48"/>
      <c r="AL100" s="48"/>
      <c r="AM100" s="48"/>
      <c r="AN100" s="48"/>
      <c r="AO100" s="48"/>
      <c r="AP100" s="48"/>
      <c r="AQ100" s="48"/>
      <c r="AR100" s="48"/>
      <c r="AS100" s="48"/>
      <c r="AT100" s="48"/>
      <c r="AU100" s="48"/>
      <c r="AV100" s="48"/>
      <c r="AW100" s="48"/>
      <c r="AX100" s="48"/>
      <c r="AY100" s="48"/>
    </row>
    <row r="101" spans="1:90" ht="15" customHeight="1">
      <c r="A101" s="5749" t="s">
        <v>217</v>
      </c>
      <c r="B101" s="5750"/>
      <c r="C101" s="631">
        <f t="shared" si="50"/>
        <v>0</v>
      </c>
      <c r="D101" s="632">
        <f>SUM(F101+H101)</f>
        <v>0</v>
      </c>
      <c r="E101" s="633">
        <f>SUM(G101+I101)</f>
        <v>0</v>
      </c>
      <c r="F101" s="534"/>
      <c r="G101" s="634"/>
      <c r="H101" s="534"/>
      <c r="I101" s="535"/>
      <c r="J101" s="48"/>
      <c r="K101" s="48"/>
      <c r="L101" s="48"/>
      <c r="M101" s="48"/>
      <c r="N101" s="48"/>
      <c r="O101" s="48"/>
      <c r="P101" s="48"/>
      <c r="Q101" s="48"/>
      <c r="R101" s="48"/>
      <c r="S101" s="48"/>
      <c r="T101" s="48"/>
      <c r="U101" s="48"/>
      <c r="V101" s="48"/>
      <c r="W101" s="48"/>
      <c r="X101" s="48"/>
      <c r="Y101" s="48"/>
      <c r="Z101" s="48"/>
      <c r="AA101" s="48"/>
      <c r="AB101" s="48"/>
      <c r="AC101" s="48"/>
      <c r="AD101" s="48"/>
      <c r="AE101" s="48"/>
      <c r="AF101" s="48"/>
      <c r="AG101" s="48"/>
      <c r="AH101" s="48"/>
      <c r="AI101" s="48"/>
      <c r="AJ101" s="48"/>
      <c r="AK101" s="48"/>
      <c r="AL101" s="48"/>
      <c r="AM101" s="48"/>
      <c r="AN101" s="48"/>
      <c r="AO101" s="48"/>
      <c r="AP101" s="48"/>
      <c r="AQ101" s="48"/>
      <c r="AR101" s="48"/>
      <c r="AS101" s="48"/>
      <c r="AT101" s="48"/>
      <c r="AU101" s="48"/>
      <c r="AV101" s="48"/>
      <c r="AW101" s="48"/>
      <c r="AX101" s="48"/>
      <c r="AY101" s="48"/>
    </row>
    <row r="102" spans="1:90" ht="15" customHeight="1">
      <c r="A102" s="5751" t="s">
        <v>319</v>
      </c>
      <c r="B102" s="5752"/>
      <c r="C102" s="635">
        <f t="shared" si="50"/>
        <v>0</v>
      </c>
      <c r="D102" s="636">
        <f t="shared" si="49"/>
        <v>0</v>
      </c>
      <c r="E102" s="286">
        <f t="shared" si="49"/>
        <v>0</v>
      </c>
      <c r="F102" s="122"/>
      <c r="G102" s="121"/>
      <c r="H102" s="122"/>
      <c r="I102" s="254"/>
      <c r="J102" s="48"/>
      <c r="K102" s="48"/>
      <c r="L102" s="48"/>
      <c r="M102" s="48"/>
      <c r="N102" s="48"/>
      <c r="O102" s="48"/>
      <c r="P102" s="48"/>
      <c r="Q102" s="48"/>
      <c r="R102" s="48"/>
      <c r="S102" s="48"/>
      <c r="T102" s="48"/>
      <c r="U102" s="48"/>
      <c r="V102" s="48"/>
      <c r="W102" s="48"/>
      <c r="X102" s="48"/>
      <c r="Y102" s="48"/>
      <c r="Z102" s="48"/>
      <c r="AA102" s="48"/>
      <c r="AB102" s="48"/>
      <c r="AC102" s="48"/>
      <c r="AD102" s="48"/>
      <c r="AE102" s="48"/>
      <c r="AF102" s="48"/>
      <c r="AG102" s="48"/>
      <c r="AH102" s="48"/>
      <c r="AI102" s="48"/>
      <c r="AJ102" s="48"/>
      <c r="AK102" s="48"/>
      <c r="AL102" s="48"/>
      <c r="AM102" s="48"/>
      <c r="AN102" s="48"/>
      <c r="AO102" s="48"/>
      <c r="AP102" s="48"/>
      <c r="AQ102" s="48"/>
      <c r="AR102" s="48"/>
      <c r="AS102" s="48"/>
      <c r="AT102" s="48"/>
      <c r="AU102" s="48"/>
      <c r="AV102" s="48"/>
      <c r="AW102" s="48"/>
      <c r="AX102" s="48"/>
      <c r="AY102" s="48"/>
    </row>
    <row r="103" spans="1:90" ht="18" customHeight="1">
      <c r="A103" s="5753" t="s">
        <v>320</v>
      </c>
      <c r="B103" s="5753"/>
      <c r="C103" s="5753"/>
      <c r="D103" s="5753"/>
      <c r="E103" s="5753"/>
      <c r="F103" s="5753"/>
      <c r="G103" s="5753"/>
      <c r="H103" s="5753"/>
      <c r="I103" s="5753"/>
      <c r="J103" s="5753"/>
      <c r="K103" s="5753"/>
      <c r="L103" s="5753"/>
      <c r="M103" s="5753"/>
      <c r="N103" s="5753"/>
      <c r="O103" s="5753"/>
      <c r="P103" s="5753"/>
      <c r="Q103" s="637"/>
      <c r="R103" s="469"/>
      <c r="S103" s="469"/>
      <c r="T103" s="469"/>
      <c r="U103" s="469"/>
      <c r="V103" s="48"/>
      <c r="W103" s="48"/>
      <c r="X103" s="48"/>
      <c r="Y103" s="48"/>
      <c r="Z103" s="48"/>
      <c r="AA103" s="48"/>
      <c r="AB103" s="48"/>
      <c r="AC103" s="48"/>
      <c r="AD103" s="48"/>
      <c r="AE103" s="48"/>
      <c r="AF103" s="48"/>
      <c r="AG103" s="48"/>
      <c r="AH103" s="48"/>
      <c r="AI103" s="48"/>
      <c r="AJ103" s="48"/>
      <c r="AK103" s="48"/>
      <c r="AL103" s="48"/>
      <c r="AM103" s="48"/>
      <c r="AN103" s="48"/>
      <c r="AO103" s="48"/>
      <c r="AP103" s="48"/>
      <c r="AQ103" s="48"/>
      <c r="AR103" s="48"/>
      <c r="AS103" s="48"/>
      <c r="AT103" s="48"/>
      <c r="AU103" s="48"/>
      <c r="AV103" s="48"/>
      <c r="AW103" s="48"/>
      <c r="AX103" s="48"/>
      <c r="AY103" s="48"/>
    </row>
    <row r="104" spans="1:90" ht="18" customHeight="1">
      <c r="A104" s="5754" t="s">
        <v>321</v>
      </c>
      <c r="B104" s="5754"/>
      <c r="C104" s="5754"/>
      <c r="D104" s="5754"/>
      <c r="E104" s="5754"/>
      <c r="F104" s="5754"/>
      <c r="G104" s="5754"/>
      <c r="H104" s="5754"/>
      <c r="I104" s="5754"/>
      <c r="J104" s="5754"/>
      <c r="K104" s="5754"/>
      <c r="L104" s="5754"/>
      <c r="M104" s="5754"/>
      <c r="N104" s="5754"/>
      <c r="O104" s="5754"/>
      <c r="P104" s="5754"/>
      <c r="Q104" s="5754"/>
      <c r="R104" s="469"/>
      <c r="S104" s="469"/>
      <c r="T104" s="469"/>
      <c r="U104" s="469"/>
      <c r="V104" s="48"/>
      <c r="W104" s="48"/>
      <c r="X104" s="48"/>
      <c r="Y104" s="48"/>
      <c r="Z104" s="48"/>
      <c r="AA104" s="48"/>
      <c r="AB104" s="48"/>
      <c r="AC104" s="48"/>
      <c r="AD104" s="48"/>
      <c r="AE104" s="48"/>
      <c r="AF104" s="48"/>
      <c r="AG104" s="48"/>
      <c r="AH104" s="48"/>
      <c r="AI104" s="48"/>
      <c r="AJ104" s="48"/>
      <c r="AK104" s="48"/>
      <c r="AL104" s="48"/>
      <c r="AM104" s="48"/>
      <c r="AN104" s="48"/>
      <c r="AO104" s="48"/>
      <c r="AP104" s="48"/>
      <c r="AQ104" s="48"/>
      <c r="AR104" s="48"/>
      <c r="AS104" s="48"/>
      <c r="AT104" s="48"/>
      <c r="AU104" s="48"/>
      <c r="AV104" s="48"/>
      <c r="AW104" s="48"/>
      <c r="AX104" s="48"/>
      <c r="AY104" s="48"/>
    </row>
    <row r="105" spans="1:90" ht="15" customHeight="1">
      <c r="A105" s="5755" t="s">
        <v>322</v>
      </c>
      <c r="B105" s="5756"/>
      <c r="C105" s="5761" t="s">
        <v>323</v>
      </c>
      <c r="D105" s="5762"/>
      <c r="E105" s="5763"/>
      <c r="F105" s="5764" t="s">
        <v>115</v>
      </c>
      <c r="G105" s="5765"/>
      <c r="H105" s="5765"/>
      <c r="I105" s="5765"/>
      <c r="J105" s="5765"/>
      <c r="K105" s="5765"/>
      <c r="L105" s="5765"/>
      <c r="M105" s="5765"/>
      <c r="N105" s="5765"/>
      <c r="O105" s="5765"/>
      <c r="P105" s="5765"/>
      <c r="Q105" s="5765"/>
      <c r="R105" s="5765"/>
      <c r="S105" s="5765"/>
      <c r="T105" s="5765"/>
      <c r="U105" s="5766"/>
      <c r="V105" s="5871" t="s">
        <v>48</v>
      </c>
      <c r="W105" s="5872" t="s">
        <v>49</v>
      </c>
      <c r="X105" s="48"/>
      <c r="Y105" s="48"/>
      <c r="Z105" s="48"/>
      <c r="AA105" s="48"/>
      <c r="AB105" s="48"/>
      <c r="AC105" s="48"/>
      <c r="AD105" s="48"/>
      <c r="AE105" s="48"/>
      <c r="AF105" s="48"/>
      <c r="AG105" s="48"/>
      <c r="AH105" s="48"/>
      <c r="AI105" s="48"/>
      <c r="AJ105" s="48"/>
      <c r="AK105" s="48"/>
      <c r="AL105" s="48"/>
      <c r="AM105" s="48"/>
      <c r="AN105" s="48"/>
      <c r="AO105" s="48"/>
      <c r="AP105" s="48"/>
      <c r="AQ105" s="48"/>
      <c r="AR105" s="48"/>
      <c r="AS105" s="48"/>
      <c r="AT105" s="48"/>
      <c r="AU105" s="48"/>
      <c r="AV105" s="48"/>
      <c r="AW105" s="48"/>
      <c r="AX105" s="48"/>
      <c r="AY105" s="48"/>
    </row>
    <row r="106" spans="1:90" ht="15" customHeight="1">
      <c r="A106" s="5757"/>
      <c r="B106" s="5758"/>
      <c r="C106" s="5659"/>
      <c r="D106" s="5731"/>
      <c r="E106" s="5625"/>
      <c r="F106" s="5767" t="s">
        <v>324</v>
      </c>
      <c r="G106" s="5747"/>
      <c r="H106" s="5747" t="s">
        <v>325</v>
      </c>
      <c r="I106" s="5747"/>
      <c r="J106" s="5747" t="s">
        <v>326</v>
      </c>
      <c r="K106" s="5747"/>
      <c r="L106" s="5747" t="s">
        <v>327</v>
      </c>
      <c r="M106" s="5747"/>
      <c r="N106" s="5747" t="s">
        <v>328</v>
      </c>
      <c r="O106" s="5747"/>
      <c r="P106" s="5747" t="s">
        <v>329</v>
      </c>
      <c r="Q106" s="5747"/>
      <c r="R106" s="5747" t="s">
        <v>330</v>
      </c>
      <c r="S106" s="5747"/>
      <c r="T106" s="5747" t="s">
        <v>71</v>
      </c>
      <c r="U106" s="5748"/>
      <c r="V106" s="5871"/>
      <c r="W106" s="5873"/>
      <c r="X106" s="48"/>
      <c r="Y106" s="48"/>
      <c r="Z106" s="48"/>
      <c r="AA106" s="48"/>
      <c r="AB106" s="48"/>
      <c r="AC106" s="48"/>
      <c r="AD106" s="48"/>
      <c r="AE106" s="48"/>
      <c r="AF106" s="48"/>
      <c r="AG106" s="48"/>
      <c r="AH106" s="48"/>
      <c r="AI106" s="48"/>
      <c r="AJ106" s="48"/>
      <c r="AK106" s="48"/>
      <c r="AL106" s="48"/>
      <c r="AM106" s="48"/>
      <c r="AN106" s="48"/>
      <c r="AO106" s="48"/>
      <c r="AP106" s="48"/>
      <c r="AQ106" s="48"/>
      <c r="AR106" s="48"/>
      <c r="AS106" s="48"/>
      <c r="AT106" s="48"/>
      <c r="AU106" s="48"/>
      <c r="AV106" s="48"/>
      <c r="AW106" s="48"/>
      <c r="AX106" s="48"/>
      <c r="AY106" s="48"/>
    </row>
    <row r="107" spans="1:90" ht="34.5" customHeight="1">
      <c r="A107" s="5759"/>
      <c r="B107" s="5760"/>
      <c r="C107" s="550" t="s">
        <v>93</v>
      </c>
      <c r="D107" s="196" t="s">
        <v>72</v>
      </c>
      <c r="E107" s="74" t="s">
        <v>73</v>
      </c>
      <c r="F107" s="639" t="s">
        <v>72</v>
      </c>
      <c r="G107" s="640" t="s">
        <v>73</v>
      </c>
      <c r="H107" s="641" t="s">
        <v>72</v>
      </c>
      <c r="I107" s="640" t="s">
        <v>73</v>
      </c>
      <c r="J107" s="641" t="s">
        <v>72</v>
      </c>
      <c r="K107" s="640" t="s">
        <v>73</v>
      </c>
      <c r="L107" s="641" t="s">
        <v>72</v>
      </c>
      <c r="M107" s="640" t="s">
        <v>73</v>
      </c>
      <c r="N107" s="641" t="s">
        <v>72</v>
      </c>
      <c r="O107" s="640" t="s">
        <v>73</v>
      </c>
      <c r="P107" s="641" t="s">
        <v>72</v>
      </c>
      <c r="Q107" s="640" t="s">
        <v>73</v>
      </c>
      <c r="R107" s="641" t="s">
        <v>72</v>
      </c>
      <c r="S107" s="640" t="s">
        <v>73</v>
      </c>
      <c r="T107" s="641" t="s">
        <v>72</v>
      </c>
      <c r="U107" s="642" t="s">
        <v>73</v>
      </c>
      <c r="V107" s="5871"/>
      <c r="W107" s="5873"/>
      <c r="X107" s="48"/>
      <c r="Y107" s="48"/>
      <c r="Z107" s="48"/>
      <c r="AA107" s="48"/>
      <c r="AB107" s="48"/>
      <c r="AC107" s="48"/>
      <c r="AD107" s="48"/>
      <c r="AE107" s="48"/>
      <c r="AF107" s="48"/>
      <c r="AG107" s="48"/>
      <c r="AH107" s="48"/>
      <c r="AI107" s="48"/>
      <c r="AJ107" s="48"/>
      <c r="AK107" s="48"/>
      <c r="AL107" s="48"/>
      <c r="AM107" s="48"/>
      <c r="AN107" s="48"/>
      <c r="AO107" s="48"/>
      <c r="AP107" s="48"/>
      <c r="AQ107" s="48"/>
      <c r="AR107" s="48"/>
      <c r="AS107" s="48"/>
      <c r="AT107" s="48"/>
      <c r="AU107" s="48"/>
      <c r="AV107" s="48"/>
      <c r="AW107" s="48"/>
      <c r="AX107" s="48"/>
      <c r="AY107" s="48"/>
    </row>
    <row r="108" spans="1:90" ht="15" customHeight="1">
      <c r="A108" s="5768" t="s">
        <v>331</v>
      </c>
      <c r="B108" s="5769"/>
      <c r="C108" s="643">
        <f t="shared" si="50"/>
        <v>0</v>
      </c>
      <c r="D108" s="644">
        <f>+J108+L108+N108+P108+R108+T108</f>
        <v>0</v>
      </c>
      <c r="E108" s="488">
        <f>+K108+M108+O108+Q108+S108+U108</f>
        <v>0</v>
      </c>
      <c r="F108" s="176"/>
      <c r="G108" s="645"/>
      <c r="H108" s="176"/>
      <c r="I108" s="645"/>
      <c r="J108" s="95"/>
      <c r="K108" s="237"/>
      <c r="L108" s="95"/>
      <c r="M108" s="237"/>
      <c r="N108" s="95"/>
      <c r="O108" s="237"/>
      <c r="P108" s="527"/>
      <c r="Q108" s="237"/>
      <c r="R108" s="527"/>
      <c r="S108" s="237"/>
      <c r="T108" s="527"/>
      <c r="U108" s="528"/>
      <c r="V108" s="646"/>
      <c r="W108" s="647"/>
      <c r="X108" s="240"/>
      <c r="Y108" s="48"/>
      <c r="Z108" s="48"/>
      <c r="AA108" s="48"/>
      <c r="AB108" s="48"/>
      <c r="AC108" s="48"/>
      <c r="AD108" s="48"/>
      <c r="AE108" s="48"/>
      <c r="AF108" s="48"/>
      <c r="AG108" s="48"/>
      <c r="AH108" s="48"/>
      <c r="AI108" s="48"/>
      <c r="AJ108" s="48"/>
      <c r="AK108" s="48"/>
      <c r="AL108" s="48"/>
      <c r="AM108" s="48"/>
      <c r="AN108" s="48"/>
      <c r="AO108" s="48"/>
      <c r="AP108" s="48"/>
      <c r="AQ108" s="48"/>
      <c r="AR108" s="48"/>
      <c r="AS108" s="48"/>
      <c r="AT108" s="48"/>
      <c r="AU108" s="48"/>
      <c r="AV108" s="48"/>
      <c r="AW108" s="48"/>
      <c r="AX108" s="48"/>
      <c r="AY108" s="48"/>
      <c r="CA108" s="510"/>
      <c r="CB108" s="510"/>
      <c r="CC108" s="510"/>
      <c r="CD108" s="510"/>
      <c r="CE108" s="512"/>
      <c r="CF108" s="512"/>
      <c r="CG108" s="512"/>
      <c r="CH108" s="512"/>
      <c r="CI108" s="512"/>
    </row>
    <row r="109" spans="1:90" ht="15" customHeight="1">
      <c r="A109" s="5770" t="s">
        <v>332</v>
      </c>
      <c r="B109" s="5771"/>
      <c r="C109" s="649">
        <f t="shared" si="50"/>
        <v>0</v>
      </c>
      <c r="D109" s="650">
        <f t="shared" ref="D109:E111" si="51">SUM(J109+L109+N109+P109+R109+T109)</f>
        <v>0</v>
      </c>
      <c r="E109" s="525">
        <f t="shared" si="51"/>
        <v>0</v>
      </c>
      <c r="F109" s="651"/>
      <c r="G109" s="652"/>
      <c r="H109" s="651"/>
      <c r="I109" s="653"/>
      <c r="J109" s="207"/>
      <c r="K109" s="247"/>
      <c r="L109" s="207"/>
      <c r="M109" s="247"/>
      <c r="N109" s="207"/>
      <c r="O109" s="247"/>
      <c r="P109" s="521"/>
      <c r="Q109" s="247"/>
      <c r="R109" s="521"/>
      <c r="S109" s="247"/>
      <c r="T109" s="521"/>
      <c r="U109" s="312"/>
      <c r="V109" s="654"/>
      <c r="W109" s="655"/>
      <c r="X109" s="240"/>
      <c r="Y109" s="48"/>
      <c r="Z109" s="48"/>
      <c r="AA109" s="48"/>
      <c r="AB109" s="48"/>
      <c r="AC109" s="48"/>
      <c r="AD109" s="48"/>
      <c r="AE109" s="48"/>
      <c r="AF109" s="48"/>
      <c r="AG109" s="48"/>
      <c r="AH109" s="48"/>
      <c r="AI109" s="48"/>
      <c r="AJ109" s="48"/>
      <c r="AK109" s="48"/>
      <c r="AL109" s="48"/>
      <c r="AM109" s="48"/>
      <c r="AN109" s="48"/>
      <c r="AO109" s="48"/>
      <c r="AP109" s="48"/>
      <c r="AQ109" s="48"/>
      <c r="AR109" s="48"/>
      <c r="AS109" s="48"/>
      <c r="AT109" s="48"/>
      <c r="AU109" s="48"/>
      <c r="AV109" s="48"/>
      <c r="AW109" s="48"/>
      <c r="AX109" s="48"/>
      <c r="AY109" s="48"/>
    </row>
    <row r="110" spans="1:90" ht="15" customHeight="1">
      <c r="A110" s="5770" t="s">
        <v>333</v>
      </c>
      <c r="B110" s="5771"/>
      <c r="C110" s="649">
        <f t="shared" si="50"/>
        <v>0</v>
      </c>
      <c r="D110" s="650">
        <f t="shared" si="51"/>
        <v>0</v>
      </c>
      <c r="E110" s="525">
        <f t="shared" si="51"/>
        <v>0</v>
      </c>
      <c r="F110" s="656"/>
      <c r="G110" s="657"/>
      <c r="H110" s="656"/>
      <c r="I110" s="658"/>
      <c r="J110" s="534"/>
      <c r="K110" s="535"/>
      <c r="L110" s="534"/>
      <c r="M110" s="535"/>
      <c r="N110" s="534"/>
      <c r="O110" s="535"/>
      <c r="P110" s="536"/>
      <c r="Q110" s="535"/>
      <c r="R110" s="536"/>
      <c r="S110" s="535"/>
      <c r="T110" s="536"/>
      <c r="U110" s="537"/>
      <c r="V110" s="654"/>
      <c r="W110" s="655"/>
      <c r="X110" s="240"/>
      <c r="Y110" s="48"/>
      <c r="Z110" s="48"/>
      <c r="AA110" s="48"/>
      <c r="AB110" s="48"/>
      <c r="AC110" s="48"/>
      <c r="AD110" s="48"/>
      <c r="AE110" s="48"/>
      <c r="AF110" s="48"/>
      <c r="AG110" s="48"/>
      <c r="AH110" s="48"/>
      <c r="AI110" s="48"/>
      <c r="AJ110" s="48"/>
      <c r="AK110" s="48"/>
      <c r="AL110" s="48"/>
      <c r="AM110" s="48"/>
      <c r="AN110" s="48"/>
      <c r="AO110" s="48"/>
      <c r="AP110" s="48"/>
      <c r="AQ110" s="48"/>
      <c r="AR110" s="48"/>
      <c r="AS110" s="48"/>
      <c r="AT110" s="48"/>
      <c r="AU110" s="48"/>
      <c r="AV110" s="48"/>
      <c r="AW110" s="48"/>
      <c r="AX110" s="48"/>
      <c r="AY110" s="48"/>
    </row>
    <row r="111" spans="1:90" ht="15" customHeight="1">
      <c r="A111" s="5772" t="s">
        <v>334</v>
      </c>
      <c r="B111" s="5773"/>
      <c r="C111" s="649">
        <f t="shared" si="50"/>
        <v>0</v>
      </c>
      <c r="D111" s="650">
        <f t="shared" si="51"/>
        <v>0</v>
      </c>
      <c r="E111" s="525">
        <f t="shared" si="51"/>
        <v>0</v>
      </c>
      <c r="F111" s="656"/>
      <c r="G111" s="657"/>
      <c r="H111" s="656"/>
      <c r="I111" s="658"/>
      <c r="J111" s="534"/>
      <c r="K111" s="535"/>
      <c r="L111" s="534"/>
      <c r="M111" s="535"/>
      <c r="N111" s="534"/>
      <c r="O111" s="535"/>
      <c r="P111" s="536"/>
      <c r="Q111" s="535"/>
      <c r="R111" s="536"/>
      <c r="S111" s="535"/>
      <c r="T111" s="536"/>
      <c r="U111" s="537"/>
      <c r="V111" s="654"/>
      <c r="W111" s="655"/>
      <c r="X111" s="240"/>
      <c r="Y111" s="48"/>
      <c r="Z111" s="48"/>
      <c r="AA111" s="48"/>
      <c r="AB111" s="48"/>
      <c r="AC111" s="48"/>
      <c r="AD111" s="48"/>
      <c r="AE111" s="48"/>
      <c r="AF111" s="48"/>
      <c r="AG111" s="48"/>
      <c r="AH111" s="48"/>
      <c r="AI111" s="48"/>
      <c r="AJ111" s="48"/>
      <c r="AK111" s="48"/>
      <c r="AL111" s="48"/>
      <c r="AM111" s="48"/>
      <c r="AN111" s="48"/>
      <c r="AO111" s="48"/>
      <c r="AP111" s="48"/>
      <c r="AQ111" s="48"/>
      <c r="AR111" s="48"/>
      <c r="AS111" s="48"/>
      <c r="AT111" s="48"/>
      <c r="AU111" s="48"/>
      <c r="AV111" s="48"/>
      <c r="AW111" s="48"/>
      <c r="AX111" s="48"/>
      <c r="AY111" s="48"/>
    </row>
    <row r="112" spans="1:90" ht="15" customHeight="1">
      <c r="A112" s="5772" t="s">
        <v>335</v>
      </c>
      <c r="B112" s="5773"/>
      <c r="C112" s="649">
        <f t="shared" si="50"/>
        <v>0</v>
      </c>
      <c r="D112" s="650">
        <f>+F112+H112</f>
        <v>0</v>
      </c>
      <c r="E112" s="525">
        <f>+G112+I112</f>
        <v>0</v>
      </c>
      <c r="F112" s="534"/>
      <c r="G112" s="659"/>
      <c r="H112" s="534"/>
      <c r="I112" s="634"/>
      <c r="J112" s="651"/>
      <c r="K112" s="653"/>
      <c r="L112" s="651"/>
      <c r="M112" s="653"/>
      <c r="N112" s="651"/>
      <c r="O112" s="653"/>
      <c r="P112" s="660"/>
      <c r="Q112" s="653"/>
      <c r="R112" s="660"/>
      <c r="S112" s="653"/>
      <c r="T112" s="660"/>
      <c r="U112" s="661"/>
      <c r="V112" s="297"/>
      <c r="W112" s="539"/>
      <c r="X112" s="240" t="str">
        <f t="shared" ref="X112:X117" si="52">CA112&amp;CB112</f>
        <v/>
      </c>
      <c r="Y112" s="48"/>
      <c r="Z112" s="48"/>
      <c r="AA112" s="48"/>
      <c r="AB112" s="48"/>
      <c r="AC112" s="48"/>
      <c r="AD112" s="48"/>
      <c r="AE112" s="48"/>
      <c r="AF112" s="48"/>
      <c r="AG112" s="48"/>
      <c r="AH112" s="48"/>
      <c r="AI112" s="48"/>
      <c r="AJ112" s="48"/>
      <c r="AK112" s="48"/>
      <c r="AL112" s="48"/>
      <c r="AM112" s="48"/>
      <c r="AN112" s="48"/>
      <c r="AO112" s="48"/>
      <c r="AP112" s="48"/>
      <c r="AQ112" s="48"/>
      <c r="AR112" s="48"/>
      <c r="AS112" s="48"/>
      <c r="AT112" s="48"/>
      <c r="AU112" s="48"/>
      <c r="AV112" s="48"/>
      <c r="AW112" s="48"/>
      <c r="AX112" s="48"/>
      <c r="AY112" s="48"/>
      <c r="CA112" s="511" t="str">
        <f t="shared" ref="CA112:CA117" si="53">IF(AND($C112&lt;&gt;0,V112=""),"* No olvide ingresar la variable "&amp;V$105&amp;""&amp;". Digite CERO si no tiene. ",IF(V112&gt;$C112,"* La variable SENAME/ Servicio Nacional de Reinserción social Juvenil  no debe ser mayor al Total Ambos Sexos. ",""))</f>
        <v/>
      </c>
      <c r="CB112" s="511" t="str">
        <f t="shared" ref="CB112:CB117" si="54">IF(AND($C112&lt;&gt;0,W112=""),"* No olvide ingresar la variable "&amp;W$105&amp;""&amp;". Digite CERO si no tiene. ",IF(W112&gt;$C112,"* La variable Servicio Nacional Protección Especializada a la Niñez y Adolescencia no debe ser mayor al Total Ambos Sexos. ",""))</f>
        <v/>
      </c>
      <c r="CC112" s="510"/>
      <c r="CD112" s="510"/>
      <c r="CE112" s="512"/>
      <c r="CF112" s="512"/>
      <c r="CG112" s="512"/>
      <c r="CH112" s="512"/>
      <c r="CI112" s="512"/>
      <c r="CK112" s="513">
        <f t="shared" ref="CK112:CK117" si="55">IF(AND($C112&lt;&gt;0,V112=""),1,IF(V112&gt;$C112,1,0))</f>
        <v>0</v>
      </c>
      <c r="CL112" s="513">
        <f t="shared" ref="CL112:CL117" si="56">IF(AND($C112&lt;&gt;0,W112=""),1,IF(W112&gt;$C112,1,0))</f>
        <v>0</v>
      </c>
    </row>
    <row r="113" spans="1:90" ht="15" customHeight="1">
      <c r="A113" s="5772" t="s">
        <v>336</v>
      </c>
      <c r="B113" s="5773"/>
      <c r="C113" s="662">
        <f t="shared" si="50"/>
        <v>0</v>
      </c>
      <c r="D113" s="650">
        <f>+H113</f>
        <v>0</v>
      </c>
      <c r="E113" s="525">
        <f>+I113</f>
        <v>0</v>
      </c>
      <c r="F113" s="656"/>
      <c r="G113" s="657"/>
      <c r="H113" s="534"/>
      <c r="I113" s="634"/>
      <c r="J113" s="651"/>
      <c r="K113" s="663"/>
      <c r="L113" s="651"/>
      <c r="M113" s="663"/>
      <c r="N113" s="651"/>
      <c r="O113" s="663"/>
      <c r="P113" s="651"/>
      <c r="Q113" s="663"/>
      <c r="R113" s="651"/>
      <c r="S113" s="663"/>
      <c r="T113" s="651"/>
      <c r="U113" s="664"/>
      <c r="V113" s="297"/>
      <c r="W113" s="283"/>
      <c r="X113" s="240" t="str">
        <f t="shared" si="52"/>
        <v/>
      </c>
      <c r="Y113" s="48"/>
      <c r="Z113" s="48"/>
      <c r="AA113" s="48"/>
      <c r="AB113" s="48"/>
      <c r="AC113" s="48"/>
      <c r="AD113" s="48"/>
      <c r="AE113" s="48"/>
      <c r="AF113" s="48"/>
      <c r="AG113" s="48"/>
      <c r="AH113" s="48"/>
      <c r="AI113" s="48"/>
      <c r="AJ113" s="48"/>
      <c r="AK113" s="48"/>
      <c r="AL113" s="48"/>
      <c r="AM113" s="48"/>
      <c r="AN113" s="48"/>
      <c r="AO113" s="48"/>
      <c r="AP113" s="48"/>
      <c r="AQ113" s="48"/>
      <c r="AR113" s="48"/>
      <c r="AS113" s="48"/>
      <c r="AT113" s="48"/>
      <c r="AU113" s="48"/>
      <c r="AV113" s="48"/>
      <c r="AW113" s="48"/>
      <c r="AX113" s="48"/>
      <c r="AY113" s="48"/>
      <c r="CA113" s="511" t="str">
        <f t="shared" si="53"/>
        <v/>
      </c>
      <c r="CB113" s="511" t="str">
        <f t="shared" si="54"/>
        <v/>
      </c>
      <c r="CC113" s="510"/>
      <c r="CD113" s="510"/>
      <c r="CE113" s="512"/>
      <c r="CF113" s="512"/>
      <c r="CG113" s="512"/>
      <c r="CH113" s="512"/>
      <c r="CI113" s="512"/>
      <c r="CK113" s="513">
        <f t="shared" si="55"/>
        <v>0</v>
      </c>
      <c r="CL113" s="513">
        <f t="shared" si="56"/>
        <v>0</v>
      </c>
    </row>
    <row r="114" spans="1:90" ht="15" customHeight="1">
      <c r="A114" s="5772" t="s">
        <v>337</v>
      </c>
      <c r="B114" s="5773"/>
      <c r="C114" s="662">
        <f t="shared" si="50"/>
        <v>0</v>
      </c>
      <c r="D114" s="650">
        <f>(F114+H114)</f>
        <v>0</v>
      </c>
      <c r="E114" s="525">
        <f>(G114+I114)</f>
        <v>0</v>
      </c>
      <c r="F114" s="534"/>
      <c r="G114" s="634"/>
      <c r="H114" s="534"/>
      <c r="I114" s="634"/>
      <c r="J114" s="155"/>
      <c r="K114" s="156"/>
      <c r="L114" s="155"/>
      <c r="M114" s="156"/>
      <c r="N114" s="155"/>
      <c r="O114" s="156"/>
      <c r="P114" s="665"/>
      <c r="Q114" s="156"/>
      <c r="R114" s="665"/>
      <c r="S114" s="156"/>
      <c r="T114" s="665"/>
      <c r="U114" s="666"/>
      <c r="V114" s="317"/>
      <c r="W114" s="539"/>
      <c r="X114" s="240" t="str">
        <f t="shared" si="52"/>
        <v/>
      </c>
      <c r="Y114" s="48"/>
      <c r="Z114" s="48"/>
      <c r="AA114" s="48"/>
      <c r="AB114" s="48"/>
      <c r="AC114" s="48"/>
      <c r="AD114" s="48"/>
      <c r="AE114" s="48"/>
      <c r="AF114" s="48"/>
      <c r="AG114" s="48"/>
      <c r="AH114" s="48"/>
      <c r="AI114" s="48"/>
      <c r="AJ114" s="48"/>
      <c r="AK114" s="48"/>
      <c r="AL114" s="48"/>
      <c r="AM114" s="48"/>
      <c r="AN114" s="48"/>
      <c r="AO114" s="48"/>
      <c r="AP114" s="48"/>
      <c r="AQ114" s="48"/>
      <c r="AR114" s="48"/>
      <c r="AS114" s="48"/>
      <c r="AT114" s="48"/>
      <c r="AU114" s="48"/>
      <c r="AV114" s="48"/>
      <c r="AW114" s="48"/>
      <c r="AX114" s="48"/>
      <c r="AY114" s="48"/>
      <c r="CA114" s="511" t="str">
        <f t="shared" si="53"/>
        <v/>
      </c>
      <c r="CB114" s="511" t="str">
        <f t="shared" si="54"/>
        <v/>
      </c>
      <c r="CC114" s="510"/>
      <c r="CD114" s="510"/>
      <c r="CE114" s="512"/>
      <c r="CF114" s="512"/>
      <c r="CG114" s="512"/>
      <c r="CH114" s="512"/>
      <c r="CI114" s="512"/>
      <c r="CK114" s="513">
        <f t="shared" si="55"/>
        <v>0</v>
      </c>
      <c r="CL114" s="513">
        <f t="shared" si="56"/>
        <v>0</v>
      </c>
    </row>
    <row r="115" spans="1:90" ht="15" customHeight="1">
      <c r="A115" s="5874" t="s">
        <v>338</v>
      </c>
      <c r="B115" s="667" t="s">
        <v>339</v>
      </c>
      <c r="C115" s="668">
        <f t="shared" si="50"/>
        <v>0</v>
      </c>
      <c r="D115" s="669">
        <f t="shared" ref="D115:E117" si="57">SUM(F115+H115+J115+L115+N115+P115+R115+T115)</f>
        <v>0</v>
      </c>
      <c r="E115" s="488">
        <f t="shared" si="57"/>
        <v>0</v>
      </c>
      <c r="F115" s="95"/>
      <c r="G115" s="295"/>
      <c r="H115" s="95"/>
      <c r="I115" s="204"/>
      <c r="J115" s="95"/>
      <c r="K115" s="237"/>
      <c r="L115" s="95"/>
      <c r="M115" s="237"/>
      <c r="N115" s="95"/>
      <c r="O115" s="204"/>
      <c r="P115" s="95"/>
      <c r="Q115" s="204"/>
      <c r="R115" s="95"/>
      <c r="S115" s="204"/>
      <c r="T115" s="95"/>
      <c r="U115" s="170"/>
      <c r="V115" s="294"/>
      <c r="W115" s="93"/>
      <c r="X115" s="240" t="str">
        <f t="shared" si="52"/>
        <v/>
      </c>
      <c r="Y115" s="48"/>
      <c r="Z115" s="48"/>
      <c r="AA115" s="48"/>
      <c r="AB115" s="48"/>
      <c r="AC115" s="48"/>
      <c r="AD115" s="48"/>
      <c r="AE115" s="48"/>
      <c r="AF115" s="48"/>
      <c r="AG115" s="48"/>
      <c r="AH115" s="48"/>
      <c r="AI115" s="48"/>
      <c r="AJ115" s="48"/>
      <c r="AK115" s="48"/>
      <c r="AL115" s="48"/>
      <c r="AM115" s="48"/>
      <c r="AN115" s="48"/>
      <c r="AO115" s="48"/>
      <c r="AP115" s="48"/>
      <c r="AQ115" s="48"/>
      <c r="AR115" s="48"/>
      <c r="AS115" s="48"/>
      <c r="AT115" s="48"/>
      <c r="AU115" s="48"/>
      <c r="AV115" s="48"/>
      <c r="AW115" s="48"/>
      <c r="AX115" s="48"/>
      <c r="AY115" s="48"/>
      <c r="CA115" s="511" t="str">
        <f t="shared" si="53"/>
        <v/>
      </c>
      <c r="CB115" s="511" t="str">
        <f t="shared" si="54"/>
        <v/>
      </c>
      <c r="CC115" s="510"/>
      <c r="CD115" s="510"/>
      <c r="CE115" s="512"/>
      <c r="CF115" s="512"/>
      <c r="CG115" s="512"/>
      <c r="CH115" s="512"/>
      <c r="CI115" s="512"/>
      <c r="CK115" s="513">
        <f t="shared" si="55"/>
        <v>0</v>
      </c>
      <c r="CL115" s="513">
        <f t="shared" si="56"/>
        <v>0</v>
      </c>
    </row>
    <row r="116" spans="1:90" ht="19.5" customHeight="1">
      <c r="A116" s="5875"/>
      <c r="B116" s="670" t="s">
        <v>340</v>
      </c>
      <c r="C116" s="671">
        <f t="shared" si="50"/>
        <v>0</v>
      </c>
      <c r="D116" s="672">
        <f t="shared" si="57"/>
        <v>0</v>
      </c>
      <c r="E116" s="673">
        <f t="shared" si="57"/>
        <v>0</v>
      </c>
      <c r="F116" s="534"/>
      <c r="G116" s="659"/>
      <c r="H116" s="534"/>
      <c r="I116" s="634"/>
      <c r="J116" s="534"/>
      <c r="K116" s="535"/>
      <c r="L116" s="534"/>
      <c r="M116" s="535"/>
      <c r="N116" s="534"/>
      <c r="O116" s="634"/>
      <c r="P116" s="534"/>
      <c r="Q116" s="634"/>
      <c r="R116" s="534"/>
      <c r="S116" s="634"/>
      <c r="T116" s="534"/>
      <c r="U116" s="214"/>
      <c r="V116" s="674"/>
      <c r="W116" s="283"/>
      <c r="X116" s="240" t="str">
        <f t="shared" si="52"/>
        <v/>
      </c>
      <c r="Y116" s="48"/>
      <c r="Z116" s="48"/>
      <c r="AA116" s="48"/>
      <c r="AB116" s="48"/>
      <c r="AC116" s="48"/>
      <c r="AD116" s="48"/>
      <c r="AE116" s="48"/>
      <c r="AF116" s="48"/>
      <c r="AG116" s="48"/>
      <c r="AH116" s="48"/>
      <c r="AI116" s="48"/>
      <c r="AJ116" s="48"/>
      <c r="AK116" s="48"/>
      <c r="AL116" s="48"/>
      <c r="AM116" s="48"/>
      <c r="AN116" s="48"/>
      <c r="AO116" s="48"/>
      <c r="AP116" s="48"/>
      <c r="AQ116" s="48"/>
      <c r="AR116" s="48"/>
      <c r="AS116" s="48"/>
      <c r="AT116" s="48"/>
      <c r="AU116" s="48"/>
      <c r="AV116" s="48"/>
      <c r="AW116" s="48"/>
      <c r="AX116" s="48"/>
      <c r="AY116" s="48"/>
      <c r="CA116" s="511" t="str">
        <f t="shared" si="53"/>
        <v/>
      </c>
      <c r="CB116" s="511" t="str">
        <f t="shared" si="54"/>
        <v/>
      </c>
      <c r="CC116" s="510"/>
      <c r="CD116" s="510"/>
      <c r="CE116" s="512"/>
      <c r="CF116" s="512"/>
      <c r="CG116" s="512"/>
      <c r="CH116" s="512"/>
      <c r="CI116" s="512"/>
      <c r="CK116" s="513">
        <f t="shared" si="55"/>
        <v>0</v>
      </c>
      <c r="CL116" s="513">
        <f t="shared" si="56"/>
        <v>0</v>
      </c>
    </row>
    <row r="117" spans="1:90" ht="21">
      <c r="A117" s="5876"/>
      <c r="B117" s="675" t="s">
        <v>341</v>
      </c>
      <c r="C117" s="676">
        <f t="shared" si="50"/>
        <v>0</v>
      </c>
      <c r="D117" s="677">
        <f t="shared" si="57"/>
        <v>0</v>
      </c>
      <c r="E117" s="678">
        <f t="shared" si="57"/>
        <v>0</v>
      </c>
      <c r="F117" s="679"/>
      <c r="G117" s="680"/>
      <c r="H117" s="679"/>
      <c r="I117" s="681"/>
      <c r="J117" s="679"/>
      <c r="K117" s="682"/>
      <c r="L117" s="679"/>
      <c r="M117" s="682"/>
      <c r="N117" s="679"/>
      <c r="O117" s="681"/>
      <c r="P117" s="679"/>
      <c r="Q117" s="681"/>
      <c r="R117" s="679"/>
      <c r="S117" s="681"/>
      <c r="T117" s="679"/>
      <c r="U117" s="680"/>
      <c r="V117" s="683"/>
      <c r="W117" s="120"/>
      <c r="X117" s="240" t="str">
        <f t="shared" si="52"/>
        <v/>
      </c>
      <c r="Y117" s="48"/>
      <c r="Z117" s="48"/>
      <c r="AA117" s="48"/>
      <c r="AB117" s="48"/>
      <c r="AC117" s="48"/>
      <c r="AD117" s="48"/>
      <c r="AE117" s="48"/>
      <c r="AF117" s="48"/>
      <c r="AG117" s="48"/>
      <c r="AH117" s="48"/>
      <c r="AI117" s="48"/>
      <c r="AJ117" s="48"/>
      <c r="AK117" s="48"/>
      <c r="AL117" s="48"/>
      <c r="AM117" s="48"/>
      <c r="AN117" s="48"/>
      <c r="AO117" s="48"/>
      <c r="AP117" s="48"/>
      <c r="AQ117" s="48"/>
      <c r="AR117" s="48"/>
      <c r="AS117" s="48"/>
      <c r="AT117" s="48"/>
      <c r="AU117" s="48"/>
      <c r="AV117" s="48"/>
      <c r="AW117" s="48"/>
      <c r="AX117" s="48"/>
      <c r="AY117" s="48"/>
      <c r="CA117" s="511" t="str">
        <f t="shared" si="53"/>
        <v/>
      </c>
      <c r="CB117" s="511" t="str">
        <f t="shared" si="54"/>
        <v/>
      </c>
      <c r="CC117" s="510"/>
      <c r="CD117" s="510"/>
      <c r="CE117" s="512"/>
      <c r="CF117" s="512"/>
      <c r="CG117" s="512"/>
      <c r="CH117" s="512"/>
      <c r="CI117" s="512"/>
      <c r="CK117" s="513">
        <f t="shared" si="55"/>
        <v>0</v>
      </c>
      <c r="CL117" s="513">
        <f t="shared" si="56"/>
        <v>0</v>
      </c>
    </row>
    <row r="118" spans="1:90" ht="18" customHeight="1">
      <c r="A118" s="470" t="s">
        <v>342</v>
      </c>
      <c r="B118" s="684"/>
      <c r="C118" s="684"/>
      <c r="D118" s="684"/>
      <c r="E118" s="684"/>
      <c r="F118" s="685"/>
      <c r="G118" s="685"/>
      <c r="H118" s="685"/>
      <c r="I118" s="686"/>
      <c r="J118" s="687"/>
      <c r="K118" s="687"/>
      <c r="L118" s="688"/>
      <c r="M118" s="689"/>
      <c r="N118" s="690"/>
      <c r="O118" s="685"/>
      <c r="P118" s="690"/>
      <c r="Q118" s="691"/>
      <c r="R118" s="692"/>
      <c r="S118" s="692"/>
      <c r="T118" s="690"/>
      <c r="U118" s="690"/>
      <c r="V118" s="690"/>
      <c r="W118" s="685"/>
      <c r="X118" s="690"/>
      <c r="Y118" s="685"/>
      <c r="Z118" s="693"/>
      <c r="AA118" s="694"/>
      <c r="AB118" s="48"/>
      <c r="AC118" s="48"/>
      <c r="AD118" s="48"/>
      <c r="AE118" s="48"/>
      <c r="AF118" s="48"/>
      <c r="AG118" s="48"/>
      <c r="AH118" s="48"/>
      <c r="AI118" s="48"/>
      <c r="AJ118" s="48"/>
      <c r="AK118" s="48"/>
      <c r="AL118" s="48"/>
      <c r="AM118" s="48"/>
      <c r="AN118" s="48"/>
      <c r="AO118" s="48"/>
      <c r="AP118" s="48"/>
      <c r="AQ118" s="48"/>
      <c r="AR118" s="48"/>
      <c r="AS118" s="48"/>
      <c r="AT118" s="48"/>
      <c r="AU118" s="48"/>
      <c r="AV118" s="48"/>
      <c r="AW118" s="48"/>
      <c r="AX118" s="48"/>
      <c r="AY118" s="48"/>
    </row>
    <row r="119" spans="1:90" ht="15" customHeight="1">
      <c r="A119" s="5671" t="s">
        <v>236</v>
      </c>
      <c r="B119" s="5671" t="s">
        <v>237</v>
      </c>
      <c r="C119" s="5643" t="s">
        <v>238</v>
      </c>
      <c r="D119" s="5644"/>
      <c r="E119" s="5645"/>
      <c r="F119" s="5647" t="s">
        <v>115</v>
      </c>
      <c r="G119" s="5649"/>
      <c r="H119" s="5649"/>
      <c r="I119" s="5649"/>
      <c r="J119" s="5649"/>
      <c r="K119" s="5649"/>
      <c r="L119" s="5649"/>
      <c r="M119" s="5649"/>
      <c r="N119" s="5649"/>
      <c r="O119" s="5649"/>
      <c r="P119" s="5649"/>
      <c r="Q119" s="5649"/>
      <c r="R119" s="5649"/>
      <c r="S119" s="5649"/>
      <c r="T119" s="5776"/>
      <c r="U119" s="5776"/>
      <c r="V119" s="5649"/>
      <c r="W119" s="5649"/>
      <c r="X119" s="5649"/>
      <c r="Y119" s="5649"/>
      <c r="Z119" s="5649"/>
      <c r="AA119" s="5686"/>
      <c r="AB119" s="5720" t="s">
        <v>343</v>
      </c>
      <c r="AC119" s="5723" t="s">
        <v>51</v>
      </c>
      <c r="AD119" s="48"/>
      <c r="AE119" s="48"/>
      <c r="AF119" s="48"/>
      <c r="AG119" s="48"/>
      <c r="AH119" s="48"/>
      <c r="AI119" s="48"/>
      <c r="AJ119" s="48"/>
      <c r="AK119" s="48"/>
      <c r="AL119" s="48"/>
      <c r="AM119" s="48"/>
      <c r="AN119" s="48"/>
      <c r="AO119" s="48"/>
      <c r="AP119" s="48"/>
      <c r="AQ119" s="48"/>
      <c r="AR119" s="48"/>
      <c r="AS119" s="48"/>
      <c r="AT119" s="48"/>
      <c r="AU119" s="48"/>
      <c r="AV119" s="48"/>
      <c r="AW119" s="48"/>
      <c r="AX119" s="48"/>
      <c r="AY119" s="48"/>
    </row>
    <row r="120" spans="1:90" ht="15" customHeight="1">
      <c r="A120" s="5671"/>
      <c r="B120" s="5671"/>
      <c r="C120" s="5659"/>
      <c r="D120" s="5731"/>
      <c r="E120" s="5625"/>
      <c r="F120" s="5615" t="s">
        <v>344</v>
      </c>
      <c r="G120" s="5652"/>
      <c r="H120" s="5615" t="s">
        <v>345</v>
      </c>
      <c r="I120" s="5652"/>
      <c r="J120" s="5615" t="s">
        <v>346</v>
      </c>
      <c r="K120" s="5652"/>
      <c r="L120" s="5616" t="s">
        <v>347</v>
      </c>
      <c r="M120" s="5652"/>
      <c r="N120" s="5615" t="s">
        <v>108</v>
      </c>
      <c r="O120" s="5652"/>
      <c r="P120" s="5615" t="s">
        <v>58</v>
      </c>
      <c r="Q120" s="5652"/>
      <c r="R120" s="5615" t="s">
        <v>59</v>
      </c>
      <c r="S120" s="5652"/>
      <c r="T120" s="5615" t="s">
        <v>348</v>
      </c>
      <c r="U120" s="5652"/>
      <c r="V120" s="5615" t="s">
        <v>68</v>
      </c>
      <c r="W120" s="5652"/>
      <c r="X120" s="5615" t="s">
        <v>349</v>
      </c>
      <c r="Y120" s="5652"/>
      <c r="Z120" s="5774" t="s">
        <v>71</v>
      </c>
      <c r="AA120" s="5775"/>
      <c r="AB120" s="5721"/>
      <c r="AC120" s="5724"/>
      <c r="AD120" s="48"/>
      <c r="AE120" s="48"/>
      <c r="AF120" s="48"/>
      <c r="AG120" s="48"/>
      <c r="AH120" s="48"/>
      <c r="AI120" s="48"/>
      <c r="AJ120" s="48"/>
      <c r="AK120" s="48"/>
      <c r="AL120" s="48"/>
      <c r="AM120" s="48"/>
      <c r="AN120" s="48"/>
      <c r="AO120" s="48"/>
      <c r="AP120" s="48"/>
      <c r="AQ120" s="48"/>
      <c r="AR120" s="48"/>
      <c r="AS120" s="48"/>
      <c r="AT120" s="48"/>
      <c r="AU120" s="48"/>
      <c r="AV120" s="48"/>
      <c r="AW120" s="48"/>
      <c r="AX120" s="48"/>
      <c r="AY120" s="48"/>
    </row>
    <row r="121" spans="1:90" ht="15" customHeight="1">
      <c r="A121" s="5614"/>
      <c r="B121" s="5614"/>
      <c r="C121" s="230" t="s">
        <v>93</v>
      </c>
      <c r="D121" s="196" t="s">
        <v>72</v>
      </c>
      <c r="E121" s="232" t="s">
        <v>73</v>
      </c>
      <c r="F121" s="75" t="s">
        <v>72</v>
      </c>
      <c r="G121" s="74" t="s">
        <v>73</v>
      </c>
      <c r="H121" s="75" t="s">
        <v>72</v>
      </c>
      <c r="I121" s="74" t="s">
        <v>73</v>
      </c>
      <c r="J121" s="75" t="s">
        <v>72</v>
      </c>
      <c r="K121" s="74" t="s">
        <v>73</v>
      </c>
      <c r="L121" s="196" t="s">
        <v>72</v>
      </c>
      <c r="M121" s="74" t="s">
        <v>73</v>
      </c>
      <c r="N121" s="75" t="s">
        <v>72</v>
      </c>
      <c r="O121" s="74" t="s">
        <v>73</v>
      </c>
      <c r="P121" s="75" t="s">
        <v>72</v>
      </c>
      <c r="Q121" s="74" t="s">
        <v>73</v>
      </c>
      <c r="R121" s="75" t="s">
        <v>72</v>
      </c>
      <c r="S121" s="230" t="s">
        <v>73</v>
      </c>
      <c r="T121" s="75" t="s">
        <v>72</v>
      </c>
      <c r="U121" s="74" t="s">
        <v>73</v>
      </c>
      <c r="V121" s="75" t="s">
        <v>72</v>
      </c>
      <c r="W121" s="74" t="s">
        <v>73</v>
      </c>
      <c r="X121" s="75" t="s">
        <v>72</v>
      </c>
      <c r="Y121" s="74" t="s">
        <v>73</v>
      </c>
      <c r="Z121" s="66" t="s">
        <v>72</v>
      </c>
      <c r="AA121" s="696" t="s">
        <v>73</v>
      </c>
      <c r="AB121" s="5722"/>
      <c r="AC121" s="5725"/>
      <c r="AD121" s="48"/>
      <c r="AE121" s="48"/>
      <c r="AF121" s="48"/>
      <c r="AG121" s="48"/>
      <c r="AH121" s="48"/>
      <c r="AI121" s="48"/>
      <c r="AJ121" s="48"/>
      <c r="AK121" s="48"/>
      <c r="AL121" s="48"/>
      <c r="AM121" s="48"/>
      <c r="AN121" s="48"/>
      <c r="AO121" s="48"/>
      <c r="AP121" s="48"/>
      <c r="AQ121" s="48"/>
      <c r="AR121" s="48"/>
      <c r="AS121" s="48"/>
      <c r="AT121" s="48"/>
      <c r="AU121" s="48"/>
      <c r="AV121" s="48"/>
      <c r="AW121" s="48"/>
      <c r="AX121" s="48"/>
      <c r="AY121" s="48"/>
    </row>
    <row r="122" spans="1:90" ht="15" customHeight="1">
      <c r="A122" s="5660" t="s">
        <v>350</v>
      </c>
      <c r="B122" s="277" t="s">
        <v>351</v>
      </c>
      <c r="C122" s="78">
        <f t="shared" si="50"/>
        <v>0</v>
      </c>
      <c r="D122" s="627">
        <f t="shared" ref="D122:E151" si="58">SUM(F122+H122+J122+L122+N122+P122+R122+T122+V122+X122+Z122)</f>
        <v>0</v>
      </c>
      <c r="E122" s="697">
        <f>SUM(G122+I122+K122+M122+O122+Q122+S122+U122+W122+Y122+AA122)</f>
        <v>0</v>
      </c>
      <c r="F122" s="95"/>
      <c r="G122" s="204"/>
      <c r="H122" s="95"/>
      <c r="I122" s="237"/>
      <c r="J122" s="95"/>
      <c r="K122" s="237"/>
      <c r="L122" s="295"/>
      <c r="M122" s="237"/>
      <c r="N122" s="95"/>
      <c r="O122" s="237"/>
      <c r="P122" s="95"/>
      <c r="Q122" s="237"/>
      <c r="R122" s="95"/>
      <c r="S122" s="237"/>
      <c r="T122" s="95"/>
      <c r="U122" s="237"/>
      <c r="V122" s="527"/>
      <c r="W122" s="237"/>
      <c r="X122" s="527"/>
      <c r="Y122" s="237"/>
      <c r="Z122" s="295"/>
      <c r="AA122" s="170"/>
      <c r="AB122" s="295"/>
      <c r="AC122" s="93"/>
      <c r="AD122" s="240" t="str">
        <f t="shared" ref="AD122:AD157" si="59">CA122&amp;CB122</f>
        <v/>
      </c>
      <c r="AE122" s="48"/>
      <c r="AF122" s="48"/>
      <c r="AG122" s="48"/>
      <c r="AH122" s="48"/>
      <c r="AI122" s="48"/>
      <c r="AJ122" s="48"/>
      <c r="AK122" s="48"/>
      <c r="AL122" s="48"/>
      <c r="AM122" s="48"/>
      <c r="AN122" s="48"/>
      <c r="AO122" s="48"/>
      <c r="AP122" s="48"/>
      <c r="AQ122" s="48"/>
      <c r="AR122" s="48"/>
      <c r="AS122" s="48"/>
      <c r="AT122" s="48"/>
      <c r="AU122" s="48"/>
      <c r="AV122" s="48"/>
      <c r="AW122" s="48"/>
      <c r="AX122" s="48"/>
      <c r="AY122" s="48"/>
      <c r="CA122" s="511" t="str">
        <f t="shared" ref="CA122:CA157" si="60">IF(AND($C122&lt;&gt;0,AB122=""),"* No olvide ingresar la variable "&amp;AB$119&amp;""&amp;". Digite CERO si no tiene. ",IF(AB122&gt;$C122,"* La variable Pueblos Originarios no debe ser mayor al Total Ambos Sexos. ",""))</f>
        <v/>
      </c>
      <c r="CB122" s="511" t="str">
        <f t="shared" ref="CB122:CB157" si="61">IF(AND($C122&lt;&gt;0,AC122=""),"* No olvide ingresar la variable "&amp;AC$119&amp;""&amp;". Digite CERO si no tiene. ",IF(AC122&gt;$C122,"* La variable Migrantes no debe ser mayor al Total Ambos Sexos. ",""))</f>
        <v/>
      </c>
      <c r="CK122" s="698">
        <f t="shared" ref="CK122:CK157" si="62">IF(AND($C122&lt;&gt;0,AB122=""),1,IF(AB122&gt;$C122,1,0))</f>
        <v>0</v>
      </c>
      <c r="CL122" s="698">
        <f t="shared" ref="CL122:CL157" si="63">IF(AND($C122&lt;&gt;0,AC122=""),1,IF(AC122&gt;$C122,1,0))</f>
        <v>0</v>
      </c>
    </row>
    <row r="123" spans="1:90" ht="15" customHeight="1">
      <c r="A123" s="5780"/>
      <c r="B123" s="522" t="s">
        <v>352</v>
      </c>
      <c r="C123" s="612">
        <f t="shared" si="50"/>
        <v>0</v>
      </c>
      <c r="D123" s="629">
        <f t="shared" si="58"/>
        <v>0</v>
      </c>
      <c r="E123" s="699">
        <f t="shared" si="58"/>
        <v>0</v>
      </c>
      <c r="F123" s="207"/>
      <c r="G123" s="279"/>
      <c r="H123" s="207"/>
      <c r="I123" s="247"/>
      <c r="J123" s="207"/>
      <c r="K123" s="247"/>
      <c r="L123" s="298"/>
      <c r="M123" s="247"/>
      <c r="N123" s="207"/>
      <c r="O123" s="247"/>
      <c r="P123" s="207"/>
      <c r="Q123" s="247"/>
      <c r="R123" s="207"/>
      <c r="S123" s="247"/>
      <c r="T123" s="207"/>
      <c r="U123" s="247"/>
      <c r="V123" s="521"/>
      <c r="W123" s="247"/>
      <c r="X123" s="521"/>
      <c r="Y123" s="247"/>
      <c r="Z123" s="298"/>
      <c r="AA123" s="214"/>
      <c r="AB123" s="298"/>
      <c r="AC123" s="283"/>
      <c r="AD123" s="240" t="str">
        <f t="shared" si="59"/>
        <v/>
      </c>
      <c r="AE123" s="48"/>
      <c r="AF123" s="48"/>
      <c r="AG123" s="48"/>
      <c r="AH123" s="48"/>
      <c r="AI123" s="48"/>
      <c r="AJ123" s="48"/>
      <c r="AK123" s="48"/>
      <c r="AL123" s="48"/>
      <c r="AM123" s="48"/>
      <c r="AN123" s="48"/>
      <c r="AO123" s="48"/>
      <c r="AP123" s="48"/>
      <c r="AQ123" s="48"/>
      <c r="AR123" s="48"/>
      <c r="AS123" s="48"/>
      <c r="AT123" s="48"/>
      <c r="AU123" s="48"/>
      <c r="AV123" s="48"/>
      <c r="AW123" s="48"/>
      <c r="AX123" s="48"/>
      <c r="AY123" s="48"/>
      <c r="CA123" s="511" t="str">
        <f t="shared" si="60"/>
        <v/>
      </c>
      <c r="CB123" s="511" t="str">
        <f t="shared" si="61"/>
        <v/>
      </c>
      <c r="CK123" s="698">
        <f t="shared" si="62"/>
        <v>0</v>
      </c>
      <c r="CL123" s="698">
        <f t="shared" si="63"/>
        <v>0</v>
      </c>
    </row>
    <row r="124" spans="1:90" ht="15" customHeight="1">
      <c r="A124" s="5780"/>
      <c r="B124" s="284" t="s">
        <v>353</v>
      </c>
      <c r="C124" s="612">
        <f t="shared" si="50"/>
        <v>0</v>
      </c>
      <c r="D124" s="629">
        <f t="shared" si="58"/>
        <v>0</v>
      </c>
      <c r="E124" s="699">
        <f t="shared" si="58"/>
        <v>0</v>
      </c>
      <c r="F124" s="207"/>
      <c r="G124" s="279"/>
      <c r="H124" s="207"/>
      <c r="I124" s="247"/>
      <c r="J124" s="207"/>
      <c r="K124" s="247"/>
      <c r="L124" s="298"/>
      <c r="M124" s="247"/>
      <c r="N124" s="207"/>
      <c r="O124" s="247"/>
      <c r="P124" s="207"/>
      <c r="Q124" s="247"/>
      <c r="R124" s="207"/>
      <c r="S124" s="247"/>
      <c r="T124" s="207"/>
      <c r="U124" s="247"/>
      <c r="V124" s="521"/>
      <c r="W124" s="247"/>
      <c r="X124" s="521"/>
      <c r="Y124" s="247"/>
      <c r="Z124" s="298"/>
      <c r="AA124" s="214"/>
      <c r="AB124" s="298"/>
      <c r="AC124" s="283"/>
      <c r="AD124" s="240" t="str">
        <f t="shared" si="59"/>
        <v/>
      </c>
      <c r="AE124" s="48"/>
      <c r="AF124" s="48"/>
      <c r="AG124" s="48"/>
      <c r="AH124" s="48"/>
      <c r="AI124" s="48"/>
      <c r="AJ124" s="48"/>
      <c r="AK124" s="48"/>
      <c r="AL124" s="48"/>
      <c r="AM124" s="48"/>
      <c r="AN124" s="48"/>
      <c r="AO124" s="48"/>
      <c r="AP124" s="48"/>
      <c r="AQ124" s="48"/>
      <c r="AR124" s="48"/>
      <c r="AS124" s="48"/>
      <c r="AT124" s="48"/>
      <c r="AU124" s="48"/>
      <c r="AV124" s="48"/>
      <c r="AW124" s="48"/>
      <c r="AX124" s="48"/>
      <c r="AY124" s="48"/>
      <c r="CA124" s="511" t="str">
        <f t="shared" si="60"/>
        <v/>
      </c>
      <c r="CB124" s="511" t="str">
        <f t="shared" si="61"/>
        <v/>
      </c>
      <c r="CK124" s="698">
        <f t="shared" si="62"/>
        <v>0</v>
      </c>
      <c r="CL124" s="698">
        <f t="shared" si="63"/>
        <v>0</v>
      </c>
    </row>
    <row r="125" spans="1:90" ht="15" customHeight="1">
      <c r="A125" s="5661"/>
      <c r="B125" s="284" t="s">
        <v>354</v>
      </c>
      <c r="C125" s="206">
        <f t="shared" si="50"/>
        <v>0</v>
      </c>
      <c r="D125" s="700">
        <f t="shared" si="58"/>
        <v>0</v>
      </c>
      <c r="E125" s="701">
        <f t="shared" si="58"/>
        <v>0</v>
      </c>
      <c r="F125" s="207"/>
      <c r="G125" s="279"/>
      <c r="H125" s="207"/>
      <c r="I125" s="247"/>
      <c r="J125" s="207"/>
      <c r="K125" s="247"/>
      <c r="L125" s="298"/>
      <c r="M125" s="247"/>
      <c r="N125" s="207"/>
      <c r="O125" s="247"/>
      <c r="P125" s="207"/>
      <c r="Q125" s="247"/>
      <c r="R125" s="207"/>
      <c r="S125" s="247"/>
      <c r="T125" s="207"/>
      <c r="U125" s="247"/>
      <c r="V125" s="521"/>
      <c r="W125" s="247"/>
      <c r="X125" s="521"/>
      <c r="Y125" s="247"/>
      <c r="Z125" s="298"/>
      <c r="AA125" s="214"/>
      <c r="AB125" s="298"/>
      <c r="AC125" s="283"/>
      <c r="AD125" s="240" t="str">
        <f t="shared" si="59"/>
        <v/>
      </c>
      <c r="AE125" s="48"/>
      <c r="AF125" s="48"/>
      <c r="AG125" s="48"/>
      <c r="AH125" s="48"/>
      <c r="AI125" s="48"/>
      <c r="AJ125" s="48"/>
      <c r="AK125" s="48"/>
      <c r="AL125" s="48"/>
      <c r="AM125" s="48"/>
      <c r="AN125" s="48"/>
      <c r="AO125" s="48"/>
      <c r="AP125" s="48"/>
      <c r="AQ125" s="48"/>
      <c r="AR125" s="48"/>
      <c r="AS125" s="48"/>
      <c r="AT125" s="48"/>
      <c r="AU125" s="48"/>
      <c r="AV125" s="48"/>
      <c r="AW125" s="48"/>
      <c r="AX125" s="48"/>
      <c r="AY125" s="48"/>
      <c r="CA125" s="511" t="str">
        <f t="shared" si="60"/>
        <v/>
      </c>
      <c r="CB125" s="511" t="str">
        <f t="shared" si="61"/>
        <v/>
      </c>
      <c r="CK125" s="698">
        <f t="shared" si="62"/>
        <v>0</v>
      </c>
      <c r="CL125" s="698">
        <f t="shared" si="63"/>
        <v>0</v>
      </c>
    </row>
    <row r="126" spans="1:90" ht="15" customHeight="1">
      <c r="A126" s="5781"/>
      <c r="B126" s="490" t="s">
        <v>355</v>
      </c>
      <c r="C126" s="106">
        <f t="shared" si="50"/>
        <v>0</v>
      </c>
      <c r="D126" s="636">
        <f t="shared" si="58"/>
        <v>0</v>
      </c>
      <c r="E126" s="702">
        <f t="shared" si="58"/>
        <v>0</v>
      </c>
      <c r="F126" s="122"/>
      <c r="G126" s="121"/>
      <c r="H126" s="122"/>
      <c r="I126" s="254"/>
      <c r="J126" s="122"/>
      <c r="K126" s="254"/>
      <c r="L126" s="119"/>
      <c r="M126" s="254"/>
      <c r="N126" s="122"/>
      <c r="O126" s="254"/>
      <c r="P126" s="122"/>
      <c r="Q126" s="254"/>
      <c r="R126" s="122"/>
      <c r="S126" s="254"/>
      <c r="T126" s="122"/>
      <c r="U126" s="254"/>
      <c r="V126" s="270"/>
      <c r="W126" s="254"/>
      <c r="X126" s="270"/>
      <c r="Y126" s="254"/>
      <c r="Z126" s="119"/>
      <c r="AA126" s="186"/>
      <c r="AB126" s="119"/>
      <c r="AC126" s="120"/>
      <c r="AD126" s="240" t="str">
        <f t="shared" si="59"/>
        <v/>
      </c>
      <c r="AE126" s="48"/>
      <c r="AF126" s="48"/>
      <c r="AG126" s="48"/>
      <c r="AH126" s="48"/>
      <c r="AI126" s="48"/>
      <c r="AJ126" s="48"/>
      <c r="AK126" s="48"/>
      <c r="AL126" s="48"/>
      <c r="AM126" s="48"/>
      <c r="AN126" s="48"/>
      <c r="AO126" s="48"/>
      <c r="AP126" s="48"/>
      <c r="AQ126" s="48"/>
      <c r="AR126" s="48"/>
      <c r="AS126" s="48"/>
      <c r="AT126" s="48"/>
      <c r="AU126" s="48"/>
      <c r="AV126" s="48"/>
      <c r="AW126" s="48"/>
      <c r="AX126" s="48"/>
      <c r="AY126" s="48"/>
      <c r="CA126" s="511" t="str">
        <f t="shared" si="60"/>
        <v/>
      </c>
      <c r="CB126" s="511" t="str">
        <f t="shared" si="61"/>
        <v/>
      </c>
      <c r="CK126" s="698">
        <f t="shared" si="62"/>
        <v>0</v>
      </c>
      <c r="CL126" s="698">
        <f t="shared" si="63"/>
        <v>0</v>
      </c>
    </row>
    <row r="127" spans="1:90" ht="15" customHeight="1">
      <c r="A127" s="5660" t="s">
        <v>356</v>
      </c>
      <c r="B127" s="277" t="s">
        <v>351</v>
      </c>
      <c r="C127" s="78">
        <f t="shared" si="50"/>
        <v>0</v>
      </c>
      <c r="D127" s="627">
        <f t="shared" si="58"/>
        <v>0</v>
      </c>
      <c r="E127" s="697">
        <f t="shared" si="58"/>
        <v>0</v>
      </c>
      <c r="F127" s="95"/>
      <c r="G127" s="204"/>
      <c r="H127" s="95"/>
      <c r="I127" s="237"/>
      <c r="J127" s="95"/>
      <c r="K127" s="237"/>
      <c r="L127" s="295"/>
      <c r="M127" s="237"/>
      <c r="N127" s="95"/>
      <c r="O127" s="237"/>
      <c r="P127" s="95"/>
      <c r="Q127" s="237"/>
      <c r="R127" s="95"/>
      <c r="S127" s="237"/>
      <c r="T127" s="95"/>
      <c r="U127" s="237"/>
      <c r="V127" s="527"/>
      <c r="W127" s="237"/>
      <c r="X127" s="527"/>
      <c r="Y127" s="237"/>
      <c r="Z127" s="295"/>
      <c r="AA127" s="170"/>
      <c r="AB127" s="295"/>
      <c r="AC127" s="93"/>
      <c r="AD127" s="240" t="str">
        <f t="shared" si="59"/>
        <v/>
      </c>
      <c r="AE127" s="48"/>
      <c r="AF127" s="48"/>
      <c r="AG127" s="48"/>
      <c r="AH127" s="48"/>
      <c r="AI127" s="48"/>
      <c r="AJ127" s="48"/>
      <c r="AK127" s="48"/>
      <c r="AL127" s="48"/>
      <c r="AM127" s="48"/>
      <c r="AN127" s="48"/>
      <c r="AO127" s="48"/>
      <c r="AP127" s="48"/>
      <c r="AQ127" s="48"/>
      <c r="AR127" s="48"/>
      <c r="AS127" s="48"/>
      <c r="AT127" s="48"/>
      <c r="AU127" s="48"/>
      <c r="AV127" s="48"/>
      <c r="AW127" s="48"/>
      <c r="AX127" s="48"/>
      <c r="AY127" s="48"/>
      <c r="CA127" s="511" t="str">
        <f t="shared" si="60"/>
        <v/>
      </c>
      <c r="CB127" s="511" t="str">
        <f t="shared" si="61"/>
        <v/>
      </c>
      <c r="CK127" s="698">
        <f t="shared" si="62"/>
        <v>0</v>
      </c>
      <c r="CL127" s="698">
        <f t="shared" si="63"/>
        <v>0</v>
      </c>
    </row>
    <row r="128" spans="1:90" ht="15" customHeight="1">
      <c r="A128" s="5780"/>
      <c r="B128" s="522" t="s">
        <v>352</v>
      </c>
      <c r="C128" s="612">
        <f t="shared" si="50"/>
        <v>0</v>
      </c>
      <c r="D128" s="629">
        <f t="shared" si="58"/>
        <v>0</v>
      </c>
      <c r="E128" s="699">
        <f t="shared" si="58"/>
        <v>0</v>
      </c>
      <c r="F128" s="207"/>
      <c r="G128" s="279"/>
      <c r="H128" s="207"/>
      <c r="I128" s="247"/>
      <c r="J128" s="207"/>
      <c r="K128" s="247"/>
      <c r="L128" s="298"/>
      <c r="M128" s="247"/>
      <c r="N128" s="207"/>
      <c r="O128" s="247"/>
      <c r="P128" s="207"/>
      <c r="Q128" s="247"/>
      <c r="R128" s="207"/>
      <c r="S128" s="247"/>
      <c r="T128" s="207"/>
      <c r="U128" s="247"/>
      <c r="V128" s="521"/>
      <c r="W128" s="247"/>
      <c r="X128" s="521"/>
      <c r="Y128" s="247"/>
      <c r="Z128" s="298"/>
      <c r="AA128" s="214"/>
      <c r="AB128" s="298"/>
      <c r="AC128" s="283"/>
      <c r="AD128" s="240" t="str">
        <f t="shared" si="59"/>
        <v/>
      </c>
      <c r="AE128" s="48"/>
      <c r="AF128" s="48"/>
      <c r="AG128" s="48"/>
      <c r="AH128" s="48"/>
      <c r="AI128" s="48"/>
      <c r="AJ128" s="48"/>
      <c r="AK128" s="48"/>
      <c r="AL128" s="48"/>
      <c r="AM128" s="48"/>
      <c r="AN128" s="48"/>
      <c r="AO128" s="48"/>
      <c r="AP128" s="48"/>
      <c r="AQ128" s="48"/>
      <c r="AR128" s="48"/>
      <c r="AS128" s="48"/>
      <c r="AT128" s="48"/>
      <c r="AU128" s="48"/>
      <c r="AV128" s="48"/>
      <c r="AW128" s="48"/>
      <c r="AX128" s="48"/>
      <c r="AY128" s="48"/>
      <c r="CA128" s="511" t="str">
        <f t="shared" si="60"/>
        <v/>
      </c>
      <c r="CB128" s="511" t="str">
        <f t="shared" si="61"/>
        <v/>
      </c>
      <c r="CK128" s="698">
        <f t="shared" si="62"/>
        <v>0</v>
      </c>
      <c r="CL128" s="698">
        <f t="shared" si="63"/>
        <v>0</v>
      </c>
    </row>
    <row r="129" spans="1:90" ht="15" customHeight="1">
      <c r="A129" s="5780"/>
      <c r="B129" s="284" t="s">
        <v>353</v>
      </c>
      <c r="C129" s="612">
        <f t="shared" si="50"/>
        <v>0</v>
      </c>
      <c r="D129" s="629">
        <f t="shared" si="58"/>
        <v>0</v>
      </c>
      <c r="E129" s="699">
        <f t="shared" si="58"/>
        <v>0</v>
      </c>
      <c r="F129" s="207"/>
      <c r="G129" s="279"/>
      <c r="H129" s="207"/>
      <c r="I129" s="247"/>
      <c r="J129" s="207"/>
      <c r="K129" s="247"/>
      <c r="L129" s="298"/>
      <c r="M129" s="247"/>
      <c r="N129" s="207"/>
      <c r="O129" s="247"/>
      <c r="P129" s="207"/>
      <c r="Q129" s="247"/>
      <c r="R129" s="207"/>
      <c r="S129" s="247"/>
      <c r="T129" s="207"/>
      <c r="U129" s="247"/>
      <c r="V129" s="521"/>
      <c r="W129" s="247"/>
      <c r="X129" s="521"/>
      <c r="Y129" s="247"/>
      <c r="Z129" s="298"/>
      <c r="AA129" s="214"/>
      <c r="AB129" s="298"/>
      <c r="AC129" s="283"/>
      <c r="AD129" s="240" t="str">
        <f t="shared" si="59"/>
        <v/>
      </c>
      <c r="AE129" s="48"/>
      <c r="AF129" s="48"/>
      <c r="AG129" s="48"/>
      <c r="AH129" s="48"/>
      <c r="AI129" s="48"/>
      <c r="AJ129" s="48"/>
      <c r="AK129" s="48"/>
      <c r="AL129" s="48"/>
      <c r="AM129" s="48"/>
      <c r="AN129" s="48"/>
      <c r="AO129" s="48"/>
      <c r="AP129" s="48"/>
      <c r="AQ129" s="48"/>
      <c r="AR129" s="48"/>
      <c r="AS129" s="48"/>
      <c r="AT129" s="48"/>
      <c r="AU129" s="48"/>
      <c r="AV129" s="48"/>
      <c r="AW129" s="48"/>
      <c r="AX129" s="48"/>
      <c r="AY129" s="48"/>
      <c r="CA129" s="511" t="str">
        <f t="shared" si="60"/>
        <v/>
      </c>
      <c r="CB129" s="511" t="str">
        <f t="shared" si="61"/>
        <v/>
      </c>
      <c r="CK129" s="698">
        <f t="shared" si="62"/>
        <v>0</v>
      </c>
      <c r="CL129" s="698">
        <f t="shared" si="63"/>
        <v>0</v>
      </c>
    </row>
    <row r="130" spans="1:90" ht="15" customHeight="1">
      <c r="A130" s="5661"/>
      <c r="B130" s="284" t="s">
        <v>354</v>
      </c>
      <c r="C130" s="206">
        <f t="shared" si="50"/>
        <v>0</v>
      </c>
      <c r="D130" s="700">
        <f t="shared" si="58"/>
        <v>0</v>
      </c>
      <c r="E130" s="701">
        <f t="shared" si="58"/>
        <v>0</v>
      </c>
      <c r="F130" s="207"/>
      <c r="G130" s="279"/>
      <c r="H130" s="207"/>
      <c r="I130" s="247"/>
      <c r="J130" s="207"/>
      <c r="K130" s="247"/>
      <c r="L130" s="298"/>
      <c r="M130" s="247"/>
      <c r="N130" s="207"/>
      <c r="O130" s="247"/>
      <c r="P130" s="207"/>
      <c r="Q130" s="247"/>
      <c r="R130" s="207"/>
      <c r="S130" s="247"/>
      <c r="T130" s="207"/>
      <c r="U130" s="247"/>
      <c r="V130" s="521"/>
      <c r="W130" s="247"/>
      <c r="X130" s="521"/>
      <c r="Y130" s="247"/>
      <c r="Z130" s="298"/>
      <c r="AA130" s="214"/>
      <c r="AB130" s="298"/>
      <c r="AC130" s="283"/>
      <c r="AD130" s="240" t="str">
        <f t="shared" si="59"/>
        <v/>
      </c>
      <c r="AE130" s="48"/>
      <c r="AF130" s="48"/>
      <c r="AG130" s="48"/>
      <c r="AH130" s="48"/>
      <c r="AI130" s="48"/>
      <c r="AJ130" s="48"/>
      <c r="AK130" s="48"/>
      <c r="AL130" s="48"/>
      <c r="AM130" s="48"/>
      <c r="AN130" s="48"/>
      <c r="AO130" s="48"/>
      <c r="AP130" s="48"/>
      <c r="AQ130" s="48"/>
      <c r="AR130" s="48"/>
      <c r="AS130" s="48"/>
      <c r="AT130" s="48"/>
      <c r="AU130" s="48"/>
      <c r="AV130" s="48"/>
      <c r="AW130" s="48"/>
      <c r="AX130" s="48"/>
      <c r="AY130" s="48"/>
      <c r="CA130" s="511" t="str">
        <f t="shared" si="60"/>
        <v/>
      </c>
      <c r="CB130" s="511" t="str">
        <f t="shared" si="61"/>
        <v/>
      </c>
      <c r="CK130" s="698">
        <f t="shared" si="62"/>
        <v>0</v>
      </c>
      <c r="CL130" s="698">
        <f t="shared" si="63"/>
        <v>0</v>
      </c>
    </row>
    <row r="131" spans="1:90" ht="15" customHeight="1">
      <c r="A131" s="5781"/>
      <c r="B131" s="490" t="s">
        <v>355</v>
      </c>
      <c r="C131" s="106">
        <f t="shared" si="50"/>
        <v>0</v>
      </c>
      <c r="D131" s="636">
        <f t="shared" si="58"/>
        <v>0</v>
      </c>
      <c r="E131" s="702">
        <f t="shared" si="58"/>
        <v>0</v>
      </c>
      <c r="F131" s="122"/>
      <c r="G131" s="121"/>
      <c r="H131" s="122"/>
      <c r="I131" s="254"/>
      <c r="J131" s="122"/>
      <c r="K131" s="254"/>
      <c r="L131" s="119"/>
      <c r="M131" s="254"/>
      <c r="N131" s="122"/>
      <c r="O131" s="254"/>
      <c r="P131" s="122"/>
      <c r="Q131" s="254"/>
      <c r="R131" s="122"/>
      <c r="S131" s="254"/>
      <c r="T131" s="122"/>
      <c r="U131" s="254"/>
      <c r="V131" s="270"/>
      <c r="W131" s="254"/>
      <c r="X131" s="270"/>
      <c r="Y131" s="254"/>
      <c r="Z131" s="119"/>
      <c r="AA131" s="186"/>
      <c r="AB131" s="119"/>
      <c r="AC131" s="120"/>
      <c r="AD131" s="240" t="str">
        <f t="shared" si="59"/>
        <v/>
      </c>
      <c r="AE131" s="48"/>
      <c r="AF131" s="48"/>
      <c r="AG131" s="48"/>
      <c r="AH131" s="48"/>
      <c r="AI131" s="48"/>
      <c r="AJ131" s="48"/>
      <c r="AK131" s="48"/>
      <c r="AL131" s="48"/>
      <c r="AM131" s="48"/>
      <c r="AN131" s="48"/>
      <c r="AO131" s="48"/>
      <c r="AP131" s="48"/>
      <c r="AQ131" s="48"/>
      <c r="AR131" s="48"/>
      <c r="AS131" s="48"/>
      <c r="AT131" s="48"/>
      <c r="AU131" s="48"/>
      <c r="AV131" s="48"/>
      <c r="AW131" s="48"/>
      <c r="AX131" s="48"/>
      <c r="AY131" s="48"/>
      <c r="CA131" s="511" t="str">
        <f t="shared" si="60"/>
        <v/>
      </c>
      <c r="CB131" s="511" t="str">
        <f t="shared" si="61"/>
        <v/>
      </c>
      <c r="CK131" s="698">
        <f t="shared" si="62"/>
        <v>0</v>
      </c>
      <c r="CL131" s="698">
        <f t="shared" si="63"/>
        <v>0</v>
      </c>
    </row>
    <row r="132" spans="1:90" ht="15" customHeight="1">
      <c r="A132" s="5619" t="s">
        <v>357</v>
      </c>
      <c r="B132" s="277" t="s">
        <v>351</v>
      </c>
      <c r="C132" s="78">
        <f t="shared" si="50"/>
        <v>0</v>
      </c>
      <c r="D132" s="627">
        <f t="shared" si="58"/>
        <v>0</v>
      </c>
      <c r="E132" s="697">
        <f t="shared" si="58"/>
        <v>0</v>
      </c>
      <c r="F132" s="95"/>
      <c r="G132" s="204"/>
      <c r="H132" s="95"/>
      <c r="I132" s="237"/>
      <c r="J132" s="95"/>
      <c r="K132" s="237"/>
      <c r="L132" s="295"/>
      <c r="M132" s="237"/>
      <c r="N132" s="95"/>
      <c r="O132" s="237"/>
      <c r="P132" s="95"/>
      <c r="Q132" s="237"/>
      <c r="R132" s="95"/>
      <c r="S132" s="237"/>
      <c r="T132" s="95"/>
      <c r="U132" s="237"/>
      <c r="V132" s="527"/>
      <c r="W132" s="237"/>
      <c r="X132" s="527"/>
      <c r="Y132" s="237"/>
      <c r="Z132" s="295"/>
      <c r="AA132" s="170"/>
      <c r="AB132" s="295"/>
      <c r="AC132" s="93"/>
      <c r="AD132" s="240" t="str">
        <f t="shared" si="59"/>
        <v/>
      </c>
      <c r="AE132" s="48"/>
      <c r="AF132" s="48"/>
      <c r="AG132" s="48"/>
      <c r="AH132" s="48"/>
      <c r="AI132" s="48"/>
      <c r="AJ132" s="48"/>
      <c r="AK132" s="48"/>
      <c r="AL132" s="48"/>
      <c r="AM132" s="48"/>
      <c r="AN132" s="48"/>
      <c r="AO132" s="48"/>
      <c r="AP132" s="48"/>
      <c r="AQ132" s="48"/>
      <c r="AR132" s="48"/>
      <c r="AS132" s="48"/>
      <c r="AT132" s="48"/>
      <c r="AU132" s="48"/>
      <c r="AV132" s="48"/>
      <c r="AW132" s="48"/>
      <c r="AX132" s="48"/>
      <c r="AY132" s="48"/>
      <c r="CA132" s="511" t="str">
        <f t="shared" si="60"/>
        <v/>
      </c>
      <c r="CB132" s="511" t="str">
        <f t="shared" si="61"/>
        <v/>
      </c>
      <c r="CK132" s="698">
        <f t="shared" si="62"/>
        <v>0</v>
      </c>
      <c r="CL132" s="698">
        <f t="shared" si="63"/>
        <v>0</v>
      </c>
    </row>
    <row r="133" spans="1:90" ht="15" customHeight="1">
      <c r="A133" s="5618"/>
      <c r="B133" s="522" t="s">
        <v>352</v>
      </c>
      <c r="C133" s="612">
        <f t="shared" si="50"/>
        <v>0</v>
      </c>
      <c r="D133" s="629">
        <f t="shared" si="58"/>
        <v>0</v>
      </c>
      <c r="E133" s="699">
        <f t="shared" si="58"/>
        <v>0</v>
      </c>
      <c r="F133" s="207"/>
      <c r="G133" s="279"/>
      <c r="H133" s="207"/>
      <c r="I133" s="247"/>
      <c r="J133" s="207"/>
      <c r="K133" s="247"/>
      <c r="L133" s="298"/>
      <c r="M133" s="247"/>
      <c r="N133" s="207"/>
      <c r="O133" s="247"/>
      <c r="P133" s="207"/>
      <c r="Q133" s="247"/>
      <c r="R133" s="207"/>
      <c r="S133" s="247"/>
      <c r="T133" s="207"/>
      <c r="U133" s="247"/>
      <c r="V133" s="521"/>
      <c r="W133" s="247"/>
      <c r="X133" s="521"/>
      <c r="Y133" s="247"/>
      <c r="Z133" s="298"/>
      <c r="AA133" s="214"/>
      <c r="AB133" s="298"/>
      <c r="AC133" s="283"/>
      <c r="AD133" s="240" t="str">
        <f t="shared" si="59"/>
        <v/>
      </c>
      <c r="AE133" s="48"/>
      <c r="AF133" s="48"/>
      <c r="AG133" s="48"/>
      <c r="AH133" s="48"/>
      <c r="AI133" s="48"/>
      <c r="AJ133" s="48"/>
      <c r="AK133" s="48"/>
      <c r="AL133" s="48"/>
      <c r="AM133" s="48"/>
      <c r="AN133" s="48"/>
      <c r="AO133" s="48"/>
      <c r="AP133" s="48"/>
      <c r="AQ133" s="48"/>
      <c r="AR133" s="48"/>
      <c r="AS133" s="48"/>
      <c r="AT133" s="48"/>
      <c r="AU133" s="48"/>
      <c r="AV133" s="48"/>
      <c r="AW133" s="48"/>
      <c r="AX133" s="48"/>
      <c r="AY133" s="48"/>
      <c r="CA133" s="511" t="str">
        <f t="shared" si="60"/>
        <v/>
      </c>
      <c r="CB133" s="511" t="str">
        <f t="shared" si="61"/>
        <v/>
      </c>
      <c r="CK133" s="698">
        <f t="shared" si="62"/>
        <v>0</v>
      </c>
      <c r="CL133" s="698">
        <f t="shared" si="63"/>
        <v>0</v>
      </c>
    </row>
    <row r="134" spans="1:90" ht="15" customHeight="1">
      <c r="A134" s="5618"/>
      <c r="B134" s="284" t="s">
        <v>353</v>
      </c>
      <c r="C134" s="612">
        <f t="shared" si="50"/>
        <v>0</v>
      </c>
      <c r="D134" s="629">
        <f t="shared" si="58"/>
        <v>0</v>
      </c>
      <c r="E134" s="699">
        <f t="shared" si="58"/>
        <v>0</v>
      </c>
      <c r="F134" s="207"/>
      <c r="G134" s="279"/>
      <c r="H134" s="207"/>
      <c r="I134" s="247"/>
      <c r="J134" s="207"/>
      <c r="K134" s="247"/>
      <c r="L134" s="298"/>
      <c r="M134" s="247"/>
      <c r="N134" s="207"/>
      <c r="O134" s="247"/>
      <c r="P134" s="207"/>
      <c r="Q134" s="247"/>
      <c r="R134" s="207"/>
      <c r="S134" s="247"/>
      <c r="T134" s="207"/>
      <c r="U134" s="247"/>
      <c r="V134" s="521"/>
      <c r="W134" s="247"/>
      <c r="X134" s="521"/>
      <c r="Y134" s="247"/>
      <c r="Z134" s="298"/>
      <c r="AA134" s="214"/>
      <c r="AB134" s="298"/>
      <c r="AC134" s="283"/>
      <c r="AD134" s="240" t="str">
        <f t="shared" si="59"/>
        <v/>
      </c>
      <c r="AE134" s="48"/>
      <c r="AF134" s="48"/>
      <c r="AG134" s="48"/>
      <c r="AH134" s="48"/>
      <c r="AI134" s="48"/>
      <c r="AJ134" s="48"/>
      <c r="AK134" s="48"/>
      <c r="AL134" s="48"/>
      <c r="AM134" s="48"/>
      <c r="AN134" s="48"/>
      <c r="AO134" s="48"/>
      <c r="AP134" s="48"/>
      <c r="AQ134" s="48"/>
      <c r="AR134" s="48"/>
      <c r="AS134" s="48"/>
      <c r="AT134" s="48"/>
      <c r="AU134" s="48"/>
      <c r="AV134" s="48"/>
      <c r="AW134" s="48"/>
      <c r="AX134" s="48"/>
      <c r="AY134" s="48"/>
      <c r="CA134" s="511" t="str">
        <f t="shared" si="60"/>
        <v/>
      </c>
      <c r="CB134" s="511" t="str">
        <f t="shared" si="61"/>
        <v/>
      </c>
      <c r="CK134" s="698">
        <f t="shared" si="62"/>
        <v>0</v>
      </c>
      <c r="CL134" s="698">
        <f t="shared" si="63"/>
        <v>0</v>
      </c>
    </row>
    <row r="135" spans="1:90" ht="15" customHeight="1">
      <c r="A135" s="5618"/>
      <c r="B135" s="284" t="s">
        <v>354</v>
      </c>
      <c r="C135" s="206">
        <f t="shared" si="50"/>
        <v>0</v>
      </c>
      <c r="D135" s="700">
        <f t="shared" si="58"/>
        <v>0</v>
      </c>
      <c r="E135" s="701">
        <f t="shared" si="58"/>
        <v>0</v>
      </c>
      <c r="F135" s="207"/>
      <c r="G135" s="279"/>
      <c r="H135" s="207"/>
      <c r="I135" s="247"/>
      <c r="J135" s="207"/>
      <c r="K135" s="247"/>
      <c r="L135" s="298"/>
      <c r="M135" s="247"/>
      <c r="N135" s="207"/>
      <c r="O135" s="247"/>
      <c r="P135" s="207"/>
      <c r="Q135" s="247"/>
      <c r="R135" s="207"/>
      <c r="S135" s="247"/>
      <c r="T135" s="207"/>
      <c r="U135" s="247"/>
      <c r="V135" s="521"/>
      <c r="W135" s="247"/>
      <c r="X135" s="521"/>
      <c r="Y135" s="247"/>
      <c r="Z135" s="298"/>
      <c r="AA135" s="214"/>
      <c r="AB135" s="298"/>
      <c r="AC135" s="283"/>
      <c r="AD135" s="240" t="str">
        <f t="shared" si="59"/>
        <v/>
      </c>
      <c r="AE135" s="48"/>
      <c r="AF135" s="48"/>
      <c r="AG135" s="48"/>
      <c r="AH135" s="48"/>
      <c r="AI135" s="48"/>
      <c r="AJ135" s="48"/>
      <c r="AK135" s="48"/>
      <c r="AL135" s="48"/>
      <c r="AM135" s="48"/>
      <c r="AN135" s="48"/>
      <c r="AO135" s="48"/>
      <c r="AP135" s="48"/>
      <c r="AQ135" s="48"/>
      <c r="AR135" s="48"/>
      <c r="AS135" s="48"/>
      <c r="AT135" s="48"/>
      <c r="AU135" s="48"/>
      <c r="AV135" s="48"/>
      <c r="AW135" s="48"/>
      <c r="AX135" s="48"/>
      <c r="AY135" s="48"/>
      <c r="CA135" s="511" t="str">
        <f t="shared" si="60"/>
        <v/>
      </c>
      <c r="CB135" s="511" t="str">
        <f t="shared" si="61"/>
        <v/>
      </c>
      <c r="CK135" s="698">
        <f t="shared" si="62"/>
        <v>0</v>
      </c>
      <c r="CL135" s="698">
        <f t="shared" si="63"/>
        <v>0</v>
      </c>
    </row>
    <row r="136" spans="1:90" ht="15" customHeight="1">
      <c r="A136" s="5620"/>
      <c r="B136" s="490" t="s">
        <v>355</v>
      </c>
      <c r="C136" s="106">
        <f t="shared" si="50"/>
        <v>0</v>
      </c>
      <c r="D136" s="636">
        <f t="shared" si="58"/>
        <v>0</v>
      </c>
      <c r="E136" s="702">
        <f t="shared" si="58"/>
        <v>0</v>
      </c>
      <c r="F136" s="122"/>
      <c r="G136" s="121"/>
      <c r="H136" s="122"/>
      <c r="I136" s="254"/>
      <c r="J136" s="122"/>
      <c r="K136" s="254"/>
      <c r="L136" s="119"/>
      <c r="M136" s="254"/>
      <c r="N136" s="122"/>
      <c r="O136" s="254"/>
      <c r="P136" s="122"/>
      <c r="Q136" s="254"/>
      <c r="R136" s="122"/>
      <c r="S136" s="254"/>
      <c r="T136" s="122"/>
      <c r="U136" s="254"/>
      <c r="V136" s="270"/>
      <c r="W136" s="254"/>
      <c r="X136" s="270"/>
      <c r="Y136" s="254"/>
      <c r="Z136" s="119"/>
      <c r="AA136" s="186"/>
      <c r="AB136" s="119"/>
      <c r="AC136" s="120"/>
      <c r="AD136" s="240" t="str">
        <f t="shared" si="59"/>
        <v/>
      </c>
      <c r="AE136" s="48"/>
      <c r="AF136" s="48"/>
      <c r="AG136" s="48"/>
      <c r="AH136" s="48"/>
      <c r="AI136" s="48"/>
      <c r="AJ136" s="48"/>
      <c r="AK136" s="48"/>
      <c r="AL136" s="48"/>
      <c r="AM136" s="48"/>
      <c r="AN136" s="48"/>
      <c r="AO136" s="48"/>
      <c r="AP136" s="48"/>
      <c r="AQ136" s="48"/>
      <c r="AR136" s="48"/>
      <c r="AS136" s="48"/>
      <c r="AT136" s="48"/>
      <c r="AU136" s="48"/>
      <c r="AV136" s="48"/>
      <c r="AW136" s="48"/>
      <c r="AX136" s="48"/>
      <c r="AY136" s="48"/>
      <c r="CA136" s="511" t="str">
        <f t="shared" si="60"/>
        <v/>
      </c>
      <c r="CB136" s="511" t="str">
        <f t="shared" si="61"/>
        <v/>
      </c>
      <c r="CK136" s="698">
        <f t="shared" si="62"/>
        <v>0</v>
      </c>
      <c r="CL136" s="698">
        <f t="shared" si="63"/>
        <v>0</v>
      </c>
    </row>
    <row r="137" spans="1:90" ht="15" customHeight="1">
      <c r="A137" s="5660" t="s">
        <v>358</v>
      </c>
      <c r="B137" s="277" t="s">
        <v>351</v>
      </c>
      <c r="C137" s="78">
        <f t="shared" si="50"/>
        <v>0</v>
      </c>
      <c r="D137" s="627">
        <f t="shared" si="58"/>
        <v>0</v>
      </c>
      <c r="E137" s="697">
        <f t="shared" si="58"/>
        <v>0</v>
      </c>
      <c r="F137" s="95"/>
      <c r="G137" s="204"/>
      <c r="H137" s="95"/>
      <c r="I137" s="237"/>
      <c r="J137" s="95"/>
      <c r="K137" s="237"/>
      <c r="L137" s="295"/>
      <c r="M137" s="237"/>
      <c r="N137" s="95"/>
      <c r="O137" s="237"/>
      <c r="P137" s="95"/>
      <c r="Q137" s="237"/>
      <c r="R137" s="95"/>
      <c r="S137" s="237"/>
      <c r="T137" s="95"/>
      <c r="U137" s="237"/>
      <c r="V137" s="527"/>
      <c r="W137" s="237"/>
      <c r="X137" s="527"/>
      <c r="Y137" s="237"/>
      <c r="Z137" s="295"/>
      <c r="AA137" s="170"/>
      <c r="AB137" s="295"/>
      <c r="AC137" s="93"/>
      <c r="AD137" s="240" t="str">
        <f t="shared" si="59"/>
        <v/>
      </c>
      <c r="AE137" s="48"/>
      <c r="AF137" s="48"/>
      <c r="AG137" s="48"/>
      <c r="AH137" s="48"/>
      <c r="AI137" s="48"/>
      <c r="AJ137" s="48"/>
      <c r="AK137" s="48"/>
      <c r="AL137" s="48"/>
      <c r="AM137" s="48"/>
      <c r="AN137" s="48"/>
      <c r="AO137" s="48"/>
      <c r="AP137" s="48"/>
      <c r="AQ137" s="48"/>
      <c r="AR137" s="48"/>
      <c r="AS137" s="48"/>
      <c r="AT137" s="48"/>
      <c r="AU137" s="48"/>
      <c r="AV137" s="48"/>
      <c r="AW137" s="48"/>
      <c r="AX137" s="48"/>
      <c r="AY137" s="48"/>
      <c r="CA137" s="511" t="str">
        <f t="shared" si="60"/>
        <v/>
      </c>
      <c r="CB137" s="511" t="str">
        <f t="shared" si="61"/>
        <v/>
      </c>
      <c r="CK137" s="698">
        <f t="shared" si="62"/>
        <v>0</v>
      </c>
      <c r="CL137" s="698">
        <f t="shared" si="63"/>
        <v>0</v>
      </c>
    </row>
    <row r="138" spans="1:90" ht="15" customHeight="1">
      <c r="A138" s="5780"/>
      <c r="B138" s="522" t="s">
        <v>352</v>
      </c>
      <c r="C138" s="612">
        <f t="shared" si="50"/>
        <v>0</v>
      </c>
      <c r="D138" s="629">
        <f t="shared" si="58"/>
        <v>0</v>
      </c>
      <c r="E138" s="699">
        <f t="shared" si="58"/>
        <v>0</v>
      </c>
      <c r="F138" s="207"/>
      <c r="G138" s="279"/>
      <c r="H138" s="207"/>
      <c r="I138" s="247"/>
      <c r="J138" s="207"/>
      <c r="K138" s="247"/>
      <c r="L138" s="298"/>
      <c r="M138" s="247"/>
      <c r="N138" s="207"/>
      <c r="O138" s="247"/>
      <c r="P138" s="207"/>
      <c r="Q138" s="247"/>
      <c r="R138" s="207"/>
      <c r="S138" s="247"/>
      <c r="T138" s="207"/>
      <c r="U138" s="247"/>
      <c r="V138" s="521"/>
      <c r="W138" s="247"/>
      <c r="X138" s="521"/>
      <c r="Y138" s="247"/>
      <c r="Z138" s="298"/>
      <c r="AA138" s="214"/>
      <c r="AB138" s="298"/>
      <c r="AC138" s="283"/>
      <c r="AD138" s="240" t="str">
        <f t="shared" si="59"/>
        <v/>
      </c>
      <c r="AE138" s="48"/>
      <c r="AF138" s="48"/>
      <c r="AG138" s="48"/>
      <c r="AH138" s="48"/>
      <c r="AI138" s="48"/>
      <c r="AJ138" s="48"/>
      <c r="AK138" s="48"/>
      <c r="AL138" s="48"/>
      <c r="AM138" s="48"/>
      <c r="AN138" s="48"/>
      <c r="AO138" s="48"/>
      <c r="AP138" s="48"/>
      <c r="AQ138" s="48"/>
      <c r="AR138" s="48"/>
      <c r="AS138" s="48"/>
      <c r="AT138" s="48"/>
      <c r="AU138" s="48"/>
      <c r="AV138" s="48"/>
      <c r="AW138" s="48"/>
      <c r="AX138" s="48"/>
      <c r="AY138" s="48"/>
      <c r="CA138" s="511" t="str">
        <f t="shared" si="60"/>
        <v/>
      </c>
      <c r="CB138" s="511" t="str">
        <f t="shared" si="61"/>
        <v/>
      </c>
      <c r="CK138" s="698">
        <f t="shared" si="62"/>
        <v>0</v>
      </c>
      <c r="CL138" s="698">
        <f t="shared" si="63"/>
        <v>0</v>
      </c>
    </row>
    <row r="139" spans="1:90" ht="15" customHeight="1">
      <c r="A139" s="5780"/>
      <c r="B139" s="284" t="s">
        <v>353</v>
      </c>
      <c r="C139" s="612">
        <f t="shared" si="50"/>
        <v>0</v>
      </c>
      <c r="D139" s="629">
        <f t="shared" si="58"/>
        <v>0</v>
      </c>
      <c r="E139" s="699">
        <f t="shared" si="58"/>
        <v>0</v>
      </c>
      <c r="F139" s="207"/>
      <c r="G139" s="279"/>
      <c r="H139" s="207"/>
      <c r="I139" s="247"/>
      <c r="J139" s="207"/>
      <c r="K139" s="247"/>
      <c r="L139" s="298"/>
      <c r="M139" s="247"/>
      <c r="N139" s="207"/>
      <c r="O139" s="247"/>
      <c r="P139" s="207"/>
      <c r="Q139" s="247"/>
      <c r="R139" s="207"/>
      <c r="S139" s="247"/>
      <c r="T139" s="207"/>
      <c r="U139" s="247"/>
      <c r="V139" s="521"/>
      <c r="W139" s="247"/>
      <c r="X139" s="521"/>
      <c r="Y139" s="247"/>
      <c r="Z139" s="298"/>
      <c r="AA139" s="214"/>
      <c r="AB139" s="298"/>
      <c r="AC139" s="283"/>
      <c r="AD139" s="240" t="str">
        <f t="shared" si="59"/>
        <v/>
      </c>
      <c r="AE139" s="48"/>
      <c r="AF139" s="48"/>
      <c r="AG139" s="48"/>
      <c r="AH139" s="48"/>
      <c r="AI139" s="48"/>
      <c r="AJ139" s="48"/>
      <c r="AK139" s="48"/>
      <c r="AL139" s="48"/>
      <c r="AM139" s="48"/>
      <c r="AN139" s="48"/>
      <c r="AO139" s="48"/>
      <c r="AP139" s="48"/>
      <c r="AQ139" s="48"/>
      <c r="AR139" s="48"/>
      <c r="AS139" s="48"/>
      <c r="AT139" s="48"/>
      <c r="AU139" s="48"/>
      <c r="AV139" s="48"/>
      <c r="AW139" s="48"/>
      <c r="AX139" s="48"/>
      <c r="AY139" s="48"/>
      <c r="CA139" s="511" t="str">
        <f t="shared" si="60"/>
        <v/>
      </c>
      <c r="CB139" s="511" t="str">
        <f t="shared" si="61"/>
        <v/>
      </c>
      <c r="CK139" s="698">
        <f t="shared" si="62"/>
        <v>0</v>
      </c>
      <c r="CL139" s="698">
        <f t="shared" si="63"/>
        <v>0</v>
      </c>
    </row>
    <row r="140" spans="1:90" ht="15" customHeight="1">
      <c r="A140" s="5661"/>
      <c r="B140" s="284" t="s">
        <v>354</v>
      </c>
      <c r="C140" s="206">
        <f t="shared" si="50"/>
        <v>0</v>
      </c>
      <c r="D140" s="700">
        <f t="shared" si="58"/>
        <v>0</v>
      </c>
      <c r="E140" s="701">
        <f t="shared" si="58"/>
        <v>0</v>
      </c>
      <c r="F140" s="207"/>
      <c r="G140" s="279"/>
      <c r="H140" s="207"/>
      <c r="I140" s="247"/>
      <c r="J140" s="207"/>
      <c r="K140" s="247"/>
      <c r="L140" s="298"/>
      <c r="M140" s="247"/>
      <c r="N140" s="207"/>
      <c r="O140" s="247"/>
      <c r="P140" s="207"/>
      <c r="Q140" s="247"/>
      <c r="R140" s="207"/>
      <c r="S140" s="247"/>
      <c r="T140" s="207"/>
      <c r="U140" s="247"/>
      <c r="V140" s="521"/>
      <c r="W140" s="247"/>
      <c r="X140" s="521"/>
      <c r="Y140" s="247"/>
      <c r="Z140" s="298"/>
      <c r="AA140" s="214"/>
      <c r="AB140" s="298"/>
      <c r="AC140" s="283"/>
      <c r="AD140" s="240" t="str">
        <f t="shared" si="59"/>
        <v/>
      </c>
      <c r="AE140" s="48"/>
      <c r="AF140" s="48"/>
      <c r="AG140" s="48"/>
      <c r="AH140" s="48"/>
      <c r="AI140" s="48"/>
      <c r="AJ140" s="48"/>
      <c r="AK140" s="48"/>
      <c r="AL140" s="48"/>
      <c r="AM140" s="48"/>
      <c r="AN140" s="48"/>
      <c r="AO140" s="48"/>
      <c r="AP140" s="48"/>
      <c r="AQ140" s="48"/>
      <c r="AR140" s="48"/>
      <c r="AS140" s="48"/>
      <c r="AT140" s="48"/>
      <c r="AU140" s="48"/>
      <c r="AV140" s="48"/>
      <c r="AW140" s="48"/>
      <c r="AX140" s="48"/>
      <c r="AY140" s="48"/>
      <c r="CA140" s="511" t="str">
        <f t="shared" si="60"/>
        <v/>
      </c>
      <c r="CB140" s="511" t="str">
        <f t="shared" si="61"/>
        <v/>
      </c>
      <c r="CK140" s="698">
        <f t="shared" si="62"/>
        <v>0</v>
      </c>
      <c r="CL140" s="698">
        <f t="shared" si="63"/>
        <v>0</v>
      </c>
    </row>
    <row r="141" spans="1:90" ht="15" customHeight="1">
      <c r="A141" s="5781"/>
      <c r="B141" s="490" t="s">
        <v>355</v>
      </c>
      <c r="C141" s="106">
        <f t="shared" si="50"/>
        <v>0</v>
      </c>
      <c r="D141" s="636">
        <f t="shared" si="58"/>
        <v>0</v>
      </c>
      <c r="E141" s="702">
        <f t="shared" si="58"/>
        <v>0</v>
      </c>
      <c r="F141" s="122"/>
      <c r="G141" s="121"/>
      <c r="H141" s="122"/>
      <c r="I141" s="254"/>
      <c r="J141" s="122"/>
      <c r="K141" s="254"/>
      <c r="L141" s="119"/>
      <c r="M141" s="254"/>
      <c r="N141" s="122"/>
      <c r="O141" s="254"/>
      <c r="P141" s="122"/>
      <c r="Q141" s="254"/>
      <c r="R141" s="122"/>
      <c r="S141" s="254"/>
      <c r="T141" s="122"/>
      <c r="U141" s="254"/>
      <c r="V141" s="270"/>
      <c r="W141" s="254"/>
      <c r="X141" s="270"/>
      <c r="Y141" s="254"/>
      <c r="Z141" s="119"/>
      <c r="AA141" s="186"/>
      <c r="AB141" s="119"/>
      <c r="AC141" s="120"/>
      <c r="AD141" s="240" t="str">
        <f t="shared" si="59"/>
        <v/>
      </c>
      <c r="AE141" s="48"/>
      <c r="AF141" s="48"/>
      <c r="AG141" s="48"/>
      <c r="AH141" s="48"/>
      <c r="AI141" s="48"/>
      <c r="AJ141" s="48"/>
      <c r="AK141" s="48"/>
      <c r="AL141" s="48"/>
      <c r="AM141" s="48"/>
      <c r="AN141" s="48"/>
      <c r="AO141" s="48"/>
      <c r="AP141" s="48"/>
      <c r="AQ141" s="48"/>
      <c r="AR141" s="48"/>
      <c r="AS141" s="48"/>
      <c r="AT141" s="48"/>
      <c r="AU141" s="48"/>
      <c r="AV141" s="48"/>
      <c r="AW141" s="48"/>
      <c r="AX141" s="48"/>
      <c r="AY141" s="48"/>
      <c r="CA141" s="511" t="str">
        <f t="shared" si="60"/>
        <v/>
      </c>
      <c r="CB141" s="511" t="str">
        <f t="shared" si="61"/>
        <v/>
      </c>
      <c r="CK141" s="698">
        <f t="shared" si="62"/>
        <v>0</v>
      </c>
      <c r="CL141" s="698">
        <f t="shared" si="63"/>
        <v>0</v>
      </c>
    </row>
    <row r="142" spans="1:90" ht="15" customHeight="1">
      <c r="A142" s="5660" t="s">
        <v>359</v>
      </c>
      <c r="B142" s="277" t="s">
        <v>351</v>
      </c>
      <c r="C142" s="78">
        <f t="shared" si="50"/>
        <v>0</v>
      </c>
      <c r="D142" s="627">
        <f t="shared" si="58"/>
        <v>0</v>
      </c>
      <c r="E142" s="697">
        <f t="shared" si="58"/>
        <v>0</v>
      </c>
      <c r="F142" s="95"/>
      <c r="G142" s="204"/>
      <c r="H142" s="95"/>
      <c r="I142" s="237"/>
      <c r="J142" s="95"/>
      <c r="K142" s="237"/>
      <c r="L142" s="295"/>
      <c r="M142" s="237"/>
      <c r="N142" s="95"/>
      <c r="O142" s="237"/>
      <c r="P142" s="95"/>
      <c r="Q142" s="237"/>
      <c r="R142" s="95"/>
      <c r="S142" s="237"/>
      <c r="T142" s="95"/>
      <c r="U142" s="237"/>
      <c r="V142" s="527"/>
      <c r="W142" s="237"/>
      <c r="X142" s="527"/>
      <c r="Y142" s="237"/>
      <c r="Z142" s="295"/>
      <c r="AA142" s="170"/>
      <c r="AB142" s="295"/>
      <c r="AC142" s="93"/>
      <c r="AD142" s="240" t="str">
        <f t="shared" si="59"/>
        <v/>
      </c>
      <c r="AE142" s="48"/>
      <c r="AF142" s="48"/>
      <c r="AG142" s="48"/>
      <c r="AH142" s="48"/>
      <c r="AI142" s="48"/>
      <c r="AJ142" s="48"/>
      <c r="AK142" s="48"/>
      <c r="AL142" s="48"/>
      <c r="AM142" s="48"/>
      <c r="AN142" s="48"/>
      <c r="AO142" s="48"/>
      <c r="AP142" s="48"/>
      <c r="AQ142" s="48"/>
      <c r="AR142" s="48"/>
      <c r="AS142" s="48"/>
      <c r="AT142" s="48"/>
      <c r="AU142" s="48"/>
      <c r="AV142" s="48"/>
      <c r="AW142" s="48"/>
      <c r="AX142" s="48"/>
      <c r="AY142" s="48"/>
      <c r="CA142" s="511" t="str">
        <f t="shared" si="60"/>
        <v/>
      </c>
      <c r="CB142" s="511" t="str">
        <f t="shared" si="61"/>
        <v/>
      </c>
      <c r="CK142" s="698">
        <f t="shared" si="62"/>
        <v>0</v>
      </c>
      <c r="CL142" s="698">
        <f t="shared" si="63"/>
        <v>0</v>
      </c>
    </row>
    <row r="143" spans="1:90" ht="15" customHeight="1">
      <c r="A143" s="5780"/>
      <c r="B143" s="522" t="s">
        <v>352</v>
      </c>
      <c r="C143" s="612">
        <f t="shared" si="50"/>
        <v>0</v>
      </c>
      <c r="D143" s="629">
        <f t="shared" si="58"/>
        <v>0</v>
      </c>
      <c r="E143" s="699">
        <f t="shared" si="58"/>
        <v>0</v>
      </c>
      <c r="F143" s="207"/>
      <c r="G143" s="279"/>
      <c r="H143" s="207"/>
      <c r="I143" s="247"/>
      <c r="J143" s="207"/>
      <c r="K143" s="247"/>
      <c r="L143" s="298"/>
      <c r="M143" s="247"/>
      <c r="N143" s="207"/>
      <c r="O143" s="247"/>
      <c r="P143" s="207"/>
      <c r="Q143" s="247"/>
      <c r="R143" s="207"/>
      <c r="S143" s="247"/>
      <c r="T143" s="207"/>
      <c r="U143" s="247"/>
      <c r="V143" s="521"/>
      <c r="W143" s="247"/>
      <c r="X143" s="521"/>
      <c r="Y143" s="247"/>
      <c r="Z143" s="298"/>
      <c r="AA143" s="214"/>
      <c r="AB143" s="298"/>
      <c r="AC143" s="283"/>
      <c r="AD143" s="240" t="str">
        <f t="shared" si="59"/>
        <v/>
      </c>
      <c r="AE143" s="48"/>
      <c r="AF143" s="48"/>
      <c r="AG143" s="48"/>
      <c r="AH143" s="48"/>
      <c r="AI143" s="48"/>
      <c r="AJ143" s="48"/>
      <c r="AK143" s="48"/>
      <c r="AL143" s="48"/>
      <c r="AM143" s="48"/>
      <c r="AN143" s="48"/>
      <c r="AO143" s="48"/>
      <c r="AP143" s="48"/>
      <c r="AQ143" s="48"/>
      <c r="AR143" s="48"/>
      <c r="AS143" s="48"/>
      <c r="AT143" s="48"/>
      <c r="AU143" s="48"/>
      <c r="AV143" s="48"/>
      <c r="AW143" s="48"/>
      <c r="AX143" s="48"/>
      <c r="AY143" s="48"/>
      <c r="CA143" s="511" t="str">
        <f t="shared" si="60"/>
        <v/>
      </c>
      <c r="CB143" s="511" t="str">
        <f t="shared" si="61"/>
        <v/>
      </c>
      <c r="CK143" s="698">
        <f t="shared" si="62"/>
        <v>0</v>
      </c>
      <c r="CL143" s="698">
        <f t="shared" si="63"/>
        <v>0</v>
      </c>
    </row>
    <row r="144" spans="1:90" ht="15" customHeight="1">
      <c r="A144" s="5780"/>
      <c r="B144" s="284" t="s">
        <v>353</v>
      </c>
      <c r="C144" s="612">
        <f t="shared" si="50"/>
        <v>0</v>
      </c>
      <c r="D144" s="629">
        <f t="shared" si="58"/>
        <v>0</v>
      </c>
      <c r="E144" s="699">
        <f t="shared" si="58"/>
        <v>0</v>
      </c>
      <c r="F144" s="207"/>
      <c r="G144" s="279"/>
      <c r="H144" s="207"/>
      <c r="I144" s="247"/>
      <c r="J144" s="207"/>
      <c r="K144" s="247"/>
      <c r="L144" s="298"/>
      <c r="M144" s="247"/>
      <c r="N144" s="207"/>
      <c r="O144" s="247"/>
      <c r="P144" s="207"/>
      <c r="Q144" s="247"/>
      <c r="R144" s="207"/>
      <c r="S144" s="247"/>
      <c r="T144" s="207"/>
      <c r="U144" s="247"/>
      <c r="V144" s="521"/>
      <c r="W144" s="247"/>
      <c r="X144" s="521"/>
      <c r="Y144" s="247"/>
      <c r="Z144" s="298"/>
      <c r="AA144" s="214"/>
      <c r="AB144" s="298"/>
      <c r="AC144" s="283"/>
      <c r="AD144" s="240" t="str">
        <f t="shared" si="59"/>
        <v/>
      </c>
      <c r="AE144" s="48"/>
      <c r="AF144" s="48"/>
      <c r="AG144" s="48"/>
      <c r="AH144" s="48"/>
      <c r="AI144" s="48"/>
      <c r="AJ144" s="48"/>
      <c r="AK144" s="48"/>
      <c r="AL144" s="48"/>
      <c r="AM144" s="48"/>
      <c r="AN144" s="48"/>
      <c r="AO144" s="48"/>
      <c r="AP144" s="48"/>
      <c r="AQ144" s="48"/>
      <c r="AR144" s="48"/>
      <c r="AS144" s="48"/>
      <c r="AT144" s="48"/>
      <c r="AU144" s="48"/>
      <c r="AV144" s="48"/>
      <c r="AW144" s="48"/>
      <c r="AX144" s="48"/>
      <c r="AY144" s="48"/>
      <c r="CA144" s="511" t="str">
        <f t="shared" si="60"/>
        <v/>
      </c>
      <c r="CB144" s="511" t="str">
        <f t="shared" si="61"/>
        <v/>
      </c>
      <c r="CK144" s="698">
        <f t="shared" si="62"/>
        <v>0</v>
      </c>
      <c r="CL144" s="698">
        <f t="shared" si="63"/>
        <v>0</v>
      </c>
    </row>
    <row r="145" spans="1:90" ht="15" customHeight="1">
      <c r="A145" s="5661"/>
      <c r="B145" s="284" t="s">
        <v>354</v>
      </c>
      <c r="C145" s="206">
        <f t="shared" si="50"/>
        <v>0</v>
      </c>
      <c r="D145" s="700">
        <f t="shared" si="58"/>
        <v>0</v>
      </c>
      <c r="E145" s="701">
        <f t="shared" si="58"/>
        <v>0</v>
      </c>
      <c r="F145" s="207"/>
      <c r="G145" s="279"/>
      <c r="H145" s="207"/>
      <c r="I145" s="247"/>
      <c r="J145" s="207"/>
      <c r="K145" s="247"/>
      <c r="L145" s="298"/>
      <c r="M145" s="247"/>
      <c r="N145" s="207"/>
      <c r="O145" s="247"/>
      <c r="P145" s="207"/>
      <c r="Q145" s="247"/>
      <c r="R145" s="207"/>
      <c r="S145" s="247"/>
      <c r="T145" s="207"/>
      <c r="U145" s="247"/>
      <c r="V145" s="521"/>
      <c r="W145" s="247"/>
      <c r="X145" s="521"/>
      <c r="Y145" s="247"/>
      <c r="Z145" s="298"/>
      <c r="AA145" s="214"/>
      <c r="AB145" s="298"/>
      <c r="AC145" s="283"/>
      <c r="AD145" s="240" t="str">
        <f t="shared" si="59"/>
        <v/>
      </c>
      <c r="AE145" s="48"/>
      <c r="AF145" s="48"/>
      <c r="AG145" s="48"/>
      <c r="AH145" s="48"/>
      <c r="AI145" s="48"/>
      <c r="AJ145" s="48"/>
      <c r="AK145" s="48"/>
      <c r="AL145" s="48"/>
      <c r="AM145" s="48"/>
      <c r="AN145" s="48"/>
      <c r="AO145" s="48"/>
      <c r="AP145" s="48"/>
      <c r="AQ145" s="48"/>
      <c r="AR145" s="48"/>
      <c r="AS145" s="48"/>
      <c r="AT145" s="48"/>
      <c r="AU145" s="48"/>
      <c r="AV145" s="48"/>
      <c r="AW145" s="48"/>
      <c r="AX145" s="48"/>
      <c r="AY145" s="48"/>
      <c r="CA145" s="511" t="str">
        <f t="shared" si="60"/>
        <v/>
      </c>
      <c r="CB145" s="511" t="str">
        <f t="shared" si="61"/>
        <v/>
      </c>
      <c r="CK145" s="698">
        <f t="shared" si="62"/>
        <v>0</v>
      </c>
      <c r="CL145" s="698">
        <f t="shared" si="63"/>
        <v>0</v>
      </c>
    </row>
    <row r="146" spans="1:90" ht="15" customHeight="1">
      <c r="A146" s="5781"/>
      <c r="B146" s="490" t="s">
        <v>355</v>
      </c>
      <c r="C146" s="106">
        <f t="shared" si="50"/>
        <v>0</v>
      </c>
      <c r="D146" s="636">
        <f t="shared" si="58"/>
        <v>0</v>
      </c>
      <c r="E146" s="702">
        <f t="shared" si="58"/>
        <v>0</v>
      </c>
      <c r="F146" s="122"/>
      <c r="G146" s="121"/>
      <c r="H146" s="122"/>
      <c r="I146" s="254"/>
      <c r="J146" s="122"/>
      <c r="K146" s="254"/>
      <c r="L146" s="119"/>
      <c r="M146" s="254"/>
      <c r="N146" s="122"/>
      <c r="O146" s="254"/>
      <c r="P146" s="122"/>
      <c r="Q146" s="254"/>
      <c r="R146" s="122"/>
      <c r="S146" s="254"/>
      <c r="T146" s="122"/>
      <c r="U146" s="254"/>
      <c r="V146" s="270"/>
      <c r="W146" s="254"/>
      <c r="X146" s="270"/>
      <c r="Y146" s="254"/>
      <c r="Z146" s="119"/>
      <c r="AA146" s="186"/>
      <c r="AB146" s="119"/>
      <c r="AC146" s="120"/>
      <c r="AD146" s="240" t="str">
        <f t="shared" si="59"/>
        <v/>
      </c>
      <c r="AE146" s="48"/>
      <c r="AF146" s="48"/>
      <c r="AG146" s="48"/>
      <c r="AH146" s="48"/>
      <c r="AI146" s="48"/>
      <c r="AJ146" s="48"/>
      <c r="AK146" s="48"/>
      <c r="AL146" s="48"/>
      <c r="AM146" s="48"/>
      <c r="AN146" s="48"/>
      <c r="AO146" s="48"/>
      <c r="AP146" s="48"/>
      <c r="AQ146" s="48"/>
      <c r="AR146" s="48"/>
      <c r="AS146" s="48"/>
      <c r="AT146" s="48"/>
      <c r="AU146" s="48"/>
      <c r="AV146" s="48"/>
      <c r="AW146" s="48"/>
      <c r="AX146" s="48"/>
      <c r="AY146" s="48"/>
      <c r="CA146" s="511" t="str">
        <f t="shared" si="60"/>
        <v/>
      </c>
      <c r="CB146" s="511" t="str">
        <f t="shared" si="61"/>
        <v/>
      </c>
      <c r="CK146" s="698">
        <f t="shared" si="62"/>
        <v>0</v>
      </c>
      <c r="CL146" s="698">
        <f t="shared" si="63"/>
        <v>0</v>
      </c>
    </row>
    <row r="147" spans="1:90" ht="15" customHeight="1">
      <c r="A147" s="5619" t="s">
        <v>360</v>
      </c>
      <c r="B147" s="277" t="s">
        <v>351</v>
      </c>
      <c r="C147" s="78">
        <f t="shared" si="50"/>
        <v>0</v>
      </c>
      <c r="D147" s="627">
        <f t="shared" si="58"/>
        <v>0</v>
      </c>
      <c r="E147" s="697">
        <f t="shared" si="58"/>
        <v>0</v>
      </c>
      <c r="F147" s="95"/>
      <c r="G147" s="204"/>
      <c r="H147" s="95"/>
      <c r="I147" s="237"/>
      <c r="J147" s="95"/>
      <c r="K147" s="237"/>
      <c r="L147" s="295"/>
      <c r="M147" s="237"/>
      <c r="N147" s="95"/>
      <c r="O147" s="237"/>
      <c r="P147" s="95"/>
      <c r="Q147" s="237"/>
      <c r="R147" s="95"/>
      <c r="S147" s="237"/>
      <c r="T147" s="95"/>
      <c r="U147" s="237"/>
      <c r="V147" s="527"/>
      <c r="W147" s="237"/>
      <c r="X147" s="527"/>
      <c r="Y147" s="237"/>
      <c r="Z147" s="295"/>
      <c r="AA147" s="170"/>
      <c r="AB147" s="295"/>
      <c r="AC147" s="93"/>
      <c r="AD147" s="240" t="str">
        <f t="shared" si="59"/>
        <v/>
      </c>
      <c r="AE147" s="48"/>
      <c r="AF147" s="48"/>
      <c r="AG147" s="48"/>
      <c r="AH147" s="48"/>
      <c r="AI147" s="48"/>
      <c r="AJ147" s="48"/>
      <c r="AK147" s="48"/>
      <c r="AL147" s="48"/>
      <c r="AM147" s="48"/>
      <c r="AN147" s="48"/>
      <c r="AO147" s="48"/>
      <c r="AP147" s="48"/>
      <c r="AQ147" s="48"/>
      <c r="AR147" s="48"/>
      <c r="AS147" s="48"/>
      <c r="AT147" s="48"/>
      <c r="AU147" s="48"/>
      <c r="AV147" s="48"/>
      <c r="AW147" s="48"/>
      <c r="AX147" s="48"/>
      <c r="AY147" s="48"/>
      <c r="CA147" s="511" t="str">
        <f t="shared" si="60"/>
        <v/>
      </c>
      <c r="CB147" s="511" t="str">
        <f t="shared" si="61"/>
        <v/>
      </c>
      <c r="CK147" s="698">
        <f t="shared" si="62"/>
        <v>0</v>
      </c>
      <c r="CL147" s="698">
        <f t="shared" si="63"/>
        <v>0</v>
      </c>
    </row>
    <row r="148" spans="1:90" ht="15" customHeight="1">
      <c r="A148" s="5618"/>
      <c r="B148" s="522" t="s">
        <v>352</v>
      </c>
      <c r="C148" s="612">
        <f t="shared" si="50"/>
        <v>0</v>
      </c>
      <c r="D148" s="629">
        <f t="shared" si="58"/>
        <v>0</v>
      </c>
      <c r="E148" s="699">
        <f t="shared" si="58"/>
        <v>0</v>
      </c>
      <c r="F148" s="207"/>
      <c r="G148" s="279"/>
      <c r="H148" s="207"/>
      <c r="I148" s="247"/>
      <c r="J148" s="207"/>
      <c r="K148" s="247"/>
      <c r="L148" s="298"/>
      <c r="M148" s="247"/>
      <c r="N148" s="207"/>
      <c r="O148" s="247"/>
      <c r="P148" s="207"/>
      <c r="Q148" s="247"/>
      <c r="R148" s="207"/>
      <c r="S148" s="247"/>
      <c r="T148" s="207"/>
      <c r="U148" s="247"/>
      <c r="V148" s="521"/>
      <c r="W148" s="247"/>
      <c r="X148" s="521"/>
      <c r="Y148" s="247"/>
      <c r="Z148" s="298"/>
      <c r="AA148" s="214"/>
      <c r="AB148" s="298"/>
      <c r="AC148" s="283"/>
      <c r="AD148" s="240" t="str">
        <f t="shared" si="59"/>
        <v/>
      </c>
      <c r="AE148" s="48"/>
      <c r="AF148" s="48"/>
      <c r="AG148" s="48"/>
      <c r="AH148" s="48"/>
      <c r="AI148" s="48"/>
      <c r="AJ148" s="48"/>
      <c r="AK148" s="48"/>
      <c r="AL148" s="48"/>
      <c r="AM148" s="48"/>
      <c r="AN148" s="48"/>
      <c r="AO148" s="48"/>
      <c r="AP148" s="48"/>
      <c r="AQ148" s="48"/>
      <c r="AR148" s="48"/>
      <c r="AS148" s="48"/>
      <c r="AT148" s="48"/>
      <c r="AU148" s="48"/>
      <c r="AV148" s="48"/>
      <c r="AW148" s="48"/>
      <c r="AX148" s="48"/>
      <c r="AY148" s="48"/>
      <c r="CA148" s="511" t="str">
        <f t="shared" si="60"/>
        <v/>
      </c>
      <c r="CB148" s="511" t="str">
        <f t="shared" si="61"/>
        <v/>
      </c>
      <c r="CK148" s="698">
        <f t="shared" si="62"/>
        <v>0</v>
      </c>
      <c r="CL148" s="698">
        <f t="shared" si="63"/>
        <v>0</v>
      </c>
    </row>
    <row r="149" spans="1:90" ht="15" customHeight="1">
      <c r="A149" s="5618"/>
      <c r="B149" s="284" t="s">
        <v>353</v>
      </c>
      <c r="C149" s="612">
        <f t="shared" si="50"/>
        <v>0</v>
      </c>
      <c r="D149" s="629">
        <f t="shared" si="58"/>
        <v>0</v>
      </c>
      <c r="E149" s="699">
        <f t="shared" si="58"/>
        <v>0</v>
      </c>
      <c r="F149" s="207"/>
      <c r="G149" s="279"/>
      <c r="H149" s="207"/>
      <c r="I149" s="247"/>
      <c r="J149" s="207"/>
      <c r="K149" s="247"/>
      <c r="L149" s="298"/>
      <c r="M149" s="247"/>
      <c r="N149" s="207"/>
      <c r="O149" s="247"/>
      <c r="P149" s="207"/>
      <c r="Q149" s="247"/>
      <c r="R149" s="207"/>
      <c r="S149" s="247"/>
      <c r="T149" s="207"/>
      <c r="U149" s="247"/>
      <c r="V149" s="521"/>
      <c r="W149" s="247"/>
      <c r="X149" s="521"/>
      <c r="Y149" s="247"/>
      <c r="Z149" s="298"/>
      <c r="AA149" s="214"/>
      <c r="AB149" s="298"/>
      <c r="AC149" s="283"/>
      <c r="AD149" s="240" t="str">
        <f t="shared" si="59"/>
        <v/>
      </c>
      <c r="AE149" s="48"/>
      <c r="AF149" s="48"/>
      <c r="AG149" s="48"/>
      <c r="AH149" s="48"/>
      <c r="AI149" s="48"/>
      <c r="AJ149" s="48"/>
      <c r="AK149" s="48"/>
      <c r="AL149" s="48"/>
      <c r="AM149" s="48"/>
      <c r="AN149" s="48"/>
      <c r="AO149" s="48"/>
      <c r="AP149" s="48"/>
      <c r="AQ149" s="48"/>
      <c r="AR149" s="48"/>
      <c r="AS149" s="48"/>
      <c r="AT149" s="48"/>
      <c r="AU149" s="48"/>
      <c r="AV149" s="48"/>
      <c r="AW149" s="48"/>
      <c r="AX149" s="48"/>
      <c r="AY149" s="48"/>
      <c r="CA149" s="511" t="str">
        <f t="shared" si="60"/>
        <v/>
      </c>
      <c r="CB149" s="511" t="str">
        <f t="shared" si="61"/>
        <v/>
      </c>
      <c r="CK149" s="698">
        <f t="shared" si="62"/>
        <v>0</v>
      </c>
      <c r="CL149" s="698">
        <f t="shared" si="63"/>
        <v>0</v>
      </c>
    </row>
    <row r="150" spans="1:90" ht="15" customHeight="1">
      <c r="A150" s="5618"/>
      <c r="B150" s="284" t="s">
        <v>354</v>
      </c>
      <c r="C150" s="206">
        <f t="shared" si="50"/>
        <v>0</v>
      </c>
      <c r="D150" s="700">
        <f t="shared" si="58"/>
        <v>0</v>
      </c>
      <c r="E150" s="701">
        <f t="shared" si="58"/>
        <v>0</v>
      </c>
      <c r="F150" s="207"/>
      <c r="G150" s="279"/>
      <c r="H150" s="207"/>
      <c r="I150" s="247"/>
      <c r="J150" s="207"/>
      <c r="K150" s="247"/>
      <c r="L150" s="298"/>
      <c r="M150" s="247"/>
      <c r="N150" s="207"/>
      <c r="O150" s="247"/>
      <c r="P150" s="207"/>
      <c r="Q150" s="247"/>
      <c r="R150" s="207"/>
      <c r="S150" s="247"/>
      <c r="T150" s="207"/>
      <c r="U150" s="247"/>
      <c r="V150" s="521"/>
      <c r="W150" s="247"/>
      <c r="X150" s="521"/>
      <c r="Y150" s="247"/>
      <c r="Z150" s="298"/>
      <c r="AA150" s="214"/>
      <c r="AB150" s="298"/>
      <c r="AC150" s="283"/>
      <c r="AD150" s="240" t="str">
        <f t="shared" si="59"/>
        <v/>
      </c>
      <c r="AE150" s="48"/>
      <c r="AF150" s="48"/>
      <c r="AG150" s="48"/>
      <c r="AH150" s="48"/>
      <c r="AI150" s="48"/>
      <c r="AJ150" s="48"/>
      <c r="AK150" s="48"/>
      <c r="AL150" s="48"/>
      <c r="AM150" s="48"/>
      <c r="AN150" s="48"/>
      <c r="AO150" s="48"/>
      <c r="AP150" s="48"/>
      <c r="AQ150" s="48"/>
      <c r="AR150" s="48"/>
      <c r="AS150" s="48"/>
      <c r="AT150" s="48"/>
      <c r="AU150" s="48"/>
      <c r="AV150" s="48"/>
      <c r="AW150" s="48"/>
      <c r="AX150" s="48"/>
      <c r="AY150" s="48"/>
      <c r="CA150" s="511" t="str">
        <f t="shared" si="60"/>
        <v/>
      </c>
      <c r="CB150" s="511" t="str">
        <f t="shared" si="61"/>
        <v/>
      </c>
      <c r="CK150" s="698">
        <f t="shared" si="62"/>
        <v>0</v>
      </c>
      <c r="CL150" s="698">
        <f t="shared" si="63"/>
        <v>0</v>
      </c>
    </row>
    <row r="151" spans="1:90" ht="15" customHeight="1">
      <c r="A151" s="5618"/>
      <c r="B151" s="490" t="s">
        <v>355</v>
      </c>
      <c r="C151" s="172">
        <f t="shared" si="50"/>
        <v>0</v>
      </c>
      <c r="D151" s="632">
        <f t="shared" si="58"/>
        <v>0</v>
      </c>
      <c r="E151" s="703">
        <f t="shared" si="58"/>
        <v>0</v>
      </c>
      <c r="F151" s="534"/>
      <c r="G151" s="634"/>
      <c r="H151" s="534"/>
      <c r="I151" s="535"/>
      <c r="J151" s="534"/>
      <c r="K151" s="535"/>
      <c r="L151" s="659"/>
      <c r="M151" s="535"/>
      <c r="N151" s="534"/>
      <c r="O151" s="535"/>
      <c r="P151" s="534"/>
      <c r="Q151" s="535"/>
      <c r="R151" s="534"/>
      <c r="S151" s="535"/>
      <c r="T151" s="534"/>
      <c r="U151" s="535"/>
      <c r="V151" s="536"/>
      <c r="W151" s="535"/>
      <c r="X151" s="536"/>
      <c r="Y151" s="535"/>
      <c r="Z151" s="659"/>
      <c r="AA151" s="704"/>
      <c r="AB151" s="659"/>
      <c r="AC151" s="539"/>
      <c r="AD151" s="240" t="str">
        <f t="shared" si="59"/>
        <v/>
      </c>
      <c r="AE151" s="48"/>
      <c r="AF151" s="48"/>
      <c r="AG151" s="48"/>
      <c r="AH151" s="48"/>
      <c r="AI151" s="48"/>
      <c r="AJ151" s="48"/>
      <c r="AK151" s="48"/>
      <c r="AL151" s="48"/>
      <c r="AM151" s="48"/>
      <c r="AN151" s="48"/>
      <c r="AO151" s="48"/>
      <c r="AP151" s="48"/>
      <c r="AQ151" s="48"/>
      <c r="AR151" s="48"/>
      <c r="AS151" s="48"/>
      <c r="AT151" s="48"/>
      <c r="AU151" s="48"/>
      <c r="AV151" s="48"/>
      <c r="AW151" s="48"/>
      <c r="AX151" s="48"/>
      <c r="AY151" s="48"/>
      <c r="CA151" s="511" t="str">
        <f t="shared" si="60"/>
        <v/>
      </c>
      <c r="CB151" s="511" t="str">
        <f t="shared" si="61"/>
        <v/>
      </c>
      <c r="CK151" s="698">
        <f t="shared" si="62"/>
        <v>0</v>
      </c>
      <c r="CL151" s="698">
        <f t="shared" si="63"/>
        <v>0</v>
      </c>
    </row>
    <row r="152" spans="1:90" ht="15" customHeight="1">
      <c r="A152" s="5615" t="s">
        <v>361</v>
      </c>
      <c r="B152" s="5652"/>
      <c r="C152" s="705">
        <f>SUM(C122:C151)</f>
        <v>0</v>
      </c>
      <c r="D152" s="706">
        <f>SUM(D122:D151)</f>
        <v>0</v>
      </c>
      <c r="E152" s="707">
        <f t="shared" ref="E152:AA152" si="64">SUM(E122:E151)</f>
        <v>0</v>
      </c>
      <c r="F152" s="708">
        <f t="shared" si="64"/>
        <v>0</v>
      </c>
      <c r="G152" s="709">
        <f t="shared" si="64"/>
        <v>0</v>
      </c>
      <c r="H152" s="708">
        <f t="shared" si="64"/>
        <v>0</v>
      </c>
      <c r="I152" s="709">
        <f t="shared" si="64"/>
        <v>0</v>
      </c>
      <c r="J152" s="708">
        <f t="shared" si="64"/>
        <v>0</v>
      </c>
      <c r="K152" s="709">
        <f t="shared" si="64"/>
        <v>0</v>
      </c>
      <c r="L152" s="708">
        <f t="shared" si="64"/>
        <v>0</v>
      </c>
      <c r="M152" s="709">
        <f t="shared" si="64"/>
        <v>0</v>
      </c>
      <c r="N152" s="708">
        <f t="shared" si="64"/>
        <v>0</v>
      </c>
      <c r="O152" s="709">
        <f t="shared" si="64"/>
        <v>0</v>
      </c>
      <c r="P152" s="708">
        <f t="shared" si="64"/>
        <v>0</v>
      </c>
      <c r="Q152" s="709">
        <f t="shared" si="64"/>
        <v>0</v>
      </c>
      <c r="R152" s="708">
        <f t="shared" si="64"/>
        <v>0</v>
      </c>
      <c r="S152" s="709">
        <f t="shared" si="64"/>
        <v>0</v>
      </c>
      <c r="T152" s="708">
        <f t="shared" si="64"/>
        <v>0</v>
      </c>
      <c r="U152" s="709">
        <f t="shared" si="64"/>
        <v>0</v>
      </c>
      <c r="V152" s="708">
        <f t="shared" si="64"/>
        <v>0</v>
      </c>
      <c r="W152" s="709">
        <f t="shared" si="64"/>
        <v>0</v>
      </c>
      <c r="X152" s="708">
        <f t="shared" si="64"/>
        <v>0</v>
      </c>
      <c r="Y152" s="709">
        <f t="shared" si="64"/>
        <v>0</v>
      </c>
      <c r="Z152" s="710">
        <f t="shared" si="64"/>
        <v>0</v>
      </c>
      <c r="AA152" s="711">
        <f t="shared" si="64"/>
        <v>0</v>
      </c>
      <c r="AB152" s="712">
        <f t="shared" ref="AB152:AC152" si="65">SUM(AB122:AB151)</f>
        <v>0</v>
      </c>
      <c r="AC152" s="713">
        <f t="shared" si="65"/>
        <v>0</v>
      </c>
      <c r="AD152" s="240"/>
      <c r="AE152" s="48"/>
      <c r="AF152" s="48"/>
      <c r="AG152" s="48"/>
      <c r="AH152" s="48"/>
      <c r="AI152" s="48"/>
      <c r="AJ152" s="48"/>
      <c r="AK152" s="48"/>
      <c r="AL152" s="48"/>
      <c r="AM152" s="48"/>
      <c r="AN152" s="48"/>
      <c r="AO152" s="48"/>
      <c r="AP152" s="48"/>
      <c r="AQ152" s="48"/>
      <c r="AR152" s="48"/>
      <c r="AS152" s="48"/>
      <c r="AT152" s="48"/>
      <c r="AU152" s="48"/>
      <c r="AV152" s="48"/>
      <c r="AW152" s="48"/>
      <c r="AX152" s="48"/>
      <c r="AY152" s="48"/>
    </row>
    <row r="153" spans="1:90" ht="15" customHeight="1">
      <c r="A153" s="5777" t="s">
        <v>362</v>
      </c>
      <c r="B153" s="714" t="s">
        <v>351</v>
      </c>
      <c r="C153" s="715"/>
      <c r="D153" s="716"/>
      <c r="E153" s="717"/>
      <c r="F153" s="588"/>
      <c r="G153" s="718"/>
      <c r="H153" s="588"/>
      <c r="I153" s="719"/>
      <c r="J153" s="588"/>
      <c r="K153" s="719"/>
      <c r="L153" s="720"/>
      <c r="M153" s="719"/>
      <c r="N153" s="588"/>
      <c r="O153" s="719"/>
      <c r="P153" s="588"/>
      <c r="Q153" s="719"/>
      <c r="R153" s="588"/>
      <c r="S153" s="719"/>
      <c r="T153" s="588"/>
      <c r="U153" s="719"/>
      <c r="V153" s="721"/>
      <c r="W153" s="719"/>
      <c r="X153" s="721"/>
      <c r="Y153" s="719"/>
      <c r="Z153" s="720"/>
      <c r="AA153" s="722"/>
      <c r="AB153" s="720"/>
      <c r="AC153" s="647"/>
      <c r="AD153" s="240" t="str">
        <f t="shared" si="59"/>
        <v/>
      </c>
      <c r="AE153" s="48"/>
      <c r="AF153" s="48"/>
      <c r="AG153" s="48"/>
      <c r="AH153" s="48"/>
      <c r="AI153" s="48"/>
      <c r="AJ153" s="48"/>
      <c r="AK153" s="48"/>
      <c r="AL153" s="48"/>
      <c r="AM153" s="48"/>
      <c r="AN153" s="48"/>
      <c r="AO153" s="48"/>
      <c r="AP153" s="48"/>
      <c r="AQ153" s="48"/>
      <c r="AR153" s="48"/>
      <c r="AS153" s="48"/>
      <c r="AT153" s="48"/>
      <c r="AU153" s="48"/>
      <c r="AV153" s="48"/>
      <c r="AW153" s="48"/>
      <c r="AX153" s="48"/>
      <c r="AY153" s="48"/>
      <c r="CA153" s="511" t="str">
        <f t="shared" si="60"/>
        <v/>
      </c>
      <c r="CB153" s="511" t="str">
        <f t="shared" si="61"/>
        <v/>
      </c>
      <c r="CK153" s="698">
        <f t="shared" si="62"/>
        <v>0</v>
      </c>
      <c r="CL153" s="698">
        <f t="shared" si="63"/>
        <v>0</v>
      </c>
    </row>
    <row r="154" spans="1:90" ht="15" customHeight="1">
      <c r="A154" s="5777"/>
      <c r="B154" s="714" t="s">
        <v>352</v>
      </c>
      <c r="C154" s="715"/>
      <c r="D154" s="716"/>
      <c r="E154" s="717"/>
      <c r="F154" s="588"/>
      <c r="G154" s="718"/>
      <c r="H154" s="588"/>
      <c r="I154" s="719"/>
      <c r="J154" s="588"/>
      <c r="K154" s="719"/>
      <c r="L154" s="720"/>
      <c r="M154" s="719"/>
      <c r="N154" s="588"/>
      <c r="O154" s="719"/>
      <c r="P154" s="588"/>
      <c r="Q154" s="719"/>
      <c r="R154" s="588"/>
      <c r="S154" s="719"/>
      <c r="T154" s="588"/>
      <c r="U154" s="719"/>
      <c r="V154" s="721"/>
      <c r="W154" s="719"/>
      <c r="X154" s="721"/>
      <c r="Y154" s="719"/>
      <c r="Z154" s="720"/>
      <c r="AA154" s="722"/>
      <c r="AB154" s="720"/>
      <c r="AC154" s="647"/>
      <c r="AD154" s="240" t="str">
        <f t="shared" si="59"/>
        <v/>
      </c>
      <c r="AE154" s="48"/>
      <c r="AF154" s="48"/>
      <c r="AG154" s="48"/>
      <c r="AH154" s="48"/>
      <c r="AI154" s="48"/>
      <c r="AJ154" s="48"/>
      <c r="AK154" s="48"/>
      <c r="AL154" s="48"/>
      <c r="AM154" s="48"/>
      <c r="AN154" s="48"/>
      <c r="AO154" s="48"/>
      <c r="AP154" s="48"/>
      <c r="AQ154" s="48"/>
      <c r="AR154" s="48"/>
      <c r="AS154" s="48"/>
      <c r="AT154" s="48"/>
      <c r="AU154" s="48"/>
      <c r="AV154" s="48"/>
      <c r="AW154" s="48"/>
      <c r="AX154" s="48"/>
      <c r="AY154" s="48"/>
      <c r="CA154" s="511" t="str">
        <f t="shared" si="60"/>
        <v/>
      </c>
      <c r="CB154" s="511" t="str">
        <f t="shared" si="61"/>
        <v/>
      </c>
      <c r="CK154" s="698">
        <f t="shared" si="62"/>
        <v>0</v>
      </c>
      <c r="CL154" s="698">
        <f t="shared" si="63"/>
        <v>0</v>
      </c>
    </row>
    <row r="155" spans="1:90" ht="15" customHeight="1">
      <c r="A155" s="5777"/>
      <c r="B155" s="723" t="s">
        <v>353</v>
      </c>
      <c r="C155" s="715"/>
      <c r="D155" s="716"/>
      <c r="E155" s="717"/>
      <c r="F155" s="588"/>
      <c r="G155" s="718"/>
      <c r="H155" s="588"/>
      <c r="I155" s="719"/>
      <c r="J155" s="588"/>
      <c r="K155" s="719"/>
      <c r="L155" s="720"/>
      <c r="M155" s="719"/>
      <c r="N155" s="588"/>
      <c r="O155" s="719"/>
      <c r="P155" s="588"/>
      <c r="Q155" s="719"/>
      <c r="R155" s="588"/>
      <c r="S155" s="719"/>
      <c r="T155" s="588"/>
      <c r="U155" s="719"/>
      <c r="V155" s="721"/>
      <c r="W155" s="719"/>
      <c r="X155" s="721"/>
      <c r="Y155" s="719"/>
      <c r="Z155" s="720"/>
      <c r="AA155" s="722"/>
      <c r="AB155" s="720"/>
      <c r="AC155" s="647"/>
      <c r="AD155" s="240" t="str">
        <f t="shared" si="59"/>
        <v/>
      </c>
      <c r="AE155" s="48"/>
      <c r="AF155" s="48"/>
      <c r="AG155" s="48"/>
      <c r="AH155" s="48"/>
      <c r="AI155" s="48"/>
      <c r="AJ155" s="48"/>
      <c r="AK155" s="48"/>
      <c r="AL155" s="48"/>
      <c r="AM155" s="48"/>
      <c r="AN155" s="48"/>
      <c r="AO155" s="48"/>
      <c r="AP155" s="48"/>
      <c r="AQ155" s="48"/>
      <c r="AR155" s="48"/>
      <c r="AS155" s="48"/>
      <c r="AT155" s="48"/>
      <c r="AU155" s="48"/>
      <c r="AV155" s="48"/>
      <c r="AW155" s="48"/>
      <c r="AX155" s="48"/>
      <c r="AY155" s="48"/>
      <c r="CA155" s="511" t="str">
        <f t="shared" si="60"/>
        <v/>
      </c>
      <c r="CB155" s="511" t="str">
        <f t="shared" si="61"/>
        <v/>
      </c>
      <c r="CK155" s="698">
        <f t="shared" si="62"/>
        <v>0</v>
      </c>
      <c r="CL155" s="698">
        <f t="shared" si="63"/>
        <v>0</v>
      </c>
    </row>
    <row r="156" spans="1:90" ht="15" customHeight="1">
      <c r="A156" s="5777"/>
      <c r="B156" s="723" t="s">
        <v>354</v>
      </c>
      <c r="C156" s="715"/>
      <c r="D156" s="716"/>
      <c r="E156" s="717"/>
      <c r="F156" s="588"/>
      <c r="G156" s="718"/>
      <c r="H156" s="588"/>
      <c r="I156" s="719"/>
      <c r="J156" s="588"/>
      <c r="K156" s="719"/>
      <c r="L156" s="720"/>
      <c r="M156" s="719"/>
      <c r="N156" s="588"/>
      <c r="O156" s="719"/>
      <c r="P156" s="588"/>
      <c r="Q156" s="719"/>
      <c r="R156" s="588"/>
      <c r="S156" s="719"/>
      <c r="T156" s="588"/>
      <c r="U156" s="719"/>
      <c r="V156" s="721"/>
      <c r="W156" s="719"/>
      <c r="X156" s="721"/>
      <c r="Y156" s="719"/>
      <c r="Z156" s="720"/>
      <c r="AA156" s="722"/>
      <c r="AB156" s="720"/>
      <c r="AC156" s="647"/>
      <c r="AD156" s="240" t="str">
        <f t="shared" si="59"/>
        <v/>
      </c>
      <c r="AE156" s="48"/>
      <c r="AF156" s="48"/>
      <c r="AG156" s="48"/>
      <c r="AH156" s="48"/>
      <c r="AI156" s="48"/>
      <c r="AJ156" s="48"/>
      <c r="AK156" s="48"/>
      <c r="AL156" s="48"/>
      <c r="AM156" s="48"/>
      <c r="AN156" s="48"/>
      <c r="AO156" s="48"/>
      <c r="AP156" s="48"/>
      <c r="AQ156" s="48"/>
      <c r="AR156" s="48"/>
      <c r="AS156" s="48"/>
      <c r="AT156" s="48"/>
      <c r="AU156" s="48"/>
      <c r="AV156" s="48"/>
      <c r="AW156" s="48"/>
      <c r="AX156" s="48"/>
      <c r="AY156" s="48"/>
      <c r="CA156" s="511" t="str">
        <f t="shared" si="60"/>
        <v/>
      </c>
      <c r="CB156" s="511" t="str">
        <f t="shared" si="61"/>
        <v/>
      </c>
      <c r="CK156" s="698">
        <f t="shared" si="62"/>
        <v>0</v>
      </c>
      <c r="CL156" s="698">
        <f t="shared" si="63"/>
        <v>0</v>
      </c>
    </row>
    <row r="157" spans="1:90" ht="15" customHeight="1">
      <c r="A157" s="5777"/>
      <c r="B157" s="724" t="s">
        <v>355</v>
      </c>
      <c r="C157" s="725"/>
      <c r="D157" s="726"/>
      <c r="E157" s="727"/>
      <c r="F157" s="155"/>
      <c r="G157" s="156"/>
      <c r="H157" s="155"/>
      <c r="I157" s="728"/>
      <c r="J157" s="155"/>
      <c r="K157" s="728"/>
      <c r="L157" s="666"/>
      <c r="M157" s="728"/>
      <c r="N157" s="155"/>
      <c r="O157" s="728"/>
      <c r="P157" s="155"/>
      <c r="Q157" s="728"/>
      <c r="R157" s="155"/>
      <c r="S157" s="728"/>
      <c r="T157" s="155"/>
      <c r="U157" s="728"/>
      <c r="V157" s="729"/>
      <c r="W157" s="728"/>
      <c r="X157" s="729"/>
      <c r="Y157" s="728"/>
      <c r="Z157" s="666"/>
      <c r="AA157" s="730"/>
      <c r="AB157" s="666"/>
      <c r="AC157" s="98"/>
      <c r="AD157" s="240" t="str">
        <f t="shared" si="59"/>
        <v/>
      </c>
      <c r="AE157" s="48"/>
      <c r="AF157" s="48"/>
      <c r="AG157" s="48"/>
      <c r="AH157" s="48"/>
      <c r="AI157" s="48"/>
      <c r="AJ157" s="48"/>
      <c r="AK157" s="48"/>
      <c r="AL157" s="48"/>
      <c r="AM157" s="48"/>
      <c r="AN157" s="48"/>
      <c r="AO157" s="48"/>
      <c r="AP157" s="48"/>
      <c r="AQ157" s="48"/>
      <c r="AR157" s="48"/>
      <c r="AS157" s="48"/>
      <c r="AT157" s="48"/>
      <c r="AU157" s="48"/>
      <c r="AV157" s="48"/>
      <c r="AW157" s="48"/>
      <c r="AX157" s="48"/>
      <c r="AY157" s="48"/>
      <c r="CA157" s="511" t="str">
        <f t="shared" si="60"/>
        <v/>
      </c>
      <c r="CB157" s="511" t="str">
        <f t="shared" si="61"/>
        <v/>
      </c>
      <c r="CK157" s="698">
        <f t="shared" si="62"/>
        <v>0</v>
      </c>
      <c r="CL157" s="698">
        <f t="shared" si="63"/>
        <v>0</v>
      </c>
    </row>
    <row r="158" spans="1:90">
      <c r="A158" s="5778" t="s">
        <v>361</v>
      </c>
      <c r="B158" s="5779"/>
      <c r="C158" s="731"/>
      <c r="D158" s="732"/>
      <c r="E158" s="733"/>
      <c r="F158" s="734"/>
      <c r="G158" s="735"/>
      <c r="H158" s="734"/>
      <c r="I158" s="735"/>
      <c r="J158" s="734"/>
      <c r="K158" s="735"/>
      <c r="L158" s="734"/>
      <c r="M158" s="735"/>
      <c r="N158" s="734"/>
      <c r="O158" s="735"/>
      <c r="P158" s="734"/>
      <c r="Q158" s="735"/>
      <c r="R158" s="734"/>
      <c r="S158" s="735"/>
      <c r="T158" s="734"/>
      <c r="U158" s="735"/>
      <c r="V158" s="734"/>
      <c r="W158" s="735"/>
      <c r="X158" s="734"/>
      <c r="Y158" s="735"/>
      <c r="Z158" s="734"/>
      <c r="AA158" s="736"/>
      <c r="AB158" s="737"/>
      <c r="AC158" s="731"/>
      <c r="AD158" s="48"/>
      <c r="AE158" s="48"/>
      <c r="AF158" s="48"/>
      <c r="AG158" s="48"/>
      <c r="AH158" s="48"/>
      <c r="AI158" s="48"/>
      <c r="AJ158" s="48"/>
      <c r="AK158" s="48"/>
      <c r="AL158" s="48"/>
      <c r="AM158" s="48"/>
      <c r="AN158" s="48"/>
      <c r="AO158" s="48"/>
      <c r="AP158" s="48"/>
      <c r="AQ158" s="48"/>
      <c r="AR158" s="48"/>
      <c r="AS158" s="48"/>
      <c r="AT158" s="48"/>
      <c r="AU158" s="48"/>
      <c r="AV158" s="48"/>
      <c r="AW158" s="48"/>
      <c r="AX158" s="48"/>
      <c r="AY158" s="48"/>
    </row>
    <row r="159" spans="1:90" ht="18" customHeight="1">
      <c r="A159" s="738" t="s">
        <v>363</v>
      </c>
      <c r="B159" s="739"/>
      <c r="C159" s="739"/>
      <c r="D159" s="739"/>
      <c r="E159" s="624"/>
      <c r="F159" s="740"/>
      <c r="G159" s="740"/>
      <c r="H159" s="740"/>
      <c r="I159" s="740"/>
      <c r="J159" s="740"/>
      <c r="K159" s="740"/>
      <c r="L159" s="740"/>
      <c r="M159" s="740"/>
      <c r="N159" s="740"/>
      <c r="O159" s="740"/>
      <c r="P159" s="740"/>
      <c r="Q159" s="740"/>
      <c r="R159" s="740"/>
      <c r="S159" s="740"/>
      <c r="T159" s="740"/>
      <c r="U159" s="740"/>
      <c r="V159" s="740"/>
      <c r="W159" s="740"/>
      <c r="X159" s="740"/>
      <c r="Y159" s="740"/>
      <c r="Z159" s="469"/>
      <c r="AA159" s="469"/>
      <c r="AB159" s="741"/>
      <c r="AC159" s="741"/>
      <c r="AD159" s="741"/>
      <c r="AE159" s="741"/>
      <c r="AF159" s="741"/>
      <c r="AG159" s="741"/>
      <c r="AH159" s="741"/>
      <c r="AI159" s="741"/>
      <c r="AJ159" s="741"/>
      <c r="AK159" s="741"/>
      <c r="AL159" s="741"/>
      <c r="AM159" s="741"/>
      <c r="AN159" s="48"/>
      <c r="AO159" s="48"/>
      <c r="AP159" s="48"/>
      <c r="AQ159" s="48"/>
      <c r="AR159" s="48"/>
      <c r="AS159" s="48"/>
      <c r="AT159" s="48"/>
      <c r="AU159" s="48"/>
      <c r="AV159" s="48"/>
      <c r="AW159" s="48"/>
      <c r="AX159" s="48"/>
      <c r="AY159" s="48"/>
    </row>
    <row r="160" spans="1:90" ht="15" customHeight="1">
      <c r="A160" s="5627" t="s">
        <v>268</v>
      </c>
      <c r="B160" s="5624"/>
      <c r="C160" s="5642" t="s">
        <v>91</v>
      </c>
      <c r="D160" s="5627"/>
      <c r="E160" s="5624"/>
      <c r="F160" s="5615" t="s">
        <v>115</v>
      </c>
      <c r="G160" s="5616"/>
      <c r="H160" s="5616"/>
      <c r="I160" s="5616"/>
      <c r="J160" s="5616"/>
      <c r="K160" s="5616"/>
      <c r="L160" s="5616"/>
      <c r="M160" s="5616"/>
      <c r="N160" s="5616"/>
      <c r="O160" s="5616"/>
      <c r="P160" s="5616"/>
      <c r="Q160" s="5616"/>
      <c r="R160" s="5616"/>
      <c r="S160" s="5616"/>
      <c r="T160" s="5616"/>
      <c r="U160" s="5616"/>
      <c r="V160" s="5616"/>
      <c r="W160" s="5616"/>
      <c r="X160" s="5616"/>
      <c r="Y160" s="5616"/>
      <c r="Z160" s="5616"/>
      <c r="AA160" s="5616"/>
      <c r="AB160" s="5616"/>
      <c r="AC160" s="5616"/>
      <c r="AD160" s="5616"/>
      <c r="AE160" s="5616"/>
      <c r="AF160" s="5616"/>
      <c r="AG160" s="5616"/>
      <c r="AH160" s="5616"/>
      <c r="AI160" s="5616"/>
      <c r="AJ160" s="5616"/>
      <c r="AK160" s="5616"/>
      <c r="AL160" s="5616"/>
      <c r="AM160" s="5652"/>
      <c r="AN160" s="48"/>
      <c r="AO160" s="48"/>
      <c r="AP160" s="48"/>
      <c r="AQ160" s="48"/>
      <c r="AR160" s="48"/>
      <c r="AS160" s="48"/>
      <c r="AT160" s="48"/>
      <c r="AU160" s="48"/>
      <c r="AV160" s="48"/>
      <c r="AW160" s="48"/>
      <c r="AX160" s="48"/>
      <c r="AY160" s="48"/>
    </row>
    <row r="161" spans="1:51" ht="15" customHeight="1">
      <c r="A161" s="5644"/>
      <c r="B161" s="5645"/>
      <c r="C161" s="5659"/>
      <c r="D161" s="5731"/>
      <c r="E161" s="5625"/>
      <c r="F161" s="5615" t="s">
        <v>364</v>
      </c>
      <c r="G161" s="5652"/>
      <c r="H161" s="5615" t="s">
        <v>347</v>
      </c>
      <c r="I161" s="5652"/>
      <c r="J161" s="5615" t="s">
        <v>108</v>
      </c>
      <c r="K161" s="5652"/>
      <c r="L161" s="5782" t="s">
        <v>58</v>
      </c>
      <c r="M161" s="5783"/>
      <c r="N161" s="5783" t="s">
        <v>59</v>
      </c>
      <c r="O161" s="5784"/>
      <c r="P161" s="5615" t="s">
        <v>60</v>
      </c>
      <c r="Q161" s="5652"/>
      <c r="R161" s="5616" t="s">
        <v>61</v>
      </c>
      <c r="S161" s="5652"/>
      <c r="T161" s="5616" t="s">
        <v>62</v>
      </c>
      <c r="U161" s="5652"/>
      <c r="V161" s="5615" t="s">
        <v>63</v>
      </c>
      <c r="W161" s="5652"/>
      <c r="X161" s="5616" t="s">
        <v>64</v>
      </c>
      <c r="Y161" s="5652"/>
      <c r="Z161" s="5774" t="s">
        <v>65</v>
      </c>
      <c r="AA161" s="5786"/>
      <c r="AB161" s="5774" t="s">
        <v>66</v>
      </c>
      <c r="AC161" s="5786"/>
      <c r="AD161" s="5774" t="s">
        <v>67</v>
      </c>
      <c r="AE161" s="5786"/>
      <c r="AF161" s="5774" t="s">
        <v>68</v>
      </c>
      <c r="AG161" s="5786"/>
      <c r="AH161" s="5774" t="s">
        <v>69</v>
      </c>
      <c r="AI161" s="5786"/>
      <c r="AJ161" s="5774" t="s">
        <v>70</v>
      </c>
      <c r="AK161" s="5786"/>
      <c r="AL161" s="5787" t="s">
        <v>71</v>
      </c>
      <c r="AM161" s="5786"/>
      <c r="AN161" s="48"/>
      <c r="AO161" s="48"/>
      <c r="AP161" s="48"/>
      <c r="AQ161" s="48"/>
      <c r="AR161" s="48"/>
      <c r="AS161" s="48"/>
      <c r="AT161" s="48"/>
      <c r="AU161" s="48"/>
      <c r="AV161" s="48"/>
      <c r="AW161" s="48"/>
      <c r="AX161" s="48"/>
      <c r="AY161" s="48"/>
    </row>
    <row r="162" spans="1:51" ht="15" customHeight="1">
      <c r="A162" s="5731"/>
      <c r="B162" s="5625"/>
      <c r="C162" s="57" t="s">
        <v>93</v>
      </c>
      <c r="D162" s="743" t="s">
        <v>72</v>
      </c>
      <c r="E162" s="638" t="s">
        <v>73</v>
      </c>
      <c r="F162" s="478" t="s">
        <v>72</v>
      </c>
      <c r="G162" s="638" t="s">
        <v>73</v>
      </c>
      <c r="H162" s="478" t="s">
        <v>72</v>
      </c>
      <c r="I162" s="638" t="s">
        <v>73</v>
      </c>
      <c r="J162" s="478" t="s">
        <v>72</v>
      </c>
      <c r="K162" s="638" t="s">
        <v>73</v>
      </c>
      <c r="L162" s="75" t="s">
        <v>72</v>
      </c>
      <c r="M162" s="73" t="s">
        <v>73</v>
      </c>
      <c r="N162" s="68" t="s">
        <v>72</v>
      </c>
      <c r="O162" s="232" t="s">
        <v>73</v>
      </c>
      <c r="P162" s="68" t="s">
        <v>72</v>
      </c>
      <c r="Q162" s="232" t="s">
        <v>73</v>
      </c>
      <c r="R162" s="196" t="s">
        <v>72</v>
      </c>
      <c r="S162" s="74" t="s">
        <v>73</v>
      </c>
      <c r="T162" s="196" t="s">
        <v>72</v>
      </c>
      <c r="U162" s="74" t="s">
        <v>73</v>
      </c>
      <c r="V162" s="75" t="s">
        <v>72</v>
      </c>
      <c r="W162" s="74" t="s">
        <v>73</v>
      </c>
      <c r="X162" s="196" t="s">
        <v>72</v>
      </c>
      <c r="Y162" s="74" t="s">
        <v>73</v>
      </c>
      <c r="Z162" s="66" t="s">
        <v>72</v>
      </c>
      <c r="AA162" s="744" t="s">
        <v>73</v>
      </c>
      <c r="AB162" s="66" t="s">
        <v>72</v>
      </c>
      <c r="AC162" s="744" t="s">
        <v>73</v>
      </c>
      <c r="AD162" s="66" t="s">
        <v>72</v>
      </c>
      <c r="AE162" s="744" t="s">
        <v>73</v>
      </c>
      <c r="AF162" s="66" t="s">
        <v>72</v>
      </c>
      <c r="AG162" s="744" t="s">
        <v>73</v>
      </c>
      <c r="AH162" s="66" t="s">
        <v>72</v>
      </c>
      <c r="AI162" s="744" t="s">
        <v>73</v>
      </c>
      <c r="AJ162" s="66" t="s">
        <v>72</v>
      </c>
      <c r="AK162" s="744" t="s">
        <v>73</v>
      </c>
      <c r="AL162" s="745" t="s">
        <v>72</v>
      </c>
      <c r="AM162" s="744" t="s">
        <v>73</v>
      </c>
      <c r="AN162" s="48"/>
      <c r="AO162" s="48"/>
      <c r="AP162" s="48"/>
      <c r="AQ162" s="48"/>
      <c r="AR162" s="48"/>
      <c r="AS162" s="48"/>
      <c r="AT162" s="48"/>
      <c r="AU162" s="48"/>
      <c r="AV162" s="48"/>
      <c r="AW162" s="48"/>
      <c r="AX162" s="48"/>
      <c r="AY162" s="48"/>
    </row>
    <row r="163" spans="1:51" ht="15" customHeight="1">
      <c r="A163" s="5788" t="s">
        <v>365</v>
      </c>
      <c r="B163" s="175" t="s">
        <v>366</v>
      </c>
      <c r="C163" s="78">
        <f t="shared" ref="C163:C185" si="66">SUM(D163+E163)</f>
        <v>0</v>
      </c>
      <c r="D163" s="627">
        <f t="shared" ref="D163:E168" si="67">SUM(F163+H163+J163+L163+N163+P163+R163+T163+V163+X163+Z163+AB163+AD163+AF163+AH163+AJ163+AL163)</f>
        <v>0</v>
      </c>
      <c r="E163" s="554">
        <f t="shared" si="67"/>
        <v>0</v>
      </c>
      <c r="F163" s="95"/>
      <c r="G163" s="237"/>
      <c r="H163" s="95"/>
      <c r="I163" s="237"/>
      <c r="J163" s="95"/>
      <c r="K163" s="237"/>
      <c r="L163" s="95"/>
      <c r="M163" s="96"/>
      <c r="N163" s="96"/>
      <c r="O163" s="237"/>
      <c r="P163" s="95"/>
      <c r="Q163" s="237"/>
      <c r="R163" s="86"/>
      <c r="S163" s="237"/>
      <c r="T163" s="86"/>
      <c r="U163" s="237"/>
      <c r="V163" s="95"/>
      <c r="W163" s="237"/>
      <c r="X163" s="86"/>
      <c r="Y163" s="237"/>
      <c r="Z163" s="95"/>
      <c r="AA163" s="237"/>
      <c r="AB163" s="95"/>
      <c r="AC163" s="237"/>
      <c r="AD163" s="95"/>
      <c r="AE163" s="237"/>
      <c r="AF163" s="95"/>
      <c r="AG163" s="237"/>
      <c r="AH163" s="95"/>
      <c r="AI163" s="237"/>
      <c r="AJ163" s="95"/>
      <c r="AK163" s="237"/>
      <c r="AL163" s="86"/>
      <c r="AM163" s="237"/>
      <c r="AN163" s="48"/>
      <c r="AO163" s="48"/>
      <c r="AP163" s="48"/>
      <c r="AQ163" s="48"/>
      <c r="AR163" s="48"/>
      <c r="AS163" s="48"/>
      <c r="AT163" s="48"/>
      <c r="AU163" s="48"/>
      <c r="AV163" s="48"/>
      <c r="AW163" s="48"/>
      <c r="AX163" s="48"/>
      <c r="AY163" s="48"/>
    </row>
    <row r="164" spans="1:51" ht="15" customHeight="1">
      <c r="A164" s="5789"/>
      <c r="B164" s="746" t="s">
        <v>367</v>
      </c>
      <c r="C164" s="612">
        <f t="shared" si="66"/>
        <v>0</v>
      </c>
      <c r="D164" s="629">
        <f t="shared" si="67"/>
        <v>0</v>
      </c>
      <c r="E164" s="280">
        <f t="shared" si="67"/>
        <v>0</v>
      </c>
      <c r="F164" s="207"/>
      <c r="G164" s="247"/>
      <c r="H164" s="207"/>
      <c r="I164" s="247"/>
      <c r="J164" s="207"/>
      <c r="K164" s="247"/>
      <c r="L164" s="207"/>
      <c r="M164" s="209"/>
      <c r="N164" s="209"/>
      <c r="O164" s="247"/>
      <c r="P164" s="207"/>
      <c r="Q164" s="247"/>
      <c r="R164" s="278"/>
      <c r="S164" s="247"/>
      <c r="T164" s="278"/>
      <c r="U164" s="247"/>
      <c r="V164" s="207"/>
      <c r="W164" s="247"/>
      <c r="X164" s="278"/>
      <c r="Y164" s="247"/>
      <c r="Z164" s="207"/>
      <c r="AA164" s="247"/>
      <c r="AB164" s="207"/>
      <c r="AC164" s="247"/>
      <c r="AD164" s="207"/>
      <c r="AE164" s="247"/>
      <c r="AF164" s="207"/>
      <c r="AG164" s="247"/>
      <c r="AH164" s="207"/>
      <c r="AI164" s="247"/>
      <c r="AJ164" s="207"/>
      <c r="AK164" s="247"/>
      <c r="AL164" s="278"/>
      <c r="AM164" s="247"/>
      <c r="AN164" s="48"/>
      <c r="AO164" s="48"/>
      <c r="AP164" s="48"/>
      <c r="AQ164" s="48"/>
      <c r="AR164" s="48"/>
      <c r="AS164" s="48"/>
      <c r="AT164" s="48"/>
      <c r="AU164" s="48"/>
      <c r="AV164" s="48"/>
      <c r="AW164" s="48"/>
      <c r="AX164" s="48"/>
      <c r="AY164" s="48"/>
    </row>
    <row r="165" spans="1:51" ht="15" customHeight="1">
      <c r="A165" s="5790"/>
      <c r="B165" s="748" t="s">
        <v>368</v>
      </c>
      <c r="C165" s="217">
        <f t="shared" si="66"/>
        <v>0</v>
      </c>
      <c r="D165" s="749">
        <f t="shared" si="67"/>
        <v>0</v>
      </c>
      <c r="E165" s="563">
        <f t="shared" si="67"/>
        <v>0</v>
      </c>
      <c r="F165" s="122"/>
      <c r="G165" s="254"/>
      <c r="H165" s="122"/>
      <c r="I165" s="254"/>
      <c r="J165" s="122"/>
      <c r="K165" s="254"/>
      <c r="L165" s="122"/>
      <c r="M165" s="110"/>
      <c r="N165" s="110"/>
      <c r="O165" s="254"/>
      <c r="P165" s="122"/>
      <c r="Q165" s="254"/>
      <c r="R165" s="113"/>
      <c r="S165" s="254"/>
      <c r="T165" s="113"/>
      <c r="U165" s="254"/>
      <c r="V165" s="122"/>
      <c r="W165" s="254"/>
      <c r="X165" s="113"/>
      <c r="Y165" s="254"/>
      <c r="Z165" s="122"/>
      <c r="AA165" s="254"/>
      <c r="AB165" s="122"/>
      <c r="AC165" s="254"/>
      <c r="AD165" s="122"/>
      <c r="AE165" s="254"/>
      <c r="AF165" s="122"/>
      <c r="AG165" s="254"/>
      <c r="AH165" s="122"/>
      <c r="AI165" s="254"/>
      <c r="AJ165" s="122"/>
      <c r="AK165" s="254"/>
      <c r="AL165" s="113"/>
      <c r="AM165" s="254"/>
      <c r="AN165" s="48"/>
      <c r="AO165" s="48"/>
      <c r="AP165" s="48"/>
      <c r="AQ165" s="48"/>
      <c r="AR165" s="48"/>
      <c r="AS165" s="48"/>
      <c r="AT165" s="48"/>
      <c r="AU165" s="48"/>
      <c r="AV165" s="48"/>
      <c r="AW165" s="48"/>
      <c r="AX165" s="48"/>
      <c r="AY165" s="48"/>
    </row>
    <row r="166" spans="1:51" ht="15" customHeight="1">
      <c r="A166" s="5788" t="s">
        <v>369</v>
      </c>
      <c r="B166" s="175" t="s">
        <v>366</v>
      </c>
      <c r="C166" s="78">
        <f t="shared" si="66"/>
        <v>0</v>
      </c>
      <c r="D166" s="627">
        <f t="shared" si="67"/>
        <v>0</v>
      </c>
      <c r="E166" s="554">
        <f t="shared" si="67"/>
        <v>0</v>
      </c>
      <c r="F166" s="95"/>
      <c r="G166" s="237"/>
      <c r="H166" s="95"/>
      <c r="I166" s="237"/>
      <c r="J166" s="95"/>
      <c r="K166" s="237"/>
      <c r="L166" s="95"/>
      <c r="M166" s="96"/>
      <c r="N166" s="96"/>
      <c r="O166" s="237"/>
      <c r="P166" s="95"/>
      <c r="Q166" s="237"/>
      <c r="R166" s="86"/>
      <c r="S166" s="237"/>
      <c r="T166" s="86"/>
      <c r="U166" s="237"/>
      <c r="V166" s="95"/>
      <c r="W166" s="237"/>
      <c r="X166" s="86"/>
      <c r="Y166" s="237"/>
      <c r="Z166" s="95"/>
      <c r="AA166" s="237"/>
      <c r="AB166" s="95"/>
      <c r="AC166" s="237"/>
      <c r="AD166" s="95"/>
      <c r="AE166" s="237"/>
      <c r="AF166" s="95"/>
      <c r="AG166" s="237"/>
      <c r="AH166" s="95"/>
      <c r="AI166" s="237"/>
      <c r="AJ166" s="95"/>
      <c r="AK166" s="237"/>
      <c r="AL166" s="86"/>
      <c r="AM166" s="237"/>
      <c r="AN166" s="48"/>
      <c r="AO166" s="48"/>
      <c r="AP166" s="48"/>
      <c r="AQ166" s="48"/>
      <c r="AR166" s="48"/>
      <c r="AS166" s="48"/>
      <c r="AT166" s="48"/>
      <c r="AU166" s="48"/>
      <c r="AV166" s="48"/>
      <c r="AW166" s="48"/>
      <c r="AX166" s="48"/>
      <c r="AY166" s="48"/>
    </row>
    <row r="167" spans="1:51" ht="15" customHeight="1">
      <c r="A167" s="5789"/>
      <c r="B167" s="746" t="s">
        <v>367</v>
      </c>
      <c r="C167" s="612">
        <f t="shared" si="66"/>
        <v>0</v>
      </c>
      <c r="D167" s="629">
        <f t="shared" si="67"/>
        <v>0</v>
      </c>
      <c r="E167" s="280">
        <f t="shared" si="67"/>
        <v>0</v>
      </c>
      <c r="F167" s="207"/>
      <c r="G167" s="247"/>
      <c r="H167" s="207"/>
      <c r="I167" s="247"/>
      <c r="J167" s="207"/>
      <c r="K167" s="247"/>
      <c r="L167" s="207"/>
      <c r="M167" s="209"/>
      <c r="N167" s="209"/>
      <c r="O167" s="247"/>
      <c r="P167" s="207"/>
      <c r="Q167" s="247"/>
      <c r="R167" s="278"/>
      <c r="S167" s="247"/>
      <c r="T167" s="278"/>
      <c r="U167" s="247"/>
      <c r="V167" s="207"/>
      <c r="W167" s="247"/>
      <c r="X167" s="278"/>
      <c r="Y167" s="247"/>
      <c r="Z167" s="207"/>
      <c r="AA167" s="247"/>
      <c r="AB167" s="207"/>
      <c r="AC167" s="247"/>
      <c r="AD167" s="207"/>
      <c r="AE167" s="247"/>
      <c r="AF167" s="207"/>
      <c r="AG167" s="247"/>
      <c r="AH167" s="207"/>
      <c r="AI167" s="247"/>
      <c r="AJ167" s="207"/>
      <c r="AK167" s="247"/>
      <c r="AL167" s="278"/>
      <c r="AM167" s="247"/>
      <c r="AN167" s="48"/>
      <c r="AO167" s="48"/>
      <c r="AP167" s="48"/>
      <c r="AQ167" s="48"/>
      <c r="AR167" s="48"/>
      <c r="AS167" s="48"/>
      <c r="AT167" s="48"/>
      <c r="AU167" s="48"/>
      <c r="AV167" s="48"/>
      <c r="AW167" s="48"/>
      <c r="AX167" s="48"/>
      <c r="AY167" s="48"/>
    </row>
    <row r="168" spans="1:51" ht="15" customHeight="1">
      <c r="A168" s="5790"/>
      <c r="B168" s="748" t="s">
        <v>368</v>
      </c>
      <c r="C168" s="217">
        <f t="shared" si="66"/>
        <v>0</v>
      </c>
      <c r="D168" s="749">
        <f t="shared" si="67"/>
        <v>0</v>
      </c>
      <c r="E168" s="563">
        <f t="shared" si="67"/>
        <v>0</v>
      </c>
      <c r="F168" s="122"/>
      <c r="G168" s="254"/>
      <c r="H168" s="122"/>
      <c r="I168" s="254"/>
      <c r="J168" s="122"/>
      <c r="K168" s="254"/>
      <c r="L168" s="122"/>
      <c r="M168" s="110"/>
      <c r="N168" s="110"/>
      <c r="O168" s="254"/>
      <c r="P168" s="122"/>
      <c r="Q168" s="254"/>
      <c r="R168" s="113"/>
      <c r="S168" s="254"/>
      <c r="T168" s="113"/>
      <c r="U168" s="254"/>
      <c r="V168" s="122"/>
      <c r="W168" s="254"/>
      <c r="X168" s="113"/>
      <c r="Y168" s="254"/>
      <c r="Z168" s="122"/>
      <c r="AA168" s="254"/>
      <c r="AB168" s="122"/>
      <c r="AC168" s="254"/>
      <c r="AD168" s="122"/>
      <c r="AE168" s="254"/>
      <c r="AF168" s="122"/>
      <c r="AG168" s="254"/>
      <c r="AH168" s="122"/>
      <c r="AI168" s="254"/>
      <c r="AJ168" s="122"/>
      <c r="AK168" s="254"/>
      <c r="AL168" s="113"/>
      <c r="AM168" s="254"/>
      <c r="AN168" s="48"/>
      <c r="AO168" s="48"/>
      <c r="AP168" s="48"/>
      <c r="AQ168" s="48"/>
      <c r="AR168" s="48"/>
      <c r="AS168" s="48"/>
      <c r="AT168" s="48"/>
      <c r="AU168" s="48"/>
      <c r="AV168" s="48"/>
      <c r="AW168" s="48"/>
      <c r="AX168" s="48"/>
      <c r="AY168" s="48"/>
    </row>
    <row r="169" spans="1:51" ht="18" customHeight="1">
      <c r="A169" s="738" t="s">
        <v>370</v>
      </c>
      <c r="B169" s="471"/>
      <c r="C169" s="471"/>
      <c r="D169" s="471"/>
      <c r="E169" s="472"/>
      <c r="F169" s="472"/>
      <c r="G169" s="472"/>
      <c r="H169" s="472"/>
      <c r="I169" s="472"/>
      <c r="J169" s="472"/>
      <c r="K169" s="472"/>
      <c r="L169" s="472"/>
      <c r="M169" s="750"/>
      <c r="N169" s="469"/>
      <c r="O169" s="469"/>
      <c r="P169" s="48"/>
      <c r="Q169" s="48"/>
      <c r="R169" s="48"/>
      <c r="S169" s="48"/>
      <c r="T169" s="48"/>
      <c r="U169" s="48"/>
      <c r="V169" s="48"/>
      <c r="W169" s="48"/>
      <c r="X169" s="48"/>
      <c r="Y169" s="48"/>
      <c r="Z169" s="48"/>
      <c r="AA169" s="48"/>
      <c r="AB169" s="48"/>
      <c r="AC169" s="48"/>
      <c r="AD169" s="48"/>
      <c r="AE169" s="48"/>
      <c r="AF169" s="48"/>
      <c r="AG169" s="48"/>
      <c r="AH169" s="48"/>
      <c r="AI169" s="48"/>
      <c r="AJ169" s="48"/>
      <c r="AK169" s="48"/>
      <c r="AL169" s="48"/>
      <c r="AM169" s="48"/>
      <c r="AN169" s="48"/>
      <c r="AO169" s="48"/>
      <c r="AP169" s="48"/>
      <c r="AQ169" s="48"/>
      <c r="AR169" s="48"/>
      <c r="AS169" s="48"/>
      <c r="AT169" s="48"/>
      <c r="AU169" s="48"/>
      <c r="AV169" s="48"/>
      <c r="AW169" s="48"/>
      <c r="AX169" s="48"/>
      <c r="AY169" s="48"/>
    </row>
    <row r="170" spans="1:51" ht="15" customHeight="1">
      <c r="A170" s="5613" t="s">
        <v>236</v>
      </c>
      <c r="B170" s="5613" t="s">
        <v>237</v>
      </c>
      <c r="C170" s="5642" t="s">
        <v>91</v>
      </c>
      <c r="D170" s="5627"/>
      <c r="E170" s="5624"/>
      <c r="F170" s="5615" t="s">
        <v>115</v>
      </c>
      <c r="G170" s="5616"/>
      <c r="H170" s="5616"/>
      <c r="I170" s="5616"/>
      <c r="J170" s="5616"/>
      <c r="K170" s="5616"/>
      <c r="L170" s="5616"/>
      <c r="M170" s="5616"/>
      <c r="N170" s="5616"/>
      <c r="O170" s="5652"/>
      <c r="P170" s="48"/>
      <c r="Q170" s="48"/>
      <c r="R170" s="48"/>
      <c r="S170" s="48"/>
      <c r="T170" s="48"/>
      <c r="U170" s="48"/>
      <c r="V170" s="48"/>
      <c r="W170" s="48"/>
      <c r="X170" s="48"/>
      <c r="Y170" s="48"/>
      <c r="Z170" s="48"/>
      <c r="AA170" s="48"/>
      <c r="AB170" s="48"/>
      <c r="AC170" s="48"/>
      <c r="AD170" s="48"/>
      <c r="AE170" s="48"/>
      <c r="AF170" s="48"/>
      <c r="AG170" s="48"/>
      <c r="AH170" s="48"/>
      <c r="AI170" s="48"/>
      <c r="AJ170" s="48"/>
      <c r="AK170" s="48"/>
      <c r="AL170" s="48"/>
      <c r="AM170" s="48"/>
      <c r="AN170" s="48"/>
      <c r="AO170" s="48"/>
      <c r="AP170" s="48"/>
      <c r="AQ170" s="48"/>
      <c r="AR170" s="48"/>
      <c r="AS170" s="48"/>
      <c r="AT170" s="48"/>
      <c r="AU170" s="48"/>
      <c r="AV170" s="48"/>
      <c r="AW170" s="48"/>
      <c r="AX170" s="48"/>
      <c r="AY170" s="48"/>
    </row>
    <row r="171" spans="1:51" ht="15" customHeight="1">
      <c r="A171" s="5671"/>
      <c r="B171" s="5671"/>
      <c r="C171" s="5659"/>
      <c r="D171" s="5731"/>
      <c r="E171" s="5625"/>
      <c r="F171" s="5615" t="s">
        <v>67</v>
      </c>
      <c r="G171" s="5652"/>
      <c r="H171" s="5615" t="s">
        <v>68</v>
      </c>
      <c r="I171" s="5652"/>
      <c r="J171" s="5615" t="s">
        <v>69</v>
      </c>
      <c r="K171" s="5652"/>
      <c r="L171" s="5615" t="s">
        <v>70</v>
      </c>
      <c r="M171" s="5652"/>
      <c r="N171" s="5615" t="s">
        <v>71</v>
      </c>
      <c r="O171" s="5652"/>
      <c r="P171" s="48"/>
      <c r="Q171" s="48"/>
      <c r="R171" s="48"/>
      <c r="S171" s="48"/>
      <c r="T171" s="48"/>
      <c r="U171" s="48"/>
      <c r="V171" s="48"/>
      <c r="W171" s="48"/>
      <c r="X171" s="48"/>
      <c r="Y171" s="48"/>
      <c r="Z171" s="48"/>
      <c r="AA171" s="48"/>
      <c r="AB171" s="48"/>
      <c r="AC171" s="48"/>
      <c r="AD171" s="48"/>
      <c r="AE171" s="48"/>
      <c r="AF171" s="48"/>
      <c r="AG171" s="48"/>
      <c r="AH171" s="48"/>
      <c r="AI171" s="48"/>
      <c r="AJ171" s="48"/>
      <c r="AK171" s="48"/>
      <c r="AL171" s="48"/>
      <c r="AM171" s="48"/>
      <c r="AN171" s="48"/>
      <c r="AO171" s="48"/>
      <c r="AP171" s="48"/>
      <c r="AQ171" s="48"/>
      <c r="AR171" s="48"/>
      <c r="AS171" s="48"/>
      <c r="AT171" s="48"/>
      <c r="AU171" s="48"/>
      <c r="AV171" s="48"/>
      <c r="AW171" s="48"/>
      <c r="AX171" s="48"/>
      <c r="AY171" s="48"/>
    </row>
    <row r="172" spans="1:51" ht="15" customHeight="1">
      <c r="A172" s="5614"/>
      <c r="B172" s="5614"/>
      <c r="C172" s="57" t="s">
        <v>93</v>
      </c>
      <c r="D172" s="743" t="s">
        <v>72</v>
      </c>
      <c r="E172" s="638" t="s">
        <v>73</v>
      </c>
      <c r="F172" s="478" t="s">
        <v>72</v>
      </c>
      <c r="G172" s="638" t="s">
        <v>73</v>
      </c>
      <c r="H172" s="478" t="s">
        <v>72</v>
      </c>
      <c r="I172" s="638" t="s">
        <v>73</v>
      </c>
      <c r="J172" s="478" t="s">
        <v>72</v>
      </c>
      <c r="K172" s="638" t="s">
        <v>73</v>
      </c>
      <c r="L172" s="478" t="s">
        <v>72</v>
      </c>
      <c r="M172" s="638" t="s">
        <v>73</v>
      </c>
      <c r="N172" s="478" t="s">
        <v>72</v>
      </c>
      <c r="O172" s="638" t="s">
        <v>73</v>
      </c>
      <c r="P172" s="48"/>
      <c r="Q172" s="48"/>
      <c r="R172" s="48"/>
      <c r="S172" s="48"/>
      <c r="T172" s="48"/>
      <c r="U172" s="48"/>
      <c r="V172" s="48"/>
      <c r="W172" s="48"/>
      <c r="X172" s="48"/>
      <c r="Y172" s="48"/>
      <c r="Z172" s="48"/>
      <c r="AA172" s="48"/>
      <c r="AB172" s="48"/>
      <c r="AC172" s="48"/>
      <c r="AD172" s="48"/>
      <c r="AE172" s="48"/>
      <c r="AF172" s="48"/>
      <c r="AG172" s="48"/>
      <c r="AH172" s="48"/>
      <c r="AI172" s="48"/>
      <c r="AJ172" s="48"/>
      <c r="AK172" s="48"/>
      <c r="AL172" s="48"/>
      <c r="AM172" s="48"/>
      <c r="AN172" s="48"/>
      <c r="AO172" s="48"/>
      <c r="AP172" s="48"/>
      <c r="AQ172" s="48"/>
      <c r="AR172" s="48"/>
      <c r="AS172" s="48"/>
      <c r="AT172" s="48"/>
      <c r="AU172" s="48"/>
      <c r="AV172" s="48"/>
      <c r="AW172" s="48"/>
      <c r="AX172" s="48"/>
      <c r="AY172" s="48"/>
    </row>
    <row r="173" spans="1:51" ht="15" customHeight="1">
      <c r="A173" s="5619" t="s">
        <v>371</v>
      </c>
      <c r="B173" s="175" t="s">
        <v>372</v>
      </c>
      <c r="C173" s="78">
        <f t="shared" si="66"/>
        <v>0</v>
      </c>
      <c r="D173" s="627">
        <f t="shared" ref="D173:E178" si="68">SUM(F173+H173+J173+L173+N173)</f>
        <v>0</v>
      </c>
      <c r="E173" s="554">
        <f t="shared" si="68"/>
        <v>0</v>
      </c>
      <c r="F173" s="95"/>
      <c r="G173" s="528"/>
      <c r="H173" s="95"/>
      <c r="I173" s="237"/>
      <c r="J173" s="86"/>
      <c r="K173" s="528"/>
      <c r="L173" s="95"/>
      <c r="M173" s="237"/>
      <c r="N173" s="95"/>
      <c r="O173" s="237"/>
      <c r="P173" s="48"/>
      <c r="Q173" s="48"/>
      <c r="R173" s="48"/>
      <c r="S173" s="48"/>
      <c r="T173" s="48"/>
      <c r="U173" s="48"/>
      <c r="V173" s="48"/>
      <c r="W173" s="48"/>
      <c r="X173" s="48"/>
      <c r="Y173" s="48"/>
      <c r="Z173" s="48"/>
      <c r="AA173" s="48"/>
      <c r="AB173" s="48"/>
      <c r="AC173" s="48"/>
      <c r="AD173" s="48"/>
      <c r="AE173" s="48"/>
      <c r="AF173" s="48"/>
      <c r="AG173" s="48"/>
      <c r="AH173" s="48"/>
      <c r="AI173" s="48"/>
      <c r="AJ173" s="48"/>
      <c r="AK173" s="48"/>
      <c r="AL173" s="48"/>
      <c r="AM173" s="48"/>
      <c r="AN173" s="48"/>
      <c r="AO173" s="48"/>
      <c r="AP173" s="48"/>
      <c r="AQ173" s="48"/>
      <c r="AR173" s="48"/>
      <c r="AS173" s="48"/>
      <c r="AT173" s="48"/>
      <c r="AU173" s="48"/>
      <c r="AV173" s="48"/>
      <c r="AW173" s="48"/>
      <c r="AX173" s="48"/>
      <c r="AY173" s="48"/>
    </row>
    <row r="174" spans="1:51" ht="15" customHeight="1">
      <c r="A174" s="5618"/>
      <c r="B174" s="206" t="s">
        <v>373</v>
      </c>
      <c r="C174" s="751">
        <f t="shared" si="66"/>
        <v>0</v>
      </c>
      <c r="D174" s="752">
        <f t="shared" si="68"/>
        <v>0</v>
      </c>
      <c r="E174" s="753">
        <f t="shared" si="68"/>
        <v>0</v>
      </c>
      <c r="F174" s="133"/>
      <c r="G174" s="171"/>
      <c r="H174" s="133"/>
      <c r="I174" s="261"/>
      <c r="J174" s="754"/>
      <c r="K174" s="171"/>
      <c r="L174" s="133"/>
      <c r="M174" s="261"/>
      <c r="N174" s="133"/>
      <c r="O174" s="261"/>
      <c r="P174" s="48"/>
      <c r="Q174" s="48"/>
      <c r="R174" s="48"/>
      <c r="S174" s="48"/>
      <c r="T174" s="48"/>
      <c r="U174" s="48"/>
      <c r="V174" s="48"/>
      <c r="W174" s="48"/>
      <c r="X174" s="48"/>
      <c r="Y174" s="48"/>
      <c r="Z174" s="48"/>
      <c r="AA174" s="48"/>
      <c r="AB174" s="48"/>
      <c r="AC174" s="48"/>
      <c r="AD174" s="48"/>
      <c r="AE174" s="48"/>
      <c r="AF174" s="48"/>
      <c r="AG174" s="48"/>
      <c r="AH174" s="48"/>
      <c r="AI174" s="48"/>
      <c r="AJ174" s="48"/>
      <c r="AK174" s="48"/>
      <c r="AL174" s="48"/>
      <c r="AM174" s="48"/>
      <c r="AN174" s="48"/>
      <c r="AO174" s="48"/>
      <c r="AP174" s="48"/>
      <c r="AQ174" s="48"/>
      <c r="AR174" s="48"/>
      <c r="AS174" s="48"/>
      <c r="AT174" s="48"/>
      <c r="AU174" s="48"/>
      <c r="AV174" s="48"/>
      <c r="AW174" s="48"/>
      <c r="AX174" s="48"/>
      <c r="AY174" s="48"/>
    </row>
    <row r="175" spans="1:51" ht="15" customHeight="1">
      <c r="A175" s="5620"/>
      <c r="B175" s="755" t="s">
        <v>374</v>
      </c>
      <c r="C175" s="756">
        <f t="shared" si="66"/>
        <v>0</v>
      </c>
      <c r="D175" s="632">
        <f t="shared" si="68"/>
        <v>0</v>
      </c>
      <c r="E175" s="633">
        <f t="shared" si="68"/>
        <v>0</v>
      </c>
      <c r="F175" s="534"/>
      <c r="G175" s="537"/>
      <c r="H175" s="534"/>
      <c r="I175" s="535"/>
      <c r="J175" s="757"/>
      <c r="K175" s="537"/>
      <c r="L175" s="534"/>
      <c r="M175" s="535"/>
      <c r="N175" s="534"/>
      <c r="O175" s="535"/>
      <c r="P175" s="48"/>
      <c r="Q175" s="48"/>
      <c r="R175" s="48"/>
      <c r="S175" s="48"/>
      <c r="T175" s="48"/>
      <c r="U175" s="48"/>
      <c r="V175" s="48"/>
      <c r="W175" s="48"/>
      <c r="X175" s="48"/>
      <c r="Y175" s="48"/>
      <c r="Z175" s="48"/>
      <c r="AA175" s="48"/>
      <c r="AB175" s="48"/>
      <c r="AC175" s="48"/>
      <c r="AD175" s="48"/>
      <c r="AE175" s="48"/>
      <c r="AF175" s="48"/>
      <c r="AG175" s="48"/>
      <c r="AH175" s="48"/>
      <c r="AI175" s="48"/>
      <c r="AJ175" s="48"/>
      <c r="AK175" s="48"/>
      <c r="AL175" s="48"/>
      <c r="AM175" s="48"/>
      <c r="AN175" s="48"/>
      <c r="AO175" s="48"/>
      <c r="AP175" s="48"/>
      <c r="AQ175" s="48"/>
      <c r="AR175" s="48"/>
      <c r="AS175" s="48"/>
      <c r="AT175" s="48"/>
      <c r="AU175" s="48"/>
      <c r="AV175" s="48"/>
      <c r="AW175" s="48"/>
      <c r="AX175" s="48"/>
      <c r="AY175" s="48"/>
    </row>
    <row r="176" spans="1:51" ht="15" customHeight="1">
      <c r="A176" s="5619" t="s">
        <v>375</v>
      </c>
      <c r="B176" s="175" t="s">
        <v>372</v>
      </c>
      <c r="C176" s="78">
        <f t="shared" si="66"/>
        <v>0</v>
      </c>
      <c r="D176" s="627">
        <f t="shared" si="68"/>
        <v>0</v>
      </c>
      <c r="E176" s="554">
        <f t="shared" si="68"/>
        <v>0</v>
      </c>
      <c r="F176" s="95"/>
      <c r="G176" s="237"/>
      <c r="H176" s="95"/>
      <c r="I176" s="528"/>
      <c r="J176" s="95"/>
      <c r="K176" s="237"/>
      <c r="L176" s="86"/>
      <c r="M176" s="528"/>
      <c r="N176" s="95"/>
      <c r="O176" s="237"/>
      <c r="P176" s="48"/>
      <c r="Q176" s="48"/>
      <c r="R176" s="48"/>
      <c r="S176" s="48"/>
      <c r="T176" s="48"/>
      <c r="U176" s="48"/>
      <c r="V176" s="48"/>
      <c r="W176" s="48"/>
      <c r="X176" s="48"/>
      <c r="Y176" s="48"/>
      <c r="Z176" s="48"/>
      <c r="AA176" s="48"/>
      <c r="AB176" s="48"/>
      <c r="AC176" s="48"/>
      <c r="AD176" s="48"/>
      <c r="AE176" s="48"/>
      <c r="AF176" s="48"/>
      <c r="AG176" s="48"/>
      <c r="AH176" s="48"/>
      <c r="AI176" s="48"/>
      <c r="AJ176" s="48"/>
      <c r="AK176" s="48"/>
      <c r="AL176" s="48"/>
      <c r="AM176" s="48"/>
      <c r="AN176" s="48"/>
      <c r="AO176" s="48"/>
      <c r="AP176" s="48"/>
      <c r="AQ176" s="48"/>
      <c r="AR176" s="48"/>
      <c r="AS176" s="48"/>
      <c r="AT176" s="48"/>
      <c r="AU176" s="48"/>
      <c r="AV176" s="48"/>
      <c r="AW176" s="48"/>
      <c r="AX176" s="48"/>
      <c r="AY176" s="48"/>
    </row>
    <row r="177" spans="1:51" ht="15" customHeight="1">
      <c r="A177" s="5618"/>
      <c r="B177" s="206" t="s">
        <v>373</v>
      </c>
      <c r="C177" s="206">
        <f t="shared" si="66"/>
        <v>0</v>
      </c>
      <c r="D177" s="700">
        <f t="shared" si="68"/>
        <v>0</v>
      </c>
      <c r="E177" s="285">
        <f t="shared" si="68"/>
        <v>0</v>
      </c>
      <c r="F177" s="133"/>
      <c r="G177" s="261"/>
      <c r="H177" s="207"/>
      <c r="I177" s="312"/>
      <c r="J177" s="207"/>
      <c r="K177" s="247"/>
      <c r="L177" s="278"/>
      <c r="M177" s="312"/>
      <c r="N177" s="207"/>
      <c r="O177" s="247"/>
      <c r="P177" s="48"/>
      <c r="Q177" s="48"/>
      <c r="R177" s="48"/>
      <c r="S177" s="48"/>
      <c r="T177" s="48"/>
      <c r="U177" s="48"/>
      <c r="V177" s="48"/>
      <c r="W177" s="48"/>
      <c r="X177" s="48"/>
      <c r="Y177" s="48"/>
      <c r="Z177" s="48"/>
      <c r="AA177" s="48"/>
      <c r="AB177" s="48"/>
      <c r="AC177" s="48"/>
      <c r="AD177" s="48"/>
      <c r="AE177" s="48"/>
      <c r="AF177" s="48"/>
      <c r="AG177" s="48"/>
      <c r="AH177" s="48"/>
      <c r="AI177" s="48"/>
      <c r="AJ177" s="48"/>
      <c r="AK177" s="48"/>
      <c r="AL177" s="48"/>
      <c r="AM177" s="48"/>
      <c r="AN177" s="48"/>
      <c r="AO177" s="48"/>
      <c r="AP177" s="48"/>
      <c r="AQ177" s="48"/>
      <c r="AR177" s="48"/>
      <c r="AS177" s="48"/>
      <c r="AT177" s="48"/>
      <c r="AU177" s="48"/>
      <c r="AV177" s="48"/>
      <c r="AW177" s="48"/>
      <c r="AX177" s="48"/>
      <c r="AY177" s="48"/>
    </row>
    <row r="178" spans="1:51" ht="15" customHeight="1">
      <c r="A178" s="5620"/>
      <c r="B178" s="755" t="s">
        <v>374</v>
      </c>
      <c r="C178" s="106">
        <f t="shared" si="66"/>
        <v>0</v>
      </c>
      <c r="D178" s="636">
        <f t="shared" si="68"/>
        <v>0</v>
      </c>
      <c r="E178" s="286">
        <f t="shared" si="68"/>
        <v>0</v>
      </c>
      <c r="F178" s="122"/>
      <c r="G178" s="254"/>
      <c r="H178" s="122"/>
      <c r="I178" s="116"/>
      <c r="J178" s="122"/>
      <c r="K178" s="254"/>
      <c r="L178" s="113"/>
      <c r="M178" s="116"/>
      <c r="N178" s="122"/>
      <c r="O178" s="254"/>
      <c r="P178" s="48"/>
      <c r="Q178" s="48"/>
      <c r="R178" s="48"/>
      <c r="S178" s="48"/>
      <c r="T178" s="48"/>
      <c r="U178" s="48"/>
      <c r="V178" s="48"/>
      <c r="W178" s="48"/>
      <c r="X178" s="48"/>
      <c r="Y178" s="48"/>
      <c r="Z178" s="48"/>
      <c r="AA178" s="48"/>
      <c r="AB178" s="48"/>
      <c r="AC178" s="48"/>
      <c r="AD178" s="48"/>
      <c r="AE178" s="48"/>
      <c r="AF178" s="48"/>
      <c r="AG178" s="48"/>
      <c r="AH178" s="48"/>
      <c r="AI178" s="48"/>
      <c r="AJ178" s="48"/>
      <c r="AK178" s="48"/>
      <c r="AL178" s="48"/>
      <c r="AM178" s="48"/>
      <c r="AN178" s="48"/>
      <c r="AO178" s="48"/>
      <c r="AP178" s="48"/>
      <c r="AQ178" s="48"/>
      <c r="AR178" s="48"/>
      <c r="AS178" s="48"/>
      <c r="AT178" s="48"/>
      <c r="AU178" s="48"/>
      <c r="AV178" s="48"/>
      <c r="AW178" s="48"/>
      <c r="AX178" s="48"/>
      <c r="AY178" s="48"/>
    </row>
    <row r="179" spans="1:51" ht="18" customHeight="1">
      <c r="A179" s="5785" t="s">
        <v>376</v>
      </c>
      <c r="B179" s="5785"/>
      <c r="C179" s="5785"/>
      <c r="D179" s="5785"/>
      <c r="E179" s="5785"/>
      <c r="F179" s="5785"/>
      <c r="G179" s="5785"/>
      <c r="H179" s="5785"/>
      <c r="I179" s="5785"/>
      <c r="J179" s="5785"/>
      <c r="K179" s="5785"/>
      <c r="L179" s="5785"/>
      <c r="M179" s="5785"/>
      <c r="N179" s="5785"/>
      <c r="O179" s="5785"/>
      <c r="P179" s="469"/>
      <c r="Q179" s="469"/>
      <c r="R179" s="48"/>
      <c r="S179" s="48"/>
      <c r="T179" s="48"/>
      <c r="U179" s="48"/>
      <c r="V179" s="48"/>
      <c r="W179" s="48"/>
      <c r="X179" s="48"/>
      <c r="Y179" s="48"/>
      <c r="Z179" s="48"/>
      <c r="AA179" s="48"/>
      <c r="AB179" s="48"/>
      <c r="AC179" s="48"/>
      <c r="AD179" s="48"/>
      <c r="AE179" s="48"/>
      <c r="AF179" s="48"/>
      <c r="AG179" s="48"/>
      <c r="AH179" s="48"/>
      <c r="AI179" s="48"/>
      <c r="AJ179" s="48"/>
      <c r="AK179" s="48"/>
      <c r="AL179" s="48"/>
      <c r="AM179" s="48"/>
      <c r="AN179" s="48"/>
      <c r="AO179" s="48"/>
      <c r="AP179" s="48"/>
      <c r="AQ179" s="48"/>
      <c r="AR179" s="48"/>
      <c r="AS179" s="48"/>
      <c r="AT179" s="48"/>
      <c r="AU179" s="48"/>
      <c r="AV179" s="48"/>
      <c r="AW179" s="48"/>
      <c r="AX179" s="48"/>
      <c r="AY179" s="48"/>
    </row>
    <row r="180" spans="1:51" ht="15" customHeight="1">
      <c r="A180" s="5642" t="s">
        <v>377</v>
      </c>
      <c r="B180" s="5624"/>
      <c r="C180" s="5642" t="s">
        <v>91</v>
      </c>
      <c r="D180" s="5627"/>
      <c r="E180" s="5624"/>
      <c r="F180" s="5615" t="s">
        <v>115</v>
      </c>
      <c r="G180" s="5616"/>
      <c r="H180" s="5616"/>
      <c r="I180" s="5616"/>
      <c r="J180" s="5616"/>
      <c r="K180" s="5616"/>
      <c r="L180" s="5616"/>
      <c r="M180" s="5616"/>
      <c r="N180" s="5616"/>
      <c r="O180" s="5616"/>
      <c r="P180" s="5616"/>
      <c r="Q180" s="5652"/>
      <c r="R180" s="48"/>
      <c r="S180" s="48"/>
      <c r="T180" s="48"/>
      <c r="U180" s="48"/>
      <c r="V180" s="48"/>
      <c r="W180" s="48"/>
      <c r="X180" s="48"/>
      <c r="Y180" s="48"/>
      <c r="Z180" s="48"/>
      <c r="AA180" s="48"/>
      <c r="AB180" s="48"/>
      <c r="AC180" s="48"/>
      <c r="AD180" s="48"/>
      <c r="AE180" s="48"/>
      <c r="AF180" s="48"/>
      <c r="AG180" s="48"/>
      <c r="AH180" s="48"/>
      <c r="AI180" s="48"/>
      <c r="AJ180" s="48"/>
      <c r="AK180" s="48"/>
      <c r="AL180" s="48"/>
      <c r="AM180" s="48"/>
      <c r="AN180" s="48"/>
      <c r="AO180" s="48"/>
      <c r="AP180" s="48"/>
      <c r="AQ180" s="48"/>
      <c r="AR180" s="48"/>
      <c r="AS180" s="48"/>
      <c r="AT180" s="48"/>
      <c r="AU180" s="48"/>
      <c r="AV180" s="48"/>
      <c r="AW180" s="48"/>
      <c r="AX180" s="48"/>
      <c r="AY180" s="48"/>
    </row>
    <row r="181" spans="1:51" ht="15" customHeight="1">
      <c r="A181" s="5643"/>
      <c r="B181" s="5645"/>
      <c r="C181" s="5659"/>
      <c r="D181" s="5731"/>
      <c r="E181" s="5625"/>
      <c r="F181" s="5615" t="s">
        <v>68</v>
      </c>
      <c r="G181" s="5652"/>
      <c r="H181" s="5615" t="s">
        <v>69</v>
      </c>
      <c r="I181" s="5652"/>
      <c r="J181" s="5615" t="s">
        <v>70</v>
      </c>
      <c r="K181" s="5652"/>
      <c r="L181" s="5615" t="s">
        <v>378</v>
      </c>
      <c r="M181" s="5652"/>
      <c r="N181" s="5615" t="s">
        <v>379</v>
      </c>
      <c r="O181" s="5652"/>
      <c r="P181" s="5615" t="s">
        <v>380</v>
      </c>
      <c r="Q181" s="5652"/>
      <c r="R181" s="48"/>
      <c r="S181" s="48"/>
      <c r="T181" s="48"/>
      <c r="U181" s="48"/>
      <c r="V181" s="48"/>
      <c r="W181" s="48"/>
      <c r="X181" s="48"/>
      <c r="Y181" s="48"/>
      <c r="Z181" s="48"/>
      <c r="AA181" s="48"/>
      <c r="AB181" s="48"/>
      <c r="AC181" s="48"/>
      <c r="AD181" s="48"/>
      <c r="AE181" s="48"/>
      <c r="AF181" s="48"/>
      <c r="AG181" s="48"/>
      <c r="AH181" s="48"/>
      <c r="AI181" s="48"/>
      <c r="AJ181" s="48"/>
      <c r="AK181" s="48"/>
      <c r="AL181" s="48"/>
      <c r="AM181" s="48"/>
      <c r="AN181" s="48"/>
      <c r="AO181" s="48"/>
      <c r="AP181" s="48"/>
      <c r="AQ181" s="48"/>
      <c r="AR181" s="48"/>
      <c r="AS181" s="48"/>
      <c r="AT181" s="48"/>
      <c r="AU181" s="48"/>
      <c r="AV181" s="48"/>
      <c r="AW181" s="48"/>
      <c r="AX181" s="48"/>
      <c r="AY181" s="48"/>
    </row>
    <row r="182" spans="1:51" ht="15" customHeight="1">
      <c r="A182" s="5659"/>
      <c r="B182" s="5625"/>
      <c r="C182" s="57" t="s">
        <v>93</v>
      </c>
      <c r="D182" s="743" t="s">
        <v>72</v>
      </c>
      <c r="E182" s="638" t="s">
        <v>73</v>
      </c>
      <c r="F182" s="478" t="s">
        <v>72</v>
      </c>
      <c r="G182" s="638" t="s">
        <v>73</v>
      </c>
      <c r="H182" s="478" t="s">
        <v>72</v>
      </c>
      <c r="I182" s="638" t="s">
        <v>73</v>
      </c>
      <c r="J182" s="478" t="s">
        <v>72</v>
      </c>
      <c r="K182" s="758" t="s">
        <v>73</v>
      </c>
      <c r="L182" s="478" t="s">
        <v>72</v>
      </c>
      <c r="M182" s="638" t="s">
        <v>73</v>
      </c>
      <c r="N182" s="478" t="s">
        <v>72</v>
      </c>
      <c r="O182" s="638" t="s">
        <v>73</v>
      </c>
      <c r="P182" s="478" t="s">
        <v>72</v>
      </c>
      <c r="Q182" s="758" t="s">
        <v>73</v>
      </c>
      <c r="R182" s="48"/>
      <c r="S182" s="48"/>
      <c r="T182" s="48"/>
      <c r="U182" s="48"/>
      <c r="V182" s="48"/>
      <c r="W182" s="48"/>
      <c r="X182" s="48"/>
      <c r="Y182" s="48"/>
      <c r="Z182" s="48"/>
      <c r="AA182" s="48"/>
      <c r="AB182" s="48"/>
      <c r="AC182" s="48"/>
      <c r="AD182" s="48"/>
      <c r="AE182" s="48"/>
      <c r="AF182" s="48"/>
      <c r="AG182" s="48"/>
      <c r="AH182" s="48"/>
      <c r="AI182" s="48"/>
      <c r="AJ182" s="48"/>
      <c r="AK182" s="48"/>
      <c r="AL182" s="48"/>
      <c r="AM182" s="48"/>
      <c r="AN182" s="48"/>
      <c r="AO182" s="48"/>
      <c r="AP182" s="48"/>
      <c r="AQ182" s="48"/>
      <c r="AR182" s="48"/>
      <c r="AS182" s="48"/>
      <c r="AT182" s="48"/>
      <c r="AU182" s="48"/>
      <c r="AV182" s="48"/>
      <c r="AW182" s="48"/>
      <c r="AX182" s="48"/>
      <c r="AY182" s="48"/>
    </row>
    <row r="183" spans="1:51" ht="15" customHeight="1">
      <c r="A183" s="5886" t="s">
        <v>381</v>
      </c>
      <c r="B183" s="5887"/>
      <c r="C183" s="78">
        <f t="shared" si="66"/>
        <v>0</v>
      </c>
      <c r="D183" s="627">
        <f t="shared" ref="D183:E185" si="69">SUM(F183+H183+J183+L183+N183+P183)</f>
        <v>0</v>
      </c>
      <c r="E183" s="554">
        <f>SUM(G183+I183+K183+M183+O183+Q183)</f>
        <v>0</v>
      </c>
      <c r="F183" s="95"/>
      <c r="G183" s="528"/>
      <c r="H183" s="95"/>
      <c r="I183" s="237"/>
      <c r="J183" s="86"/>
      <c r="K183" s="237"/>
      <c r="L183" s="86"/>
      <c r="M183" s="528"/>
      <c r="N183" s="95"/>
      <c r="O183" s="237"/>
      <c r="P183" s="86"/>
      <c r="Q183" s="237"/>
      <c r="R183" s="48"/>
      <c r="S183" s="48"/>
      <c r="T183" s="48"/>
      <c r="U183" s="48"/>
      <c r="V183" s="48"/>
      <c r="W183" s="48"/>
      <c r="X183" s="48"/>
      <c r="Y183" s="48"/>
      <c r="Z183" s="48"/>
      <c r="AA183" s="48"/>
      <c r="AB183" s="48"/>
      <c r="AC183" s="48"/>
      <c r="AD183" s="48"/>
      <c r="AE183" s="48"/>
      <c r="AF183" s="48"/>
      <c r="AG183" s="48"/>
      <c r="AH183" s="48"/>
      <c r="AI183" s="48"/>
      <c r="AJ183" s="48"/>
      <c r="AK183" s="48"/>
      <c r="AL183" s="48"/>
      <c r="AM183" s="48"/>
      <c r="AN183" s="48"/>
      <c r="AO183" s="48"/>
      <c r="AP183" s="48"/>
      <c r="AQ183" s="48"/>
      <c r="AR183" s="48"/>
      <c r="AS183" s="48"/>
      <c r="AT183" s="48"/>
      <c r="AU183" s="48"/>
      <c r="AV183" s="48"/>
      <c r="AW183" s="48"/>
      <c r="AX183" s="48"/>
      <c r="AY183" s="48"/>
    </row>
    <row r="184" spans="1:51" ht="15" customHeight="1">
      <c r="A184" s="5888" t="s">
        <v>382</v>
      </c>
      <c r="B184" s="5746"/>
      <c r="C184" s="206">
        <f t="shared" si="66"/>
        <v>0</v>
      </c>
      <c r="D184" s="700">
        <f t="shared" si="69"/>
        <v>0</v>
      </c>
      <c r="E184" s="753">
        <f t="shared" si="69"/>
        <v>0</v>
      </c>
      <c r="F184" s="133"/>
      <c r="G184" s="171"/>
      <c r="H184" s="133"/>
      <c r="I184" s="261"/>
      <c r="J184" s="754"/>
      <c r="K184" s="261"/>
      <c r="L184" s="754"/>
      <c r="M184" s="171"/>
      <c r="N184" s="133"/>
      <c r="O184" s="261"/>
      <c r="P184" s="754"/>
      <c r="Q184" s="261"/>
      <c r="R184" s="48"/>
      <c r="S184" s="48"/>
      <c r="T184" s="48"/>
      <c r="U184" s="48"/>
      <c r="V184" s="48"/>
      <c r="W184" s="48"/>
      <c r="X184" s="48"/>
      <c r="Y184" s="48"/>
      <c r="Z184" s="48"/>
      <c r="AA184" s="48"/>
      <c r="AB184" s="48"/>
      <c r="AC184" s="48"/>
      <c r="AD184" s="48"/>
      <c r="AE184" s="48"/>
      <c r="AF184" s="48"/>
      <c r="AG184" s="48"/>
      <c r="AH184" s="48"/>
      <c r="AI184" s="48"/>
      <c r="AJ184" s="48"/>
      <c r="AK184" s="48"/>
      <c r="AL184" s="48"/>
      <c r="AM184" s="48"/>
      <c r="AN184" s="48"/>
      <c r="AO184" s="48"/>
      <c r="AP184" s="48"/>
      <c r="AQ184" s="48"/>
      <c r="AR184" s="48"/>
      <c r="AS184" s="48"/>
      <c r="AT184" s="48"/>
      <c r="AU184" s="48"/>
      <c r="AV184" s="48"/>
      <c r="AW184" s="48"/>
      <c r="AX184" s="48"/>
      <c r="AY184" s="48"/>
    </row>
    <row r="185" spans="1:51" ht="15" customHeight="1">
      <c r="A185" s="5889" t="s">
        <v>383</v>
      </c>
      <c r="B185" s="5890"/>
      <c r="C185" s="761">
        <f t="shared" si="66"/>
        <v>0</v>
      </c>
      <c r="D185" s="700">
        <f t="shared" si="69"/>
        <v>0</v>
      </c>
      <c r="E185" s="285">
        <f t="shared" si="69"/>
        <v>0</v>
      </c>
      <c r="F185" s="207"/>
      <c r="G185" s="312"/>
      <c r="H185" s="207"/>
      <c r="I185" s="247"/>
      <c r="J185" s="278"/>
      <c r="K185" s="247"/>
      <c r="L185" s="278"/>
      <c r="M185" s="312"/>
      <c r="N185" s="207"/>
      <c r="O185" s="247"/>
      <c r="P185" s="278"/>
      <c r="Q185" s="247"/>
      <c r="R185" s="48"/>
      <c r="S185" s="48"/>
      <c r="T185" s="48"/>
      <c r="U185" s="48"/>
      <c r="V185" s="48"/>
      <c r="W185" s="48"/>
      <c r="X185" s="48"/>
      <c r="Y185" s="48"/>
      <c r="Z185" s="48"/>
      <c r="AA185" s="48"/>
      <c r="AB185" s="48"/>
      <c r="AC185" s="48"/>
      <c r="AD185" s="48"/>
      <c r="AE185" s="48"/>
      <c r="AF185" s="48"/>
      <c r="AG185" s="48"/>
      <c r="AH185" s="48"/>
      <c r="AI185" s="48"/>
      <c r="AJ185" s="48"/>
      <c r="AK185" s="48"/>
      <c r="AL185" s="48"/>
      <c r="AM185" s="48"/>
      <c r="AN185" s="48"/>
      <c r="AO185" s="48"/>
      <c r="AP185" s="48"/>
      <c r="AQ185" s="48"/>
      <c r="AR185" s="48"/>
      <c r="AS185" s="48"/>
      <c r="AT185" s="48"/>
      <c r="AU185" s="48"/>
      <c r="AV185" s="48"/>
      <c r="AW185" s="48"/>
      <c r="AX185" s="48"/>
      <c r="AY185" s="48"/>
    </row>
    <row r="186" spans="1:51" ht="15" customHeight="1">
      <c r="A186" s="5615" t="s">
        <v>91</v>
      </c>
      <c r="B186" s="5652"/>
      <c r="C186" s="287">
        <f t="shared" ref="C186:Q186" si="70">SUM(C183:C185)</f>
        <v>0</v>
      </c>
      <c r="D186" s="288">
        <f t="shared" si="70"/>
        <v>0</v>
      </c>
      <c r="E186" s="288">
        <f t="shared" si="70"/>
        <v>0</v>
      </c>
      <c r="F186" s="570">
        <f t="shared" si="70"/>
        <v>0</v>
      </c>
      <c r="G186" s="288">
        <f t="shared" si="70"/>
        <v>0</v>
      </c>
      <c r="H186" s="570">
        <f t="shared" si="70"/>
        <v>0</v>
      </c>
      <c r="I186" s="288">
        <f t="shared" si="70"/>
        <v>0</v>
      </c>
      <c r="J186" s="570">
        <f t="shared" si="70"/>
        <v>0</v>
      </c>
      <c r="K186" s="288">
        <f t="shared" si="70"/>
        <v>0</v>
      </c>
      <c r="L186" s="570">
        <f t="shared" si="70"/>
        <v>0</v>
      </c>
      <c r="M186" s="288">
        <f t="shared" si="70"/>
        <v>0</v>
      </c>
      <c r="N186" s="570">
        <f t="shared" si="70"/>
        <v>0</v>
      </c>
      <c r="O186" s="288">
        <f t="shared" si="70"/>
        <v>0</v>
      </c>
      <c r="P186" s="570">
        <f t="shared" si="70"/>
        <v>0</v>
      </c>
      <c r="Q186" s="574">
        <f t="shared" si="70"/>
        <v>0</v>
      </c>
      <c r="R186" s="48"/>
      <c r="S186" s="48"/>
      <c r="T186" s="48"/>
      <c r="U186" s="48"/>
      <c r="V186" s="48"/>
      <c r="W186" s="48"/>
      <c r="X186" s="48"/>
      <c r="Y186" s="48"/>
      <c r="Z186" s="48"/>
      <c r="AA186" s="48"/>
      <c r="AB186" s="48"/>
      <c r="AC186" s="48"/>
      <c r="AD186" s="48"/>
      <c r="AE186" s="48"/>
      <c r="AF186" s="48"/>
      <c r="AG186" s="48"/>
      <c r="AH186" s="48"/>
      <c r="AI186" s="48"/>
      <c r="AJ186" s="48"/>
      <c r="AK186" s="48"/>
      <c r="AL186" s="48"/>
      <c r="AM186" s="48"/>
      <c r="AN186" s="48"/>
      <c r="AO186" s="48"/>
      <c r="AP186" s="48"/>
      <c r="AQ186" s="48"/>
      <c r="AR186" s="48"/>
      <c r="AS186" s="48"/>
      <c r="AT186" s="48"/>
      <c r="AU186" s="48"/>
      <c r="AV186" s="48"/>
      <c r="AW186" s="48"/>
      <c r="AX186" s="48"/>
      <c r="AY186" s="48"/>
    </row>
    <row r="187" spans="1:51" ht="15" customHeight="1">
      <c r="A187" s="762" t="s">
        <v>384</v>
      </c>
      <c r="B187" s="48"/>
      <c r="C187" s="48"/>
      <c r="D187" s="48"/>
      <c r="E187" s="48"/>
      <c r="F187" s="48"/>
      <c r="G187" s="48"/>
      <c r="H187" s="48"/>
      <c r="I187" s="48"/>
      <c r="J187" s="48"/>
      <c r="K187" s="48"/>
      <c r="L187" s="48"/>
      <c r="M187" s="48"/>
      <c r="N187" s="48"/>
      <c r="O187" s="48"/>
      <c r="P187" s="48"/>
      <c r="Q187" s="48"/>
      <c r="R187" s="48"/>
      <c r="S187" s="48"/>
      <c r="T187" s="48"/>
      <c r="U187" s="48"/>
      <c r="V187" s="48"/>
      <c r="W187" s="48"/>
      <c r="X187" s="48"/>
      <c r="Y187" s="48"/>
      <c r="Z187" s="48"/>
      <c r="AA187" s="48"/>
      <c r="AB187" s="48"/>
      <c r="AC187" s="48"/>
      <c r="AD187" s="48"/>
      <c r="AE187" s="48"/>
      <c r="AF187" s="48"/>
      <c r="AG187" s="48"/>
      <c r="AH187" s="48"/>
      <c r="AI187" s="48"/>
      <c r="AJ187" s="48"/>
      <c r="AK187" s="48"/>
      <c r="AL187" s="48"/>
      <c r="AM187" s="48"/>
      <c r="AN187" s="48"/>
      <c r="AO187" s="48"/>
      <c r="AP187" s="48"/>
      <c r="AQ187" s="48"/>
      <c r="AR187" s="48"/>
      <c r="AS187" s="48"/>
      <c r="AT187" s="48"/>
      <c r="AU187" s="48"/>
      <c r="AV187" s="48"/>
      <c r="AW187" s="48"/>
      <c r="AX187" s="48"/>
      <c r="AY187" s="48"/>
    </row>
    <row r="188" spans="1:51" ht="18" customHeight="1">
      <c r="A188" s="763" t="s">
        <v>385</v>
      </c>
      <c r="B188" s="764"/>
      <c r="C188" s="764"/>
      <c r="D188" s="764"/>
      <c r="E188" s="764"/>
      <c r="F188" s="469"/>
      <c r="G188" s="469"/>
      <c r="H188" s="469"/>
      <c r="I188" s="469"/>
      <c r="J188" s="469"/>
      <c r="K188" s="469"/>
      <c r="L188" s="469"/>
      <c r="M188" s="469"/>
      <c r="N188" s="469"/>
      <c r="O188" s="469"/>
      <c r="P188" s="469"/>
      <c r="Q188" s="469"/>
      <c r="R188" s="48"/>
      <c r="S188" s="48"/>
      <c r="T188" s="48"/>
      <c r="U188" s="48"/>
      <c r="V188" s="48"/>
      <c r="W188" s="48"/>
      <c r="X188" s="48"/>
      <c r="Y188" s="48"/>
      <c r="Z188" s="48"/>
      <c r="AA188" s="48"/>
      <c r="AB188" s="48"/>
      <c r="AC188" s="48"/>
      <c r="AD188" s="48"/>
      <c r="AE188" s="48"/>
      <c r="AF188" s="48"/>
      <c r="AG188" s="48"/>
      <c r="AH188" s="48"/>
      <c r="AI188" s="48"/>
      <c r="AJ188" s="48"/>
      <c r="AK188" s="48"/>
      <c r="AL188" s="48"/>
      <c r="AM188" s="48"/>
      <c r="AN188" s="48"/>
      <c r="AO188" s="48"/>
      <c r="AP188" s="48"/>
      <c r="AQ188" s="48"/>
      <c r="AR188" s="48"/>
      <c r="AS188" s="48"/>
      <c r="AT188" s="48"/>
      <c r="AU188" s="48"/>
      <c r="AV188" s="48"/>
      <c r="AW188" s="48"/>
      <c r="AX188" s="48"/>
      <c r="AY188" s="48"/>
    </row>
    <row r="189" spans="1:51" ht="15" customHeight="1">
      <c r="A189" s="5642" t="s">
        <v>386</v>
      </c>
      <c r="B189" s="5624"/>
      <c r="C189" s="5796" t="s">
        <v>323</v>
      </c>
      <c r="D189" s="5797"/>
      <c r="E189" s="5798"/>
      <c r="F189" s="5647" t="s">
        <v>115</v>
      </c>
      <c r="G189" s="5649"/>
      <c r="H189" s="5649"/>
      <c r="I189" s="5649"/>
      <c r="J189" s="5649"/>
      <c r="K189" s="5649"/>
      <c r="L189" s="5649"/>
      <c r="M189" s="5649"/>
      <c r="N189" s="5649"/>
      <c r="O189" s="5649"/>
      <c r="P189" s="5649"/>
      <c r="Q189" s="5649"/>
      <c r="R189" s="5649"/>
      <c r="S189" s="5649"/>
      <c r="T189" s="5649"/>
      <c r="U189" s="5648"/>
      <c r="V189" s="48"/>
      <c r="W189" s="48"/>
      <c r="X189" s="48"/>
      <c r="Y189" s="48"/>
      <c r="Z189" s="48"/>
      <c r="AA189" s="48"/>
      <c r="AB189" s="48"/>
      <c r="AC189" s="48"/>
      <c r="AD189" s="48"/>
      <c r="AE189" s="48"/>
      <c r="AF189" s="48"/>
      <c r="AG189" s="48"/>
      <c r="AH189" s="48"/>
      <c r="AI189" s="48"/>
      <c r="AJ189" s="48"/>
      <c r="AK189" s="48"/>
      <c r="AL189" s="48"/>
      <c r="AM189" s="48"/>
      <c r="AN189" s="48"/>
      <c r="AO189" s="48"/>
      <c r="AP189" s="48"/>
      <c r="AQ189" s="48"/>
      <c r="AR189" s="48"/>
      <c r="AS189" s="48"/>
      <c r="AT189" s="48"/>
      <c r="AU189" s="48"/>
      <c r="AV189" s="48"/>
      <c r="AW189" s="48"/>
      <c r="AX189" s="48"/>
      <c r="AY189" s="48"/>
    </row>
    <row r="190" spans="1:51" ht="15" customHeight="1">
      <c r="A190" s="5643"/>
      <c r="B190" s="5645"/>
      <c r="C190" s="5799"/>
      <c r="D190" s="5800"/>
      <c r="E190" s="5801"/>
      <c r="F190" s="5782" t="s">
        <v>364</v>
      </c>
      <c r="G190" s="5784"/>
      <c r="H190" s="5802" t="s">
        <v>347</v>
      </c>
      <c r="I190" s="5784"/>
      <c r="J190" s="5782" t="s">
        <v>108</v>
      </c>
      <c r="K190" s="5784"/>
      <c r="L190" s="5802" t="s">
        <v>58</v>
      </c>
      <c r="M190" s="5784"/>
      <c r="N190" s="5802" t="s">
        <v>59</v>
      </c>
      <c r="O190" s="5784"/>
      <c r="P190" s="5802" t="s">
        <v>387</v>
      </c>
      <c r="Q190" s="5784"/>
      <c r="R190" s="5802" t="s">
        <v>388</v>
      </c>
      <c r="S190" s="5784"/>
      <c r="T190" s="5803" t="s">
        <v>389</v>
      </c>
      <c r="U190" s="5735"/>
      <c r="V190" s="48"/>
      <c r="W190" s="48"/>
      <c r="X190" s="48"/>
      <c r="Y190" s="48"/>
      <c r="Z190" s="48"/>
      <c r="AA190" s="48"/>
      <c r="AB190" s="48"/>
      <c r="AC190" s="48"/>
      <c r="AD190" s="48"/>
      <c r="AE190" s="48"/>
      <c r="AF190" s="48"/>
      <c r="AG190" s="48"/>
      <c r="AH190" s="48"/>
      <c r="AI190" s="48"/>
      <c r="AJ190" s="48"/>
      <c r="AK190" s="48"/>
      <c r="AL190" s="48"/>
      <c r="AM190" s="48"/>
      <c r="AN190" s="48"/>
      <c r="AO190" s="48"/>
      <c r="AP190" s="48"/>
      <c r="AQ190" s="48"/>
      <c r="AR190" s="48"/>
      <c r="AS190" s="48"/>
      <c r="AT190" s="48"/>
      <c r="AU190" s="48"/>
      <c r="AV190" s="48"/>
      <c r="AW190" s="48"/>
      <c r="AX190" s="48"/>
      <c r="AY190" s="48"/>
    </row>
    <row r="191" spans="1:51" ht="15" customHeight="1">
      <c r="A191" s="5659"/>
      <c r="B191" s="5625"/>
      <c r="C191" s="230" t="s">
        <v>93</v>
      </c>
      <c r="D191" s="196" t="s">
        <v>72</v>
      </c>
      <c r="E191" s="76" t="s">
        <v>73</v>
      </c>
      <c r="F191" s="75" t="s">
        <v>72</v>
      </c>
      <c r="G191" s="232" t="s">
        <v>73</v>
      </c>
      <c r="H191" s="196" t="s">
        <v>72</v>
      </c>
      <c r="I191" s="232" t="s">
        <v>73</v>
      </c>
      <c r="J191" s="75" t="s">
        <v>72</v>
      </c>
      <c r="K191" s="232" t="s">
        <v>73</v>
      </c>
      <c r="L191" s="196" t="s">
        <v>72</v>
      </c>
      <c r="M191" s="232" t="s">
        <v>73</v>
      </c>
      <c r="N191" s="196" t="s">
        <v>72</v>
      </c>
      <c r="O191" s="232" t="s">
        <v>73</v>
      </c>
      <c r="P191" s="196" t="s">
        <v>72</v>
      </c>
      <c r="Q191" s="232" t="s">
        <v>73</v>
      </c>
      <c r="R191" s="196" t="s">
        <v>72</v>
      </c>
      <c r="S191" s="232" t="s">
        <v>73</v>
      </c>
      <c r="T191" s="196" t="s">
        <v>72</v>
      </c>
      <c r="U191" s="232" t="s">
        <v>73</v>
      </c>
      <c r="V191" s="48"/>
      <c r="W191" s="48"/>
      <c r="X191" s="48"/>
      <c r="Y191" s="48"/>
      <c r="Z191" s="48"/>
      <c r="AA191" s="48"/>
      <c r="AB191" s="48"/>
      <c r="AC191" s="48"/>
      <c r="AD191" s="48"/>
      <c r="AE191" s="48"/>
      <c r="AF191" s="48"/>
      <c r="AG191" s="48"/>
      <c r="AH191" s="48"/>
      <c r="AI191" s="48"/>
      <c r="AJ191" s="48"/>
      <c r="AK191" s="48"/>
      <c r="AL191" s="48"/>
      <c r="AM191" s="48"/>
      <c r="AN191" s="48"/>
      <c r="AO191" s="48"/>
      <c r="AP191" s="48"/>
      <c r="AQ191" s="48"/>
      <c r="AR191" s="48"/>
      <c r="AS191" s="48"/>
      <c r="AT191" s="48"/>
      <c r="AU191" s="48"/>
      <c r="AV191" s="48"/>
      <c r="AW191" s="48"/>
      <c r="AX191" s="48"/>
      <c r="AY191" s="48"/>
    </row>
    <row r="192" spans="1:51" ht="15" customHeight="1">
      <c r="A192" s="5791" t="s">
        <v>390</v>
      </c>
      <c r="B192" s="5792"/>
      <c r="C192" s="768">
        <f t="shared" ref="C192:C215" si="71">SUM(D192+E192)</f>
        <v>0</v>
      </c>
      <c r="D192" s="769">
        <f>SUM(F192+H192+J192+L192+N192+P192+R192+T192)</f>
        <v>0</v>
      </c>
      <c r="E192" s="770">
        <f t="shared" ref="D192:E194" si="72">SUM(G192+I192+K192+M192+O192+Q192+S192+U192)</f>
        <v>0</v>
      </c>
      <c r="F192" s="588"/>
      <c r="G192" s="719"/>
      <c r="H192" s="771"/>
      <c r="I192" s="719"/>
      <c r="J192" s="588"/>
      <c r="K192" s="719"/>
      <c r="L192" s="184"/>
      <c r="M192" s="515"/>
      <c r="N192" s="184"/>
      <c r="O192" s="515"/>
      <c r="P192" s="184"/>
      <c r="Q192" s="515"/>
      <c r="R192" s="184"/>
      <c r="S192" s="515"/>
      <c r="T192" s="184"/>
      <c r="U192" s="515"/>
      <c r="V192" s="48"/>
      <c r="W192" s="48"/>
      <c r="X192" s="48"/>
      <c r="Y192" s="48"/>
      <c r="Z192" s="48"/>
      <c r="AA192" s="48"/>
      <c r="AB192" s="48"/>
      <c r="AC192" s="48"/>
      <c r="AD192" s="48"/>
      <c r="AE192" s="48"/>
      <c r="AF192" s="48"/>
      <c r="AG192" s="48"/>
      <c r="AH192" s="48"/>
      <c r="AI192" s="48"/>
      <c r="AJ192" s="48"/>
      <c r="AK192" s="48"/>
      <c r="AL192" s="48"/>
      <c r="AM192" s="48"/>
      <c r="AN192" s="48"/>
      <c r="AO192" s="48"/>
      <c r="AP192" s="48"/>
      <c r="AQ192" s="48"/>
      <c r="AR192" s="48"/>
      <c r="AS192" s="48"/>
      <c r="AT192" s="48"/>
      <c r="AU192" s="48"/>
      <c r="AV192" s="48"/>
      <c r="AW192" s="48"/>
      <c r="AX192" s="48"/>
      <c r="AY192" s="48"/>
    </row>
    <row r="193" spans="1:94" ht="15" customHeight="1">
      <c r="A193" s="5793" t="s">
        <v>391</v>
      </c>
      <c r="B193" s="5789"/>
      <c r="C193" s="772">
        <f t="shared" si="71"/>
        <v>0</v>
      </c>
      <c r="D193" s="773">
        <f t="shared" si="72"/>
        <v>0</v>
      </c>
      <c r="E193" s="774">
        <f t="shared" si="72"/>
        <v>0</v>
      </c>
      <c r="F193" s="656"/>
      <c r="G193" s="658"/>
      <c r="H193" s="775"/>
      <c r="I193" s="658"/>
      <c r="J193" s="656"/>
      <c r="K193" s="658"/>
      <c r="L193" s="757"/>
      <c r="M193" s="535"/>
      <c r="N193" s="757"/>
      <c r="O193" s="535"/>
      <c r="P193" s="757"/>
      <c r="Q193" s="535"/>
      <c r="R193" s="757"/>
      <c r="S193" s="535"/>
      <c r="T193" s="757"/>
      <c r="U193" s="535"/>
      <c r="V193" s="48"/>
      <c r="W193" s="48"/>
      <c r="X193" s="48"/>
      <c r="Y193" s="48"/>
      <c r="Z193" s="48"/>
      <c r="AA193" s="48"/>
      <c r="AB193" s="48"/>
      <c r="AC193" s="48"/>
      <c r="AD193" s="48"/>
      <c r="AE193" s="48"/>
      <c r="AF193" s="48"/>
      <c r="AG193" s="48"/>
      <c r="AH193" s="48"/>
      <c r="AI193" s="48"/>
      <c r="AJ193" s="48"/>
      <c r="AK193" s="48"/>
      <c r="AL193" s="48"/>
      <c r="AM193" s="48"/>
      <c r="AN193" s="48"/>
      <c r="AO193" s="48"/>
      <c r="AP193" s="48"/>
      <c r="AQ193" s="48"/>
      <c r="AR193" s="48"/>
      <c r="AS193" s="48"/>
      <c r="AT193" s="48"/>
      <c r="AU193" s="48"/>
      <c r="AV193" s="48"/>
      <c r="AW193" s="48"/>
      <c r="AX193" s="48"/>
      <c r="AY193" s="48"/>
    </row>
    <row r="194" spans="1:94" ht="15" customHeight="1">
      <c r="A194" s="5884" t="s">
        <v>392</v>
      </c>
      <c r="B194" s="5885"/>
      <c r="C194" s="776">
        <f t="shared" si="71"/>
        <v>0</v>
      </c>
      <c r="D194" s="569">
        <f t="shared" si="72"/>
        <v>0</v>
      </c>
      <c r="E194" s="502">
        <f t="shared" si="72"/>
        <v>0</v>
      </c>
      <c r="F194" s="570">
        <f t="shared" ref="F194:U201" si="73">SUM(F192:F193)</f>
        <v>0</v>
      </c>
      <c r="G194" s="574">
        <f t="shared" si="73"/>
        <v>0</v>
      </c>
      <c r="H194" s="288">
        <f t="shared" si="73"/>
        <v>0</v>
      </c>
      <c r="I194" s="574">
        <f t="shared" si="73"/>
        <v>0</v>
      </c>
      <c r="J194" s="570">
        <f t="shared" si="73"/>
        <v>0</v>
      </c>
      <c r="K194" s="574">
        <f t="shared" si="73"/>
        <v>0</v>
      </c>
      <c r="L194" s="288">
        <f t="shared" si="73"/>
        <v>0</v>
      </c>
      <c r="M194" s="574">
        <f t="shared" si="73"/>
        <v>0</v>
      </c>
      <c r="N194" s="288">
        <f t="shared" si="73"/>
        <v>0</v>
      </c>
      <c r="O194" s="574">
        <f t="shared" si="73"/>
        <v>0</v>
      </c>
      <c r="P194" s="288">
        <f t="shared" si="73"/>
        <v>0</v>
      </c>
      <c r="Q194" s="574">
        <f t="shared" si="73"/>
        <v>0</v>
      </c>
      <c r="R194" s="288">
        <f t="shared" si="73"/>
        <v>0</v>
      </c>
      <c r="S194" s="574">
        <f t="shared" si="73"/>
        <v>0</v>
      </c>
      <c r="T194" s="288">
        <f t="shared" si="73"/>
        <v>0</v>
      </c>
      <c r="U194" s="574">
        <f t="shared" si="73"/>
        <v>0</v>
      </c>
      <c r="V194" s="48"/>
      <c r="W194" s="48"/>
      <c r="X194" s="48"/>
      <c r="Y194" s="48"/>
      <c r="Z194" s="48"/>
      <c r="AA194" s="48"/>
      <c r="AB194" s="48"/>
      <c r="AC194" s="48"/>
      <c r="AD194" s="48"/>
      <c r="AE194" s="48"/>
      <c r="AF194" s="48"/>
      <c r="AG194" s="48"/>
      <c r="AH194" s="48"/>
      <c r="AI194" s="48"/>
      <c r="AJ194" s="48"/>
      <c r="AK194" s="48"/>
      <c r="AL194" s="48"/>
      <c r="AM194" s="48"/>
      <c r="AN194" s="48"/>
      <c r="AO194" s="48"/>
      <c r="AP194" s="48"/>
      <c r="AQ194" s="48"/>
      <c r="AR194" s="48"/>
      <c r="AS194" s="48"/>
      <c r="AT194" s="48"/>
      <c r="AU194" s="48"/>
      <c r="AV194" s="48"/>
      <c r="AW194" s="48"/>
      <c r="AX194" s="48"/>
      <c r="AY194" s="48"/>
    </row>
    <row r="195" spans="1:94" ht="18" customHeight="1">
      <c r="A195" s="763" t="s">
        <v>393</v>
      </c>
      <c r="B195" s="764"/>
      <c r="C195" s="764"/>
      <c r="D195" s="764"/>
      <c r="E195" s="764"/>
      <c r="F195" s="469"/>
      <c r="G195" s="469"/>
      <c r="H195" s="469"/>
      <c r="I195" s="469"/>
      <c r="J195" s="469"/>
      <c r="K195" s="469"/>
      <c r="L195" s="469"/>
      <c r="M195" s="469"/>
      <c r="N195" s="469"/>
      <c r="O195" s="469"/>
      <c r="P195" s="469"/>
      <c r="Q195" s="469"/>
      <c r="R195" s="48"/>
      <c r="S195" s="48"/>
      <c r="T195" s="624"/>
      <c r="U195" s="624"/>
      <c r="V195" s="48"/>
      <c r="W195" s="48"/>
      <c r="X195" s="48"/>
      <c r="Y195" s="48"/>
      <c r="Z195" s="48"/>
      <c r="AA195" s="48"/>
      <c r="AB195" s="48"/>
      <c r="AC195" s="48"/>
      <c r="AD195" s="48"/>
      <c r="AE195" s="48"/>
      <c r="AF195" s="48"/>
      <c r="AG195" s="48"/>
      <c r="AH195" s="48"/>
      <c r="AI195" s="48"/>
      <c r="AJ195" s="48"/>
      <c r="AK195" s="48"/>
      <c r="AL195" s="48"/>
      <c r="AM195" s="48"/>
      <c r="AN195" s="48"/>
      <c r="AO195" s="48"/>
      <c r="AP195" s="48"/>
      <c r="AQ195" s="48"/>
      <c r="AR195" s="48"/>
      <c r="AS195" s="48"/>
      <c r="AT195" s="48"/>
      <c r="AU195" s="48"/>
      <c r="AV195" s="48"/>
      <c r="AW195" s="48"/>
      <c r="AX195" s="48"/>
      <c r="AY195" s="48"/>
    </row>
    <row r="196" spans="1:94" ht="15" customHeight="1">
      <c r="A196" s="5642" t="s">
        <v>386</v>
      </c>
      <c r="B196" s="5624"/>
      <c r="C196" s="5796" t="s">
        <v>323</v>
      </c>
      <c r="D196" s="5797"/>
      <c r="E196" s="5877"/>
      <c r="F196" s="5878" t="s">
        <v>115</v>
      </c>
      <c r="G196" s="5879"/>
      <c r="H196" s="5879"/>
      <c r="I196" s="5879"/>
      <c r="J196" s="5879"/>
      <c r="K196" s="5879"/>
      <c r="L196" s="5879"/>
      <c r="M196" s="5879"/>
      <c r="N196" s="5879"/>
      <c r="O196" s="5880"/>
      <c r="P196" s="5652" t="s">
        <v>394</v>
      </c>
      <c r="Q196" s="5646"/>
      <c r="R196" s="5646"/>
      <c r="S196" s="5646"/>
      <c r="T196" s="624"/>
      <c r="U196" s="624"/>
      <c r="V196" s="48"/>
      <c r="W196" s="48"/>
      <c r="X196" s="48"/>
      <c r="Y196" s="48"/>
      <c r="Z196" s="48"/>
      <c r="AA196" s="48"/>
      <c r="AB196" s="48"/>
      <c r="AC196" s="48"/>
      <c r="AD196" s="48"/>
      <c r="AE196" s="48"/>
      <c r="AF196" s="48"/>
      <c r="AG196" s="48"/>
      <c r="AH196" s="48"/>
      <c r="AI196" s="48"/>
      <c r="AJ196" s="48"/>
      <c r="AK196" s="48"/>
      <c r="AL196" s="48"/>
      <c r="AM196" s="48"/>
      <c r="AN196" s="48"/>
      <c r="AO196" s="48"/>
      <c r="AP196" s="48"/>
      <c r="AQ196" s="48"/>
      <c r="AR196" s="48"/>
      <c r="AS196" s="48"/>
      <c r="AT196" s="48"/>
      <c r="AU196" s="48"/>
      <c r="AV196" s="48"/>
      <c r="AW196" s="48"/>
      <c r="AX196" s="48"/>
      <c r="AY196" s="48"/>
    </row>
    <row r="197" spans="1:94" ht="15" customHeight="1">
      <c r="A197" s="5643"/>
      <c r="B197" s="5645"/>
      <c r="C197" s="5799"/>
      <c r="D197" s="5800"/>
      <c r="E197" s="5801"/>
      <c r="F197" s="5881" t="s">
        <v>58</v>
      </c>
      <c r="G197" s="5736"/>
      <c r="H197" s="5881" t="s">
        <v>59</v>
      </c>
      <c r="I197" s="5736"/>
      <c r="J197" s="5881" t="s">
        <v>387</v>
      </c>
      <c r="K197" s="5736"/>
      <c r="L197" s="5881" t="s">
        <v>388</v>
      </c>
      <c r="M197" s="5736"/>
      <c r="N197" s="5881" t="s">
        <v>389</v>
      </c>
      <c r="O197" s="5882"/>
      <c r="P197" s="5883" t="s">
        <v>364</v>
      </c>
      <c r="Q197" s="5783" t="s">
        <v>347</v>
      </c>
      <c r="R197" s="5783" t="s">
        <v>108</v>
      </c>
      <c r="S197" s="5652" t="s">
        <v>58</v>
      </c>
      <c r="T197" s="624"/>
      <c r="U197" s="624"/>
      <c r="V197" s="48"/>
      <c r="W197" s="48"/>
      <c r="X197" s="48"/>
      <c r="Y197" s="48"/>
      <c r="Z197" s="48"/>
      <c r="AA197" s="48"/>
      <c r="AB197" s="48"/>
      <c r="AC197" s="48"/>
      <c r="AD197" s="48"/>
      <c r="AE197" s="48"/>
      <c r="AF197" s="48"/>
      <c r="AG197" s="48"/>
      <c r="AH197" s="48"/>
      <c r="AI197" s="48"/>
      <c r="AJ197" s="48"/>
      <c r="AK197" s="48"/>
      <c r="AL197" s="48"/>
      <c r="AM197" s="48"/>
      <c r="AN197" s="48"/>
      <c r="AO197" s="48"/>
      <c r="AP197" s="48"/>
      <c r="AQ197" s="48"/>
      <c r="AR197" s="48"/>
      <c r="AS197" s="48"/>
      <c r="AT197" s="48"/>
      <c r="AU197" s="48"/>
      <c r="AV197" s="48"/>
      <c r="AW197" s="48"/>
      <c r="AX197" s="48"/>
      <c r="AY197" s="48"/>
    </row>
    <row r="198" spans="1:94" ht="15" customHeight="1">
      <c r="A198" s="5659"/>
      <c r="B198" s="5625"/>
      <c r="C198" s="230" t="s">
        <v>93</v>
      </c>
      <c r="D198" s="196" t="s">
        <v>72</v>
      </c>
      <c r="E198" s="76" t="s">
        <v>73</v>
      </c>
      <c r="F198" s="196" t="s">
        <v>72</v>
      </c>
      <c r="G198" s="232" t="s">
        <v>73</v>
      </c>
      <c r="H198" s="196" t="s">
        <v>72</v>
      </c>
      <c r="I198" s="232" t="s">
        <v>73</v>
      </c>
      <c r="J198" s="196" t="s">
        <v>72</v>
      </c>
      <c r="K198" s="232" t="s">
        <v>73</v>
      </c>
      <c r="L198" s="196" t="s">
        <v>72</v>
      </c>
      <c r="M198" s="232" t="s">
        <v>73</v>
      </c>
      <c r="N198" s="196" t="s">
        <v>72</v>
      </c>
      <c r="O198" s="70" t="s">
        <v>73</v>
      </c>
      <c r="P198" s="5883"/>
      <c r="Q198" s="5783"/>
      <c r="R198" s="5783"/>
      <c r="S198" s="5652"/>
      <c r="T198" s="624"/>
      <c r="U198" s="624"/>
      <c r="V198" s="48"/>
      <c r="W198" s="48"/>
      <c r="X198" s="48"/>
      <c r="Y198" s="48"/>
      <c r="Z198" s="48"/>
      <c r="AA198" s="48"/>
      <c r="AB198" s="48"/>
      <c r="AC198" s="48"/>
      <c r="AD198" s="48"/>
      <c r="AE198" s="48"/>
      <c r="AF198" s="48"/>
      <c r="AG198" s="48"/>
      <c r="AH198" s="48"/>
      <c r="AI198" s="48"/>
      <c r="AJ198" s="48"/>
      <c r="AK198" s="48"/>
      <c r="AL198" s="48"/>
      <c r="AM198" s="48"/>
      <c r="AN198" s="48"/>
      <c r="AO198" s="48"/>
      <c r="AP198" s="48"/>
      <c r="AQ198" s="48"/>
      <c r="AR198" s="48"/>
      <c r="AS198" s="48"/>
      <c r="AT198" s="48"/>
      <c r="AU198" s="48"/>
      <c r="AV198" s="48"/>
      <c r="AW198" s="48"/>
      <c r="AX198" s="48"/>
      <c r="AY198" s="48"/>
    </row>
    <row r="199" spans="1:94" ht="15" customHeight="1">
      <c r="A199" s="5791" t="s">
        <v>395</v>
      </c>
      <c r="B199" s="5792"/>
      <c r="C199" s="768">
        <f t="shared" si="71"/>
        <v>0</v>
      </c>
      <c r="D199" s="769">
        <f t="shared" ref="D199:D201" si="74">SUM(F199+H199+J199+L199+N199)</f>
        <v>0</v>
      </c>
      <c r="E199" s="770">
        <f t="shared" ref="E199:E201" si="75">SUM(G199+I199+K199+M199+O199)</f>
        <v>0</v>
      </c>
      <c r="F199" s="184"/>
      <c r="G199" s="515"/>
      <c r="H199" s="184"/>
      <c r="I199" s="515"/>
      <c r="J199" s="184"/>
      <c r="K199" s="515"/>
      <c r="L199" s="184"/>
      <c r="M199" s="515"/>
      <c r="N199" s="184"/>
      <c r="O199" s="778"/>
      <c r="P199" s="151"/>
      <c r="Q199" s="96"/>
      <c r="R199" s="96"/>
      <c r="S199" s="779"/>
      <c r="T199" s="624" t="str">
        <f t="shared" ref="T199:T200" si="76">CA199&amp;CB199&amp;CC199&amp;CD199&amp;CE199&amp;CF199</f>
        <v/>
      </c>
      <c r="U199" s="624"/>
      <c r="V199" s="48"/>
      <c r="W199" s="48"/>
      <c r="X199" s="48"/>
      <c r="Y199" s="48"/>
      <c r="Z199" s="48"/>
      <c r="AA199" s="48"/>
      <c r="AB199" s="48"/>
      <c r="AC199" s="48"/>
      <c r="AD199" s="48"/>
      <c r="AE199" s="48"/>
      <c r="AF199" s="48"/>
      <c r="AG199" s="48"/>
      <c r="AH199" s="48"/>
      <c r="AI199" s="48"/>
      <c r="AJ199" s="48"/>
      <c r="AK199" s="48"/>
      <c r="AL199" s="48"/>
      <c r="AM199" s="48"/>
      <c r="AN199" s="48"/>
      <c r="AO199" s="48"/>
      <c r="AP199" s="48"/>
      <c r="AQ199" s="48"/>
      <c r="AR199" s="48"/>
      <c r="AS199" s="48"/>
      <c r="AT199" s="48"/>
      <c r="AU199" s="48"/>
      <c r="AV199" s="48"/>
      <c r="AW199" s="48"/>
      <c r="AX199" s="48"/>
      <c r="AY199" s="48"/>
      <c r="CA199" s="511" t="str">
        <f t="shared" ref="CA199:CA200" si="77">IF(AND($C199&lt;&gt;0,P199=""),"* No olvide ingresar la variable Rango Etario NANEAS "&amp;P$197&amp;""&amp;". Digite CERO si no tiene. ",IF(P199&gt;$C199,"* La variable NANEAS de 0 - 4 años no debe ser mayor al Total Ambos Sexos. ",""))</f>
        <v/>
      </c>
      <c r="CB199" s="511" t="str">
        <f t="shared" ref="CB199:CB200" si="78">IF(AND($C199&lt;&gt;0,Q199=""),"* No olvide ingresar la variable Rango Etario NANEAS "&amp;Q$197&amp;""&amp;". Digite CERO si no tiene. ",IF(Q199&gt;$C199,"* La variable NANEAS de 5 - 9 años no debe ser mayor al Total Ambos Sexos. ",""))</f>
        <v/>
      </c>
      <c r="CC199" s="511" t="str">
        <f t="shared" ref="CC199:CC200" si="79">IF(AND($C199&lt;&gt;0,R199=""),"* No olvide ingresar la variable Rango Etario NANEAS "&amp;R$197&amp;""&amp;". Digite CERO si no tiene. ",IF(R199&gt;$C199,"* La variable NANEAS de 10 - 14 años no debe ser mayor al Total Ambos Sexos. ",""))</f>
        <v/>
      </c>
      <c r="CD199" s="511" t="str">
        <f t="shared" ref="CD199:CD200" si="80">IF(AND($C199&lt;&gt;0,S199=""),"* No olvide ingresar la variable Rango Etario NANEAS "&amp;S$197&amp;""&amp;". Digite CERO si no tiene. ",IF(S199&gt;$C199,"* La variable NANEAS de 15 - 19 años no debe ser mayor al Total Ambos Sexos. ",""))</f>
        <v/>
      </c>
      <c r="CE199" s="511" t="str">
        <f t="shared" ref="CE199:CE200" si="81">IF(AND($C199&lt;&gt;0,P199+Q199+R199+S199=0),"* La suma de variable "&amp;P$196&amp;""&amp;" no puede ser 0. ","")</f>
        <v/>
      </c>
      <c r="CF199" s="511" t="str">
        <f t="shared" ref="CF199:CF200" si="82">IF(AND(Q199+R199+S199+P199&gt;$C199),"* La suma de la variable "&amp;P$196&amp;""&amp;" no puede superar el Total Ambos Sexos. ","")</f>
        <v/>
      </c>
      <c r="CG199" s="512"/>
      <c r="CH199" s="512"/>
      <c r="CI199" s="512"/>
      <c r="CK199" s="513">
        <f t="shared" ref="CK199:CN200" si="83">IF(AND($C199&lt;&gt;0,P199=""),1,IF(P199&gt;$C199,1,0))</f>
        <v>0</v>
      </c>
      <c r="CL199" s="513">
        <f t="shared" si="83"/>
        <v>0</v>
      </c>
      <c r="CM199" s="513">
        <f t="shared" si="83"/>
        <v>0</v>
      </c>
      <c r="CN199" s="513">
        <f t="shared" si="83"/>
        <v>0</v>
      </c>
      <c r="CO199" s="698">
        <f t="shared" ref="CO199:CO200" si="84">IF(AND($C199&lt;&gt;0,P199+Q199+R199+S199=0),1,0)</f>
        <v>0</v>
      </c>
      <c r="CP199" s="698">
        <f t="shared" ref="CP199:CP200" si="85">IF(AND(Q199+R199+S199+P199&gt;$C199),1,0)</f>
        <v>0</v>
      </c>
    </row>
    <row r="200" spans="1:94" ht="15" customHeight="1">
      <c r="A200" s="5793" t="s">
        <v>396</v>
      </c>
      <c r="B200" s="5789"/>
      <c r="C200" s="772">
        <f t="shared" si="71"/>
        <v>0</v>
      </c>
      <c r="D200" s="773">
        <f t="shared" si="74"/>
        <v>0</v>
      </c>
      <c r="E200" s="774">
        <f t="shared" si="75"/>
        <v>0</v>
      </c>
      <c r="F200" s="757"/>
      <c r="G200" s="535"/>
      <c r="H200" s="757"/>
      <c r="I200" s="535"/>
      <c r="J200" s="757"/>
      <c r="K200" s="535"/>
      <c r="L200" s="757"/>
      <c r="M200" s="535"/>
      <c r="N200" s="757"/>
      <c r="O200" s="704"/>
      <c r="P200" s="115"/>
      <c r="Q200" s="123"/>
      <c r="R200" s="123"/>
      <c r="S200" s="121"/>
      <c r="T200" s="624" t="str">
        <f t="shared" si="76"/>
        <v/>
      </c>
      <c r="U200" s="624"/>
      <c r="V200" s="48"/>
      <c r="W200" s="48"/>
      <c r="X200" s="48"/>
      <c r="Y200" s="48"/>
      <c r="Z200" s="48"/>
      <c r="AA200" s="48"/>
      <c r="AB200" s="48"/>
      <c r="AC200" s="48"/>
      <c r="AD200" s="48"/>
      <c r="AE200" s="48"/>
      <c r="AF200" s="48"/>
      <c r="AG200" s="48"/>
      <c r="AH200" s="48"/>
      <c r="AI200" s="48"/>
      <c r="AJ200" s="48"/>
      <c r="AK200" s="48"/>
      <c r="AL200" s="48"/>
      <c r="AM200" s="48"/>
      <c r="AN200" s="48"/>
      <c r="AO200" s="48"/>
      <c r="AP200" s="48"/>
      <c r="AQ200" s="48"/>
      <c r="AR200" s="48"/>
      <c r="AS200" s="48"/>
      <c r="AT200" s="48"/>
      <c r="AU200" s="48"/>
      <c r="AV200" s="48"/>
      <c r="AW200" s="48"/>
      <c r="AX200" s="48"/>
      <c r="AY200" s="48"/>
      <c r="CA200" s="511" t="str">
        <f t="shared" si="77"/>
        <v/>
      </c>
      <c r="CB200" s="511" t="str">
        <f t="shared" si="78"/>
        <v/>
      </c>
      <c r="CC200" s="511" t="str">
        <f t="shared" si="79"/>
        <v/>
      </c>
      <c r="CD200" s="511" t="str">
        <f t="shared" si="80"/>
        <v/>
      </c>
      <c r="CE200" s="511" t="str">
        <f t="shared" si="81"/>
        <v/>
      </c>
      <c r="CF200" s="511" t="str">
        <f t="shared" si="82"/>
        <v/>
      </c>
      <c r="CG200" s="512"/>
      <c r="CH200" s="512"/>
      <c r="CI200" s="512"/>
      <c r="CK200" s="513">
        <f t="shared" si="83"/>
        <v>0</v>
      </c>
      <c r="CL200" s="513">
        <f t="shared" si="83"/>
        <v>0</v>
      </c>
      <c r="CM200" s="513">
        <f t="shared" si="83"/>
        <v>0</v>
      </c>
      <c r="CN200" s="513">
        <f t="shared" si="83"/>
        <v>0</v>
      </c>
      <c r="CO200" s="698">
        <f t="shared" si="84"/>
        <v>0</v>
      </c>
      <c r="CP200" s="698">
        <f t="shared" si="85"/>
        <v>0</v>
      </c>
    </row>
    <row r="201" spans="1:94" ht="15" customHeight="1">
      <c r="A201" s="5794" t="s">
        <v>397</v>
      </c>
      <c r="B201" s="5795"/>
      <c r="C201" s="776">
        <f t="shared" si="71"/>
        <v>0</v>
      </c>
      <c r="D201" s="569">
        <f t="shared" si="74"/>
        <v>0</v>
      </c>
      <c r="E201" s="502">
        <f t="shared" si="75"/>
        <v>0</v>
      </c>
      <c r="F201" s="288">
        <f t="shared" si="73"/>
        <v>0</v>
      </c>
      <c r="G201" s="574">
        <f t="shared" ref="G201:O201" si="86">SUM(G199:G200)</f>
        <v>0</v>
      </c>
      <c r="H201" s="288">
        <f t="shared" si="86"/>
        <v>0</v>
      </c>
      <c r="I201" s="574">
        <f t="shared" si="86"/>
        <v>0</v>
      </c>
      <c r="J201" s="288">
        <f t="shared" si="86"/>
        <v>0</v>
      </c>
      <c r="K201" s="574">
        <f t="shared" si="86"/>
        <v>0</v>
      </c>
      <c r="L201" s="288">
        <f t="shared" si="86"/>
        <v>0</v>
      </c>
      <c r="M201" s="574">
        <f t="shared" si="86"/>
        <v>0</v>
      </c>
      <c r="N201" s="288">
        <f t="shared" si="86"/>
        <v>0</v>
      </c>
      <c r="O201" s="290">
        <f t="shared" si="86"/>
        <v>0</v>
      </c>
      <c r="P201" s="780">
        <f t="shared" ref="P201:S201" si="87">SUM(P199:P200)</f>
        <v>0</v>
      </c>
      <c r="Q201" s="781">
        <f t="shared" si="87"/>
        <v>0</v>
      </c>
      <c r="R201" s="781">
        <f t="shared" si="87"/>
        <v>0</v>
      </c>
      <c r="S201" s="289">
        <f t="shared" si="87"/>
        <v>0</v>
      </c>
      <c r="T201" s="624"/>
      <c r="U201" s="624"/>
      <c r="V201" s="48"/>
      <c r="W201" s="48"/>
      <c r="X201" s="48"/>
      <c r="Y201" s="48"/>
      <c r="Z201" s="48"/>
      <c r="AA201" s="48"/>
      <c r="AB201" s="48"/>
      <c r="AC201" s="48"/>
      <c r="AD201" s="48"/>
      <c r="AE201" s="48"/>
      <c r="AF201" s="48"/>
      <c r="AG201" s="48"/>
      <c r="AH201" s="48"/>
      <c r="AI201" s="48"/>
      <c r="AJ201" s="48"/>
      <c r="AK201" s="48"/>
      <c r="AL201" s="48"/>
      <c r="AM201" s="48"/>
      <c r="AN201" s="48"/>
      <c r="AO201" s="48"/>
      <c r="AP201" s="48"/>
      <c r="AQ201" s="48"/>
      <c r="AR201" s="48"/>
      <c r="AS201" s="48"/>
      <c r="AT201" s="48"/>
      <c r="AU201" s="48"/>
      <c r="AV201" s="48"/>
      <c r="AW201" s="48"/>
      <c r="AX201" s="48"/>
      <c r="AY201" s="48"/>
    </row>
    <row r="202" spans="1:94" ht="18" customHeight="1">
      <c r="A202" s="763" t="s">
        <v>398</v>
      </c>
      <c r="B202" s="782"/>
      <c r="C202" s="782"/>
      <c r="D202" s="782"/>
      <c r="E202" s="782"/>
      <c r="F202" s="782"/>
      <c r="G202" s="782"/>
      <c r="H202" s="782"/>
      <c r="I202" s="469"/>
      <c r="J202" s="469"/>
      <c r="K202" s="469"/>
      <c r="L202" s="469"/>
      <c r="M202" s="469"/>
      <c r="N202" s="469"/>
      <c r="O202" s="469"/>
      <c r="P202" s="469"/>
      <c r="Q202" s="469"/>
      <c r="R202" s="762"/>
      <c r="S202" s="762"/>
      <c r="T202" s="762"/>
      <c r="U202" s="762"/>
      <c r="V202" s="762"/>
      <c r="W202" s="762"/>
      <c r="X202" s="762"/>
      <c r="Y202" s="762"/>
      <c r="Z202" s="741"/>
      <c r="AA202" s="741"/>
      <c r="AB202" s="741"/>
      <c r="AC202" s="741"/>
      <c r="AD202" s="741"/>
      <c r="AE202" s="741"/>
      <c r="AF202" s="741"/>
      <c r="AG202" s="741"/>
      <c r="AH202" s="741"/>
      <c r="AI202" s="741"/>
      <c r="AJ202" s="48"/>
      <c r="AK202" s="48"/>
      <c r="AL202" s="48"/>
      <c r="AM202" s="48"/>
      <c r="AN202" s="48"/>
      <c r="AO202" s="48"/>
      <c r="AP202" s="48"/>
      <c r="AQ202" s="48"/>
      <c r="AR202" s="48"/>
      <c r="AS202" s="48"/>
      <c r="AT202" s="48"/>
      <c r="AU202" s="48"/>
      <c r="AV202" s="48"/>
      <c r="AW202" s="48"/>
      <c r="AX202" s="48"/>
      <c r="AY202" s="48"/>
    </row>
    <row r="203" spans="1:94" ht="15" customHeight="1">
      <c r="A203" s="5822" t="s">
        <v>399</v>
      </c>
      <c r="B203" s="5823"/>
      <c r="C203" s="5826" t="s">
        <v>91</v>
      </c>
      <c r="D203" s="5827"/>
      <c r="E203" s="5828"/>
      <c r="F203" s="5832" t="s">
        <v>115</v>
      </c>
      <c r="G203" s="5832"/>
      <c r="H203" s="5832"/>
      <c r="I203" s="5832"/>
      <c r="J203" s="5832"/>
      <c r="K203" s="5832"/>
      <c r="L203" s="5832"/>
      <c r="M203" s="5832"/>
      <c r="N203" s="5832"/>
      <c r="O203" s="5832"/>
      <c r="P203" s="5832"/>
      <c r="Q203" s="5832"/>
      <c r="R203" s="5832"/>
      <c r="S203" s="5832"/>
      <c r="T203" s="5832"/>
      <c r="U203" s="5832"/>
      <c r="V203" s="5832"/>
      <c r="W203" s="5832"/>
      <c r="X203" s="5832"/>
      <c r="Y203" s="5832"/>
      <c r="Z203" s="5832"/>
      <c r="AA203" s="5832"/>
      <c r="AB203" s="5832"/>
      <c r="AC203" s="5833"/>
      <c r="AD203" s="5807" t="s">
        <v>48</v>
      </c>
      <c r="AE203" s="5808"/>
      <c r="AF203" s="5811" t="s">
        <v>49</v>
      </c>
      <c r="AG203" s="5808"/>
      <c r="AH203" s="5813" t="s">
        <v>50</v>
      </c>
      <c r="AI203" s="5816" t="s">
        <v>51</v>
      </c>
      <c r="AJ203" s="48"/>
      <c r="AK203" s="48"/>
      <c r="AL203" s="48"/>
      <c r="AM203" s="48"/>
      <c r="AN203" s="48"/>
      <c r="AO203" s="48"/>
      <c r="AP203" s="48"/>
      <c r="AQ203" s="48"/>
      <c r="AR203" s="48"/>
      <c r="AS203" s="48"/>
      <c r="AT203" s="48"/>
      <c r="AU203" s="48"/>
      <c r="AV203" s="48"/>
      <c r="AW203" s="48"/>
      <c r="AX203" s="48"/>
      <c r="AY203" s="48"/>
    </row>
    <row r="204" spans="1:94" ht="25.5" customHeight="1">
      <c r="A204" s="5824"/>
      <c r="B204" s="5825"/>
      <c r="C204" s="5829"/>
      <c r="D204" s="5830"/>
      <c r="E204" s="5831"/>
      <c r="F204" s="5647" t="s">
        <v>400</v>
      </c>
      <c r="G204" s="5648"/>
      <c r="H204" s="5819" t="s">
        <v>401</v>
      </c>
      <c r="I204" s="5820"/>
      <c r="J204" s="5819" t="s">
        <v>402</v>
      </c>
      <c r="K204" s="5820"/>
      <c r="L204" s="5819" t="s">
        <v>403</v>
      </c>
      <c r="M204" s="5820"/>
      <c r="N204" s="5819" t="s">
        <v>404</v>
      </c>
      <c r="O204" s="5820"/>
      <c r="P204" s="5819" t="s">
        <v>405</v>
      </c>
      <c r="Q204" s="5820"/>
      <c r="R204" s="5819" t="s">
        <v>406</v>
      </c>
      <c r="S204" s="5820"/>
      <c r="T204" s="5834" t="s">
        <v>407</v>
      </c>
      <c r="U204" s="5834"/>
      <c r="V204" s="5834" t="s">
        <v>408</v>
      </c>
      <c r="W204" s="5834"/>
      <c r="X204" s="5834" t="s">
        <v>409</v>
      </c>
      <c r="Y204" s="5834"/>
      <c r="Z204" s="5802" t="s">
        <v>324</v>
      </c>
      <c r="AA204" s="5784"/>
      <c r="AB204" s="5802" t="s">
        <v>325</v>
      </c>
      <c r="AC204" s="5821"/>
      <c r="AD204" s="5809"/>
      <c r="AE204" s="5810"/>
      <c r="AF204" s="5812"/>
      <c r="AG204" s="5810"/>
      <c r="AH204" s="5814"/>
      <c r="AI204" s="5817"/>
      <c r="AJ204" s="48"/>
      <c r="AK204" s="48"/>
      <c r="AL204" s="48"/>
      <c r="AM204" s="48"/>
      <c r="AN204" s="48"/>
      <c r="AO204" s="48"/>
      <c r="AP204" s="48"/>
      <c r="AQ204" s="48"/>
      <c r="AR204" s="48"/>
      <c r="AS204" s="48"/>
      <c r="AT204" s="48"/>
      <c r="AU204" s="48"/>
      <c r="AV204" s="48"/>
      <c r="AW204" s="48"/>
      <c r="AX204" s="48"/>
      <c r="AY204" s="48"/>
    </row>
    <row r="205" spans="1:94" ht="15" customHeight="1">
      <c r="A205" s="5819"/>
      <c r="B205" s="5820"/>
      <c r="C205" s="784" t="s">
        <v>410</v>
      </c>
      <c r="D205" s="785" t="s">
        <v>72</v>
      </c>
      <c r="E205" s="783" t="s">
        <v>73</v>
      </c>
      <c r="F205" s="786" t="s">
        <v>72</v>
      </c>
      <c r="G205" s="787" t="s">
        <v>73</v>
      </c>
      <c r="H205" s="786" t="s">
        <v>72</v>
      </c>
      <c r="I205" s="787" t="s">
        <v>73</v>
      </c>
      <c r="J205" s="786" t="s">
        <v>72</v>
      </c>
      <c r="K205" s="787" t="s">
        <v>73</v>
      </c>
      <c r="L205" s="786" t="s">
        <v>72</v>
      </c>
      <c r="M205" s="787" t="s">
        <v>73</v>
      </c>
      <c r="N205" s="786" t="s">
        <v>72</v>
      </c>
      <c r="O205" s="787" t="s">
        <v>73</v>
      </c>
      <c r="P205" s="786" t="s">
        <v>72</v>
      </c>
      <c r="Q205" s="787" t="s">
        <v>73</v>
      </c>
      <c r="R205" s="786" t="s">
        <v>72</v>
      </c>
      <c r="S205" s="787" t="s">
        <v>73</v>
      </c>
      <c r="T205" s="786" t="s">
        <v>72</v>
      </c>
      <c r="U205" s="787" t="s">
        <v>73</v>
      </c>
      <c r="V205" s="786" t="s">
        <v>72</v>
      </c>
      <c r="W205" s="787" t="s">
        <v>73</v>
      </c>
      <c r="X205" s="786" t="s">
        <v>72</v>
      </c>
      <c r="Y205" s="787" t="s">
        <v>73</v>
      </c>
      <c r="Z205" s="786" t="s">
        <v>72</v>
      </c>
      <c r="AA205" s="787" t="s">
        <v>73</v>
      </c>
      <c r="AB205" s="786" t="s">
        <v>72</v>
      </c>
      <c r="AC205" s="788" t="s">
        <v>73</v>
      </c>
      <c r="AD205" s="789" t="s">
        <v>72</v>
      </c>
      <c r="AE205" s="787" t="s">
        <v>73</v>
      </c>
      <c r="AF205" s="789" t="s">
        <v>72</v>
      </c>
      <c r="AG205" s="787" t="s">
        <v>73</v>
      </c>
      <c r="AH205" s="5815"/>
      <c r="AI205" s="5818" t="s">
        <v>73</v>
      </c>
      <c r="AJ205" s="48"/>
      <c r="AK205" s="48"/>
      <c r="AL205" s="48"/>
      <c r="AM205" s="48"/>
      <c r="AN205" s="48"/>
      <c r="AO205" s="48"/>
      <c r="AP205" s="48"/>
      <c r="AQ205" s="48"/>
      <c r="AR205" s="48"/>
      <c r="AS205" s="48"/>
      <c r="AT205" s="48"/>
      <c r="AU205" s="48"/>
      <c r="AV205" s="48"/>
      <c r="AW205" s="48"/>
      <c r="AX205" s="48"/>
      <c r="AY205" s="48"/>
    </row>
    <row r="206" spans="1:94" ht="15" customHeight="1">
      <c r="A206" s="5835" t="s">
        <v>411</v>
      </c>
      <c r="B206" s="790" t="s">
        <v>339</v>
      </c>
      <c r="C206" s="790">
        <f t="shared" si="71"/>
        <v>0</v>
      </c>
      <c r="D206" s="791">
        <f t="shared" ref="D206:D207" si="88">SUM(F206+H206+J206+L206+N206+P206+R206+T206+V206+X206+Z206+AB206)</f>
        <v>0</v>
      </c>
      <c r="E206" s="792">
        <f t="shared" ref="E206:E207" si="89">SUM(G206+I206+K206+M206+O206+Q206+S206+U206+W206+Y206+AA206+AC206)</f>
        <v>0</v>
      </c>
      <c r="F206" s="793"/>
      <c r="G206" s="794"/>
      <c r="H206" s="793"/>
      <c r="I206" s="794"/>
      <c r="J206" s="793"/>
      <c r="K206" s="794"/>
      <c r="L206" s="793"/>
      <c r="M206" s="794"/>
      <c r="N206" s="793"/>
      <c r="O206" s="794"/>
      <c r="P206" s="793"/>
      <c r="Q206" s="795"/>
      <c r="R206" s="793"/>
      <c r="S206" s="795"/>
      <c r="T206" s="793"/>
      <c r="U206" s="794"/>
      <c r="V206" s="793"/>
      <c r="W206" s="794"/>
      <c r="X206" s="793"/>
      <c r="Y206" s="795"/>
      <c r="Z206" s="793"/>
      <c r="AA206" s="795"/>
      <c r="AB206" s="793"/>
      <c r="AC206" s="796"/>
      <c r="AD206" s="794"/>
      <c r="AE206" s="795"/>
      <c r="AF206" s="794"/>
      <c r="AG206" s="795"/>
      <c r="AH206" s="797"/>
      <c r="AI206" s="798"/>
      <c r="AJ206" s="99" t="str">
        <f>$CA206&amp;CB206&amp;CC206&amp;CD206&amp;CE206&amp;CF206</f>
        <v/>
      </c>
      <c r="AK206" s="48"/>
      <c r="AL206" s="48"/>
      <c r="AM206" s="48"/>
      <c r="AN206" s="48"/>
      <c r="AO206" s="48"/>
      <c r="AP206" s="48"/>
      <c r="AQ206" s="48"/>
      <c r="AR206" s="48"/>
      <c r="AS206" s="48"/>
      <c r="AT206" s="48"/>
      <c r="AU206" s="48"/>
      <c r="AV206" s="48"/>
      <c r="AW206" s="48"/>
      <c r="AX206" s="48"/>
      <c r="AY206" s="48"/>
      <c r="CA206" s="511" t="str">
        <f t="shared" ref="CA206:CA207" si="90">IF(AND($D206&lt;&gt;0,AD206=""),"* No olvide ingresar la variable "&amp;AD$203&amp;""&amp;" Hombres. Digite CERO si no tiene. ",IF(AD206&gt;$D206,"* La variable SENAME/ Servicio Nacional de Reinserción social Juvenil Hombres no puede superar el Total Hombres. ",""))</f>
        <v/>
      </c>
      <c r="CB206" s="511" t="str">
        <f t="shared" ref="CB206:CB207" si="91">IF(AND($E206&lt;&gt;0,AE206=""),"* No olvide ingresar la variable SENAME/ Servicio Nacional de Reinserción social Juvenil Mujeres. Digite CERO si no tiene. ",IF(AE206&gt;$E206,"* La variable SENAME/ Servicio Nacional de Reinserción social Juvenil Mujeres no puede superar el Total Mujeres ",""))</f>
        <v/>
      </c>
      <c r="CC206" s="511" t="str">
        <f t="shared" ref="CC206:CC207" si="92">IF(AND($D206&lt;&gt;0,AF206=""),"* No olvide ingresar la variable "&amp;AF$203&amp;""&amp;" Hombres. Digite CERO si no tiene.  ",IF(AF206&gt;$D206,"* La variable Servicio Nacional Protección Especializada a la Niñez y Adolescencia Hombres no puede superar el Total Hombres. ",""))</f>
        <v/>
      </c>
      <c r="CD206" s="511" t="str">
        <f t="shared" ref="CD206:CD207" si="93">IF(AND($E206&lt;&gt;0,AG206=""),"* No olvide ingresar la variable Servicio Nacional Protección Especializada a la Niñez y Adolescencia. Digite CERO si no tiene.  ",IF(AG206&gt;$E206,"* La variable Servicio Nacional Protección Especializada a la Niñez y Adolescencia Mujeres no puede superar el Total Mujeres. ",""))</f>
        <v/>
      </c>
      <c r="CE206" s="511" t="str">
        <f t="shared" ref="CE206:CE207" si="94">IF(AND($C206&lt;&gt;0,AH206=""),"* No olvide ingresar la variable "&amp;AH$203&amp;""&amp;". Digite CERO si no tiene.  ",IF(AH206&gt;$C206,"* La variable Pueblos Originarios no puede superar el Total Ambos Sexos. ",""))</f>
        <v/>
      </c>
      <c r="CF206" s="511" t="str">
        <f t="shared" ref="CF206:CF207" si="95">IF(AND($C206&lt;&gt;0,AI206=""),"* No olvide ingresar la variable "&amp;AI$203&amp;""&amp;". Digite CERO si no tiene.  ",IF(AI206&gt;$C206,"* La variable Migrantes no puede superar el Total Ambos Sexos. ",""))</f>
        <v/>
      </c>
      <c r="CK206" s="513">
        <f t="shared" ref="CK206:CK207" si="96">IF(AND($D206&lt;&gt;0,AD206=""),1,IF(AD206&gt;$D206,1,0))</f>
        <v>0</v>
      </c>
      <c r="CL206" s="513">
        <f t="shared" ref="CL206:CL207" si="97">IF(AND($E206&lt;&gt;0,AE206=""),1,IF(AE206&gt;$E206,1,0))</f>
        <v>0</v>
      </c>
      <c r="CM206" s="513">
        <f t="shared" ref="CM206:CM207" si="98">IF(AND($D206&lt;&gt;0,AF206=""),1,IF(AF206&gt;$D206,1,0))</f>
        <v>0</v>
      </c>
      <c r="CN206" s="513">
        <f t="shared" ref="CN206:CN207" si="99">IF(AND($E206&lt;&gt;0,AG206=""),1,IF(AG206&gt;$E206,1,0))</f>
        <v>0</v>
      </c>
      <c r="CO206" s="513">
        <f t="shared" ref="CO206:CO207" si="100">IF(AND($C206&lt;&gt;0,AH206=""),1,IF(AH206&gt;$C206,1,0))</f>
        <v>0</v>
      </c>
      <c r="CP206" s="513">
        <f t="shared" ref="CP206:CP207" si="101">IF(AND($C206&lt;&gt;0,AI206=""),1,IF(AI206&gt;$C206,1,0))</f>
        <v>0</v>
      </c>
    </row>
    <row r="207" spans="1:94" ht="15" customHeight="1">
      <c r="A207" s="5836"/>
      <c r="B207" s="799" t="s">
        <v>412</v>
      </c>
      <c r="C207" s="800">
        <f t="shared" si="71"/>
        <v>0</v>
      </c>
      <c r="D207" s="801">
        <f t="shared" si="88"/>
        <v>0</v>
      </c>
      <c r="E207" s="802">
        <f t="shared" si="89"/>
        <v>0</v>
      </c>
      <c r="F207" s="803"/>
      <c r="G207" s="804"/>
      <c r="H207" s="803"/>
      <c r="I207" s="804"/>
      <c r="J207" s="803"/>
      <c r="K207" s="804"/>
      <c r="L207" s="803"/>
      <c r="M207" s="804"/>
      <c r="N207" s="803"/>
      <c r="O207" s="804"/>
      <c r="P207" s="803"/>
      <c r="Q207" s="805"/>
      <c r="R207" s="803"/>
      <c r="S207" s="805"/>
      <c r="T207" s="803"/>
      <c r="U207" s="804"/>
      <c r="V207" s="803"/>
      <c r="W207" s="804"/>
      <c r="X207" s="803"/>
      <c r="Y207" s="805"/>
      <c r="Z207" s="803"/>
      <c r="AA207" s="805"/>
      <c r="AB207" s="803"/>
      <c r="AC207" s="806"/>
      <c r="AD207" s="807"/>
      <c r="AE207" s="805"/>
      <c r="AF207" s="807"/>
      <c r="AG207" s="805"/>
      <c r="AH207" s="808"/>
      <c r="AI207" s="809"/>
      <c r="AJ207" s="99" t="str">
        <f>$CA207&amp;CB207&amp;CC207&amp;CE207&amp;CF207&amp;CD207</f>
        <v/>
      </c>
      <c r="AK207" s="48"/>
      <c r="AL207" s="48"/>
      <c r="AM207" s="48"/>
      <c r="AN207" s="48"/>
      <c r="AO207" s="48"/>
      <c r="AP207" s="48"/>
      <c r="AQ207" s="48"/>
      <c r="AR207" s="48"/>
      <c r="AS207" s="48"/>
      <c r="AT207" s="48"/>
      <c r="AU207" s="48"/>
      <c r="AV207" s="48"/>
      <c r="AW207" s="48"/>
      <c r="AX207" s="48"/>
      <c r="AY207" s="48"/>
      <c r="CA207" s="511" t="str">
        <f t="shared" si="90"/>
        <v/>
      </c>
      <c r="CB207" s="511" t="str">
        <f t="shared" si="91"/>
        <v/>
      </c>
      <c r="CC207" s="511" t="str">
        <f t="shared" si="92"/>
        <v/>
      </c>
      <c r="CD207" s="511" t="str">
        <f t="shared" si="93"/>
        <v/>
      </c>
      <c r="CE207" s="511" t="str">
        <f t="shared" si="94"/>
        <v/>
      </c>
      <c r="CF207" s="511" t="str">
        <f t="shared" si="95"/>
        <v/>
      </c>
      <c r="CK207" s="513">
        <f t="shared" si="96"/>
        <v>0</v>
      </c>
      <c r="CL207" s="513">
        <f t="shared" si="97"/>
        <v>0</v>
      </c>
      <c r="CM207" s="513">
        <f t="shared" si="98"/>
        <v>0</v>
      </c>
      <c r="CN207" s="513">
        <f t="shared" si="99"/>
        <v>0</v>
      </c>
      <c r="CO207" s="513">
        <f t="shared" si="100"/>
        <v>0</v>
      </c>
      <c r="CP207" s="513">
        <f t="shared" si="101"/>
        <v>0</v>
      </c>
    </row>
    <row r="208" spans="1:94" ht="15" customHeight="1">
      <c r="A208" s="5837" t="s">
        <v>91</v>
      </c>
      <c r="B208" s="5838"/>
      <c r="C208" s="810">
        <f t="shared" si="71"/>
        <v>0</v>
      </c>
      <c r="D208" s="811">
        <f t="shared" ref="D208:AI208" si="102">SUM(D206+D207)</f>
        <v>0</v>
      </c>
      <c r="E208" s="812">
        <f t="shared" si="102"/>
        <v>0</v>
      </c>
      <c r="F208" s="813">
        <f t="shared" si="102"/>
        <v>0</v>
      </c>
      <c r="G208" s="814">
        <f t="shared" si="102"/>
        <v>0</v>
      </c>
      <c r="H208" s="813">
        <f t="shared" si="102"/>
        <v>0</v>
      </c>
      <c r="I208" s="814">
        <f t="shared" si="102"/>
        <v>0</v>
      </c>
      <c r="J208" s="813">
        <f t="shared" si="102"/>
        <v>0</v>
      </c>
      <c r="K208" s="814">
        <f t="shared" si="102"/>
        <v>0</v>
      </c>
      <c r="L208" s="813">
        <f t="shared" si="102"/>
        <v>0</v>
      </c>
      <c r="M208" s="814">
        <f t="shared" si="102"/>
        <v>0</v>
      </c>
      <c r="N208" s="813">
        <f t="shared" si="102"/>
        <v>0</v>
      </c>
      <c r="O208" s="814">
        <f t="shared" si="102"/>
        <v>0</v>
      </c>
      <c r="P208" s="813">
        <f t="shared" si="102"/>
        <v>0</v>
      </c>
      <c r="Q208" s="814">
        <f t="shared" si="102"/>
        <v>0</v>
      </c>
      <c r="R208" s="813">
        <f t="shared" si="102"/>
        <v>0</v>
      </c>
      <c r="S208" s="814">
        <f t="shared" si="102"/>
        <v>0</v>
      </c>
      <c r="T208" s="813">
        <f t="shared" si="102"/>
        <v>0</v>
      </c>
      <c r="U208" s="814">
        <f t="shared" si="102"/>
        <v>0</v>
      </c>
      <c r="V208" s="813">
        <f t="shared" si="102"/>
        <v>0</v>
      </c>
      <c r="W208" s="814">
        <f t="shared" si="102"/>
        <v>0</v>
      </c>
      <c r="X208" s="813">
        <f t="shared" si="102"/>
        <v>0</v>
      </c>
      <c r="Y208" s="814">
        <f t="shared" si="102"/>
        <v>0</v>
      </c>
      <c r="Z208" s="813">
        <f t="shared" si="102"/>
        <v>0</v>
      </c>
      <c r="AA208" s="814">
        <f t="shared" si="102"/>
        <v>0</v>
      </c>
      <c r="AB208" s="813">
        <f t="shared" si="102"/>
        <v>0</v>
      </c>
      <c r="AC208" s="815">
        <f t="shared" si="102"/>
        <v>0</v>
      </c>
      <c r="AD208" s="811">
        <f t="shared" si="102"/>
        <v>0</v>
      </c>
      <c r="AE208" s="814">
        <f t="shared" si="102"/>
        <v>0</v>
      </c>
      <c r="AF208" s="811">
        <f t="shared" si="102"/>
        <v>0</v>
      </c>
      <c r="AG208" s="814">
        <f t="shared" si="102"/>
        <v>0</v>
      </c>
      <c r="AH208" s="816">
        <f t="shared" si="102"/>
        <v>0</v>
      </c>
      <c r="AI208" s="810">
        <f t="shared" si="102"/>
        <v>0</v>
      </c>
      <c r="AJ208" s="48"/>
      <c r="AK208" s="48"/>
      <c r="AL208" s="48"/>
      <c r="AM208" s="48"/>
      <c r="AN208" s="48"/>
      <c r="AO208" s="48"/>
      <c r="AP208" s="48"/>
      <c r="AQ208" s="48"/>
      <c r="AR208" s="48"/>
      <c r="AS208" s="48"/>
      <c r="AT208" s="48"/>
      <c r="AU208" s="48"/>
      <c r="AV208" s="48"/>
      <c r="AW208" s="48"/>
      <c r="AX208" s="48"/>
      <c r="AY208" s="48"/>
    </row>
    <row r="209" spans="1:90" ht="18" customHeight="1">
      <c r="A209" s="763" t="s">
        <v>413</v>
      </c>
      <c r="B209" s="782"/>
      <c r="C209" s="782"/>
      <c r="D209" s="782"/>
      <c r="E209" s="782"/>
      <c r="F209" s="782"/>
      <c r="G209" s="762"/>
      <c r="H209" s="762"/>
      <c r="I209" s="740"/>
      <c r="J209" s="740"/>
      <c r="K209" s="740"/>
      <c r="L209" s="740"/>
      <c r="M209" s="740"/>
      <c r="N209" s="740"/>
      <c r="O209" s="740"/>
      <c r="P209" s="740"/>
      <c r="Q209" s="740"/>
      <c r="R209" s="762"/>
      <c r="S209" s="762"/>
      <c r="T209" s="762"/>
      <c r="U209" s="762"/>
      <c r="V209" s="762"/>
      <c r="W209" s="762"/>
      <c r="X209" s="48"/>
      <c r="Y209" s="48"/>
      <c r="Z209" s="48"/>
      <c r="AA209" s="48"/>
      <c r="AB209" s="48"/>
      <c r="AC209" s="48"/>
      <c r="AD209" s="48"/>
      <c r="AE209" s="48"/>
      <c r="AF209" s="48"/>
      <c r="AG209" s="48"/>
      <c r="AH209" s="48"/>
      <c r="AI209" s="48"/>
      <c r="AJ209" s="48"/>
      <c r="AK209" s="48"/>
      <c r="AL209" s="48"/>
      <c r="AM209" s="48"/>
      <c r="AN209" s="48"/>
      <c r="AO209" s="48"/>
      <c r="AP209" s="48"/>
      <c r="AQ209" s="48"/>
      <c r="AR209" s="48"/>
      <c r="AS209" s="48"/>
      <c r="AT209" s="48"/>
      <c r="AU209" s="48"/>
      <c r="AV209" s="48"/>
      <c r="AW209" s="48"/>
      <c r="AX209" s="48"/>
      <c r="AY209" s="48"/>
    </row>
    <row r="210" spans="1:90" ht="15" customHeight="1">
      <c r="A210" s="5822" t="s">
        <v>414</v>
      </c>
      <c r="B210" s="5823"/>
      <c r="C210" s="5827" t="s">
        <v>91</v>
      </c>
      <c r="D210" s="5827"/>
      <c r="E210" s="5828"/>
      <c r="F210" s="5907" t="s">
        <v>115</v>
      </c>
      <c r="G210" s="5908"/>
      <c r="H210" s="5908"/>
      <c r="I210" s="5908"/>
      <c r="J210" s="5908"/>
      <c r="K210" s="5908"/>
      <c r="L210" s="5908"/>
      <c r="M210" s="5908"/>
      <c r="N210" s="5908"/>
      <c r="O210" s="5908"/>
      <c r="P210" s="5907" t="s">
        <v>415</v>
      </c>
      <c r="Q210" s="5908"/>
      <c r="R210" s="5909"/>
      <c r="S210" s="5910" t="s">
        <v>50</v>
      </c>
      <c r="T210" s="5913" t="s">
        <v>51</v>
      </c>
      <c r="U210" s="5811" t="s">
        <v>416</v>
      </c>
      <c r="V210" s="5811"/>
      <c r="W210" s="5811"/>
      <c r="X210" s="5811"/>
      <c r="Y210" s="5811"/>
      <c r="Z210" s="5808"/>
      <c r="AA210" s="5813" t="s">
        <v>417</v>
      </c>
      <c r="AB210" s="5811"/>
      <c r="AC210" s="5811"/>
      <c r="AD210" s="5811"/>
      <c r="AE210" s="5811"/>
      <c r="AF210" s="5808"/>
      <c r="AG210" s="48"/>
      <c r="AH210" s="48"/>
      <c r="AI210" s="48"/>
      <c r="AJ210" s="48"/>
      <c r="AK210" s="48"/>
      <c r="AL210" s="48"/>
      <c r="AM210" s="48"/>
      <c r="AN210" s="48"/>
      <c r="AO210" s="48"/>
      <c r="AP210" s="48"/>
      <c r="AQ210" s="48"/>
      <c r="AR210" s="48"/>
      <c r="AS210" s="48"/>
      <c r="AT210" s="48"/>
      <c r="AU210" s="48"/>
      <c r="AV210" s="48"/>
      <c r="AW210" s="48"/>
      <c r="AX210" s="48"/>
      <c r="AY210" s="48"/>
    </row>
    <row r="211" spans="1:90" ht="15" customHeight="1">
      <c r="A211" s="5824"/>
      <c r="B211" s="5825"/>
      <c r="C211" s="5830"/>
      <c r="D211" s="5830"/>
      <c r="E211" s="5831"/>
      <c r="F211" s="5646" t="s">
        <v>418</v>
      </c>
      <c r="G211" s="5646"/>
      <c r="H211" s="5646" t="s">
        <v>240</v>
      </c>
      <c r="I211" s="5646"/>
      <c r="J211" s="5646" t="s">
        <v>345</v>
      </c>
      <c r="K211" s="5646"/>
      <c r="L211" s="5646" t="s">
        <v>419</v>
      </c>
      <c r="M211" s="5646"/>
      <c r="N211" s="5646" t="s">
        <v>420</v>
      </c>
      <c r="O211" s="5615"/>
      <c r="P211" s="5920" t="s">
        <v>421</v>
      </c>
      <c r="Q211" s="5916" t="s">
        <v>422</v>
      </c>
      <c r="R211" s="5918" t="s">
        <v>423</v>
      </c>
      <c r="S211" s="5911"/>
      <c r="T211" s="5914"/>
      <c r="U211" s="5812"/>
      <c r="V211" s="5812"/>
      <c r="W211" s="5812"/>
      <c r="X211" s="5812"/>
      <c r="Y211" s="5812"/>
      <c r="Z211" s="5810"/>
      <c r="AA211" s="5815"/>
      <c r="AB211" s="5812"/>
      <c r="AC211" s="5812"/>
      <c r="AD211" s="5812"/>
      <c r="AE211" s="5812"/>
      <c r="AF211" s="5810"/>
      <c r="AG211" s="48"/>
      <c r="AH211" s="48"/>
      <c r="AI211" s="48"/>
      <c r="AJ211" s="48"/>
      <c r="AK211" s="48"/>
      <c r="AL211" s="48"/>
      <c r="AM211" s="48"/>
      <c r="AN211" s="48"/>
      <c r="AO211" s="48"/>
      <c r="AP211" s="48"/>
      <c r="AQ211" s="48"/>
      <c r="AR211" s="48"/>
      <c r="AS211" s="48"/>
      <c r="AT211" s="48"/>
      <c r="AU211" s="48"/>
      <c r="AV211" s="48"/>
      <c r="AW211" s="48"/>
      <c r="AX211" s="48"/>
      <c r="AY211" s="48"/>
    </row>
    <row r="212" spans="1:90" ht="18.75" customHeight="1">
      <c r="A212" s="5819"/>
      <c r="B212" s="5820"/>
      <c r="C212" s="784" t="s">
        <v>410</v>
      </c>
      <c r="D212" s="789" t="s">
        <v>72</v>
      </c>
      <c r="E212" s="783" t="s">
        <v>73</v>
      </c>
      <c r="F212" s="786" t="s">
        <v>72</v>
      </c>
      <c r="G212" s="787" t="s">
        <v>73</v>
      </c>
      <c r="H212" s="786" t="s">
        <v>72</v>
      </c>
      <c r="I212" s="787" t="s">
        <v>73</v>
      </c>
      <c r="J212" s="786" t="s">
        <v>72</v>
      </c>
      <c r="K212" s="787" t="s">
        <v>73</v>
      </c>
      <c r="L212" s="786" t="s">
        <v>72</v>
      </c>
      <c r="M212" s="787" t="s">
        <v>73</v>
      </c>
      <c r="N212" s="786" t="s">
        <v>72</v>
      </c>
      <c r="O212" s="817" t="s">
        <v>73</v>
      </c>
      <c r="P212" s="5921"/>
      <c r="Q212" s="5917"/>
      <c r="R212" s="5919"/>
      <c r="S212" s="5912"/>
      <c r="T212" s="5915" t="s">
        <v>73</v>
      </c>
      <c r="U212" s="818" t="s">
        <v>424</v>
      </c>
      <c r="V212" s="819" t="s">
        <v>98</v>
      </c>
      <c r="W212" s="820" t="s">
        <v>425</v>
      </c>
      <c r="X212" s="820" t="s">
        <v>426</v>
      </c>
      <c r="Y212" s="820" t="s">
        <v>427</v>
      </c>
      <c r="Z212" s="821" t="s">
        <v>428</v>
      </c>
      <c r="AA212" s="822" t="s">
        <v>424</v>
      </c>
      <c r="AB212" s="819" t="s">
        <v>98</v>
      </c>
      <c r="AC212" s="820" t="s">
        <v>425</v>
      </c>
      <c r="AD212" s="820" t="s">
        <v>426</v>
      </c>
      <c r="AE212" s="820" t="s">
        <v>427</v>
      </c>
      <c r="AF212" s="823" t="s">
        <v>428</v>
      </c>
      <c r="AG212" s="48"/>
      <c r="AH212" s="48"/>
      <c r="AI212" s="48"/>
      <c r="AJ212" s="48"/>
      <c r="AK212" s="48"/>
      <c r="AL212" s="48"/>
      <c r="AM212" s="48"/>
      <c r="AN212" s="48"/>
      <c r="AO212" s="48"/>
      <c r="AP212" s="48"/>
      <c r="AQ212" s="48"/>
      <c r="AR212" s="48"/>
      <c r="AS212" s="48"/>
      <c r="AT212" s="48"/>
      <c r="AU212" s="48"/>
      <c r="AV212" s="48"/>
      <c r="AW212" s="48"/>
      <c r="AX212" s="48"/>
      <c r="AY212" s="48"/>
    </row>
    <row r="213" spans="1:90" ht="21.75" customHeight="1">
      <c r="A213" s="5922" t="s">
        <v>429</v>
      </c>
      <c r="B213" s="5923"/>
      <c r="C213" s="824">
        <f t="shared" si="71"/>
        <v>0</v>
      </c>
      <c r="D213" s="825">
        <f t="shared" ref="D213:E215" si="103">SUM(F213+H213+J213+L213+N213)</f>
        <v>0</v>
      </c>
      <c r="E213" s="826">
        <f t="shared" si="103"/>
        <v>0</v>
      </c>
      <c r="F213" s="827"/>
      <c r="G213" s="828"/>
      <c r="H213" s="827"/>
      <c r="I213" s="828"/>
      <c r="J213" s="827"/>
      <c r="K213" s="828"/>
      <c r="L213" s="827"/>
      <c r="M213" s="828"/>
      <c r="N213" s="827"/>
      <c r="O213" s="829"/>
      <c r="P213" s="827"/>
      <c r="Q213" s="830"/>
      <c r="R213" s="831"/>
      <c r="S213" s="832"/>
      <c r="T213" s="831"/>
      <c r="U213" s="833"/>
      <c r="V213" s="834"/>
      <c r="W213" s="834"/>
      <c r="X213" s="834"/>
      <c r="Y213" s="834"/>
      <c r="Z213" s="835"/>
      <c r="AA213" s="827"/>
      <c r="AB213" s="830"/>
      <c r="AC213" s="830"/>
      <c r="AD213" s="830"/>
      <c r="AE213" s="830"/>
      <c r="AF213" s="828"/>
      <c r="AG213" s="624" t="str">
        <f t="shared" ref="AG213:AG215" si="104">CA213&amp;CB213</f>
        <v/>
      </c>
      <c r="AH213" s="508"/>
      <c r="AI213" s="508"/>
      <c r="AJ213" s="508"/>
      <c r="AK213" s="508"/>
      <c r="AL213" s="508"/>
      <c r="AM213" s="508"/>
      <c r="AN213" s="508"/>
      <c r="AO213" s="508"/>
      <c r="AP213" s="508"/>
      <c r="AQ213" s="508"/>
      <c r="AR213" s="508"/>
      <c r="AS213" s="508"/>
      <c r="AT213" s="508"/>
      <c r="AU213" s="508"/>
      <c r="AV213" s="508"/>
      <c r="AW213" s="508"/>
      <c r="AX213" s="508"/>
      <c r="AY213" s="508"/>
      <c r="AZ213" s="510"/>
      <c r="BA213" s="510"/>
      <c r="BB213" s="510"/>
      <c r="BC213" s="510"/>
      <c r="BD213" s="510"/>
      <c r="BE213" s="510"/>
      <c r="BF213" s="510"/>
      <c r="BG213" s="510"/>
      <c r="BH213" s="510"/>
      <c r="BI213" s="510"/>
      <c r="BJ213" s="510"/>
      <c r="BK213" s="510"/>
      <c r="BL213" s="510"/>
      <c r="BM213" s="510"/>
      <c r="BN213" s="510"/>
      <c r="BO213" s="510"/>
      <c r="BP213" s="510"/>
      <c r="BQ213" s="510"/>
      <c r="BR213" s="510"/>
      <c r="BS213" s="510"/>
      <c r="BT213" s="510"/>
      <c r="BU213" s="510"/>
      <c r="BV213" s="510"/>
      <c r="BW213" s="510"/>
      <c r="BX213" s="510"/>
      <c r="BY213" s="510"/>
      <c r="BZ213" s="510"/>
      <c r="CA213" s="511" t="str">
        <f t="shared" ref="CA213:CA215" si="105">IF(AND($C213&lt;&gt;0,S213=""),"* No olvide ingresar la variable "&amp;S$210&amp;""&amp;" (Digite CERO si no tiene). ",IF(S213&gt;$C213,"* La variable Pueblos Originarios no puede superar el Total Ambos Sexos. ",""))</f>
        <v/>
      </c>
      <c r="CB213" s="511" t="str">
        <f t="shared" ref="CB213:CB215" si="106">IF(AND($C213&lt;&gt;0,T213=""),"* No olvide ingresar la variable "&amp;T$210&amp;""&amp;" (Digite CERO si no tiene). ",IF(T213&gt;$C213,"* La variable Migrantes no puede superar el Total Ambos Sexos. ",""))</f>
        <v/>
      </c>
      <c r="CD213" s="510"/>
      <c r="CE213" s="510"/>
      <c r="CF213" s="512"/>
      <c r="CG213" s="512"/>
      <c r="CH213" s="512"/>
      <c r="CI213" s="512"/>
      <c r="CJ213" s="512"/>
      <c r="CK213" s="513">
        <f t="shared" ref="CK213:CL215" si="107">IF(AND($C213&lt;&gt;0,S213=""),1,IF(S213&gt;$C213,1,0))</f>
        <v>0</v>
      </c>
      <c r="CL213" s="513">
        <f>IF(AND($C213&lt;&gt;0,T213=""),1,IF(T213&gt;$C213,1,0))</f>
        <v>0</v>
      </c>
    </row>
    <row r="214" spans="1:90" ht="15" customHeight="1">
      <c r="A214" s="5924" t="s">
        <v>430</v>
      </c>
      <c r="B214" s="5925"/>
      <c r="C214" s="790">
        <f t="shared" si="71"/>
        <v>0</v>
      </c>
      <c r="D214" s="791">
        <f t="shared" si="103"/>
        <v>0</v>
      </c>
      <c r="E214" s="836">
        <f t="shared" si="103"/>
        <v>0</v>
      </c>
      <c r="F214" s="793"/>
      <c r="G214" s="795"/>
      <c r="H214" s="793"/>
      <c r="I214" s="795"/>
      <c r="J214" s="793"/>
      <c r="K214" s="795"/>
      <c r="L214" s="793"/>
      <c r="M214" s="795"/>
      <c r="N214" s="793"/>
      <c r="O214" s="837"/>
      <c r="P214" s="793"/>
      <c r="Q214" s="838"/>
      <c r="R214" s="796"/>
      <c r="S214" s="839"/>
      <c r="T214" s="796"/>
      <c r="U214" s="839"/>
      <c r="V214" s="838"/>
      <c r="W214" s="838"/>
      <c r="X214" s="838"/>
      <c r="Y214" s="838"/>
      <c r="Z214" s="840"/>
      <c r="AA214" s="793"/>
      <c r="AB214" s="838"/>
      <c r="AC214" s="838"/>
      <c r="AD214" s="838"/>
      <c r="AE214" s="838"/>
      <c r="AF214" s="795"/>
      <c r="AG214" s="624" t="str">
        <f t="shared" si="104"/>
        <v/>
      </c>
      <c r="AH214" s="508"/>
      <c r="AI214" s="508"/>
      <c r="AJ214" s="508"/>
      <c r="AK214" s="508"/>
      <c r="AL214" s="508"/>
      <c r="AM214" s="508"/>
      <c r="AN214" s="508"/>
      <c r="AO214" s="508"/>
      <c r="AP214" s="508"/>
      <c r="AQ214" s="508"/>
      <c r="AR214" s="508"/>
      <c r="AS214" s="508"/>
      <c r="AT214" s="508"/>
      <c r="AU214" s="508"/>
      <c r="AV214" s="508"/>
      <c r="AW214" s="508"/>
      <c r="AX214" s="508"/>
      <c r="AY214" s="508"/>
      <c r="AZ214" s="510"/>
      <c r="BA214" s="510"/>
      <c r="BB214" s="510"/>
      <c r="BC214" s="510"/>
      <c r="BD214" s="510"/>
      <c r="BE214" s="510"/>
      <c r="BF214" s="510"/>
      <c r="BG214" s="510"/>
      <c r="BH214" s="510"/>
      <c r="BI214" s="510"/>
      <c r="BJ214" s="510"/>
      <c r="BK214" s="510"/>
      <c r="BL214" s="510"/>
      <c r="BM214" s="510"/>
      <c r="BN214" s="510"/>
      <c r="BO214" s="510"/>
      <c r="BP214" s="510"/>
      <c r="BQ214" s="510"/>
      <c r="BR214" s="510"/>
      <c r="BS214" s="510"/>
      <c r="BT214" s="510"/>
      <c r="BU214" s="510"/>
      <c r="BV214" s="510"/>
      <c r="BW214" s="510"/>
      <c r="BX214" s="510"/>
      <c r="BY214" s="510"/>
      <c r="BZ214" s="510"/>
      <c r="CA214" s="511" t="str">
        <f t="shared" si="105"/>
        <v/>
      </c>
      <c r="CB214" s="511" t="str">
        <f t="shared" si="106"/>
        <v/>
      </c>
      <c r="CD214" s="510"/>
      <c r="CE214" s="510"/>
      <c r="CF214" s="512"/>
      <c r="CG214" s="512"/>
      <c r="CH214" s="512"/>
      <c r="CI214" s="512"/>
      <c r="CJ214" s="512"/>
      <c r="CK214" s="513">
        <f t="shared" si="107"/>
        <v>0</v>
      </c>
      <c r="CL214" s="513">
        <f t="shared" si="107"/>
        <v>0</v>
      </c>
    </row>
    <row r="215" spans="1:90" ht="15" customHeight="1">
      <c r="A215" s="5926" t="s">
        <v>431</v>
      </c>
      <c r="B215" s="5927"/>
      <c r="C215" s="799">
        <f t="shared" si="71"/>
        <v>0</v>
      </c>
      <c r="D215" s="841">
        <f t="shared" si="103"/>
        <v>0</v>
      </c>
      <c r="E215" s="842">
        <f t="shared" si="103"/>
        <v>0</v>
      </c>
      <c r="F215" s="803"/>
      <c r="G215" s="805"/>
      <c r="H215" s="803"/>
      <c r="I215" s="805"/>
      <c r="J215" s="803"/>
      <c r="K215" s="805"/>
      <c r="L215" s="803"/>
      <c r="M215" s="805"/>
      <c r="N215" s="803"/>
      <c r="O215" s="843"/>
      <c r="P215" s="803"/>
      <c r="Q215" s="844"/>
      <c r="R215" s="806"/>
      <c r="S215" s="845"/>
      <c r="T215" s="806"/>
      <c r="U215" s="845"/>
      <c r="V215" s="844"/>
      <c r="W215" s="844"/>
      <c r="X215" s="844"/>
      <c r="Y215" s="844"/>
      <c r="Z215" s="846"/>
      <c r="AA215" s="803"/>
      <c r="AB215" s="844"/>
      <c r="AC215" s="844"/>
      <c r="AD215" s="844"/>
      <c r="AE215" s="844"/>
      <c r="AF215" s="805"/>
      <c r="AG215" s="624" t="str">
        <f t="shared" si="104"/>
        <v/>
      </c>
      <c r="AH215" s="508"/>
      <c r="AI215" s="508"/>
      <c r="AJ215" s="508"/>
      <c r="AK215" s="508"/>
      <c r="AL215" s="508"/>
      <c r="AM215" s="508"/>
      <c r="AN215" s="508"/>
      <c r="AO215" s="508"/>
      <c r="AP215" s="508"/>
      <c r="AQ215" s="508"/>
      <c r="AR215" s="508"/>
      <c r="AS215" s="508"/>
      <c r="AT215" s="508"/>
      <c r="AU215" s="508"/>
      <c r="AV215" s="508"/>
      <c r="AW215" s="508"/>
      <c r="AX215" s="508"/>
      <c r="AY215" s="508"/>
      <c r="AZ215" s="510"/>
      <c r="BA215" s="510"/>
      <c r="BB215" s="510"/>
      <c r="BC215" s="510"/>
      <c r="BD215" s="510"/>
      <c r="BE215" s="510"/>
      <c r="BF215" s="510"/>
      <c r="BG215" s="510"/>
      <c r="BH215" s="510"/>
      <c r="BI215" s="510"/>
      <c r="BJ215" s="510"/>
      <c r="BK215" s="510"/>
      <c r="BL215" s="510"/>
      <c r="BM215" s="510"/>
      <c r="BN215" s="510"/>
      <c r="BO215" s="510"/>
      <c r="BP215" s="510"/>
      <c r="BQ215" s="510"/>
      <c r="BR215" s="510"/>
      <c r="BS215" s="510"/>
      <c r="BT215" s="510"/>
      <c r="BU215" s="510"/>
      <c r="BV215" s="510"/>
      <c r="BW215" s="510"/>
      <c r="BX215" s="510"/>
      <c r="BY215" s="510"/>
      <c r="BZ215" s="510"/>
      <c r="CA215" s="511" t="str">
        <f t="shared" si="105"/>
        <v/>
      </c>
      <c r="CB215" s="511" t="str">
        <f t="shared" si="106"/>
        <v/>
      </c>
      <c r="CD215" s="510"/>
      <c r="CE215" s="510"/>
      <c r="CF215" s="512"/>
      <c r="CG215" s="512"/>
      <c r="CH215" s="512"/>
      <c r="CI215" s="512"/>
      <c r="CJ215" s="512"/>
      <c r="CK215" s="513">
        <f t="shared" si="107"/>
        <v>0</v>
      </c>
      <c r="CL215" s="513">
        <f>IF(AND($C215&lt;&gt;0,T215=""),1,IF(T215&gt;$C215,1,0))</f>
        <v>0</v>
      </c>
    </row>
    <row r="216" spans="1:90" ht="18" customHeight="1">
      <c r="A216" s="847" t="s">
        <v>432</v>
      </c>
      <c r="B216" s="847"/>
      <c r="C216" s="847"/>
      <c r="D216" s="848"/>
      <c r="E216" s="848"/>
      <c r="F216" s="848"/>
      <c r="G216" s="848"/>
      <c r="H216" s="849"/>
      <c r="I216" s="508"/>
      <c r="J216" s="508"/>
      <c r="K216" s="508"/>
      <c r="L216" s="508"/>
      <c r="M216" s="508"/>
      <c r="N216" s="508"/>
      <c r="O216" s="508"/>
      <c r="P216" s="508"/>
      <c r="Q216" s="508"/>
      <c r="R216" s="508"/>
      <c r="S216" s="508"/>
      <c r="T216" s="508"/>
      <c r="U216" s="508"/>
      <c r="V216" s="508"/>
      <c r="W216" s="508"/>
      <c r="X216" s="508"/>
      <c r="Y216" s="508"/>
      <c r="Z216" s="508"/>
      <c r="AA216" s="508"/>
      <c r="AB216" s="48"/>
      <c r="AC216" s="48"/>
      <c r="AD216" s="48"/>
      <c r="AE216" s="48"/>
      <c r="AF216" s="48"/>
      <c r="AG216" s="48"/>
      <c r="AH216" s="48"/>
      <c r="AI216" s="48"/>
      <c r="AJ216" s="48"/>
      <c r="AK216" s="48"/>
      <c r="AL216" s="48"/>
      <c r="AM216" s="48"/>
      <c r="AN216" s="48"/>
      <c r="AO216" s="48"/>
      <c r="AP216" s="48"/>
      <c r="AQ216" s="48"/>
      <c r="AR216" s="48"/>
      <c r="AS216" s="48"/>
      <c r="AT216" s="48"/>
      <c r="AU216" s="48"/>
      <c r="AV216" s="48"/>
      <c r="AW216" s="48"/>
      <c r="AX216" s="48"/>
      <c r="AY216" s="48"/>
    </row>
    <row r="217" spans="1:90" ht="30" customHeight="1">
      <c r="A217" s="5891" t="s">
        <v>433</v>
      </c>
      <c r="B217" s="5892"/>
      <c r="C217" s="5892"/>
      <c r="D217" s="5893"/>
      <c r="E217" s="5891" t="s">
        <v>72</v>
      </c>
      <c r="F217" s="5928" t="s">
        <v>73</v>
      </c>
      <c r="G217" s="5897" t="s">
        <v>434</v>
      </c>
      <c r="H217" s="5898"/>
      <c r="I217" s="5899" t="s">
        <v>50</v>
      </c>
      <c r="J217" s="5901" t="s">
        <v>51</v>
      </c>
      <c r="K217" s="508"/>
      <c r="L217" s="508"/>
      <c r="M217" s="508"/>
      <c r="N217" s="508"/>
      <c r="O217" s="508"/>
      <c r="P217" s="508"/>
      <c r="Q217" s="508"/>
      <c r="R217" s="508"/>
      <c r="S217" s="508"/>
      <c r="T217" s="508"/>
      <c r="U217" s="508"/>
      <c r="V217" s="508"/>
      <c r="W217" s="508"/>
      <c r="X217" s="508"/>
      <c r="Y217" s="508"/>
      <c r="Z217" s="508"/>
      <c r="AA217" s="508"/>
      <c r="AB217" s="48"/>
      <c r="AC217" s="48"/>
      <c r="AD217" s="48"/>
      <c r="AE217" s="48"/>
      <c r="AF217" s="48"/>
      <c r="AG217" s="48"/>
      <c r="AH217" s="48"/>
      <c r="AI217" s="48"/>
      <c r="AJ217" s="48"/>
      <c r="AK217" s="48"/>
      <c r="AL217" s="48"/>
      <c r="AM217" s="48"/>
      <c r="AN217" s="48"/>
      <c r="AO217" s="48"/>
      <c r="AP217" s="48"/>
      <c r="AQ217" s="48"/>
      <c r="AR217" s="48"/>
      <c r="AS217" s="48"/>
      <c r="AT217" s="48"/>
      <c r="AU217" s="48"/>
      <c r="AV217" s="48"/>
      <c r="AW217" s="48"/>
      <c r="AX217" s="48"/>
      <c r="AY217" s="48"/>
    </row>
    <row r="218" spans="1:90" ht="29.25" customHeight="1">
      <c r="A218" s="5894"/>
      <c r="B218" s="5895"/>
      <c r="C218" s="5895"/>
      <c r="D218" s="5896"/>
      <c r="E218" s="5894"/>
      <c r="F218" s="5929"/>
      <c r="G218" s="851" t="s">
        <v>435</v>
      </c>
      <c r="H218" s="850" t="s">
        <v>436</v>
      </c>
      <c r="I218" s="5900"/>
      <c r="J218" s="5902"/>
      <c r="K218" s="508"/>
      <c r="L218" s="508"/>
      <c r="M218" s="508"/>
      <c r="N218" s="508"/>
      <c r="O218" s="508"/>
      <c r="P218" s="508"/>
      <c r="Q218" s="508"/>
      <c r="R218" s="508"/>
      <c r="S218" s="508"/>
      <c r="T218" s="508"/>
      <c r="U218" s="508"/>
      <c r="V218" s="508"/>
      <c r="W218" s="508"/>
      <c r="X218" s="508"/>
      <c r="Y218" s="508"/>
      <c r="Z218" s="508"/>
      <c r="AA218" s="508"/>
      <c r="AB218" s="48"/>
      <c r="AC218" s="48"/>
      <c r="AD218" s="48"/>
      <c r="AE218" s="48"/>
      <c r="AF218" s="48"/>
      <c r="AG218" s="48"/>
      <c r="AH218" s="48"/>
      <c r="AI218" s="48"/>
      <c r="AJ218" s="48"/>
      <c r="AK218" s="48"/>
      <c r="AL218" s="48"/>
      <c r="AM218" s="48"/>
      <c r="AN218" s="48"/>
      <c r="AO218" s="48"/>
      <c r="AP218" s="48"/>
      <c r="AQ218" s="48"/>
      <c r="AR218" s="48"/>
      <c r="AS218" s="48"/>
      <c r="AT218" s="48"/>
      <c r="AU218" s="48"/>
      <c r="AV218" s="48"/>
      <c r="AW218" s="48"/>
      <c r="AX218" s="48"/>
      <c r="AY218" s="48"/>
    </row>
    <row r="219" spans="1:90" ht="15" customHeight="1">
      <c r="A219" s="5840" t="s">
        <v>437</v>
      </c>
      <c r="B219" s="5841"/>
      <c r="C219" s="5841"/>
      <c r="D219" s="5842"/>
      <c r="E219" s="852"/>
      <c r="F219" s="204"/>
      <c r="G219" s="95"/>
      <c r="H219" s="87"/>
      <c r="I219" s="294"/>
      <c r="J219" s="93"/>
      <c r="K219" s="99" t="str">
        <f t="shared" ref="K219:K226" si="108">$CA219&amp;CB219</f>
        <v/>
      </c>
      <c r="L219" s="508"/>
      <c r="M219" s="508"/>
      <c r="N219" s="508"/>
      <c r="O219" s="508"/>
      <c r="P219" s="508"/>
      <c r="Q219" s="508"/>
      <c r="R219" s="508"/>
      <c r="S219" s="508"/>
      <c r="T219" s="508"/>
      <c r="U219" s="508"/>
      <c r="V219" s="508"/>
      <c r="W219" s="508"/>
      <c r="X219" s="508"/>
      <c r="Y219" s="508"/>
      <c r="Z219" s="508"/>
      <c r="AA219" s="508"/>
      <c r="AB219" s="48"/>
      <c r="AC219" s="48"/>
      <c r="AD219" s="48"/>
      <c r="AE219" s="48"/>
      <c r="AF219" s="48"/>
      <c r="AG219" s="48"/>
      <c r="AH219" s="48"/>
      <c r="AI219" s="48"/>
      <c r="AJ219" s="48"/>
      <c r="AK219" s="48"/>
      <c r="AL219" s="48"/>
      <c r="AM219" s="48"/>
      <c r="AN219" s="48"/>
      <c r="AO219" s="48"/>
      <c r="AP219" s="48"/>
      <c r="AQ219" s="48"/>
      <c r="AR219" s="48"/>
      <c r="AS219" s="48"/>
      <c r="AT219" s="48"/>
      <c r="AU219" s="48"/>
      <c r="AV219" s="48"/>
      <c r="AW219" s="48"/>
      <c r="AX219" s="48"/>
      <c r="AY219" s="48"/>
      <c r="CA219" s="511" t="str">
        <f t="shared" ref="CA219:CA221" si="109">IF(AND($E219+F219&lt;&gt;0,I219=""),"* No olvide ingresar la variable "&amp;I$217&amp;""&amp;" (Digite CERO si no tiene). ",IF(I219&gt;$E219+$F219,"* La variable Pueblos Originarios la suma de Hombres + Mujeres.",""))</f>
        <v/>
      </c>
      <c r="CB219" s="511" t="str">
        <f t="shared" ref="CB219:CB221" si="110">IF(AND($E219+F219&lt;&gt;0,J219=""),"* No olvide ingresar la variable "&amp;J$217&amp;""&amp;" (Digite CERO si no tiene). ",IF(J219&gt;$E219+$F219,"* La variable Migrantes no puede superar la suma de Hombres + Mujeres. ",""))</f>
        <v/>
      </c>
      <c r="CD219" s="510"/>
      <c r="CE219" s="510"/>
      <c r="CF219" s="512"/>
      <c r="CG219" s="512"/>
      <c r="CH219" s="512"/>
      <c r="CI219" s="512"/>
      <c r="CJ219" s="512"/>
      <c r="CK219" s="513">
        <f t="shared" ref="CK219:CK226" si="111">IF(AND($E219+$F219&lt;&gt;0,I219=""),1,IF(I219&gt;$E219+$F219,1,0))</f>
        <v>0</v>
      </c>
      <c r="CL219" s="513">
        <f t="shared" ref="CL219:CL226" si="112">IF(AND($E219+$F219&lt;&gt;0,J219=""),1,IF(J219&gt;$E219+$F219,1,0))</f>
        <v>0</v>
      </c>
    </row>
    <row r="220" spans="1:90" ht="15" customHeight="1">
      <c r="A220" s="5844" t="s">
        <v>438</v>
      </c>
      <c r="B220" s="5903"/>
      <c r="C220" s="5903"/>
      <c r="D220" s="5845"/>
      <c r="E220" s="207"/>
      <c r="F220" s="97"/>
      <c r="G220" s="207"/>
      <c r="H220" s="298"/>
      <c r="I220" s="297"/>
      <c r="J220" s="283"/>
      <c r="K220" s="99" t="str">
        <f t="shared" si="108"/>
        <v/>
      </c>
      <c r="L220" s="508"/>
      <c r="M220" s="508"/>
      <c r="N220" s="508"/>
      <c r="O220" s="508"/>
      <c r="P220" s="508"/>
      <c r="Q220" s="508"/>
      <c r="R220" s="508"/>
      <c r="S220" s="508"/>
      <c r="T220" s="508"/>
      <c r="U220" s="508"/>
      <c r="V220" s="508"/>
      <c r="W220" s="508"/>
      <c r="X220" s="508"/>
      <c r="Y220" s="508"/>
      <c r="Z220" s="508"/>
      <c r="AA220" s="508"/>
      <c r="AB220" s="508"/>
      <c r="AC220" s="508"/>
      <c r="AD220" s="508"/>
      <c r="AE220" s="508"/>
      <c r="AF220" s="508"/>
      <c r="AG220" s="508"/>
      <c r="AH220" s="508"/>
      <c r="AI220" s="508"/>
      <c r="AJ220" s="508"/>
      <c r="AK220" s="508"/>
      <c r="AL220" s="509"/>
      <c r="AM220" s="509"/>
      <c r="AN220" s="509"/>
      <c r="AO220" s="509"/>
      <c r="AP220" s="509"/>
      <c r="AQ220" s="509"/>
      <c r="AR220" s="509"/>
      <c r="AS220" s="509"/>
      <c r="AT220" s="509"/>
      <c r="AU220" s="509"/>
      <c r="AV220" s="509"/>
      <c r="AW220" s="509"/>
      <c r="AX220" s="509"/>
      <c r="AY220" s="509"/>
      <c r="AZ220" s="510"/>
      <c r="BA220" s="510"/>
      <c r="BB220" s="510"/>
      <c r="BC220" s="510"/>
      <c r="BD220" s="510"/>
      <c r="BE220" s="510"/>
      <c r="BF220" s="510"/>
      <c r="BG220" s="510"/>
      <c r="BH220" s="510"/>
      <c r="BI220" s="510"/>
      <c r="BJ220" s="510"/>
      <c r="BK220" s="510"/>
      <c r="BL220" s="510"/>
      <c r="BM220" s="510"/>
      <c r="BN220" s="510"/>
      <c r="BO220" s="510"/>
      <c r="BP220" s="510"/>
      <c r="BQ220" s="510"/>
      <c r="BR220" s="510"/>
      <c r="BS220" s="510"/>
      <c r="BT220" s="510"/>
      <c r="BU220" s="510"/>
      <c r="BV220" s="510"/>
      <c r="BW220" s="510"/>
      <c r="BX220" s="510"/>
      <c r="BY220" s="510"/>
      <c r="BZ220" s="510"/>
      <c r="CA220" s="511" t="str">
        <f t="shared" si="109"/>
        <v/>
      </c>
      <c r="CB220" s="511" t="str">
        <f t="shared" si="110"/>
        <v/>
      </c>
      <c r="CD220" s="510"/>
      <c r="CE220" s="510"/>
      <c r="CF220" s="512"/>
      <c r="CG220" s="512"/>
      <c r="CH220" s="512"/>
      <c r="CI220" s="512"/>
      <c r="CJ220" s="512"/>
      <c r="CK220" s="513">
        <f t="shared" si="111"/>
        <v>0</v>
      </c>
      <c r="CL220" s="513">
        <f t="shared" si="112"/>
        <v>0</v>
      </c>
    </row>
    <row r="221" spans="1:90" ht="23.25" customHeight="1">
      <c r="A221" s="5904" t="s">
        <v>439</v>
      </c>
      <c r="B221" s="5905"/>
      <c r="C221" s="5905"/>
      <c r="D221" s="5906"/>
      <c r="E221" s="122"/>
      <c r="F221" s="121"/>
      <c r="G221" s="133"/>
      <c r="H221" s="131"/>
      <c r="I221" s="321"/>
      <c r="J221" s="322"/>
      <c r="K221" s="99" t="str">
        <f t="shared" si="108"/>
        <v/>
      </c>
      <c r="L221" s="508"/>
      <c r="M221" s="508"/>
      <c r="N221" s="508"/>
      <c r="O221" s="508"/>
      <c r="P221" s="508"/>
      <c r="Q221" s="508"/>
      <c r="R221" s="508"/>
      <c r="S221" s="508"/>
      <c r="T221" s="508"/>
      <c r="U221" s="508"/>
      <c r="V221" s="508"/>
      <c r="W221" s="508"/>
      <c r="X221" s="508"/>
      <c r="Y221" s="508"/>
      <c r="Z221" s="508"/>
      <c r="AA221" s="508"/>
      <c r="AB221" s="508"/>
      <c r="AC221" s="508"/>
      <c r="AD221" s="508"/>
      <c r="AE221" s="508"/>
      <c r="AF221" s="508"/>
      <c r="AG221" s="508"/>
      <c r="AH221" s="508"/>
      <c r="AI221" s="508"/>
      <c r="AJ221" s="508"/>
      <c r="AK221" s="508"/>
      <c r="AL221" s="509"/>
      <c r="AM221" s="509"/>
      <c r="AN221" s="509"/>
      <c r="AO221" s="509"/>
      <c r="AP221" s="509"/>
      <c r="AQ221" s="509"/>
      <c r="AR221" s="509"/>
      <c r="AS221" s="509"/>
      <c r="AT221" s="509"/>
      <c r="AU221" s="509"/>
      <c r="AV221" s="509"/>
      <c r="AW221" s="509"/>
      <c r="AX221" s="509"/>
      <c r="AY221" s="509"/>
      <c r="AZ221" s="510"/>
      <c r="BA221" s="510"/>
      <c r="BB221" s="510"/>
      <c r="BC221" s="510"/>
      <c r="BD221" s="510"/>
      <c r="BE221" s="510"/>
      <c r="BF221" s="510"/>
      <c r="BG221" s="510"/>
      <c r="BH221" s="510"/>
      <c r="BI221" s="510"/>
      <c r="BJ221" s="510"/>
      <c r="BK221" s="510"/>
      <c r="BL221" s="510"/>
      <c r="BM221" s="510"/>
      <c r="BN221" s="510"/>
      <c r="BO221" s="510"/>
      <c r="BP221" s="510"/>
      <c r="BQ221" s="510"/>
      <c r="BR221" s="510"/>
      <c r="BS221" s="510"/>
      <c r="BT221" s="510"/>
      <c r="BU221" s="510"/>
      <c r="BV221" s="510"/>
      <c r="BW221" s="510"/>
      <c r="BX221" s="510"/>
      <c r="BY221" s="510"/>
      <c r="BZ221" s="510"/>
      <c r="CA221" s="511" t="str">
        <f t="shared" si="109"/>
        <v/>
      </c>
      <c r="CB221" s="511" t="str">
        <f t="shared" si="110"/>
        <v/>
      </c>
      <c r="CD221" s="510"/>
      <c r="CE221" s="510"/>
      <c r="CF221" s="512"/>
      <c r="CG221" s="512"/>
      <c r="CH221" s="512"/>
      <c r="CI221" s="512"/>
      <c r="CJ221" s="512"/>
      <c r="CK221" s="513">
        <f t="shared" si="111"/>
        <v>0</v>
      </c>
      <c r="CL221" s="513">
        <f t="shared" si="112"/>
        <v>0</v>
      </c>
    </row>
    <row r="222" spans="1:90" ht="18.75" customHeight="1">
      <c r="A222" s="5804" t="s">
        <v>91</v>
      </c>
      <c r="B222" s="5805"/>
      <c r="C222" s="5805"/>
      <c r="D222" s="5806"/>
      <c r="E222" s="855">
        <f>SUM(E219:E221)</f>
        <v>0</v>
      </c>
      <c r="F222" s="856">
        <f>SUM(F219:F221)</f>
        <v>0</v>
      </c>
      <c r="G222" s="857">
        <f t="shared" ref="G222:J222" si="113">SUM(G219:G221)</f>
        <v>0</v>
      </c>
      <c r="H222" s="858">
        <f t="shared" si="113"/>
        <v>0</v>
      </c>
      <c r="I222" s="859">
        <f t="shared" si="113"/>
        <v>0</v>
      </c>
      <c r="J222" s="860">
        <f t="shared" si="113"/>
        <v>0</v>
      </c>
      <c r="K222" s="99"/>
      <c r="L222" s="508"/>
      <c r="M222" s="508"/>
      <c r="N222" s="508"/>
      <c r="O222" s="508"/>
      <c r="P222" s="508"/>
      <c r="Q222" s="508"/>
      <c r="R222" s="508"/>
      <c r="S222" s="508"/>
      <c r="T222" s="508"/>
      <c r="U222" s="508"/>
      <c r="V222" s="508"/>
      <c r="W222" s="508"/>
      <c r="X222" s="508"/>
      <c r="Y222" s="508"/>
      <c r="Z222" s="508"/>
      <c r="AA222" s="508"/>
      <c r="AB222" s="508"/>
      <c r="AC222" s="508"/>
      <c r="AD222" s="508"/>
      <c r="AE222" s="508"/>
      <c r="AF222" s="508"/>
      <c r="AG222" s="508"/>
      <c r="AH222" s="508"/>
      <c r="AI222" s="508"/>
      <c r="AJ222" s="508"/>
      <c r="AK222" s="508"/>
      <c r="AL222" s="509"/>
      <c r="AM222" s="509"/>
      <c r="AN222" s="509"/>
      <c r="AO222" s="509"/>
      <c r="AP222" s="509"/>
      <c r="AQ222" s="509"/>
      <c r="AR222" s="509"/>
      <c r="AS222" s="509"/>
      <c r="AT222" s="509"/>
      <c r="AU222" s="509"/>
      <c r="AV222" s="509"/>
      <c r="AW222" s="509"/>
      <c r="AX222" s="509"/>
      <c r="AY222" s="509"/>
      <c r="AZ222" s="510"/>
      <c r="BA222" s="510"/>
      <c r="BB222" s="510"/>
      <c r="BC222" s="510"/>
      <c r="BD222" s="510"/>
      <c r="BE222" s="510"/>
      <c r="BF222" s="510"/>
      <c r="BG222" s="510"/>
      <c r="BH222" s="510"/>
      <c r="BI222" s="510"/>
      <c r="BJ222" s="510"/>
      <c r="BK222" s="510"/>
      <c r="BL222" s="510"/>
      <c r="BM222" s="510"/>
      <c r="BN222" s="510"/>
      <c r="BO222" s="510"/>
      <c r="BP222" s="510"/>
      <c r="BQ222" s="510"/>
      <c r="BR222" s="510"/>
      <c r="BS222" s="510"/>
      <c r="BT222" s="510"/>
      <c r="BU222" s="510"/>
      <c r="BV222" s="510"/>
      <c r="BW222" s="510"/>
      <c r="BX222" s="510"/>
      <c r="BY222" s="510"/>
      <c r="BZ222" s="510"/>
      <c r="CA222" s="510"/>
      <c r="CB222" s="510"/>
      <c r="CD222" s="510"/>
      <c r="CE222" s="510"/>
      <c r="CF222" s="512"/>
      <c r="CG222" s="512"/>
      <c r="CH222" s="512"/>
      <c r="CI222" s="512"/>
      <c r="CJ222" s="512"/>
    </row>
    <row r="223" spans="1:90" ht="15" customHeight="1">
      <c r="A223" s="5839" t="s">
        <v>440</v>
      </c>
      <c r="B223" s="5840" t="s">
        <v>441</v>
      </c>
      <c r="C223" s="5841"/>
      <c r="D223" s="5842"/>
      <c r="E223" s="861"/>
      <c r="F223" s="862"/>
      <c r="G223" s="651"/>
      <c r="H223" s="863"/>
      <c r="I223" s="864"/>
      <c r="J223" s="865"/>
      <c r="K223" s="99" t="str">
        <f t="shared" si="108"/>
        <v/>
      </c>
      <c r="L223" s="508"/>
      <c r="M223" s="508"/>
      <c r="N223" s="508"/>
      <c r="O223" s="508"/>
      <c r="P223" s="508"/>
      <c r="Q223" s="508"/>
      <c r="R223" s="508"/>
      <c r="S223" s="508"/>
      <c r="T223" s="508"/>
      <c r="U223" s="508"/>
      <c r="V223" s="508"/>
      <c r="W223" s="508"/>
      <c r="X223" s="508"/>
      <c r="Y223" s="508"/>
      <c r="Z223" s="508"/>
      <c r="AA223" s="508"/>
      <c r="AB223" s="508"/>
      <c r="AC223" s="508"/>
      <c r="AD223" s="508"/>
      <c r="AE223" s="508"/>
      <c r="AF223" s="508"/>
      <c r="AG223" s="508"/>
      <c r="AH223" s="508"/>
      <c r="AI223" s="508"/>
      <c r="AJ223" s="508"/>
      <c r="AK223" s="508"/>
      <c r="AL223" s="509"/>
      <c r="AM223" s="509"/>
      <c r="AN223" s="509"/>
      <c r="AO223" s="509"/>
      <c r="AP223" s="509"/>
      <c r="AQ223" s="509"/>
      <c r="AR223" s="509"/>
      <c r="AS223" s="509"/>
      <c r="AT223" s="509"/>
      <c r="AU223" s="509"/>
      <c r="AV223" s="509"/>
      <c r="AW223" s="509"/>
      <c r="AX223" s="509"/>
      <c r="AY223" s="509"/>
      <c r="AZ223" s="510"/>
      <c r="BA223" s="510"/>
      <c r="BB223" s="510"/>
      <c r="BC223" s="510"/>
      <c r="BD223" s="510"/>
      <c r="BE223" s="510"/>
      <c r="BF223" s="510"/>
      <c r="BG223" s="510"/>
      <c r="BH223" s="510"/>
      <c r="BI223" s="510"/>
      <c r="BJ223" s="510"/>
      <c r="BK223" s="510"/>
      <c r="BL223" s="510"/>
      <c r="BM223" s="510"/>
      <c r="BN223" s="510"/>
      <c r="BO223" s="510"/>
      <c r="BP223" s="510"/>
      <c r="BQ223" s="510"/>
      <c r="BR223" s="510"/>
      <c r="BS223" s="510"/>
      <c r="BT223" s="510"/>
      <c r="BU223" s="510"/>
      <c r="BV223" s="510"/>
      <c r="BW223" s="510"/>
      <c r="BX223" s="510"/>
      <c r="BY223" s="510"/>
      <c r="BZ223" s="510"/>
      <c r="CA223" s="511" t="str">
        <f t="shared" ref="CA223:CA226" si="114">IF(AND($E223+F223&lt;&gt;0,I223=""),"* No olvide ingresar la variable "&amp;I$217&amp;""&amp;" (Digite CERO si no tiene). ",IF(I223&gt;$E223+$F223,"* La variable Pueblos Originarios no debe ser mayor a la suma de Hombres + Mujeres.",""))</f>
        <v/>
      </c>
      <c r="CB223" s="511" t="str">
        <f t="shared" ref="CB223:CB226" si="115">IF(AND($E223+F223&lt;&gt;0,J223=""),"* No olvide ingresar la variable "&amp;J$217&amp;""&amp;" (Digite CERO si no tiene). ",IF(J223&gt;$E223+$F223,"* La variable Migrantes no debe ser mayor a la suma de Hombres + Mujeres. ",""))</f>
        <v/>
      </c>
      <c r="CD223" s="510"/>
      <c r="CE223" s="510"/>
      <c r="CF223" s="512"/>
      <c r="CG223" s="512"/>
      <c r="CH223" s="512"/>
      <c r="CI223" s="512"/>
      <c r="CJ223" s="512"/>
      <c r="CK223" s="513">
        <f t="shared" si="111"/>
        <v>0</v>
      </c>
      <c r="CL223" s="513">
        <f t="shared" si="112"/>
        <v>0</v>
      </c>
    </row>
    <row r="224" spans="1:90" ht="21" customHeight="1">
      <c r="A224" s="5839"/>
      <c r="B224" s="5843" t="s">
        <v>442</v>
      </c>
      <c r="C224" s="5844" t="s">
        <v>443</v>
      </c>
      <c r="D224" s="5845"/>
      <c r="E224" s="866"/>
      <c r="F224" s="867"/>
      <c r="G224" s="651"/>
      <c r="H224" s="863"/>
      <c r="I224" s="868"/>
      <c r="J224" s="869"/>
      <c r="K224" s="99" t="str">
        <f t="shared" si="108"/>
        <v/>
      </c>
      <c r="L224" s="508"/>
      <c r="M224" s="508"/>
      <c r="N224" s="508"/>
      <c r="O224" s="508"/>
      <c r="P224" s="508"/>
      <c r="Q224" s="508"/>
      <c r="R224" s="508"/>
      <c r="S224" s="508"/>
      <c r="T224" s="508"/>
      <c r="U224" s="508"/>
      <c r="V224" s="508"/>
      <c r="W224" s="508"/>
      <c r="X224" s="508"/>
      <c r="Y224" s="508"/>
      <c r="Z224" s="508"/>
      <c r="AA224" s="508"/>
      <c r="AB224" s="508"/>
      <c r="AC224" s="508"/>
      <c r="AD224" s="508"/>
      <c r="AE224" s="508"/>
      <c r="AF224" s="508"/>
      <c r="AG224" s="508"/>
      <c r="AH224" s="508"/>
      <c r="AI224" s="508"/>
      <c r="AJ224" s="508"/>
      <c r="AK224" s="508"/>
      <c r="AL224" s="509"/>
      <c r="AM224" s="509"/>
      <c r="AN224" s="509"/>
      <c r="AO224" s="509"/>
      <c r="AP224" s="509"/>
      <c r="AQ224" s="509"/>
      <c r="AR224" s="509"/>
      <c r="AS224" s="509"/>
      <c r="AT224" s="509"/>
      <c r="AU224" s="509"/>
      <c r="AV224" s="509"/>
      <c r="AW224" s="509"/>
      <c r="AX224" s="509"/>
      <c r="AY224" s="509"/>
      <c r="AZ224" s="510"/>
      <c r="BA224" s="510"/>
      <c r="BB224" s="510"/>
      <c r="BC224" s="510"/>
      <c r="BD224" s="510"/>
      <c r="BE224" s="510"/>
      <c r="BF224" s="510"/>
      <c r="BG224" s="510"/>
      <c r="BH224" s="510"/>
      <c r="BI224" s="510"/>
      <c r="BJ224" s="510"/>
      <c r="BK224" s="510"/>
      <c r="BL224" s="510"/>
      <c r="BM224" s="510"/>
      <c r="BN224" s="510"/>
      <c r="BO224" s="510"/>
      <c r="BP224" s="510"/>
      <c r="BQ224" s="510"/>
      <c r="BR224" s="510"/>
      <c r="BS224" s="510"/>
      <c r="BT224" s="510"/>
      <c r="BU224" s="510"/>
      <c r="BV224" s="510"/>
      <c r="BW224" s="510"/>
      <c r="BX224" s="510"/>
      <c r="BY224" s="510"/>
      <c r="BZ224" s="510"/>
      <c r="CA224" s="511" t="str">
        <f t="shared" si="114"/>
        <v/>
      </c>
      <c r="CB224" s="511" t="str">
        <f t="shared" si="115"/>
        <v/>
      </c>
      <c r="CD224" s="510"/>
      <c r="CE224" s="510"/>
      <c r="CF224" s="512"/>
      <c r="CG224" s="512"/>
      <c r="CH224" s="512"/>
      <c r="CI224" s="512"/>
      <c r="CJ224" s="512"/>
      <c r="CK224" s="513">
        <f t="shared" si="111"/>
        <v>0</v>
      </c>
      <c r="CL224" s="513">
        <f t="shared" si="112"/>
        <v>0</v>
      </c>
    </row>
    <row r="225" spans="1:90" ht="22.5" customHeight="1">
      <c r="A225" s="5839"/>
      <c r="B225" s="5843"/>
      <c r="C225" s="5846" t="s">
        <v>444</v>
      </c>
      <c r="D225" s="5847"/>
      <c r="E225" s="870"/>
      <c r="F225" s="867"/>
      <c r="G225" s="651"/>
      <c r="H225" s="863"/>
      <c r="I225" s="871"/>
      <c r="J225" s="872"/>
      <c r="K225" s="99" t="str">
        <f t="shared" si="108"/>
        <v/>
      </c>
      <c r="L225" s="508"/>
      <c r="M225" s="508"/>
      <c r="N225" s="508"/>
      <c r="O225" s="508"/>
      <c r="P225" s="508"/>
      <c r="Q225" s="508"/>
      <c r="R225" s="508"/>
      <c r="S225" s="508"/>
      <c r="T225" s="508"/>
      <c r="U225" s="508"/>
      <c r="V225" s="508"/>
      <c r="W225" s="508"/>
      <c r="X225" s="508"/>
      <c r="Y225" s="508"/>
      <c r="Z225" s="508"/>
      <c r="AA225" s="508"/>
      <c r="AB225" s="508"/>
      <c r="AC225" s="508"/>
      <c r="AD225" s="508"/>
      <c r="AE225" s="508"/>
      <c r="AF225" s="508"/>
      <c r="AG225" s="508"/>
      <c r="AH225" s="508"/>
      <c r="AI225" s="508"/>
      <c r="AJ225" s="508"/>
      <c r="AK225" s="508"/>
      <c r="AL225" s="509"/>
      <c r="AM225" s="509"/>
      <c r="AN225" s="509"/>
      <c r="AO225" s="509"/>
      <c r="AP225" s="509"/>
      <c r="AQ225" s="509"/>
      <c r="AR225" s="509"/>
      <c r="AS225" s="509"/>
      <c r="AT225" s="509"/>
      <c r="AU225" s="509"/>
      <c r="AV225" s="509"/>
      <c r="AW225" s="509"/>
      <c r="AX225" s="509"/>
      <c r="AY225" s="509"/>
      <c r="AZ225" s="510"/>
      <c r="BA225" s="510"/>
      <c r="BB225" s="510"/>
      <c r="BC225" s="510"/>
      <c r="BD225" s="510"/>
      <c r="BE225" s="510"/>
      <c r="BF225" s="510"/>
      <c r="BG225" s="510"/>
      <c r="BH225" s="510"/>
      <c r="BI225" s="510"/>
      <c r="BJ225" s="510"/>
      <c r="BK225" s="510"/>
      <c r="BL225" s="510"/>
      <c r="BM225" s="510"/>
      <c r="BN225" s="510"/>
      <c r="BO225" s="510"/>
      <c r="BP225" s="510"/>
      <c r="BQ225" s="510"/>
      <c r="BR225" s="510"/>
      <c r="BS225" s="510"/>
      <c r="BT225" s="510"/>
      <c r="BU225" s="510"/>
      <c r="BV225" s="510"/>
      <c r="BW225" s="510"/>
      <c r="BX225" s="510"/>
      <c r="BY225" s="510"/>
      <c r="BZ225" s="510"/>
      <c r="CA225" s="511" t="str">
        <f t="shared" si="114"/>
        <v/>
      </c>
      <c r="CB225" s="511" t="str">
        <f t="shared" si="115"/>
        <v/>
      </c>
      <c r="CD225" s="510"/>
      <c r="CE225" s="510"/>
      <c r="CF225" s="512"/>
      <c r="CG225" s="512"/>
      <c r="CH225" s="512"/>
      <c r="CI225" s="512"/>
      <c r="CJ225" s="512"/>
      <c r="CK225" s="513">
        <f t="shared" si="111"/>
        <v>0</v>
      </c>
      <c r="CL225" s="513">
        <f t="shared" si="112"/>
        <v>0</v>
      </c>
    </row>
    <row r="226" spans="1:90" ht="23.25" customHeight="1">
      <c r="A226" s="5839"/>
      <c r="B226" s="873" t="s">
        <v>445</v>
      </c>
      <c r="C226" s="5848" t="s">
        <v>444</v>
      </c>
      <c r="D226" s="5849"/>
      <c r="E226" s="874"/>
      <c r="F226" s="875"/>
      <c r="G226" s="161"/>
      <c r="H226" s="876"/>
      <c r="I226" s="877"/>
      <c r="J226" s="878"/>
      <c r="K226" s="99" t="str">
        <f t="shared" si="108"/>
        <v/>
      </c>
      <c r="L226" s="508"/>
      <c r="M226" s="508"/>
      <c r="N226" s="508"/>
      <c r="O226" s="508"/>
      <c r="P226" s="508"/>
      <c r="Q226" s="508"/>
      <c r="R226" s="508"/>
      <c r="S226" s="508"/>
      <c r="T226" s="508"/>
      <c r="U226" s="508"/>
      <c r="V226" s="508"/>
      <c r="W226" s="508"/>
      <c r="X226" s="508"/>
      <c r="Y226" s="508"/>
      <c r="Z226" s="508"/>
      <c r="AA226" s="508"/>
      <c r="AB226" s="508"/>
      <c r="AC226" s="508"/>
      <c r="AD226" s="508"/>
      <c r="AE226" s="508"/>
      <c r="AF226" s="508"/>
      <c r="AG226" s="508"/>
      <c r="AH226" s="508"/>
      <c r="AI226" s="508"/>
      <c r="AJ226" s="508"/>
      <c r="AK226" s="508"/>
      <c r="AL226" s="509"/>
      <c r="AM226" s="509"/>
      <c r="AN226" s="509"/>
      <c r="AO226" s="509"/>
      <c r="AP226" s="509"/>
      <c r="AQ226" s="509"/>
      <c r="AR226" s="509"/>
      <c r="AS226" s="509"/>
      <c r="AT226" s="509"/>
      <c r="AU226" s="509"/>
      <c r="AV226" s="509"/>
      <c r="AW226" s="509"/>
      <c r="AX226" s="509"/>
      <c r="AY226" s="509"/>
      <c r="AZ226" s="510"/>
      <c r="BA226" s="510"/>
      <c r="BB226" s="510"/>
      <c r="BC226" s="510"/>
      <c r="BD226" s="510"/>
      <c r="BE226" s="510"/>
      <c r="BF226" s="510"/>
      <c r="BG226" s="510"/>
      <c r="BH226" s="510"/>
      <c r="BI226" s="510"/>
      <c r="BJ226" s="510"/>
      <c r="BK226" s="510"/>
      <c r="BL226" s="510"/>
      <c r="BM226" s="510"/>
      <c r="BN226" s="510"/>
      <c r="BO226" s="510"/>
      <c r="BP226" s="510"/>
      <c r="BQ226" s="510"/>
      <c r="BR226" s="510"/>
      <c r="BS226" s="510"/>
      <c r="BT226" s="510"/>
      <c r="BU226" s="510"/>
      <c r="BV226" s="510"/>
      <c r="BW226" s="510"/>
      <c r="BX226" s="510"/>
      <c r="BY226" s="510"/>
      <c r="BZ226" s="510"/>
      <c r="CA226" s="511" t="str">
        <f t="shared" si="114"/>
        <v/>
      </c>
      <c r="CB226" s="511" t="str">
        <f t="shared" si="115"/>
        <v/>
      </c>
      <c r="CD226" s="510"/>
      <c r="CE226" s="510"/>
      <c r="CF226" s="512"/>
      <c r="CG226" s="512"/>
      <c r="CH226" s="512"/>
      <c r="CI226" s="512"/>
      <c r="CJ226" s="512"/>
      <c r="CK226" s="513">
        <f t="shared" si="111"/>
        <v>0</v>
      </c>
      <c r="CL226" s="513">
        <f t="shared" si="112"/>
        <v>0</v>
      </c>
    </row>
    <row r="227" spans="1:90" ht="15" customHeight="1">
      <c r="A227" s="5804" t="s">
        <v>91</v>
      </c>
      <c r="B227" s="5805"/>
      <c r="C227" s="5805"/>
      <c r="D227" s="5806"/>
      <c r="E227" s="855">
        <f>SUM(E223:E226)</f>
        <v>0</v>
      </c>
      <c r="F227" s="856">
        <f>SUM(F223:F226)</f>
        <v>0</v>
      </c>
      <c r="G227" s="879"/>
      <c r="H227" s="880"/>
      <c r="I227" s="859">
        <f t="shared" ref="I227:J227" si="116">SUM(I223:I226)</f>
        <v>0</v>
      </c>
      <c r="J227" s="860">
        <f t="shared" si="116"/>
        <v>0</v>
      </c>
      <c r="K227" s="508"/>
      <c r="L227" s="508"/>
      <c r="M227" s="508"/>
      <c r="N227" s="508"/>
      <c r="O227" s="508"/>
      <c r="P227" s="508"/>
      <c r="Q227" s="508"/>
      <c r="R227" s="508"/>
      <c r="S227" s="508"/>
      <c r="T227" s="508"/>
      <c r="U227" s="508"/>
      <c r="V227" s="508"/>
      <c r="W227" s="508"/>
      <c r="X227" s="508"/>
      <c r="Y227" s="508"/>
      <c r="Z227" s="508"/>
      <c r="AA227" s="508"/>
      <c r="AB227" s="508"/>
      <c r="AC227" s="508"/>
      <c r="AD227" s="508"/>
      <c r="AE227" s="508"/>
      <c r="AF227" s="508"/>
      <c r="AG227" s="508"/>
      <c r="AH227" s="508"/>
      <c r="AI227" s="508"/>
      <c r="AJ227" s="508"/>
      <c r="AK227" s="508"/>
      <c r="AL227" s="509"/>
      <c r="AM227" s="509"/>
      <c r="AN227" s="509"/>
      <c r="AO227" s="509"/>
      <c r="AP227" s="509"/>
      <c r="AQ227" s="509"/>
      <c r="AR227" s="509"/>
      <c r="AS227" s="509"/>
      <c r="AT227" s="509"/>
      <c r="AU227" s="509"/>
      <c r="AV227" s="509"/>
      <c r="AW227" s="509"/>
      <c r="AX227" s="509"/>
      <c r="AY227" s="509"/>
      <c r="AZ227" s="510"/>
      <c r="BA227" s="510"/>
      <c r="BB227" s="510"/>
      <c r="BC227" s="510"/>
      <c r="BD227" s="510"/>
      <c r="BE227" s="510"/>
      <c r="BF227" s="510"/>
      <c r="BG227" s="510"/>
      <c r="BH227" s="510"/>
      <c r="BI227" s="510"/>
      <c r="BJ227" s="510"/>
      <c r="BK227" s="510"/>
      <c r="BL227" s="510"/>
      <c r="BM227" s="510"/>
      <c r="BN227" s="510"/>
      <c r="BO227" s="510"/>
      <c r="BP227" s="510"/>
      <c r="BQ227" s="510"/>
      <c r="BR227" s="510"/>
      <c r="BS227" s="510"/>
      <c r="BT227" s="510"/>
      <c r="BU227" s="510"/>
      <c r="BV227" s="510"/>
      <c r="BW227" s="510"/>
      <c r="BX227" s="510"/>
      <c r="BY227" s="510"/>
      <c r="BZ227" s="510"/>
      <c r="CA227" s="510"/>
      <c r="CB227" s="510"/>
      <c r="CC227" s="510"/>
      <c r="CD227" s="510"/>
    </row>
    <row r="228" spans="1:90" ht="18" customHeight="1">
      <c r="A228" s="881" t="s">
        <v>446</v>
      </c>
      <c r="B228" s="881"/>
      <c r="C228" s="881"/>
      <c r="D228" s="882"/>
      <c r="E228" s="882"/>
      <c r="F228" s="882"/>
      <c r="G228" s="883"/>
      <c r="H228" s="508"/>
      <c r="I228" s="508"/>
      <c r="J228" s="508"/>
      <c r="K228" s="508"/>
      <c r="L228" s="508"/>
      <c r="M228" s="508"/>
      <c r="N228" s="508"/>
      <c r="O228" s="508"/>
      <c r="P228" s="508"/>
      <c r="Q228" s="508"/>
      <c r="R228" s="508"/>
      <c r="S228" s="508"/>
      <c r="T228" s="508"/>
      <c r="U228" s="508"/>
      <c r="V228" s="508"/>
      <c r="W228" s="508"/>
      <c r="X228" s="508"/>
      <c r="Y228" s="508"/>
      <c r="Z228" s="508"/>
      <c r="AA228" s="508"/>
      <c r="AB228" s="508"/>
      <c r="AC228" s="508"/>
      <c r="AD228" s="508"/>
      <c r="AE228" s="508"/>
      <c r="AF228" s="508"/>
      <c r="AG228" s="508"/>
      <c r="AH228" s="508"/>
      <c r="AI228" s="508"/>
      <c r="AJ228" s="508"/>
      <c r="AK228" s="508"/>
      <c r="AL228" s="509"/>
      <c r="AM228" s="509"/>
      <c r="AN228" s="509"/>
      <c r="AO228" s="509"/>
      <c r="AP228" s="509"/>
      <c r="AQ228" s="509"/>
      <c r="AR228" s="509"/>
      <c r="AS228" s="509"/>
      <c r="AT228" s="509"/>
      <c r="AU228" s="509"/>
      <c r="AV228" s="509"/>
      <c r="AW228" s="509"/>
      <c r="AX228" s="509"/>
      <c r="AY228" s="509"/>
      <c r="AZ228" s="510"/>
      <c r="BA228" s="510"/>
      <c r="BB228" s="510"/>
      <c r="BC228" s="510"/>
      <c r="BD228" s="510"/>
      <c r="BE228" s="510"/>
      <c r="BF228" s="510"/>
      <c r="BG228" s="510"/>
      <c r="BH228" s="510"/>
      <c r="BI228" s="510"/>
      <c r="BJ228" s="510"/>
      <c r="BK228" s="510"/>
      <c r="BL228" s="510"/>
      <c r="BM228" s="510"/>
      <c r="BN228" s="510"/>
      <c r="BO228" s="510"/>
      <c r="BP228" s="510"/>
      <c r="BQ228" s="510"/>
      <c r="BR228" s="510"/>
      <c r="BS228" s="510"/>
      <c r="BT228" s="510"/>
      <c r="BU228" s="510"/>
      <c r="BV228" s="510"/>
      <c r="BW228" s="510"/>
      <c r="BX228" s="510"/>
      <c r="BY228" s="510"/>
      <c r="BZ228" s="510"/>
      <c r="CA228" s="510"/>
      <c r="CB228" s="510"/>
      <c r="CC228" s="510"/>
      <c r="CD228" s="510"/>
    </row>
    <row r="229" spans="1:90" ht="24.75" customHeight="1">
      <c r="A229" s="5804" t="s">
        <v>414</v>
      </c>
      <c r="B229" s="5806"/>
      <c r="C229" s="853" t="s">
        <v>72</v>
      </c>
      <c r="D229" s="884" t="s">
        <v>73</v>
      </c>
      <c r="E229" s="885" t="s">
        <v>50</v>
      </c>
      <c r="F229" s="886" t="s">
        <v>51</v>
      </c>
      <c r="G229" s="883"/>
      <c r="H229" s="508"/>
      <c r="I229" s="508"/>
      <c r="J229" s="508"/>
      <c r="K229" s="508"/>
      <c r="L229" s="508"/>
      <c r="M229" s="508"/>
      <c r="N229" s="508"/>
      <c r="O229" s="508"/>
      <c r="P229" s="508"/>
      <c r="Q229" s="508"/>
      <c r="R229" s="508"/>
      <c r="S229" s="508"/>
      <c r="T229" s="508"/>
      <c r="U229" s="508"/>
      <c r="V229" s="508"/>
      <c r="W229" s="508"/>
      <c r="X229" s="508"/>
      <c r="Y229" s="508"/>
      <c r="Z229" s="508"/>
      <c r="AA229" s="508"/>
      <c r="AB229" s="508"/>
      <c r="AC229" s="508"/>
      <c r="AD229" s="508"/>
      <c r="AE229" s="508"/>
      <c r="AF229" s="508"/>
      <c r="AG229" s="508"/>
      <c r="AH229" s="508"/>
      <c r="AI229" s="508"/>
      <c r="AJ229" s="508"/>
      <c r="AK229" s="508"/>
      <c r="AL229" s="509"/>
      <c r="AM229" s="509"/>
      <c r="AN229" s="509"/>
      <c r="AO229" s="509"/>
      <c r="AP229" s="509"/>
      <c r="AQ229" s="509"/>
      <c r="AR229" s="509"/>
      <c r="AS229" s="509"/>
      <c r="AT229" s="509"/>
      <c r="AU229" s="509"/>
      <c r="AV229" s="509"/>
      <c r="AW229" s="509"/>
      <c r="AX229" s="509"/>
      <c r="AY229" s="509"/>
      <c r="AZ229" s="510"/>
      <c r="BA229" s="510"/>
      <c r="BB229" s="510"/>
      <c r="BC229" s="510"/>
      <c r="BD229" s="510"/>
      <c r="BE229" s="510"/>
      <c r="BF229" s="510"/>
      <c r="BG229" s="510"/>
      <c r="BH229" s="510"/>
      <c r="BI229" s="510"/>
      <c r="BJ229" s="510"/>
      <c r="BK229" s="510"/>
      <c r="BL229" s="510"/>
      <c r="BM229" s="510"/>
      <c r="BN229" s="510"/>
      <c r="BO229" s="510"/>
      <c r="BP229" s="510"/>
      <c r="BQ229" s="510"/>
      <c r="BR229" s="510"/>
      <c r="BS229" s="510"/>
      <c r="BT229" s="510"/>
      <c r="BU229" s="510"/>
      <c r="BV229" s="510"/>
      <c r="BW229" s="510"/>
      <c r="BX229" s="510"/>
      <c r="BY229" s="510"/>
      <c r="BZ229" s="510"/>
      <c r="CA229" s="510"/>
      <c r="CB229" s="510"/>
      <c r="CC229" s="510"/>
      <c r="CD229" s="510"/>
    </row>
    <row r="230" spans="1:90" ht="21">
      <c r="A230" s="5869" t="s">
        <v>447</v>
      </c>
      <c r="B230" s="887" t="s">
        <v>443</v>
      </c>
      <c r="C230" s="888"/>
      <c r="D230" s="889"/>
      <c r="E230" s="890"/>
      <c r="F230" s="891"/>
      <c r="G230" s="99" t="str">
        <f t="shared" ref="G230:G231" si="117">$CB230&amp;CA230</f>
        <v/>
      </c>
      <c r="H230" s="508"/>
      <c r="I230" s="508"/>
      <c r="J230" s="508"/>
      <c r="K230" s="508"/>
      <c r="L230" s="508"/>
      <c r="M230" s="508"/>
      <c r="N230" s="508"/>
      <c r="O230" s="508"/>
      <c r="P230" s="508"/>
      <c r="Q230" s="508"/>
      <c r="R230" s="508"/>
      <c r="S230" s="508"/>
      <c r="T230" s="508"/>
      <c r="U230" s="508"/>
      <c r="V230" s="508"/>
      <c r="W230" s="508"/>
      <c r="X230" s="508"/>
      <c r="Y230" s="508"/>
      <c r="Z230" s="508"/>
      <c r="AA230" s="508"/>
      <c r="AB230" s="508"/>
      <c r="AC230" s="508"/>
      <c r="AD230" s="508"/>
      <c r="AE230" s="508"/>
      <c r="AF230" s="508"/>
      <c r="AG230" s="508"/>
      <c r="AH230" s="508"/>
      <c r="AI230" s="508"/>
      <c r="AJ230" s="508"/>
      <c r="AK230" s="508"/>
      <c r="AL230" s="509"/>
      <c r="AM230" s="509"/>
      <c r="AN230" s="509"/>
      <c r="AO230" s="509"/>
      <c r="AP230" s="509"/>
      <c r="AQ230" s="509"/>
      <c r="AR230" s="509"/>
      <c r="AS230" s="509"/>
      <c r="AT230" s="509"/>
      <c r="AU230" s="509"/>
      <c r="AV230" s="509"/>
      <c r="AW230" s="509"/>
      <c r="AX230" s="509"/>
      <c r="AY230" s="509"/>
      <c r="AZ230" s="510"/>
      <c r="BA230" s="510"/>
      <c r="BB230" s="510"/>
      <c r="BC230" s="510"/>
      <c r="BD230" s="510"/>
      <c r="BE230" s="510"/>
      <c r="BF230" s="510"/>
      <c r="BG230" s="510"/>
      <c r="BH230" s="510"/>
      <c r="BI230" s="510"/>
      <c r="BJ230" s="510"/>
      <c r="BK230" s="510"/>
      <c r="BL230" s="510"/>
      <c r="BM230" s="510"/>
      <c r="BN230" s="510"/>
      <c r="BO230" s="510"/>
      <c r="BP230" s="510"/>
      <c r="BQ230" s="510"/>
      <c r="BR230" s="510"/>
      <c r="BS230" s="510"/>
      <c r="BT230" s="510"/>
      <c r="BU230" s="510"/>
      <c r="BV230" s="510"/>
      <c r="BW230" s="510"/>
      <c r="BX230" s="510"/>
      <c r="BY230" s="510"/>
      <c r="BZ230" s="510"/>
      <c r="CA230" s="511" t="str">
        <f t="shared" ref="CA230:CA231" si="118">IF(AND($C230+D230&lt;&gt;0,E230=""),"* No olvide ingresar la variable "&amp;E$229&amp;""&amp;" (Digite CERO si no tiene). ",IF(E230&gt;$C230+$D230,"* La variable Pueblos Originarios no debe ser mayor a la suma de Hombres + Mujeres.",""))</f>
        <v/>
      </c>
      <c r="CB230" s="511" t="str">
        <f t="shared" ref="CB230:CB231" si="119">IF(AND($C230+D230&lt;&gt;0,F230=""),"* No olvide ingresar la variable "&amp;F$229&amp;""&amp;" (Digite CERO si no tiene). ",IF(F230&gt;$C230+$D230,"* La variable Migrantes no debe ser mayor a la suma de Hombres + Mujeres.",""))</f>
        <v/>
      </c>
      <c r="CD230" s="510"/>
      <c r="CE230" s="510"/>
      <c r="CF230" s="512"/>
      <c r="CG230" s="512"/>
      <c r="CH230" s="512"/>
      <c r="CI230" s="512"/>
      <c r="CJ230" s="512"/>
      <c r="CK230" s="513">
        <f t="shared" ref="CK230:CK231" si="120">IF(AND($C230+$D230&lt;&gt;0,E230=""),1,IF(E230&gt;$C230+$D230,1,0))</f>
        <v>0</v>
      </c>
      <c r="CL230" s="513">
        <f t="shared" ref="CL230:CL231" si="121">IF(AND($C230+$D230&lt;&gt;0,F230=""),1,IF(F230&gt;$C230+$D230,1,0))</f>
        <v>0</v>
      </c>
    </row>
    <row r="231" spans="1:90" ht="21">
      <c r="A231" s="5870"/>
      <c r="B231" s="892" t="s">
        <v>444</v>
      </c>
      <c r="C231" s="893"/>
      <c r="D231" s="894"/>
      <c r="E231" s="895"/>
      <c r="F231" s="896"/>
      <c r="G231" s="99" t="str">
        <f t="shared" si="117"/>
        <v/>
      </c>
      <c r="H231" s="508"/>
      <c r="I231" s="508"/>
      <c r="J231" s="508"/>
      <c r="K231" s="508"/>
      <c r="L231" s="508"/>
      <c r="M231" s="508"/>
      <c r="N231" s="508"/>
      <c r="O231" s="508"/>
      <c r="P231" s="508"/>
      <c r="Q231" s="508"/>
      <c r="R231" s="508"/>
      <c r="S231" s="508"/>
      <c r="T231" s="508"/>
      <c r="U231" s="508"/>
      <c r="V231" s="508"/>
      <c r="W231" s="508"/>
      <c r="X231" s="508"/>
      <c r="Y231" s="508"/>
      <c r="Z231" s="508"/>
      <c r="AA231" s="508"/>
      <c r="AB231" s="508"/>
      <c r="AC231" s="508"/>
      <c r="AD231" s="508"/>
      <c r="AE231" s="508"/>
      <c r="AF231" s="508"/>
      <c r="AG231" s="508"/>
      <c r="AH231" s="508"/>
      <c r="AI231" s="508"/>
      <c r="AJ231" s="508"/>
      <c r="AK231" s="508"/>
      <c r="AL231" s="509"/>
      <c r="AM231" s="509"/>
      <c r="AN231" s="509"/>
      <c r="AO231" s="509"/>
      <c r="AP231" s="509"/>
      <c r="AQ231" s="509"/>
      <c r="AR231" s="509"/>
      <c r="AS231" s="509"/>
      <c r="AT231" s="509"/>
      <c r="AU231" s="509"/>
      <c r="AV231" s="509"/>
      <c r="AW231" s="509"/>
      <c r="AX231" s="509"/>
      <c r="AY231" s="509"/>
      <c r="AZ231" s="510"/>
      <c r="BA231" s="510"/>
      <c r="BB231" s="510"/>
      <c r="BC231" s="510"/>
      <c r="BD231" s="510"/>
      <c r="BE231" s="510"/>
      <c r="BF231" s="510"/>
      <c r="BG231" s="510"/>
      <c r="BH231" s="510"/>
      <c r="BI231" s="510"/>
      <c r="BJ231" s="510"/>
      <c r="BK231" s="510"/>
      <c r="BL231" s="510"/>
      <c r="BM231" s="510"/>
      <c r="BN231" s="510"/>
      <c r="BO231" s="510"/>
      <c r="BP231" s="510"/>
      <c r="BQ231" s="510"/>
      <c r="BR231" s="510"/>
      <c r="BS231" s="510"/>
      <c r="BT231" s="510"/>
      <c r="BU231" s="510"/>
      <c r="BV231" s="510"/>
      <c r="BW231" s="510"/>
      <c r="BX231" s="510"/>
      <c r="BY231" s="510"/>
      <c r="BZ231" s="510"/>
      <c r="CA231" s="511" t="str">
        <f t="shared" si="118"/>
        <v/>
      </c>
      <c r="CB231" s="511" t="str">
        <f t="shared" si="119"/>
        <v/>
      </c>
      <c r="CD231" s="510"/>
      <c r="CE231" s="510"/>
      <c r="CF231" s="512"/>
      <c r="CG231" s="512"/>
      <c r="CH231" s="512"/>
      <c r="CI231" s="512"/>
      <c r="CJ231" s="512"/>
      <c r="CK231" s="513">
        <f t="shared" si="120"/>
        <v>0</v>
      </c>
      <c r="CL231" s="513">
        <f t="shared" si="121"/>
        <v>0</v>
      </c>
    </row>
    <row r="232" spans="1:90" ht="15" customHeight="1">
      <c r="A232" s="5804" t="s">
        <v>91</v>
      </c>
      <c r="B232" s="5806"/>
      <c r="C232" s="897">
        <f>SUM(C230:C231)</f>
        <v>0</v>
      </c>
      <c r="D232" s="898">
        <f t="shared" ref="D232:F232" si="122">SUM(D230:D231)</f>
        <v>0</v>
      </c>
      <c r="E232" s="899">
        <f t="shared" si="122"/>
        <v>0</v>
      </c>
      <c r="F232" s="900">
        <f t="shared" si="122"/>
        <v>0</v>
      </c>
      <c r="G232" s="883"/>
      <c r="H232" s="508"/>
      <c r="I232" s="508"/>
      <c r="J232" s="508"/>
      <c r="K232" s="508"/>
      <c r="L232" s="508"/>
      <c r="M232" s="508"/>
      <c r="N232" s="508"/>
      <c r="O232" s="508"/>
      <c r="P232" s="508"/>
      <c r="Q232" s="508"/>
      <c r="R232" s="508"/>
      <c r="S232" s="508"/>
      <c r="T232" s="508"/>
      <c r="U232" s="508"/>
      <c r="V232" s="508"/>
      <c r="W232" s="508"/>
      <c r="X232" s="508"/>
      <c r="Y232" s="508"/>
      <c r="Z232" s="508"/>
      <c r="AA232" s="508"/>
      <c r="AB232" s="508"/>
      <c r="AC232" s="508"/>
      <c r="AD232" s="508"/>
      <c r="AE232" s="508"/>
      <c r="AF232" s="508"/>
      <c r="AG232" s="508"/>
      <c r="AH232" s="508"/>
      <c r="AI232" s="508"/>
      <c r="AJ232" s="508"/>
      <c r="AK232" s="508"/>
      <c r="AL232" s="509"/>
      <c r="AM232" s="509"/>
      <c r="AN232" s="509"/>
      <c r="AO232" s="509"/>
      <c r="AP232" s="509"/>
      <c r="AQ232" s="509"/>
      <c r="AR232" s="509"/>
      <c r="AS232" s="509"/>
      <c r="AT232" s="509"/>
      <c r="AU232" s="509"/>
      <c r="AV232" s="509"/>
      <c r="AW232" s="509"/>
      <c r="AX232" s="509"/>
      <c r="AY232" s="509"/>
      <c r="AZ232" s="510"/>
      <c r="BA232" s="510"/>
      <c r="BB232" s="510"/>
      <c r="BC232" s="510"/>
      <c r="BD232" s="510"/>
      <c r="BE232" s="510"/>
      <c r="BF232" s="510"/>
      <c r="BG232" s="510"/>
      <c r="BH232" s="510"/>
      <c r="BI232" s="510"/>
      <c r="BJ232" s="510"/>
      <c r="BK232" s="510"/>
      <c r="BL232" s="510"/>
      <c r="BM232" s="510"/>
      <c r="BN232" s="510"/>
      <c r="BO232" s="510"/>
      <c r="BP232" s="510"/>
      <c r="BQ232" s="510"/>
      <c r="BR232" s="510"/>
      <c r="BS232" s="510"/>
      <c r="BT232" s="510"/>
      <c r="BU232" s="510"/>
      <c r="BV232" s="510"/>
      <c r="BW232" s="510"/>
      <c r="BX232" s="510"/>
      <c r="BY232" s="510"/>
      <c r="BZ232" s="510"/>
      <c r="CA232" s="510"/>
      <c r="CB232" s="510"/>
      <c r="CC232" s="510"/>
      <c r="CD232" s="510"/>
    </row>
    <row r="233" spans="1:90" ht="18" customHeight="1">
      <c r="A233" s="763" t="s">
        <v>448</v>
      </c>
      <c r="B233" s="782"/>
      <c r="C233" s="782"/>
      <c r="D233" s="762"/>
      <c r="E233" s="48"/>
      <c r="F233" s="48"/>
      <c r="G233" s="48"/>
      <c r="H233" s="48"/>
      <c r="I233" s="48"/>
      <c r="J233" s="48"/>
      <c r="K233" s="48"/>
      <c r="L233" s="48"/>
      <c r="M233" s="48"/>
      <c r="N233" s="48"/>
      <c r="O233" s="48"/>
      <c r="P233" s="48"/>
      <c r="Q233" s="48"/>
      <c r="R233" s="48"/>
      <c r="S233" s="48"/>
      <c r="T233" s="48"/>
      <c r="U233" s="48"/>
      <c r="V233" s="48"/>
      <c r="W233" s="48"/>
      <c r="X233" s="48"/>
      <c r="Y233" s="48"/>
      <c r="Z233" s="48"/>
      <c r="AA233" s="48"/>
      <c r="AB233" s="508"/>
      <c r="AC233" s="508"/>
      <c r="AD233" s="508"/>
      <c r="AE233" s="508"/>
      <c r="AF233" s="508"/>
      <c r="AG233" s="508"/>
      <c r="AH233" s="508"/>
      <c r="AI233" s="508"/>
      <c r="AJ233" s="508"/>
      <c r="AK233" s="508"/>
      <c r="AL233" s="509"/>
      <c r="AM233" s="509"/>
      <c r="AN233" s="509"/>
      <c r="AO233" s="509"/>
      <c r="AP233" s="509"/>
      <c r="AQ233" s="509"/>
      <c r="AR233" s="509"/>
      <c r="AS233" s="509"/>
      <c r="AT233" s="509"/>
      <c r="AU233" s="509"/>
      <c r="AV233" s="509"/>
      <c r="AW233" s="509"/>
      <c r="AX233" s="509"/>
      <c r="AY233" s="509"/>
      <c r="AZ233" s="510"/>
      <c r="BA233" s="510"/>
      <c r="BB233" s="510"/>
      <c r="BC233" s="510"/>
      <c r="BD233" s="510"/>
      <c r="BE233" s="510"/>
      <c r="BF233" s="510"/>
      <c r="BG233" s="510"/>
      <c r="BH233" s="510"/>
      <c r="BI233" s="510"/>
      <c r="BJ233" s="510"/>
      <c r="BK233" s="510"/>
      <c r="BL233" s="510"/>
      <c r="BM233" s="510"/>
      <c r="BN233" s="510"/>
      <c r="BO233" s="510"/>
      <c r="BP233" s="510"/>
      <c r="BQ233" s="510"/>
      <c r="BR233" s="510"/>
      <c r="BS233" s="510"/>
      <c r="BT233" s="510"/>
      <c r="BU233" s="510"/>
      <c r="BV233" s="510"/>
      <c r="BW233" s="510"/>
      <c r="BX233" s="510"/>
      <c r="BY233" s="510"/>
      <c r="BZ233" s="510"/>
      <c r="CA233" s="510"/>
      <c r="CB233" s="510"/>
      <c r="CC233" s="510"/>
      <c r="CD233" s="510"/>
    </row>
    <row r="234" spans="1:90" ht="21.75" customHeight="1">
      <c r="A234" s="5822" t="s">
        <v>449</v>
      </c>
      <c r="B234" s="5823"/>
      <c r="C234" s="5615" t="s">
        <v>450</v>
      </c>
      <c r="D234" s="5616"/>
      <c r="E234" s="5652"/>
      <c r="F234" s="48"/>
      <c r="G234" s="48"/>
      <c r="H234" s="48"/>
      <c r="I234" s="48"/>
      <c r="J234" s="48"/>
      <c r="K234" s="48"/>
      <c r="L234" s="48"/>
      <c r="M234" s="48"/>
      <c r="N234" s="48"/>
      <c r="O234" s="48"/>
      <c r="P234" s="48"/>
      <c r="Q234" s="48"/>
      <c r="R234" s="48"/>
      <c r="S234" s="48"/>
      <c r="T234" s="48"/>
      <c r="U234" s="48"/>
      <c r="V234" s="48"/>
      <c r="W234" s="48"/>
      <c r="X234" s="48"/>
      <c r="Y234" s="48"/>
      <c r="Z234" s="48"/>
      <c r="AA234" s="48"/>
      <c r="AB234" s="508"/>
      <c r="AC234" s="508"/>
      <c r="AD234" s="508"/>
      <c r="AE234" s="508"/>
      <c r="AF234" s="508"/>
      <c r="AG234" s="508"/>
      <c r="AH234" s="508"/>
      <c r="AI234" s="508"/>
      <c r="AJ234" s="508"/>
      <c r="AK234" s="508"/>
      <c r="AL234" s="509"/>
      <c r="AM234" s="509"/>
      <c r="AN234" s="509"/>
      <c r="AO234" s="509"/>
      <c r="AP234" s="509"/>
      <c r="AQ234" s="509"/>
      <c r="AR234" s="509"/>
      <c r="AS234" s="509"/>
      <c r="AT234" s="509"/>
      <c r="AU234" s="509"/>
      <c r="AV234" s="509"/>
      <c r="AW234" s="509"/>
      <c r="AX234" s="509"/>
      <c r="AY234" s="509"/>
      <c r="AZ234" s="510"/>
      <c r="BA234" s="510"/>
      <c r="BB234" s="510"/>
      <c r="BC234" s="510"/>
      <c r="BD234" s="510"/>
      <c r="BE234" s="510"/>
      <c r="BF234" s="510"/>
      <c r="BG234" s="510"/>
      <c r="BH234" s="510"/>
      <c r="BI234" s="510"/>
      <c r="BJ234" s="510"/>
      <c r="BK234" s="510"/>
      <c r="BL234" s="510"/>
      <c r="BM234" s="510"/>
      <c r="BN234" s="510"/>
      <c r="BO234" s="510"/>
      <c r="BP234" s="510"/>
      <c r="BQ234" s="510"/>
      <c r="BR234" s="510"/>
      <c r="BS234" s="510"/>
      <c r="BT234" s="510"/>
      <c r="BU234" s="510"/>
      <c r="BV234" s="510"/>
      <c r="BW234" s="510"/>
      <c r="BX234" s="510"/>
      <c r="BY234" s="510"/>
      <c r="BZ234" s="510"/>
      <c r="CA234" s="510"/>
      <c r="CB234" s="510"/>
      <c r="CC234" s="510"/>
      <c r="CD234" s="510"/>
    </row>
    <row r="235" spans="1:90" ht="15" customHeight="1">
      <c r="A235" s="5824"/>
      <c r="B235" s="5825"/>
      <c r="C235" s="5861" t="s">
        <v>451</v>
      </c>
      <c r="D235" s="5615" t="s">
        <v>452</v>
      </c>
      <c r="E235" s="5652"/>
      <c r="F235" s="48"/>
      <c r="G235" s="48"/>
      <c r="H235" s="48"/>
      <c r="I235" s="48"/>
      <c r="J235" s="48"/>
      <c r="K235" s="48"/>
      <c r="L235" s="48"/>
      <c r="M235" s="48"/>
      <c r="N235" s="48"/>
      <c r="O235" s="48"/>
      <c r="P235" s="48"/>
      <c r="Q235" s="48"/>
      <c r="R235" s="48"/>
      <c r="S235" s="48"/>
      <c r="T235" s="48"/>
      <c r="U235" s="48"/>
      <c r="V235" s="48"/>
      <c r="W235" s="48"/>
      <c r="X235" s="48"/>
      <c r="Y235" s="48"/>
      <c r="Z235" s="48"/>
      <c r="AA235" s="48"/>
      <c r="AB235" s="508"/>
      <c r="AC235" s="508"/>
      <c r="AD235" s="508"/>
      <c r="AE235" s="508"/>
      <c r="AF235" s="508"/>
      <c r="AG235" s="508"/>
      <c r="AH235" s="508"/>
      <c r="AI235" s="508"/>
      <c r="AJ235" s="508"/>
      <c r="AK235" s="508"/>
      <c r="AL235" s="509"/>
      <c r="AM235" s="509"/>
      <c r="AN235" s="509"/>
      <c r="AO235" s="509"/>
      <c r="AP235" s="509"/>
      <c r="AQ235" s="509"/>
      <c r="AR235" s="509"/>
      <c r="AS235" s="509"/>
      <c r="AT235" s="509"/>
      <c r="AU235" s="509"/>
      <c r="AV235" s="509"/>
      <c r="AW235" s="509"/>
      <c r="AX235" s="509"/>
      <c r="AY235" s="509"/>
      <c r="AZ235" s="510"/>
      <c r="BA235" s="510"/>
      <c r="BB235" s="510"/>
      <c r="BC235" s="510"/>
      <c r="BD235" s="510"/>
      <c r="BE235" s="510"/>
      <c r="BF235" s="510"/>
      <c r="BG235" s="510"/>
      <c r="BH235" s="510"/>
      <c r="BI235" s="510"/>
      <c r="BJ235" s="510"/>
      <c r="BK235" s="510"/>
      <c r="BL235" s="510"/>
      <c r="BM235" s="510"/>
      <c r="BN235" s="510"/>
      <c r="BO235" s="510"/>
      <c r="BP235" s="510"/>
      <c r="BQ235" s="510"/>
      <c r="BR235" s="510"/>
      <c r="BS235" s="510"/>
      <c r="BT235" s="510"/>
      <c r="BU235" s="510"/>
      <c r="BV235" s="510"/>
      <c r="BW235" s="510"/>
      <c r="BX235" s="510"/>
      <c r="BY235" s="510"/>
      <c r="BZ235" s="510"/>
      <c r="CA235" s="510"/>
      <c r="CB235" s="510"/>
      <c r="CC235" s="510"/>
      <c r="CD235" s="510"/>
    </row>
    <row r="236" spans="1:90" ht="15" customHeight="1">
      <c r="A236" s="5819"/>
      <c r="B236" s="5820"/>
      <c r="C236" s="5862"/>
      <c r="D236" s="901" t="s">
        <v>453</v>
      </c>
      <c r="E236" s="787" t="s">
        <v>454</v>
      </c>
      <c r="F236" s="48"/>
      <c r="G236" s="48"/>
      <c r="H236" s="48"/>
      <c r="I236" s="48"/>
      <c r="J236" s="48"/>
      <c r="K236" s="48"/>
      <c r="L236" s="48"/>
      <c r="M236" s="48"/>
      <c r="N236" s="48"/>
      <c r="O236" s="48"/>
      <c r="P236" s="48"/>
      <c r="Q236" s="48"/>
      <c r="R236" s="48"/>
      <c r="S236" s="48"/>
      <c r="T236" s="48"/>
      <c r="U236" s="48"/>
      <c r="V236" s="48"/>
      <c r="W236" s="48"/>
      <c r="X236" s="48"/>
      <c r="Y236" s="48"/>
      <c r="Z236" s="48"/>
      <c r="AA236" s="48"/>
      <c r="AB236" s="508"/>
      <c r="AC236" s="508"/>
      <c r="AD236" s="508"/>
      <c r="AE236" s="508"/>
      <c r="AF236" s="508"/>
      <c r="AG236" s="508"/>
      <c r="AH236" s="508"/>
      <c r="AI236" s="508"/>
      <c r="AJ236" s="508"/>
      <c r="AK236" s="508"/>
      <c r="AL236" s="509"/>
      <c r="AM236" s="509"/>
      <c r="AN236" s="48"/>
      <c r="AO236" s="48"/>
      <c r="AP236" s="48"/>
      <c r="AQ236" s="48"/>
      <c r="AR236" s="48"/>
      <c r="AS236" s="48"/>
      <c r="AT236" s="48"/>
      <c r="AU236" s="48"/>
      <c r="AV236" s="48"/>
      <c r="AW236" s="48"/>
      <c r="AX236" s="48"/>
      <c r="AY236" s="48"/>
    </row>
    <row r="237" spans="1:90" ht="15" customHeight="1">
      <c r="A237" s="5863" t="s">
        <v>455</v>
      </c>
      <c r="B237" s="5864"/>
      <c r="C237" s="797"/>
      <c r="D237" s="793"/>
      <c r="E237" s="795"/>
      <c r="F237" s="48"/>
      <c r="G237" s="48"/>
      <c r="H237" s="48"/>
      <c r="I237" s="48"/>
      <c r="J237" s="48"/>
      <c r="K237" s="48"/>
      <c r="L237" s="48"/>
      <c r="M237" s="48"/>
      <c r="N237" s="48"/>
      <c r="O237" s="48"/>
      <c r="P237" s="48"/>
      <c r="Q237" s="48"/>
      <c r="R237" s="48"/>
      <c r="S237" s="48"/>
      <c r="T237" s="48"/>
      <c r="U237" s="48"/>
      <c r="V237" s="48"/>
      <c r="W237" s="48"/>
      <c r="X237" s="48"/>
      <c r="Y237" s="48"/>
      <c r="Z237" s="48"/>
      <c r="AA237" s="48"/>
      <c r="AB237" s="508"/>
      <c r="AC237" s="508"/>
      <c r="AD237" s="508"/>
      <c r="AE237" s="508"/>
      <c r="AF237" s="508"/>
      <c r="AG237" s="508"/>
      <c r="AH237" s="508"/>
      <c r="AI237" s="508"/>
      <c r="AJ237" s="508"/>
      <c r="AK237" s="508"/>
      <c r="AL237" s="509"/>
      <c r="AM237" s="509"/>
      <c r="AN237" s="48"/>
      <c r="AO237" s="48"/>
      <c r="AP237" s="48"/>
      <c r="AQ237" s="48"/>
      <c r="AR237" s="48"/>
      <c r="AS237" s="48"/>
      <c r="AT237" s="48"/>
      <c r="AU237" s="48"/>
      <c r="AV237" s="48"/>
      <c r="AW237" s="48"/>
      <c r="AX237" s="48"/>
      <c r="AY237" s="48"/>
    </row>
    <row r="238" spans="1:90" ht="15" customHeight="1">
      <c r="A238" s="5865" t="s">
        <v>456</v>
      </c>
      <c r="B238" s="5866"/>
      <c r="C238" s="902"/>
      <c r="D238" s="903"/>
      <c r="E238" s="904"/>
      <c r="F238" s="48"/>
      <c r="G238" s="48"/>
      <c r="H238" s="48"/>
      <c r="I238" s="48"/>
      <c r="J238" s="48"/>
      <c r="K238" s="48"/>
      <c r="L238" s="48"/>
      <c r="M238" s="48"/>
      <c r="N238" s="48"/>
      <c r="O238" s="48"/>
      <c r="P238" s="48"/>
      <c r="Q238" s="48"/>
      <c r="R238" s="48"/>
      <c r="S238" s="48"/>
      <c r="T238" s="48"/>
      <c r="U238" s="48"/>
      <c r="V238" s="48"/>
      <c r="W238" s="48"/>
      <c r="X238" s="48"/>
      <c r="Y238" s="48"/>
      <c r="Z238" s="48"/>
      <c r="AA238" s="48"/>
      <c r="AB238" s="508"/>
      <c r="AC238" s="508"/>
      <c r="AD238" s="508"/>
      <c r="AE238" s="508"/>
      <c r="AF238" s="508"/>
      <c r="AG238" s="508"/>
      <c r="AH238" s="508"/>
      <c r="AI238" s="508"/>
      <c r="AJ238" s="508"/>
      <c r="AK238" s="508"/>
      <c r="AL238" s="509"/>
      <c r="AM238" s="509"/>
      <c r="AN238" s="48"/>
      <c r="AO238" s="48"/>
      <c r="AP238" s="48"/>
      <c r="AQ238" s="48"/>
      <c r="AR238" s="48"/>
      <c r="AS238" s="48"/>
      <c r="AT238" s="48"/>
      <c r="AU238" s="48"/>
      <c r="AV238" s="48"/>
      <c r="AW238" s="48"/>
      <c r="AX238" s="48"/>
      <c r="AY238" s="48"/>
    </row>
    <row r="239" spans="1:90" ht="18" customHeight="1">
      <c r="A239" s="5865" t="s">
        <v>457</v>
      </c>
      <c r="B239" s="5866"/>
      <c r="C239" s="903"/>
      <c r="D239" s="903"/>
      <c r="E239" s="904"/>
      <c r="F239" s="48"/>
      <c r="G239" s="48"/>
      <c r="H239" s="48"/>
      <c r="I239" s="48"/>
      <c r="J239" s="48"/>
      <c r="K239" s="48"/>
      <c r="L239" s="48"/>
      <c r="M239" s="48"/>
      <c r="N239" s="48"/>
      <c r="O239" s="48"/>
      <c r="P239" s="48"/>
      <c r="Q239" s="48"/>
      <c r="R239" s="48"/>
      <c r="S239" s="48"/>
      <c r="T239" s="48"/>
      <c r="U239" s="48"/>
      <c r="V239" s="48"/>
      <c r="W239" s="48"/>
      <c r="X239" s="48"/>
      <c r="Y239" s="48"/>
      <c r="Z239" s="48"/>
      <c r="AA239" s="48"/>
      <c r="AB239" s="48"/>
      <c r="AC239" s="48"/>
      <c r="AD239" s="48"/>
      <c r="AE239" s="48"/>
      <c r="AF239" s="48"/>
      <c r="AG239" s="48"/>
      <c r="AH239" s="48"/>
      <c r="AI239" s="48"/>
      <c r="AJ239" s="48"/>
      <c r="AK239" s="48"/>
      <c r="AL239" s="48"/>
      <c r="AM239" s="48"/>
      <c r="AN239" s="48"/>
      <c r="AO239" s="48"/>
      <c r="AP239" s="48"/>
      <c r="AQ239" s="48"/>
      <c r="AR239" s="48"/>
      <c r="AS239" s="48"/>
      <c r="AT239" s="48"/>
      <c r="AU239" s="48"/>
      <c r="AV239" s="48"/>
      <c r="AW239" s="48"/>
      <c r="AX239" s="48"/>
      <c r="AY239" s="48"/>
    </row>
    <row r="240" spans="1:90" ht="15" customHeight="1">
      <c r="A240" s="5865" t="s">
        <v>458</v>
      </c>
      <c r="B240" s="5866"/>
      <c r="C240" s="903"/>
      <c r="D240" s="903"/>
      <c r="E240" s="904"/>
      <c r="F240" s="48"/>
      <c r="G240" s="48"/>
      <c r="H240" s="48"/>
      <c r="I240" s="48"/>
      <c r="J240" s="48"/>
      <c r="K240" s="48"/>
      <c r="L240" s="48"/>
      <c r="M240" s="48"/>
      <c r="N240" s="48"/>
      <c r="O240" s="48"/>
      <c r="P240" s="48"/>
      <c r="Q240" s="48"/>
      <c r="R240" s="48"/>
      <c r="S240" s="48"/>
      <c r="T240" s="48"/>
      <c r="U240" s="48"/>
      <c r="V240" s="48"/>
      <c r="W240" s="48"/>
      <c r="X240" s="48"/>
      <c r="Y240" s="48"/>
      <c r="Z240" s="48"/>
      <c r="AA240" s="48"/>
      <c r="AB240" s="48"/>
      <c r="AC240" s="48"/>
      <c r="AD240" s="48"/>
      <c r="AE240" s="48"/>
      <c r="AF240" s="48"/>
      <c r="AG240" s="48"/>
      <c r="AH240" s="48"/>
      <c r="AI240" s="48"/>
      <c r="AJ240" s="48"/>
      <c r="AK240" s="48"/>
      <c r="AL240" s="48"/>
      <c r="AM240" s="48"/>
      <c r="AN240" s="48"/>
      <c r="AO240" s="48"/>
      <c r="AP240" s="48"/>
      <c r="AQ240" s="48"/>
      <c r="AR240" s="48"/>
      <c r="AS240" s="48"/>
      <c r="AT240" s="48"/>
      <c r="AU240" s="48"/>
      <c r="AV240" s="48"/>
      <c r="AW240" s="48"/>
      <c r="AX240" s="48"/>
      <c r="AY240" s="48"/>
    </row>
    <row r="241" spans="1:51" ht="15" customHeight="1">
      <c r="A241" s="5867" t="s">
        <v>459</v>
      </c>
      <c r="B241" s="5868"/>
      <c r="C241" s="905"/>
      <c r="D241" s="808"/>
      <c r="E241" s="846"/>
      <c r="F241" s="48"/>
      <c r="G241" s="48"/>
      <c r="H241" s="48"/>
      <c r="I241" s="48"/>
      <c r="J241" s="48"/>
      <c r="K241" s="48"/>
      <c r="L241" s="48"/>
      <c r="M241" s="48"/>
      <c r="N241" s="48"/>
      <c r="O241" s="48"/>
      <c r="P241" s="48"/>
      <c r="Q241" s="48"/>
      <c r="R241" s="48"/>
      <c r="S241" s="48"/>
      <c r="T241" s="48"/>
      <c r="U241" s="48"/>
      <c r="V241" s="48"/>
      <c r="W241" s="48"/>
      <c r="X241" s="48"/>
      <c r="Y241" s="48"/>
      <c r="Z241" s="48"/>
      <c r="AA241" s="48"/>
      <c r="AB241" s="48"/>
      <c r="AC241" s="48"/>
      <c r="AD241" s="48"/>
      <c r="AE241" s="48"/>
      <c r="AF241" s="48"/>
      <c r="AG241" s="48"/>
      <c r="AH241" s="48"/>
      <c r="AI241" s="48"/>
      <c r="AJ241" s="48"/>
      <c r="AK241" s="48"/>
      <c r="AL241" s="48"/>
      <c r="AM241" s="48"/>
      <c r="AN241" s="48"/>
      <c r="AO241" s="48"/>
      <c r="AP241" s="48"/>
      <c r="AQ241" s="48"/>
      <c r="AR241" s="48"/>
      <c r="AS241" s="48"/>
      <c r="AT241" s="48"/>
      <c r="AU241" s="48"/>
      <c r="AV241" s="48"/>
      <c r="AW241" s="48"/>
      <c r="AX241" s="48"/>
      <c r="AY241" s="48"/>
    </row>
    <row r="242" spans="1:51" ht="18" customHeight="1">
      <c r="A242" s="5930" t="s">
        <v>460</v>
      </c>
      <c r="B242" s="5930"/>
      <c r="C242" s="5930"/>
      <c r="D242" s="5930"/>
      <c r="E242" s="5930"/>
      <c r="F242" s="5930"/>
      <c r="G242" s="5930"/>
      <c r="H242" s="5930"/>
      <c r="I242" s="5930"/>
      <c r="J242" s="5930"/>
      <c r="K242" s="5930"/>
      <c r="L242" s="5930"/>
      <c r="M242" s="5930"/>
      <c r="N242" s="906"/>
      <c r="O242" s="906"/>
      <c r="P242" s="906"/>
      <c r="Q242" s="906"/>
      <c r="R242" s="906"/>
      <c r="S242" s="906"/>
      <c r="T242" s="906"/>
      <c r="U242" s="906"/>
      <c r="V242" s="906"/>
      <c r="W242" s="906"/>
      <c r="X242" s="906"/>
      <c r="Y242" s="906"/>
      <c r="Z242" s="48"/>
      <c r="AA242" s="48"/>
      <c r="AB242" s="48"/>
      <c r="AC242" s="48"/>
      <c r="AD242" s="48"/>
      <c r="AE242" s="48"/>
      <c r="AF242" s="48"/>
      <c r="AG242" s="48"/>
      <c r="AH242" s="48"/>
      <c r="AI242" s="48"/>
      <c r="AJ242" s="48"/>
      <c r="AK242" s="48"/>
      <c r="AL242" s="48"/>
      <c r="AM242" s="48"/>
      <c r="AN242" s="48"/>
      <c r="AO242" s="48"/>
      <c r="AP242" s="48"/>
      <c r="AQ242" s="48"/>
      <c r="AR242" s="48"/>
      <c r="AS242" s="48"/>
      <c r="AT242" s="48"/>
      <c r="AU242" s="48"/>
      <c r="AV242" s="48"/>
      <c r="AW242" s="48"/>
      <c r="AX242" s="48"/>
      <c r="AY242" s="48"/>
    </row>
    <row r="243" spans="1:51" ht="15" customHeight="1">
      <c r="A243" s="5931" t="s">
        <v>322</v>
      </c>
      <c r="B243" s="5932"/>
      <c r="C243" s="5937" t="s">
        <v>323</v>
      </c>
      <c r="D243" s="5938"/>
      <c r="E243" s="5938"/>
      <c r="F243" s="5942" t="s">
        <v>115</v>
      </c>
      <c r="G243" s="5943"/>
      <c r="H243" s="5943"/>
      <c r="I243" s="5943"/>
      <c r="J243" s="5943"/>
      <c r="K243" s="5943"/>
      <c r="L243" s="5943"/>
      <c r="M243" s="5943"/>
      <c r="N243" s="5943"/>
      <c r="O243" s="5943"/>
      <c r="P243" s="5943"/>
      <c r="Q243" s="5943"/>
      <c r="R243" s="5943"/>
      <c r="S243" s="5943"/>
      <c r="T243" s="5943"/>
      <c r="U243" s="5943"/>
      <c r="V243" s="5943"/>
      <c r="W243" s="5943"/>
      <c r="X243" s="5943"/>
      <c r="Y243" s="5943"/>
      <c r="Z243" s="5943"/>
      <c r="AA243" s="5944"/>
      <c r="AB243" s="48"/>
      <c r="AC243" s="48"/>
      <c r="AD243" s="48"/>
      <c r="AE243" s="48"/>
      <c r="AF243" s="48"/>
      <c r="AG243" s="48"/>
      <c r="AH243" s="48"/>
      <c r="AI243" s="48"/>
      <c r="AJ243" s="48"/>
      <c r="AK243" s="48"/>
      <c r="AL243" s="48"/>
      <c r="AM243" s="48"/>
      <c r="AN243" s="48"/>
      <c r="AO243" s="48"/>
      <c r="AP243" s="48"/>
      <c r="AQ243" s="48"/>
      <c r="AR243" s="48"/>
      <c r="AS243" s="48"/>
      <c r="AT243" s="48"/>
      <c r="AU243" s="48"/>
      <c r="AV243" s="48"/>
      <c r="AW243" s="48"/>
      <c r="AX243" s="48"/>
      <c r="AY243" s="48"/>
    </row>
    <row r="244" spans="1:51" ht="15" customHeight="1">
      <c r="A244" s="5933"/>
      <c r="B244" s="5934"/>
      <c r="C244" s="5939"/>
      <c r="D244" s="5940"/>
      <c r="E244" s="5941"/>
      <c r="F244" s="5945" t="s">
        <v>347</v>
      </c>
      <c r="G244" s="5941"/>
      <c r="H244" s="5945" t="s">
        <v>108</v>
      </c>
      <c r="I244" s="5941"/>
      <c r="J244" s="5945" t="s">
        <v>58</v>
      </c>
      <c r="K244" s="5941"/>
      <c r="L244" s="5945" t="s">
        <v>59</v>
      </c>
      <c r="M244" s="5941"/>
      <c r="N244" s="5945" t="s">
        <v>60</v>
      </c>
      <c r="O244" s="5941"/>
      <c r="P244" s="5945" t="s">
        <v>461</v>
      </c>
      <c r="Q244" s="5941"/>
      <c r="R244" s="5945" t="s">
        <v>462</v>
      </c>
      <c r="S244" s="5941"/>
      <c r="T244" s="5945" t="s">
        <v>67</v>
      </c>
      <c r="U244" s="5941"/>
      <c r="V244" s="5945" t="s">
        <v>68</v>
      </c>
      <c r="W244" s="5941"/>
      <c r="X244" s="5945" t="s">
        <v>349</v>
      </c>
      <c r="Y244" s="5941"/>
      <c r="Z244" s="5945" t="s">
        <v>71</v>
      </c>
      <c r="AA244" s="5941"/>
      <c r="AB244" s="48"/>
      <c r="AC244" s="48"/>
      <c r="AD244" s="48"/>
      <c r="AE244" s="48"/>
      <c r="AF244" s="48"/>
      <c r="AG244" s="48"/>
      <c r="AH244" s="48"/>
      <c r="AI244" s="48"/>
      <c r="AJ244" s="48"/>
      <c r="AK244" s="48"/>
      <c r="AL244" s="48"/>
      <c r="AM244" s="48"/>
      <c r="AN244" s="48"/>
      <c r="AO244" s="48"/>
      <c r="AP244" s="48"/>
      <c r="AQ244" s="48"/>
      <c r="AR244" s="48"/>
      <c r="AS244" s="48"/>
      <c r="AT244" s="48"/>
      <c r="AU244" s="48"/>
      <c r="AV244" s="48"/>
      <c r="AW244" s="48"/>
      <c r="AX244" s="48"/>
      <c r="AY244" s="48"/>
    </row>
    <row r="245" spans="1:51" ht="15" customHeight="1">
      <c r="A245" s="5935"/>
      <c r="B245" s="5936"/>
      <c r="C245" s="907" t="s">
        <v>93</v>
      </c>
      <c r="D245" s="908" t="s">
        <v>72</v>
      </c>
      <c r="E245" s="909" t="s">
        <v>73</v>
      </c>
      <c r="F245" s="910" t="s">
        <v>72</v>
      </c>
      <c r="G245" s="911" t="s">
        <v>73</v>
      </c>
      <c r="H245" s="910" t="s">
        <v>72</v>
      </c>
      <c r="I245" s="912" t="s">
        <v>73</v>
      </c>
      <c r="J245" s="910" t="s">
        <v>72</v>
      </c>
      <c r="K245" s="912" t="s">
        <v>73</v>
      </c>
      <c r="L245" s="910" t="s">
        <v>72</v>
      </c>
      <c r="M245" s="912" t="s">
        <v>73</v>
      </c>
      <c r="N245" s="910" t="s">
        <v>72</v>
      </c>
      <c r="O245" s="912" t="s">
        <v>73</v>
      </c>
      <c r="P245" s="910" t="s">
        <v>72</v>
      </c>
      <c r="Q245" s="912" t="s">
        <v>73</v>
      </c>
      <c r="R245" s="910" t="s">
        <v>72</v>
      </c>
      <c r="S245" s="912" t="s">
        <v>73</v>
      </c>
      <c r="T245" s="910" t="s">
        <v>72</v>
      </c>
      <c r="U245" s="912" t="s">
        <v>73</v>
      </c>
      <c r="V245" s="910" t="s">
        <v>72</v>
      </c>
      <c r="W245" s="912" t="s">
        <v>73</v>
      </c>
      <c r="X245" s="910" t="s">
        <v>72</v>
      </c>
      <c r="Y245" s="912" t="s">
        <v>73</v>
      </c>
      <c r="Z245" s="910" t="s">
        <v>72</v>
      </c>
      <c r="AA245" s="912" t="s">
        <v>73</v>
      </c>
      <c r="AB245" s="48"/>
      <c r="AC245" s="48"/>
      <c r="AD245" s="48"/>
      <c r="AE245" s="48"/>
      <c r="AF245" s="48"/>
      <c r="AG245" s="48"/>
      <c r="AH245" s="48"/>
      <c r="AI245" s="48"/>
      <c r="AJ245" s="48"/>
      <c r="AK245" s="48"/>
      <c r="AL245" s="48"/>
      <c r="AM245" s="48"/>
      <c r="AN245" s="48"/>
      <c r="AO245" s="48"/>
      <c r="AP245" s="48"/>
      <c r="AQ245" s="48"/>
      <c r="AR245" s="48"/>
      <c r="AS245" s="48"/>
      <c r="AT245" s="48"/>
      <c r="AU245" s="48"/>
      <c r="AV245" s="48"/>
      <c r="AW245" s="48"/>
      <c r="AX245" s="48"/>
      <c r="AY245" s="48"/>
    </row>
    <row r="246" spans="1:51" ht="15" customHeight="1">
      <c r="A246" s="5859" t="s">
        <v>463</v>
      </c>
      <c r="B246" s="5860"/>
      <c r="C246" s="913">
        <f t="shared" ref="C246:C255" si="123">SUM(D246+E246)</f>
        <v>0</v>
      </c>
      <c r="D246" s="914">
        <f>+F246</f>
        <v>0</v>
      </c>
      <c r="E246" s="915">
        <f>+G246</f>
        <v>0</v>
      </c>
      <c r="F246" s="916"/>
      <c r="G246" s="917"/>
      <c r="H246" s="918"/>
      <c r="I246" s="919"/>
      <c r="J246" s="918"/>
      <c r="K246" s="919"/>
      <c r="L246" s="918"/>
      <c r="M246" s="919"/>
      <c r="N246" s="918"/>
      <c r="O246" s="919"/>
      <c r="P246" s="918"/>
      <c r="Q246" s="919"/>
      <c r="R246" s="918"/>
      <c r="S246" s="919"/>
      <c r="T246" s="918"/>
      <c r="U246" s="919"/>
      <c r="V246" s="918"/>
      <c r="W246" s="919"/>
      <c r="X246" s="918"/>
      <c r="Y246" s="919"/>
      <c r="Z246" s="918"/>
      <c r="AA246" s="919"/>
      <c r="AB246" s="48"/>
      <c r="AC246" s="48"/>
      <c r="AD246" s="48"/>
      <c r="AE246" s="48"/>
      <c r="AF246" s="48"/>
      <c r="AG246" s="48"/>
      <c r="AH246" s="48"/>
      <c r="AI246" s="48"/>
      <c r="AJ246" s="48"/>
      <c r="AK246" s="48"/>
      <c r="AL246" s="48"/>
      <c r="AM246" s="48"/>
      <c r="AN246" s="48"/>
      <c r="AO246" s="48"/>
      <c r="AP246" s="48"/>
      <c r="AQ246" s="48"/>
      <c r="AR246" s="48"/>
      <c r="AS246" s="48"/>
      <c r="AT246" s="48"/>
      <c r="AU246" s="48"/>
      <c r="AV246" s="48"/>
      <c r="AW246" s="48"/>
      <c r="AX246" s="48"/>
      <c r="AY246" s="48"/>
    </row>
    <row r="247" spans="1:51" ht="15" customHeight="1">
      <c r="A247" s="5854" t="s">
        <v>464</v>
      </c>
      <c r="B247" s="5855"/>
      <c r="C247" s="920">
        <f t="shared" si="123"/>
        <v>0</v>
      </c>
      <c r="D247" s="921">
        <f>+H247</f>
        <v>0</v>
      </c>
      <c r="E247" s="922">
        <f>+I247</f>
        <v>0</v>
      </c>
      <c r="F247" s="923"/>
      <c r="G247" s="924"/>
      <c r="H247" s="925"/>
      <c r="I247" s="926"/>
      <c r="J247" s="927"/>
      <c r="K247" s="924"/>
      <c r="L247" s="927"/>
      <c r="M247" s="924"/>
      <c r="N247" s="927"/>
      <c r="O247" s="924"/>
      <c r="P247" s="927"/>
      <c r="Q247" s="924"/>
      <c r="R247" s="927"/>
      <c r="S247" s="924"/>
      <c r="T247" s="927"/>
      <c r="U247" s="924"/>
      <c r="V247" s="927"/>
      <c r="W247" s="924"/>
      <c r="X247" s="927"/>
      <c r="Y247" s="924"/>
      <c r="Z247" s="927"/>
      <c r="AA247" s="924"/>
      <c r="AB247" s="48"/>
      <c r="AC247" s="48"/>
      <c r="AD247" s="48"/>
      <c r="AE247" s="48"/>
      <c r="AF247" s="48"/>
      <c r="AG247" s="48"/>
      <c r="AH247" s="48"/>
      <c r="AI247" s="48"/>
      <c r="AJ247" s="48"/>
      <c r="AK247" s="48"/>
      <c r="AL247" s="48"/>
      <c r="AM247" s="48"/>
      <c r="AN247" s="48"/>
      <c r="AO247" s="48"/>
      <c r="AP247" s="48"/>
      <c r="AQ247" s="48"/>
      <c r="AR247" s="48"/>
      <c r="AS247" s="48"/>
      <c r="AT247" s="48"/>
      <c r="AU247" s="48"/>
      <c r="AV247" s="48"/>
      <c r="AW247" s="48"/>
      <c r="AX247" s="48"/>
      <c r="AY247" s="48"/>
    </row>
    <row r="248" spans="1:51" ht="18" customHeight="1">
      <c r="A248" s="5854" t="s">
        <v>465</v>
      </c>
      <c r="B248" s="5855"/>
      <c r="C248" s="920">
        <f t="shared" si="123"/>
        <v>0</v>
      </c>
      <c r="D248" s="921">
        <f>+J248</f>
        <v>0</v>
      </c>
      <c r="E248" s="922">
        <f>+K248</f>
        <v>0</v>
      </c>
      <c r="F248" s="923"/>
      <c r="G248" s="924"/>
      <c r="H248" s="927"/>
      <c r="I248" s="924"/>
      <c r="J248" s="925"/>
      <c r="K248" s="926"/>
      <c r="L248" s="927"/>
      <c r="M248" s="924"/>
      <c r="N248" s="927"/>
      <c r="O248" s="924"/>
      <c r="P248" s="927"/>
      <c r="Q248" s="924"/>
      <c r="R248" s="927"/>
      <c r="S248" s="924"/>
      <c r="T248" s="927"/>
      <c r="U248" s="924"/>
      <c r="V248" s="927"/>
      <c r="W248" s="924"/>
      <c r="X248" s="927"/>
      <c r="Y248" s="924"/>
      <c r="Z248" s="927"/>
      <c r="AA248" s="924"/>
      <c r="AB248" s="48"/>
      <c r="AC248" s="48"/>
      <c r="AD248" s="48"/>
      <c r="AE248" s="48"/>
      <c r="AF248" s="48"/>
      <c r="AG248" s="48"/>
      <c r="AH248" s="48"/>
      <c r="AI248" s="48"/>
      <c r="AJ248" s="48"/>
      <c r="AK248" s="48"/>
      <c r="AL248" s="48"/>
      <c r="AM248" s="48"/>
      <c r="AN248" s="48"/>
      <c r="AO248" s="48"/>
      <c r="AP248" s="48"/>
      <c r="AQ248" s="48"/>
      <c r="AR248" s="48"/>
      <c r="AS248" s="48"/>
      <c r="AT248" s="48"/>
      <c r="AU248" s="48"/>
      <c r="AV248" s="48"/>
      <c r="AW248" s="48"/>
      <c r="AX248" s="48"/>
      <c r="AY248" s="48"/>
    </row>
    <row r="249" spans="1:51" ht="15" customHeight="1">
      <c r="A249" s="5854" t="s">
        <v>466</v>
      </c>
      <c r="B249" s="5855"/>
      <c r="C249" s="920">
        <f t="shared" si="123"/>
        <v>0</v>
      </c>
      <c r="D249" s="921">
        <f>(L249+N249+P249+R249+T249)</f>
        <v>0</v>
      </c>
      <c r="E249" s="922">
        <f>(M249+O249+Q249+S249+U249)</f>
        <v>0</v>
      </c>
      <c r="F249" s="923"/>
      <c r="G249" s="924"/>
      <c r="H249" s="927"/>
      <c r="I249" s="924"/>
      <c r="J249" s="927"/>
      <c r="K249" s="924"/>
      <c r="L249" s="925"/>
      <c r="M249" s="926"/>
      <c r="N249" s="925"/>
      <c r="O249" s="926"/>
      <c r="P249" s="925"/>
      <c r="Q249" s="926"/>
      <c r="R249" s="925"/>
      <c r="S249" s="926"/>
      <c r="T249" s="925"/>
      <c r="U249" s="926"/>
      <c r="V249" s="927"/>
      <c r="W249" s="924"/>
      <c r="X249" s="927"/>
      <c r="Y249" s="924"/>
      <c r="Z249" s="927"/>
      <c r="AA249" s="924"/>
      <c r="AB249" s="48"/>
      <c r="AC249" s="48"/>
      <c r="AD249" s="48"/>
      <c r="AE249" s="48"/>
      <c r="AF249" s="48"/>
      <c r="AG249" s="48"/>
      <c r="AH249" s="48"/>
      <c r="AI249" s="48"/>
      <c r="AJ249" s="48"/>
      <c r="AK249" s="48"/>
      <c r="AL249" s="48"/>
      <c r="AM249" s="48"/>
      <c r="AN249" s="48"/>
      <c r="AO249" s="48"/>
      <c r="AP249" s="48"/>
      <c r="AQ249" s="48"/>
      <c r="AR249" s="48"/>
      <c r="AS249" s="48"/>
      <c r="AT249" s="48"/>
      <c r="AU249" s="48"/>
      <c r="AV249" s="48"/>
      <c r="AW249" s="48"/>
      <c r="AX249" s="48"/>
      <c r="AY249" s="48"/>
    </row>
    <row r="250" spans="1:51" ht="15" customHeight="1">
      <c r="A250" s="5854" t="s">
        <v>467</v>
      </c>
      <c r="B250" s="5855"/>
      <c r="C250" s="920">
        <f t="shared" si="123"/>
        <v>0</v>
      </c>
      <c r="D250" s="921">
        <f>+H250+J250+L250+N250</f>
        <v>0</v>
      </c>
      <c r="E250" s="922">
        <f>+I250+K250+M250+O250</f>
        <v>0</v>
      </c>
      <c r="F250" s="923"/>
      <c r="G250" s="924"/>
      <c r="H250" s="925"/>
      <c r="I250" s="926"/>
      <c r="J250" s="925"/>
      <c r="K250" s="926"/>
      <c r="L250" s="925"/>
      <c r="M250" s="926"/>
      <c r="N250" s="925"/>
      <c r="O250" s="926"/>
      <c r="P250" s="927"/>
      <c r="Q250" s="924"/>
      <c r="R250" s="927"/>
      <c r="S250" s="924"/>
      <c r="T250" s="927"/>
      <c r="U250" s="924"/>
      <c r="V250" s="927"/>
      <c r="W250" s="924"/>
      <c r="X250" s="927"/>
      <c r="Y250" s="924"/>
      <c r="Z250" s="927"/>
      <c r="AA250" s="924"/>
      <c r="AB250" s="48"/>
      <c r="AC250" s="48"/>
      <c r="AD250" s="48"/>
      <c r="AE250" s="48"/>
      <c r="AF250" s="48"/>
      <c r="AG250" s="48"/>
      <c r="AH250" s="48"/>
      <c r="AI250" s="48"/>
      <c r="AJ250" s="48"/>
      <c r="AK250" s="48"/>
      <c r="AL250" s="48"/>
      <c r="AM250" s="48"/>
      <c r="AN250" s="48"/>
      <c r="AO250" s="48"/>
      <c r="AP250" s="48"/>
      <c r="AQ250" s="48"/>
      <c r="AR250" s="48"/>
      <c r="AS250" s="48"/>
      <c r="AT250" s="48"/>
      <c r="AU250" s="48"/>
      <c r="AV250" s="48"/>
      <c r="AW250" s="48"/>
      <c r="AX250" s="48"/>
      <c r="AY250" s="48"/>
    </row>
    <row r="251" spans="1:51" ht="15" customHeight="1">
      <c r="A251" s="5854" t="s">
        <v>468</v>
      </c>
      <c r="B251" s="5855"/>
      <c r="C251" s="920">
        <f t="shared" si="123"/>
        <v>0</v>
      </c>
      <c r="D251" s="921">
        <f>+H251+J251+L251+N251+P251+R251+T251+V251+X251+Z251</f>
        <v>0</v>
      </c>
      <c r="E251" s="922">
        <f>+I251+K251+M251+O251+Q251+S251+U251+W251+Y251+AA251</f>
        <v>0</v>
      </c>
      <c r="F251" s="923"/>
      <c r="G251" s="924"/>
      <c r="H251" s="925"/>
      <c r="I251" s="916"/>
      <c r="J251" s="925"/>
      <c r="K251" s="926"/>
      <c r="L251" s="925"/>
      <c r="M251" s="926"/>
      <c r="N251" s="925"/>
      <c r="O251" s="926"/>
      <c r="P251" s="925"/>
      <c r="Q251" s="926"/>
      <c r="R251" s="925"/>
      <c r="S251" s="926"/>
      <c r="T251" s="925"/>
      <c r="U251" s="926"/>
      <c r="V251" s="925"/>
      <c r="W251" s="926"/>
      <c r="X251" s="925"/>
      <c r="Y251" s="926"/>
      <c r="Z251" s="925"/>
      <c r="AA251" s="926"/>
      <c r="AB251" s="48"/>
      <c r="AC251" s="48"/>
      <c r="AD251" s="48"/>
      <c r="AE251" s="48"/>
      <c r="AF251" s="48"/>
      <c r="AG251" s="48"/>
      <c r="AH251" s="48"/>
      <c r="AI251" s="48"/>
      <c r="AJ251" s="48"/>
      <c r="AK251" s="48"/>
      <c r="AL251" s="48"/>
      <c r="AM251" s="48"/>
      <c r="AN251" s="48"/>
      <c r="AO251" s="48"/>
      <c r="AP251" s="48"/>
      <c r="AQ251" s="48"/>
      <c r="AR251" s="48"/>
      <c r="AS251" s="48"/>
      <c r="AT251" s="48"/>
      <c r="AU251" s="48"/>
      <c r="AV251" s="48"/>
      <c r="AW251" s="48"/>
      <c r="AX251" s="48"/>
      <c r="AY251" s="48"/>
    </row>
    <row r="252" spans="1:51" ht="15" customHeight="1">
      <c r="A252" s="5852" t="s">
        <v>469</v>
      </c>
      <c r="B252" s="5853"/>
      <c r="C252" s="928">
        <f t="shared" si="123"/>
        <v>0</v>
      </c>
      <c r="D252" s="929">
        <f>+V252+X252+Z252+T252</f>
        <v>0</v>
      </c>
      <c r="E252" s="930">
        <f>+W252+Y252+AA252+U252</f>
        <v>0</v>
      </c>
      <c r="F252" s="931"/>
      <c r="G252" s="932"/>
      <c r="H252" s="933"/>
      <c r="I252" s="931"/>
      <c r="J252" s="933"/>
      <c r="K252" s="932"/>
      <c r="L252" s="933"/>
      <c r="M252" s="932"/>
      <c r="N252" s="933"/>
      <c r="O252" s="932"/>
      <c r="P252" s="933"/>
      <c r="Q252" s="932"/>
      <c r="R252" s="933"/>
      <c r="S252" s="932"/>
      <c r="T252" s="934"/>
      <c r="U252" s="935"/>
      <c r="V252" s="936"/>
      <c r="W252" s="937"/>
      <c r="X252" s="936"/>
      <c r="Y252" s="937"/>
      <c r="Z252" s="936"/>
      <c r="AA252" s="937"/>
      <c r="AB252" s="48"/>
      <c r="AC252" s="48"/>
      <c r="AD252" s="48"/>
      <c r="AE252" s="48"/>
      <c r="AF252" s="48"/>
      <c r="AG252" s="48"/>
      <c r="AH252" s="48"/>
      <c r="AI252" s="48"/>
      <c r="AJ252" s="48"/>
      <c r="AK252" s="48"/>
      <c r="AL252" s="48"/>
      <c r="AM252" s="48"/>
      <c r="AN252" s="48"/>
      <c r="AO252" s="48"/>
      <c r="AP252" s="48"/>
      <c r="AQ252" s="48"/>
      <c r="AR252" s="48"/>
      <c r="AS252" s="48"/>
      <c r="AT252" s="48"/>
      <c r="AU252" s="48"/>
      <c r="AV252" s="48"/>
      <c r="AW252" s="48"/>
      <c r="AX252" s="48"/>
      <c r="AY252" s="48"/>
    </row>
    <row r="253" spans="1:51" ht="15" customHeight="1">
      <c r="A253" s="5856" t="s">
        <v>338</v>
      </c>
      <c r="B253" s="938" t="s">
        <v>339</v>
      </c>
      <c r="C253" s="939">
        <f t="shared" si="123"/>
        <v>0</v>
      </c>
      <c r="D253" s="940">
        <f t="shared" ref="D253:E255" si="124">F253+H253+J253+L253+N253+P253+R253+T253+V253+X253+Z253</f>
        <v>0</v>
      </c>
      <c r="E253" s="941">
        <f>G253+I253+K253+M253+O253+Q253+S253+U253+W253+Y253+AA253</f>
        <v>0</v>
      </c>
      <c r="F253" s="942"/>
      <c r="G253" s="917"/>
      <c r="H253" s="943"/>
      <c r="I253" s="917"/>
      <c r="J253" s="943"/>
      <c r="K253" s="917"/>
      <c r="L253" s="943"/>
      <c r="M253" s="917"/>
      <c r="N253" s="943"/>
      <c r="O253" s="944"/>
      <c r="P253" s="943"/>
      <c r="Q253" s="944"/>
      <c r="R253" s="945"/>
      <c r="S253" s="946"/>
      <c r="T253" s="945"/>
      <c r="U253" s="946"/>
      <c r="V253" s="942"/>
      <c r="W253" s="917"/>
      <c r="X253" s="943"/>
      <c r="Y253" s="917"/>
      <c r="Z253" s="943"/>
      <c r="AA253" s="917"/>
      <c r="AB253" s="48"/>
      <c r="AC253" s="48"/>
      <c r="AD253" s="48"/>
      <c r="AE253" s="48"/>
      <c r="AF253" s="48"/>
      <c r="AG253" s="48"/>
      <c r="AH253" s="48"/>
      <c r="AI253" s="48"/>
      <c r="AJ253" s="48"/>
      <c r="AK253" s="48"/>
      <c r="AL253" s="48"/>
      <c r="AM253" s="48"/>
      <c r="AN253" s="48"/>
      <c r="AO253" s="48"/>
      <c r="AP253" s="48"/>
      <c r="AQ253" s="48"/>
      <c r="AR253" s="48"/>
      <c r="AS253" s="48"/>
      <c r="AT253" s="48"/>
      <c r="AU253" s="48"/>
      <c r="AV253" s="48"/>
      <c r="AW253" s="48"/>
      <c r="AX253" s="48"/>
      <c r="AY253" s="48"/>
    </row>
    <row r="254" spans="1:51" ht="15" customHeight="1">
      <c r="A254" s="5857"/>
      <c r="B254" s="947" t="s">
        <v>442</v>
      </c>
      <c r="C254" s="948">
        <f t="shared" si="123"/>
        <v>0</v>
      </c>
      <c r="D254" s="940">
        <f t="shared" si="124"/>
        <v>0</v>
      </c>
      <c r="E254" s="941">
        <f t="shared" si="124"/>
        <v>0</v>
      </c>
      <c r="F254" s="916"/>
      <c r="G254" s="926"/>
      <c r="H254" s="925"/>
      <c r="I254" s="926"/>
      <c r="J254" s="925"/>
      <c r="K254" s="926"/>
      <c r="L254" s="925"/>
      <c r="M254" s="926"/>
      <c r="N254" s="925"/>
      <c r="O254" s="949"/>
      <c r="P254" s="925"/>
      <c r="Q254" s="949"/>
      <c r="R254" s="950"/>
      <c r="S254" s="951"/>
      <c r="T254" s="950"/>
      <c r="U254" s="951"/>
      <c r="V254" s="916"/>
      <c r="W254" s="926"/>
      <c r="X254" s="925"/>
      <c r="Y254" s="926"/>
      <c r="Z254" s="925"/>
      <c r="AA254" s="926"/>
      <c r="AB254" s="48"/>
      <c r="AC254" s="48"/>
      <c r="AD254" s="48"/>
      <c r="AE254" s="48"/>
      <c r="AF254" s="48"/>
      <c r="AG254" s="48"/>
      <c r="AH254" s="48"/>
      <c r="AI254" s="48"/>
      <c r="AJ254" s="48"/>
      <c r="AK254" s="48"/>
      <c r="AL254" s="48"/>
      <c r="AM254" s="48"/>
      <c r="AN254" s="48"/>
      <c r="AO254" s="48"/>
      <c r="AP254" s="48"/>
      <c r="AQ254" s="48"/>
      <c r="AR254" s="48"/>
      <c r="AS254" s="48"/>
      <c r="AT254" s="48"/>
      <c r="AU254" s="48"/>
      <c r="AV254" s="48"/>
      <c r="AW254" s="48"/>
      <c r="AX254" s="48"/>
      <c r="AY254" s="48"/>
    </row>
    <row r="255" spans="1:51" ht="15" customHeight="1">
      <c r="A255" s="5858"/>
      <c r="B255" s="952" t="s">
        <v>412</v>
      </c>
      <c r="C255" s="953">
        <f t="shared" si="123"/>
        <v>0</v>
      </c>
      <c r="D255" s="954">
        <f t="shared" si="124"/>
        <v>0</v>
      </c>
      <c r="E255" s="955">
        <f t="shared" si="124"/>
        <v>0</v>
      </c>
      <c r="F255" s="956"/>
      <c r="G255" s="937"/>
      <c r="H255" s="936"/>
      <c r="I255" s="937"/>
      <c r="J255" s="936"/>
      <c r="K255" s="937"/>
      <c r="L255" s="936"/>
      <c r="M255" s="937"/>
      <c r="N255" s="936"/>
      <c r="O255" s="957"/>
      <c r="P255" s="936"/>
      <c r="Q255" s="957"/>
      <c r="R255" s="958"/>
      <c r="S255" s="959"/>
      <c r="T255" s="958"/>
      <c r="U255" s="959"/>
      <c r="V255" s="956"/>
      <c r="W255" s="937"/>
      <c r="X255" s="936"/>
      <c r="Y255" s="937"/>
      <c r="Z255" s="936"/>
      <c r="AA255" s="937"/>
      <c r="AB255" s="48"/>
      <c r="AC255" s="48"/>
      <c r="AD255" s="48"/>
      <c r="AE255" s="48"/>
      <c r="AF255" s="48"/>
      <c r="AG255" s="48"/>
      <c r="AH255" s="48"/>
      <c r="AI255" s="48"/>
      <c r="AJ255" s="48"/>
      <c r="AK255" s="48"/>
      <c r="AL255" s="48"/>
      <c r="AM255" s="48"/>
      <c r="AN255" s="48"/>
      <c r="AO255" s="48"/>
      <c r="AP255" s="48"/>
      <c r="AQ255" s="48"/>
      <c r="AR255" s="48"/>
      <c r="AS255" s="48"/>
      <c r="AT255" s="48"/>
      <c r="AU255" s="48"/>
      <c r="AV255" s="48"/>
      <c r="AW255" s="48"/>
      <c r="AX255" s="48"/>
      <c r="AY255" s="48"/>
    </row>
    <row r="256" spans="1:51" ht="18" customHeight="1">
      <c r="A256" s="847" t="s">
        <v>470</v>
      </c>
      <c r="B256" s="48"/>
      <c r="C256" s="48"/>
      <c r="D256" s="48"/>
      <c r="E256" s="48"/>
      <c r="F256" s="48"/>
      <c r="G256" s="48"/>
      <c r="H256" s="48"/>
      <c r="I256" s="48"/>
      <c r="J256" s="48"/>
      <c r="K256" s="960"/>
      <c r="L256" s="960"/>
      <c r="M256" s="960"/>
      <c r="N256" s="960"/>
      <c r="O256" s="960"/>
      <c r="P256" s="48"/>
      <c r="Q256" s="48"/>
      <c r="R256" s="48"/>
      <c r="S256" s="48"/>
      <c r="T256" s="48"/>
      <c r="U256" s="48"/>
      <c r="V256" s="48"/>
      <c r="W256" s="48"/>
      <c r="X256" s="48"/>
      <c r="Y256" s="48"/>
      <c r="Z256" s="48"/>
      <c r="AA256" s="48"/>
      <c r="AB256" s="48"/>
      <c r="AC256" s="48"/>
      <c r="AD256" s="48"/>
      <c r="AE256" s="48"/>
      <c r="AF256" s="48"/>
      <c r="AG256" s="48"/>
      <c r="AH256" s="48"/>
      <c r="AI256" s="48"/>
      <c r="AJ256" s="48"/>
      <c r="AK256" s="48"/>
      <c r="AL256" s="48"/>
      <c r="AM256" s="48"/>
      <c r="AN256" s="48"/>
      <c r="AO256" s="48"/>
      <c r="AP256" s="48"/>
      <c r="AQ256" s="48"/>
      <c r="AR256" s="48"/>
      <c r="AS256" s="48"/>
      <c r="AT256" s="48"/>
      <c r="AU256" s="48"/>
      <c r="AV256" s="48"/>
      <c r="AW256" s="48"/>
      <c r="AX256" s="48"/>
      <c r="AY256" s="48"/>
    </row>
    <row r="257" spans="1:96" ht="15" customHeight="1">
      <c r="A257" s="5946" t="s">
        <v>268</v>
      </c>
      <c r="B257" s="5947"/>
      <c r="C257" s="5642" t="s">
        <v>91</v>
      </c>
      <c r="D257" s="5627"/>
      <c r="E257" s="5624"/>
      <c r="F257" s="5646" t="s">
        <v>115</v>
      </c>
      <c r="G257" s="5646"/>
      <c r="H257" s="5646"/>
      <c r="I257" s="5646"/>
      <c r="J257" s="5646"/>
      <c r="K257" s="5646"/>
      <c r="L257" s="5646"/>
      <c r="M257" s="5646"/>
      <c r="N257" s="5646"/>
      <c r="O257" s="5952"/>
      <c r="P257" s="5823" t="s">
        <v>471</v>
      </c>
      <c r="Q257" s="961"/>
      <c r="R257" s="961"/>
      <c r="S257" s="48"/>
      <c r="T257" s="48"/>
      <c r="U257" s="48"/>
      <c r="V257" s="48"/>
      <c r="W257" s="48"/>
      <c r="X257" s="48"/>
      <c r="Y257" s="48"/>
      <c r="Z257" s="48"/>
      <c r="AA257" s="48"/>
      <c r="AB257" s="48"/>
      <c r="AC257" s="48"/>
      <c r="AD257" s="48"/>
      <c r="AE257" s="48"/>
      <c r="AF257" s="48"/>
      <c r="AG257" s="48"/>
      <c r="AH257" s="48"/>
      <c r="AI257" s="48"/>
      <c r="AJ257" s="48"/>
      <c r="AK257" s="48"/>
      <c r="AL257" s="48"/>
      <c r="AM257" s="48"/>
      <c r="AN257" s="48"/>
      <c r="AO257" s="48"/>
      <c r="AP257" s="48"/>
      <c r="AQ257" s="48"/>
      <c r="AR257" s="48"/>
      <c r="AS257" s="48"/>
      <c r="AT257" s="48"/>
      <c r="AU257" s="48"/>
      <c r="AV257" s="48"/>
      <c r="AW257" s="48"/>
      <c r="AX257" s="48"/>
      <c r="AY257" s="48"/>
    </row>
    <row r="258" spans="1:96" ht="15" customHeight="1">
      <c r="A258" s="5948"/>
      <c r="B258" s="5949"/>
      <c r="C258" s="5659"/>
      <c r="D258" s="5731"/>
      <c r="E258" s="5625"/>
      <c r="F258" s="5615" t="s">
        <v>364</v>
      </c>
      <c r="G258" s="5652"/>
      <c r="H258" s="5615" t="s">
        <v>347</v>
      </c>
      <c r="I258" s="5652"/>
      <c r="J258" s="5615" t="s">
        <v>108</v>
      </c>
      <c r="K258" s="5652"/>
      <c r="L258" s="5782" t="s">
        <v>58</v>
      </c>
      <c r="M258" s="5784"/>
      <c r="N258" s="5802" t="s">
        <v>59</v>
      </c>
      <c r="O258" s="5850"/>
      <c r="P258" s="5825"/>
      <c r="Q258" s="963"/>
      <c r="R258" s="5851"/>
      <c r="S258" s="48"/>
      <c r="T258" s="48"/>
      <c r="U258" s="48"/>
      <c r="V258" s="48"/>
      <c r="W258" s="48"/>
      <c r="X258" s="48"/>
      <c r="Y258" s="48"/>
      <c r="Z258" s="48"/>
      <c r="AA258" s="48"/>
      <c r="AB258" s="48"/>
      <c r="AC258" s="48"/>
      <c r="AD258" s="48"/>
      <c r="AE258" s="48"/>
      <c r="AF258" s="48"/>
      <c r="AG258" s="48"/>
      <c r="AH258" s="48"/>
      <c r="AI258" s="48"/>
      <c r="AJ258" s="48"/>
      <c r="AK258" s="48"/>
      <c r="AL258" s="48"/>
      <c r="AM258" s="48"/>
      <c r="AN258" s="48"/>
      <c r="AO258" s="48"/>
      <c r="AP258" s="48"/>
      <c r="AQ258" s="48"/>
      <c r="AR258" s="48"/>
      <c r="AS258" s="48"/>
      <c r="AT258" s="48"/>
      <c r="AU258" s="48"/>
      <c r="AV258" s="48"/>
      <c r="AW258" s="48"/>
      <c r="AX258" s="48"/>
      <c r="AY258" s="48"/>
    </row>
    <row r="259" spans="1:96" ht="15" customHeight="1">
      <c r="A259" s="5950"/>
      <c r="B259" s="5951"/>
      <c r="C259" s="57" t="s">
        <v>93</v>
      </c>
      <c r="D259" s="743" t="s">
        <v>72</v>
      </c>
      <c r="E259" s="638" t="s">
        <v>73</v>
      </c>
      <c r="F259" s="478" t="s">
        <v>72</v>
      </c>
      <c r="G259" s="638" t="s">
        <v>73</v>
      </c>
      <c r="H259" s="478" t="s">
        <v>72</v>
      </c>
      <c r="I259" s="638" t="s">
        <v>73</v>
      </c>
      <c r="J259" s="478" t="s">
        <v>72</v>
      </c>
      <c r="K259" s="638" t="s">
        <v>73</v>
      </c>
      <c r="L259" s="75" t="s">
        <v>72</v>
      </c>
      <c r="M259" s="566" t="s">
        <v>73</v>
      </c>
      <c r="N259" s="196" t="s">
        <v>72</v>
      </c>
      <c r="O259" s="962" t="s">
        <v>73</v>
      </c>
      <c r="P259" s="5820"/>
      <c r="Q259" s="963"/>
      <c r="R259" s="5851"/>
      <c r="S259" s="48"/>
      <c r="T259" s="48"/>
      <c r="U259" s="48"/>
      <c r="V259" s="48"/>
      <c r="W259" s="48"/>
      <c r="X259" s="48"/>
      <c r="Y259" s="48"/>
      <c r="Z259" s="48"/>
      <c r="AA259" s="48"/>
      <c r="AB259" s="48"/>
      <c r="AC259" s="48"/>
      <c r="AD259" s="48"/>
      <c r="AE259" s="48"/>
      <c r="AF259" s="48"/>
      <c r="AG259" s="48"/>
      <c r="AH259" s="48"/>
      <c r="AI259" s="48"/>
      <c r="AJ259" s="48"/>
      <c r="AK259" s="48"/>
      <c r="AL259" s="48"/>
      <c r="AM259" s="48"/>
      <c r="AN259" s="48"/>
      <c r="AO259" s="48"/>
      <c r="AP259" s="48"/>
      <c r="AQ259" s="48"/>
      <c r="AR259" s="48"/>
      <c r="AS259" s="48"/>
      <c r="AT259" s="48"/>
      <c r="AU259" s="48"/>
      <c r="AV259" s="48"/>
      <c r="AW259" s="48"/>
      <c r="AX259" s="48"/>
      <c r="AY259" s="48"/>
    </row>
    <row r="260" spans="1:96" ht="15" customHeight="1">
      <c r="A260" s="5869" t="s">
        <v>365</v>
      </c>
      <c r="B260" s="887" t="s">
        <v>472</v>
      </c>
      <c r="C260" s="78">
        <f t="shared" ref="C260:C265" si="125">SUM(D260:E260)</f>
        <v>0</v>
      </c>
      <c r="D260" s="627">
        <f t="shared" ref="D260:E265" si="126">+F260+H260+J260+L260+N260</f>
        <v>0</v>
      </c>
      <c r="E260" s="554">
        <f>+G260+I260+K260+M260+O260</f>
        <v>0</v>
      </c>
      <c r="F260" s="86"/>
      <c r="G260" s="237"/>
      <c r="H260" s="95"/>
      <c r="I260" s="237"/>
      <c r="J260" s="95"/>
      <c r="K260" s="237"/>
      <c r="L260" s="95"/>
      <c r="M260" s="237"/>
      <c r="N260" s="86"/>
      <c r="O260" s="237"/>
      <c r="P260" s="964"/>
      <c r="Q260" s="99" t="str">
        <f t="shared" ref="Q260:Q262" si="127">$CA260</f>
        <v/>
      </c>
      <c r="R260" s="965"/>
      <c r="S260" s="48"/>
      <c r="T260" s="48"/>
      <c r="U260" s="48"/>
      <c r="V260" s="48"/>
      <c r="W260" s="48"/>
      <c r="X260" s="48"/>
      <c r="Y260" s="48"/>
      <c r="Z260" s="48"/>
      <c r="AA260" s="48"/>
      <c r="AB260" s="48"/>
      <c r="AC260" s="48"/>
      <c r="AD260" s="48"/>
      <c r="AE260" s="48"/>
      <c r="AF260" s="48"/>
      <c r="AG260" s="48"/>
      <c r="AH260" s="48"/>
      <c r="AI260" s="48"/>
      <c r="AJ260" s="48"/>
      <c r="AK260" s="48"/>
      <c r="AL260" s="48"/>
      <c r="AM260" s="48"/>
      <c r="AN260" s="48"/>
      <c r="AO260" s="48"/>
      <c r="AP260" s="48"/>
      <c r="AQ260" s="48"/>
      <c r="AR260" s="48"/>
      <c r="AS260" s="48"/>
      <c r="AT260" s="48"/>
      <c r="AU260" s="48"/>
      <c r="AV260" s="48"/>
      <c r="AW260" s="48"/>
      <c r="AX260" s="48"/>
      <c r="AY260" s="48"/>
      <c r="CA260" s="511" t="str">
        <f t="shared" ref="CA260:CA262" si="128">IF(AND($C260&lt;&gt;0,P260=""),"* No olvide ingresar la variable "&amp;P$257&amp;""&amp;" (Digite CERO si no tiene). ",IF(P260&gt;$C260,"* La variable Derivación efectiva no debe ser mayor al Total Ambos Sexos.",""))</f>
        <v/>
      </c>
      <c r="CB260" s="510"/>
      <c r="CD260" s="510"/>
      <c r="CE260" s="510"/>
      <c r="CF260" s="512"/>
      <c r="CG260" s="512"/>
      <c r="CH260" s="512"/>
      <c r="CI260" s="512"/>
      <c r="CJ260" s="512"/>
      <c r="CK260" s="698">
        <f t="shared" ref="CK260:CK262" si="129">IF(AND($C260&lt;&gt;0,P260=""),0,IF(P260&gt;$C260,1,0))</f>
        <v>0</v>
      </c>
    </row>
    <row r="261" spans="1:96" ht="15" customHeight="1">
      <c r="A261" s="5843"/>
      <c r="B261" s="966" t="s">
        <v>367</v>
      </c>
      <c r="C261" s="612">
        <f t="shared" si="125"/>
        <v>0</v>
      </c>
      <c r="D261" s="629">
        <f t="shared" si="126"/>
        <v>0</v>
      </c>
      <c r="E261" s="280">
        <f t="shared" si="126"/>
        <v>0</v>
      </c>
      <c r="F261" s="278"/>
      <c r="G261" s="247"/>
      <c r="H261" s="207"/>
      <c r="I261" s="247"/>
      <c r="J261" s="207"/>
      <c r="K261" s="247"/>
      <c r="L261" s="207"/>
      <c r="M261" s="247"/>
      <c r="N261" s="278"/>
      <c r="O261" s="247"/>
      <c r="P261" s="967"/>
      <c r="Q261" s="99" t="str">
        <f t="shared" si="127"/>
        <v/>
      </c>
      <c r="R261" s="965"/>
      <c r="S261" s="48"/>
      <c r="T261" s="48"/>
      <c r="U261" s="48"/>
      <c r="V261" s="48"/>
      <c r="W261" s="48"/>
      <c r="X261" s="48"/>
      <c r="Y261" s="48"/>
      <c r="Z261" s="48"/>
      <c r="AA261" s="48"/>
      <c r="AB261" s="48"/>
      <c r="AC261" s="48"/>
      <c r="AD261" s="48"/>
      <c r="AE261" s="48"/>
      <c r="AF261" s="48"/>
      <c r="AG261" s="48"/>
      <c r="AH261" s="48"/>
      <c r="AI261" s="48"/>
      <c r="AJ261" s="48"/>
      <c r="AK261" s="48"/>
      <c r="AL261" s="48"/>
      <c r="AM261" s="48"/>
      <c r="AN261" s="48"/>
      <c r="AO261" s="48"/>
      <c r="AP261" s="48"/>
      <c r="AQ261" s="48"/>
      <c r="AR261" s="48"/>
      <c r="AS261" s="48"/>
      <c r="AT261" s="48"/>
      <c r="AU261" s="48"/>
      <c r="AV261" s="48"/>
      <c r="AW261" s="48"/>
      <c r="AX261" s="48"/>
      <c r="AY261" s="48"/>
      <c r="CA261" s="511" t="str">
        <f t="shared" si="128"/>
        <v/>
      </c>
      <c r="CB261" s="510"/>
      <c r="CD261" s="510"/>
      <c r="CE261" s="510"/>
      <c r="CF261" s="512"/>
      <c r="CG261" s="512"/>
      <c r="CH261" s="512"/>
      <c r="CI261" s="512"/>
      <c r="CJ261" s="512"/>
      <c r="CK261" s="698">
        <f t="shared" si="129"/>
        <v>0</v>
      </c>
    </row>
    <row r="262" spans="1:96" ht="18" customHeight="1">
      <c r="A262" s="5870"/>
      <c r="B262" s="892" t="s">
        <v>368</v>
      </c>
      <c r="C262" s="217">
        <f t="shared" si="125"/>
        <v>0</v>
      </c>
      <c r="D262" s="749">
        <f t="shared" si="126"/>
        <v>0</v>
      </c>
      <c r="E262" s="563">
        <f t="shared" si="126"/>
        <v>0</v>
      </c>
      <c r="F262" s="113"/>
      <c r="G262" s="254"/>
      <c r="H262" s="122"/>
      <c r="I262" s="254"/>
      <c r="J262" s="122"/>
      <c r="K262" s="254"/>
      <c r="L262" s="122"/>
      <c r="M262" s="254"/>
      <c r="N262" s="113"/>
      <c r="O262" s="254"/>
      <c r="P262" s="968"/>
      <c r="Q262" s="99" t="str">
        <f t="shared" si="127"/>
        <v/>
      </c>
      <c r="R262" s="965"/>
      <c r="S262" s="48"/>
      <c r="T262" s="48"/>
      <c r="U262" s="48"/>
      <c r="V262" s="48"/>
      <c r="W262" s="48"/>
      <c r="X262" s="48"/>
      <c r="Y262" s="48"/>
      <c r="Z262" s="48"/>
      <c r="AA262" s="48"/>
      <c r="AB262" s="48"/>
      <c r="AC262" s="48"/>
      <c r="AD262" s="48"/>
      <c r="AE262" s="48"/>
      <c r="AF262" s="48"/>
      <c r="AG262" s="48"/>
      <c r="AH262" s="48"/>
      <c r="AI262" s="48"/>
      <c r="AJ262" s="48"/>
      <c r="AK262" s="48"/>
      <c r="AL262" s="48"/>
      <c r="AM262" s="48"/>
      <c r="AN262" s="48"/>
      <c r="AO262" s="48"/>
      <c r="AP262" s="48"/>
      <c r="AQ262" s="48"/>
      <c r="AR262" s="48"/>
      <c r="AS262" s="48"/>
      <c r="AT262" s="48"/>
      <c r="AU262" s="48"/>
      <c r="AV262" s="48"/>
      <c r="AW262" s="48"/>
      <c r="AX262" s="48"/>
      <c r="AY262" s="48"/>
      <c r="CA262" s="511" t="str">
        <f t="shared" si="128"/>
        <v/>
      </c>
      <c r="CB262" s="510"/>
      <c r="CD262" s="510"/>
      <c r="CE262" s="510"/>
      <c r="CF262" s="512"/>
      <c r="CG262" s="512"/>
      <c r="CH262" s="512"/>
      <c r="CI262" s="512"/>
      <c r="CJ262" s="512"/>
      <c r="CK262" s="698">
        <f t="shared" si="129"/>
        <v>0</v>
      </c>
    </row>
    <row r="263" spans="1:96" ht="15" customHeight="1">
      <c r="A263" s="5869" t="s">
        <v>369</v>
      </c>
      <c r="B263" s="887" t="s">
        <v>472</v>
      </c>
      <c r="C263" s="78">
        <f t="shared" si="125"/>
        <v>0</v>
      </c>
      <c r="D263" s="627">
        <f t="shared" si="126"/>
        <v>0</v>
      </c>
      <c r="E263" s="554">
        <f t="shared" si="126"/>
        <v>0</v>
      </c>
      <c r="F263" s="86"/>
      <c r="G263" s="237"/>
      <c r="H263" s="95"/>
      <c r="I263" s="237"/>
      <c r="J263" s="95"/>
      <c r="K263" s="237"/>
      <c r="L263" s="95"/>
      <c r="M263" s="237"/>
      <c r="N263" s="86"/>
      <c r="O263" s="170"/>
      <c r="P263" s="969"/>
      <c r="Q263" s="48"/>
      <c r="R263" s="48"/>
      <c r="S263" s="48"/>
      <c r="T263" s="48"/>
      <c r="U263" s="48"/>
      <c r="V263" s="48"/>
      <c r="W263" s="48"/>
      <c r="X263" s="48"/>
      <c r="Y263" s="48"/>
      <c r="Z263" s="48"/>
      <c r="AA263" s="48"/>
      <c r="AB263" s="48"/>
      <c r="AC263" s="48"/>
      <c r="AD263" s="48"/>
      <c r="AE263" s="48"/>
      <c r="AF263" s="48"/>
      <c r="AG263" s="48"/>
      <c r="AH263" s="48"/>
      <c r="AI263" s="48"/>
      <c r="AJ263" s="48"/>
      <c r="AK263" s="48"/>
      <c r="AL263" s="48"/>
      <c r="AM263" s="48"/>
      <c r="AN263" s="48"/>
      <c r="AO263" s="48"/>
      <c r="AP263" s="48"/>
      <c r="AQ263" s="48"/>
      <c r="AR263" s="48"/>
      <c r="AS263" s="48"/>
      <c r="AT263" s="48"/>
      <c r="AU263" s="48"/>
      <c r="AV263" s="48"/>
      <c r="AW263" s="48"/>
      <c r="AX263" s="48"/>
      <c r="AY263" s="48"/>
    </row>
    <row r="264" spans="1:96" ht="15" customHeight="1">
      <c r="A264" s="5843"/>
      <c r="B264" s="966" t="s">
        <v>367</v>
      </c>
      <c r="C264" s="612">
        <f t="shared" si="125"/>
        <v>0</v>
      </c>
      <c r="D264" s="629">
        <f t="shared" si="126"/>
        <v>0</v>
      </c>
      <c r="E264" s="280">
        <f t="shared" si="126"/>
        <v>0</v>
      </c>
      <c r="F264" s="278"/>
      <c r="G264" s="247"/>
      <c r="H264" s="207"/>
      <c r="I264" s="247"/>
      <c r="J264" s="207"/>
      <c r="K264" s="247"/>
      <c r="L264" s="207"/>
      <c r="M264" s="247"/>
      <c r="N264" s="278"/>
      <c r="O264" s="214"/>
      <c r="P264" s="663"/>
      <c r="Q264" s="48"/>
      <c r="R264" s="48"/>
      <c r="S264" s="48"/>
      <c r="T264" s="48"/>
      <c r="U264" s="48"/>
      <c r="V264" s="48"/>
      <c r="W264" s="48"/>
      <c r="X264" s="48"/>
      <c r="Y264" s="48"/>
      <c r="Z264" s="48"/>
      <c r="AA264" s="48"/>
      <c r="AB264" s="48"/>
      <c r="AC264" s="48"/>
      <c r="AD264" s="48"/>
      <c r="AE264" s="48"/>
      <c r="AF264" s="48"/>
      <c r="AG264" s="48"/>
      <c r="AH264" s="48"/>
      <c r="AI264" s="48"/>
      <c r="AJ264" s="48"/>
      <c r="AK264" s="48"/>
      <c r="AL264" s="48"/>
      <c r="AM264" s="48"/>
      <c r="AN264" s="48"/>
      <c r="AO264" s="48"/>
      <c r="AP264" s="48"/>
      <c r="AQ264" s="48"/>
      <c r="AR264" s="48"/>
      <c r="AS264" s="48"/>
      <c r="AT264" s="48"/>
      <c r="AU264" s="48"/>
      <c r="AV264" s="48"/>
      <c r="AW264" s="48"/>
      <c r="AX264" s="48"/>
      <c r="AY264" s="48"/>
    </row>
    <row r="265" spans="1:96" ht="15" customHeight="1">
      <c r="A265" s="5870"/>
      <c r="B265" s="892" t="s">
        <v>368</v>
      </c>
      <c r="C265" s="217">
        <f t="shared" si="125"/>
        <v>0</v>
      </c>
      <c r="D265" s="749">
        <f t="shared" si="126"/>
        <v>0</v>
      </c>
      <c r="E265" s="563">
        <f t="shared" si="126"/>
        <v>0</v>
      </c>
      <c r="F265" s="113"/>
      <c r="G265" s="254"/>
      <c r="H265" s="122"/>
      <c r="I265" s="254"/>
      <c r="J265" s="122"/>
      <c r="K265" s="254"/>
      <c r="L265" s="122"/>
      <c r="M265" s="254"/>
      <c r="N265" s="113"/>
      <c r="O265" s="186"/>
      <c r="P265" s="163"/>
      <c r="Q265" s="48"/>
      <c r="R265" s="48"/>
      <c r="S265" s="48"/>
      <c r="T265" s="48"/>
      <c r="U265" s="48"/>
      <c r="V265" s="48"/>
      <c r="W265" s="48"/>
      <c r="X265" s="48"/>
      <c r="Y265" s="48"/>
      <c r="Z265" s="48"/>
      <c r="AA265" s="48"/>
      <c r="AB265" s="48"/>
      <c r="AC265" s="48"/>
      <c r="AD265" s="48"/>
      <c r="AE265" s="48"/>
      <c r="AF265" s="48"/>
      <c r="AG265" s="48"/>
      <c r="AH265" s="48"/>
      <c r="AI265" s="48"/>
      <c r="AJ265" s="48"/>
      <c r="AK265" s="48"/>
      <c r="AL265" s="48"/>
      <c r="AM265" s="48"/>
      <c r="AN265" s="48"/>
      <c r="AO265" s="48"/>
      <c r="AP265" s="48"/>
      <c r="AQ265" s="48"/>
      <c r="AR265" s="48"/>
      <c r="AS265" s="48"/>
      <c r="AT265" s="48"/>
      <c r="AU265" s="48"/>
      <c r="AV265" s="48"/>
      <c r="AW265" s="48"/>
      <c r="AX265" s="48"/>
      <c r="AY265" s="48"/>
    </row>
    <row r="266" spans="1:96" ht="18" customHeight="1">
      <c r="A266" s="763" t="s">
        <v>473</v>
      </c>
      <c r="B266" s="970"/>
      <c r="C266" s="970"/>
      <c r="D266" s="970"/>
      <c r="E266" s="970"/>
      <c r="F266" s="970"/>
      <c r="G266" s="970"/>
      <c r="H266" s="970"/>
      <c r="I266" s="970"/>
      <c r="J266" s="970"/>
      <c r="K266" s="970"/>
      <c r="L266" s="970"/>
      <c r="M266" s="970"/>
      <c r="N266" s="970"/>
      <c r="O266" s="970"/>
      <c r="P266" s="970"/>
      <c r="Q266" s="970"/>
      <c r="R266" s="970"/>
      <c r="S266" s="970"/>
      <c r="T266" s="970"/>
      <c r="U266" s="970"/>
      <c r="V266" s="48"/>
      <c r="W266" s="48"/>
      <c r="X266" s="48"/>
      <c r="Y266" s="48"/>
      <c r="Z266" s="48"/>
      <c r="AA266" s="48"/>
      <c r="AB266" s="48"/>
      <c r="AC266" s="48"/>
      <c r="AD266" s="48"/>
      <c r="AE266" s="48"/>
      <c r="AF266" s="48"/>
      <c r="AG266" s="48"/>
      <c r="AH266" s="48"/>
      <c r="AI266" s="48"/>
      <c r="AJ266" s="48"/>
      <c r="AK266" s="48"/>
      <c r="AL266" s="48"/>
      <c r="AM266" s="48"/>
      <c r="AN266" s="48"/>
      <c r="AO266" s="48"/>
      <c r="AP266" s="48"/>
      <c r="AQ266" s="48"/>
      <c r="AR266" s="48"/>
      <c r="AS266" s="48"/>
      <c r="AT266" s="48"/>
      <c r="AU266" s="48"/>
      <c r="AV266" s="48"/>
      <c r="AW266" s="48"/>
      <c r="AX266" s="48"/>
      <c r="AY266" s="48"/>
    </row>
    <row r="267" spans="1:96" ht="15" customHeight="1">
      <c r="A267" s="5613" t="s">
        <v>236</v>
      </c>
      <c r="B267" s="5613" t="s">
        <v>474</v>
      </c>
      <c r="C267" s="5646" t="s">
        <v>475</v>
      </c>
      <c r="D267" s="5646"/>
      <c r="E267" s="5646"/>
      <c r="F267" s="5615" t="s">
        <v>115</v>
      </c>
      <c r="G267" s="5616"/>
      <c r="H267" s="5616"/>
      <c r="I267" s="5616"/>
      <c r="J267" s="5616"/>
      <c r="K267" s="5616"/>
      <c r="L267" s="5616"/>
      <c r="M267" s="5616"/>
      <c r="N267" s="5616"/>
      <c r="O267" s="5616"/>
      <c r="P267" s="5616"/>
      <c r="Q267" s="5616"/>
      <c r="R267" s="5616"/>
      <c r="S267" s="5616"/>
      <c r="T267" s="5616"/>
      <c r="U267" s="5617"/>
      <c r="V267" s="5631" t="s">
        <v>476</v>
      </c>
      <c r="W267" s="5627" t="s">
        <v>477</v>
      </c>
      <c r="X267" s="5959" t="s">
        <v>48</v>
      </c>
      <c r="Y267" s="5953" t="s">
        <v>49</v>
      </c>
      <c r="Z267" s="5776" t="s">
        <v>478</v>
      </c>
      <c r="AA267" s="5962"/>
      <c r="AB267" s="5956" t="s">
        <v>50</v>
      </c>
      <c r="AC267" s="5964" t="s">
        <v>51</v>
      </c>
      <c r="AD267" s="48"/>
      <c r="AE267" s="48"/>
      <c r="AF267" s="48"/>
      <c r="AG267" s="48"/>
      <c r="AH267" s="48"/>
      <c r="AI267" s="48"/>
      <c r="AJ267" s="48"/>
      <c r="AK267" s="48"/>
      <c r="AL267" s="48"/>
      <c r="AM267" s="48"/>
      <c r="AN267" s="48"/>
      <c r="AO267" s="48"/>
      <c r="AP267" s="48"/>
      <c r="AQ267" s="48"/>
      <c r="AR267" s="48"/>
      <c r="AS267" s="48"/>
      <c r="AT267" s="48"/>
      <c r="AU267" s="48"/>
      <c r="AV267" s="48"/>
      <c r="AW267" s="48"/>
      <c r="AX267" s="48"/>
      <c r="AY267" s="48"/>
    </row>
    <row r="268" spans="1:96">
      <c r="A268" s="5671"/>
      <c r="B268" s="5671"/>
      <c r="C268" s="5646"/>
      <c r="D268" s="5646"/>
      <c r="E268" s="5646"/>
      <c r="F268" s="5615" t="s">
        <v>479</v>
      </c>
      <c r="G268" s="5652"/>
      <c r="H268" s="5615" t="s">
        <v>480</v>
      </c>
      <c r="I268" s="5652"/>
      <c r="J268" s="5615" t="s">
        <v>59</v>
      </c>
      <c r="K268" s="5652"/>
      <c r="L268" s="5615" t="s">
        <v>387</v>
      </c>
      <c r="M268" s="5652"/>
      <c r="N268" s="5615" t="s">
        <v>462</v>
      </c>
      <c r="O268" s="5652"/>
      <c r="P268" s="5615" t="s">
        <v>67</v>
      </c>
      <c r="Q268" s="5652"/>
      <c r="R268" s="5615" t="s">
        <v>481</v>
      </c>
      <c r="S268" s="5652"/>
      <c r="T268" s="5615" t="s">
        <v>71</v>
      </c>
      <c r="U268" s="5617"/>
      <c r="V268" s="5733"/>
      <c r="W268" s="5644"/>
      <c r="X268" s="5960"/>
      <c r="Y268" s="5954"/>
      <c r="Z268" s="5963"/>
      <c r="AA268" s="5760"/>
      <c r="AB268" s="5957"/>
      <c r="AC268" s="5965"/>
      <c r="AD268" s="48"/>
      <c r="AE268" s="48"/>
      <c r="AF268" s="48"/>
      <c r="AG268" s="48"/>
      <c r="AH268" s="48"/>
      <c r="AI268" s="48"/>
      <c r="AJ268" s="48"/>
      <c r="AK268" s="48"/>
      <c r="AL268" s="48"/>
      <c r="AM268" s="48"/>
      <c r="AN268" s="48"/>
      <c r="AO268" s="48"/>
      <c r="AP268" s="48"/>
      <c r="AQ268" s="48"/>
      <c r="AR268" s="48"/>
      <c r="AS268" s="48"/>
      <c r="AT268" s="48"/>
      <c r="AU268" s="48"/>
      <c r="AV268" s="48"/>
      <c r="AW268" s="48"/>
      <c r="AX268" s="48"/>
      <c r="AY268" s="48"/>
    </row>
    <row r="269" spans="1:96" ht="47.25" customHeight="1">
      <c r="A269" s="5614"/>
      <c r="B269" s="5614"/>
      <c r="C269" s="971" t="s">
        <v>93</v>
      </c>
      <c r="D269" s="71" t="s">
        <v>72</v>
      </c>
      <c r="E269" s="76" t="s">
        <v>73</v>
      </c>
      <c r="F269" s="75" t="s">
        <v>72</v>
      </c>
      <c r="G269" s="76" t="s">
        <v>73</v>
      </c>
      <c r="H269" s="75" t="s">
        <v>72</v>
      </c>
      <c r="I269" s="76" t="s">
        <v>73</v>
      </c>
      <c r="J269" s="75" t="s">
        <v>72</v>
      </c>
      <c r="K269" s="76" t="s">
        <v>73</v>
      </c>
      <c r="L269" s="75" t="s">
        <v>482</v>
      </c>
      <c r="M269" s="76" t="s">
        <v>73</v>
      </c>
      <c r="N269" s="75" t="s">
        <v>482</v>
      </c>
      <c r="O269" s="76" t="s">
        <v>73</v>
      </c>
      <c r="P269" s="75" t="s">
        <v>482</v>
      </c>
      <c r="Q269" s="76" t="s">
        <v>73</v>
      </c>
      <c r="R269" s="75" t="s">
        <v>482</v>
      </c>
      <c r="S269" s="76" t="s">
        <v>73</v>
      </c>
      <c r="T269" s="75" t="s">
        <v>482</v>
      </c>
      <c r="U269" s="60" t="s">
        <v>73</v>
      </c>
      <c r="V269" s="5632"/>
      <c r="W269" s="5731"/>
      <c r="X269" s="5961"/>
      <c r="Y269" s="5955"/>
      <c r="Z269" s="196" t="s">
        <v>483</v>
      </c>
      <c r="AA269" s="74" t="s">
        <v>484</v>
      </c>
      <c r="AB269" s="5958"/>
      <c r="AC269" s="5634"/>
      <c r="AD269" s="48"/>
      <c r="AE269" s="48"/>
      <c r="AF269" s="48"/>
      <c r="AG269" s="48"/>
      <c r="AH269" s="48"/>
      <c r="AI269" s="48"/>
      <c r="AJ269" s="48"/>
      <c r="AK269" s="48"/>
      <c r="AL269" s="48"/>
      <c r="AM269" s="48"/>
      <c r="AN269" s="48"/>
      <c r="AO269" s="48"/>
      <c r="AP269" s="48"/>
      <c r="AQ269" s="48"/>
      <c r="AR269" s="48"/>
      <c r="AS269" s="48"/>
      <c r="AT269" s="48"/>
      <c r="AU269" s="48"/>
      <c r="AV269" s="48"/>
      <c r="AW269" s="48"/>
      <c r="AX269" s="48"/>
      <c r="AY269" s="48"/>
    </row>
    <row r="270" spans="1:96" ht="21">
      <c r="A270" s="5619" t="s">
        <v>485</v>
      </c>
      <c r="B270" s="974" t="s">
        <v>486</v>
      </c>
      <c r="C270" s="583">
        <f t="shared" ref="C270:C274" si="130">SUM(D270+E270)</f>
        <v>0</v>
      </c>
      <c r="D270" s="975">
        <f t="shared" ref="D270:E274" si="131">SUM(F270+H270+J270+L270+N270+P270+R270+T270)</f>
        <v>0</v>
      </c>
      <c r="E270" s="976">
        <f t="shared" si="131"/>
        <v>0</v>
      </c>
      <c r="F270" s="95"/>
      <c r="G270" s="204"/>
      <c r="H270" s="95"/>
      <c r="I270" s="204"/>
      <c r="J270" s="95"/>
      <c r="K270" s="204"/>
      <c r="L270" s="95"/>
      <c r="M270" s="204"/>
      <c r="N270" s="95"/>
      <c r="O270" s="204"/>
      <c r="P270" s="95"/>
      <c r="Q270" s="204"/>
      <c r="R270" s="95"/>
      <c r="S270" s="204"/>
      <c r="T270" s="95"/>
      <c r="U270" s="87"/>
      <c r="V270" s="977"/>
      <c r="W270" s="978"/>
      <c r="X270" s="979"/>
      <c r="Y270" s="980"/>
      <c r="Z270" s="81"/>
      <c r="AA270" s="239"/>
      <c r="AB270" s="80"/>
      <c r="AC270" s="84"/>
      <c r="AD270" s="48"/>
      <c r="AE270" s="48"/>
      <c r="AF270" s="48"/>
      <c r="AG270" s="48"/>
      <c r="AH270" s="48"/>
      <c r="AI270" s="48"/>
      <c r="AJ270" s="48"/>
      <c r="AK270" s="48"/>
      <c r="AL270" s="48"/>
      <c r="AM270" s="48"/>
      <c r="AN270" s="48"/>
      <c r="AO270" s="48"/>
      <c r="AP270" s="48"/>
      <c r="AQ270" s="48"/>
      <c r="AR270" s="48"/>
      <c r="AS270" s="48"/>
      <c r="AT270" s="48"/>
      <c r="AU270" s="48"/>
      <c r="AV270" s="48"/>
      <c r="AW270" s="48"/>
      <c r="AX270" s="48"/>
      <c r="AY270" s="48"/>
    </row>
    <row r="271" spans="1:96">
      <c r="A271" s="5618"/>
      <c r="B271" s="612" t="s">
        <v>487</v>
      </c>
      <c r="C271" s="768">
        <f t="shared" si="130"/>
        <v>0</v>
      </c>
      <c r="D271" s="769">
        <f t="shared" si="131"/>
        <v>0</v>
      </c>
      <c r="E271" s="770">
        <f t="shared" si="131"/>
        <v>0</v>
      </c>
      <c r="F271" s="164"/>
      <c r="G271" s="94"/>
      <c r="H271" s="164"/>
      <c r="I271" s="94"/>
      <c r="J271" s="164"/>
      <c r="K271" s="94"/>
      <c r="L271" s="164"/>
      <c r="M271" s="94"/>
      <c r="N271" s="164"/>
      <c r="O271" s="94"/>
      <c r="P271" s="164"/>
      <c r="Q271" s="94"/>
      <c r="R271" s="164"/>
      <c r="S271" s="94"/>
      <c r="T271" s="164"/>
      <c r="U271" s="129"/>
      <c r="V271" s="88"/>
      <c r="W271" s="92"/>
      <c r="X271" s="981"/>
      <c r="Y271" s="982"/>
      <c r="Z271" s="184"/>
      <c r="AA271" s="94"/>
      <c r="AB271" s="164"/>
      <c r="AC271" s="82"/>
      <c r="AD271" s="630" t="str">
        <f t="shared" ref="AD271:AD274" si="132">CA271&amp;CB271&amp;CC271&amp;CD271&amp;CE271&amp;CF271&amp;CG271&amp;CH271</f>
        <v/>
      </c>
      <c r="AE271" s="48"/>
      <c r="AF271" s="48"/>
      <c r="AG271" s="48"/>
      <c r="AH271" s="48"/>
      <c r="AI271" s="48"/>
      <c r="AJ271" s="48"/>
      <c r="AK271" s="48"/>
      <c r="AL271" s="48"/>
      <c r="AM271" s="48"/>
      <c r="AN271" s="48"/>
      <c r="AO271" s="48"/>
      <c r="AP271" s="48"/>
      <c r="AQ271" s="48"/>
      <c r="AR271" s="48"/>
      <c r="AS271" s="48"/>
      <c r="AT271" s="48"/>
      <c r="AU271" s="48"/>
      <c r="AV271" s="48"/>
      <c r="AW271" s="48"/>
      <c r="AX271" s="48"/>
      <c r="AY271" s="48"/>
      <c r="CA271" s="511" t="str">
        <f t="shared" ref="CA271:CA274" si="133">IF(AND($C271&lt;&gt;0,V271=""),"* No olvide ingresar la variable "&amp;V$267&amp;""&amp;". Digite CERO si no tiene. ",IF(V271&gt;$C271,"* La variable Gestantes no debe ser mayor al Total Ambos Sexos. ",""))</f>
        <v/>
      </c>
      <c r="CB271" s="511" t="str">
        <f t="shared" ref="CB271:CB274" si="134">IF(AND($C271&lt;&gt;0,W271=""),"* No olvide ingresar la variable "&amp;W$267&amp;""&amp;". Digite CERO si no tiene. ",IF(W271&gt;$C271,"* La variable Madre de hijo menor de 5 años no debe ser mayor al Total Ambos Sexos. ",""))</f>
        <v/>
      </c>
      <c r="CC271" s="511" t="str">
        <f t="shared" ref="CC271:CC274" si="135">IF(AND($C271&lt;&gt;0,X271=""),"* No olvide ingresar la variable "&amp;X$267&amp;""&amp;". Digite CERO si no tiene. ",IF(X271&gt;$C271,"* La variable SENAME/ Servicio Nacional de Reinserción social Juvenil no debe ser mayor al Total Ambos Sexos. ",""))</f>
        <v/>
      </c>
      <c r="CD271" s="511" t="str">
        <f t="shared" ref="CD271:CD274" si="136">IF(AND($C271&lt;&gt;0,Y271=""),"* No olvide ingresar la variable "&amp;Y$267&amp;""&amp;". Digite CERO si no tiene. ",IF(Y271&gt;$C271,"* La variable Servicio Nacional Protección Especializada a la Niñez y Adolescencia no debe ser mayor al Total Ambos Sexos. ",""))</f>
        <v/>
      </c>
      <c r="CE271" s="511" t="str">
        <f t="shared" ref="CE271:CE274" si="137">IF(AND($E271&lt;&gt;0,Z271=""),"* No olvide ingresar la variable "&amp;Z$267&amp;""&amp;" Masculino. Digite CERO si no tiene. ",IF(Z271&gt;$E271,"* La variable TRANS Masculino no debe ser mayor al Total Mujeres. ",""))</f>
        <v/>
      </c>
      <c r="CF271" s="511" t="str">
        <f t="shared" ref="CF271:CF274" si="138">IF(AND($D271&lt;&gt;0,AA271=""),"* No olvide ingresar la variable "&amp;Z$267&amp;""&amp;" Femenino. Digite CERO si no tiene. ",IF(AA271&gt;$D271,"* La variable TRANS Femenino no debe ser mayor al Total Hombres. ",""))</f>
        <v/>
      </c>
      <c r="CG271" s="511" t="str">
        <f t="shared" ref="CG271:CG274" si="139">IF(AND($C271&lt;&gt;0,AB271=""),"* No olvide ingresar la variable "&amp;AB$267&amp;""&amp;". Digite CERO si no tiene. ",IF(AB271&gt;$C271,"* La variable Pueblos Originarios no debe ser mayor al Total Ambos Sexos. ",""))</f>
        <v/>
      </c>
      <c r="CH271" s="511" t="str">
        <f t="shared" ref="CH271:CH274" si="140">IF(AND($C271&lt;&gt;0,AC271=""),"* No olvide ingresar la variable "&amp;AC$267&amp;""&amp;". Digite CERO si no tiene. ",IF(AC271&gt;$C271,"* La variable Migrantes no debe ser mayor al Total Ambos Sexos. ",""))</f>
        <v/>
      </c>
      <c r="CI271" s="512"/>
      <c r="CK271" s="513">
        <f t="shared" ref="CK271:CK274" si="141">IF(AND($C271&lt;&gt;0,V271=""),1,IF(V271&gt;$C271,1,0))</f>
        <v>0</v>
      </c>
      <c r="CL271" s="513">
        <f t="shared" ref="CL271:CL274" si="142">IF(AND($C271&lt;&gt;0,W271=""),1,IF(W271&gt;$C271,1,0))</f>
        <v>0</v>
      </c>
      <c r="CM271" s="513">
        <f t="shared" ref="CM271:CM274" si="143">IF(AND($C271&lt;&gt;0,X271=""),1,IF(X271&gt;$C271,1,0))</f>
        <v>0</v>
      </c>
      <c r="CN271" s="513">
        <f t="shared" ref="CN271:CN274" si="144">IF(AND($C271&lt;&gt;0,Y271=""),1,IF(Y271&gt;$C271,1,0))</f>
        <v>0</v>
      </c>
      <c r="CO271" s="513">
        <f t="shared" ref="CO271:CO274" si="145">IF(AND($E271&lt;&gt;0,Z271=""),1,IF(Z271&gt;$E271,1,0))</f>
        <v>0</v>
      </c>
      <c r="CP271" s="513">
        <f t="shared" ref="CP271:CP274" si="146">IF(AND($D271&lt;&gt;0,AA271=""),1,IF(AA271&gt;$D271,1,0))</f>
        <v>0</v>
      </c>
      <c r="CQ271" s="513">
        <f t="shared" ref="CQ271:CQ274" si="147">IF(AND($C271&lt;&gt;0,AB271=""),1,IF(AB271&gt;$C271,1,0))</f>
        <v>0</v>
      </c>
      <c r="CR271" s="513">
        <f t="shared" ref="CR271:CR274" si="148">IF(AND($C271&lt;&gt;0,AC271=""),1,IF(AC271&gt;$C271,1,0))</f>
        <v>0</v>
      </c>
    </row>
    <row r="272" spans="1:96">
      <c r="A272" s="5618"/>
      <c r="B272" s="206" t="s">
        <v>488</v>
      </c>
      <c r="C272" s="587">
        <f t="shared" si="130"/>
        <v>0</v>
      </c>
      <c r="D272" s="579">
        <f t="shared" si="131"/>
        <v>0</v>
      </c>
      <c r="E272" s="983">
        <f t="shared" si="131"/>
        <v>0</v>
      </c>
      <c r="F272" s="164"/>
      <c r="G272" s="94"/>
      <c r="H272" s="164"/>
      <c r="I272" s="94"/>
      <c r="J272" s="164"/>
      <c r="K272" s="94"/>
      <c r="L272" s="164"/>
      <c r="M272" s="94"/>
      <c r="N272" s="164"/>
      <c r="O272" s="94"/>
      <c r="P272" s="164"/>
      <c r="Q272" s="94"/>
      <c r="R272" s="164"/>
      <c r="S272" s="94"/>
      <c r="T272" s="164"/>
      <c r="U272" s="129"/>
      <c r="V272" s="88"/>
      <c r="W272" s="92"/>
      <c r="X272" s="981"/>
      <c r="Y272" s="982"/>
      <c r="Z272" s="184"/>
      <c r="AA272" s="94"/>
      <c r="AB272" s="164"/>
      <c r="AC272" s="82"/>
      <c r="AD272" s="624" t="str">
        <f t="shared" si="132"/>
        <v/>
      </c>
      <c r="AE272" s="48"/>
      <c r="AF272" s="48"/>
      <c r="AG272" s="48"/>
      <c r="AH272" s="48"/>
      <c r="AI272" s="48"/>
      <c r="AJ272" s="48"/>
      <c r="AK272" s="48"/>
      <c r="AL272" s="48"/>
      <c r="AM272" s="48"/>
      <c r="AN272" s="48"/>
      <c r="AO272" s="48"/>
      <c r="AP272" s="48"/>
      <c r="AQ272" s="48"/>
      <c r="AR272" s="48"/>
      <c r="AS272" s="48"/>
      <c r="AT272" s="48"/>
      <c r="AU272" s="48"/>
      <c r="AV272" s="48"/>
      <c r="AW272" s="48"/>
      <c r="AX272" s="48"/>
      <c r="AY272" s="48"/>
      <c r="CA272" s="511" t="str">
        <f t="shared" si="133"/>
        <v/>
      </c>
      <c r="CB272" s="511" t="str">
        <f t="shared" si="134"/>
        <v/>
      </c>
      <c r="CC272" s="511" t="str">
        <f t="shared" si="135"/>
        <v/>
      </c>
      <c r="CD272" s="511" t="str">
        <f t="shared" si="136"/>
        <v/>
      </c>
      <c r="CE272" s="511" t="str">
        <f t="shared" si="137"/>
        <v/>
      </c>
      <c r="CF272" s="511" t="str">
        <f t="shared" si="138"/>
        <v/>
      </c>
      <c r="CG272" s="511" t="str">
        <f t="shared" si="139"/>
        <v/>
      </c>
      <c r="CH272" s="511" t="str">
        <f t="shared" si="140"/>
        <v/>
      </c>
      <c r="CI272" s="512"/>
      <c r="CK272" s="513">
        <f t="shared" si="141"/>
        <v>0</v>
      </c>
      <c r="CL272" s="513">
        <f t="shared" si="142"/>
        <v>0</v>
      </c>
      <c r="CM272" s="513">
        <f t="shared" si="143"/>
        <v>0</v>
      </c>
      <c r="CN272" s="513">
        <f t="shared" si="144"/>
        <v>0</v>
      </c>
      <c r="CO272" s="513">
        <f t="shared" si="145"/>
        <v>0</v>
      </c>
      <c r="CP272" s="513">
        <f t="shared" si="146"/>
        <v>0</v>
      </c>
      <c r="CQ272" s="513">
        <f t="shared" si="147"/>
        <v>0</v>
      </c>
      <c r="CR272" s="513">
        <f t="shared" si="148"/>
        <v>0</v>
      </c>
    </row>
    <row r="273" spans="1:96">
      <c r="A273" s="5618"/>
      <c r="B273" s="761" t="s">
        <v>489</v>
      </c>
      <c r="C273" s="587">
        <f t="shared" si="130"/>
        <v>0</v>
      </c>
      <c r="D273" s="579">
        <f t="shared" si="131"/>
        <v>0</v>
      </c>
      <c r="E273" s="983">
        <f t="shared" si="131"/>
        <v>0</v>
      </c>
      <c r="F273" s="207"/>
      <c r="G273" s="279"/>
      <c r="H273" s="207"/>
      <c r="I273" s="279"/>
      <c r="J273" s="207"/>
      <c r="K273" s="279"/>
      <c r="L273" s="207"/>
      <c r="M273" s="279"/>
      <c r="N273" s="207"/>
      <c r="O273" s="279"/>
      <c r="P273" s="207"/>
      <c r="Q273" s="279"/>
      <c r="R273" s="207"/>
      <c r="S273" s="279"/>
      <c r="T273" s="207"/>
      <c r="U273" s="606"/>
      <c r="V273" s="248"/>
      <c r="W273" s="298"/>
      <c r="X273" s="984"/>
      <c r="Y273" s="985"/>
      <c r="Z273" s="278"/>
      <c r="AA273" s="279"/>
      <c r="AB273" s="207"/>
      <c r="AC273" s="209"/>
      <c r="AD273" s="624" t="str">
        <f t="shared" si="132"/>
        <v/>
      </c>
      <c r="AE273" s="48"/>
      <c r="AF273" s="48"/>
      <c r="AG273" s="48"/>
      <c r="AH273" s="48"/>
      <c r="AI273" s="48"/>
      <c r="AJ273" s="48"/>
      <c r="AK273" s="48"/>
      <c r="AL273" s="48"/>
      <c r="AM273" s="48"/>
      <c r="AN273" s="48"/>
      <c r="AO273" s="48"/>
      <c r="AP273" s="48"/>
      <c r="AQ273" s="48"/>
      <c r="AR273" s="48"/>
      <c r="AS273" s="48"/>
      <c r="AT273" s="48"/>
      <c r="AU273" s="48"/>
      <c r="AV273" s="48"/>
      <c r="AW273" s="48"/>
      <c r="AX273" s="48"/>
      <c r="AY273" s="48"/>
      <c r="CA273" s="511" t="str">
        <f t="shared" si="133"/>
        <v/>
      </c>
      <c r="CB273" s="511" t="str">
        <f t="shared" si="134"/>
        <v/>
      </c>
      <c r="CC273" s="511" t="str">
        <f t="shared" si="135"/>
        <v/>
      </c>
      <c r="CD273" s="511" t="str">
        <f t="shared" si="136"/>
        <v/>
      </c>
      <c r="CE273" s="511" t="str">
        <f t="shared" si="137"/>
        <v/>
      </c>
      <c r="CF273" s="511" t="str">
        <f t="shared" si="138"/>
        <v/>
      </c>
      <c r="CG273" s="511" t="str">
        <f t="shared" si="139"/>
        <v/>
      </c>
      <c r="CH273" s="511" t="str">
        <f t="shared" si="140"/>
        <v/>
      </c>
      <c r="CI273" s="512"/>
      <c r="CK273" s="513">
        <f t="shared" si="141"/>
        <v>0</v>
      </c>
      <c r="CL273" s="513">
        <f t="shared" si="142"/>
        <v>0</v>
      </c>
      <c r="CM273" s="513">
        <f t="shared" si="143"/>
        <v>0</v>
      </c>
      <c r="CN273" s="513">
        <f t="shared" si="144"/>
        <v>0</v>
      </c>
      <c r="CO273" s="513">
        <f t="shared" si="145"/>
        <v>0</v>
      </c>
      <c r="CP273" s="513">
        <f t="shared" si="146"/>
        <v>0</v>
      </c>
      <c r="CQ273" s="513">
        <f t="shared" si="147"/>
        <v>0</v>
      </c>
      <c r="CR273" s="513">
        <f t="shared" si="148"/>
        <v>0</v>
      </c>
    </row>
    <row r="274" spans="1:96">
      <c r="A274" s="5620"/>
      <c r="B274" s="106" t="s">
        <v>490</v>
      </c>
      <c r="C274" s="591">
        <f t="shared" si="130"/>
        <v>0</v>
      </c>
      <c r="D274" s="582">
        <f t="shared" si="131"/>
        <v>0</v>
      </c>
      <c r="E274" s="986">
        <f t="shared" si="131"/>
        <v>0</v>
      </c>
      <c r="F274" s="157"/>
      <c r="G274" s="564"/>
      <c r="H274" s="157"/>
      <c r="I274" s="564"/>
      <c r="J274" s="157"/>
      <c r="K274" s="564"/>
      <c r="L274" s="157"/>
      <c r="M274" s="564"/>
      <c r="N274" s="157"/>
      <c r="O274" s="564"/>
      <c r="P274" s="157"/>
      <c r="Q274" s="564"/>
      <c r="R274" s="157"/>
      <c r="S274" s="564"/>
      <c r="T274" s="157"/>
      <c r="U274" s="987"/>
      <c r="V274" s="988"/>
      <c r="W274" s="596"/>
      <c r="X274" s="989"/>
      <c r="Y274" s="990"/>
      <c r="Z274" s="303"/>
      <c r="AA274" s="564"/>
      <c r="AB274" s="157"/>
      <c r="AC274" s="82"/>
      <c r="AD274" s="624" t="str">
        <f t="shared" si="132"/>
        <v/>
      </c>
      <c r="AE274" s="48"/>
      <c r="AF274" s="48"/>
      <c r="AG274" s="48"/>
      <c r="AH274" s="48"/>
      <c r="AI274" s="48"/>
      <c r="AJ274" s="48"/>
      <c r="AK274" s="48"/>
      <c r="AL274" s="48"/>
      <c r="AM274" s="48"/>
      <c r="AN274" s="48"/>
      <c r="AO274" s="48"/>
      <c r="AP274" s="48"/>
      <c r="AQ274" s="48"/>
      <c r="AR274" s="48"/>
      <c r="AS274" s="48"/>
      <c r="AT274" s="48"/>
      <c r="AU274" s="48"/>
      <c r="AV274" s="48"/>
      <c r="AW274" s="48"/>
      <c r="AX274" s="48"/>
      <c r="AY274" s="48"/>
      <c r="CA274" s="511" t="str">
        <f t="shared" si="133"/>
        <v/>
      </c>
      <c r="CB274" s="511" t="str">
        <f t="shared" si="134"/>
        <v/>
      </c>
      <c r="CC274" s="511" t="str">
        <f t="shared" si="135"/>
        <v/>
      </c>
      <c r="CD274" s="511" t="str">
        <f t="shared" si="136"/>
        <v/>
      </c>
      <c r="CE274" s="511" t="str">
        <f t="shared" si="137"/>
        <v/>
      </c>
      <c r="CF274" s="511" t="str">
        <f t="shared" si="138"/>
        <v/>
      </c>
      <c r="CG274" s="511" t="str">
        <f t="shared" si="139"/>
        <v/>
      </c>
      <c r="CH274" s="511" t="str">
        <f t="shared" si="140"/>
        <v/>
      </c>
      <c r="CI274" s="512"/>
      <c r="CK274" s="513">
        <f t="shared" si="141"/>
        <v>0</v>
      </c>
      <c r="CL274" s="513">
        <f t="shared" si="142"/>
        <v>0</v>
      </c>
      <c r="CM274" s="513">
        <f t="shared" si="143"/>
        <v>0</v>
      </c>
      <c r="CN274" s="513">
        <f t="shared" si="144"/>
        <v>0</v>
      </c>
      <c r="CO274" s="513">
        <f t="shared" si="145"/>
        <v>0</v>
      </c>
      <c r="CP274" s="513">
        <f t="shared" si="146"/>
        <v>0</v>
      </c>
      <c r="CQ274" s="513">
        <f t="shared" si="147"/>
        <v>0</v>
      </c>
      <c r="CR274" s="513">
        <f t="shared" si="148"/>
        <v>0</v>
      </c>
    </row>
    <row r="275" spans="1:96">
      <c r="A275" s="48"/>
      <c r="B275" s="48"/>
      <c r="C275" s="48"/>
      <c r="D275" s="48"/>
      <c r="E275" s="48"/>
      <c r="F275" s="48"/>
      <c r="G275" s="48"/>
      <c r="H275" s="48"/>
      <c r="I275" s="48"/>
      <c r="J275" s="48"/>
      <c r="K275" s="48"/>
      <c r="L275" s="48"/>
      <c r="M275" s="48"/>
      <c r="N275" s="48"/>
      <c r="O275" s="48"/>
      <c r="P275" s="48"/>
      <c r="Q275" s="48"/>
      <c r="R275" s="48"/>
      <c r="S275" s="48"/>
      <c r="T275" s="48"/>
      <c r="U275" s="48"/>
      <c r="V275" s="48"/>
      <c r="W275" s="48"/>
      <c r="X275" s="48"/>
      <c r="Y275" s="48"/>
      <c r="Z275" s="48"/>
      <c r="AA275" s="48"/>
      <c r="AB275" s="48"/>
      <c r="AC275" s="48"/>
      <c r="AD275" s="48"/>
      <c r="AE275" s="48"/>
      <c r="AF275" s="48"/>
      <c r="AG275" s="48"/>
      <c r="AH275" s="48"/>
      <c r="AI275" s="48"/>
      <c r="AJ275" s="48"/>
      <c r="AK275" s="48"/>
      <c r="AL275" s="48"/>
      <c r="AM275" s="48"/>
      <c r="AN275" s="48"/>
      <c r="AO275" s="48"/>
      <c r="AP275" s="48"/>
      <c r="AQ275" s="48"/>
      <c r="AR275" s="48"/>
      <c r="AS275" s="48"/>
      <c r="AT275" s="48"/>
      <c r="AU275" s="48"/>
      <c r="AV275" s="48"/>
      <c r="AW275" s="48"/>
      <c r="AX275" s="48"/>
      <c r="AY275" s="48"/>
    </row>
    <row r="276" spans="1:96">
      <c r="A276" s="48"/>
      <c r="B276" s="48"/>
      <c r="C276" s="48"/>
      <c r="D276" s="48"/>
      <c r="E276" s="48"/>
      <c r="F276" s="48"/>
      <c r="G276" s="48"/>
      <c r="H276" s="48"/>
      <c r="I276" s="48"/>
      <c r="J276" s="48"/>
      <c r="K276" s="48"/>
      <c r="L276" s="48"/>
      <c r="M276" s="48"/>
      <c r="N276" s="48"/>
      <c r="O276" s="48"/>
      <c r="P276" s="48"/>
      <c r="Q276" s="48"/>
      <c r="R276" s="48"/>
      <c r="S276" s="48"/>
      <c r="T276" s="48"/>
      <c r="U276" s="48"/>
      <c r="V276" s="48"/>
      <c r="W276" s="48"/>
      <c r="X276" s="48"/>
      <c r="Y276" s="48"/>
      <c r="Z276" s="48"/>
      <c r="AA276" s="48"/>
      <c r="AB276" s="48"/>
      <c r="AC276" s="48"/>
      <c r="AD276" s="48"/>
      <c r="AE276" s="48"/>
      <c r="AF276" s="48"/>
      <c r="AG276" s="48"/>
      <c r="AH276" s="48"/>
      <c r="AI276" s="48"/>
      <c r="AJ276" s="48"/>
      <c r="AK276" s="48"/>
      <c r="AL276" s="48"/>
      <c r="AM276" s="48"/>
      <c r="AN276" s="48"/>
      <c r="AO276" s="48"/>
      <c r="AP276" s="48"/>
      <c r="AQ276" s="48"/>
      <c r="AR276" s="48"/>
      <c r="AS276" s="48"/>
      <c r="AT276" s="48"/>
      <c r="AU276" s="48"/>
      <c r="AV276" s="48"/>
      <c r="AW276" s="48"/>
      <c r="AX276" s="48"/>
      <c r="AY276" s="48"/>
    </row>
    <row r="277" spans="1:96" ht="12" customHeight="1">
      <c r="A277" s="48"/>
      <c r="B277" s="48"/>
      <c r="C277" s="48"/>
      <c r="D277" s="48"/>
      <c r="E277" s="48"/>
      <c r="F277" s="48"/>
      <c r="G277" s="48"/>
      <c r="H277" s="48"/>
      <c r="I277" s="48"/>
      <c r="J277" s="48"/>
      <c r="K277" s="48"/>
      <c r="L277" s="48"/>
      <c r="M277" s="48"/>
      <c r="N277" s="48"/>
      <c r="O277" s="48"/>
      <c r="P277" s="48"/>
      <c r="Q277" s="48"/>
      <c r="R277" s="48"/>
      <c r="S277" s="48"/>
      <c r="T277" s="48"/>
      <c r="U277" s="48"/>
      <c r="V277" s="48"/>
      <c r="W277" s="48"/>
      <c r="X277" s="48"/>
      <c r="Y277" s="48"/>
      <c r="Z277" s="48"/>
      <c r="AA277" s="48"/>
      <c r="AB277" s="48"/>
      <c r="AC277" s="48"/>
      <c r="AD277" s="48"/>
      <c r="AE277" s="48"/>
      <c r="AF277" s="48"/>
      <c r="AG277" s="48"/>
      <c r="AH277" s="48"/>
      <c r="AI277" s="48"/>
      <c r="AJ277" s="48"/>
      <c r="AK277" s="48"/>
      <c r="AL277" s="48"/>
      <c r="AM277" s="48"/>
      <c r="AN277" s="48"/>
      <c r="AO277" s="48"/>
      <c r="AP277" s="48"/>
      <c r="AQ277" s="48"/>
      <c r="AR277" s="48"/>
      <c r="AS277" s="48"/>
      <c r="AT277" s="48"/>
      <c r="AU277" s="48"/>
      <c r="AV277" s="48"/>
      <c r="AW277" s="48"/>
      <c r="AX277" s="48"/>
      <c r="AY277" s="48"/>
    </row>
    <row r="278" spans="1:96" ht="18" hidden="1" customHeight="1">
      <c r="A278" s="991">
        <f>SUM(C13:C15,C20:C41,B46:B49,B54:B57,C61:C67,B72:B74,B80:B83,B86:F87,C90:G93,C97:C102,C108:C117,C122:C158,C163:C168,C173:C178,C183:C186,C192:C194,C199:C201,C206:C208,C213:C215,E219:H221,E223:F226,C230:D231,C237:E241,C246:C255,C260:C265,C270:C274)</f>
        <v>0</v>
      </c>
      <c r="B278" s="991">
        <f>SUM(CK20:CR274)</f>
        <v>0</v>
      </c>
      <c r="C278" s="48"/>
      <c r="D278" s="48"/>
      <c r="E278" s="48"/>
      <c r="F278" s="48"/>
      <c r="G278" s="48"/>
      <c r="H278" s="48"/>
      <c r="I278" s="48"/>
      <c r="J278" s="48"/>
      <c r="K278" s="48"/>
      <c r="L278" s="48"/>
      <c r="M278" s="48"/>
      <c r="N278" s="48"/>
      <c r="O278" s="48"/>
      <c r="P278" s="48"/>
      <c r="Q278" s="48"/>
      <c r="R278" s="48"/>
      <c r="S278" s="48"/>
      <c r="T278" s="48"/>
      <c r="U278" s="48"/>
      <c r="V278" s="48"/>
      <c r="W278" s="48"/>
      <c r="X278" s="48"/>
      <c r="Y278" s="48"/>
      <c r="Z278" s="48"/>
      <c r="AA278" s="48"/>
      <c r="AB278" s="48"/>
      <c r="AC278" s="48"/>
      <c r="AD278" s="48"/>
      <c r="AE278" s="48"/>
      <c r="AF278" s="48"/>
      <c r="AG278" s="48"/>
      <c r="AH278" s="48"/>
      <c r="AI278" s="48"/>
      <c r="AJ278" s="48"/>
      <c r="AK278" s="48"/>
      <c r="AL278" s="48"/>
      <c r="AM278" s="48"/>
      <c r="AN278" s="48"/>
      <c r="AO278" s="48"/>
      <c r="AP278" s="48"/>
      <c r="AQ278" s="48"/>
      <c r="AR278" s="48"/>
      <c r="AS278" s="48"/>
      <c r="AT278" s="48"/>
      <c r="AU278" s="48"/>
      <c r="AV278" s="48"/>
      <c r="AW278" s="48"/>
      <c r="AX278" s="48"/>
      <c r="AY278" s="48"/>
    </row>
    <row r="279" spans="1:96">
      <c r="A279" s="48"/>
      <c r="B279" s="48"/>
      <c r="C279" s="48"/>
      <c r="D279" s="48"/>
      <c r="E279" s="48"/>
      <c r="F279" s="48"/>
      <c r="G279" s="48"/>
      <c r="H279" s="48"/>
      <c r="I279" s="48"/>
      <c r="J279" s="48"/>
      <c r="K279" s="48"/>
      <c r="L279" s="48"/>
      <c r="M279" s="48"/>
      <c r="N279" s="48"/>
      <c r="O279" s="48"/>
      <c r="P279" s="48"/>
      <c r="Q279" s="48"/>
      <c r="R279" s="48"/>
      <c r="S279" s="48"/>
      <c r="T279" s="48"/>
      <c r="U279" s="48"/>
      <c r="V279" s="48"/>
      <c r="W279" s="48"/>
      <c r="X279" s="48"/>
      <c r="Y279" s="48"/>
      <c r="Z279" s="48"/>
      <c r="AA279" s="48"/>
      <c r="AB279" s="48"/>
      <c r="AC279" s="48"/>
      <c r="AD279" s="48"/>
      <c r="AE279" s="48"/>
      <c r="AF279" s="48"/>
      <c r="AG279" s="48"/>
      <c r="AH279" s="48"/>
      <c r="AI279" s="48"/>
      <c r="AJ279" s="48"/>
      <c r="AK279" s="48"/>
      <c r="AL279" s="48"/>
      <c r="AM279" s="48"/>
      <c r="AN279" s="48"/>
      <c r="AO279" s="48"/>
      <c r="AP279" s="48"/>
      <c r="AQ279" s="48"/>
      <c r="AR279" s="48"/>
      <c r="AS279" s="48"/>
      <c r="AT279" s="48"/>
      <c r="AU279" s="48"/>
      <c r="AV279" s="48"/>
      <c r="AW279" s="48"/>
      <c r="AX279" s="48"/>
      <c r="AY279" s="48"/>
    </row>
    <row r="280" spans="1:96">
      <c r="A280" s="48"/>
      <c r="B280" s="48"/>
      <c r="C280" s="48"/>
      <c r="D280" s="48"/>
      <c r="E280" s="48"/>
      <c r="F280" s="48"/>
      <c r="G280" s="48"/>
      <c r="H280" s="48"/>
      <c r="I280" s="48"/>
      <c r="J280" s="48"/>
      <c r="K280" s="48"/>
      <c r="L280" s="48"/>
      <c r="M280" s="48"/>
      <c r="N280" s="48"/>
      <c r="O280" s="48"/>
      <c r="P280" s="48"/>
      <c r="Q280" s="48"/>
      <c r="R280" s="48"/>
      <c r="S280" s="48"/>
      <c r="T280" s="48"/>
      <c r="U280" s="48"/>
      <c r="V280" s="48"/>
      <c r="W280" s="48"/>
      <c r="X280" s="48"/>
      <c r="Y280" s="48"/>
      <c r="Z280" s="48"/>
      <c r="AA280" s="48"/>
      <c r="AB280" s="48"/>
      <c r="AC280" s="48"/>
      <c r="AD280" s="48"/>
      <c r="AE280" s="48"/>
      <c r="AF280" s="48"/>
      <c r="AG280" s="48"/>
      <c r="AH280" s="48"/>
      <c r="AI280" s="48"/>
      <c r="AJ280" s="48"/>
      <c r="AK280" s="48"/>
      <c r="AL280" s="48"/>
      <c r="AM280" s="48"/>
      <c r="AN280" s="48"/>
      <c r="AO280" s="48"/>
      <c r="AP280" s="48"/>
      <c r="AQ280" s="48"/>
      <c r="AR280" s="48"/>
      <c r="AS280" s="48"/>
      <c r="AT280" s="48"/>
      <c r="AU280" s="48"/>
      <c r="AV280" s="48"/>
      <c r="AW280" s="48"/>
      <c r="AX280" s="48"/>
      <c r="AY280" s="48"/>
    </row>
    <row r="281" spans="1:96">
      <c r="A281" s="48"/>
      <c r="B281" s="48"/>
      <c r="C281" s="48"/>
      <c r="D281" s="48"/>
      <c r="E281" s="48"/>
      <c r="F281" s="48"/>
      <c r="G281" s="48"/>
      <c r="H281" s="48"/>
      <c r="I281" s="48"/>
      <c r="J281" s="48"/>
      <c r="K281" s="48"/>
      <c r="L281" s="48"/>
      <c r="M281" s="48"/>
      <c r="N281" s="48"/>
      <c r="O281" s="48"/>
      <c r="P281" s="48"/>
      <c r="Q281" s="48"/>
      <c r="R281" s="48"/>
      <c r="S281" s="48"/>
      <c r="T281" s="48"/>
      <c r="U281" s="48"/>
      <c r="V281" s="48"/>
      <c r="W281" s="48"/>
      <c r="X281" s="48"/>
      <c r="Y281" s="48"/>
      <c r="Z281" s="48"/>
      <c r="AA281" s="48"/>
      <c r="AB281" s="48"/>
      <c r="AC281" s="48"/>
      <c r="AD281" s="48"/>
      <c r="AE281" s="48"/>
      <c r="AF281" s="48"/>
      <c r="AG281" s="48"/>
      <c r="AH281" s="48"/>
      <c r="AI281" s="48"/>
      <c r="AJ281" s="48"/>
      <c r="AK281" s="48"/>
      <c r="AL281" s="48"/>
      <c r="AM281" s="48"/>
      <c r="AN281" s="48"/>
      <c r="AO281" s="48"/>
      <c r="AP281" s="48"/>
      <c r="AQ281" s="48"/>
      <c r="AR281" s="48"/>
      <c r="AS281" s="48"/>
      <c r="AT281" s="48"/>
      <c r="AU281" s="48"/>
      <c r="AV281" s="48"/>
      <c r="AW281" s="48"/>
      <c r="AX281" s="48"/>
      <c r="AY281" s="48"/>
    </row>
    <row r="282" spans="1:96">
      <c r="A282" s="48"/>
      <c r="B282" s="48"/>
      <c r="C282" s="48"/>
      <c r="D282" s="48"/>
      <c r="E282" s="48"/>
      <c r="F282" s="48"/>
      <c r="G282" s="48"/>
      <c r="H282" s="48"/>
      <c r="I282" s="48"/>
      <c r="J282" s="48"/>
      <c r="K282" s="48"/>
      <c r="L282" s="48"/>
      <c r="M282" s="48"/>
      <c r="N282" s="48"/>
      <c r="O282" s="48"/>
      <c r="P282" s="48"/>
      <c r="Q282" s="48"/>
      <c r="R282" s="48"/>
      <c r="S282" s="48"/>
      <c r="T282" s="48"/>
      <c r="U282" s="48"/>
      <c r="V282" s="48"/>
      <c r="W282" s="48"/>
      <c r="X282" s="48"/>
      <c r="Y282" s="48"/>
      <c r="Z282" s="48"/>
      <c r="AA282" s="48"/>
      <c r="AB282" s="48"/>
      <c r="AC282" s="48"/>
      <c r="AD282" s="48"/>
      <c r="AE282" s="48"/>
      <c r="AF282" s="48"/>
      <c r="AG282" s="48"/>
      <c r="AH282" s="48"/>
      <c r="AI282" s="48"/>
      <c r="AJ282" s="48"/>
      <c r="AK282" s="48"/>
      <c r="AL282" s="48"/>
      <c r="AM282" s="48"/>
      <c r="AN282" s="48"/>
      <c r="AO282" s="48"/>
      <c r="AP282" s="48"/>
      <c r="AQ282" s="48"/>
      <c r="AR282" s="48"/>
      <c r="AS282" s="48"/>
      <c r="AT282" s="48"/>
      <c r="AU282" s="48"/>
      <c r="AV282" s="48"/>
      <c r="AW282" s="48"/>
      <c r="AX282" s="48"/>
      <c r="AY282" s="48"/>
    </row>
    <row r="283" spans="1:96">
      <c r="A283" s="48"/>
      <c r="B283" s="48"/>
      <c r="C283" s="48"/>
      <c r="D283" s="48"/>
      <c r="E283" s="48"/>
      <c r="F283" s="48"/>
      <c r="G283" s="48"/>
      <c r="H283" s="48"/>
      <c r="I283" s="48"/>
      <c r="J283" s="48"/>
      <c r="K283" s="48"/>
      <c r="L283" s="48"/>
      <c r="M283" s="48"/>
      <c r="N283" s="48"/>
      <c r="O283" s="48"/>
      <c r="P283" s="48"/>
      <c r="Q283" s="48"/>
      <c r="R283" s="48"/>
      <c r="S283" s="48"/>
      <c r="T283" s="48"/>
      <c r="U283" s="48"/>
      <c r="V283" s="48"/>
      <c r="W283" s="48"/>
      <c r="X283" s="48"/>
      <c r="Y283" s="48"/>
      <c r="Z283" s="48"/>
      <c r="AA283" s="48"/>
      <c r="AB283" s="48"/>
      <c r="AC283" s="48"/>
      <c r="AD283" s="48"/>
      <c r="AE283" s="48"/>
      <c r="AF283" s="48"/>
      <c r="AG283" s="48"/>
      <c r="AH283" s="48"/>
      <c r="AI283" s="48"/>
      <c r="AJ283" s="48"/>
      <c r="AK283" s="48"/>
      <c r="AL283" s="48"/>
      <c r="AM283" s="48"/>
      <c r="AN283" s="48"/>
      <c r="AO283" s="48"/>
      <c r="AP283" s="48"/>
      <c r="AQ283" s="48"/>
      <c r="AR283" s="48"/>
      <c r="AS283" s="48"/>
      <c r="AT283" s="48"/>
      <c r="AU283" s="48"/>
      <c r="AV283" s="48"/>
      <c r="AW283" s="48"/>
      <c r="AX283" s="48"/>
      <c r="AY283" s="48"/>
    </row>
    <row r="284" spans="1:96">
      <c r="A284" s="48"/>
      <c r="B284" s="48"/>
      <c r="C284" s="48"/>
      <c r="D284" s="48"/>
      <c r="E284" s="48"/>
      <c r="F284" s="48"/>
      <c r="G284" s="48"/>
      <c r="H284" s="48"/>
      <c r="I284" s="48"/>
      <c r="J284" s="48"/>
      <c r="K284" s="48"/>
      <c r="L284" s="48"/>
      <c r="M284" s="48"/>
      <c r="N284" s="48"/>
      <c r="O284" s="48"/>
      <c r="P284" s="48"/>
      <c r="Q284" s="48"/>
      <c r="R284" s="48"/>
      <c r="S284" s="48"/>
      <c r="T284" s="48"/>
      <c r="U284" s="48"/>
      <c r="V284" s="48"/>
      <c r="W284" s="48"/>
      <c r="X284" s="48"/>
      <c r="Y284" s="48"/>
      <c r="Z284" s="48"/>
      <c r="AA284" s="48"/>
      <c r="AB284" s="48"/>
      <c r="AC284" s="48"/>
      <c r="AD284" s="48"/>
      <c r="AE284" s="48"/>
      <c r="AF284" s="48"/>
      <c r="AG284" s="48"/>
      <c r="AH284" s="48"/>
      <c r="AI284" s="48"/>
      <c r="AJ284" s="48"/>
      <c r="AK284" s="48"/>
      <c r="AL284" s="48"/>
      <c r="AM284" s="48"/>
      <c r="AN284" s="48"/>
      <c r="AO284" s="48"/>
      <c r="AP284" s="48"/>
      <c r="AQ284" s="48"/>
      <c r="AR284" s="48"/>
      <c r="AS284" s="48"/>
      <c r="AT284" s="48"/>
      <c r="AU284" s="48"/>
      <c r="AV284" s="48"/>
      <c r="AW284" s="48"/>
      <c r="AX284" s="48"/>
      <c r="AY284" s="48"/>
    </row>
    <row r="285" spans="1:96">
      <c r="A285" s="48"/>
      <c r="B285" s="48"/>
      <c r="C285" s="48"/>
      <c r="D285" s="48"/>
      <c r="E285" s="48"/>
      <c r="F285" s="48"/>
      <c r="G285" s="48"/>
      <c r="H285" s="48"/>
      <c r="I285" s="48"/>
      <c r="J285" s="48"/>
      <c r="K285" s="48"/>
      <c r="L285" s="48"/>
      <c r="M285" s="48"/>
      <c r="N285" s="48"/>
      <c r="O285" s="48"/>
      <c r="P285" s="48"/>
      <c r="Q285" s="48"/>
      <c r="R285" s="48"/>
      <c r="S285" s="48"/>
      <c r="T285" s="48"/>
      <c r="U285" s="48"/>
      <c r="V285" s="48"/>
      <c r="W285" s="48"/>
      <c r="X285" s="48"/>
      <c r="Y285" s="48"/>
      <c r="Z285" s="48"/>
      <c r="AA285" s="48"/>
      <c r="AB285" s="48"/>
      <c r="AC285" s="48"/>
      <c r="AD285" s="48"/>
      <c r="AE285" s="48"/>
      <c r="AF285" s="48"/>
      <c r="AG285" s="48"/>
      <c r="AH285" s="48"/>
      <c r="AI285" s="48"/>
      <c r="AJ285" s="48"/>
      <c r="AK285" s="48"/>
      <c r="AL285" s="48"/>
      <c r="AM285" s="48"/>
      <c r="AN285" s="48"/>
      <c r="AO285" s="48"/>
      <c r="AP285" s="48"/>
      <c r="AQ285" s="48"/>
      <c r="AR285" s="48"/>
      <c r="AS285" s="48"/>
      <c r="AT285" s="48"/>
      <c r="AU285" s="48"/>
      <c r="AV285" s="48"/>
      <c r="AW285" s="48"/>
      <c r="AX285" s="48"/>
      <c r="AY285" s="48"/>
    </row>
    <row r="286" spans="1:96">
      <c r="A286" s="48"/>
      <c r="B286" s="48"/>
      <c r="C286" s="48"/>
      <c r="D286" s="48"/>
      <c r="E286" s="48"/>
      <c r="F286" s="48"/>
      <c r="G286" s="48"/>
      <c r="H286" s="48"/>
      <c r="I286" s="48"/>
      <c r="J286" s="48"/>
      <c r="K286" s="48"/>
      <c r="L286" s="48"/>
      <c r="M286" s="48"/>
      <c r="N286" s="48"/>
      <c r="O286" s="48"/>
      <c r="P286" s="48"/>
      <c r="Q286" s="48"/>
      <c r="R286" s="48"/>
      <c r="S286" s="48"/>
      <c r="T286" s="48"/>
      <c r="U286" s="48"/>
      <c r="V286" s="48"/>
      <c r="W286" s="48"/>
      <c r="X286" s="48"/>
      <c r="Y286" s="48"/>
      <c r="Z286" s="48"/>
      <c r="AA286" s="48"/>
      <c r="AB286" s="48"/>
      <c r="AC286" s="48"/>
      <c r="AD286" s="48"/>
      <c r="AE286" s="48"/>
      <c r="AF286" s="48"/>
      <c r="AG286" s="48"/>
      <c r="AH286" s="48"/>
      <c r="AI286" s="48"/>
      <c r="AJ286" s="48"/>
      <c r="AK286" s="48"/>
      <c r="AL286" s="48"/>
      <c r="AM286" s="48"/>
      <c r="AN286" s="48"/>
      <c r="AO286" s="48"/>
      <c r="AP286" s="48"/>
      <c r="AQ286" s="48"/>
      <c r="AR286" s="48"/>
      <c r="AS286" s="48"/>
      <c r="AT286" s="48"/>
      <c r="AU286" s="48"/>
      <c r="AV286" s="48"/>
      <c r="AW286" s="48"/>
      <c r="AX286" s="48"/>
      <c r="AY286" s="48"/>
    </row>
    <row r="287" spans="1:96">
      <c r="A287" s="48"/>
      <c r="B287" s="48"/>
      <c r="C287" s="48"/>
      <c r="D287" s="48"/>
      <c r="E287" s="48"/>
      <c r="F287" s="48"/>
      <c r="G287" s="48"/>
      <c r="H287" s="48"/>
      <c r="I287" s="48"/>
      <c r="J287" s="48"/>
      <c r="K287" s="48"/>
      <c r="L287" s="48"/>
      <c r="M287" s="48"/>
      <c r="N287" s="48"/>
      <c r="O287" s="48"/>
      <c r="P287" s="48"/>
      <c r="Q287" s="48"/>
      <c r="R287" s="48"/>
      <c r="S287" s="48"/>
      <c r="T287" s="48"/>
      <c r="U287" s="48"/>
      <c r="V287" s="48"/>
      <c r="W287" s="48"/>
      <c r="X287" s="48"/>
      <c r="Y287" s="48"/>
      <c r="Z287" s="48"/>
      <c r="AA287" s="48"/>
      <c r="AB287" s="48"/>
      <c r="AC287" s="48"/>
      <c r="AD287" s="48"/>
      <c r="AE287" s="48"/>
      <c r="AF287" s="48"/>
      <c r="AG287" s="48"/>
      <c r="AH287" s="48"/>
      <c r="AI287" s="48"/>
      <c r="AJ287" s="48"/>
      <c r="AK287" s="48"/>
      <c r="AL287" s="48"/>
      <c r="AM287" s="48"/>
      <c r="AN287" s="48"/>
      <c r="AO287" s="48"/>
      <c r="AP287" s="48"/>
      <c r="AQ287" s="48"/>
      <c r="AR287" s="48"/>
      <c r="AS287" s="48"/>
      <c r="AT287" s="48"/>
      <c r="AU287" s="48"/>
      <c r="AV287" s="48"/>
      <c r="AW287" s="48"/>
      <c r="AX287" s="48"/>
      <c r="AY287" s="48"/>
    </row>
    <row r="288" spans="1:96">
      <c r="A288" s="48"/>
      <c r="B288" s="48"/>
      <c r="C288" s="48"/>
      <c r="D288" s="48"/>
      <c r="E288" s="48"/>
      <c r="F288" s="48"/>
      <c r="G288" s="48"/>
      <c r="H288" s="48"/>
      <c r="I288" s="48"/>
      <c r="J288" s="48"/>
      <c r="K288" s="48"/>
      <c r="L288" s="48"/>
      <c r="M288" s="48"/>
      <c r="N288" s="48"/>
      <c r="O288" s="48"/>
      <c r="P288" s="48"/>
      <c r="Q288" s="48"/>
      <c r="R288" s="48"/>
      <c r="S288" s="48"/>
      <c r="T288" s="48"/>
      <c r="U288" s="48"/>
      <c r="V288" s="48"/>
      <c r="W288" s="48"/>
      <c r="X288" s="48"/>
      <c r="Y288" s="48"/>
      <c r="Z288" s="48"/>
      <c r="AA288" s="48"/>
      <c r="AB288" s="48"/>
      <c r="AC288" s="48"/>
      <c r="AD288" s="48"/>
      <c r="AE288" s="48"/>
      <c r="AF288" s="48"/>
      <c r="AG288" s="48"/>
      <c r="AH288" s="48"/>
      <c r="AI288" s="48"/>
      <c r="AJ288" s="48"/>
      <c r="AK288" s="48"/>
      <c r="AL288" s="48"/>
      <c r="AM288" s="48"/>
      <c r="AN288" s="48"/>
      <c r="AO288" s="48"/>
      <c r="AP288" s="48"/>
      <c r="AQ288" s="48"/>
      <c r="AR288" s="48"/>
      <c r="AS288" s="48"/>
      <c r="AT288" s="48"/>
      <c r="AU288" s="48"/>
      <c r="AV288" s="48"/>
      <c r="AW288" s="48"/>
      <c r="AX288" s="48"/>
      <c r="AY288" s="48"/>
    </row>
    <row r="289" spans="1:51">
      <c r="A289" s="48"/>
      <c r="B289" s="48"/>
      <c r="C289" s="48"/>
      <c r="D289" s="48"/>
      <c r="E289" s="48"/>
      <c r="F289" s="48"/>
      <c r="G289" s="48"/>
      <c r="H289" s="48"/>
      <c r="I289" s="48"/>
      <c r="J289" s="48"/>
      <c r="K289" s="48"/>
      <c r="L289" s="48"/>
      <c r="M289" s="48"/>
      <c r="N289" s="48"/>
      <c r="O289" s="48"/>
      <c r="P289" s="48"/>
      <c r="Q289" s="48"/>
      <c r="R289" s="48"/>
      <c r="S289" s="48"/>
      <c r="T289" s="48"/>
      <c r="U289" s="48"/>
      <c r="V289" s="48"/>
      <c r="W289" s="48"/>
      <c r="X289" s="48"/>
      <c r="Y289" s="48"/>
      <c r="Z289" s="48"/>
      <c r="AA289" s="48"/>
      <c r="AB289" s="48"/>
      <c r="AC289" s="48"/>
      <c r="AD289" s="48"/>
      <c r="AE289" s="48"/>
      <c r="AF289" s="48"/>
      <c r="AG289" s="48"/>
      <c r="AH289" s="48"/>
      <c r="AI289" s="48"/>
      <c r="AJ289" s="48"/>
      <c r="AK289" s="48"/>
      <c r="AL289" s="48"/>
      <c r="AM289" s="48"/>
      <c r="AN289" s="48"/>
      <c r="AO289" s="48"/>
      <c r="AP289" s="48"/>
      <c r="AQ289" s="48"/>
      <c r="AR289" s="48"/>
      <c r="AS289" s="48"/>
      <c r="AT289" s="48"/>
      <c r="AU289" s="48"/>
      <c r="AV289" s="48"/>
      <c r="AW289" s="48"/>
      <c r="AX289" s="48"/>
      <c r="AY289" s="48"/>
    </row>
    <row r="290" spans="1:51">
      <c r="A290" s="48"/>
      <c r="B290" s="48"/>
      <c r="C290" s="48"/>
      <c r="D290" s="48"/>
      <c r="E290" s="48"/>
      <c r="F290" s="48"/>
      <c r="G290" s="48"/>
      <c r="H290" s="48"/>
      <c r="I290" s="48"/>
      <c r="J290" s="48"/>
      <c r="K290" s="48"/>
      <c r="L290" s="48"/>
      <c r="M290" s="48"/>
      <c r="N290" s="48"/>
      <c r="O290" s="48"/>
      <c r="P290" s="48"/>
      <c r="Q290" s="48"/>
      <c r="R290" s="48"/>
      <c r="S290" s="48"/>
      <c r="T290" s="48"/>
      <c r="U290" s="48"/>
      <c r="V290" s="48"/>
      <c r="W290" s="48"/>
      <c r="X290" s="48"/>
      <c r="Y290" s="48"/>
      <c r="Z290" s="48"/>
      <c r="AA290" s="48"/>
      <c r="AB290" s="48"/>
      <c r="AC290" s="48"/>
      <c r="AD290" s="48"/>
      <c r="AE290" s="48"/>
      <c r="AF290" s="48"/>
      <c r="AG290" s="48"/>
      <c r="AH290" s="48"/>
      <c r="AI290" s="48"/>
      <c r="AJ290" s="48"/>
      <c r="AK290" s="48"/>
      <c r="AL290" s="48"/>
      <c r="AM290" s="48"/>
      <c r="AN290" s="48"/>
      <c r="AO290" s="48"/>
      <c r="AP290" s="48"/>
      <c r="AQ290" s="48"/>
      <c r="AR290" s="48"/>
      <c r="AS290" s="48"/>
      <c r="AT290" s="48"/>
      <c r="AU290" s="48"/>
      <c r="AV290" s="48"/>
      <c r="AW290" s="48"/>
      <c r="AX290" s="48"/>
      <c r="AY290" s="48"/>
    </row>
    <row r="291" spans="1:51">
      <c r="A291" s="48"/>
      <c r="B291" s="48"/>
      <c r="C291" s="48"/>
      <c r="D291" s="48"/>
      <c r="E291" s="48"/>
      <c r="F291" s="48"/>
      <c r="G291" s="48"/>
      <c r="H291" s="48"/>
      <c r="I291" s="48"/>
      <c r="J291" s="48"/>
      <c r="K291" s="48"/>
      <c r="L291" s="48"/>
      <c r="M291" s="48"/>
      <c r="N291" s="48"/>
      <c r="O291" s="48"/>
      <c r="P291" s="48"/>
      <c r="Q291" s="48"/>
      <c r="R291" s="48"/>
      <c r="S291" s="48"/>
      <c r="T291" s="48"/>
      <c r="U291" s="48"/>
      <c r="V291" s="48"/>
      <c r="W291" s="48"/>
      <c r="X291" s="48"/>
      <c r="Y291" s="48"/>
      <c r="Z291" s="48"/>
      <c r="AA291" s="48"/>
      <c r="AB291" s="48"/>
      <c r="AC291" s="48"/>
      <c r="AD291" s="48"/>
      <c r="AE291" s="48"/>
      <c r="AF291" s="48"/>
      <c r="AG291" s="48"/>
      <c r="AH291" s="48"/>
      <c r="AI291" s="48"/>
      <c r="AJ291" s="48"/>
      <c r="AK291" s="48"/>
      <c r="AL291" s="48"/>
      <c r="AM291" s="48"/>
      <c r="AN291" s="48"/>
      <c r="AO291" s="48"/>
      <c r="AP291" s="48"/>
      <c r="AQ291" s="48"/>
      <c r="AR291" s="48"/>
      <c r="AS291" s="48"/>
      <c r="AT291" s="48"/>
      <c r="AU291" s="48"/>
      <c r="AV291" s="48"/>
      <c r="AW291" s="48"/>
      <c r="AX291" s="48"/>
      <c r="AY291" s="48"/>
    </row>
    <row r="292" spans="1:51">
      <c r="A292" s="48"/>
      <c r="B292" s="48"/>
      <c r="C292" s="48"/>
      <c r="D292" s="48"/>
      <c r="E292" s="48"/>
      <c r="F292" s="48"/>
      <c r="G292" s="48"/>
      <c r="H292" s="48"/>
      <c r="I292" s="48"/>
      <c r="J292" s="48"/>
      <c r="K292" s="48"/>
      <c r="L292" s="48"/>
      <c r="M292" s="48"/>
      <c r="N292" s="48"/>
      <c r="O292" s="48"/>
      <c r="P292" s="48"/>
      <c r="Q292" s="48"/>
      <c r="R292" s="48"/>
      <c r="S292" s="48"/>
      <c r="T292" s="48"/>
      <c r="U292" s="48"/>
      <c r="V292" s="48"/>
      <c r="W292" s="48"/>
      <c r="X292" s="48"/>
      <c r="Y292" s="48"/>
      <c r="Z292" s="48"/>
      <c r="AA292" s="48"/>
      <c r="AB292" s="48"/>
      <c r="AC292" s="48"/>
      <c r="AD292" s="48"/>
      <c r="AE292" s="48"/>
      <c r="AF292" s="48"/>
      <c r="AG292" s="48"/>
      <c r="AH292" s="48"/>
      <c r="AI292" s="48"/>
      <c r="AJ292" s="48"/>
      <c r="AK292" s="48"/>
      <c r="AL292" s="48"/>
      <c r="AM292" s="48"/>
      <c r="AN292" s="48"/>
      <c r="AO292" s="48"/>
      <c r="AP292" s="48"/>
      <c r="AQ292" s="48"/>
      <c r="AR292" s="48"/>
      <c r="AS292" s="48"/>
      <c r="AT292" s="48"/>
      <c r="AU292" s="48"/>
      <c r="AV292" s="48"/>
      <c r="AW292" s="48"/>
      <c r="AX292" s="48"/>
      <c r="AY292" s="48"/>
    </row>
    <row r="293" spans="1:51">
      <c r="A293" s="48"/>
      <c r="B293" s="48"/>
      <c r="C293" s="48"/>
      <c r="D293" s="48"/>
      <c r="E293" s="48"/>
      <c r="F293" s="48"/>
      <c r="G293" s="48"/>
      <c r="H293" s="48"/>
      <c r="I293" s="48"/>
      <c r="J293" s="48"/>
      <c r="K293" s="48"/>
      <c r="L293" s="48"/>
      <c r="M293" s="48"/>
      <c r="N293" s="48"/>
      <c r="O293" s="48"/>
      <c r="P293" s="48"/>
      <c r="Q293" s="48"/>
      <c r="R293" s="48"/>
      <c r="S293" s="48"/>
      <c r="T293" s="48"/>
      <c r="U293" s="48"/>
      <c r="V293" s="48"/>
      <c r="W293" s="48"/>
      <c r="X293" s="48"/>
      <c r="Y293" s="48"/>
      <c r="Z293" s="48"/>
      <c r="AA293" s="48"/>
      <c r="AB293" s="48"/>
      <c r="AC293" s="48"/>
      <c r="AD293" s="48"/>
      <c r="AE293" s="48"/>
      <c r="AF293" s="48"/>
      <c r="AG293" s="48"/>
      <c r="AH293" s="48"/>
      <c r="AI293" s="48"/>
      <c r="AJ293" s="48"/>
      <c r="AK293" s="48"/>
      <c r="AL293" s="48"/>
      <c r="AM293" s="48"/>
      <c r="AN293" s="48"/>
      <c r="AO293" s="48"/>
      <c r="AP293" s="48"/>
      <c r="AQ293" s="48"/>
      <c r="AR293" s="48"/>
      <c r="AS293" s="48"/>
      <c r="AT293" s="48"/>
      <c r="AU293" s="48"/>
      <c r="AV293" s="48"/>
      <c r="AW293" s="48"/>
      <c r="AX293" s="48"/>
      <c r="AY293" s="48"/>
    </row>
    <row r="294" spans="1:51">
      <c r="A294" s="48"/>
      <c r="B294" s="48"/>
      <c r="C294" s="48"/>
      <c r="D294" s="48"/>
      <c r="E294" s="48"/>
      <c r="F294" s="48"/>
      <c r="G294" s="48"/>
      <c r="H294" s="48"/>
      <c r="I294" s="48"/>
      <c r="J294" s="48"/>
      <c r="K294" s="48"/>
      <c r="L294" s="48"/>
      <c r="M294" s="48"/>
      <c r="N294" s="48"/>
      <c r="O294" s="48"/>
      <c r="P294" s="48"/>
      <c r="Q294" s="48"/>
      <c r="R294" s="48"/>
      <c r="S294" s="48"/>
      <c r="T294" s="48"/>
      <c r="U294" s="48"/>
      <c r="V294" s="48"/>
      <c r="W294" s="48"/>
      <c r="X294" s="48"/>
      <c r="Y294" s="48"/>
      <c r="Z294" s="48"/>
      <c r="AA294" s="48"/>
      <c r="AB294" s="48"/>
      <c r="AC294" s="48"/>
      <c r="AD294" s="48"/>
      <c r="AE294" s="48"/>
      <c r="AF294" s="48"/>
      <c r="AG294" s="48"/>
      <c r="AH294" s="48"/>
      <c r="AI294" s="48"/>
      <c r="AJ294" s="48"/>
      <c r="AK294" s="48"/>
      <c r="AL294" s="48"/>
      <c r="AM294" s="48"/>
      <c r="AN294" s="48"/>
      <c r="AO294" s="48"/>
      <c r="AP294" s="48"/>
      <c r="AQ294" s="48"/>
      <c r="AR294" s="48"/>
      <c r="AS294" s="48"/>
      <c r="AT294" s="48"/>
      <c r="AU294" s="48"/>
      <c r="AV294" s="48"/>
      <c r="AW294" s="48"/>
      <c r="AX294" s="48"/>
      <c r="AY294" s="48"/>
    </row>
    <row r="295" spans="1:51">
      <c r="A295" s="48"/>
      <c r="B295" s="48"/>
      <c r="C295" s="48"/>
      <c r="D295" s="48"/>
      <c r="E295" s="48"/>
      <c r="F295" s="48"/>
      <c r="G295" s="48"/>
      <c r="H295" s="48"/>
      <c r="I295" s="48"/>
      <c r="J295" s="48"/>
      <c r="K295" s="48"/>
      <c r="L295" s="48"/>
      <c r="M295" s="48"/>
      <c r="N295" s="48"/>
      <c r="O295" s="48"/>
      <c r="P295" s="48"/>
      <c r="Q295" s="48"/>
      <c r="R295" s="48"/>
      <c r="S295" s="48"/>
      <c r="T295" s="48"/>
      <c r="U295" s="48"/>
      <c r="V295" s="48"/>
      <c r="W295" s="48"/>
      <c r="X295" s="48"/>
      <c r="Y295" s="48"/>
      <c r="Z295" s="48"/>
      <c r="AA295" s="48"/>
      <c r="AB295" s="48"/>
      <c r="AC295" s="48"/>
      <c r="AD295" s="48"/>
      <c r="AE295" s="48"/>
      <c r="AF295" s="48"/>
      <c r="AG295" s="48"/>
      <c r="AH295" s="48"/>
      <c r="AI295" s="48"/>
      <c r="AJ295" s="48"/>
      <c r="AK295" s="48"/>
      <c r="AL295" s="48"/>
      <c r="AM295" s="48"/>
      <c r="AN295" s="48"/>
      <c r="AO295" s="48"/>
      <c r="AP295" s="48"/>
      <c r="AQ295" s="48"/>
      <c r="AR295" s="48"/>
      <c r="AS295" s="48"/>
      <c r="AT295" s="48"/>
      <c r="AU295" s="48"/>
      <c r="AV295" s="48"/>
      <c r="AW295" s="48"/>
      <c r="AX295" s="48"/>
      <c r="AY295" s="48"/>
    </row>
    <row r="296" spans="1:51">
      <c r="A296" s="48"/>
      <c r="B296" s="48"/>
      <c r="C296" s="48"/>
      <c r="D296" s="48"/>
      <c r="E296" s="48"/>
      <c r="F296" s="48"/>
      <c r="G296" s="48"/>
      <c r="H296" s="48"/>
      <c r="I296" s="48"/>
      <c r="J296" s="48"/>
      <c r="K296" s="48"/>
      <c r="L296" s="48"/>
      <c r="M296" s="48"/>
      <c r="N296" s="48"/>
      <c r="O296" s="48"/>
      <c r="P296" s="48"/>
      <c r="Q296" s="48"/>
      <c r="R296" s="48"/>
      <c r="S296" s="48"/>
      <c r="T296" s="48"/>
      <c r="U296" s="48"/>
      <c r="V296" s="48"/>
      <c r="W296" s="48"/>
      <c r="X296" s="48"/>
      <c r="Y296" s="48"/>
      <c r="Z296" s="48"/>
      <c r="AA296" s="48"/>
      <c r="AB296" s="48"/>
      <c r="AC296" s="48"/>
      <c r="AD296" s="48"/>
      <c r="AE296" s="48"/>
      <c r="AF296" s="48"/>
      <c r="AG296" s="48"/>
      <c r="AH296" s="48"/>
      <c r="AI296" s="48"/>
      <c r="AJ296" s="48"/>
      <c r="AK296" s="48"/>
      <c r="AL296" s="48"/>
      <c r="AM296" s="48"/>
      <c r="AN296" s="48"/>
      <c r="AO296" s="48"/>
      <c r="AP296" s="48"/>
      <c r="AQ296" s="48"/>
      <c r="AR296" s="48"/>
      <c r="AS296" s="48"/>
      <c r="AT296" s="48"/>
      <c r="AU296" s="48"/>
      <c r="AV296" s="48"/>
      <c r="AW296" s="48"/>
      <c r="AX296" s="48"/>
      <c r="AY296" s="48"/>
    </row>
    <row r="297" spans="1:51">
      <c r="A297" s="48"/>
      <c r="B297" s="48"/>
      <c r="C297" s="48"/>
      <c r="D297" s="48"/>
      <c r="E297" s="48"/>
      <c r="F297" s="48"/>
      <c r="G297" s="48"/>
      <c r="H297" s="48"/>
      <c r="I297" s="48"/>
      <c r="J297" s="48"/>
      <c r="K297" s="48"/>
      <c r="L297" s="48"/>
      <c r="M297" s="48"/>
      <c r="N297" s="48"/>
      <c r="O297" s="48"/>
      <c r="P297" s="48"/>
      <c r="Q297" s="48"/>
      <c r="R297" s="48"/>
      <c r="S297" s="48"/>
      <c r="T297" s="48"/>
      <c r="U297" s="48"/>
      <c r="V297" s="48"/>
      <c r="W297" s="48"/>
      <c r="X297" s="48"/>
      <c r="Y297" s="48"/>
      <c r="Z297" s="48"/>
      <c r="AA297" s="48"/>
      <c r="AB297" s="48"/>
      <c r="AC297" s="48"/>
      <c r="AD297" s="48"/>
      <c r="AE297" s="48"/>
      <c r="AF297" s="48"/>
      <c r="AG297" s="48"/>
      <c r="AH297" s="48"/>
      <c r="AI297" s="48"/>
      <c r="AJ297" s="48"/>
      <c r="AK297" s="48"/>
      <c r="AL297" s="48"/>
      <c r="AM297" s="48"/>
      <c r="AN297" s="48"/>
      <c r="AO297" s="48"/>
      <c r="AP297" s="48"/>
      <c r="AQ297" s="48"/>
      <c r="AR297" s="48"/>
      <c r="AS297" s="48"/>
      <c r="AT297" s="48"/>
      <c r="AU297" s="48"/>
      <c r="AV297" s="48"/>
      <c r="AW297" s="48"/>
      <c r="AX297" s="48"/>
      <c r="AY297" s="48"/>
    </row>
    <row r="298" spans="1:51">
      <c r="A298" s="48"/>
      <c r="B298" s="48"/>
      <c r="C298" s="48"/>
      <c r="D298" s="48"/>
      <c r="E298" s="48"/>
      <c r="F298" s="48"/>
      <c r="G298" s="48"/>
      <c r="H298" s="48"/>
      <c r="I298" s="48"/>
      <c r="J298" s="48"/>
      <c r="K298" s="48"/>
      <c r="L298" s="48"/>
      <c r="M298" s="48"/>
      <c r="N298" s="48"/>
      <c r="O298" s="48"/>
      <c r="P298" s="48"/>
      <c r="Q298" s="48"/>
      <c r="R298" s="48"/>
      <c r="S298" s="48"/>
      <c r="T298" s="48"/>
      <c r="U298" s="48"/>
      <c r="V298" s="48"/>
      <c r="W298" s="48"/>
      <c r="X298" s="48"/>
      <c r="Y298" s="48"/>
      <c r="Z298" s="48"/>
      <c r="AA298" s="48"/>
      <c r="AB298" s="48"/>
      <c r="AC298" s="48"/>
      <c r="AD298" s="48"/>
      <c r="AE298" s="48"/>
      <c r="AF298" s="48"/>
      <c r="AG298" s="48"/>
      <c r="AH298" s="48"/>
      <c r="AI298" s="48"/>
      <c r="AJ298" s="48"/>
      <c r="AK298" s="48"/>
      <c r="AL298" s="48"/>
      <c r="AM298" s="48"/>
      <c r="AN298" s="48"/>
      <c r="AO298" s="48"/>
      <c r="AP298" s="48"/>
      <c r="AQ298" s="48"/>
      <c r="AR298" s="48"/>
      <c r="AS298" s="48"/>
      <c r="AT298" s="48"/>
      <c r="AU298" s="48"/>
      <c r="AV298" s="48"/>
      <c r="AW298" s="48"/>
      <c r="AX298" s="48"/>
      <c r="AY298" s="48"/>
    </row>
    <row r="299" spans="1:51">
      <c r="A299" s="48"/>
      <c r="B299" s="48"/>
      <c r="C299" s="48"/>
      <c r="D299" s="48"/>
      <c r="E299" s="48"/>
      <c r="F299" s="48"/>
      <c r="G299" s="48"/>
      <c r="H299" s="48"/>
      <c r="I299" s="48"/>
      <c r="J299" s="48"/>
      <c r="K299" s="48"/>
      <c r="L299" s="48"/>
      <c r="M299" s="48"/>
      <c r="N299" s="48"/>
      <c r="O299" s="48"/>
      <c r="P299" s="48"/>
      <c r="Q299" s="48"/>
      <c r="R299" s="48"/>
      <c r="S299" s="48"/>
      <c r="T299" s="48"/>
      <c r="U299" s="48"/>
      <c r="V299" s="48"/>
      <c r="W299" s="48"/>
      <c r="X299" s="48"/>
      <c r="Y299" s="48"/>
      <c r="Z299" s="48"/>
      <c r="AA299" s="48"/>
      <c r="AB299" s="48"/>
      <c r="AC299" s="48"/>
      <c r="AD299" s="48"/>
      <c r="AE299" s="48"/>
      <c r="AF299" s="48"/>
      <c r="AG299" s="48"/>
      <c r="AH299" s="48"/>
      <c r="AI299" s="48"/>
      <c r="AJ299" s="48"/>
      <c r="AK299" s="48"/>
      <c r="AL299" s="48"/>
      <c r="AM299" s="48"/>
      <c r="AN299" s="48"/>
      <c r="AO299" s="48"/>
      <c r="AP299" s="48"/>
      <c r="AQ299" s="48"/>
      <c r="AR299" s="48"/>
      <c r="AS299" s="48"/>
      <c r="AT299" s="48"/>
      <c r="AU299" s="48"/>
      <c r="AV299" s="48"/>
      <c r="AW299" s="48"/>
      <c r="AX299" s="48"/>
      <c r="AY299" s="48"/>
    </row>
    <row r="300" spans="1:51">
      <c r="A300" s="48"/>
      <c r="B300" s="48"/>
      <c r="C300" s="48"/>
      <c r="D300" s="48"/>
      <c r="E300" s="48"/>
      <c r="F300" s="48"/>
      <c r="G300" s="48"/>
      <c r="H300" s="48"/>
      <c r="I300" s="48"/>
      <c r="J300" s="48"/>
      <c r="K300" s="48"/>
      <c r="L300" s="48"/>
      <c r="M300" s="48"/>
      <c r="N300" s="48"/>
      <c r="O300" s="48"/>
      <c r="P300" s="48"/>
      <c r="Q300" s="48"/>
      <c r="R300" s="48"/>
      <c r="S300" s="48"/>
      <c r="T300" s="48"/>
      <c r="U300" s="48"/>
      <c r="V300" s="48"/>
      <c r="W300" s="48"/>
      <c r="X300" s="48"/>
      <c r="Y300" s="48"/>
      <c r="Z300" s="48"/>
      <c r="AA300" s="48"/>
      <c r="AB300" s="48"/>
      <c r="AC300" s="48"/>
      <c r="AD300" s="48"/>
      <c r="AE300" s="48"/>
      <c r="AF300" s="48"/>
      <c r="AG300" s="48"/>
      <c r="AH300" s="48"/>
      <c r="AI300" s="48"/>
      <c r="AJ300" s="48"/>
      <c r="AK300" s="48"/>
      <c r="AL300" s="48"/>
      <c r="AM300" s="48"/>
      <c r="AN300" s="48"/>
      <c r="AO300" s="48"/>
      <c r="AP300" s="48"/>
      <c r="AQ300" s="48"/>
      <c r="AR300" s="48"/>
      <c r="AS300" s="48"/>
      <c r="AT300" s="48"/>
      <c r="AU300" s="48"/>
      <c r="AV300" s="48"/>
      <c r="AW300" s="48"/>
      <c r="AX300" s="48"/>
      <c r="AY300" s="48"/>
    </row>
    <row r="301" spans="1:51">
      <c r="A301" s="48"/>
      <c r="B301" s="48"/>
      <c r="C301" s="48"/>
      <c r="D301" s="48"/>
      <c r="E301" s="48"/>
      <c r="F301" s="48"/>
      <c r="G301" s="48"/>
      <c r="H301" s="48"/>
      <c r="I301" s="48"/>
      <c r="J301" s="48"/>
      <c r="K301" s="48"/>
      <c r="L301" s="48"/>
      <c r="M301" s="48"/>
      <c r="N301" s="48"/>
      <c r="O301" s="48"/>
      <c r="P301" s="48"/>
      <c r="Q301" s="48"/>
      <c r="R301" s="48"/>
      <c r="S301" s="48"/>
      <c r="T301" s="48"/>
      <c r="U301" s="48"/>
      <c r="V301" s="48"/>
      <c r="W301" s="48"/>
      <c r="X301" s="48"/>
      <c r="Y301" s="48"/>
      <c r="Z301" s="48"/>
      <c r="AA301" s="48"/>
      <c r="AB301" s="48"/>
      <c r="AC301" s="48"/>
      <c r="AD301" s="48"/>
      <c r="AE301" s="48"/>
      <c r="AF301" s="48"/>
      <c r="AG301" s="48"/>
      <c r="AH301" s="48"/>
      <c r="AI301" s="48"/>
      <c r="AJ301" s="48"/>
      <c r="AK301" s="48"/>
      <c r="AL301" s="48"/>
      <c r="AM301" s="48"/>
      <c r="AN301" s="48"/>
      <c r="AO301" s="48"/>
      <c r="AP301" s="48"/>
      <c r="AQ301" s="48"/>
      <c r="AR301" s="48"/>
      <c r="AS301" s="48"/>
      <c r="AT301" s="48"/>
      <c r="AU301" s="48"/>
      <c r="AV301" s="48"/>
      <c r="AW301" s="48"/>
      <c r="AX301" s="48"/>
      <c r="AY301" s="48"/>
    </row>
    <row r="302" spans="1:51">
      <c r="A302" s="48"/>
      <c r="B302" s="48"/>
      <c r="C302" s="48"/>
      <c r="D302" s="48"/>
      <c r="E302" s="48"/>
      <c r="F302" s="48"/>
      <c r="G302" s="48"/>
      <c r="H302" s="48"/>
      <c r="I302" s="48"/>
      <c r="J302" s="48"/>
      <c r="K302" s="48"/>
      <c r="L302" s="48"/>
      <c r="M302" s="48"/>
      <c r="N302" s="48"/>
      <c r="O302" s="48"/>
      <c r="P302" s="48"/>
      <c r="Q302" s="48"/>
      <c r="R302" s="48"/>
      <c r="S302" s="48"/>
      <c r="T302" s="48"/>
      <c r="U302" s="48"/>
      <c r="V302" s="48"/>
      <c r="W302" s="48"/>
      <c r="X302" s="48"/>
      <c r="Y302" s="48"/>
      <c r="Z302" s="48"/>
      <c r="AA302" s="48"/>
      <c r="AB302" s="48"/>
      <c r="AC302" s="48"/>
      <c r="AD302" s="48"/>
      <c r="AE302" s="48"/>
      <c r="AF302" s="48"/>
      <c r="AG302" s="48"/>
      <c r="AH302" s="48"/>
      <c r="AI302" s="48"/>
      <c r="AJ302" s="48"/>
      <c r="AK302" s="48"/>
      <c r="AL302" s="48"/>
      <c r="AM302" s="48"/>
      <c r="AN302" s="48"/>
      <c r="AO302" s="48"/>
      <c r="AP302" s="48"/>
      <c r="AQ302" s="48"/>
      <c r="AR302" s="48"/>
      <c r="AS302" s="48"/>
      <c r="AT302" s="48"/>
      <c r="AU302" s="48"/>
      <c r="AV302" s="48"/>
      <c r="AW302" s="48"/>
      <c r="AX302" s="48"/>
      <c r="AY302" s="48"/>
    </row>
    <row r="303" spans="1:51">
      <c r="A303" s="48"/>
      <c r="B303" s="48"/>
      <c r="C303" s="48"/>
      <c r="D303" s="48"/>
      <c r="E303" s="48"/>
      <c r="F303" s="48"/>
      <c r="G303" s="48"/>
      <c r="H303" s="48"/>
      <c r="I303" s="48"/>
      <c r="J303" s="48"/>
      <c r="K303" s="48"/>
      <c r="L303" s="48"/>
      <c r="M303" s="48"/>
      <c r="N303" s="48"/>
      <c r="O303" s="48"/>
      <c r="P303" s="48"/>
      <c r="Q303" s="48"/>
      <c r="R303" s="48"/>
      <c r="S303" s="48"/>
      <c r="T303" s="48"/>
      <c r="U303" s="48"/>
      <c r="V303" s="48"/>
      <c r="W303" s="48"/>
      <c r="X303" s="48"/>
      <c r="Y303" s="48"/>
      <c r="Z303" s="48"/>
      <c r="AA303" s="48"/>
      <c r="AB303" s="48"/>
      <c r="AC303" s="48"/>
      <c r="AD303" s="48"/>
      <c r="AE303" s="48"/>
      <c r="AF303" s="48"/>
      <c r="AG303" s="48"/>
      <c r="AH303" s="48"/>
      <c r="AI303" s="48"/>
      <c r="AJ303" s="48"/>
      <c r="AK303" s="48"/>
      <c r="AL303" s="48"/>
      <c r="AM303" s="48"/>
      <c r="AN303" s="48"/>
      <c r="AO303" s="48"/>
      <c r="AP303" s="48"/>
      <c r="AQ303" s="48"/>
      <c r="AR303" s="48"/>
      <c r="AS303" s="48"/>
      <c r="AT303" s="48"/>
      <c r="AU303" s="48"/>
      <c r="AV303" s="48"/>
      <c r="AW303" s="48"/>
      <c r="AX303" s="48"/>
      <c r="AY303" s="48"/>
    </row>
    <row r="304" spans="1:51">
      <c r="A304" s="48"/>
      <c r="B304" s="48"/>
      <c r="C304" s="48"/>
      <c r="D304" s="48"/>
      <c r="E304" s="48"/>
      <c r="F304" s="48"/>
      <c r="G304" s="48"/>
      <c r="H304" s="48"/>
      <c r="I304" s="48"/>
      <c r="J304" s="48"/>
      <c r="K304" s="48"/>
      <c r="L304" s="48"/>
      <c r="M304" s="48"/>
      <c r="N304" s="48"/>
      <c r="O304" s="48"/>
      <c r="P304" s="48"/>
      <c r="Q304" s="48"/>
      <c r="R304" s="48"/>
      <c r="S304" s="48"/>
      <c r="T304" s="48"/>
      <c r="U304" s="48"/>
      <c r="V304" s="48"/>
      <c r="W304" s="48"/>
      <c r="X304" s="48"/>
      <c r="Y304" s="48"/>
      <c r="Z304" s="48"/>
      <c r="AA304" s="48"/>
      <c r="AB304" s="48"/>
      <c r="AC304" s="48"/>
      <c r="AD304" s="48"/>
      <c r="AE304" s="48"/>
      <c r="AF304" s="48"/>
      <c r="AG304" s="48"/>
      <c r="AH304" s="48"/>
      <c r="AI304" s="48"/>
      <c r="AJ304" s="48"/>
      <c r="AK304" s="48"/>
      <c r="AL304" s="48"/>
      <c r="AM304" s="48"/>
      <c r="AN304" s="48"/>
      <c r="AO304" s="48"/>
      <c r="AP304" s="48"/>
      <c r="AQ304" s="48"/>
      <c r="AR304" s="48"/>
      <c r="AS304" s="48"/>
      <c r="AT304" s="48"/>
      <c r="AU304" s="48"/>
      <c r="AV304" s="48"/>
      <c r="AW304" s="48"/>
      <c r="AX304" s="48"/>
      <c r="AY304" s="48"/>
    </row>
    <row r="305" spans="1:51">
      <c r="A305" s="48"/>
      <c r="B305" s="48"/>
      <c r="C305" s="48"/>
      <c r="D305" s="48"/>
      <c r="E305" s="48"/>
      <c r="F305" s="48"/>
      <c r="G305" s="48"/>
      <c r="H305" s="48"/>
      <c r="I305" s="48"/>
      <c r="J305" s="48"/>
      <c r="K305" s="48"/>
      <c r="L305" s="48"/>
      <c r="M305" s="48"/>
      <c r="N305" s="48"/>
      <c r="O305" s="48"/>
      <c r="P305" s="48"/>
      <c r="Q305" s="48"/>
      <c r="R305" s="48"/>
      <c r="S305" s="48"/>
      <c r="T305" s="48"/>
      <c r="U305" s="48"/>
      <c r="V305" s="48"/>
      <c r="W305" s="48"/>
      <c r="X305" s="48"/>
      <c r="Y305" s="48"/>
      <c r="Z305" s="48"/>
      <c r="AA305" s="48"/>
      <c r="AB305" s="48"/>
      <c r="AC305" s="48"/>
      <c r="AD305" s="48"/>
      <c r="AE305" s="48"/>
      <c r="AF305" s="48"/>
      <c r="AG305" s="48"/>
      <c r="AH305" s="48"/>
      <c r="AI305" s="48"/>
      <c r="AJ305" s="48"/>
      <c r="AK305" s="48"/>
      <c r="AL305" s="48"/>
      <c r="AM305" s="48"/>
      <c r="AN305" s="48"/>
      <c r="AO305" s="48"/>
      <c r="AP305" s="48"/>
      <c r="AQ305" s="48"/>
      <c r="AR305" s="48"/>
      <c r="AS305" s="48"/>
      <c r="AT305" s="48"/>
      <c r="AU305" s="48"/>
      <c r="AV305" s="48"/>
      <c r="AW305" s="48"/>
      <c r="AX305" s="48"/>
      <c r="AY305" s="48"/>
    </row>
    <row r="306" spans="1:51">
      <c r="A306" s="48"/>
      <c r="B306" s="48"/>
      <c r="C306" s="48"/>
      <c r="D306" s="48"/>
      <c r="E306" s="48"/>
      <c r="F306" s="48"/>
      <c r="G306" s="48"/>
      <c r="H306" s="48"/>
      <c r="I306" s="48"/>
      <c r="J306" s="48"/>
      <c r="K306" s="48"/>
      <c r="L306" s="48"/>
      <c r="M306" s="48"/>
      <c r="N306" s="48"/>
      <c r="O306" s="48"/>
      <c r="P306" s="48"/>
      <c r="Q306" s="48"/>
      <c r="R306" s="48"/>
      <c r="S306" s="48"/>
      <c r="T306" s="48"/>
      <c r="U306" s="48"/>
      <c r="V306" s="48"/>
      <c r="W306" s="48"/>
      <c r="X306" s="48"/>
      <c r="Y306" s="48"/>
      <c r="Z306" s="48"/>
      <c r="AA306" s="48"/>
      <c r="AB306" s="48"/>
      <c r="AC306" s="48"/>
      <c r="AD306" s="48"/>
      <c r="AE306" s="48"/>
      <c r="AF306" s="48"/>
      <c r="AG306" s="48"/>
      <c r="AH306" s="48"/>
      <c r="AI306" s="48"/>
      <c r="AJ306" s="48"/>
      <c r="AK306" s="48"/>
      <c r="AL306" s="48"/>
      <c r="AM306" s="48"/>
      <c r="AN306" s="48"/>
      <c r="AO306" s="48"/>
      <c r="AP306" s="48"/>
      <c r="AQ306" s="48"/>
      <c r="AR306" s="48"/>
      <c r="AS306" s="48"/>
      <c r="AT306" s="48"/>
      <c r="AU306" s="48"/>
      <c r="AV306" s="48"/>
      <c r="AW306" s="48"/>
      <c r="AX306" s="48"/>
      <c r="AY306" s="48"/>
    </row>
    <row r="307" spans="1:51">
      <c r="A307" s="48"/>
      <c r="B307" s="48"/>
      <c r="C307" s="48"/>
      <c r="D307" s="48"/>
      <c r="E307" s="48"/>
      <c r="F307" s="48"/>
      <c r="G307" s="48"/>
      <c r="H307" s="48"/>
      <c r="I307" s="48"/>
      <c r="J307" s="48"/>
      <c r="K307" s="48"/>
      <c r="L307" s="48"/>
      <c r="M307" s="48"/>
      <c r="N307" s="48"/>
      <c r="O307" s="48"/>
      <c r="P307" s="48"/>
      <c r="Q307" s="48"/>
      <c r="R307" s="48"/>
      <c r="S307" s="48"/>
      <c r="T307" s="48"/>
      <c r="U307" s="48"/>
      <c r="V307" s="48"/>
      <c r="W307" s="48"/>
      <c r="X307" s="48"/>
      <c r="Y307" s="48"/>
      <c r="Z307" s="48"/>
      <c r="AA307" s="48"/>
      <c r="AB307" s="48"/>
      <c r="AC307" s="48"/>
      <c r="AD307" s="48"/>
      <c r="AE307" s="48"/>
      <c r="AF307" s="48"/>
      <c r="AG307" s="48"/>
      <c r="AH307" s="48"/>
      <c r="AI307" s="48"/>
      <c r="AJ307" s="48"/>
      <c r="AK307" s="48"/>
      <c r="AL307" s="48"/>
      <c r="AM307" s="48"/>
      <c r="AN307" s="48"/>
      <c r="AO307" s="48"/>
      <c r="AP307" s="48"/>
      <c r="AQ307" s="48"/>
      <c r="AR307" s="48"/>
      <c r="AS307" s="48"/>
      <c r="AT307" s="48"/>
      <c r="AU307" s="48"/>
      <c r="AV307" s="48"/>
      <c r="AW307" s="48"/>
      <c r="AX307" s="48"/>
      <c r="AY307" s="48"/>
    </row>
    <row r="308" spans="1:51">
      <c r="A308" s="48"/>
      <c r="B308" s="48"/>
      <c r="C308" s="48"/>
      <c r="D308" s="48"/>
      <c r="E308" s="48"/>
      <c r="F308" s="48"/>
      <c r="G308" s="48"/>
      <c r="H308" s="48"/>
      <c r="I308" s="48"/>
      <c r="J308" s="48"/>
      <c r="K308" s="48"/>
      <c r="L308" s="48"/>
      <c r="M308" s="48"/>
      <c r="N308" s="48"/>
      <c r="O308" s="48"/>
      <c r="P308" s="48"/>
      <c r="Q308" s="48"/>
      <c r="R308" s="48"/>
      <c r="S308" s="48"/>
      <c r="T308" s="48"/>
      <c r="U308" s="48"/>
      <c r="V308" s="48"/>
      <c r="W308" s="48"/>
      <c r="X308" s="48"/>
      <c r="Y308" s="48"/>
      <c r="Z308" s="48"/>
      <c r="AA308" s="48"/>
      <c r="AB308" s="48"/>
      <c r="AC308" s="48"/>
      <c r="AD308" s="48"/>
      <c r="AE308" s="48"/>
      <c r="AF308" s="48"/>
      <c r="AG308" s="48"/>
      <c r="AH308" s="48"/>
      <c r="AI308" s="48"/>
      <c r="AJ308" s="48"/>
      <c r="AK308" s="48"/>
      <c r="AL308" s="48"/>
      <c r="AM308" s="48"/>
      <c r="AN308" s="48"/>
      <c r="AO308" s="48"/>
      <c r="AP308" s="48"/>
      <c r="AQ308" s="48"/>
      <c r="AR308" s="48"/>
      <c r="AS308" s="48"/>
      <c r="AT308" s="48"/>
      <c r="AU308" s="48"/>
      <c r="AV308" s="48"/>
      <c r="AW308" s="48"/>
      <c r="AX308" s="48"/>
      <c r="AY308" s="48"/>
    </row>
    <row r="309" spans="1:51">
      <c r="A309" s="48"/>
      <c r="B309" s="48"/>
      <c r="C309" s="48"/>
      <c r="D309" s="48"/>
      <c r="E309" s="48"/>
      <c r="F309" s="48"/>
      <c r="G309" s="48"/>
      <c r="H309" s="48"/>
      <c r="I309" s="48"/>
      <c r="J309" s="48"/>
      <c r="K309" s="48"/>
      <c r="L309" s="48"/>
      <c r="M309" s="48"/>
      <c r="N309" s="48"/>
      <c r="O309" s="48"/>
      <c r="P309" s="48"/>
      <c r="Q309" s="48"/>
      <c r="R309" s="48"/>
      <c r="S309" s="48"/>
      <c r="T309" s="48"/>
      <c r="U309" s="48"/>
      <c r="V309" s="48"/>
      <c r="W309" s="48"/>
      <c r="X309" s="48"/>
      <c r="Y309" s="48"/>
      <c r="Z309" s="48"/>
      <c r="AA309" s="48"/>
      <c r="AB309" s="48"/>
      <c r="AC309" s="48"/>
      <c r="AD309" s="48"/>
      <c r="AE309" s="48"/>
      <c r="AF309" s="48"/>
      <c r="AG309" s="48"/>
      <c r="AH309" s="48"/>
      <c r="AI309" s="48"/>
      <c r="AJ309" s="48"/>
      <c r="AK309" s="48"/>
      <c r="AL309" s="48"/>
      <c r="AM309" s="48"/>
      <c r="AN309" s="48"/>
      <c r="AO309" s="48"/>
      <c r="AP309" s="48"/>
      <c r="AQ309" s="48"/>
      <c r="AR309" s="48"/>
      <c r="AS309" s="48"/>
      <c r="AT309" s="48"/>
      <c r="AU309" s="48"/>
      <c r="AV309" s="48"/>
      <c r="AW309" s="48"/>
      <c r="AX309" s="48"/>
      <c r="AY309" s="48"/>
    </row>
    <row r="310" spans="1:51">
      <c r="A310" s="48"/>
      <c r="B310" s="48"/>
      <c r="C310" s="48"/>
      <c r="D310" s="48"/>
      <c r="E310" s="48"/>
      <c r="F310" s="48"/>
      <c r="G310" s="48"/>
      <c r="H310" s="48"/>
      <c r="I310" s="48"/>
      <c r="J310" s="48"/>
      <c r="K310" s="48"/>
      <c r="L310" s="48"/>
      <c r="M310" s="48"/>
      <c r="N310" s="48"/>
      <c r="O310" s="48"/>
      <c r="P310" s="48"/>
      <c r="Q310" s="48"/>
      <c r="R310" s="48"/>
      <c r="S310" s="48"/>
      <c r="T310" s="48"/>
      <c r="U310" s="48"/>
      <c r="V310" s="48"/>
      <c r="W310" s="48"/>
      <c r="X310" s="48"/>
      <c r="Y310" s="48"/>
      <c r="Z310" s="48"/>
      <c r="AA310" s="48"/>
      <c r="AB310" s="48"/>
      <c r="AC310" s="48"/>
      <c r="AD310" s="48"/>
      <c r="AE310" s="48"/>
      <c r="AF310" s="48"/>
      <c r="AG310" s="48"/>
      <c r="AH310" s="48"/>
      <c r="AI310" s="48"/>
      <c r="AJ310" s="48"/>
      <c r="AK310" s="48"/>
      <c r="AL310" s="48"/>
      <c r="AM310" s="48"/>
      <c r="AN310" s="48"/>
      <c r="AO310" s="48"/>
      <c r="AP310" s="48"/>
      <c r="AQ310" s="48"/>
      <c r="AR310" s="48"/>
      <c r="AS310" s="48"/>
      <c r="AT310" s="48"/>
      <c r="AU310" s="48"/>
      <c r="AV310" s="48"/>
      <c r="AW310" s="48"/>
      <c r="AX310" s="48"/>
      <c r="AY310" s="48"/>
    </row>
    <row r="311" spans="1:51">
      <c r="A311" s="48"/>
      <c r="B311" s="48"/>
      <c r="C311" s="48"/>
      <c r="D311" s="48"/>
      <c r="E311" s="48"/>
      <c r="F311" s="48"/>
      <c r="G311" s="48"/>
      <c r="H311" s="48"/>
      <c r="I311" s="48"/>
      <c r="J311" s="48"/>
      <c r="K311" s="48"/>
      <c r="L311" s="48"/>
      <c r="M311" s="48"/>
      <c r="N311" s="48"/>
      <c r="O311" s="48"/>
      <c r="P311" s="48"/>
      <c r="Q311" s="48"/>
      <c r="R311" s="48"/>
      <c r="S311" s="48"/>
      <c r="T311" s="48"/>
      <c r="U311" s="48"/>
      <c r="V311" s="48"/>
      <c r="W311" s="48"/>
      <c r="X311" s="48"/>
      <c r="Y311" s="48"/>
      <c r="Z311" s="48"/>
      <c r="AA311" s="48"/>
      <c r="AB311" s="48"/>
      <c r="AC311" s="48"/>
      <c r="AD311" s="48"/>
      <c r="AE311" s="48"/>
      <c r="AF311" s="48"/>
      <c r="AG311" s="48"/>
      <c r="AH311" s="48"/>
      <c r="AI311" s="48"/>
      <c r="AJ311" s="48"/>
      <c r="AK311" s="48"/>
      <c r="AL311" s="48"/>
      <c r="AM311" s="48"/>
      <c r="AN311" s="48"/>
      <c r="AO311" s="48"/>
      <c r="AP311" s="48"/>
      <c r="AQ311" s="48"/>
      <c r="AR311" s="48"/>
      <c r="AS311" s="48"/>
      <c r="AT311" s="48"/>
      <c r="AU311" s="48"/>
      <c r="AV311" s="48"/>
      <c r="AW311" s="48"/>
      <c r="AX311" s="48"/>
      <c r="AY311" s="48"/>
    </row>
    <row r="312" spans="1:51">
      <c r="A312" s="48"/>
      <c r="B312" s="48"/>
      <c r="C312" s="48"/>
      <c r="D312" s="48"/>
      <c r="E312" s="48"/>
      <c r="F312" s="48"/>
      <c r="G312" s="48"/>
      <c r="H312" s="48"/>
      <c r="I312" s="48"/>
      <c r="J312" s="48"/>
      <c r="K312" s="48"/>
      <c r="L312" s="48"/>
      <c r="M312" s="48"/>
      <c r="N312" s="48"/>
      <c r="O312" s="48"/>
      <c r="P312" s="48"/>
      <c r="Q312" s="48"/>
      <c r="R312" s="48"/>
      <c r="S312" s="48"/>
      <c r="T312" s="48"/>
      <c r="U312" s="48"/>
      <c r="V312" s="48"/>
      <c r="W312" s="48"/>
      <c r="X312" s="48"/>
      <c r="Y312" s="48"/>
      <c r="Z312" s="48"/>
      <c r="AA312" s="48"/>
      <c r="AB312" s="48"/>
      <c r="AC312" s="48"/>
      <c r="AD312" s="48"/>
      <c r="AE312" s="48"/>
      <c r="AF312" s="48"/>
      <c r="AG312" s="48"/>
      <c r="AH312" s="48"/>
      <c r="AI312" s="48"/>
      <c r="AJ312" s="48"/>
      <c r="AK312" s="48"/>
      <c r="AL312" s="48"/>
      <c r="AM312" s="48"/>
      <c r="AN312" s="48"/>
      <c r="AO312" s="48"/>
      <c r="AP312" s="48"/>
      <c r="AQ312" s="48"/>
      <c r="AR312" s="48"/>
      <c r="AS312" s="48"/>
      <c r="AT312" s="48"/>
      <c r="AU312" s="48"/>
      <c r="AV312" s="48"/>
      <c r="AW312" s="48"/>
      <c r="AX312" s="48"/>
      <c r="AY312" s="48"/>
    </row>
    <row r="313" spans="1:51">
      <c r="A313" s="48"/>
      <c r="B313" s="48"/>
      <c r="C313" s="48"/>
      <c r="D313" s="48"/>
      <c r="E313" s="48"/>
      <c r="F313" s="48"/>
      <c r="G313" s="48"/>
      <c r="H313" s="48"/>
      <c r="I313" s="48"/>
      <c r="J313" s="48"/>
      <c r="K313" s="48"/>
      <c r="L313" s="48"/>
      <c r="M313" s="48"/>
      <c r="N313" s="48"/>
      <c r="O313" s="48"/>
      <c r="P313" s="48"/>
      <c r="Q313" s="48"/>
      <c r="R313" s="48"/>
      <c r="S313" s="48"/>
      <c r="T313" s="48"/>
      <c r="U313" s="48"/>
      <c r="V313" s="48"/>
      <c r="W313" s="48"/>
      <c r="X313" s="48"/>
      <c r="Y313" s="48"/>
      <c r="Z313" s="48"/>
      <c r="AA313" s="48"/>
      <c r="AB313" s="48"/>
      <c r="AC313" s="48"/>
      <c r="AD313" s="48"/>
      <c r="AE313" s="48"/>
      <c r="AF313" s="48"/>
      <c r="AG313" s="48"/>
      <c r="AH313" s="48"/>
      <c r="AI313" s="48"/>
      <c r="AJ313" s="48"/>
      <c r="AK313" s="48"/>
      <c r="AL313" s="48"/>
      <c r="AM313" s="48"/>
      <c r="AN313" s="48"/>
      <c r="AO313" s="48"/>
      <c r="AP313" s="48"/>
      <c r="AQ313" s="48"/>
      <c r="AR313" s="48"/>
      <c r="AS313" s="48"/>
      <c r="AT313" s="48"/>
      <c r="AU313" s="48"/>
      <c r="AV313" s="48"/>
      <c r="AW313" s="48"/>
      <c r="AX313" s="48"/>
      <c r="AY313" s="48"/>
    </row>
    <row r="314" spans="1:51">
      <c r="A314" s="48"/>
      <c r="B314" s="48"/>
      <c r="C314" s="48"/>
      <c r="D314" s="48"/>
      <c r="E314" s="48"/>
      <c r="F314" s="48"/>
      <c r="G314" s="48"/>
      <c r="H314" s="48"/>
      <c r="I314" s="48"/>
      <c r="J314" s="48"/>
      <c r="K314" s="48"/>
      <c r="L314" s="48"/>
      <c r="M314" s="48"/>
      <c r="N314" s="48"/>
      <c r="O314" s="48"/>
      <c r="P314" s="48"/>
      <c r="Q314" s="48"/>
      <c r="R314" s="48"/>
      <c r="S314" s="48"/>
      <c r="T314" s="48"/>
      <c r="U314" s="48"/>
      <c r="V314" s="48"/>
      <c r="W314" s="48"/>
      <c r="X314" s="48"/>
      <c r="Y314" s="48"/>
      <c r="Z314" s="48"/>
      <c r="AA314" s="48"/>
      <c r="AB314" s="48"/>
      <c r="AC314" s="48"/>
      <c r="AD314" s="48"/>
      <c r="AE314" s="48"/>
      <c r="AF314" s="48"/>
      <c r="AG314" s="48"/>
      <c r="AH314" s="48"/>
      <c r="AI314" s="48"/>
      <c r="AJ314" s="48"/>
      <c r="AK314" s="48"/>
      <c r="AL314" s="48"/>
      <c r="AM314" s="48"/>
      <c r="AN314" s="48"/>
      <c r="AO314" s="48"/>
      <c r="AP314" s="48"/>
      <c r="AQ314" s="48"/>
      <c r="AR314" s="48"/>
      <c r="AS314" s="48"/>
      <c r="AT314" s="48"/>
      <c r="AU314" s="48"/>
      <c r="AV314" s="48"/>
      <c r="AW314" s="48"/>
      <c r="AX314" s="48"/>
      <c r="AY314" s="48"/>
    </row>
    <row r="315" spans="1:51">
      <c r="A315" s="48"/>
      <c r="B315" s="48"/>
      <c r="C315" s="48"/>
      <c r="D315" s="48"/>
      <c r="E315" s="48"/>
      <c r="F315" s="48"/>
      <c r="G315" s="48"/>
      <c r="H315" s="48"/>
      <c r="I315" s="48"/>
      <c r="J315" s="48"/>
      <c r="K315" s="48"/>
      <c r="L315" s="48"/>
      <c r="M315" s="48"/>
      <c r="N315" s="48"/>
      <c r="O315" s="48"/>
      <c r="P315" s="48"/>
      <c r="Q315" s="48"/>
      <c r="R315" s="48"/>
      <c r="S315" s="48"/>
      <c r="T315" s="48"/>
      <c r="U315" s="48"/>
      <c r="V315" s="48"/>
      <c r="W315" s="48"/>
      <c r="X315" s="48"/>
      <c r="Y315" s="48"/>
      <c r="Z315" s="48"/>
      <c r="AA315" s="48"/>
      <c r="AB315" s="48"/>
      <c r="AC315" s="48"/>
      <c r="AD315" s="48"/>
      <c r="AE315" s="48"/>
      <c r="AF315" s="48"/>
      <c r="AG315" s="48"/>
      <c r="AH315" s="48"/>
      <c r="AI315" s="48"/>
      <c r="AJ315" s="48"/>
      <c r="AK315" s="48"/>
      <c r="AL315" s="48"/>
      <c r="AM315" s="48"/>
      <c r="AN315" s="48"/>
      <c r="AO315" s="48"/>
      <c r="AP315" s="48"/>
      <c r="AQ315" s="48"/>
      <c r="AR315" s="48"/>
      <c r="AS315" s="48"/>
      <c r="AT315" s="48"/>
      <c r="AU315" s="48"/>
      <c r="AV315" s="48"/>
      <c r="AW315" s="48"/>
      <c r="AX315" s="48"/>
      <c r="AY315" s="48"/>
    </row>
    <row r="316" spans="1:51">
      <c r="A316" s="48"/>
      <c r="B316" s="48"/>
      <c r="C316" s="48"/>
      <c r="D316" s="48"/>
      <c r="E316" s="48"/>
      <c r="F316" s="48"/>
      <c r="G316" s="48"/>
      <c r="H316" s="48"/>
      <c r="I316" s="48"/>
      <c r="J316" s="48"/>
      <c r="K316" s="48"/>
      <c r="L316" s="48"/>
      <c r="M316" s="48"/>
      <c r="N316" s="48"/>
      <c r="O316" s="48"/>
      <c r="P316" s="48"/>
      <c r="Q316" s="48"/>
      <c r="R316" s="48"/>
      <c r="S316" s="48"/>
      <c r="T316" s="48"/>
      <c r="U316" s="48"/>
      <c r="V316" s="48"/>
      <c r="W316" s="48"/>
      <c r="X316" s="48"/>
      <c r="Y316" s="48"/>
      <c r="Z316" s="48"/>
      <c r="AA316" s="48"/>
      <c r="AB316" s="48"/>
      <c r="AC316" s="48"/>
      <c r="AD316" s="48"/>
      <c r="AE316" s="48"/>
      <c r="AF316" s="48"/>
      <c r="AG316" s="48"/>
      <c r="AH316" s="48"/>
      <c r="AI316" s="48"/>
      <c r="AJ316" s="48"/>
      <c r="AK316" s="48"/>
      <c r="AL316" s="48"/>
      <c r="AM316" s="48"/>
      <c r="AN316" s="48"/>
      <c r="AO316" s="48"/>
      <c r="AP316" s="48"/>
      <c r="AQ316" s="48"/>
      <c r="AR316" s="48"/>
      <c r="AS316" s="48"/>
      <c r="AT316" s="48"/>
      <c r="AU316" s="48"/>
      <c r="AV316" s="48"/>
      <c r="AW316" s="48"/>
      <c r="AX316" s="48"/>
      <c r="AY316" s="48"/>
    </row>
    <row r="317" spans="1:51">
      <c r="A317" s="48"/>
      <c r="B317" s="48"/>
      <c r="C317" s="48"/>
      <c r="D317" s="48"/>
      <c r="E317" s="48"/>
      <c r="F317" s="48"/>
      <c r="G317" s="48"/>
      <c r="H317" s="48"/>
      <c r="I317" s="48"/>
      <c r="J317" s="48"/>
      <c r="K317" s="48"/>
      <c r="L317" s="48"/>
      <c r="M317" s="48"/>
      <c r="N317" s="48"/>
      <c r="O317" s="48"/>
      <c r="P317" s="48"/>
      <c r="Q317" s="48"/>
      <c r="R317" s="48"/>
      <c r="S317" s="48"/>
      <c r="T317" s="48"/>
      <c r="U317" s="48"/>
      <c r="V317" s="48"/>
      <c r="W317" s="48"/>
      <c r="X317" s="48"/>
      <c r="Y317" s="48"/>
      <c r="Z317" s="48"/>
      <c r="AA317" s="48"/>
      <c r="AB317" s="48"/>
      <c r="AC317" s="48"/>
      <c r="AD317" s="48"/>
      <c r="AE317" s="48"/>
      <c r="AF317" s="48"/>
      <c r="AG317" s="48"/>
      <c r="AH317" s="48"/>
      <c r="AI317" s="48"/>
      <c r="AJ317" s="48"/>
      <c r="AK317" s="48"/>
      <c r="AL317" s="48"/>
      <c r="AM317" s="48"/>
      <c r="AN317" s="48"/>
      <c r="AO317" s="48"/>
      <c r="AP317" s="48"/>
      <c r="AQ317" s="48"/>
      <c r="AR317" s="48"/>
      <c r="AS317" s="48"/>
      <c r="AT317" s="48"/>
      <c r="AU317" s="48"/>
      <c r="AV317" s="48"/>
      <c r="AW317" s="48"/>
      <c r="AX317" s="48"/>
      <c r="AY317" s="48"/>
    </row>
    <row r="318" spans="1:51">
      <c r="A318" s="48"/>
      <c r="B318" s="48"/>
      <c r="C318" s="48"/>
      <c r="D318" s="48"/>
      <c r="E318" s="48"/>
      <c r="F318" s="48"/>
      <c r="G318" s="48"/>
      <c r="H318" s="48"/>
      <c r="I318" s="48"/>
      <c r="J318" s="48"/>
      <c r="K318" s="48"/>
      <c r="L318" s="48"/>
      <c r="M318" s="48"/>
      <c r="N318" s="48"/>
      <c r="O318" s="48"/>
      <c r="P318" s="48"/>
      <c r="Q318" s="48"/>
      <c r="R318" s="48"/>
      <c r="S318" s="48"/>
      <c r="T318" s="48"/>
      <c r="U318" s="48"/>
      <c r="V318" s="48"/>
      <c r="W318" s="48"/>
      <c r="X318" s="48"/>
      <c r="Y318" s="48"/>
      <c r="Z318" s="48"/>
      <c r="AA318" s="48"/>
      <c r="AB318" s="48"/>
      <c r="AC318" s="48"/>
      <c r="AD318" s="48"/>
      <c r="AE318" s="48"/>
      <c r="AF318" s="48"/>
      <c r="AG318" s="48"/>
      <c r="AH318" s="48"/>
      <c r="AI318" s="48"/>
      <c r="AJ318" s="48"/>
      <c r="AK318" s="48"/>
      <c r="AL318" s="48"/>
      <c r="AM318" s="48"/>
      <c r="AN318" s="48"/>
      <c r="AO318" s="48"/>
      <c r="AP318" s="48"/>
      <c r="AQ318" s="48"/>
      <c r="AR318" s="48"/>
      <c r="AS318" s="48"/>
      <c r="AT318" s="48"/>
      <c r="AU318" s="48"/>
      <c r="AV318" s="48"/>
      <c r="AW318" s="48"/>
      <c r="AX318" s="48"/>
      <c r="AY318" s="48"/>
    </row>
    <row r="319" spans="1:51">
      <c r="A319" s="48"/>
      <c r="B319" s="48"/>
      <c r="C319" s="48"/>
      <c r="D319" s="48"/>
      <c r="E319" s="48"/>
      <c r="F319" s="48"/>
      <c r="G319" s="48"/>
      <c r="H319" s="48"/>
      <c r="I319" s="48"/>
      <c r="J319" s="48"/>
      <c r="K319" s="48"/>
      <c r="L319" s="48"/>
      <c r="M319" s="48"/>
      <c r="N319" s="48"/>
      <c r="O319" s="48"/>
      <c r="P319" s="48"/>
      <c r="Q319" s="48"/>
      <c r="R319" s="48"/>
      <c r="S319" s="48"/>
      <c r="T319" s="48"/>
      <c r="U319" s="48"/>
      <c r="V319" s="48"/>
      <c r="W319" s="48"/>
      <c r="X319" s="48"/>
      <c r="Y319" s="48"/>
      <c r="Z319" s="48"/>
      <c r="AA319" s="48"/>
      <c r="AB319" s="48"/>
      <c r="AC319" s="48"/>
      <c r="AD319" s="48"/>
      <c r="AE319" s="48"/>
      <c r="AF319" s="48"/>
      <c r="AG319" s="48"/>
      <c r="AH319" s="48"/>
      <c r="AI319" s="48"/>
      <c r="AJ319" s="48"/>
      <c r="AK319" s="48"/>
      <c r="AL319" s="48"/>
      <c r="AM319" s="48"/>
      <c r="AN319" s="48"/>
      <c r="AO319" s="48"/>
      <c r="AP319" s="48"/>
      <c r="AQ319" s="48"/>
      <c r="AR319" s="48"/>
      <c r="AS319" s="48"/>
      <c r="AT319" s="48"/>
      <c r="AU319" s="48"/>
      <c r="AV319" s="48"/>
      <c r="AW319" s="48"/>
      <c r="AX319" s="48"/>
      <c r="AY319" s="48"/>
    </row>
    <row r="320" spans="1:51">
      <c r="A320" s="48"/>
      <c r="B320" s="48"/>
      <c r="C320" s="48"/>
      <c r="D320" s="48"/>
      <c r="E320" s="48"/>
      <c r="F320" s="48"/>
      <c r="G320" s="48"/>
      <c r="H320" s="48"/>
      <c r="I320" s="48"/>
      <c r="J320" s="48"/>
      <c r="K320" s="48"/>
      <c r="L320" s="48"/>
      <c r="M320" s="48"/>
      <c r="N320" s="48"/>
      <c r="O320" s="48"/>
      <c r="P320" s="48"/>
      <c r="Q320" s="48"/>
      <c r="R320" s="48"/>
      <c r="S320" s="48"/>
      <c r="T320" s="48"/>
      <c r="U320" s="48"/>
      <c r="V320" s="48"/>
      <c r="W320" s="48"/>
      <c r="X320" s="48"/>
      <c r="Y320" s="48"/>
      <c r="Z320" s="48"/>
      <c r="AA320" s="48"/>
      <c r="AB320" s="48"/>
      <c r="AC320" s="48"/>
      <c r="AD320" s="48"/>
      <c r="AE320" s="48"/>
      <c r="AF320" s="48"/>
      <c r="AG320" s="48"/>
      <c r="AH320" s="48"/>
      <c r="AI320" s="48"/>
      <c r="AJ320" s="48"/>
      <c r="AK320" s="48"/>
      <c r="AL320" s="48"/>
      <c r="AM320" s="48"/>
      <c r="AN320" s="48"/>
      <c r="AO320" s="48"/>
      <c r="AP320" s="48"/>
      <c r="AQ320" s="48"/>
      <c r="AR320" s="48"/>
      <c r="AS320" s="48"/>
      <c r="AT320" s="48"/>
      <c r="AU320" s="48"/>
      <c r="AV320" s="48"/>
      <c r="AW320" s="48"/>
      <c r="AX320" s="48"/>
      <c r="AY320" s="48"/>
    </row>
    <row r="321" spans="1:51">
      <c r="A321" s="48"/>
      <c r="B321" s="48"/>
      <c r="C321" s="48"/>
      <c r="D321" s="48"/>
      <c r="E321" s="48"/>
      <c r="F321" s="48"/>
      <c r="G321" s="48"/>
      <c r="H321" s="48"/>
      <c r="I321" s="48"/>
      <c r="J321" s="48"/>
      <c r="K321" s="48"/>
      <c r="L321" s="48"/>
      <c r="M321" s="48"/>
      <c r="N321" s="48"/>
      <c r="O321" s="48"/>
      <c r="P321" s="48"/>
      <c r="Q321" s="48"/>
      <c r="R321" s="48"/>
      <c r="S321" s="48"/>
      <c r="T321" s="48"/>
      <c r="U321" s="48"/>
      <c r="V321" s="48"/>
      <c r="W321" s="48"/>
      <c r="X321" s="48"/>
      <c r="Y321" s="48"/>
      <c r="Z321" s="48"/>
      <c r="AA321" s="48"/>
      <c r="AB321" s="48"/>
      <c r="AC321" s="48"/>
      <c r="AD321" s="48"/>
      <c r="AE321" s="48"/>
      <c r="AF321" s="48"/>
      <c r="AG321" s="48"/>
      <c r="AH321" s="48"/>
      <c r="AI321" s="48"/>
      <c r="AJ321" s="48"/>
      <c r="AK321" s="48"/>
      <c r="AL321" s="48"/>
      <c r="AM321" s="48"/>
      <c r="AN321" s="48"/>
      <c r="AO321" s="48"/>
      <c r="AP321" s="48"/>
      <c r="AQ321" s="48"/>
      <c r="AR321" s="48"/>
      <c r="AS321" s="48"/>
      <c r="AT321" s="48"/>
      <c r="AU321" s="48"/>
      <c r="AV321" s="48"/>
      <c r="AW321" s="48"/>
      <c r="AX321" s="48"/>
      <c r="AY321" s="48"/>
    </row>
    <row r="322" spans="1:51">
      <c r="A322" s="48"/>
      <c r="B322" s="48"/>
      <c r="C322" s="48"/>
      <c r="D322" s="48"/>
      <c r="E322" s="48"/>
      <c r="F322" s="48"/>
      <c r="G322" s="48"/>
      <c r="H322" s="48"/>
      <c r="I322" s="48"/>
      <c r="J322" s="48"/>
      <c r="K322" s="48"/>
      <c r="L322" s="48"/>
      <c r="M322" s="48"/>
      <c r="N322" s="48"/>
      <c r="O322" s="48"/>
      <c r="P322" s="48"/>
      <c r="Q322" s="48"/>
      <c r="R322" s="48"/>
      <c r="S322" s="48"/>
      <c r="T322" s="48"/>
      <c r="U322" s="48"/>
      <c r="V322" s="48"/>
      <c r="W322" s="48"/>
      <c r="X322" s="48"/>
      <c r="Y322" s="48"/>
      <c r="Z322" s="48"/>
      <c r="AA322" s="48"/>
      <c r="AB322" s="48"/>
      <c r="AC322" s="48"/>
      <c r="AD322" s="48"/>
      <c r="AE322" s="48"/>
      <c r="AF322" s="48"/>
      <c r="AG322" s="48"/>
      <c r="AH322" s="48"/>
      <c r="AI322" s="48"/>
      <c r="AJ322" s="48"/>
      <c r="AK322" s="48"/>
      <c r="AL322" s="48"/>
      <c r="AM322" s="48"/>
      <c r="AN322" s="48"/>
      <c r="AO322" s="48"/>
      <c r="AP322" s="48"/>
      <c r="AQ322" s="48"/>
      <c r="AR322" s="48"/>
      <c r="AS322" s="48"/>
      <c r="AT322" s="48"/>
      <c r="AU322" s="48"/>
      <c r="AV322" s="48"/>
      <c r="AW322" s="48"/>
      <c r="AX322" s="48"/>
      <c r="AY322" s="48"/>
    </row>
    <row r="323" spans="1:51">
      <c r="A323" s="48"/>
      <c r="B323" s="48"/>
      <c r="C323" s="48"/>
      <c r="D323" s="48"/>
      <c r="E323" s="48"/>
      <c r="F323" s="48"/>
      <c r="G323" s="48"/>
      <c r="H323" s="48"/>
      <c r="I323" s="48"/>
      <c r="J323" s="48"/>
      <c r="K323" s="48"/>
      <c r="L323" s="48"/>
      <c r="M323" s="48"/>
      <c r="N323" s="48"/>
      <c r="O323" s="48"/>
      <c r="P323" s="48"/>
      <c r="Q323" s="48"/>
      <c r="R323" s="48"/>
      <c r="S323" s="48"/>
      <c r="T323" s="48"/>
      <c r="U323" s="48"/>
      <c r="V323" s="48"/>
      <c r="W323" s="48"/>
      <c r="X323" s="48"/>
      <c r="Y323" s="48"/>
      <c r="Z323" s="48"/>
      <c r="AA323" s="48"/>
      <c r="AB323" s="48"/>
      <c r="AC323" s="48"/>
      <c r="AD323" s="48"/>
      <c r="AE323" s="48"/>
      <c r="AF323" s="48"/>
      <c r="AG323" s="48"/>
      <c r="AH323" s="48"/>
      <c r="AI323" s="48"/>
      <c r="AJ323" s="48"/>
      <c r="AK323" s="48"/>
      <c r="AL323" s="48"/>
      <c r="AM323" s="48"/>
      <c r="AN323" s="48"/>
      <c r="AO323" s="48"/>
      <c r="AP323" s="48"/>
      <c r="AQ323" s="48"/>
      <c r="AR323" s="48"/>
      <c r="AS323" s="48"/>
      <c r="AT323" s="48"/>
      <c r="AU323" s="48"/>
      <c r="AV323" s="48"/>
      <c r="AW323" s="48"/>
      <c r="AX323" s="48"/>
      <c r="AY323" s="48"/>
    </row>
    <row r="324" spans="1:51">
      <c r="A324" s="48"/>
      <c r="B324" s="48"/>
      <c r="C324" s="48"/>
      <c r="D324" s="48"/>
      <c r="E324" s="48"/>
      <c r="F324" s="48"/>
      <c r="G324" s="48"/>
      <c r="H324" s="48"/>
      <c r="I324" s="48"/>
      <c r="J324" s="48"/>
      <c r="K324" s="48"/>
      <c r="L324" s="48"/>
      <c r="M324" s="48"/>
      <c r="N324" s="48"/>
      <c r="O324" s="48"/>
      <c r="P324" s="48"/>
      <c r="Q324" s="48"/>
      <c r="R324" s="48"/>
      <c r="S324" s="48"/>
      <c r="T324" s="48"/>
      <c r="U324" s="48"/>
      <c r="V324" s="48"/>
      <c r="W324" s="48"/>
      <c r="X324" s="48"/>
      <c r="Y324" s="48"/>
      <c r="Z324" s="48"/>
      <c r="AA324" s="48"/>
      <c r="AB324" s="48"/>
      <c r="AC324" s="48"/>
      <c r="AD324" s="48"/>
      <c r="AE324" s="48"/>
      <c r="AF324" s="48"/>
      <c r="AG324" s="48"/>
      <c r="AH324" s="48"/>
      <c r="AI324" s="48"/>
      <c r="AJ324" s="48"/>
      <c r="AK324" s="48"/>
      <c r="AL324" s="48"/>
      <c r="AM324" s="48"/>
      <c r="AN324" s="48"/>
      <c r="AO324" s="48"/>
      <c r="AP324" s="48"/>
      <c r="AQ324" s="48"/>
      <c r="AR324" s="48"/>
      <c r="AS324" s="48"/>
      <c r="AT324" s="48"/>
      <c r="AU324" s="48"/>
      <c r="AV324" s="48"/>
      <c r="AW324" s="48"/>
      <c r="AX324" s="48"/>
      <c r="AY324" s="48"/>
    </row>
    <row r="325" spans="1:51">
      <c r="A325" s="48"/>
      <c r="B325" s="48"/>
      <c r="C325" s="48"/>
      <c r="D325" s="48"/>
      <c r="E325" s="48"/>
      <c r="F325" s="48"/>
      <c r="G325" s="48"/>
      <c r="H325" s="48"/>
      <c r="I325" s="48"/>
      <c r="J325" s="48"/>
      <c r="K325" s="48"/>
      <c r="L325" s="48"/>
      <c r="M325" s="48"/>
      <c r="N325" s="48"/>
      <c r="O325" s="48"/>
      <c r="P325" s="48"/>
      <c r="Q325" s="48"/>
      <c r="R325" s="48"/>
      <c r="S325" s="48"/>
      <c r="T325" s="48"/>
      <c r="U325" s="48"/>
      <c r="V325" s="48"/>
      <c r="W325" s="48"/>
      <c r="X325" s="48"/>
      <c r="Y325" s="48"/>
      <c r="Z325" s="48"/>
      <c r="AA325" s="48"/>
      <c r="AB325" s="48"/>
      <c r="AC325" s="48"/>
      <c r="AD325" s="48"/>
      <c r="AE325" s="48"/>
      <c r="AF325" s="48"/>
      <c r="AG325" s="48"/>
      <c r="AH325" s="48"/>
      <c r="AI325" s="48"/>
      <c r="AJ325" s="48"/>
      <c r="AK325" s="48"/>
      <c r="AL325" s="48"/>
      <c r="AM325" s="48"/>
      <c r="AN325" s="48"/>
      <c r="AO325" s="48"/>
      <c r="AP325" s="48"/>
      <c r="AQ325" s="48"/>
      <c r="AR325" s="48"/>
      <c r="AS325" s="48"/>
      <c r="AT325" s="48"/>
      <c r="AU325" s="48"/>
      <c r="AV325" s="48"/>
      <c r="AW325" s="48"/>
      <c r="AX325" s="48"/>
      <c r="AY325" s="48"/>
    </row>
    <row r="326" spans="1:51">
      <c r="A326" s="48"/>
      <c r="B326" s="48"/>
      <c r="C326" s="48"/>
      <c r="D326" s="48"/>
      <c r="E326" s="48"/>
      <c r="F326" s="48"/>
      <c r="G326" s="48"/>
      <c r="H326" s="48"/>
      <c r="I326" s="48"/>
      <c r="J326" s="48"/>
      <c r="K326" s="48"/>
      <c r="L326" s="48"/>
      <c r="M326" s="48"/>
      <c r="N326" s="48"/>
      <c r="O326" s="48"/>
      <c r="P326" s="48"/>
      <c r="Q326" s="48"/>
      <c r="R326" s="48"/>
      <c r="S326" s="48"/>
      <c r="T326" s="48"/>
      <c r="U326" s="48"/>
      <c r="V326" s="48"/>
      <c r="W326" s="48"/>
      <c r="X326" s="48"/>
      <c r="Y326" s="48"/>
      <c r="Z326" s="48"/>
      <c r="AA326" s="48"/>
      <c r="AB326" s="48"/>
      <c r="AC326" s="48"/>
      <c r="AD326" s="48"/>
      <c r="AE326" s="48"/>
      <c r="AF326" s="48"/>
      <c r="AG326" s="48"/>
      <c r="AH326" s="48"/>
      <c r="AI326" s="48"/>
      <c r="AJ326" s="48"/>
      <c r="AK326" s="48"/>
      <c r="AL326" s="48"/>
      <c r="AM326" s="48"/>
      <c r="AN326" s="48"/>
      <c r="AO326" s="48"/>
      <c r="AP326" s="48"/>
      <c r="AQ326" s="48"/>
      <c r="AR326" s="48"/>
      <c r="AS326" s="48"/>
      <c r="AT326" s="48"/>
      <c r="AU326" s="48"/>
      <c r="AV326" s="48"/>
      <c r="AW326" s="48"/>
      <c r="AX326" s="48"/>
      <c r="AY326" s="48"/>
    </row>
    <row r="327" spans="1:51">
      <c r="A327" s="48"/>
      <c r="B327" s="48"/>
      <c r="C327" s="48"/>
      <c r="D327" s="48"/>
      <c r="E327" s="48"/>
      <c r="F327" s="48"/>
      <c r="G327" s="48"/>
      <c r="H327" s="48"/>
      <c r="I327" s="48"/>
      <c r="J327" s="48"/>
      <c r="K327" s="48"/>
      <c r="L327" s="48"/>
      <c r="M327" s="48"/>
      <c r="N327" s="48"/>
      <c r="O327" s="48"/>
      <c r="P327" s="48"/>
      <c r="Q327" s="48"/>
      <c r="R327" s="48"/>
      <c r="S327" s="48"/>
      <c r="T327" s="48"/>
      <c r="U327" s="48"/>
      <c r="V327" s="48"/>
      <c r="W327" s="48"/>
      <c r="X327" s="48"/>
      <c r="Y327" s="48"/>
      <c r="Z327" s="48"/>
      <c r="AA327" s="48"/>
      <c r="AB327" s="48"/>
      <c r="AC327" s="48"/>
      <c r="AD327" s="48"/>
      <c r="AE327" s="48"/>
      <c r="AF327" s="48"/>
      <c r="AG327" s="48"/>
      <c r="AH327" s="48"/>
      <c r="AI327" s="48"/>
      <c r="AJ327" s="48"/>
      <c r="AK327" s="48"/>
      <c r="AL327" s="48"/>
      <c r="AM327" s="48"/>
      <c r="AN327" s="48"/>
      <c r="AO327" s="48"/>
      <c r="AP327" s="48"/>
      <c r="AQ327" s="48"/>
      <c r="AR327" s="48"/>
      <c r="AS327" s="48"/>
      <c r="AT327" s="48"/>
      <c r="AU327" s="48"/>
      <c r="AV327" s="48"/>
      <c r="AW327" s="48"/>
      <c r="AX327" s="48"/>
      <c r="AY327" s="48"/>
    </row>
    <row r="328" spans="1:51">
      <c r="A328" s="48"/>
      <c r="B328" s="48"/>
      <c r="C328" s="48"/>
      <c r="D328" s="48"/>
      <c r="E328" s="48"/>
      <c r="F328" s="48"/>
      <c r="G328" s="48"/>
      <c r="H328" s="48"/>
      <c r="I328" s="48"/>
      <c r="J328" s="48"/>
      <c r="K328" s="48"/>
      <c r="L328" s="48"/>
      <c r="M328" s="48"/>
      <c r="N328" s="48"/>
      <c r="O328" s="48"/>
      <c r="P328" s="48"/>
      <c r="Q328" s="48"/>
      <c r="R328" s="48"/>
      <c r="S328" s="48"/>
      <c r="T328" s="48"/>
      <c r="U328" s="48"/>
      <c r="V328" s="48"/>
      <c r="W328" s="48"/>
      <c r="X328" s="48"/>
      <c r="Y328" s="48"/>
      <c r="Z328" s="48"/>
      <c r="AA328" s="48"/>
      <c r="AB328" s="48"/>
      <c r="AC328" s="48"/>
      <c r="AD328" s="48"/>
      <c r="AE328" s="48"/>
      <c r="AF328" s="48"/>
      <c r="AG328" s="48"/>
      <c r="AH328" s="48"/>
      <c r="AI328" s="48"/>
      <c r="AJ328" s="48"/>
      <c r="AK328" s="48"/>
      <c r="AL328" s="48"/>
      <c r="AM328" s="48"/>
      <c r="AN328" s="48"/>
      <c r="AO328" s="48"/>
      <c r="AP328" s="48"/>
      <c r="AQ328" s="48"/>
      <c r="AR328" s="48"/>
      <c r="AS328" s="48"/>
      <c r="AT328" s="48"/>
      <c r="AU328" s="48"/>
      <c r="AV328" s="48"/>
      <c r="AW328" s="48"/>
      <c r="AX328" s="48"/>
      <c r="AY328" s="48"/>
    </row>
    <row r="329" spans="1:51">
      <c r="A329" s="48"/>
      <c r="B329" s="48"/>
      <c r="C329" s="48"/>
      <c r="D329" s="48"/>
      <c r="E329" s="48"/>
      <c r="F329" s="48"/>
      <c r="G329" s="48"/>
      <c r="H329" s="48"/>
      <c r="I329" s="48"/>
      <c r="J329" s="48"/>
      <c r="K329" s="48"/>
      <c r="L329" s="48"/>
      <c r="M329" s="48"/>
      <c r="N329" s="48"/>
      <c r="O329" s="48"/>
      <c r="P329" s="48"/>
      <c r="Q329" s="48"/>
      <c r="R329" s="48"/>
      <c r="S329" s="48"/>
      <c r="T329" s="48"/>
      <c r="U329" s="48"/>
      <c r="V329" s="48"/>
      <c r="W329" s="48"/>
      <c r="X329" s="48"/>
      <c r="Y329" s="48"/>
      <c r="Z329" s="48"/>
      <c r="AA329" s="48"/>
      <c r="AB329" s="48"/>
      <c r="AC329" s="48"/>
      <c r="AD329" s="48"/>
      <c r="AE329" s="48"/>
      <c r="AF329" s="48"/>
      <c r="AG329" s="48"/>
      <c r="AH329" s="48"/>
      <c r="AI329" s="48"/>
      <c r="AJ329" s="48"/>
      <c r="AK329" s="48"/>
      <c r="AL329" s="48"/>
      <c r="AM329" s="48"/>
      <c r="AN329" s="48"/>
      <c r="AO329" s="48"/>
      <c r="AP329" s="48"/>
      <c r="AQ329" s="48"/>
      <c r="AR329" s="48"/>
      <c r="AS329" s="48"/>
      <c r="AT329" s="48"/>
      <c r="AU329" s="48"/>
      <c r="AV329" s="48"/>
      <c r="AW329" s="48"/>
      <c r="AX329" s="48"/>
      <c r="AY329" s="48"/>
    </row>
    <row r="330" spans="1:51">
      <c r="A330" s="48"/>
      <c r="B330" s="48"/>
      <c r="C330" s="48"/>
      <c r="D330" s="48"/>
      <c r="E330" s="48"/>
      <c r="F330" s="48"/>
      <c r="G330" s="48"/>
      <c r="H330" s="48"/>
      <c r="I330" s="48"/>
      <c r="J330" s="48"/>
      <c r="K330" s="48"/>
      <c r="L330" s="48"/>
      <c r="M330" s="48"/>
      <c r="N330" s="48"/>
      <c r="O330" s="48"/>
      <c r="P330" s="48"/>
      <c r="Q330" s="48"/>
      <c r="R330" s="48"/>
      <c r="S330" s="48"/>
      <c r="T330" s="48"/>
      <c r="U330" s="48"/>
      <c r="V330" s="48"/>
      <c r="W330" s="48"/>
      <c r="X330" s="48"/>
      <c r="Y330" s="48"/>
      <c r="Z330" s="48"/>
      <c r="AA330" s="48"/>
      <c r="AB330" s="48"/>
      <c r="AC330" s="48"/>
      <c r="AD330" s="48"/>
      <c r="AE330" s="48"/>
      <c r="AF330" s="48"/>
      <c r="AG330" s="48"/>
      <c r="AH330" s="48"/>
      <c r="AI330" s="48"/>
      <c r="AJ330" s="48"/>
      <c r="AK330" s="48"/>
      <c r="AL330" s="48"/>
      <c r="AM330" s="48"/>
      <c r="AN330" s="48"/>
      <c r="AO330" s="48"/>
      <c r="AP330" s="48"/>
      <c r="AQ330" s="48"/>
      <c r="AR330" s="48"/>
      <c r="AS330" s="48"/>
      <c r="AT330" s="48"/>
      <c r="AU330" s="48"/>
      <c r="AV330" s="48"/>
      <c r="AW330" s="48"/>
      <c r="AX330" s="48"/>
      <c r="AY330" s="48"/>
    </row>
    <row r="331" spans="1:51">
      <c r="A331" s="48"/>
      <c r="B331" s="48"/>
      <c r="C331" s="48"/>
      <c r="D331" s="48"/>
      <c r="E331" s="48"/>
      <c r="F331" s="48"/>
      <c r="G331" s="48"/>
      <c r="H331" s="48"/>
      <c r="I331" s="48"/>
      <c r="J331" s="48"/>
      <c r="K331" s="48"/>
      <c r="L331" s="48"/>
      <c r="M331" s="48"/>
      <c r="N331" s="48"/>
      <c r="O331" s="48"/>
      <c r="P331" s="48"/>
      <c r="Q331" s="48"/>
      <c r="R331" s="48"/>
      <c r="S331" s="48"/>
      <c r="T331" s="48"/>
      <c r="U331" s="48"/>
      <c r="V331" s="48"/>
      <c r="W331" s="48"/>
      <c r="X331" s="48"/>
      <c r="Y331" s="48"/>
      <c r="Z331" s="48"/>
      <c r="AA331" s="48"/>
      <c r="AB331" s="48"/>
      <c r="AC331" s="48"/>
      <c r="AD331" s="48"/>
      <c r="AE331" s="48"/>
      <c r="AF331" s="48"/>
      <c r="AG331" s="48"/>
      <c r="AH331" s="48"/>
      <c r="AI331" s="48"/>
      <c r="AJ331" s="48"/>
      <c r="AK331" s="48"/>
      <c r="AL331" s="48"/>
      <c r="AM331" s="48"/>
      <c r="AN331" s="48"/>
      <c r="AO331" s="48"/>
      <c r="AP331" s="48"/>
      <c r="AQ331" s="48"/>
      <c r="AR331" s="48"/>
      <c r="AS331" s="48"/>
      <c r="AT331" s="48"/>
      <c r="AU331" s="48"/>
      <c r="AV331" s="48"/>
      <c r="AW331" s="48"/>
      <c r="AX331" s="48"/>
      <c r="AY331" s="48"/>
    </row>
    <row r="332" spans="1:51">
      <c r="A332" s="48"/>
      <c r="B332" s="48"/>
      <c r="C332" s="48"/>
      <c r="D332" s="48"/>
      <c r="E332" s="48"/>
      <c r="F332" s="48"/>
      <c r="G332" s="48"/>
      <c r="H332" s="48"/>
      <c r="I332" s="48"/>
      <c r="J332" s="48"/>
      <c r="K332" s="48"/>
      <c r="L332" s="48"/>
      <c r="M332" s="48"/>
      <c r="N332" s="48"/>
      <c r="O332" s="48"/>
      <c r="P332" s="48"/>
      <c r="Q332" s="48"/>
      <c r="R332" s="48"/>
      <c r="S332" s="48"/>
      <c r="T332" s="48"/>
      <c r="U332" s="48"/>
      <c r="V332" s="48"/>
      <c r="W332" s="48"/>
      <c r="X332" s="48"/>
      <c r="Y332" s="48"/>
      <c r="Z332" s="48"/>
      <c r="AA332" s="48"/>
      <c r="AB332" s="48"/>
      <c r="AC332" s="48"/>
      <c r="AD332" s="48"/>
      <c r="AE332" s="48"/>
      <c r="AF332" s="48"/>
      <c r="AG332" s="48"/>
      <c r="AH332" s="48"/>
      <c r="AI332" s="48"/>
      <c r="AJ332" s="48"/>
      <c r="AK332" s="48"/>
      <c r="AL332" s="48"/>
      <c r="AM332" s="48"/>
      <c r="AN332" s="48"/>
      <c r="AO332" s="48"/>
      <c r="AP332" s="48"/>
      <c r="AQ332" s="48"/>
      <c r="AR332" s="48"/>
      <c r="AS332" s="48"/>
      <c r="AT332" s="48"/>
      <c r="AU332" s="48"/>
      <c r="AV332" s="48"/>
      <c r="AW332" s="48"/>
      <c r="AX332" s="48"/>
      <c r="AY332" s="48"/>
    </row>
    <row r="333" spans="1:51">
      <c r="A333" s="48"/>
      <c r="B333" s="48"/>
      <c r="C333" s="48"/>
      <c r="D333" s="48"/>
      <c r="E333" s="48"/>
      <c r="F333" s="48"/>
      <c r="G333" s="48"/>
      <c r="H333" s="48"/>
      <c r="I333" s="48"/>
      <c r="J333" s="48"/>
      <c r="K333" s="48"/>
      <c r="L333" s="48"/>
      <c r="M333" s="48"/>
      <c r="N333" s="48"/>
      <c r="O333" s="48"/>
      <c r="P333" s="48"/>
      <c r="Q333" s="48"/>
      <c r="R333" s="48"/>
      <c r="S333" s="48"/>
      <c r="T333" s="48"/>
      <c r="U333" s="48"/>
      <c r="V333" s="48"/>
      <c r="W333" s="48"/>
      <c r="X333" s="48"/>
      <c r="Y333" s="48"/>
      <c r="Z333" s="48"/>
      <c r="AA333" s="48"/>
      <c r="AB333" s="48"/>
      <c r="AC333" s="48"/>
      <c r="AD333" s="48"/>
      <c r="AE333" s="48"/>
      <c r="AF333" s="48"/>
      <c r="AG333" s="48"/>
      <c r="AH333" s="48"/>
      <c r="AI333" s="48"/>
      <c r="AJ333" s="48"/>
      <c r="AK333" s="48"/>
      <c r="AL333" s="48"/>
      <c r="AM333" s="48"/>
      <c r="AN333" s="48"/>
      <c r="AO333" s="48"/>
      <c r="AP333" s="48"/>
      <c r="AQ333" s="48"/>
      <c r="AR333" s="48"/>
      <c r="AS333" s="48"/>
      <c r="AT333" s="48"/>
      <c r="AU333" s="48"/>
      <c r="AV333" s="48"/>
      <c r="AW333" s="48"/>
      <c r="AX333" s="48"/>
      <c r="AY333" s="48"/>
    </row>
    <row r="334" spans="1:51">
      <c r="A334" s="48"/>
      <c r="B334" s="48"/>
      <c r="C334" s="48"/>
      <c r="D334" s="48"/>
      <c r="E334" s="48"/>
      <c r="F334" s="48"/>
      <c r="G334" s="48"/>
      <c r="H334" s="48"/>
      <c r="I334" s="48"/>
      <c r="J334" s="48"/>
      <c r="K334" s="48"/>
      <c r="L334" s="48"/>
      <c r="M334" s="48"/>
      <c r="N334" s="48"/>
      <c r="O334" s="48"/>
      <c r="P334" s="48"/>
      <c r="Q334" s="48"/>
      <c r="R334" s="48"/>
      <c r="S334" s="48"/>
      <c r="T334" s="48"/>
      <c r="U334" s="48"/>
      <c r="V334" s="48"/>
      <c r="W334" s="48"/>
      <c r="X334" s="48"/>
      <c r="Y334" s="48"/>
      <c r="Z334" s="48"/>
      <c r="AA334" s="48"/>
      <c r="AB334" s="48"/>
      <c r="AC334" s="48"/>
      <c r="AD334" s="48"/>
      <c r="AE334" s="48"/>
      <c r="AF334" s="48"/>
      <c r="AG334" s="48"/>
      <c r="AH334" s="48"/>
      <c r="AI334" s="48"/>
      <c r="AJ334" s="48"/>
      <c r="AK334" s="48"/>
      <c r="AL334" s="48"/>
      <c r="AM334" s="48"/>
      <c r="AN334" s="48"/>
      <c r="AO334" s="48"/>
      <c r="AP334" s="48"/>
      <c r="AQ334" s="48"/>
      <c r="AR334" s="48"/>
      <c r="AS334" s="48"/>
      <c r="AT334" s="48"/>
      <c r="AU334" s="48"/>
      <c r="AV334" s="48"/>
      <c r="AW334" s="48"/>
      <c r="AX334" s="48"/>
      <c r="AY334" s="48"/>
    </row>
    <row r="335" spans="1:51">
      <c r="A335" s="48"/>
      <c r="B335" s="48"/>
      <c r="C335" s="48"/>
      <c r="D335" s="48"/>
      <c r="E335" s="48"/>
      <c r="F335" s="48"/>
      <c r="G335" s="48"/>
      <c r="H335" s="48"/>
      <c r="I335" s="48"/>
      <c r="J335" s="48"/>
      <c r="K335" s="48"/>
      <c r="L335" s="48"/>
      <c r="M335" s="48"/>
      <c r="N335" s="48"/>
      <c r="O335" s="48"/>
      <c r="P335" s="48"/>
      <c r="Q335" s="48"/>
      <c r="R335" s="48"/>
      <c r="S335" s="48"/>
      <c r="T335" s="48"/>
      <c r="U335" s="48"/>
      <c r="V335" s="48"/>
      <c r="W335" s="48"/>
      <c r="X335" s="48"/>
      <c r="Y335" s="48"/>
      <c r="Z335" s="48"/>
      <c r="AA335" s="48"/>
      <c r="AB335" s="48"/>
      <c r="AC335" s="48"/>
      <c r="AD335" s="48"/>
      <c r="AE335" s="48"/>
      <c r="AF335" s="48"/>
      <c r="AG335" s="48"/>
      <c r="AH335" s="48"/>
      <c r="AI335" s="48"/>
      <c r="AJ335" s="48"/>
      <c r="AK335" s="48"/>
      <c r="AL335" s="48"/>
      <c r="AM335" s="48"/>
      <c r="AN335" s="48"/>
      <c r="AO335" s="48"/>
      <c r="AP335" s="48"/>
      <c r="AQ335" s="48"/>
      <c r="AR335" s="48"/>
      <c r="AS335" s="48"/>
      <c r="AT335" s="48"/>
      <c r="AU335" s="48"/>
      <c r="AV335" s="48"/>
      <c r="AW335" s="48"/>
      <c r="AX335" s="48"/>
      <c r="AY335" s="48"/>
    </row>
    <row r="336" spans="1:51">
      <c r="A336" s="48"/>
      <c r="B336" s="48"/>
      <c r="C336" s="48"/>
      <c r="D336" s="48"/>
      <c r="E336" s="48"/>
      <c r="F336" s="48"/>
      <c r="G336" s="48"/>
      <c r="H336" s="48"/>
      <c r="I336" s="48"/>
      <c r="J336" s="48"/>
      <c r="K336" s="48"/>
      <c r="L336" s="48"/>
      <c r="M336" s="48"/>
      <c r="N336" s="48"/>
      <c r="O336" s="48"/>
      <c r="P336" s="48"/>
      <c r="Q336" s="48"/>
      <c r="R336" s="48"/>
      <c r="S336" s="48"/>
      <c r="T336" s="48"/>
      <c r="U336" s="48"/>
      <c r="V336" s="48"/>
      <c r="W336" s="48"/>
      <c r="X336" s="48"/>
      <c r="Y336" s="48"/>
      <c r="Z336" s="48"/>
      <c r="AA336" s="48"/>
      <c r="AB336" s="48"/>
      <c r="AC336" s="48"/>
      <c r="AD336" s="48"/>
      <c r="AE336" s="48"/>
      <c r="AF336" s="48"/>
      <c r="AG336" s="48"/>
      <c r="AH336" s="48"/>
      <c r="AI336" s="48"/>
      <c r="AJ336" s="48"/>
      <c r="AK336" s="48"/>
      <c r="AL336" s="48"/>
      <c r="AM336" s="48"/>
      <c r="AN336" s="48"/>
      <c r="AO336" s="48"/>
      <c r="AP336" s="48"/>
      <c r="AQ336" s="48"/>
      <c r="AR336" s="48"/>
      <c r="AS336" s="48"/>
      <c r="AT336" s="48"/>
      <c r="AU336" s="48"/>
      <c r="AV336" s="48"/>
      <c r="AW336" s="48"/>
      <c r="AX336" s="48"/>
      <c r="AY336" s="48"/>
    </row>
    <row r="337" spans="1:51">
      <c r="A337" s="48"/>
      <c r="B337" s="48"/>
      <c r="C337" s="48"/>
      <c r="D337" s="48"/>
      <c r="E337" s="48"/>
      <c r="F337" s="48"/>
      <c r="G337" s="48"/>
      <c r="H337" s="48"/>
      <c r="I337" s="48"/>
      <c r="J337" s="48"/>
      <c r="K337" s="48"/>
      <c r="L337" s="48"/>
      <c r="M337" s="48"/>
      <c r="N337" s="48"/>
      <c r="O337" s="48"/>
      <c r="P337" s="48"/>
      <c r="Q337" s="48"/>
      <c r="R337" s="48"/>
      <c r="S337" s="48"/>
      <c r="T337" s="48"/>
      <c r="U337" s="48"/>
      <c r="V337" s="48"/>
      <c r="W337" s="48"/>
      <c r="X337" s="48"/>
      <c r="Y337" s="48"/>
      <c r="Z337" s="48"/>
      <c r="AA337" s="48"/>
      <c r="AB337" s="48"/>
      <c r="AC337" s="48"/>
      <c r="AD337" s="48"/>
      <c r="AE337" s="48"/>
      <c r="AF337" s="48"/>
      <c r="AG337" s="48"/>
      <c r="AH337" s="48"/>
      <c r="AI337" s="48"/>
      <c r="AJ337" s="48"/>
      <c r="AK337" s="48"/>
      <c r="AL337" s="48"/>
      <c r="AM337" s="48"/>
      <c r="AN337" s="48"/>
      <c r="AO337" s="48"/>
      <c r="AP337" s="48"/>
      <c r="AQ337" s="48"/>
      <c r="AR337" s="48"/>
      <c r="AS337" s="48"/>
      <c r="AT337" s="48"/>
      <c r="AU337" s="48"/>
      <c r="AV337" s="48"/>
      <c r="AW337" s="48"/>
      <c r="AX337" s="48"/>
      <c r="AY337" s="48"/>
    </row>
    <row r="338" spans="1:51">
      <c r="A338" s="48"/>
      <c r="B338" s="48"/>
      <c r="C338" s="48"/>
      <c r="D338" s="48"/>
      <c r="E338" s="48"/>
      <c r="F338" s="48"/>
      <c r="G338" s="48"/>
      <c r="H338" s="48"/>
      <c r="I338" s="48"/>
      <c r="J338" s="48"/>
      <c r="K338" s="48"/>
      <c r="L338" s="48"/>
      <c r="M338" s="48"/>
      <c r="N338" s="48"/>
      <c r="O338" s="48"/>
      <c r="P338" s="48"/>
      <c r="Q338" s="48"/>
      <c r="R338" s="48"/>
      <c r="S338" s="48"/>
      <c r="T338" s="48"/>
      <c r="U338" s="48"/>
      <c r="V338" s="48"/>
      <c r="W338" s="48"/>
      <c r="X338" s="48"/>
      <c r="Y338" s="48"/>
      <c r="Z338" s="48"/>
      <c r="AA338" s="48"/>
      <c r="AB338" s="48"/>
      <c r="AC338" s="48"/>
      <c r="AD338" s="48"/>
      <c r="AE338" s="48"/>
      <c r="AF338" s="48"/>
      <c r="AG338" s="48"/>
      <c r="AH338" s="48"/>
      <c r="AI338" s="48"/>
      <c r="AJ338" s="48"/>
      <c r="AK338" s="48"/>
      <c r="AL338" s="48"/>
      <c r="AM338" s="48"/>
      <c r="AN338" s="48"/>
      <c r="AO338" s="48"/>
      <c r="AP338" s="48"/>
      <c r="AQ338" s="48"/>
      <c r="AR338" s="48"/>
      <c r="AS338" s="48"/>
      <c r="AT338" s="48"/>
      <c r="AU338" s="48"/>
      <c r="AV338" s="48"/>
      <c r="AW338" s="48"/>
      <c r="AX338" s="48"/>
      <c r="AY338" s="48"/>
    </row>
    <row r="339" spans="1:51">
      <c r="A339" s="48"/>
      <c r="B339" s="48"/>
      <c r="C339" s="48"/>
      <c r="D339" s="48"/>
      <c r="E339" s="48"/>
      <c r="F339" s="48"/>
      <c r="G339" s="48"/>
      <c r="H339" s="48"/>
      <c r="I339" s="48"/>
      <c r="J339" s="48"/>
      <c r="K339" s="48"/>
      <c r="L339" s="48"/>
      <c r="M339" s="48"/>
      <c r="N339" s="48"/>
      <c r="O339" s="48"/>
      <c r="P339" s="48"/>
      <c r="Q339" s="48"/>
      <c r="R339" s="48"/>
      <c r="S339" s="48"/>
      <c r="T339" s="48"/>
      <c r="U339" s="48"/>
      <c r="V339" s="48"/>
      <c r="W339" s="48"/>
      <c r="X339" s="48"/>
      <c r="Y339" s="48"/>
      <c r="Z339" s="48"/>
      <c r="AA339" s="48"/>
      <c r="AB339" s="48"/>
      <c r="AC339" s="48"/>
      <c r="AD339" s="48"/>
      <c r="AE339" s="48"/>
      <c r="AF339" s="48"/>
      <c r="AG339" s="48"/>
      <c r="AH339" s="48"/>
      <c r="AI339" s="48"/>
      <c r="AJ339" s="48"/>
      <c r="AK339" s="48"/>
      <c r="AL339" s="48"/>
      <c r="AM339" s="48"/>
      <c r="AN339" s="48"/>
      <c r="AO339" s="48"/>
      <c r="AP339" s="48"/>
      <c r="AQ339" s="48"/>
      <c r="AR339" s="48"/>
      <c r="AS339" s="48"/>
      <c r="AT339" s="48"/>
      <c r="AU339" s="48"/>
      <c r="AV339" s="48"/>
      <c r="AW339" s="48"/>
      <c r="AX339" s="48"/>
      <c r="AY339" s="48"/>
    </row>
    <row r="340" spans="1:51">
      <c r="A340" s="48"/>
      <c r="B340" s="48"/>
      <c r="C340" s="48"/>
      <c r="D340" s="48"/>
      <c r="E340" s="48"/>
      <c r="F340" s="48"/>
      <c r="G340" s="48"/>
      <c r="H340" s="48"/>
      <c r="I340" s="48"/>
      <c r="J340" s="48"/>
      <c r="K340" s="48"/>
      <c r="L340" s="48"/>
      <c r="M340" s="48"/>
      <c r="N340" s="48"/>
      <c r="O340" s="48"/>
      <c r="P340" s="48"/>
      <c r="Q340" s="48"/>
      <c r="R340" s="48"/>
      <c r="S340" s="48"/>
      <c r="T340" s="48"/>
      <c r="U340" s="48"/>
      <c r="V340" s="48"/>
      <c r="W340" s="48"/>
      <c r="X340" s="48"/>
      <c r="Y340" s="48"/>
      <c r="Z340" s="48"/>
      <c r="AA340" s="48"/>
      <c r="AB340" s="48"/>
      <c r="AC340" s="48"/>
      <c r="AD340" s="48"/>
      <c r="AE340" s="48"/>
      <c r="AF340" s="48"/>
      <c r="AG340" s="48"/>
      <c r="AH340" s="48"/>
      <c r="AI340" s="48"/>
      <c r="AJ340" s="48"/>
      <c r="AK340" s="48"/>
      <c r="AL340" s="48"/>
      <c r="AM340" s="48"/>
      <c r="AN340" s="48"/>
      <c r="AO340" s="48"/>
      <c r="AP340" s="48"/>
      <c r="AQ340" s="48"/>
      <c r="AR340" s="48"/>
      <c r="AS340" s="48"/>
      <c r="AT340" s="48"/>
      <c r="AU340" s="48"/>
      <c r="AV340" s="48"/>
      <c r="AW340" s="48"/>
      <c r="AX340" s="48"/>
      <c r="AY340" s="48"/>
    </row>
    <row r="341" spans="1:51">
      <c r="A341" s="48"/>
      <c r="B341" s="48"/>
      <c r="C341" s="48"/>
      <c r="D341" s="48"/>
      <c r="E341" s="48"/>
      <c r="F341" s="48"/>
      <c r="G341" s="48"/>
      <c r="H341" s="48"/>
      <c r="I341" s="48"/>
      <c r="J341" s="48"/>
      <c r="K341" s="48"/>
      <c r="L341" s="48"/>
      <c r="M341" s="48"/>
      <c r="N341" s="48"/>
      <c r="O341" s="48"/>
      <c r="P341" s="48"/>
      <c r="Q341" s="48"/>
      <c r="R341" s="48"/>
      <c r="S341" s="48"/>
      <c r="T341" s="48"/>
      <c r="U341" s="48"/>
      <c r="V341" s="48"/>
      <c r="W341" s="48"/>
      <c r="X341" s="48"/>
      <c r="Y341" s="48"/>
      <c r="Z341" s="48"/>
      <c r="AA341" s="48"/>
      <c r="AB341" s="48"/>
      <c r="AC341" s="48"/>
      <c r="AD341" s="48"/>
      <c r="AE341" s="48"/>
      <c r="AF341" s="48"/>
      <c r="AG341" s="48"/>
      <c r="AH341" s="48"/>
      <c r="AI341" s="48"/>
      <c r="AJ341" s="48"/>
      <c r="AK341" s="48"/>
      <c r="AL341" s="48"/>
      <c r="AM341" s="48"/>
      <c r="AN341" s="48"/>
      <c r="AO341" s="48"/>
      <c r="AP341" s="48"/>
      <c r="AQ341" s="48"/>
      <c r="AR341" s="48"/>
      <c r="AS341" s="48"/>
      <c r="AT341" s="48"/>
      <c r="AU341" s="48"/>
      <c r="AV341" s="48"/>
      <c r="AW341" s="48"/>
      <c r="AX341" s="48"/>
      <c r="AY341" s="48"/>
    </row>
    <row r="342" spans="1:51">
      <c r="A342" s="48"/>
      <c r="B342" s="48"/>
      <c r="C342" s="48"/>
      <c r="D342" s="48"/>
      <c r="E342" s="48"/>
      <c r="F342" s="48"/>
      <c r="G342" s="48"/>
      <c r="H342" s="48"/>
      <c r="I342" s="48"/>
      <c r="J342" s="48"/>
      <c r="K342" s="48"/>
      <c r="L342" s="48"/>
      <c r="M342" s="48"/>
      <c r="N342" s="48"/>
      <c r="O342" s="48"/>
      <c r="P342" s="48"/>
      <c r="Q342" s="48"/>
      <c r="R342" s="48"/>
      <c r="S342" s="48"/>
      <c r="T342" s="48"/>
      <c r="U342" s="48"/>
      <c r="V342" s="48"/>
      <c r="W342" s="48"/>
      <c r="X342" s="48"/>
      <c r="Y342" s="48"/>
      <c r="Z342" s="48"/>
      <c r="AA342" s="48"/>
      <c r="AB342" s="48"/>
      <c r="AC342" s="48"/>
      <c r="AD342" s="48"/>
      <c r="AE342" s="48"/>
      <c r="AF342" s="48"/>
      <c r="AG342" s="48"/>
      <c r="AH342" s="48"/>
      <c r="AI342" s="48"/>
      <c r="AJ342" s="48"/>
      <c r="AK342" s="48"/>
      <c r="AL342" s="48"/>
      <c r="AM342" s="48"/>
      <c r="AN342" s="48"/>
      <c r="AO342" s="48"/>
      <c r="AP342" s="48"/>
      <c r="AQ342" s="48"/>
      <c r="AR342" s="48"/>
      <c r="AS342" s="48"/>
      <c r="AT342" s="48"/>
      <c r="AU342" s="48"/>
      <c r="AV342" s="48"/>
      <c r="AW342" s="48"/>
      <c r="AX342" s="48"/>
      <c r="AY342" s="48"/>
    </row>
    <row r="343" spans="1:51">
      <c r="A343" s="48"/>
      <c r="B343" s="48"/>
      <c r="C343" s="48"/>
      <c r="D343" s="48"/>
      <c r="E343" s="48"/>
      <c r="F343" s="48"/>
      <c r="G343" s="48"/>
      <c r="H343" s="48"/>
      <c r="I343" s="48"/>
      <c r="J343" s="48"/>
      <c r="K343" s="48"/>
      <c r="L343" s="48"/>
      <c r="M343" s="48"/>
      <c r="N343" s="48"/>
      <c r="O343" s="48"/>
      <c r="P343" s="48"/>
      <c r="Q343" s="48"/>
      <c r="R343" s="48"/>
      <c r="S343" s="48"/>
      <c r="T343" s="48"/>
      <c r="U343" s="48"/>
      <c r="V343" s="48"/>
      <c r="W343" s="48"/>
      <c r="X343" s="48"/>
      <c r="Y343" s="48"/>
      <c r="Z343" s="48"/>
      <c r="AA343" s="48"/>
      <c r="AB343" s="48"/>
      <c r="AC343" s="48"/>
      <c r="AD343" s="48"/>
      <c r="AE343" s="48"/>
      <c r="AF343" s="48"/>
      <c r="AG343" s="48"/>
      <c r="AH343" s="48"/>
      <c r="AI343" s="48"/>
      <c r="AJ343" s="48"/>
      <c r="AK343" s="48"/>
      <c r="AL343" s="48"/>
      <c r="AM343" s="48"/>
      <c r="AN343" s="48"/>
      <c r="AO343" s="48"/>
      <c r="AP343" s="48"/>
      <c r="AQ343" s="48"/>
      <c r="AR343" s="48"/>
      <c r="AS343" s="48"/>
      <c r="AT343" s="48"/>
      <c r="AU343" s="48"/>
      <c r="AV343" s="48"/>
      <c r="AW343" s="48"/>
      <c r="AX343" s="48"/>
      <c r="AY343" s="48"/>
    </row>
    <row r="344" spans="1:51">
      <c r="A344" s="48"/>
      <c r="B344" s="48"/>
      <c r="C344" s="48"/>
      <c r="D344" s="48"/>
      <c r="E344" s="48"/>
      <c r="F344" s="48"/>
      <c r="G344" s="48"/>
      <c r="H344" s="48"/>
      <c r="I344" s="48"/>
      <c r="J344" s="48"/>
      <c r="K344" s="48"/>
      <c r="L344" s="48"/>
      <c r="M344" s="48"/>
      <c r="N344" s="48"/>
      <c r="O344" s="48"/>
      <c r="P344" s="48"/>
      <c r="Q344" s="48"/>
      <c r="R344" s="48"/>
      <c r="S344" s="48"/>
      <c r="T344" s="48"/>
      <c r="U344" s="48"/>
      <c r="V344" s="48"/>
      <c r="W344" s="48"/>
      <c r="X344" s="48"/>
      <c r="Y344" s="48"/>
      <c r="Z344" s="48"/>
      <c r="AA344" s="48"/>
      <c r="AB344" s="48"/>
      <c r="AC344" s="48"/>
      <c r="AD344" s="48"/>
      <c r="AE344" s="48"/>
      <c r="AF344" s="48"/>
      <c r="AG344" s="48"/>
      <c r="AH344" s="48"/>
      <c r="AI344" s="48"/>
      <c r="AJ344" s="48"/>
      <c r="AK344" s="48"/>
      <c r="AL344" s="48"/>
      <c r="AM344" s="48"/>
      <c r="AN344" s="48"/>
      <c r="AO344" s="48"/>
      <c r="AP344" s="48"/>
      <c r="AQ344" s="48"/>
      <c r="AR344" s="48"/>
      <c r="AS344" s="48"/>
      <c r="AT344" s="48"/>
      <c r="AU344" s="48"/>
      <c r="AV344" s="48"/>
      <c r="AW344" s="48"/>
      <c r="AX344" s="48"/>
      <c r="AY344" s="48"/>
    </row>
    <row r="345" spans="1:51">
      <c r="A345" s="48"/>
      <c r="B345" s="48"/>
      <c r="C345" s="48"/>
      <c r="D345" s="48"/>
      <c r="E345" s="48"/>
      <c r="F345" s="48"/>
      <c r="G345" s="48"/>
      <c r="H345" s="48"/>
      <c r="I345" s="48"/>
      <c r="J345" s="48"/>
      <c r="K345" s="48"/>
      <c r="L345" s="48"/>
      <c r="M345" s="48"/>
      <c r="N345" s="48"/>
      <c r="O345" s="48"/>
      <c r="P345" s="48"/>
      <c r="Q345" s="48"/>
      <c r="R345" s="48"/>
      <c r="S345" s="48"/>
      <c r="T345" s="48"/>
      <c r="U345" s="48"/>
      <c r="V345" s="48"/>
      <c r="W345" s="48"/>
      <c r="X345" s="48"/>
      <c r="Y345" s="48"/>
      <c r="Z345" s="48"/>
      <c r="AA345" s="48"/>
      <c r="AB345" s="48"/>
      <c r="AC345" s="48"/>
      <c r="AD345" s="48"/>
      <c r="AE345" s="48"/>
      <c r="AF345" s="48"/>
      <c r="AG345" s="48"/>
      <c r="AH345" s="48"/>
      <c r="AI345" s="48"/>
      <c r="AJ345" s="48"/>
      <c r="AK345" s="48"/>
      <c r="AL345" s="48"/>
      <c r="AM345" s="48"/>
      <c r="AN345" s="48"/>
      <c r="AO345" s="48"/>
      <c r="AP345" s="48"/>
      <c r="AQ345" s="48"/>
      <c r="AR345" s="48"/>
      <c r="AS345" s="48"/>
      <c r="AT345" s="48"/>
      <c r="AU345" s="48"/>
      <c r="AV345" s="48"/>
      <c r="AW345" s="48"/>
      <c r="AX345" s="48"/>
      <c r="AY345" s="48"/>
    </row>
    <row r="346" spans="1:51">
      <c r="A346" s="48"/>
      <c r="B346" s="48"/>
      <c r="C346" s="48"/>
      <c r="D346" s="48"/>
      <c r="E346" s="48"/>
      <c r="F346" s="48"/>
      <c r="G346" s="48"/>
      <c r="H346" s="48"/>
      <c r="I346" s="48"/>
      <c r="J346" s="48"/>
      <c r="K346" s="48"/>
      <c r="L346" s="48"/>
      <c r="M346" s="48"/>
      <c r="N346" s="48"/>
      <c r="O346" s="48"/>
      <c r="P346" s="48"/>
      <c r="Q346" s="48"/>
      <c r="R346" s="48"/>
      <c r="S346" s="48"/>
      <c r="T346" s="48"/>
      <c r="U346" s="48"/>
      <c r="V346" s="48"/>
      <c r="W346" s="48"/>
      <c r="X346" s="48"/>
      <c r="Y346" s="48"/>
      <c r="Z346" s="48"/>
      <c r="AA346" s="48"/>
      <c r="AB346" s="48"/>
      <c r="AC346" s="48"/>
      <c r="AD346" s="48"/>
      <c r="AE346" s="48"/>
      <c r="AF346" s="48"/>
      <c r="AG346" s="48"/>
      <c r="AH346" s="48"/>
      <c r="AI346" s="48"/>
      <c r="AJ346" s="48"/>
      <c r="AK346" s="48"/>
      <c r="AL346" s="48"/>
      <c r="AM346" s="48"/>
      <c r="AN346" s="48"/>
      <c r="AO346" s="48"/>
      <c r="AP346" s="48"/>
      <c r="AQ346" s="48"/>
      <c r="AR346" s="48"/>
      <c r="AS346" s="48"/>
      <c r="AT346" s="48"/>
      <c r="AU346" s="48"/>
      <c r="AV346" s="48"/>
      <c r="AW346" s="48"/>
      <c r="AX346" s="48"/>
      <c r="AY346" s="48"/>
    </row>
    <row r="347" spans="1:51">
      <c r="A347" s="48"/>
      <c r="B347" s="48"/>
      <c r="C347" s="48"/>
      <c r="D347" s="48"/>
      <c r="E347" s="48"/>
      <c r="F347" s="48"/>
      <c r="G347" s="48"/>
      <c r="H347" s="48"/>
      <c r="I347" s="48"/>
      <c r="J347" s="48"/>
      <c r="K347" s="48"/>
      <c r="L347" s="48"/>
      <c r="M347" s="48"/>
      <c r="N347" s="48"/>
      <c r="O347" s="48"/>
      <c r="P347" s="48"/>
      <c r="Q347" s="48"/>
      <c r="R347" s="48"/>
      <c r="S347" s="48"/>
      <c r="T347" s="48"/>
      <c r="U347" s="48"/>
      <c r="V347" s="48"/>
      <c r="W347" s="48"/>
      <c r="X347" s="48"/>
      <c r="Y347" s="48"/>
      <c r="Z347" s="48"/>
      <c r="AA347" s="48"/>
      <c r="AB347" s="48"/>
      <c r="AC347" s="48"/>
      <c r="AD347" s="48"/>
      <c r="AE347" s="48"/>
      <c r="AF347" s="48"/>
      <c r="AG347" s="48"/>
      <c r="AH347" s="48"/>
      <c r="AI347" s="48"/>
      <c r="AJ347" s="48"/>
      <c r="AK347" s="48"/>
      <c r="AL347" s="48"/>
      <c r="AM347" s="48"/>
      <c r="AN347" s="48"/>
      <c r="AO347" s="48"/>
      <c r="AP347" s="48"/>
      <c r="AQ347" s="48"/>
      <c r="AR347" s="48"/>
      <c r="AS347" s="48"/>
      <c r="AT347" s="48"/>
      <c r="AU347" s="48"/>
      <c r="AV347" s="48"/>
      <c r="AW347" s="48"/>
      <c r="AX347" s="48"/>
      <c r="AY347" s="48"/>
    </row>
    <row r="348" spans="1:51">
      <c r="A348" s="48"/>
      <c r="B348" s="48"/>
      <c r="C348" s="48"/>
      <c r="D348" s="48"/>
      <c r="E348" s="48"/>
      <c r="F348" s="48"/>
      <c r="G348" s="48"/>
      <c r="H348" s="48"/>
      <c r="I348" s="48"/>
      <c r="J348" s="48"/>
      <c r="K348" s="48"/>
      <c r="L348" s="48"/>
      <c r="M348" s="48"/>
      <c r="N348" s="48"/>
      <c r="O348" s="48"/>
      <c r="P348" s="48"/>
      <c r="Q348" s="48"/>
      <c r="R348" s="48"/>
      <c r="S348" s="48"/>
      <c r="T348" s="48"/>
      <c r="U348" s="48"/>
      <c r="V348" s="48"/>
      <c r="W348" s="48"/>
      <c r="X348" s="48"/>
      <c r="Y348" s="48"/>
      <c r="Z348" s="48"/>
      <c r="AA348" s="48"/>
      <c r="AB348" s="48"/>
      <c r="AC348" s="48"/>
      <c r="AD348" s="48"/>
      <c r="AE348" s="48"/>
      <c r="AF348" s="48"/>
      <c r="AG348" s="48"/>
      <c r="AH348" s="48"/>
      <c r="AI348" s="48"/>
      <c r="AJ348" s="48"/>
      <c r="AK348" s="48"/>
      <c r="AL348" s="48"/>
      <c r="AM348" s="48"/>
      <c r="AN348" s="48"/>
      <c r="AO348" s="48"/>
      <c r="AP348" s="48"/>
      <c r="AQ348" s="48"/>
      <c r="AR348" s="48"/>
      <c r="AS348" s="48"/>
      <c r="AT348" s="48"/>
      <c r="AU348" s="48"/>
      <c r="AV348" s="48"/>
      <c r="AW348" s="48"/>
      <c r="AX348" s="48"/>
      <c r="AY348" s="48"/>
    </row>
    <row r="349" spans="1:51">
      <c r="A349" s="48"/>
      <c r="B349" s="48"/>
      <c r="C349" s="48"/>
      <c r="D349" s="48"/>
      <c r="E349" s="48"/>
      <c r="F349" s="48"/>
      <c r="G349" s="48"/>
      <c r="H349" s="48"/>
      <c r="I349" s="48"/>
      <c r="J349" s="48"/>
      <c r="K349" s="48"/>
      <c r="L349" s="48"/>
      <c r="M349" s="48"/>
      <c r="N349" s="48"/>
      <c r="O349" s="48"/>
      <c r="P349" s="48"/>
      <c r="Q349" s="48"/>
      <c r="R349" s="48"/>
      <c r="S349" s="48"/>
      <c r="T349" s="48"/>
      <c r="U349" s="48"/>
      <c r="V349" s="48"/>
      <c r="W349" s="48"/>
      <c r="X349" s="48"/>
      <c r="Y349" s="48"/>
      <c r="Z349" s="48"/>
      <c r="AA349" s="48"/>
      <c r="AB349" s="48"/>
      <c r="AC349" s="48"/>
      <c r="AD349" s="48"/>
      <c r="AE349" s="48"/>
      <c r="AF349" s="48"/>
      <c r="AG349" s="48"/>
      <c r="AH349" s="48"/>
      <c r="AI349" s="48"/>
      <c r="AJ349" s="48"/>
      <c r="AK349" s="48"/>
      <c r="AL349" s="48"/>
      <c r="AM349" s="48"/>
      <c r="AN349" s="48"/>
      <c r="AO349" s="48"/>
      <c r="AP349" s="48"/>
      <c r="AQ349" s="48"/>
      <c r="AR349" s="48"/>
      <c r="AS349" s="48"/>
      <c r="AT349" s="48"/>
      <c r="AU349" s="48"/>
      <c r="AV349" s="48"/>
      <c r="AW349" s="48"/>
      <c r="AX349" s="48"/>
      <c r="AY349" s="48"/>
    </row>
    <row r="350" spans="1:51">
      <c r="A350" s="48"/>
      <c r="B350" s="48"/>
      <c r="C350" s="48"/>
      <c r="D350" s="48"/>
      <c r="E350" s="48"/>
      <c r="F350" s="48"/>
      <c r="G350" s="48"/>
      <c r="H350" s="48"/>
      <c r="I350" s="48"/>
      <c r="J350" s="48"/>
      <c r="K350" s="48"/>
      <c r="L350" s="48"/>
      <c r="M350" s="48"/>
      <c r="N350" s="48"/>
      <c r="O350" s="48"/>
      <c r="P350" s="48"/>
      <c r="Q350" s="48"/>
      <c r="R350" s="48"/>
      <c r="S350" s="48"/>
      <c r="T350" s="48"/>
      <c r="U350" s="48"/>
      <c r="V350" s="48"/>
      <c r="W350" s="48"/>
      <c r="X350" s="48"/>
      <c r="Y350" s="48"/>
      <c r="Z350" s="48"/>
      <c r="AA350" s="48"/>
      <c r="AB350" s="48"/>
      <c r="AC350" s="48"/>
      <c r="AD350" s="48"/>
      <c r="AE350" s="48"/>
      <c r="AF350" s="48"/>
      <c r="AG350" s="48"/>
      <c r="AH350" s="48"/>
      <c r="AI350" s="48"/>
      <c r="AJ350" s="48"/>
      <c r="AK350" s="48"/>
      <c r="AL350" s="48"/>
      <c r="AM350" s="48"/>
      <c r="AN350" s="48"/>
      <c r="AO350" s="48"/>
      <c r="AP350" s="48"/>
      <c r="AQ350" s="48"/>
      <c r="AR350" s="48"/>
      <c r="AS350" s="48"/>
      <c r="AT350" s="48"/>
      <c r="AU350" s="48"/>
      <c r="AV350" s="48"/>
      <c r="AW350" s="48"/>
      <c r="AX350" s="48"/>
      <c r="AY350" s="48"/>
    </row>
    <row r="351" spans="1:51">
      <c r="A351" s="48"/>
      <c r="B351" s="48"/>
      <c r="C351" s="48"/>
      <c r="D351" s="48"/>
      <c r="E351" s="48"/>
      <c r="F351" s="48"/>
      <c r="G351" s="48"/>
      <c r="H351" s="48"/>
      <c r="I351" s="48"/>
      <c r="J351" s="48"/>
      <c r="K351" s="48"/>
      <c r="L351" s="48"/>
      <c r="M351" s="48"/>
      <c r="N351" s="48"/>
      <c r="O351" s="48"/>
      <c r="P351" s="48"/>
      <c r="Q351" s="48"/>
      <c r="R351" s="48"/>
      <c r="S351" s="48"/>
      <c r="T351" s="48"/>
      <c r="U351" s="48"/>
      <c r="V351" s="48"/>
      <c r="W351" s="48"/>
      <c r="X351" s="48"/>
      <c r="Y351" s="48"/>
      <c r="Z351" s="48"/>
      <c r="AA351" s="48"/>
      <c r="AB351" s="48"/>
      <c r="AC351" s="48"/>
      <c r="AD351" s="48"/>
      <c r="AE351" s="48"/>
      <c r="AF351" s="48"/>
      <c r="AG351" s="48"/>
      <c r="AH351" s="48"/>
      <c r="AI351" s="48"/>
      <c r="AJ351" s="48"/>
      <c r="AK351" s="48"/>
      <c r="AL351" s="48"/>
      <c r="AM351" s="48"/>
      <c r="AN351" s="48"/>
      <c r="AO351" s="48"/>
      <c r="AP351" s="48"/>
      <c r="AQ351" s="48"/>
      <c r="AR351" s="48"/>
      <c r="AS351" s="48"/>
      <c r="AT351" s="48"/>
      <c r="AU351" s="48"/>
      <c r="AV351" s="48"/>
      <c r="AW351" s="48"/>
      <c r="AX351" s="48"/>
      <c r="AY351" s="48"/>
    </row>
    <row r="352" spans="1:51">
      <c r="A352" s="48"/>
      <c r="B352" s="48"/>
      <c r="C352" s="48"/>
      <c r="D352" s="48"/>
      <c r="E352" s="48"/>
      <c r="F352" s="48"/>
      <c r="G352" s="48"/>
      <c r="H352" s="48"/>
      <c r="I352" s="48"/>
      <c r="J352" s="48"/>
      <c r="K352" s="48"/>
      <c r="L352" s="48"/>
      <c r="M352" s="48"/>
      <c r="N352" s="48"/>
      <c r="O352" s="48"/>
      <c r="P352" s="48"/>
      <c r="Q352" s="48"/>
      <c r="R352" s="48"/>
      <c r="S352" s="48"/>
      <c r="T352" s="48"/>
      <c r="U352" s="48"/>
      <c r="V352" s="48"/>
      <c r="W352" s="48"/>
      <c r="X352" s="48"/>
      <c r="Y352" s="48"/>
      <c r="Z352" s="48"/>
      <c r="AA352" s="48"/>
      <c r="AB352" s="48"/>
      <c r="AC352" s="48"/>
      <c r="AD352" s="48"/>
      <c r="AE352" s="48"/>
      <c r="AF352" s="48"/>
      <c r="AG352" s="48"/>
      <c r="AH352" s="48"/>
      <c r="AI352" s="48"/>
      <c r="AJ352" s="48"/>
      <c r="AK352" s="48"/>
      <c r="AL352" s="48"/>
      <c r="AM352" s="48"/>
      <c r="AN352" s="48"/>
      <c r="AO352" s="48"/>
      <c r="AP352" s="48"/>
      <c r="AQ352" s="48"/>
      <c r="AR352" s="48"/>
      <c r="AS352" s="48"/>
      <c r="AT352" s="48"/>
      <c r="AU352" s="48"/>
      <c r="AV352" s="48"/>
      <c r="AW352" s="48"/>
      <c r="AX352" s="48"/>
      <c r="AY352" s="48"/>
    </row>
    <row r="353" spans="1:51">
      <c r="A353" s="48"/>
      <c r="B353" s="48"/>
      <c r="C353" s="48"/>
      <c r="D353" s="48"/>
      <c r="E353" s="48"/>
      <c r="F353" s="48"/>
      <c r="G353" s="48"/>
      <c r="H353" s="48"/>
      <c r="I353" s="48"/>
      <c r="J353" s="48"/>
      <c r="K353" s="48"/>
      <c r="L353" s="48"/>
      <c r="M353" s="48"/>
      <c r="N353" s="48"/>
      <c r="O353" s="48"/>
      <c r="P353" s="48"/>
      <c r="Q353" s="48"/>
      <c r="R353" s="48"/>
      <c r="S353" s="48"/>
      <c r="T353" s="48"/>
      <c r="U353" s="48"/>
      <c r="V353" s="48"/>
      <c r="W353" s="48"/>
      <c r="X353" s="48"/>
      <c r="Y353" s="48"/>
      <c r="Z353" s="48"/>
      <c r="AA353" s="48"/>
      <c r="AB353" s="48"/>
      <c r="AC353" s="48"/>
      <c r="AD353" s="48"/>
      <c r="AE353" s="48"/>
      <c r="AF353" s="48"/>
      <c r="AG353" s="48"/>
      <c r="AH353" s="48"/>
      <c r="AI353" s="48"/>
      <c r="AJ353" s="48"/>
      <c r="AK353" s="48"/>
      <c r="AL353" s="48"/>
      <c r="AM353" s="48"/>
      <c r="AN353" s="48"/>
      <c r="AO353" s="48"/>
      <c r="AP353" s="48"/>
      <c r="AQ353" s="48"/>
      <c r="AR353" s="48"/>
      <c r="AS353" s="48"/>
      <c r="AT353" s="48"/>
      <c r="AU353" s="48"/>
      <c r="AV353" s="48"/>
      <c r="AW353" s="48"/>
      <c r="AX353" s="48"/>
      <c r="AY353" s="48"/>
    </row>
    <row r="354" spans="1:51">
      <c r="A354" s="48"/>
      <c r="B354" s="48"/>
      <c r="C354" s="48"/>
      <c r="D354" s="48"/>
      <c r="E354" s="48"/>
      <c r="F354" s="48"/>
      <c r="G354" s="48"/>
      <c r="H354" s="48"/>
      <c r="I354" s="48"/>
      <c r="J354" s="48"/>
      <c r="K354" s="48"/>
      <c r="L354" s="48"/>
      <c r="M354" s="48"/>
      <c r="N354" s="48"/>
      <c r="O354" s="48"/>
      <c r="P354" s="48"/>
      <c r="Q354" s="48"/>
      <c r="R354" s="48"/>
      <c r="S354" s="48"/>
      <c r="T354" s="48"/>
      <c r="U354" s="48"/>
      <c r="V354" s="48"/>
      <c r="W354" s="48"/>
      <c r="X354" s="48"/>
      <c r="Y354" s="48"/>
      <c r="Z354" s="48"/>
      <c r="AA354" s="48"/>
      <c r="AB354" s="48"/>
      <c r="AC354" s="48"/>
      <c r="AD354" s="48"/>
      <c r="AE354" s="48"/>
      <c r="AF354" s="48"/>
      <c r="AG354" s="48"/>
      <c r="AH354" s="48"/>
      <c r="AI354" s="48"/>
      <c r="AJ354" s="48"/>
      <c r="AK354" s="48"/>
      <c r="AL354" s="48"/>
      <c r="AM354" s="48"/>
      <c r="AN354" s="48"/>
      <c r="AO354" s="48"/>
      <c r="AP354" s="48"/>
      <c r="AQ354" s="48"/>
      <c r="AR354" s="48"/>
      <c r="AS354" s="48"/>
      <c r="AT354" s="48"/>
      <c r="AU354" s="48"/>
      <c r="AV354" s="48"/>
      <c r="AW354" s="48"/>
      <c r="AX354" s="48"/>
      <c r="AY354" s="48"/>
    </row>
    <row r="355" spans="1:51">
      <c r="A355" s="48"/>
      <c r="B355" s="48"/>
      <c r="C355" s="48"/>
      <c r="D355" s="48"/>
      <c r="E355" s="48"/>
      <c r="F355" s="48"/>
      <c r="G355" s="48"/>
      <c r="H355" s="48"/>
      <c r="I355" s="48"/>
      <c r="J355" s="48"/>
      <c r="K355" s="48"/>
      <c r="L355" s="48"/>
      <c r="M355" s="48"/>
      <c r="N355" s="48"/>
      <c r="O355" s="48"/>
      <c r="P355" s="48"/>
      <c r="Q355" s="48"/>
      <c r="R355" s="48"/>
      <c r="S355" s="48"/>
      <c r="T355" s="48"/>
      <c r="U355" s="48"/>
      <c r="V355" s="48"/>
      <c r="W355" s="48"/>
      <c r="X355" s="48"/>
      <c r="Y355" s="48"/>
      <c r="Z355" s="48"/>
      <c r="AA355" s="48"/>
      <c r="AB355" s="48"/>
      <c r="AC355" s="48"/>
      <c r="AD355" s="48"/>
      <c r="AE355" s="48"/>
      <c r="AF355" s="48"/>
      <c r="AG355" s="48"/>
      <c r="AH355" s="48"/>
      <c r="AI355" s="48"/>
      <c r="AJ355" s="48"/>
      <c r="AK355" s="48"/>
      <c r="AL355" s="48"/>
      <c r="AM355" s="48"/>
      <c r="AN355" s="48"/>
      <c r="AO355" s="48"/>
      <c r="AP355" s="48"/>
      <c r="AQ355" s="48"/>
      <c r="AR355" s="48"/>
      <c r="AS355" s="48"/>
      <c r="AT355" s="48"/>
      <c r="AU355" s="48"/>
      <c r="AV355" s="48"/>
      <c r="AW355" s="48"/>
      <c r="AX355" s="48"/>
      <c r="AY355" s="48"/>
    </row>
    <row r="356" spans="1:51">
      <c r="A356" s="48"/>
      <c r="B356" s="48"/>
      <c r="C356" s="48"/>
      <c r="D356" s="48"/>
      <c r="E356" s="48"/>
      <c r="F356" s="48"/>
      <c r="G356" s="48"/>
      <c r="H356" s="48"/>
      <c r="I356" s="48"/>
      <c r="J356" s="48"/>
      <c r="K356" s="48"/>
      <c r="L356" s="48"/>
      <c r="M356" s="48"/>
      <c r="N356" s="48"/>
      <c r="O356" s="48"/>
      <c r="P356" s="48"/>
      <c r="Q356" s="48"/>
      <c r="R356" s="48"/>
      <c r="S356" s="48"/>
      <c r="T356" s="48"/>
      <c r="U356" s="48"/>
      <c r="V356" s="48"/>
      <c r="W356" s="48"/>
      <c r="X356" s="48"/>
      <c r="Y356" s="48"/>
      <c r="Z356" s="48"/>
      <c r="AA356" s="48"/>
      <c r="AB356" s="48"/>
      <c r="AC356" s="48"/>
      <c r="AD356" s="48"/>
      <c r="AE356" s="48"/>
      <c r="AF356" s="48"/>
      <c r="AG356" s="48"/>
      <c r="AH356" s="48"/>
      <c r="AI356" s="48"/>
      <c r="AJ356" s="48"/>
      <c r="AK356" s="48"/>
      <c r="AL356" s="48"/>
      <c r="AM356" s="48"/>
      <c r="AN356" s="48"/>
      <c r="AO356" s="48"/>
      <c r="AP356" s="48"/>
      <c r="AQ356" s="48"/>
      <c r="AR356" s="48"/>
      <c r="AS356" s="48"/>
      <c r="AT356" s="48"/>
      <c r="AU356" s="48"/>
      <c r="AV356" s="48"/>
      <c r="AW356" s="48"/>
      <c r="AX356" s="48"/>
      <c r="AY356" s="48"/>
    </row>
    <row r="357" spans="1:51">
      <c r="A357" s="48"/>
      <c r="B357" s="48"/>
      <c r="C357" s="48"/>
      <c r="D357" s="48"/>
      <c r="E357" s="48"/>
      <c r="F357" s="48"/>
      <c r="G357" s="48"/>
      <c r="H357" s="48"/>
      <c r="I357" s="48"/>
      <c r="J357" s="48"/>
      <c r="K357" s="48"/>
      <c r="L357" s="48"/>
      <c r="M357" s="48"/>
      <c r="N357" s="48"/>
      <c r="O357" s="48"/>
      <c r="P357" s="48"/>
      <c r="Q357" s="48"/>
      <c r="R357" s="48"/>
      <c r="S357" s="48"/>
      <c r="T357" s="48"/>
      <c r="U357" s="48"/>
      <c r="V357" s="48"/>
      <c r="W357" s="48"/>
      <c r="X357" s="48"/>
      <c r="Y357" s="48"/>
      <c r="Z357" s="48"/>
      <c r="AA357" s="48"/>
      <c r="AB357" s="48"/>
      <c r="AC357" s="48"/>
      <c r="AD357" s="48"/>
      <c r="AE357" s="48"/>
      <c r="AF357" s="48"/>
      <c r="AG357" s="48"/>
      <c r="AH357" s="48"/>
      <c r="AI357" s="48"/>
      <c r="AJ357" s="48"/>
      <c r="AK357" s="48"/>
      <c r="AL357" s="48"/>
      <c r="AM357" s="48"/>
      <c r="AN357" s="48"/>
      <c r="AO357" s="48"/>
      <c r="AP357" s="48"/>
      <c r="AQ357" s="48"/>
      <c r="AR357" s="48"/>
      <c r="AS357" s="48"/>
      <c r="AT357" s="48"/>
      <c r="AU357" s="48"/>
      <c r="AV357" s="48"/>
      <c r="AW357" s="48"/>
      <c r="AX357" s="48"/>
      <c r="AY357" s="48"/>
    </row>
    <row r="358" spans="1:51">
      <c r="A358" s="48"/>
      <c r="B358" s="48"/>
      <c r="C358" s="48"/>
      <c r="D358" s="48"/>
      <c r="E358" s="48"/>
      <c r="F358" s="48"/>
      <c r="G358" s="48"/>
      <c r="H358" s="48"/>
      <c r="I358" s="48"/>
      <c r="J358" s="48"/>
      <c r="K358" s="48"/>
      <c r="L358" s="48"/>
      <c r="M358" s="48"/>
      <c r="N358" s="48"/>
      <c r="O358" s="48"/>
      <c r="P358" s="48"/>
      <c r="Q358" s="48"/>
      <c r="R358" s="48"/>
      <c r="S358" s="48"/>
      <c r="T358" s="48"/>
      <c r="U358" s="48"/>
      <c r="V358" s="48"/>
      <c r="W358" s="48"/>
      <c r="X358" s="48"/>
      <c r="Y358" s="48"/>
      <c r="Z358" s="48"/>
      <c r="AA358" s="48"/>
      <c r="AB358" s="48"/>
      <c r="AC358" s="48"/>
      <c r="AD358" s="48"/>
      <c r="AE358" s="48"/>
      <c r="AF358" s="48"/>
      <c r="AG358" s="48"/>
      <c r="AH358" s="48"/>
      <c r="AI358" s="48"/>
      <c r="AJ358" s="48"/>
      <c r="AK358" s="48"/>
      <c r="AL358" s="48"/>
      <c r="AM358" s="48"/>
      <c r="AN358" s="48"/>
      <c r="AO358" s="48"/>
      <c r="AP358" s="48"/>
      <c r="AQ358" s="48"/>
      <c r="AR358" s="48"/>
      <c r="AS358" s="48"/>
      <c r="AT358" s="48"/>
      <c r="AU358" s="48"/>
      <c r="AV358" s="48"/>
      <c r="AW358" s="48"/>
      <c r="AX358" s="48"/>
      <c r="AY358" s="48"/>
    </row>
    <row r="359" spans="1:51">
      <c r="A359" s="48"/>
      <c r="B359" s="48"/>
      <c r="C359" s="48"/>
      <c r="D359" s="48"/>
      <c r="E359" s="48"/>
      <c r="F359" s="48"/>
      <c r="G359" s="48"/>
      <c r="H359" s="48"/>
      <c r="I359" s="48"/>
      <c r="J359" s="48"/>
      <c r="K359" s="48"/>
      <c r="L359" s="48"/>
      <c r="M359" s="48"/>
      <c r="N359" s="48"/>
      <c r="O359" s="48"/>
      <c r="P359" s="48"/>
      <c r="Q359" s="48"/>
      <c r="R359" s="48"/>
      <c r="S359" s="48"/>
      <c r="T359" s="48"/>
      <c r="U359" s="48"/>
      <c r="V359" s="48"/>
      <c r="W359" s="48"/>
      <c r="X359" s="48"/>
      <c r="Y359" s="48"/>
      <c r="Z359" s="48"/>
      <c r="AA359" s="48"/>
      <c r="AB359" s="48"/>
      <c r="AC359" s="48"/>
      <c r="AD359" s="48"/>
      <c r="AE359" s="48"/>
      <c r="AF359" s="48"/>
      <c r="AG359" s="48"/>
      <c r="AH359" s="48"/>
      <c r="AI359" s="48"/>
      <c r="AJ359" s="48"/>
      <c r="AK359" s="48"/>
      <c r="AL359" s="48"/>
      <c r="AM359" s="48"/>
      <c r="AN359" s="48"/>
      <c r="AO359" s="48"/>
      <c r="AP359" s="48"/>
      <c r="AQ359" s="48"/>
      <c r="AR359" s="48"/>
      <c r="AS359" s="48"/>
      <c r="AT359" s="48"/>
      <c r="AU359" s="48"/>
      <c r="AV359" s="48"/>
      <c r="AW359" s="48"/>
      <c r="AX359" s="48"/>
      <c r="AY359" s="48"/>
    </row>
    <row r="360" spans="1:51">
      <c r="A360" s="48"/>
      <c r="B360" s="48"/>
      <c r="C360" s="48"/>
      <c r="D360" s="48"/>
      <c r="E360" s="48"/>
      <c r="F360" s="48"/>
      <c r="G360" s="48"/>
      <c r="H360" s="48"/>
      <c r="I360" s="48"/>
      <c r="J360" s="48"/>
      <c r="K360" s="48"/>
      <c r="L360" s="48"/>
      <c r="M360" s="48"/>
      <c r="N360" s="48"/>
      <c r="O360" s="48"/>
      <c r="P360" s="48"/>
      <c r="Q360" s="48"/>
      <c r="R360" s="48"/>
      <c r="S360" s="48"/>
      <c r="T360" s="48"/>
      <c r="U360" s="48"/>
      <c r="V360" s="48"/>
      <c r="W360" s="48"/>
      <c r="X360" s="48"/>
      <c r="Y360" s="48"/>
      <c r="Z360" s="48"/>
      <c r="AA360" s="48"/>
      <c r="AB360" s="48"/>
      <c r="AC360" s="48"/>
      <c r="AD360" s="48"/>
      <c r="AE360" s="48"/>
      <c r="AF360" s="48"/>
      <c r="AG360" s="48"/>
      <c r="AH360" s="48"/>
      <c r="AI360" s="48"/>
      <c r="AJ360" s="48"/>
      <c r="AK360" s="48"/>
      <c r="AL360" s="48"/>
      <c r="AM360" s="48"/>
      <c r="AN360" s="48"/>
      <c r="AO360" s="48"/>
      <c r="AP360" s="48"/>
      <c r="AQ360" s="48"/>
      <c r="AR360" s="48"/>
      <c r="AS360" s="48"/>
      <c r="AT360" s="48"/>
      <c r="AU360" s="48"/>
      <c r="AV360" s="48"/>
      <c r="AW360" s="48"/>
      <c r="AX360" s="48"/>
      <c r="AY360" s="48"/>
    </row>
    <row r="361" spans="1:51">
      <c r="A361" s="48"/>
      <c r="B361" s="48"/>
      <c r="C361" s="48"/>
      <c r="D361" s="48"/>
      <c r="E361" s="48"/>
      <c r="F361" s="48"/>
      <c r="G361" s="48"/>
      <c r="H361" s="48"/>
      <c r="I361" s="48"/>
      <c r="J361" s="48"/>
      <c r="K361" s="48"/>
      <c r="L361" s="48"/>
      <c r="M361" s="48"/>
      <c r="N361" s="48"/>
      <c r="O361" s="48"/>
      <c r="P361" s="48"/>
      <c r="Q361" s="48"/>
      <c r="R361" s="48"/>
      <c r="S361" s="48"/>
      <c r="T361" s="48"/>
      <c r="U361" s="48"/>
      <c r="V361" s="48"/>
      <c r="W361" s="48"/>
      <c r="X361" s="48"/>
      <c r="Y361" s="48"/>
      <c r="Z361" s="48"/>
      <c r="AA361" s="48"/>
      <c r="AB361" s="48"/>
      <c r="AC361" s="48"/>
      <c r="AD361" s="48"/>
      <c r="AE361" s="48"/>
      <c r="AF361" s="48"/>
      <c r="AG361" s="48"/>
      <c r="AH361" s="48"/>
      <c r="AI361" s="48"/>
      <c r="AJ361" s="48"/>
      <c r="AK361" s="48"/>
      <c r="AL361" s="48"/>
      <c r="AM361" s="48"/>
      <c r="AN361" s="48"/>
      <c r="AO361" s="48"/>
      <c r="AP361" s="48"/>
      <c r="AQ361" s="48"/>
      <c r="AR361" s="48"/>
      <c r="AS361" s="48"/>
      <c r="AT361" s="48"/>
      <c r="AU361" s="48"/>
      <c r="AV361" s="48"/>
      <c r="AW361" s="48"/>
      <c r="AX361" s="48"/>
      <c r="AY361" s="48"/>
    </row>
    <row r="362" spans="1:51">
      <c r="A362" s="48"/>
      <c r="B362" s="48"/>
      <c r="C362" s="48"/>
      <c r="D362" s="48"/>
      <c r="E362" s="48"/>
      <c r="F362" s="48"/>
      <c r="G362" s="48"/>
      <c r="H362" s="48"/>
      <c r="I362" s="48"/>
      <c r="J362" s="48"/>
      <c r="K362" s="48"/>
      <c r="L362" s="48"/>
      <c r="M362" s="48"/>
      <c r="N362" s="48"/>
      <c r="O362" s="48"/>
      <c r="P362" s="48"/>
      <c r="Q362" s="48"/>
      <c r="R362" s="48"/>
      <c r="S362" s="48"/>
      <c r="T362" s="48"/>
      <c r="U362" s="48"/>
      <c r="V362" s="48"/>
      <c r="W362" s="48"/>
      <c r="X362" s="48"/>
      <c r="Y362" s="48"/>
      <c r="Z362" s="48"/>
      <c r="AA362" s="48"/>
      <c r="AB362" s="48"/>
      <c r="AC362" s="48"/>
      <c r="AD362" s="48"/>
      <c r="AE362" s="48"/>
      <c r="AF362" s="48"/>
      <c r="AG362" s="48"/>
      <c r="AH362" s="48"/>
      <c r="AI362" s="48"/>
      <c r="AJ362" s="48"/>
      <c r="AK362" s="48"/>
      <c r="AL362" s="48"/>
      <c r="AM362" s="48"/>
      <c r="AN362" s="48"/>
      <c r="AO362" s="48"/>
      <c r="AP362" s="48"/>
      <c r="AQ362" s="48"/>
      <c r="AR362" s="48"/>
      <c r="AS362" s="48"/>
      <c r="AT362" s="48"/>
      <c r="AU362" s="48"/>
      <c r="AV362" s="48"/>
      <c r="AW362" s="48"/>
      <c r="AX362" s="48"/>
      <c r="AY362" s="48"/>
    </row>
    <row r="363" spans="1:51">
      <c r="A363" s="48"/>
      <c r="B363" s="48"/>
      <c r="C363" s="48"/>
      <c r="D363" s="48"/>
      <c r="E363" s="48"/>
      <c r="F363" s="48"/>
      <c r="G363" s="48"/>
      <c r="H363" s="48"/>
      <c r="I363" s="48"/>
      <c r="J363" s="48"/>
      <c r="K363" s="48"/>
      <c r="L363" s="48"/>
      <c r="M363" s="48"/>
      <c r="N363" s="48"/>
      <c r="O363" s="48"/>
      <c r="P363" s="48"/>
      <c r="Q363" s="48"/>
      <c r="R363" s="48"/>
      <c r="S363" s="48"/>
      <c r="T363" s="48"/>
      <c r="U363" s="48"/>
      <c r="V363" s="48"/>
      <c r="W363" s="48"/>
      <c r="X363" s="48"/>
      <c r="Y363" s="48"/>
      <c r="Z363" s="48"/>
      <c r="AA363" s="48"/>
      <c r="AB363" s="48"/>
      <c r="AC363" s="48"/>
      <c r="AD363" s="48"/>
      <c r="AE363" s="48"/>
      <c r="AF363" s="48"/>
      <c r="AG363" s="48"/>
      <c r="AH363" s="48"/>
      <c r="AI363" s="48"/>
      <c r="AJ363" s="48"/>
      <c r="AK363" s="48"/>
      <c r="AL363" s="48"/>
      <c r="AM363" s="48"/>
      <c r="AN363" s="48"/>
      <c r="AO363" s="48"/>
      <c r="AP363" s="48"/>
      <c r="AQ363" s="48"/>
      <c r="AR363" s="48"/>
      <c r="AS363" s="48"/>
      <c r="AT363" s="48"/>
      <c r="AU363" s="48"/>
      <c r="AV363" s="48"/>
      <c r="AW363" s="48"/>
      <c r="AX363" s="48"/>
      <c r="AY363" s="48"/>
    </row>
    <row r="364" spans="1:51">
      <c r="A364" s="48"/>
      <c r="B364" s="48"/>
      <c r="C364" s="48"/>
      <c r="D364" s="48"/>
      <c r="E364" s="48"/>
      <c r="F364" s="48"/>
      <c r="G364" s="48"/>
      <c r="H364" s="48"/>
      <c r="I364" s="48"/>
      <c r="J364" s="48"/>
      <c r="K364" s="48"/>
      <c r="L364" s="48"/>
      <c r="M364" s="48"/>
      <c r="N364" s="48"/>
      <c r="O364" s="48"/>
      <c r="P364" s="48"/>
      <c r="Q364" s="48"/>
      <c r="R364" s="48"/>
      <c r="S364" s="48"/>
      <c r="T364" s="48"/>
      <c r="U364" s="48"/>
      <c r="V364" s="48"/>
      <c r="W364" s="48"/>
      <c r="X364" s="48"/>
      <c r="Y364" s="48"/>
      <c r="Z364" s="48"/>
      <c r="AA364" s="48"/>
      <c r="AB364" s="48"/>
      <c r="AC364" s="48"/>
      <c r="AD364" s="48"/>
      <c r="AE364" s="48"/>
      <c r="AF364" s="48"/>
      <c r="AG364" s="48"/>
      <c r="AH364" s="48"/>
      <c r="AI364" s="48"/>
      <c r="AJ364" s="48"/>
      <c r="AK364" s="48"/>
      <c r="AL364" s="48"/>
      <c r="AM364" s="48"/>
      <c r="AN364" s="48"/>
      <c r="AO364" s="48"/>
      <c r="AP364" s="48"/>
      <c r="AQ364" s="48"/>
      <c r="AR364" s="48"/>
      <c r="AS364" s="48"/>
      <c r="AT364" s="48"/>
      <c r="AU364" s="48"/>
      <c r="AV364" s="48"/>
      <c r="AW364" s="48"/>
      <c r="AX364" s="48"/>
      <c r="AY364" s="48"/>
    </row>
    <row r="365" spans="1:51">
      <c r="A365" s="48"/>
      <c r="B365" s="48"/>
      <c r="C365" s="48"/>
      <c r="D365" s="48"/>
      <c r="E365" s="48"/>
      <c r="F365" s="48"/>
      <c r="G365" s="48"/>
      <c r="H365" s="48"/>
      <c r="I365" s="48"/>
      <c r="J365" s="48"/>
      <c r="K365" s="48"/>
      <c r="L365" s="48"/>
      <c r="M365" s="48"/>
      <c r="N365" s="48"/>
      <c r="O365" s="48"/>
      <c r="P365" s="48"/>
      <c r="Q365" s="48"/>
      <c r="R365" s="48"/>
      <c r="S365" s="48"/>
      <c r="T365" s="48"/>
      <c r="U365" s="48"/>
      <c r="V365" s="48"/>
      <c r="W365" s="48"/>
      <c r="X365" s="48"/>
      <c r="Y365" s="48"/>
      <c r="Z365" s="48"/>
      <c r="AA365" s="48"/>
      <c r="AB365" s="48"/>
      <c r="AC365" s="48"/>
      <c r="AD365" s="48"/>
      <c r="AE365" s="48"/>
      <c r="AF365" s="48"/>
      <c r="AG365" s="48"/>
      <c r="AH365" s="48"/>
      <c r="AI365" s="48"/>
      <c r="AJ365" s="48"/>
      <c r="AK365" s="48"/>
      <c r="AL365" s="48"/>
      <c r="AM365" s="48"/>
      <c r="AN365" s="48"/>
      <c r="AO365" s="48"/>
      <c r="AP365" s="48"/>
      <c r="AQ365" s="48"/>
      <c r="AR365" s="48"/>
      <c r="AS365" s="48"/>
      <c r="AT365" s="48"/>
      <c r="AU365" s="48"/>
      <c r="AV365" s="48"/>
      <c r="AW365" s="48"/>
      <c r="AX365" s="48"/>
      <c r="AY365" s="48"/>
    </row>
    <row r="366" spans="1:51">
      <c r="A366" s="48"/>
      <c r="B366" s="48"/>
      <c r="C366" s="48"/>
      <c r="D366" s="48"/>
      <c r="E366" s="48"/>
      <c r="F366" s="48"/>
      <c r="G366" s="48"/>
      <c r="H366" s="48"/>
      <c r="I366" s="48"/>
      <c r="J366" s="48"/>
      <c r="K366" s="48"/>
      <c r="L366" s="48"/>
      <c r="M366" s="48"/>
      <c r="N366" s="48"/>
      <c r="O366" s="48"/>
      <c r="P366" s="48"/>
      <c r="Q366" s="48"/>
      <c r="R366" s="48"/>
      <c r="S366" s="48"/>
      <c r="T366" s="48"/>
      <c r="U366" s="48"/>
      <c r="V366" s="48"/>
      <c r="W366" s="48"/>
      <c r="X366" s="48"/>
      <c r="Y366" s="48"/>
      <c r="Z366" s="48"/>
      <c r="AA366" s="48"/>
      <c r="AB366" s="48"/>
      <c r="AC366" s="48"/>
      <c r="AD366" s="48"/>
      <c r="AE366" s="48"/>
      <c r="AF366" s="48"/>
      <c r="AG366" s="48"/>
      <c r="AH366" s="48"/>
      <c r="AI366" s="48"/>
      <c r="AJ366" s="48"/>
      <c r="AK366" s="48"/>
      <c r="AL366" s="48"/>
      <c r="AM366" s="48"/>
      <c r="AN366" s="48"/>
      <c r="AO366" s="48"/>
      <c r="AP366" s="48"/>
      <c r="AQ366" s="48"/>
      <c r="AR366" s="48"/>
      <c r="AS366" s="48"/>
      <c r="AT366" s="48"/>
      <c r="AU366" s="48"/>
      <c r="AV366" s="48"/>
      <c r="AW366" s="48"/>
      <c r="AX366" s="48"/>
      <c r="AY366" s="48"/>
    </row>
    <row r="367" spans="1:51">
      <c r="A367" s="48"/>
      <c r="B367" s="48"/>
      <c r="C367" s="48"/>
      <c r="D367" s="48"/>
      <c r="E367" s="48"/>
      <c r="F367" s="48"/>
      <c r="G367" s="48"/>
      <c r="H367" s="48"/>
      <c r="I367" s="48"/>
      <c r="J367" s="48"/>
      <c r="K367" s="48"/>
      <c r="L367" s="48"/>
      <c r="M367" s="48"/>
      <c r="N367" s="48"/>
      <c r="O367" s="48"/>
      <c r="P367" s="48"/>
      <c r="Q367" s="48"/>
      <c r="R367" s="48"/>
      <c r="S367" s="48"/>
      <c r="T367" s="48"/>
      <c r="U367" s="48"/>
      <c r="V367" s="48"/>
      <c r="W367" s="48"/>
      <c r="X367" s="48"/>
      <c r="Y367" s="48"/>
      <c r="Z367" s="48"/>
      <c r="AA367" s="48"/>
      <c r="AB367" s="48"/>
      <c r="AC367" s="48"/>
      <c r="AD367" s="48"/>
      <c r="AE367" s="48"/>
      <c r="AF367" s="48"/>
      <c r="AG367" s="48"/>
      <c r="AH367" s="48"/>
      <c r="AI367" s="48"/>
      <c r="AJ367" s="48"/>
      <c r="AK367" s="48"/>
      <c r="AL367" s="48"/>
      <c r="AM367" s="48"/>
      <c r="AN367" s="48"/>
      <c r="AO367" s="48"/>
      <c r="AP367" s="48"/>
      <c r="AQ367" s="48"/>
      <c r="AR367" s="48"/>
      <c r="AS367" s="48"/>
      <c r="AT367" s="48"/>
      <c r="AU367" s="48"/>
      <c r="AV367" s="48"/>
      <c r="AW367" s="48"/>
      <c r="AX367" s="48"/>
      <c r="AY367" s="48"/>
    </row>
    <row r="368" spans="1:51">
      <c r="A368" s="48"/>
      <c r="B368" s="48"/>
      <c r="C368" s="48"/>
      <c r="D368" s="48"/>
      <c r="E368" s="48"/>
      <c r="F368" s="48"/>
      <c r="G368" s="48"/>
      <c r="H368" s="48"/>
      <c r="I368" s="48"/>
      <c r="J368" s="48"/>
      <c r="K368" s="48"/>
      <c r="L368" s="48"/>
      <c r="M368" s="48"/>
      <c r="N368" s="48"/>
      <c r="O368" s="48"/>
      <c r="P368" s="48"/>
      <c r="Q368" s="48"/>
      <c r="R368" s="48"/>
      <c r="S368" s="48"/>
      <c r="T368" s="48"/>
      <c r="U368" s="48"/>
      <c r="V368" s="48"/>
      <c r="W368" s="48"/>
      <c r="X368" s="48"/>
      <c r="Y368" s="48"/>
      <c r="Z368" s="48"/>
      <c r="AA368" s="48"/>
      <c r="AB368" s="48"/>
      <c r="AC368" s="48"/>
      <c r="AD368" s="48"/>
      <c r="AE368" s="48"/>
      <c r="AF368" s="48"/>
      <c r="AG368" s="48"/>
      <c r="AH368" s="48"/>
      <c r="AI368" s="48"/>
      <c r="AJ368" s="48"/>
      <c r="AK368" s="48"/>
      <c r="AL368" s="48"/>
      <c r="AM368" s="48"/>
      <c r="AN368" s="48"/>
      <c r="AO368" s="48"/>
      <c r="AP368" s="48"/>
      <c r="AQ368" s="48"/>
      <c r="AR368" s="48"/>
      <c r="AS368" s="48"/>
      <c r="AT368" s="48"/>
      <c r="AU368" s="48"/>
      <c r="AV368" s="48"/>
      <c r="AW368" s="48"/>
      <c r="AX368" s="48"/>
      <c r="AY368" s="48"/>
    </row>
    <row r="369" spans="1:51">
      <c r="A369" s="48"/>
      <c r="B369" s="48"/>
      <c r="C369" s="48"/>
      <c r="D369" s="48"/>
      <c r="E369" s="48"/>
      <c r="F369" s="48"/>
      <c r="G369" s="48"/>
      <c r="H369" s="48"/>
      <c r="I369" s="48"/>
      <c r="J369" s="48"/>
      <c r="K369" s="48"/>
      <c r="L369" s="48"/>
      <c r="M369" s="48"/>
      <c r="N369" s="48"/>
      <c r="O369" s="48"/>
      <c r="P369" s="48"/>
      <c r="Q369" s="48"/>
      <c r="R369" s="48"/>
      <c r="S369" s="48"/>
      <c r="T369" s="48"/>
      <c r="U369" s="48"/>
      <c r="V369" s="48"/>
      <c r="W369" s="48"/>
      <c r="X369" s="48"/>
      <c r="Y369" s="48"/>
      <c r="Z369" s="48"/>
      <c r="AA369" s="48"/>
      <c r="AB369" s="48"/>
      <c r="AC369" s="48"/>
      <c r="AD369" s="48"/>
      <c r="AE369" s="48"/>
      <c r="AF369" s="48"/>
      <c r="AG369" s="48"/>
      <c r="AH369" s="48"/>
      <c r="AI369" s="48"/>
      <c r="AJ369" s="48"/>
      <c r="AK369" s="48"/>
      <c r="AL369" s="48"/>
      <c r="AM369" s="48"/>
      <c r="AN369" s="48"/>
      <c r="AO369" s="48"/>
      <c r="AP369" s="48"/>
      <c r="AQ369" s="48"/>
      <c r="AR369" s="48"/>
      <c r="AS369" s="48"/>
      <c r="AT369" s="48"/>
      <c r="AU369" s="48"/>
      <c r="AV369" s="48"/>
      <c r="AW369" s="48"/>
      <c r="AX369" s="48"/>
      <c r="AY369" s="48"/>
    </row>
    <row r="370" spans="1:51">
      <c r="A370" s="48"/>
      <c r="B370" s="48"/>
      <c r="C370" s="48"/>
      <c r="D370" s="48"/>
      <c r="E370" s="48"/>
      <c r="F370" s="48"/>
      <c r="G370" s="48"/>
      <c r="H370" s="48"/>
      <c r="I370" s="48"/>
      <c r="J370" s="48"/>
      <c r="K370" s="48"/>
      <c r="L370" s="48"/>
      <c r="M370" s="48"/>
      <c r="N370" s="48"/>
      <c r="O370" s="48"/>
      <c r="P370" s="48"/>
      <c r="Q370" s="48"/>
      <c r="R370" s="48"/>
      <c r="S370" s="48"/>
      <c r="T370" s="48"/>
      <c r="U370" s="48"/>
      <c r="V370" s="48"/>
      <c r="W370" s="48"/>
      <c r="X370" s="48"/>
      <c r="Y370" s="48"/>
      <c r="Z370" s="48"/>
      <c r="AA370" s="48"/>
      <c r="AB370" s="48"/>
      <c r="AC370" s="48"/>
      <c r="AD370" s="48"/>
      <c r="AE370" s="48"/>
      <c r="AF370" s="48"/>
      <c r="AG370" s="48"/>
      <c r="AH370" s="48"/>
      <c r="AI370" s="48"/>
      <c r="AJ370" s="48"/>
      <c r="AK370" s="48"/>
      <c r="AL370" s="48"/>
      <c r="AM370" s="48"/>
      <c r="AN370" s="48"/>
      <c r="AO370" s="48"/>
      <c r="AP370" s="48"/>
      <c r="AQ370" s="48"/>
      <c r="AR370" s="48"/>
      <c r="AS370" s="48"/>
      <c r="AT370" s="48"/>
      <c r="AU370" s="48"/>
      <c r="AV370" s="48"/>
      <c r="AW370" s="48"/>
      <c r="AX370" s="48"/>
      <c r="AY370" s="48"/>
    </row>
    <row r="371" spans="1:51">
      <c r="A371" s="48"/>
      <c r="B371" s="48"/>
      <c r="C371" s="48"/>
      <c r="D371" s="48"/>
      <c r="E371" s="48"/>
      <c r="F371" s="48"/>
      <c r="G371" s="48"/>
      <c r="H371" s="48"/>
      <c r="I371" s="48"/>
      <c r="J371" s="48"/>
      <c r="K371" s="48"/>
      <c r="L371" s="48"/>
      <c r="M371" s="48"/>
      <c r="N371" s="48"/>
      <c r="O371" s="48"/>
      <c r="P371" s="48"/>
      <c r="Q371" s="48"/>
      <c r="R371" s="48"/>
      <c r="S371" s="48"/>
      <c r="T371" s="48"/>
      <c r="U371" s="48"/>
      <c r="V371" s="48"/>
      <c r="W371" s="48"/>
      <c r="X371" s="48"/>
      <c r="Y371" s="48"/>
      <c r="Z371" s="48"/>
      <c r="AA371" s="48"/>
      <c r="AB371" s="48"/>
      <c r="AC371" s="48"/>
      <c r="AD371" s="48"/>
      <c r="AE371" s="48"/>
      <c r="AF371" s="48"/>
      <c r="AG371" s="48"/>
      <c r="AH371" s="48"/>
      <c r="AI371" s="48"/>
      <c r="AJ371" s="48"/>
      <c r="AK371" s="48"/>
      <c r="AL371" s="48"/>
      <c r="AM371" s="48"/>
      <c r="AN371" s="48"/>
      <c r="AO371" s="48"/>
      <c r="AP371" s="48"/>
      <c r="AQ371" s="48"/>
      <c r="AR371" s="48"/>
      <c r="AS371" s="48"/>
      <c r="AT371" s="48"/>
      <c r="AU371" s="48"/>
      <c r="AV371" s="48"/>
      <c r="AW371" s="48"/>
      <c r="AX371" s="48"/>
      <c r="AY371" s="48"/>
    </row>
    <row r="372" spans="1:51">
      <c r="A372" s="48"/>
      <c r="B372" s="48"/>
      <c r="C372" s="48"/>
      <c r="D372" s="48"/>
      <c r="E372" s="48"/>
      <c r="F372" s="48"/>
      <c r="G372" s="48"/>
      <c r="H372" s="48"/>
      <c r="I372" s="48"/>
      <c r="J372" s="48"/>
      <c r="K372" s="48"/>
      <c r="L372" s="48"/>
      <c r="M372" s="48"/>
      <c r="N372" s="48"/>
      <c r="O372" s="48"/>
      <c r="P372" s="48"/>
      <c r="Q372" s="48"/>
      <c r="R372" s="48"/>
      <c r="S372" s="48"/>
      <c r="T372" s="48"/>
      <c r="U372" s="48"/>
      <c r="V372" s="48"/>
      <c r="W372" s="48"/>
      <c r="X372" s="48"/>
      <c r="Y372" s="48"/>
      <c r="Z372" s="48"/>
      <c r="AA372" s="48"/>
      <c r="AB372" s="48"/>
      <c r="AC372" s="48"/>
      <c r="AD372" s="48"/>
      <c r="AE372" s="48"/>
      <c r="AF372" s="48"/>
      <c r="AG372" s="48"/>
      <c r="AH372" s="48"/>
      <c r="AI372" s="48"/>
      <c r="AJ372" s="48"/>
      <c r="AK372" s="48"/>
      <c r="AL372" s="48"/>
      <c r="AM372" s="48"/>
      <c r="AN372" s="48"/>
      <c r="AO372" s="48"/>
      <c r="AP372" s="48"/>
      <c r="AQ372" s="48"/>
      <c r="AR372" s="48"/>
      <c r="AS372" s="48"/>
      <c r="AT372" s="48"/>
      <c r="AU372" s="48"/>
      <c r="AV372" s="48"/>
      <c r="AW372" s="48"/>
      <c r="AX372" s="48"/>
      <c r="AY372" s="48"/>
    </row>
    <row r="373" spans="1:51">
      <c r="A373" s="48"/>
      <c r="B373" s="48"/>
      <c r="C373" s="48"/>
      <c r="D373" s="48"/>
      <c r="E373" s="48"/>
      <c r="F373" s="48"/>
      <c r="G373" s="48"/>
      <c r="H373" s="48"/>
      <c r="I373" s="48"/>
      <c r="J373" s="48"/>
      <c r="K373" s="48"/>
      <c r="L373" s="48"/>
      <c r="M373" s="48"/>
      <c r="N373" s="48"/>
      <c r="O373" s="48"/>
      <c r="P373" s="48"/>
      <c r="Q373" s="48"/>
      <c r="R373" s="48"/>
      <c r="S373" s="48"/>
      <c r="T373" s="48"/>
      <c r="U373" s="48"/>
      <c r="V373" s="48"/>
      <c r="W373" s="48"/>
      <c r="X373" s="48"/>
      <c r="Y373" s="48"/>
      <c r="Z373" s="48"/>
      <c r="AA373" s="48"/>
      <c r="AB373" s="48"/>
      <c r="AC373" s="48"/>
      <c r="AD373" s="48"/>
      <c r="AE373" s="48"/>
      <c r="AF373" s="48"/>
      <c r="AG373" s="48"/>
      <c r="AH373" s="48"/>
      <c r="AI373" s="48"/>
      <c r="AJ373" s="48"/>
      <c r="AK373" s="48"/>
      <c r="AL373" s="48"/>
      <c r="AM373" s="48"/>
      <c r="AN373" s="48"/>
      <c r="AO373" s="48"/>
      <c r="AP373" s="48"/>
      <c r="AQ373" s="48"/>
      <c r="AR373" s="48"/>
      <c r="AS373" s="48"/>
      <c r="AT373" s="48"/>
      <c r="AU373" s="48"/>
      <c r="AV373" s="48"/>
      <c r="AW373" s="48"/>
      <c r="AX373" s="48"/>
      <c r="AY373" s="48"/>
    </row>
    <row r="374" spans="1:51">
      <c r="A374" s="48"/>
      <c r="B374" s="48"/>
      <c r="C374" s="48"/>
      <c r="D374" s="48"/>
      <c r="E374" s="48"/>
      <c r="F374" s="48"/>
      <c r="G374" s="48"/>
      <c r="H374" s="48"/>
      <c r="I374" s="48"/>
      <c r="J374" s="48"/>
      <c r="K374" s="48"/>
      <c r="L374" s="48"/>
      <c r="M374" s="48"/>
      <c r="N374" s="48"/>
      <c r="O374" s="48"/>
      <c r="P374" s="48"/>
      <c r="Q374" s="48"/>
      <c r="R374" s="48"/>
      <c r="S374" s="48"/>
      <c r="T374" s="48"/>
      <c r="U374" s="48"/>
      <c r="V374" s="48"/>
      <c r="W374" s="48"/>
      <c r="X374" s="48"/>
      <c r="Y374" s="48"/>
      <c r="Z374" s="48"/>
      <c r="AA374" s="48"/>
      <c r="AB374" s="48"/>
      <c r="AC374" s="48"/>
      <c r="AD374" s="48"/>
      <c r="AE374" s="48"/>
      <c r="AF374" s="48"/>
      <c r="AG374" s="48"/>
      <c r="AH374" s="48"/>
      <c r="AI374" s="48"/>
      <c r="AJ374" s="48"/>
      <c r="AK374" s="48"/>
      <c r="AL374" s="48"/>
      <c r="AM374" s="48"/>
      <c r="AN374" s="48"/>
      <c r="AO374" s="48"/>
      <c r="AP374" s="48"/>
      <c r="AQ374" s="48"/>
      <c r="AR374" s="48"/>
      <c r="AS374" s="48"/>
      <c r="AT374" s="48"/>
      <c r="AU374" s="48"/>
      <c r="AV374" s="48"/>
      <c r="AW374" s="48"/>
      <c r="AX374" s="48"/>
      <c r="AY374" s="48"/>
    </row>
    <row r="375" spans="1:51">
      <c r="A375" s="48"/>
      <c r="B375" s="48"/>
      <c r="C375" s="48"/>
      <c r="D375" s="48"/>
      <c r="E375" s="48"/>
      <c r="F375" s="48"/>
      <c r="G375" s="48"/>
      <c r="H375" s="48"/>
      <c r="I375" s="48"/>
      <c r="J375" s="48"/>
      <c r="K375" s="48"/>
      <c r="L375" s="48"/>
      <c r="M375" s="48"/>
      <c r="N375" s="48"/>
      <c r="O375" s="48"/>
      <c r="P375" s="48"/>
      <c r="Q375" s="48"/>
      <c r="R375" s="48"/>
      <c r="S375" s="48"/>
      <c r="T375" s="48"/>
      <c r="U375" s="48"/>
      <c r="V375" s="48"/>
      <c r="W375" s="48"/>
      <c r="X375" s="48"/>
      <c r="Y375" s="48"/>
      <c r="Z375" s="48"/>
      <c r="AA375" s="48"/>
      <c r="AB375" s="48"/>
      <c r="AC375" s="48"/>
      <c r="AD375" s="48"/>
      <c r="AE375" s="48"/>
      <c r="AF375" s="48"/>
      <c r="AG375" s="48"/>
      <c r="AH375" s="48"/>
      <c r="AI375" s="48"/>
      <c r="AJ375" s="48"/>
      <c r="AK375" s="48"/>
      <c r="AL375" s="48"/>
      <c r="AM375" s="48"/>
      <c r="AN375" s="48"/>
      <c r="AO375" s="48"/>
      <c r="AP375" s="48"/>
      <c r="AQ375" s="48"/>
      <c r="AR375" s="48"/>
      <c r="AS375" s="48"/>
      <c r="AT375" s="48"/>
      <c r="AU375" s="48"/>
      <c r="AV375" s="48"/>
      <c r="AW375" s="48"/>
      <c r="AX375" s="48"/>
      <c r="AY375" s="48"/>
    </row>
    <row r="376" spans="1:51">
      <c r="A376" s="48"/>
      <c r="B376" s="48"/>
      <c r="C376" s="48"/>
      <c r="D376" s="48"/>
      <c r="E376" s="48"/>
      <c r="F376" s="48"/>
      <c r="G376" s="48"/>
      <c r="H376" s="48"/>
      <c r="I376" s="48"/>
      <c r="J376" s="48"/>
      <c r="K376" s="48"/>
      <c r="L376" s="48"/>
      <c r="M376" s="48"/>
      <c r="N376" s="48"/>
      <c r="O376" s="48"/>
      <c r="P376" s="48"/>
      <c r="Q376" s="48"/>
      <c r="R376" s="48"/>
      <c r="S376" s="48"/>
      <c r="T376" s="48"/>
      <c r="U376" s="48"/>
      <c r="V376" s="48"/>
      <c r="W376" s="48"/>
      <c r="X376" s="48"/>
      <c r="Y376" s="48"/>
      <c r="Z376" s="48"/>
      <c r="AA376" s="48"/>
      <c r="AB376" s="48"/>
      <c r="AC376" s="48"/>
      <c r="AD376" s="48"/>
      <c r="AE376" s="48"/>
      <c r="AF376" s="48"/>
      <c r="AG376" s="48"/>
      <c r="AH376" s="48"/>
      <c r="AI376" s="48"/>
      <c r="AJ376" s="48"/>
      <c r="AK376" s="48"/>
      <c r="AL376" s="48"/>
      <c r="AM376" s="48"/>
      <c r="AN376" s="48"/>
      <c r="AO376" s="48"/>
      <c r="AP376" s="48"/>
      <c r="AQ376" s="48"/>
      <c r="AR376" s="48"/>
      <c r="AS376" s="48"/>
      <c r="AT376" s="48"/>
      <c r="AU376" s="48"/>
      <c r="AV376" s="48"/>
      <c r="AW376" s="48"/>
      <c r="AX376" s="48"/>
      <c r="AY376" s="48"/>
    </row>
    <row r="377" spans="1:51">
      <c r="A377" s="48"/>
      <c r="B377" s="48"/>
      <c r="C377" s="48"/>
      <c r="D377" s="48"/>
      <c r="E377" s="48"/>
      <c r="F377" s="48"/>
      <c r="G377" s="48"/>
      <c r="H377" s="48"/>
      <c r="I377" s="48"/>
      <c r="J377" s="48"/>
      <c r="K377" s="48"/>
      <c r="L377" s="48"/>
      <c r="M377" s="48"/>
      <c r="N377" s="48"/>
      <c r="O377" s="48"/>
      <c r="P377" s="48"/>
      <c r="Q377" s="48"/>
      <c r="R377" s="48"/>
      <c r="S377" s="48"/>
      <c r="T377" s="48"/>
      <c r="U377" s="48"/>
      <c r="V377" s="48"/>
      <c r="W377" s="48"/>
      <c r="X377" s="48"/>
      <c r="Y377" s="48"/>
      <c r="Z377" s="48"/>
      <c r="AA377" s="48"/>
      <c r="AB377" s="48"/>
      <c r="AC377" s="48"/>
      <c r="AD377" s="48"/>
      <c r="AE377" s="48"/>
      <c r="AF377" s="48"/>
      <c r="AG377" s="48"/>
      <c r="AH377" s="48"/>
      <c r="AI377" s="48"/>
      <c r="AJ377" s="48"/>
      <c r="AK377" s="48"/>
      <c r="AL377" s="48"/>
      <c r="AM377" s="48"/>
      <c r="AN377" s="48"/>
      <c r="AO377" s="48"/>
      <c r="AP377" s="48"/>
      <c r="AQ377" s="48"/>
      <c r="AR377" s="48"/>
      <c r="AS377" s="48"/>
      <c r="AT377" s="48"/>
      <c r="AU377" s="48"/>
      <c r="AV377" s="48"/>
      <c r="AW377" s="48"/>
      <c r="AX377" s="48"/>
      <c r="AY377" s="48"/>
    </row>
    <row r="378" spans="1:51">
      <c r="A378" s="48"/>
      <c r="B378" s="48"/>
      <c r="C378" s="48"/>
      <c r="D378" s="48"/>
      <c r="E378" s="48"/>
      <c r="F378" s="48"/>
      <c r="G378" s="48"/>
      <c r="H378" s="48"/>
      <c r="I378" s="48"/>
      <c r="J378" s="48"/>
      <c r="K378" s="48"/>
      <c r="L378" s="48"/>
      <c r="M378" s="48"/>
      <c r="N378" s="48"/>
      <c r="O378" s="48"/>
      <c r="P378" s="48"/>
      <c r="Q378" s="48"/>
      <c r="R378" s="48"/>
      <c r="S378" s="48"/>
      <c r="T378" s="48"/>
      <c r="U378" s="48"/>
      <c r="V378" s="48"/>
      <c r="W378" s="48"/>
      <c r="X378" s="48"/>
      <c r="Y378" s="48"/>
      <c r="Z378" s="48"/>
      <c r="AA378" s="48"/>
      <c r="AB378" s="48"/>
      <c r="AC378" s="48"/>
      <c r="AD378" s="48"/>
      <c r="AE378" s="48"/>
      <c r="AF378" s="48"/>
      <c r="AG378" s="48"/>
      <c r="AH378" s="48"/>
      <c r="AI378" s="48"/>
      <c r="AJ378" s="48"/>
      <c r="AK378" s="48"/>
      <c r="AL378" s="48"/>
      <c r="AM378" s="48"/>
      <c r="AN378" s="48"/>
      <c r="AO378" s="48"/>
      <c r="AP378" s="48"/>
      <c r="AQ378" s="48"/>
      <c r="AR378" s="48"/>
      <c r="AS378" s="48"/>
      <c r="AT378" s="48"/>
      <c r="AU378" s="48"/>
      <c r="AV378" s="48"/>
      <c r="AW378" s="48"/>
      <c r="AX378" s="48"/>
      <c r="AY378" s="48"/>
    </row>
    <row r="379" spans="1:51">
      <c r="A379" s="48"/>
      <c r="B379" s="48"/>
      <c r="C379" s="48"/>
      <c r="D379" s="48"/>
      <c r="E379" s="48"/>
      <c r="F379" s="48"/>
      <c r="G379" s="48"/>
      <c r="H379" s="48"/>
      <c r="I379" s="48"/>
      <c r="J379" s="48"/>
      <c r="K379" s="48"/>
      <c r="L379" s="48"/>
      <c r="M379" s="48"/>
      <c r="N379" s="48"/>
      <c r="O379" s="48"/>
      <c r="P379" s="48"/>
      <c r="Q379" s="48"/>
      <c r="R379" s="48"/>
      <c r="S379" s="48"/>
      <c r="T379" s="48"/>
      <c r="U379" s="48"/>
      <c r="V379" s="48"/>
      <c r="W379" s="48"/>
      <c r="X379" s="48"/>
      <c r="Y379" s="48"/>
      <c r="Z379" s="48"/>
      <c r="AA379" s="48"/>
      <c r="AB379" s="48"/>
      <c r="AC379" s="48"/>
      <c r="AD379" s="48"/>
      <c r="AE379" s="48"/>
      <c r="AF379" s="48"/>
      <c r="AG379" s="48"/>
      <c r="AH379" s="48"/>
      <c r="AI379" s="48"/>
      <c r="AJ379" s="48"/>
      <c r="AK379" s="48"/>
      <c r="AL379" s="48"/>
      <c r="AM379" s="48"/>
      <c r="AN379" s="48"/>
      <c r="AO379" s="48"/>
      <c r="AP379" s="48"/>
      <c r="AQ379" s="48"/>
      <c r="AR379" s="48"/>
      <c r="AS379" s="48"/>
      <c r="AT379" s="48"/>
      <c r="AU379" s="48"/>
      <c r="AV379" s="48"/>
      <c r="AW379" s="48"/>
      <c r="AX379" s="48"/>
      <c r="AY379" s="48"/>
    </row>
    <row r="380" spans="1:51">
      <c r="A380" s="48"/>
      <c r="B380" s="48"/>
      <c r="C380" s="48"/>
      <c r="D380" s="48"/>
      <c r="E380" s="48"/>
      <c r="F380" s="48"/>
      <c r="G380" s="48"/>
      <c r="H380" s="48"/>
      <c r="I380" s="48"/>
      <c r="J380" s="48"/>
      <c r="K380" s="48"/>
      <c r="L380" s="48"/>
      <c r="M380" s="48"/>
      <c r="N380" s="48"/>
      <c r="O380" s="48"/>
      <c r="P380" s="48"/>
      <c r="Q380" s="48"/>
      <c r="R380" s="48"/>
      <c r="S380" s="48"/>
      <c r="T380" s="48"/>
      <c r="U380" s="48"/>
      <c r="V380" s="48"/>
      <c r="W380" s="48"/>
      <c r="X380" s="48"/>
      <c r="Y380" s="48"/>
      <c r="Z380" s="48"/>
      <c r="AA380" s="48"/>
      <c r="AB380" s="48"/>
      <c r="AC380" s="48"/>
      <c r="AD380" s="48"/>
      <c r="AE380" s="48"/>
      <c r="AF380" s="48"/>
      <c r="AG380" s="48"/>
      <c r="AH380" s="48"/>
      <c r="AI380" s="48"/>
      <c r="AJ380" s="48"/>
      <c r="AK380" s="48"/>
      <c r="AL380" s="48"/>
      <c r="AM380" s="48"/>
      <c r="AN380" s="48"/>
      <c r="AO380" s="48"/>
      <c r="AP380" s="48"/>
      <c r="AQ380" s="48"/>
      <c r="AR380" s="48"/>
      <c r="AS380" s="48"/>
      <c r="AT380" s="48"/>
      <c r="AU380" s="48"/>
      <c r="AV380" s="48"/>
      <c r="AW380" s="48"/>
      <c r="AX380" s="48"/>
      <c r="AY380" s="48"/>
    </row>
    <row r="381" spans="1:51">
      <c r="A381" s="48"/>
      <c r="B381" s="48"/>
      <c r="C381" s="48"/>
      <c r="D381" s="48"/>
      <c r="E381" s="48"/>
      <c r="F381" s="48"/>
      <c r="G381" s="48"/>
      <c r="H381" s="48"/>
      <c r="I381" s="48"/>
      <c r="J381" s="48"/>
      <c r="K381" s="48"/>
      <c r="L381" s="48"/>
      <c r="M381" s="48"/>
      <c r="N381" s="48"/>
      <c r="O381" s="48"/>
      <c r="P381" s="48"/>
      <c r="Q381" s="48"/>
      <c r="R381" s="48"/>
      <c r="S381" s="48"/>
      <c r="T381" s="48"/>
      <c r="U381" s="48"/>
      <c r="V381" s="48"/>
      <c r="W381" s="48"/>
      <c r="X381" s="48"/>
      <c r="Y381" s="48"/>
      <c r="Z381" s="48"/>
      <c r="AA381" s="48"/>
      <c r="AB381" s="48"/>
      <c r="AC381" s="48"/>
      <c r="AD381" s="48"/>
      <c r="AE381" s="48"/>
      <c r="AF381" s="48"/>
      <c r="AG381" s="48"/>
      <c r="AH381" s="48"/>
      <c r="AI381" s="48"/>
      <c r="AJ381" s="48"/>
      <c r="AK381" s="48"/>
      <c r="AL381" s="48"/>
      <c r="AM381" s="48"/>
      <c r="AN381" s="48"/>
      <c r="AO381" s="48"/>
      <c r="AP381" s="48"/>
      <c r="AQ381" s="48"/>
      <c r="AR381" s="48"/>
      <c r="AS381" s="48"/>
      <c r="AT381" s="48"/>
      <c r="AU381" s="48"/>
      <c r="AV381" s="48"/>
      <c r="AW381" s="48"/>
      <c r="AX381" s="48"/>
      <c r="AY381" s="48"/>
    </row>
    <row r="382" spans="1:51">
      <c r="A382" s="48"/>
      <c r="B382" s="48"/>
      <c r="C382" s="48"/>
      <c r="D382" s="48"/>
      <c r="E382" s="48"/>
      <c r="F382" s="48"/>
      <c r="G382" s="48"/>
      <c r="H382" s="48"/>
      <c r="I382" s="48"/>
      <c r="J382" s="48"/>
      <c r="K382" s="48"/>
      <c r="L382" s="48"/>
      <c r="M382" s="48"/>
      <c r="N382" s="48"/>
      <c r="O382" s="48"/>
      <c r="P382" s="48"/>
      <c r="Q382" s="48"/>
      <c r="R382" s="48"/>
      <c r="S382" s="48"/>
      <c r="T382" s="48"/>
      <c r="U382" s="48"/>
      <c r="V382" s="48"/>
      <c r="W382" s="48"/>
      <c r="X382" s="48"/>
      <c r="Y382" s="48"/>
      <c r="Z382" s="48"/>
      <c r="AA382" s="48"/>
      <c r="AB382" s="48"/>
      <c r="AC382" s="48"/>
      <c r="AD382" s="48"/>
      <c r="AE382" s="48"/>
      <c r="AF382" s="48"/>
      <c r="AG382" s="48"/>
      <c r="AH382" s="48"/>
      <c r="AI382" s="48"/>
      <c r="AJ382" s="48"/>
      <c r="AK382" s="48"/>
      <c r="AL382" s="48"/>
      <c r="AM382" s="48"/>
      <c r="AN382" s="48"/>
      <c r="AO382" s="48"/>
      <c r="AP382" s="48"/>
      <c r="AQ382" s="48"/>
      <c r="AR382" s="48"/>
      <c r="AS382" s="48"/>
      <c r="AT382" s="48"/>
      <c r="AU382" s="48"/>
      <c r="AV382" s="48"/>
      <c r="AW382" s="48"/>
      <c r="AX382" s="48"/>
      <c r="AY382" s="48"/>
    </row>
    <row r="383" spans="1:51">
      <c r="A383" s="48"/>
      <c r="B383" s="48"/>
      <c r="C383" s="48"/>
      <c r="D383" s="48"/>
      <c r="E383" s="48"/>
      <c r="F383" s="48"/>
      <c r="G383" s="48"/>
      <c r="H383" s="48"/>
      <c r="I383" s="48"/>
      <c r="J383" s="48"/>
      <c r="K383" s="48"/>
      <c r="L383" s="48"/>
      <c r="M383" s="48"/>
      <c r="N383" s="48"/>
      <c r="O383" s="48"/>
      <c r="P383" s="48"/>
      <c r="Q383" s="48"/>
      <c r="R383" s="48"/>
      <c r="S383" s="48"/>
      <c r="T383" s="48"/>
      <c r="U383" s="48"/>
      <c r="V383" s="48"/>
      <c r="W383" s="48"/>
      <c r="X383" s="48"/>
      <c r="Y383" s="48"/>
      <c r="Z383" s="48"/>
      <c r="AA383" s="48"/>
      <c r="AB383" s="48"/>
      <c r="AC383" s="48"/>
      <c r="AD383" s="48"/>
      <c r="AE383" s="48"/>
      <c r="AF383" s="48"/>
      <c r="AG383" s="48"/>
      <c r="AH383" s="48"/>
      <c r="AI383" s="48"/>
      <c r="AJ383" s="48"/>
      <c r="AK383" s="48"/>
      <c r="AL383" s="48"/>
      <c r="AM383" s="48"/>
      <c r="AN383" s="48"/>
      <c r="AO383" s="48"/>
      <c r="AP383" s="48"/>
      <c r="AQ383" s="48"/>
      <c r="AR383" s="48"/>
      <c r="AS383" s="48"/>
      <c r="AT383" s="48"/>
      <c r="AU383" s="48"/>
      <c r="AV383" s="48"/>
      <c r="AW383" s="48"/>
      <c r="AX383" s="48"/>
      <c r="AY383" s="48"/>
    </row>
    <row r="384" spans="1:51">
      <c r="A384" s="48"/>
      <c r="B384" s="48"/>
      <c r="C384" s="48"/>
      <c r="D384" s="48"/>
      <c r="E384" s="48"/>
      <c r="F384" s="48"/>
      <c r="G384" s="48"/>
      <c r="H384" s="48"/>
      <c r="I384" s="48"/>
      <c r="J384" s="48"/>
      <c r="K384" s="48"/>
      <c r="L384" s="48"/>
      <c r="M384" s="48"/>
      <c r="N384" s="48"/>
      <c r="O384" s="48"/>
      <c r="P384" s="48"/>
      <c r="Q384" s="48"/>
      <c r="R384" s="48"/>
      <c r="S384" s="48"/>
      <c r="T384" s="48"/>
      <c r="U384" s="48"/>
      <c r="V384" s="48"/>
      <c r="W384" s="48"/>
      <c r="X384" s="48"/>
      <c r="Y384" s="48"/>
      <c r="Z384" s="48"/>
      <c r="AA384" s="48"/>
      <c r="AB384" s="48"/>
      <c r="AC384" s="48"/>
      <c r="AD384" s="48"/>
      <c r="AE384" s="48"/>
      <c r="AF384" s="48"/>
      <c r="AG384" s="48"/>
      <c r="AH384" s="48"/>
      <c r="AI384" s="48"/>
      <c r="AJ384" s="48"/>
      <c r="AK384" s="48"/>
      <c r="AL384" s="48"/>
      <c r="AM384" s="48"/>
      <c r="AN384" s="48"/>
      <c r="AO384" s="48"/>
      <c r="AP384" s="48"/>
      <c r="AQ384" s="48"/>
      <c r="AR384" s="48"/>
      <c r="AS384" s="48"/>
      <c r="AT384" s="48"/>
      <c r="AU384" s="48"/>
      <c r="AV384" s="48"/>
      <c r="AW384" s="48"/>
      <c r="AX384" s="48"/>
      <c r="AY384" s="48"/>
    </row>
    <row r="385" spans="1:51">
      <c r="A385" s="48"/>
      <c r="B385" s="48"/>
      <c r="C385" s="48"/>
      <c r="D385" s="48"/>
      <c r="E385" s="48"/>
      <c r="F385" s="48"/>
      <c r="G385" s="48"/>
      <c r="H385" s="48"/>
      <c r="I385" s="48"/>
      <c r="J385" s="48"/>
      <c r="K385" s="48"/>
      <c r="L385" s="48"/>
      <c r="M385" s="48"/>
      <c r="N385" s="48"/>
      <c r="O385" s="48"/>
      <c r="P385" s="48"/>
      <c r="Q385" s="48"/>
      <c r="R385" s="48"/>
      <c r="S385" s="48"/>
      <c r="T385" s="48"/>
      <c r="U385" s="48"/>
      <c r="V385" s="48"/>
      <c r="W385" s="48"/>
      <c r="X385" s="48"/>
      <c r="Y385" s="48"/>
      <c r="Z385" s="48"/>
      <c r="AA385" s="48"/>
      <c r="AB385" s="48"/>
      <c r="AC385" s="48"/>
      <c r="AD385" s="48"/>
      <c r="AE385" s="48"/>
      <c r="AF385" s="48"/>
      <c r="AG385" s="48"/>
      <c r="AH385" s="48"/>
      <c r="AI385" s="48"/>
      <c r="AJ385" s="48"/>
      <c r="AK385" s="48"/>
      <c r="AL385" s="48"/>
      <c r="AM385" s="48"/>
      <c r="AN385" s="48"/>
      <c r="AO385" s="48"/>
      <c r="AP385" s="48"/>
      <c r="AQ385" s="48"/>
      <c r="AR385" s="48"/>
      <c r="AS385" s="48"/>
      <c r="AT385" s="48"/>
      <c r="AU385" s="48"/>
      <c r="AV385" s="48"/>
      <c r="AW385" s="48"/>
      <c r="AX385" s="48"/>
      <c r="AY385" s="48"/>
    </row>
    <row r="386" spans="1:51">
      <c r="A386" s="48"/>
      <c r="B386" s="48"/>
      <c r="C386" s="48"/>
      <c r="D386" s="48"/>
      <c r="E386" s="48"/>
      <c r="F386" s="48"/>
      <c r="G386" s="48"/>
      <c r="H386" s="48"/>
      <c r="I386" s="48"/>
      <c r="J386" s="48"/>
      <c r="K386" s="48"/>
      <c r="L386" s="48"/>
      <c r="M386" s="48"/>
      <c r="N386" s="48"/>
      <c r="O386" s="48"/>
      <c r="P386" s="48"/>
      <c r="Q386" s="48"/>
      <c r="R386" s="48"/>
      <c r="S386" s="48"/>
      <c r="T386" s="48"/>
      <c r="U386" s="48"/>
      <c r="V386" s="48"/>
      <c r="W386" s="48"/>
      <c r="X386" s="48"/>
      <c r="Y386" s="48"/>
      <c r="Z386" s="48"/>
      <c r="AA386" s="48"/>
      <c r="AB386" s="48"/>
      <c r="AC386" s="48"/>
      <c r="AD386" s="48"/>
      <c r="AE386" s="48"/>
      <c r="AF386" s="48"/>
      <c r="AG386" s="48"/>
      <c r="AH386" s="48"/>
      <c r="AI386" s="48"/>
      <c r="AJ386" s="48"/>
      <c r="AK386" s="48"/>
      <c r="AL386" s="48"/>
      <c r="AM386" s="48"/>
      <c r="AN386" s="48"/>
      <c r="AO386" s="48"/>
      <c r="AP386" s="48"/>
      <c r="AQ386" s="48"/>
      <c r="AR386" s="48"/>
      <c r="AS386" s="48"/>
      <c r="AT386" s="48"/>
      <c r="AU386" s="48"/>
      <c r="AV386" s="48"/>
      <c r="AW386" s="48"/>
      <c r="AX386" s="48"/>
      <c r="AY386" s="48"/>
    </row>
    <row r="387" spans="1:51">
      <c r="A387" s="48"/>
      <c r="B387" s="48"/>
      <c r="C387" s="48"/>
      <c r="D387" s="48"/>
      <c r="E387" s="48"/>
      <c r="F387" s="48"/>
      <c r="G387" s="48"/>
      <c r="H387" s="48"/>
      <c r="I387" s="48"/>
      <c r="J387" s="48"/>
      <c r="K387" s="48"/>
      <c r="L387" s="48"/>
      <c r="M387" s="48"/>
      <c r="N387" s="48"/>
      <c r="O387" s="48"/>
      <c r="P387" s="48"/>
      <c r="Q387" s="48"/>
      <c r="R387" s="48"/>
      <c r="S387" s="48"/>
      <c r="T387" s="48"/>
      <c r="U387" s="48"/>
      <c r="V387" s="48"/>
      <c r="W387" s="48"/>
      <c r="X387" s="48"/>
      <c r="Y387" s="48"/>
      <c r="Z387" s="48"/>
      <c r="AA387" s="48"/>
      <c r="AB387" s="48"/>
      <c r="AC387" s="48"/>
      <c r="AD387" s="48"/>
      <c r="AE387" s="48"/>
      <c r="AF387" s="48"/>
      <c r="AG387" s="48"/>
      <c r="AH387" s="48"/>
      <c r="AI387" s="48"/>
      <c r="AJ387" s="48"/>
      <c r="AK387" s="48"/>
      <c r="AL387" s="48"/>
      <c r="AM387" s="48"/>
      <c r="AN387" s="48"/>
      <c r="AO387" s="48"/>
      <c r="AP387" s="48"/>
      <c r="AQ387" s="48"/>
      <c r="AR387" s="48"/>
      <c r="AS387" s="48"/>
      <c r="AT387" s="48"/>
      <c r="AU387" s="48"/>
      <c r="AV387" s="48"/>
      <c r="AW387" s="48"/>
      <c r="AX387" s="48"/>
      <c r="AY387" s="48"/>
    </row>
    <row r="388" spans="1:51">
      <c r="A388" s="48"/>
      <c r="B388" s="48"/>
      <c r="C388" s="48"/>
      <c r="D388" s="48"/>
      <c r="E388" s="48"/>
      <c r="F388" s="48"/>
      <c r="G388" s="48"/>
      <c r="H388" s="48"/>
      <c r="I388" s="48"/>
      <c r="J388" s="48"/>
      <c r="K388" s="48"/>
      <c r="L388" s="48"/>
      <c r="M388" s="48"/>
      <c r="N388" s="48"/>
      <c r="O388" s="48"/>
      <c r="P388" s="48"/>
      <c r="Q388" s="48"/>
      <c r="R388" s="48"/>
      <c r="S388" s="48"/>
      <c r="T388" s="48"/>
      <c r="U388" s="48"/>
      <c r="V388" s="48"/>
      <c r="W388" s="48"/>
      <c r="X388" s="48"/>
      <c r="Y388" s="48"/>
      <c r="Z388" s="48"/>
      <c r="AA388" s="48"/>
      <c r="AB388" s="48"/>
      <c r="AC388" s="48"/>
      <c r="AD388" s="48"/>
      <c r="AE388" s="48"/>
      <c r="AF388" s="48"/>
      <c r="AG388" s="48"/>
      <c r="AH388" s="48"/>
      <c r="AI388" s="48"/>
      <c r="AJ388" s="48"/>
      <c r="AK388" s="48"/>
      <c r="AL388" s="48"/>
      <c r="AM388" s="48"/>
      <c r="AN388" s="48"/>
      <c r="AO388" s="48"/>
      <c r="AP388" s="48"/>
      <c r="AQ388" s="48"/>
      <c r="AR388" s="48"/>
      <c r="AS388" s="48"/>
      <c r="AT388" s="48"/>
      <c r="AU388" s="48"/>
      <c r="AV388" s="48"/>
      <c r="AW388" s="48"/>
      <c r="AX388" s="48"/>
      <c r="AY388" s="48"/>
    </row>
    <row r="389" spans="1:51">
      <c r="A389" s="48"/>
      <c r="B389" s="48"/>
      <c r="C389" s="48"/>
      <c r="D389" s="48"/>
      <c r="E389" s="48"/>
      <c r="F389" s="48"/>
      <c r="G389" s="48"/>
      <c r="H389" s="48"/>
      <c r="I389" s="48"/>
      <c r="J389" s="48"/>
      <c r="K389" s="48"/>
      <c r="L389" s="48"/>
      <c r="M389" s="48"/>
      <c r="N389" s="48"/>
      <c r="O389" s="48"/>
      <c r="P389" s="48"/>
      <c r="Q389" s="48"/>
      <c r="R389" s="48"/>
      <c r="S389" s="48"/>
      <c r="T389" s="48"/>
      <c r="U389" s="48"/>
      <c r="V389" s="48"/>
      <c r="W389" s="48"/>
      <c r="X389" s="48"/>
      <c r="Y389" s="48"/>
      <c r="Z389" s="48"/>
      <c r="AA389" s="48"/>
      <c r="AB389" s="48"/>
      <c r="AC389" s="48"/>
      <c r="AD389" s="48"/>
      <c r="AE389" s="48"/>
      <c r="AF389" s="48"/>
      <c r="AG389" s="48"/>
      <c r="AH389" s="48"/>
      <c r="AI389" s="48"/>
      <c r="AJ389" s="48"/>
      <c r="AK389" s="48"/>
      <c r="AL389" s="48"/>
      <c r="AM389" s="48"/>
      <c r="AN389" s="48"/>
      <c r="AO389" s="48"/>
      <c r="AP389" s="48"/>
      <c r="AQ389" s="48"/>
      <c r="AR389" s="48"/>
      <c r="AS389" s="48"/>
      <c r="AT389" s="48"/>
      <c r="AU389" s="48"/>
      <c r="AV389" s="48"/>
      <c r="AW389" s="48"/>
      <c r="AX389" s="48"/>
      <c r="AY389" s="48"/>
    </row>
    <row r="390" spans="1:51">
      <c r="A390" s="48"/>
      <c r="B390" s="48"/>
      <c r="C390" s="48"/>
      <c r="D390" s="48"/>
      <c r="E390" s="48"/>
      <c r="F390" s="48"/>
      <c r="G390" s="48"/>
      <c r="H390" s="48"/>
      <c r="I390" s="48"/>
      <c r="J390" s="48"/>
      <c r="K390" s="48"/>
      <c r="L390" s="48"/>
      <c r="M390" s="48"/>
      <c r="N390" s="48"/>
      <c r="O390" s="48"/>
      <c r="P390" s="48"/>
      <c r="Q390" s="48"/>
      <c r="R390" s="48"/>
      <c r="S390" s="48"/>
      <c r="T390" s="48"/>
      <c r="U390" s="48"/>
      <c r="V390" s="48"/>
      <c r="W390" s="48"/>
      <c r="X390" s="48"/>
      <c r="Y390" s="48"/>
      <c r="Z390" s="48"/>
      <c r="AA390" s="48"/>
      <c r="AB390" s="48"/>
      <c r="AC390" s="48"/>
      <c r="AD390" s="48"/>
      <c r="AE390" s="48"/>
      <c r="AF390" s="48"/>
      <c r="AG390" s="48"/>
      <c r="AH390" s="48"/>
      <c r="AI390" s="48"/>
      <c r="AJ390" s="48"/>
      <c r="AK390" s="48"/>
      <c r="AL390" s="48"/>
      <c r="AM390" s="48"/>
      <c r="AN390" s="48"/>
      <c r="AO390" s="48"/>
      <c r="AP390" s="48"/>
      <c r="AQ390" s="48"/>
      <c r="AR390" s="48"/>
      <c r="AS390" s="48"/>
      <c r="AT390" s="48"/>
      <c r="AU390" s="48"/>
      <c r="AV390" s="48"/>
      <c r="AW390" s="48"/>
      <c r="AX390" s="48"/>
      <c r="AY390" s="48"/>
    </row>
    <row r="391" spans="1:51">
      <c r="A391" s="48"/>
      <c r="B391" s="48"/>
      <c r="C391" s="48"/>
      <c r="D391" s="48"/>
      <c r="E391" s="48"/>
      <c r="F391" s="48"/>
      <c r="G391" s="48"/>
      <c r="H391" s="48"/>
      <c r="I391" s="48"/>
      <c r="J391" s="48"/>
      <c r="K391" s="48"/>
      <c r="L391" s="48"/>
      <c r="M391" s="48"/>
      <c r="N391" s="48"/>
      <c r="O391" s="48"/>
      <c r="P391" s="48"/>
      <c r="Q391" s="48"/>
      <c r="R391" s="48"/>
      <c r="S391" s="48"/>
      <c r="T391" s="48"/>
      <c r="U391" s="48"/>
      <c r="V391" s="48"/>
      <c r="W391" s="48"/>
      <c r="X391" s="48"/>
      <c r="Y391" s="48"/>
      <c r="Z391" s="48"/>
      <c r="AA391" s="48"/>
      <c r="AB391" s="48"/>
      <c r="AC391" s="48"/>
      <c r="AD391" s="48"/>
      <c r="AE391" s="48"/>
      <c r="AF391" s="48"/>
      <c r="AG391" s="48"/>
      <c r="AH391" s="48"/>
      <c r="AI391" s="48"/>
      <c r="AJ391" s="48"/>
      <c r="AK391" s="48"/>
      <c r="AL391" s="48"/>
      <c r="AM391" s="48"/>
      <c r="AN391" s="48"/>
      <c r="AO391" s="48"/>
      <c r="AP391" s="48"/>
      <c r="AQ391" s="48"/>
      <c r="AR391" s="48"/>
      <c r="AS391" s="48"/>
      <c r="AT391" s="48"/>
      <c r="AU391" s="48"/>
      <c r="AV391" s="48"/>
      <c r="AW391" s="48"/>
      <c r="AX391" s="48"/>
      <c r="AY391" s="48"/>
    </row>
    <row r="392" spans="1:51">
      <c r="A392" s="48"/>
      <c r="B392" s="48"/>
      <c r="C392" s="48"/>
      <c r="D392" s="48"/>
      <c r="E392" s="48"/>
      <c r="F392" s="48"/>
      <c r="G392" s="48"/>
      <c r="H392" s="48"/>
      <c r="I392" s="48"/>
      <c r="J392" s="48"/>
      <c r="K392" s="48"/>
      <c r="L392" s="48"/>
      <c r="M392" s="48"/>
      <c r="N392" s="48"/>
      <c r="O392" s="48"/>
      <c r="P392" s="48"/>
      <c r="Q392" s="48"/>
      <c r="R392" s="48"/>
      <c r="S392" s="48"/>
      <c r="T392" s="48"/>
      <c r="U392" s="48"/>
      <c r="V392" s="48"/>
      <c r="W392" s="48"/>
      <c r="X392" s="48"/>
      <c r="Y392" s="48"/>
      <c r="Z392" s="48"/>
      <c r="AA392" s="48"/>
      <c r="AB392" s="48"/>
      <c r="AC392" s="48"/>
      <c r="AD392" s="48"/>
      <c r="AE392" s="48"/>
      <c r="AF392" s="48"/>
      <c r="AG392" s="48"/>
      <c r="AH392" s="48"/>
      <c r="AI392" s="48"/>
      <c r="AJ392" s="48"/>
      <c r="AK392" s="48"/>
      <c r="AL392" s="48"/>
      <c r="AM392" s="48"/>
      <c r="AN392" s="48"/>
      <c r="AO392" s="48"/>
      <c r="AP392" s="48"/>
      <c r="AQ392" s="48"/>
      <c r="AR392" s="48"/>
      <c r="AS392" s="48"/>
      <c r="AT392" s="48"/>
      <c r="AU392" s="48"/>
      <c r="AV392" s="48"/>
      <c r="AW392" s="48"/>
      <c r="AX392" s="48"/>
      <c r="AY392" s="48"/>
    </row>
    <row r="393" spans="1:51">
      <c r="A393" s="48"/>
      <c r="B393" s="48"/>
      <c r="C393" s="48"/>
      <c r="D393" s="48"/>
      <c r="E393" s="48"/>
      <c r="F393" s="48"/>
      <c r="G393" s="48"/>
      <c r="H393" s="48"/>
      <c r="I393" s="48"/>
      <c r="J393" s="48"/>
      <c r="K393" s="48"/>
      <c r="L393" s="48"/>
      <c r="M393" s="48"/>
      <c r="N393" s="48"/>
      <c r="O393" s="48"/>
      <c r="P393" s="48"/>
      <c r="Q393" s="48"/>
      <c r="R393" s="48"/>
      <c r="S393" s="48"/>
      <c r="T393" s="48"/>
      <c r="U393" s="48"/>
      <c r="V393" s="48"/>
      <c r="W393" s="48"/>
      <c r="X393" s="48"/>
      <c r="Y393" s="48"/>
      <c r="Z393" s="48"/>
      <c r="AA393" s="48"/>
      <c r="AB393" s="48"/>
      <c r="AC393" s="48"/>
      <c r="AD393" s="48"/>
      <c r="AE393" s="48"/>
      <c r="AF393" s="48"/>
      <c r="AG393" s="48"/>
      <c r="AH393" s="48"/>
      <c r="AI393" s="48"/>
      <c r="AJ393" s="48"/>
      <c r="AK393" s="48"/>
      <c r="AL393" s="48"/>
      <c r="AM393" s="48"/>
      <c r="AN393" s="48"/>
      <c r="AO393" s="48"/>
      <c r="AP393" s="48"/>
      <c r="AQ393" s="48"/>
      <c r="AR393" s="48"/>
      <c r="AS393" s="48"/>
      <c r="AT393" s="48"/>
      <c r="AU393" s="48"/>
      <c r="AV393" s="48"/>
      <c r="AW393" s="48"/>
      <c r="AX393" s="48"/>
      <c r="AY393" s="48"/>
    </row>
    <row r="394" spans="1:51">
      <c r="A394" s="48"/>
      <c r="B394" s="48"/>
      <c r="C394" s="48"/>
      <c r="D394" s="48"/>
      <c r="E394" s="48"/>
      <c r="F394" s="48"/>
      <c r="G394" s="48"/>
      <c r="H394" s="48"/>
      <c r="I394" s="48"/>
      <c r="J394" s="48"/>
      <c r="K394" s="48"/>
      <c r="L394" s="48"/>
      <c r="M394" s="48"/>
      <c r="N394" s="48"/>
      <c r="O394" s="48"/>
      <c r="P394" s="48"/>
      <c r="Q394" s="48"/>
      <c r="R394" s="48"/>
      <c r="S394" s="48"/>
      <c r="T394" s="48"/>
      <c r="U394" s="48"/>
      <c r="V394" s="48"/>
      <c r="W394" s="48"/>
      <c r="X394" s="48"/>
      <c r="Y394" s="48"/>
      <c r="Z394" s="48"/>
      <c r="AA394" s="48"/>
      <c r="AB394" s="48"/>
      <c r="AC394" s="48"/>
      <c r="AD394" s="48"/>
      <c r="AE394" s="48"/>
      <c r="AF394" s="48"/>
      <c r="AG394" s="48"/>
      <c r="AH394" s="48"/>
      <c r="AI394" s="48"/>
      <c r="AJ394" s="48"/>
      <c r="AK394" s="48"/>
      <c r="AL394" s="48"/>
      <c r="AM394" s="48"/>
      <c r="AN394" s="48"/>
      <c r="AO394" s="48"/>
      <c r="AP394" s="48"/>
      <c r="AQ394" s="48"/>
      <c r="AR394" s="48"/>
      <c r="AS394" s="48"/>
      <c r="AT394" s="48"/>
      <c r="AU394" s="48"/>
      <c r="AV394" s="48"/>
      <c r="AW394" s="48"/>
      <c r="AX394" s="48"/>
      <c r="AY394" s="48"/>
    </row>
    <row r="395" spans="1:51">
      <c r="A395" s="48"/>
      <c r="B395" s="48"/>
      <c r="C395" s="48"/>
      <c r="D395" s="48"/>
      <c r="E395" s="48"/>
      <c r="F395" s="48"/>
      <c r="G395" s="48"/>
      <c r="H395" s="48"/>
      <c r="I395" s="48"/>
      <c r="J395" s="48"/>
      <c r="K395" s="48"/>
      <c r="L395" s="48"/>
      <c r="M395" s="48"/>
      <c r="N395" s="48"/>
      <c r="O395" s="48"/>
      <c r="P395" s="48"/>
      <c r="Q395" s="48"/>
      <c r="R395" s="48"/>
      <c r="S395" s="48"/>
      <c r="T395" s="48"/>
      <c r="U395" s="48"/>
      <c r="V395" s="48"/>
      <c r="W395" s="48"/>
      <c r="X395" s="48"/>
      <c r="Y395" s="48"/>
      <c r="Z395" s="48"/>
      <c r="AA395" s="48"/>
      <c r="AB395" s="48"/>
      <c r="AC395" s="48"/>
      <c r="AD395" s="48"/>
      <c r="AE395" s="48"/>
      <c r="AF395" s="48"/>
      <c r="AG395" s="48"/>
      <c r="AH395" s="48"/>
      <c r="AI395" s="48"/>
      <c r="AJ395" s="48"/>
      <c r="AK395" s="48"/>
      <c r="AL395" s="48"/>
      <c r="AM395" s="48"/>
      <c r="AN395" s="48"/>
      <c r="AO395" s="48"/>
      <c r="AP395" s="48"/>
      <c r="AQ395" s="48"/>
      <c r="AR395" s="48"/>
      <c r="AS395" s="48"/>
      <c r="AT395" s="48"/>
      <c r="AU395" s="48"/>
      <c r="AV395" s="48"/>
      <c r="AW395" s="48"/>
      <c r="AX395" s="48"/>
      <c r="AY395" s="48"/>
    </row>
    <row r="396" spans="1:51">
      <c r="A396" s="48"/>
      <c r="B396" s="48"/>
      <c r="C396" s="48"/>
      <c r="D396" s="48"/>
      <c r="E396" s="48"/>
      <c r="F396" s="48"/>
      <c r="G396" s="48"/>
      <c r="H396" s="48"/>
      <c r="I396" s="48"/>
      <c r="J396" s="48"/>
      <c r="K396" s="48"/>
      <c r="L396" s="48"/>
      <c r="M396" s="48"/>
      <c r="N396" s="48"/>
      <c r="O396" s="48"/>
      <c r="P396" s="48"/>
      <c r="Q396" s="48"/>
      <c r="R396" s="48"/>
      <c r="S396" s="48"/>
      <c r="T396" s="48"/>
      <c r="U396" s="48"/>
      <c r="V396" s="48"/>
      <c r="W396" s="48"/>
      <c r="X396" s="48"/>
      <c r="Y396" s="48"/>
      <c r="Z396" s="48"/>
      <c r="AA396" s="48"/>
      <c r="AB396" s="48"/>
      <c r="AC396" s="48"/>
      <c r="AD396" s="48"/>
      <c r="AE396" s="48"/>
      <c r="AF396" s="48"/>
      <c r="AG396" s="48"/>
      <c r="AH396" s="48"/>
      <c r="AI396" s="48"/>
      <c r="AJ396" s="48"/>
      <c r="AK396" s="48"/>
      <c r="AL396" s="48"/>
      <c r="AM396" s="48"/>
      <c r="AN396" s="48"/>
      <c r="AO396" s="48"/>
      <c r="AP396" s="48"/>
      <c r="AQ396" s="48"/>
      <c r="AR396" s="48"/>
      <c r="AS396" s="48"/>
      <c r="AT396" s="48"/>
      <c r="AU396" s="48"/>
      <c r="AV396" s="48"/>
      <c r="AW396" s="48"/>
      <c r="AX396" s="48"/>
      <c r="AY396" s="48"/>
    </row>
    <row r="397" spans="1:51">
      <c r="A397" s="48"/>
      <c r="B397" s="48"/>
      <c r="C397" s="48"/>
      <c r="D397" s="48"/>
      <c r="E397" s="48"/>
      <c r="F397" s="48"/>
      <c r="G397" s="48"/>
      <c r="H397" s="48"/>
      <c r="I397" s="48"/>
      <c r="J397" s="48"/>
      <c r="K397" s="48"/>
      <c r="L397" s="48"/>
      <c r="M397" s="48"/>
      <c r="N397" s="48"/>
      <c r="O397" s="48"/>
      <c r="P397" s="48"/>
      <c r="Q397" s="48"/>
      <c r="R397" s="48"/>
      <c r="S397" s="48"/>
      <c r="T397" s="48"/>
      <c r="U397" s="48"/>
      <c r="V397" s="48"/>
      <c r="W397" s="48"/>
      <c r="X397" s="48"/>
      <c r="Y397" s="48"/>
      <c r="Z397" s="48"/>
      <c r="AA397" s="48"/>
      <c r="AB397" s="48"/>
      <c r="AC397" s="48"/>
      <c r="AD397" s="48"/>
      <c r="AE397" s="48"/>
      <c r="AF397" s="48"/>
      <c r="AG397" s="48"/>
      <c r="AH397" s="48"/>
      <c r="AI397" s="48"/>
      <c r="AJ397" s="48"/>
      <c r="AK397" s="48"/>
      <c r="AL397" s="48"/>
      <c r="AM397" s="48"/>
      <c r="AN397" s="48"/>
      <c r="AO397" s="48"/>
      <c r="AP397" s="48"/>
      <c r="AQ397" s="48"/>
      <c r="AR397" s="48"/>
      <c r="AS397" s="48"/>
      <c r="AT397" s="48"/>
      <c r="AU397" s="48"/>
      <c r="AV397" s="48"/>
      <c r="AW397" s="48"/>
      <c r="AX397" s="48"/>
      <c r="AY397" s="48"/>
    </row>
    <row r="398" spans="1:51">
      <c r="A398" s="48"/>
      <c r="B398" s="48"/>
      <c r="C398" s="48"/>
      <c r="D398" s="48"/>
      <c r="E398" s="48"/>
      <c r="F398" s="48"/>
      <c r="G398" s="48"/>
      <c r="H398" s="48"/>
      <c r="I398" s="48"/>
      <c r="J398" s="48"/>
      <c r="K398" s="48"/>
      <c r="L398" s="48"/>
      <c r="M398" s="48"/>
      <c r="N398" s="48"/>
      <c r="O398" s="48"/>
      <c r="P398" s="48"/>
      <c r="Q398" s="48"/>
      <c r="R398" s="48"/>
      <c r="S398" s="48"/>
      <c r="T398" s="48"/>
      <c r="U398" s="48"/>
      <c r="V398" s="48"/>
      <c r="W398" s="48"/>
      <c r="X398" s="48"/>
      <c r="Y398" s="48"/>
      <c r="Z398" s="48"/>
      <c r="AA398" s="48"/>
      <c r="AB398" s="48"/>
      <c r="AC398" s="48"/>
      <c r="AD398" s="48"/>
      <c r="AE398" s="48"/>
      <c r="AF398" s="48"/>
      <c r="AG398" s="48"/>
      <c r="AH398" s="48"/>
      <c r="AI398" s="48"/>
      <c r="AJ398" s="48"/>
      <c r="AK398" s="48"/>
      <c r="AL398" s="48"/>
      <c r="AM398" s="48"/>
      <c r="AN398" s="48"/>
      <c r="AO398" s="48"/>
      <c r="AP398" s="48"/>
      <c r="AQ398" s="48"/>
      <c r="AR398" s="48"/>
      <c r="AS398" s="48"/>
      <c r="AT398" s="48"/>
      <c r="AU398" s="48"/>
      <c r="AV398" s="48"/>
      <c r="AW398" s="48"/>
      <c r="AX398" s="48"/>
      <c r="AY398" s="48"/>
    </row>
    <row r="399" spans="1:51">
      <c r="A399" s="48"/>
      <c r="B399" s="48"/>
      <c r="C399" s="48"/>
      <c r="D399" s="48"/>
      <c r="E399" s="48"/>
      <c r="F399" s="48"/>
      <c r="G399" s="48"/>
      <c r="H399" s="48"/>
      <c r="I399" s="48"/>
      <c r="J399" s="48"/>
      <c r="K399" s="48"/>
      <c r="L399" s="48"/>
      <c r="M399" s="48"/>
      <c r="N399" s="48"/>
      <c r="O399" s="48"/>
      <c r="P399" s="48"/>
      <c r="Q399" s="48"/>
      <c r="R399" s="48"/>
      <c r="S399" s="48"/>
      <c r="T399" s="48"/>
      <c r="U399" s="48"/>
      <c r="V399" s="48"/>
      <c r="W399" s="48"/>
      <c r="X399" s="48"/>
      <c r="Y399" s="48"/>
      <c r="Z399" s="48"/>
      <c r="AA399" s="48"/>
      <c r="AB399" s="48"/>
      <c r="AC399" s="48"/>
      <c r="AD399" s="48"/>
      <c r="AE399" s="48"/>
      <c r="AF399" s="48"/>
      <c r="AG399" s="48"/>
      <c r="AH399" s="48"/>
      <c r="AI399" s="48"/>
      <c r="AJ399" s="48"/>
      <c r="AK399" s="48"/>
      <c r="AL399" s="48"/>
      <c r="AM399" s="48"/>
      <c r="AN399" s="48"/>
      <c r="AO399" s="48"/>
      <c r="AP399" s="48"/>
      <c r="AQ399" s="48"/>
      <c r="AR399" s="48"/>
      <c r="AS399" s="48"/>
      <c r="AT399" s="48"/>
      <c r="AU399" s="48"/>
      <c r="AV399" s="48"/>
      <c r="AW399" s="48"/>
      <c r="AX399" s="48"/>
      <c r="AY399" s="48"/>
    </row>
    <row r="400" spans="1:51">
      <c r="A400" s="48"/>
      <c r="B400" s="48"/>
      <c r="C400" s="48"/>
      <c r="D400" s="48"/>
      <c r="E400" s="48"/>
      <c r="F400" s="48"/>
      <c r="G400" s="48"/>
      <c r="H400" s="48"/>
      <c r="I400" s="48"/>
      <c r="J400" s="48"/>
      <c r="K400" s="48"/>
      <c r="L400" s="48"/>
      <c r="M400" s="48"/>
      <c r="N400" s="48"/>
      <c r="O400" s="48"/>
      <c r="P400" s="48"/>
      <c r="Q400" s="48"/>
      <c r="R400" s="48"/>
      <c r="S400" s="48"/>
      <c r="T400" s="48"/>
      <c r="U400" s="48"/>
      <c r="V400" s="48"/>
      <c r="W400" s="48"/>
      <c r="X400" s="48"/>
      <c r="Y400" s="48"/>
      <c r="Z400" s="48"/>
      <c r="AA400" s="48"/>
      <c r="AB400" s="48"/>
      <c r="AC400" s="48"/>
      <c r="AD400" s="48"/>
      <c r="AE400" s="48"/>
      <c r="AF400" s="48"/>
      <c r="AG400" s="48"/>
      <c r="AH400" s="48"/>
      <c r="AI400" s="48"/>
      <c r="AJ400" s="48"/>
      <c r="AK400" s="48"/>
      <c r="AL400" s="48"/>
      <c r="AM400" s="48"/>
      <c r="AN400" s="48"/>
      <c r="AO400" s="48"/>
      <c r="AP400" s="48"/>
      <c r="AQ400" s="48"/>
      <c r="AR400" s="48"/>
      <c r="AS400" s="48"/>
      <c r="AT400" s="48"/>
      <c r="AU400" s="48"/>
      <c r="AV400" s="48"/>
      <c r="AW400" s="48"/>
      <c r="AX400" s="48"/>
      <c r="AY400" s="48"/>
    </row>
    <row r="401" spans="1:51">
      <c r="A401" s="48"/>
      <c r="B401" s="48"/>
      <c r="C401" s="48"/>
      <c r="D401" s="48"/>
      <c r="E401" s="48"/>
      <c r="F401" s="48"/>
      <c r="G401" s="48"/>
      <c r="H401" s="48"/>
      <c r="I401" s="48"/>
      <c r="J401" s="48"/>
      <c r="K401" s="48"/>
      <c r="L401" s="48"/>
      <c r="M401" s="48"/>
      <c r="N401" s="48"/>
      <c r="O401" s="48"/>
      <c r="P401" s="48"/>
      <c r="Q401" s="48"/>
      <c r="R401" s="48"/>
      <c r="S401" s="48"/>
      <c r="T401" s="48"/>
      <c r="U401" s="48"/>
      <c r="V401" s="48"/>
      <c r="W401" s="48"/>
      <c r="X401" s="48"/>
      <c r="Y401" s="48"/>
      <c r="Z401" s="48"/>
      <c r="AA401" s="48"/>
      <c r="AB401" s="48"/>
      <c r="AC401" s="48"/>
      <c r="AD401" s="48"/>
      <c r="AE401" s="48"/>
      <c r="AF401" s="48"/>
      <c r="AG401" s="48"/>
      <c r="AH401" s="48"/>
      <c r="AI401" s="48"/>
      <c r="AJ401" s="48"/>
      <c r="AK401" s="48"/>
      <c r="AL401" s="48"/>
      <c r="AM401" s="48"/>
      <c r="AN401" s="48"/>
      <c r="AO401" s="48"/>
      <c r="AP401" s="48"/>
      <c r="AQ401" s="48"/>
      <c r="AR401" s="48"/>
      <c r="AS401" s="48"/>
      <c r="AT401" s="48"/>
      <c r="AU401" s="48"/>
      <c r="AV401" s="48"/>
      <c r="AW401" s="48"/>
      <c r="AX401" s="48"/>
      <c r="AY401" s="48"/>
    </row>
    <row r="402" spans="1:51">
      <c r="A402" s="48"/>
      <c r="B402" s="48"/>
      <c r="C402" s="48"/>
      <c r="D402" s="48"/>
      <c r="E402" s="48"/>
      <c r="F402" s="48"/>
      <c r="G402" s="48"/>
      <c r="H402" s="48"/>
      <c r="I402" s="48"/>
      <c r="J402" s="48"/>
      <c r="K402" s="48"/>
      <c r="L402" s="48"/>
      <c r="M402" s="48"/>
      <c r="N402" s="48"/>
      <c r="O402" s="48"/>
      <c r="P402" s="48"/>
      <c r="Q402" s="48"/>
      <c r="R402" s="48"/>
      <c r="S402" s="48"/>
      <c r="T402" s="48"/>
      <c r="U402" s="48"/>
      <c r="V402" s="48"/>
      <c r="W402" s="48"/>
      <c r="X402" s="48"/>
      <c r="Y402" s="48"/>
      <c r="Z402" s="48"/>
      <c r="AA402" s="48"/>
      <c r="AB402" s="48"/>
      <c r="AC402" s="48"/>
      <c r="AD402" s="48"/>
      <c r="AE402" s="48"/>
      <c r="AF402" s="48"/>
      <c r="AG402" s="48"/>
      <c r="AH402" s="48"/>
      <c r="AI402" s="48"/>
      <c r="AJ402" s="48"/>
      <c r="AK402" s="48"/>
      <c r="AL402" s="48"/>
      <c r="AM402" s="48"/>
      <c r="AN402" s="48"/>
      <c r="AO402" s="48"/>
      <c r="AP402" s="48"/>
      <c r="AQ402" s="48"/>
      <c r="AR402" s="48"/>
      <c r="AS402" s="48"/>
      <c r="AT402" s="48"/>
      <c r="AU402" s="48"/>
      <c r="AV402" s="48"/>
      <c r="AW402" s="48"/>
      <c r="AX402" s="48"/>
      <c r="AY402" s="48"/>
    </row>
    <row r="403" spans="1:51">
      <c r="A403" s="48"/>
      <c r="B403" s="48"/>
      <c r="C403" s="48"/>
      <c r="D403" s="48"/>
      <c r="E403" s="48"/>
      <c r="F403" s="48"/>
      <c r="G403" s="48"/>
      <c r="H403" s="48"/>
      <c r="I403" s="48"/>
      <c r="J403" s="48"/>
      <c r="K403" s="48"/>
      <c r="L403" s="48"/>
      <c r="M403" s="48"/>
      <c r="N403" s="48"/>
      <c r="O403" s="48"/>
      <c r="P403" s="48"/>
      <c r="Q403" s="48"/>
      <c r="R403" s="48"/>
      <c r="S403" s="48"/>
      <c r="T403" s="48"/>
      <c r="U403" s="48"/>
      <c r="V403" s="48"/>
      <c r="W403" s="48"/>
      <c r="X403" s="48"/>
      <c r="Y403" s="48"/>
      <c r="Z403" s="48"/>
      <c r="AA403" s="48"/>
      <c r="AB403" s="48"/>
      <c r="AC403" s="48"/>
      <c r="AD403" s="48"/>
      <c r="AE403" s="48"/>
      <c r="AF403" s="48"/>
      <c r="AG403" s="48"/>
      <c r="AH403" s="48"/>
      <c r="AI403" s="48"/>
      <c r="AJ403" s="48"/>
      <c r="AK403" s="48"/>
      <c r="AL403" s="48"/>
      <c r="AM403" s="48"/>
      <c r="AN403" s="48"/>
      <c r="AO403" s="48"/>
      <c r="AP403" s="48"/>
      <c r="AQ403" s="48"/>
      <c r="AR403" s="48"/>
      <c r="AS403" s="48"/>
      <c r="AT403" s="48"/>
      <c r="AU403" s="48"/>
      <c r="AV403" s="48"/>
      <c r="AW403" s="48"/>
      <c r="AX403" s="48"/>
      <c r="AY403" s="48"/>
    </row>
    <row r="404" spans="1:51">
      <c r="A404" s="48"/>
      <c r="B404" s="48"/>
      <c r="C404" s="48"/>
      <c r="D404" s="48"/>
      <c r="E404" s="48"/>
      <c r="F404" s="48"/>
      <c r="G404" s="48"/>
      <c r="H404" s="48"/>
      <c r="I404" s="48"/>
      <c r="J404" s="48"/>
      <c r="K404" s="48"/>
      <c r="L404" s="48"/>
      <c r="M404" s="48"/>
      <c r="N404" s="48"/>
      <c r="O404" s="48"/>
      <c r="P404" s="48"/>
      <c r="Q404" s="48"/>
      <c r="R404" s="48"/>
      <c r="S404" s="48"/>
      <c r="T404" s="48"/>
      <c r="U404" s="48"/>
      <c r="V404" s="48"/>
      <c r="W404" s="48"/>
      <c r="X404" s="48"/>
      <c r="Y404" s="48"/>
      <c r="Z404" s="48"/>
      <c r="AA404" s="48"/>
      <c r="AB404" s="48"/>
      <c r="AC404" s="48"/>
      <c r="AD404" s="48"/>
      <c r="AE404" s="48"/>
      <c r="AF404" s="48"/>
      <c r="AG404" s="48"/>
      <c r="AH404" s="48"/>
      <c r="AI404" s="48"/>
      <c r="AJ404" s="48"/>
      <c r="AK404" s="48"/>
      <c r="AL404" s="48"/>
      <c r="AM404" s="48"/>
      <c r="AN404" s="48"/>
      <c r="AO404" s="48"/>
      <c r="AP404" s="48"/>
      <c r="AQ404" s="48"/>
      <c r="AR404" s="48"/>
      <c r="AS404" s="48"/>
      <c r="AT404" s="48"/>
      <c r="AU404" s="48"/>
      <c r="AV404" s="48"/>
      <c r="AW404" s="48"/>
      <c r="AX404" s="48"/>
      <c r="AY404" s="48"/>
    </row>
    <row r="405" spans="1:51">
      <c r="A405" s="48"/>
      <c r="B405" s="48"/>
      <c r="C405" s="48"/>
      <c r="D405" s="48"/>
      <c r="E405" s="48"/>
      <c r="F405" s="48"/>
      <c r="G405" s="48"/>
      <c r="H405" s="48"/>
      <c r="I405" s="48"/>
      <c r="J405" s="48"/>
      <c r="K405" s="48"/>
      <c r="L405" s="48"/>
      <c r="M405" s="48"/>
      <c r="N405" s="48"/>
      <c r="O405" s="48"/>
      <c r="P405" s="48"/>
      <c r="Q405" s="48"/>
      <c r="R405" s="48"/>
      <c r="S405" s="48"/>
      <c r="T405" s="48"/>
      <c r="U405" s="48"/>
      <c r="V405" s="48"/>
      <c r="W405" s="48"/>
      <c r="X405" s="48"/>
      <c r="Y405" s="48"/>
      <c r="Z405" s="48"/>
      <c r="AA405" s="48"/>
      <c r="AB405" s="48"/>
      <c r="AC405" s="48"/>
      <c r="AD405" s="48"/>
      <c r="AE405" s="48"/>
      <c r="AF405" s="48"/>
      <c r="AG405" s="48"/>
      <c r="AH405" s="48"/>
      <c r="AI405" s="48"/>
      <c r="AJ405" s="48"/>
      <c r="AK405" s="48"/>
      <c r="AL405" s="48"/>
      <c r="AM405" s="48"/>
      <c r="AN405" s="48"/>
      <c r="AO405" s="48"/>
      <c r="AP405" s="48"/>
      <c r="AQ405" s="48"/>
      <c r="AR405" s="48"/>
      <c r="AS405" s="48"/>
      <c r="AT405" s="48"/>
      <c r="AU405" s="48"/>
      <c r="AV405" s="48"/>
      <c r="AW405" s="48"/>
      <c r="AX405" s="48"/>
      <c r="AY405" s="48"/>
    </row>
    <row r="406" spans="1:51">
      <c r="A406" s="48"/>
      <c r="B406" s="48"/>
      <c r="C406" s="48"/>
      <c r="D406" s="48"/>
      <c r="E406" s="48"/>
      <c r="F406" s="48"/>
      <c r="G406" s="48"/>
      <c r="H406" s="48"/>
      <c r="I406" s="48"/>
      <c r="J406" s="48"/>
      <c r="K406" s="48"/>
      <c r="L406" s="48"/>
      <c r="M406" s="48"/>
      <c r="N406" s="48"/>
      <c r="O406" s="48"/>
      <c r="P406" s="48"/>
      <c r="Q406" s="48"/>
      <c r="R406" s="48"/>
      <c r="S406" s="48"/>
      <c r="T406" s="48"/>
      <c r="U406" s="48"/>
      <c r="V406" s="48"/>
      <c r="W406" s="48"/>
      <c r="X406" s="48"/>
      <c r="Y406" s="48"/>
      <c r="Z406" s="48"/>
      <c r="AA406" s="48"/>
      <c r="AB406" s="48"/>
      <c r="AC406" s="48"/>
      <c r="AD406" s="48"/>
      <c r="AE406" s="48"/>
      <c r="AF406" s="48"/>
      <c r="AG406" s="48"/>
      <c r="AH406" s="48"/>
      <c r="AI406" s="48"/>
      <c r="AJ406" s="48"/>
      <c r="AK406" s="48"/>
      <c r="AL406" s="48"/>
      <c r="AM406" s="48"/>
      <c r="AN406" s="48"/>
      <c r="AO406" s="48"/>
      <c r="AP406" s="48"/>
      <c r="AQ406" s="48"/>
      <c r="AR406" s="48"/>
      <c r="AS406" s="48"/>
      <c r="AT406" s="48"/>
      <c r="AU406" s="48"/>
      <c r="AV406" s="48"/>
      <c r="AW406" s="48"/>
      <c r="AX406" s="48"/>
      <c r="AY406" s="48"/>
    </row>
    <row r="407" spans="1:51">
      <c r="A407" s="48"/>
      <c r="B407" s="48"/>
      <c r="C407" s="48"/>
      <c r="D407" s="48"/>
      <c r="E407" s="48"/>
      <c r="F407" s="48"/>
      <c r="G407" s="48"/>
      <c r="H407" s="48"/>
      <c r="I407" s="48"/>
      <c r="J407" s="48"/>
      <c r="K407" s="48"/>
      <c r="L407" s="48"/>
      <c r="M407" s="48"/>
      <c r="N407" s="48"/>
      <c r="O407" s="48"/>
      <c r="P407" s="48"/>
      <c r="Q407" s="48"/>
      <c r="R407" s="48"/>
      <c r="S407" s="48"/>
      <c r="T407" s="48"/>
      <c r="U407" s="48"/>
      <c r="V407" s="48"/>
      <c r="W407" s="48"/>
      <c r="X407" s="48"/>
      <c r="Y407" s="48"/>
      <c r="Z407" s="48"/>
      <c r="AA407" s="48"/>
      <c r="AB407" s="48"/>
      <c r="AC407" s="48"/>
      <c r="AD407" s="48"/>
      <c r="AE407" s="48"/>
      <c r="AF407" s="48"/>
      <c r="AG407" s="48"/>
      <c r="AH407" s="48"/>
      <c r="AI407" s="48"/>
      <c r="AJ407" s="48"/>
      <c r="AK407" s="48"/>
      <c r="AL407" s="48"/>
      <c r="AM407" s="48"/>
      <c r="AN407" s="48"/>
      <c r="AO407" s="48"/>
      <c r="AP407" s="48"/>
      <c r="AQ407" s="48"/>
      <c r="AR407" s="48"/>
      <c r="AS407" s="48"/>
      <c r="AT407" s="48"/>
      <c r="AU407" s="48"/>
      <c r="AV407" s="48"/>
      <c r="AW407" s="48"/>
      <c r="AX407" s="48"/>
      <c r="AY407" s="48"/>
    </row>
    <row r="408" spans="1:51">
      <c r="A408" s="48"/>
      <c r="B408" s="48"/>
      <c r="C408" s="48"/>
      <c r="D408" s="48"/>
      <c r="E408" s="48"/>
      <c r="F408" s="48"/>
      <c r="G408" s="48"/>
      <c r="H408" s="48"/>
      <c r="I408" s="48"/>
      <c r="J408" s="48"/>
      <c r="K408" s="48"/>
      <c r="L408" s="48"/>
      <c r="M408" s="48"/>
      <c r="N408" s="48"/>
      <c r="O408" s="48"/>
      <c r="P408" s="48"/>
      <c r="Q408" s="48"/>
      <c r="R408" s="48"/>
      <c r="S408" s="48"/>
      <c r="T408" s="48"/>
      <c r="U408" s="48"/>
      <c r="V408" s="48"/>
      <c r="W408" s="48"/>
      <c r="X408" s="48"/>
      <c r="Y408" s="48"/>
      <c r="Z408" s="48"/>
      <c r="AA408" s="48"/>
      <c r="AB408" s="48"/>
      <c r="AC408" s="48"/>
      <c r="AD408" s="48"/>
      <c r="AE408" s="48"/>
      <c r="AF408" s="48"/>
      <c r="AG408" s="48"/>
      <c r="AH408" s="48"/>
      <c r="AI408" s="48"/>
      <c r="AJ408" s="48"/>
      <c r="AK408" s="48"/>
      <c r="AL408" s="48"/>
      <c r="AM408" s="48"/>
      <c r="AN408" s="48"/>
      <c r="AO408" s="48"/>
      <c r="AP408" s="48"/>
      <c r="AQ408" s="48"/>
      <c r="AR408" s="48"/>
      <c r="AS408" s="48"/>
      <c r="AT408" s="48"/>
      <c r="AU408" s="48"/>
      <c r="AV408" s="48"/>
      <c r="AW408" s="48"/>
      <c r="AX408" s="48"/>
      <c r="AY408" s="48"/>
    </row>
    <row r="409" spans="1:51">
      <c r="A409" s="48"/>
      <c r="B409" s="48"/>
      <c r="C409" s="48"/>
      <c r="D409" s="48"/>
      <c r="E409" s="48"/>
      <c r="F409" s="48"/>
      <c r="G409" s="48"/>
      <c r="H409" s="48"/>
      <c r="I409" s="48"/>
      <c r="J409" s="48"/>
      <c r="K409" s="48"/>
      <c r="L409" s="48"/>
      <c r="M409" s="48"/>
      <c r="N409" s="48"/>
      <c r="O409" s="48"/>
      <c r="P409" s="48"/>
      <c r="Q409" s="48"/>
      <c r="R409" s="48"/>
      <c r="S409" s="48"/>
      <c r="T409" s="48"/>
      <c r="U409" s="48"/>
      <c r="V409" s="48"/>
      <c r="W409" s="48"/>
      <c r="X409" s="48"/>
      <c r="Y409" s="48"/>
      <c r="Z409" s="48"/>
      <c r="AA409" s="48"/>
      <c r="AB409" s="48"/>
      <c r="AC409" s="48"/>
      <c r="AD409" s="48"/>
      <c r="AE409" s="48"/>
      <c r="AF409" s="48"/>
      <c r="AG409" s="48"/>
      <c r="AH409" s="48"/>
      <c r="AI409" s="48"/>
      <c r="AJ409" s="48"/>
      <c r="AK409" s="48"/>
      <c r="AL409" s="48"/>
      <c r="AM409" s="48"/>
      <c r="AN409" s="48"/>
      <c r="AO409" s="48"/>
      <c r="AP409" s="48"/>
      <c r="AQ409" s="48"/>
      <c r="AR409" s="48"/>
      <c r="AS409" s="48"/>
      <c r="AT409" s="48"/>
      <c r="AU409" s="48"/>
      <c r="AV409" s="48"/>
      <c r="AW409" s="48"/>
      <c r="AX409" s="48"/>
      <c r="AY409" s="48"/>
    </row>
    <row r="410" spans="1:51">
      <c r="A410" s="48"/>
      <c r="B410" s="48"/>
      <c r="C410" s="48"/>
      <c r="D410" s="48"/>
      <c r="E410" s="48"/>
      <c r="F410" s="48"/>
      <c r="G410" s="48"/>
      <c r="H410" s="48"/>
      <c r="I410" s="48"/>
      <c r="J410" s="48"/>
      <c r="K410" s="48"/>
      <c r="L410" s="48"/>
      <c r="M410" s="48"/>
      <c r="N410" s="48"/>
      <c r="O410" s="48"/>
      <c r="P410" s="48"/>
      <c r="Q410" s="48"/>
      <c r="R410" s="48"/>
      <c r="S410" s="48"/>
      <c r="T410" s="48"/>
      <c r="U410" s="48"/>
      <c r="V410" s="48"/>
      <c r="W410" s="48"/>
      <c r="X410" s="48"/>
      <c r="Y410" s="48"/>
      <c r="Z410" s="48"/>
      <c r="AA410" s="48"/>
      <c r="AB410" s="48"/>
      <c r="AC410" s="48"/>
      <c r="AD410" s="48"/>
      <c r="AE410" s="48"/>
      <c r="AF410" s="48"/>
      <c r="AG410" s="48"/>
      <c r="AH410" s="48"/>
      <c r="AI410" s="48"/>
      <c r="AJ410" s="48"/>
      <c r="AK410" s="48"/>
      <c r="AL410" s="48"/>
      <c r="AM410" s="48"/>
      <c r="AN410" s="48"/>
      <c r="AO410" s="48"/>
      <c r="AP410" s="48"/>
      <c r="AQ410" s="48"/>
      <c r="AR410" s="48"/>
      <c r="AS410" s="48"/>
      <c r="AT410" s="48"/>
      <c r="AU410" s="48"/>
      <c r="AV410" s="48"/>
      <c r="AW410" s="48"/>
      <c r="AX410" s="48"/>
      <c r="AY410" s="48"/>
    </row>
    <row r="411" spans="1:51">
      <c r="A411" s="48"/>
      <c r="B411" s="48"/>
      <c r="C411" s="48"/>
      <c r="D411" s="48"/>
      <c r="E411" s="48"/>
      <c r="F411" s="48"/>
      <c r="G411" s="48"/>
      <c r="H411" s="48"/>
      <c r="I411" s="48"/>
      <c r="J411" s="48"/>
      <c r="K411" s="48"/>
      <c r="L411" s="48"/>
      <c r="M411" s="48"/>
      <c r="N411" s="48"/>
      <c r="O411" s="48"/>
      <c r="P411" s="48"/>
      <c r="Q411" s="48"/>
      <c r="R411" s="48"/>
      <c r="S411" s="48"/>
      <c r="T411" s="48"/>
      <c r="U411" s="48"/>
      <c r="V411" s="48"/>
      <c r="W411" s="48"/>
      <c r="X411" s="48"/>
      <c r="Y411" s="48"/>
      <c r="Z411" s="48"/>
      <c r="AA411" s="48"/>
      <c r="AB411" s="48"/>
      <c r="AC411" s="48"/>
      <c r="AD411" s="48"/>
      <c r="AE411" s="48"/>
      <c r="AF411" s="48"/>
      <c r="AG411" s="48"/>
      <c r="AH411" s="48"/>
      <c r="AI411" s="48"/>
      <c r="AJ411" s="48"/>
      <c r="AK411" s="48"/>
      <c r="AL411" s="48"/>
      <c r="AM411" s="48"/>
      <c r="AN411" s="48"/>
      <c r="AO411" s="48"/>
      <c r="AP411" s="48"/>
      <c r="AQ411" s="48"/>
      <c r="AR411" s="48"/>
      <c r="AS411" s="48"/>
      <c r="AT411" s="48"/>
      <c r="AU411" s="48"/>
      <c r="AV411" s="48"/>
      <c r="AW411" s="48"/>
      <c r="AX411" s="48"/>
      <c r="AY411" s="48"/>
    </row>
    <row r="412" spans="1:51">
      <c r="A412" s="48"/>
      <c r="B412" s="48"/>
      <c r="C412" s="48"/>
      <c r="D412" s="48"/>
      <c r="E412" s="48"/>
      <c r="F412" s="48"/>
      <c r="G412" s="48"/>
      <c r="H412" s="48"/>
      <c r="I412" s="48"/>
      <c r="J412" s="48"/>
      <c r="K412" s="48"/>
      <c r="L412" s="48"/>
      <c r="M412" s="48"/>
      <c r="N412" s="48"/>
      <c r="O412" s="48"/>
      <c r="P412" s="48"/>
      <c r="Q412" s="48"/>
      <c r="R412" s="48"/>
      <c r="S412" s="48"/>
      <c r="T412" s="48"/>
      <c r="U412" s="48"/>
      <c r="V412" s="48"/>
      <c r="W412" s="48"/>
      <c r="X412" s="48"/>
      <c r="Y412" s="48"/>
      <c r="Z412" s="48"/>
      <c r="AA412" s="48"/>
      <c r="AB412" s="48"/>
      <c r="AC412" s="48"/>
      <c r="AD412" s="48"/>
      <c r="AE412" s="48"/>
      <c r="AF412" s="48"/>
      <c r="AG412" s="48"/>
      <c r="AH412" s="48"/>
      <c r="AI412" s="48"/>
      <c r="AJ412" s="48"/>
      <c r="AK412" s="48"/>
      <c r="AL412" s="48"/>
      <c r="AM412" s="48"/>
      <c r="AN412" s="48"/>
      <c r="AO412" s="48"/>
      <c r="AP412" s="48"/>
      <c r="AQ412" s="48"/>
      <c r="AR412" s="48"/>
      <c r="AS412" s="48"/>
      <c r="AT412" s="48"/>
      <c r="AU412" s="48"/>
      <c r="AV412" s="48"/>
      <c r="AW412" s="48"/>
      <c r="AX412" s="48"/>
      <c r="AY412" s="48"/>
    </row>
    <row r="413" spans="1:51">
      <c r="A413" s="48"/>
      <c r="B413" s="48"/>
      <c r="C413" s="48"/>
      <c r="D413" s="48"/>
      <c r="E413" s="48"/>
      <c r="F413" s="48"/>
      <c r="G413" s="48"/>
      <c r="H413" s="48"/>
      <c r="I413" s="48"/>
      <c r="J413" s="48"/>
      <c r="K413" s="48"/>
      <c r="L413" s="48"/>
      <c r="M413" s="48"/>
      <c r="N413" s="48"/>
      <c r="O413" s="48"/>
      <c r="P413" s="48"/>
      <c r="Q413" s="48"/>
      <c r="R413" s="48"/>
      <c r="S413" s="48"/>
      <c r="T413" s="48"/>
      <c r="U413" s="48"/>
      <c r="V413" s="48"/>
      <c r="W413" s="48"/>
      <c r="X413" s="48"/>
      <c r="Y413" s="48"/>
      <c r="Z413" s="48"/>
      <c r="AA413" s="48"/>
      <c r="AB413" s="48"/>
      <c r="AC413" s="48"/>
      <c r="AD413" s="48"/>
      <c r="AE413" s="48"/>
      <c r="AF413" s="48"/>
      <c r="AG413" s="48"/>
      <c r="AH413" s="48"/>
      <c r="AI413" s="48"/>
      <c r="AJ413" s="48"/>
      <c r="AK413" s="48"/>
      <c r="AL413" s="48"/>
      <c r="AM413" s="48"/>
      <c r="AN413" s="48"/>
      <c r="AO413" s="48"/>
      <c r="AP413" s="48"/>
      <c r="AQ413" s="48"/>
      <c r="AR413" s="48"/>
      <c r="AS413" s="48"/>
      <c r="AT413" s="48"/>
      <c r="AU413" s="48"/>
      <c r="AV413" s="48"/>
      <c r="AW413" s="48"/>
      <c r="AX413" s="48"/>
      <c r="AY413" s="48"/>
    </row>
    <row r="414" spans="1:51">
      <c r="A414" s="48"/>
      <c r="B414" s="48"/>
      <c r="C414" s="48"/>
      <c r="D414" s="48"/>
      <c r="E414" s="48"/>
      <c r="F414" s="48"/>
      <c r="G414" s="48"/>
      <c r="H414" s="48"/>
      <c r="I414" s="48"/>
      <c r="J414" s="48"/>
      <c r="K414" s="48"/>
      <c r="L414" s="48"/>
      <c r="M414" s="48"/>
      <c r="N414" s="48"/>
      <c r="O414" s="48"/>
      <c r="P414" s="48"/>
      <c r="Q414" s="48"/>
      <c r="R414" s="48"/>
      <c r="S414" s="48"/>
      <c r="T414" s="48"/>
      <c r="U414" s="48"/>
      <c r="V414" s="48"/>
      <c r="W414" s="48"/>
      <c r="X414" s="48"/>
      <c r="Y414" s="48"/>
      <c r="Z414" s="48"/>
      <c r="AA414" s="48"/>
      <c r="AB414" s="48"/>
      <c r="AC414" s="48"/>
      <c r="AD414" s="48"/>
      <c r="AE414" s="48"/>
      <c r="AF414" s="48"/>
      <c r="AG414" s="48"/>
      <c r="AH414" s="48"/>
      <c r="AI414" s="48"/>
      <c r="AJ414" s="48"/>
      <c r="AK414" s="48"/>
      <c r="AL414" s="48"/>
      <c r="AM414" s="48"/>
      <c r="AN414" s="48"/>
      <c r="AO414" s="48"/>
      <c r="AP414" s="48"/>
      <c r="AQ414" s="48"/>
      <c r="AR414" s="48"/>
      <c r="AS414" s="48"/>
      <c r="AT414" s="48"/>
      <c r="AU414" s="48"/>
      <c r="AV414" s="48"/>
      <c r="AW414" s="48"/>
      <c r="AX414" s="48"/>
      <c r="AY414" s="48"/>
    </row>
    <row r="415" spans="1:51">
      <c r="A415" s="48"/>
      <c r="B415" s="48"/>
      <c r="C415" s="48"/>
      <c r="D415" s="48"/>
      <c r="E415" s="48"/>
      <c r="F415" s="48"/>
      <c r="G415" s="48"/>
      <c r="H415" s="48"/>
      <c r="I415" s="48"/>
      <c r="J415" s="48"/>
      <c r="K415" s="48"/>
      <c r="L415" s="48"/>
      <c r="M415" s="48"/>
      <c r="N415" s="48"/>
      <c r="O415" s="48"/>
      <c r="P415" s="48"/>
      <c r="Q415" s="48"/>
      <c r="R415" s="48"/>
      <c r="S415" s="48"/>
      <c r="T415" s="48"/>
      <c r="U415" s="48"/>
      <c r="V415" s="48"/>
      <c r="W415" s="48"/>
      <c r="X415" s="48"/>
      <c r="Y415" s="48"/>
      <c r="Z415" s="48"/>
      <c r="AA415" s="48"/>
      <c r="AB415" s="48"/>
      <c r="AC415" s="48"/>
      <c r="AD415" s="48"/>
      <c r="AE415" s="48"/>
      <c r="AF415" s="48"/>
      <c r="AG415" s="48"/>
      <c r="AH415" s="48"/>
      <c r="AI415" s="48"/>
      <c r="AJ415" s="48"/>
      <c r="AK415" s="48"/>
      <c r="AL415" s="48"/>
      <c r="AM415" s="48"/>
      <c r="AN415" s="48"/>
      <c r="AO415" s="48"/>
      <c r="AP415" s="48"/>
      <c r="AQ415" s="48"/>
      <c r="AR415" s="48"/>
      <c r="AS415" s="48"/>
      <c r="AT415" s="48"/>
      <c r="AU415" s="48"/>
      <c r="AV415" s="48"/>
      <c r="AW415" s="48"/>
      <c r="AX415" s="48"/>
      <c r="AY415" s="48"/>
    </row>
    <row r="416" spans="1:51">
      <c r="A416" s="48"/>
      <c r="B416" s="48"/>
      <c r="C416" s="48"/>
      <c r="D416" s="48"/>
      <c r="E416" s="48"/>
      <c r="F416" s="48"/>
      <c r="G416" s="48"/>
      <c r="H416" s="48"/>
      <c r="I416" s="48"/>
      <c r="J416" s="48"/>
      <c r="K416" s="48"/>
      <c r="L416" s="48"/>
      <c r="M416" s="48"/>
      <c r="N416" s="48"/>
      <c r="O416" s="48"/>
      <c r="P416" s="48"/>
      <c r="Q416" s="48"/>
      <c r="R416" s="48"/>
      <c r="S416" s="48"/>
      <c r="T416" s="48"/>
      <c r="U416" s="48"/>
      <c r="V416" s="48"/>
      <c r="W416" s="48"/>
      <c r="X416" s="48"/>
      <c r="Y416" s="48"/>
      <c r="Z416" s="48"/>
      <c r="AA416" s="48"/>
      <c r="AB416" s="48"/>
      <c r="AC416" s="48"/>
      <c r="AD416" s="48"/>
      <c r="AE416" s="48"/>
      <c r="AF416" s="48"/>
      <c r="AG416" s="48"/>
      <c r="AH416" s="48"/>
      <c r="AI416" s="48"/>
      <c r="AJ416" s="48"/>
      <c r="AK416" s="48"/>
      <c r="AL416" s="48"/>
      <c r="AM416" s="48"/>
      <c r="AN416" s="48"/>
      <c r="AO416" s="48"/>
      <c r="AP416" s="48"/>
      <c r="AQ416" s="48"/>
      <c r="AR416" s="48"/>
      <c r="AS416" s="48"/>
      <c r="AT416" s="48"/>
      <c r="AU416" s="48"/>
      <c r="AV416" s="48"/>
      <c r="AW416" s="48"/>
      <c r="AX416" s="48"/>
      <c r="AY416" s="48"/>
    </row>
    <row r="417" spans="1:51">
      <c r="A417" s="48"/>
      <c r="B417" s="48"/>
      <c r="C417" s="48"/>
      <c r="D417" s="48"/>
      <c r="E417" s="48"/>
      <c r="F417" s="48"/>
      <c r="G417" s="48"/>
      <c r="H417" s="48"/>
      <c r="I417" s="48"/>
      <c r="J417" s="48"/>
      <c r="K417" s="48"/>
      <c r="L417" s="48"/>
      <c r="M417" s="48"/>
      <c r="N417" s="48"/>
      <c r="O417" s="48"/>
      <c r="P417" s="48"/>
      <c r="Q417" s="48"/>
      <c r="R417" s="48"/>
      <c r="S417" s="48"/>
      <c r="T417" s="48"/>
      <c r="U417" s="48"/>
      <c r="V417" s="48"/>
      <c r="W417" s="48"/>
      <c r="X417" s="48"/>
      <c r="Y417" s="48"/>
      <c r="Z417" s="48"/>
      <c r="AA417" s="48"/>
      <c r="AB417" s="48"/>
      <c r="AC417" s="48"/>
      <c r="AD417" s="48"/>
      <c r="AE417" s="48"/>
      <c r="AF417" s="48"/>
      <c r="AG417" s="48"/>
      <c r="AH417" s="48"/>
      <c r="AI417" s="48"/>
      <c r="AJ417" s="48"/>
      <c r="AK417" s="48"/>
      <c r="AL417" s="48"/>
      <c r="AM417" s="48"/>
      <c r="AN417" s="48"/>
      <c r="AO417" s="48"/>
      <c r="AP417" s="48"/>
      <c r="AQ417" s="48"/>
      <c r="AR417" s="48"/>
      <c r="AS417" s="48"/>
      <c r="AT417" s="48"/>
      <c r="AU417" s="48"/>
      <c r="AV417" s="48"/>
      <c r="AW417" s="48"/>
      <c r="AX417" s="48"/>
      <c r="AY417" s="48"/>
    </row>
    <row r="418" spans="1:51">
      <c r="A418" s="48"/>
      <c r="B418" s="48"/>
      <c r="C418" s="48"/>
      <c r="D418" s="48"/>
      <c r="E418" s="48"/>
      <c r="F418" s="48"/>
      <c r="G418" s="48"/>
      <c r="H418" s="48"/>
      <c r="I418" s="48"/>
      <c r="J418" s="48"/>
      <c r="K418" s="48"/>
      <c r="L418" s="48"/>
      <c r="M418" s="48"/>
      <c r="N418" s="48"/>
      <c r="O418" s="48"/>
      <c r="P418" s="48"/>
      <c r="Q418" s="48"/>
      <c r="R418" s="48"/>
      <c r="S418" s="48"/>
      <c r="T418" s="48"/>
      <c r="U418" s="48"/>
      <c r="V418" s="48"/>
      <c r="W418" s="48"/>
      <c r="X418" s="48"/>
      <c r="Y418" s="48"/>
      <c r="Z418" s="48"/>
      <c r="AA418" s="48"/>
      <c r="AB418" s="48"/>
      <c r="AC418" s="48"/>
      <c r="AD418" s="48"/>
      <c r="AE418" s="48"/>
      <c r="AF418" s="48"/>
      <c r="AG418" s="48"/>
      <c r="AH418" s="48"/>
      <c r="AI418" s="48"/>
      <c r="AJ418" s="48"/>
      <c r="AK418" s="48"/>
      <c r="AL418" s="48"/>
      <c r="AM418" s="48"/>
      <c r="AN418" s="48"/>
      <c r="AO418" s="48"/>
      <c r="AP418" s="48"/>
      <c r="AQ418" s="48"/>
      <c r="AR418" s="48"/>
      <c r="AS418" s="48"/>
      <c r="AT418" s="48"/>
      <c r="AU418" s="48"/>
      <c r="AV418" s="48"/>
      <c r="AW418" s="48"/>
      <c r="AX418" s="48"/>
      <c r="AY418" s="48"/>
    </row>
    <row r="419" spans="1:51">
      <c r="A419" s="48"/>
      <c r="B419" s="48"/>
      <c r="C419" s="48"/>
      <c r="D419" s="48"/>
      <c r="E419" s="48"/>
      <c r="F419" s="48"/>
      <c r="G419" s="48"/>
      <c r="H419" s="48"/>
      <c r="I419" s="48"/>
      <c r="J419" s="48"/>
      <c r="K419" s="48"/>
      <c r="L419" s="48"/>
      <c r="M419" s="48"/>
      <c r="N419" s="48"/>
      <c r="O419" s="48"/>
      <c r="P419" s="48"/>
      <c r="Q419" s="48"/>
      <c r="R419" s="48"/>
      <c r="S419" s="48"/>
      <c r="T419" s="48"/>
      <c r="U419" s="48"/>
      <c r="V419" s="48"/>
      <c r="W419" s="48"/>
      <c r="X419" s="48"/>
      <c r="Y419" s="48"/>
      <c r="Z419" s="48"/>
      <c r="AA419" s="48"/>
      <c r="AB419" s="48"/>
      <c r="AC419" s="48"/>
      <c r="AD419" s="48"/>
      <c r="AE419" s="48"/>
      <c r="AF419" s="48"/>
      <c r="AG419" s="48"/>
      <c r="AH419" s="48"/>
      <c r="AI419" s="48"/>
      <c r="AJ419" s="48"/>
      <c r="AK419" s="48"/>
      <c r="AL419" s="48"/>
      <c r="AM419" s="48"/>
      <c r="AN419" s="48"/>
      <c r="AO419" s="48"/>
      <c r="AP419" s="48"/>
      <c r="AQ419" s="48"/>
      <c r="AR419" s="48"/>
      <c r="AS419" s="48"/>
      <c r="AT419" s="48"/>
      <c r="AU419" s="48"/>
      <c r="AV419" s="48"/>
      <c r="AW419" s="48"/>
      <c r="AX419" s="48"/>
      <c r="AY419" s="48"/>
    </row>
    <row r="420" spans="1:51">
      <c r="A420" s="48"/>
      <c r="B420" s="48"/>
      <c r="C420" s="48"/>
      <c r="D420" s="48"/>
      <c r="E420" s="48"/>
      <c r="F420" s="48"/>
      <c r="G420" s="48"/>
      <c r="H420" s="48"/>
      <c r="I420" s="48"/>
      <c r="J420" s="48"/>
      <c r="K420" s="48"/>
      <c r="L420" s="48"/>
      <c r="M420" s="48"/>
      <c r="N420" s="48"/>
      <c r="O420" s="48"/>
      <c r="P420" s="48"/>
      <c r="Q420" s="48"/>
      <c r="R420" s="48"/>
      <c r="S420" s="48"/>
      <c r="T420" s="48"/>
      <c r="U420" s="48"/>
      <c r="V420" s="48"/>
      <c r="W420" s="48"/>
      <c r="X420" s="48"/>
      <c r="Y420" s="48"/>
      <c r="Z420" s="48"/>
      <c r="AA420" s="48"/>
      <c r="AB420" s="48"/>
      <c r="AC420" s="48"/>
      <c r="AD420" s="48"/>
      <c r="AE420" s="48"/>
      <c r="AF420" s="48"/>
      <c r="AG420" s="48"/>
      <c r="AH420" s="48"/>
      <c r="AI420" s="48"/>
      <c r="AJ420" s="48"/>
      <c r="AK420" s="48"/>
      <c r="AL420" s="48"/>
      <c r="AM420" s="48"/>
      <c r="AN420" s="48"/>
      <c r="AO420" s="48"/>
      <c r="AP420" s="48"/>
      <c r="AQ420" s="48"/>
      <c r="AR420" s="48"/>
      <c r="AS420" s="48"/>
      <c r="AT420" s="48"/>
      <c r="AU420" s="48"/>
      <c r="AV420" s="48"/>
      <c r="AW420" s="48"/>
      <c r="AX420" s="48"/>
      <c r="AY420" s="48"/>
    </row>
    <row r="421" spans="1:51">
      <c r="A421" s="48"/>
      <c r="B421" s="48"/>
      <c r="C421" s="48"/>
      <c r="D421" s="48"/>
      <c r="E421" s="48"/>
      <c r="F421" s="48"/>
      <c r="G421" s="48"/>
      <c r="H421" s="48"/>
      <c r="I421" s="48"/>
      <c r="J421" s="48"/>
      <c r="K421" s="48"/>
      <c r="L421" s="48"/>
      <c r="M421" s="48"/>
      <c r="N421" s="48"/>
      <c r="O421" s="48"/>
      <c r="P421" s="48"/>
      <c r="Q421" s="48"/>
      <c r="R421" s="48"/>
      <c r="S421" s="48"/>
      <c r="T421" s="48"/>
      <c r="U421" s="48"/>
      <c r="V421" s="48"/>
      <c r="W421" s="48"/>
      <c r="X421" s="48"/>
      <c r="Y421" s="48"/>
      <c r="Z421" s="48"/>
      <c r="AA421" s="48"/>
      <c r="AB421" s="48"/>
      <c r="AC421" s="48"/>
      <c r="AD421" s="48"/>
      <c r="AE421" s="48"/>
      <c r="AF421" s="48"/>
      <c r="AG421" s="48"/>
      <c r="AH421" s="48"/>
      <c r="AI421" s="48"/>
      <c r="AJ421" s="48"/>
      <c r="AK421" s="48"/>
      <c r="AL421" s="48"/>
      <c r="AM421" s="48"/>
      <c r="AN421" s="48"/>
      <c r="AO421" s="48"/>
      <c r="AP421" s="48"/>
      <c r="AQ421" s="48"/>
      <c r="AR421" s="48"/>
      <c r="AS421" s="48"/>
      <c r="AT421" s="48"/>
      <c r="AU421" s="48"/>
      <c r="AV421" s="48"/>
      <c r="AW421" s="48"/>
      <c r="AX421" s="48"/>
      <c r="AY421" s="48"/>
    </row>
    <row r="422" spans="1:51">
      <c r="A422" s="48"/>
      <c r="B422" s="48"/>
      <c r="C422" s="48"/>
      <c r="D422" s="48"/>
      <c r="E422" s="48"/>
      <c r="F422" s="48"/>
      <c r="G422" s="48"/>
      <c r="H422" s="48"/>
      <c r="I422" s="48"/>
      <c r="J422" s="48"/>
      <c r="K422" s="48"/>
      <c r="L422" s="48"/>
      <c r="M422" s="48"/>
      <c r="N422" s="48"/>
      <c r="O422" s="48"/>
      <c r="P422" s="48"/>
      <c r="Q422" s="48"/>
      <c r="R422" s="48"/>
      <c r="S422" s="48"/>
      <c r="T422" s="48"/>
      <c r="U422" s="48"/>
      <c r="V422" s="48"/>
      <c r="W422" s="48"/>
      <c r="X422" s="48"/>
      <c r="Y422" s="48"/>
      <c r="Z422" s="48"/>
      <c r="AA422" s="48"/>
      <c r="AB422" s="48"/>
      <c r="AC422" s="48"/>
      <c r="AD422" s="48"/>
      <c r="AE422" s="48"/>
      <c r="AF422" s="48"/>
      <c r="AG422" s="48"/>
      <c r="AH422" s="48"/>
      <c r="AI422" s="48"/>
      <c r="AJ422" s="48"/>
      <c r="AK422" s="48"/>
      <c r="AL422" s="48"/>
      <c r="AM422" s="48"/>
      <c r="AN422" s="48"/>
      <c r="AO422" s="48"/>
      <c r="AP422" s="48"/>
      <c r="AQ422" s="48"/>
      <c r="AR422" s="48"/>
      <c r="AS422" s="48"/>
      <c r="AT422" s="48"/>
      <c r="AU422" s="48"/>
      <c r="AV422" s="48"/>
      <c r="AW422" s="48"/>
      <c r="AX422" s="48"/>
      <c r="AY422" s="48"/>
    </row>
    <row r="423" spans="1:51">
      <c r="A423" s="48"/>
      <c r="B423" s="48"/>
      <c r="C423" s="48"/>
      <c r="D423" s="48"/>
      <c r="E423" s="48"/>
      <c r="F423" s="48"/>
      <c r="G423" s="48"/>
      <c r="H423" s="48"/>
      <c r="I423" s="48"/>
      <c r="J423" s="48"/>
      <c r="K423" s="48"/>
      <c r="L423" s="48"/>
      <c r="M423" s="48"/>
      <c r="N423" s="48"/>
      <c r="O423" s="48"/>
      <c r="P423" s="48"/>
      <c r="Q423" s="48"/>
      <c r="R423" s="48"/>
      <c r="S423" s="48"/>
      <c r="T423" s="48"/>
      <c r="U423" s="48"/>
      <c r="V423" s="48"/>
      <c r="W423" s="48"/>
      <c r="X423" s="48"/>
      <c r="Y423" s="48"/>
      <c r="Z423" s="48"/>
      <c r="AA423" s="48"/>
      <c r="AB423" s="48"/>
      <c r="AC423" s="48"/>
      <c r="AD423" s="48"/>
      <c r="AE423" s="48"/>
      <c r="AF423" s="48"/>
      <c r="AG423" s="48"/>
      <c r="AH423" s="48"/>
      <c r="AI423" s="48"/>
      <c r="AJ423" s="48"/>
      <c r="AK423" s="48"/>
      <c r="AL423" s="48"/>
      <c r="AM423" s="48"/>
      <c r="AN423" s="48"/>
      <c r="AO423" s="48"/>
      <c r="AP423" s="48"/>
      <c r="AQ423" s="48"/>
      <c r="AR423" s="48"/>
      <c r="AS423" s="48"/>
      <c r="AT423" s="48"/>
      <c r="AU423" s="48"/>
      <c r="AV423" s="48"/>
      <c r="AW423" s="48"/>
      <c r="AX423" s="48"/>
      <c r="AY423" s="48"/>
    </row>
    <row r="424" spans="1:51">
      <c r="A424" s="48"/>
      <c r="B424" s="48"/>
      <c r="C424" s="48"/>
      <c r="D424" s="48"/>
      <c r="E424" s="48"/>
      <c r="F424" s="48"/>
      <c r="G424" s="48"/>
      <c r="H424" s="48"/>
      <c r="I424" s="48"/>
      <c r="J424" s="48"/>
      <c r="K424" s="48"/>
      <c r="L424" s="48"/>
      <c r="M424" s="48"/>
      <c r="N424" s="48"/>
      <c r="O424" s="48"/>
      <c r="P424" s="48"/>
      <c r="Q424" s="48"/>
      <c r="R424" s="48"/>
      <c r="S424" s="48"/>
      <c r="T424" s="48"/>
      <c r="U424" s="48"/>
      <c r="V424" s="48"/>
      <c r="W424" s="48"/>
      <c r="X424" s="48"/>
      <c r="Y424" s="48"/>
      <c r="Z424" s="48"/>
      <c r="AA424" s="48"/>
      <c r="AB424" s="48"/>
      <c r="AC424" s="48"/>
      <c r="AD424" s="48"/>
      <c r="AE424" s="48"/>
      <c r="AF424" s="48"/>
      <c r="AG424" s="48"/>
      <c r="AH424" s="48"/>
      <c r="AI424" s="48"/>
      <c r="AJ424" s="48"/>
      <c r="AK424" s="48"/>
      <c r="AL424" s="48"/>
      <c r="AM424" s="48"/>
      <c r="AN424" s="48"/>
      <c r="AO424" s="48"/>
      <c r="AP424" s="48"/>
      <c r="AQ424" s="48"/>
      <c r="AR424" s="48"/>
      <c r="AS424" s="48"/>
      <c r="AT424" s="48"/>
      <c r="AU424" s="48"/>
      <c r="AV424" s="48"/>
      <c r="AW424" s="48"/>
      <c r="AX424" s="48"/>
      <c r="AY424" s="48"/>
    </row>
    <row r="425" spans="1:51">
      <c r="A425" s="48"/>
      <c r="B425" s="48"/>
      <c r="C425" s="48"/>
      <c r="D425" s="48"/>
      <c r="E425" s="48"/>
      <c r="F425" s="48"/>
      <c r="G425" s="48"/>
      <c r="H425" s="48"/>
      <c r="I425" s="48"/>
      <c r="J425" s="48"/>
      <c r="K425" s="48"/>
      <c r="L425" s="48"/>
      <c r="M425" s="48"/>
      <c r="N425" s="48"/>
      <c r="O425" s="48"/>
      <c r="P425" s="48"/>
      <c r="Q425" s="48"/>
      <c r="R425" s="48"/>
      <c r="S425" s="48"/>
      <c r="T425" s="48"/>
      <c r="U425" s="48"/>
      <c r="V425" s="48"/>
      <c r="W425" s="48"/>
      <c r="X425" s="48"/>
      <c r="Y425" s="48"/>
      <c r="Z425" s="48"/>
      <c r="AA425" s="48"/>
      <c r="AB425" s="48"/>
      <c r="AC425" s="48"/>
      <c r="AD425" s="48"/>
      <c r="AE425" s="48"/>
      <c r="AF425" s="48"/>
      <c r="AG425" s="48"/>
      <c r="AH425" s="48"/>
      <c r="AI425" s="48"/>
      <c r="AJ425" s="48"/>
      <c r="AK425" s="48"/>
      <c r="AL425" s="48"/>
      <c r="AM425" s="48"/>
      <c r="AN425" s="48"/>
      <c r="AO425" s="48"/>
      <c r="AP425" s="48"/>
      <c r="AQ425" s="48"/>
      <c r="AR425" s="48"/>
      <c r="AS425" s="48"/>
      <c r="AT425" s="48"/>
      <c r="AU425" s="48"/>
      <c r="AV425" s="48"/>
      <c r="AW425" s="48"/>
      <c r="AX425" s="48"/>
      <c r="AY425" s="48"/>
    </row>
    <row r="426" spans="1:51">
      <c r="A426" s="48"/>
      <c r="B426" s="48"/>
      <c r="C426" s="48"/>
      <c r="D426" s="48"/>
      <c r="E426" s="48"/>
      <c r="F426" s="48"/>
      <c r="G426" s="48"/>
      <c r="H426" s="48"/>
      <c r="I426" s="48"/>
      <c r="J426" s="48"/>
      <c r="K426" s="48"/>
      <c r="L426" s="48"/>
      <c r="M426" s="48"/>
      <c r="N426" s="48"/>
      <c r="O426" s="48"/>
      <c r="P426" s="48"/>
      <c r="Q426" s="48"/>
      <c r="R426" s="48"/>
      <c r="S426" s="48"/>
      <c r="T426" s="48"/>
      <c r="U426" s="48"/>
      <c r="V426" s="48"/>
      <c r="W426" s="48"/>
      <c r="X426" s="48"/>
      <c r="Y426" s="48"/>
      <c r="Z426" s="48"/>
      <c r="AA426" s="48"/>
      <c r="AB426" s="48"/>
      <c r="AC426" s="48"/>
      <c r="AD426" s="48"/>
      <c r="AE426" s="48"/>
      <c r="AF426" s="48"/>
      <c r="AG426" s="48"/>
      <c r="AH426" s="48"/>
      <c r="AI426" s="48"/>
      <c r="AJ426" s="48"/>
      <c r="AK426" s="48"/>
      <c r="AL426" s="48"/>
      <c r="AM426" s="48"/>
      <c r="AN426" s="48"/>
      <c r="AO426" s="48"/>
      <c r="AP426" s="48"/>
      <c r="AQ426" s="48"/>
      <c r="AR426" s="48"/>
      <c r="AS426" s="48"/>
      <c r="AT426" s="48"/>
      <c r="AU426" s="48"/>
      <c r="AV426" s="48"/>
      <c r="AW426" s="48"/>
      <c r="AX426" s="48"/>
      <c r="AY426" s="48"/>
    </row>
    <row r="427" spans="1:51">
      <c r="A427" s="48"/>
      <c r="B427" s="48"/>
      <c r="C427" s="48"/>
      <c r="D427" s="48"/>
      <c r="E427" s="48"/>
      <c r="F427" s="48"/>
      <c r="G427" s="48"/>
      <c r="H427" s="48"/>
      <c r="I427" s="48"/>
      <c r="J427" s="48"/>
      <c r="K427" s="48"/>
      <c r="L427" s="48"/>
      <c r="M427" s="48"/>
      <c r="N427" s="48"/>
      <c r="O427" s="48"/>
      <c r="P427" s="48"/>
      <c r="Q427" s="48"/>
      <c r="R427" s="48"/>
      <c r="S427" s="48"/>
      <c r="T427" s="48"/>
      <c r="U427" s="48"/>
      <c r="V427" s="48"/>
      <c r="W427" s="48"/>
      <c r="X427" s="48"/>
      <c r="Y427" s="48"/>
      <c r="Z427" s="48"/>
      <c r="AA427" s="48"/>
      <c r="AB427" s="48"/>
      <c r="AC427" s="48"/>
      <c r="AD427" s="48"/>
      <c r="AE427" s="48"/>
      <c r="AF427" s="48"/>
      <c r="AG427" s="48"/>
      <c r="AH427" s="48"/>
      <c r="AI427" s="48"/>
      <c r="AJ427" s="48"/>
      <c r="AK427" s="48"/>
      <c r="AL427" s="48"/>
      <c r="AM427" s="48"/>
      <c r="AN427" s="48"/>
      <c r="AO427" s="48"/>
      <c r="AP427" s="48"/>
      <c r="AQ427" s="48"/>
      <c r="AR427" s="48"/>
      <c r="AS427" s="48"/>
      <c r="AT427" s="48"/>
      <c r="AU427" s="48"/>
      <c r="AV427" s="48"/>
      <c r="AW427" s="48"/>
      <c r="AX427" s="48"/>
      <c r="AY427" s="48"/>
    </row>
    <row r="428" spans="1:51">
      <c r="A428" s="48"/>
      <c r="B428" s="48"/>
      <c r="C428" s="48"/>
      <c r="D428" s="48"/>
      <c r="E428" s="48"/>
      <c r="F428" s="48"/>
      <c r="G428" s="48"/>
      <c r="H428" s="48"/>
      <c r="I428" s="48"/>
      <c r="J428" s="48"/>
      <c r="K428" s="48"/>
      <c r="L428" s="48"/>
      <c r="M428" s="48"/>
      <c r="N428" s="48"/>
      <c r="O428" s="48"/>
      <c r="P428" s="48"/>
      <c r="Q428" s="48"/>
      <c r="R428" s="48"/>
      <c r="S428" s="48"/>
      <c r="T428" s="48"/>
      <c r="U428" s="48"/>
      <c r="V428" s="48"/>
      <c r="W428" s="48"/>
      <c r="X428" s="48"/>
      <c r="Y428" s="48"/>
      <c r="Z428" s="48"/>
      <c r="AA428" s="48"/>
      <c r="AB428" s="48"/>
      <c r="AC428" s="48"/>
      <c r="AD428" s="48"/>
      <c r="AE428" s="48"/>
      <c r="AF428" s="48"/>
      <c r="AG428" s="48"/>
      <c r="AH428" s="48"/>
      <c r="AI428" s="48"/>
      <c r="AJ428" s="48"/>
      <c r="AK428" s="48"/>
      <c r="AL428" s="48"/>
      <c r="AM428" s="48"/>
      <c r="AN428" s="48"/>
      <c r="AO428" s="48"/>
      <c r="AP428" s="48"/>
      <c r="AQ428" s="48"/>
      <c r="AR428" s="48"/>
      <c r="AS428" s="48"/>
      <c r="AT428" s="48"/>
      <c r="AU428" s="48"/>
      <c r="AV428" s="48"/>
      <c r="AW428" s="48"/>
      <c r="AX428" s="48"/>
      <c r="AY428" s="48"/>
    </row>
    <row r="429" spans="1:51">
      <c r="A429" s="48"/>
      <c r="B429" s="48"/>
      <c r="C429" s="48"/>
      <c r="D429" s="48"/>
      <c r="E429" s="48"/>
      <c r="F429" s="48"/>
      <c r="G429" s="48"/>
      <c r="H429" s="48"/>
      <c r="I429" s="48"/>
      <c r="J429" s="48"/>
      <c r="K429" s="48"/>
      <c r="L429" s="48"/>
      <c r="M429" s="48"/>
      <c r="N429" s="48"/>
      <c r="O429" s="48"/>
      <c r="P429" s="48"/>
      <c r="Q429" s="48"/>
      <c r="R429" s="48"/>
      <c r="S429" s="48"/>
      <c r="T429" s="48"/>
      <c r="U429" s="48"/>
      <c r="V429" s="48"/>
      <c r="W429" s="48"/>
      <c r="X429" s="48"/>
      <c r="Y429" s="48"/>
      <c r="Z429" s="48"/>
      <c r="AA429" s="48"/>
      <c r="AB429" s="48"/>
      <c r="AC429" s="48"/>
      <c r="AD429" s="48"/>
      <c r="AE429" s="48"/>
      <c r="AF429" s="48"/>
      <c r="AG429" s="48"/>
      <c r="AH429" s="48"/>
      <c r="AI429" s="48"/>
      <c r="AJ429" s="48"/>
      <c r="AK429" s="48"/>
      <c r="AL429" s="48"/>
      <c r="AM429" s="48"/>
      <c r="AN429" s="48"/>
      <c r="AO429" s="48"/>
      <c r="AP429" s="48"/>
      <c r="AQ429" s="48"/>
      <c r="AR429" s="48"/>
      <c r="AS429" s="48"/>
      <c r="AT429" s="48"/>
      <c r="AU429" s="48"/>
      <c r="AV429" s="48"/>
      <c r="AW429" s="48"/>
      <c r="AX429" s="48"/>
      <c r="AY429" s="48"/>
    </row>
    <row r="430" spans="1:51">
      <c r="A430" s="48"/>
      <c r="B430" s="48"/>
      <c r="C430" s="48"/>
      <c r="D430" s="48"/>
      <c r="E430" s="48"/>
      <c r="F430" s="48"/>
      <c r="G430" s="48"/>
      <c r="H430" s="48"/>
      <c r="I430" s="48"/>
      <c r="J430" s="48"/>
      <c r="K430" s="48"/>
      <c r="L430" s="48"/>
      <c r="M430" s="48"/>
      <c r="N430" s="48"/>
      <c r="O430" s="48"/>
      <c r="P430" s="48"/>
      <c r="Q430" s="48"/>
      <c r="R430" s="48"/>
      <c r="S430" s="48"/>
      <c r="T430" s="48"/>
      <c r="U430" s="48"/>
      <c r="V430" s="48"/>
      <c r="W430" s="48"/>
      <c r="X430" s="48"/>
      <c r="Y430" s="48"/>
      <c r="Z430" s="48"/>
      <c r="AA430" s="48"/>
      <c r="AB430" s="48"/>
      <c r="AC430" s="48"/>
      <c r="AD430" s="48"/>
      <c r="AE430" s="48"/>
      <c r="AF430" s="48"/>
      <c r="AG430" s="48"/>
      <c r="AH430" s="48"/>
      <c r="AI430" s="48"/>
      <c r="AJ430" s="48"/>
      <c r="AK430" s="48"/>
      <c r="AL430" s="48"/>
      <c r="AM430" s="48"/>
      <c r="AN430" s="48"/>
      <c r="AO430" s="48"/>
      <c r="AP430" s="48"/>
      <c r="AQ430" s="48"/>
      <c r="AR430" s="48"/>
      <c r="AS430" s="48"/>
      <c r="AT430" s="48"/>
      <c r="AU430" s="48"/>
      <c r="AV430" s="48"/>
      <c r="AW430" s="48"/>
      <c r="AX430" s="48"/>
      <c r="AY430" s="48"/>
    </row>
    <row r="431" spans="1:51">
      <c r="A431" s="48"/>
      <c r="B431" s="48"/>
      <c r="C431" s="48"/>
      <c r="D431" s="48"/>
      <c r="E431" s="48"/>
      <c r="F431" s="48"/>
      <c r="G431" s="48"/>
      <c r="H431" s="48"/>
      <c r="I431" s="48"/>
      <c r="J431" s="48"/>
      <c r="K431" s="48"/>
      <c r="L431" s="48"/>
      <c r="M431" s="48"/>
      <c r="N431" s="48"/>
      <c r="O431" s="48"/>
      <c r="P431" s="48"/>
      <c r="Q431" s="48"/>
      <c r="R431" s="48"/>
      <c r="S431" s="48"/>
      <c r="T431" s="48"/>
      <c r="U431" s="48"/>
      <c r="V431" s="48"/>
      <c r="W431" s="48"/>
      <c r="X431" s="48"/>
      <c r="Y431" s="48"/>
      <c r="Z431" s="48"/>
      <c r="AA431" s="48"/>
      <c r="AB431" s="48"/>
      <c r="AC431" s="48"/>
      <c r="AD431" s="48"/>
      <c r="AE431" s="48"/>
      <c r="AF431" s="48"/>
      <c r="AG431" s="48"/>
      <c r="AH431" s="48"/>
      <c r="AI431" s="48"/>
      <c r="AJ431" s="48"/>
      <c r="AK431" s="48"/>
      <c r="AL431" s="48"/>
      <c r="AM431" s="48"/>
      <c r="AN431" s="48"/>
      <c r="AO431" s="48"/>
      <c r="AP431" s="48"/>
      <c r="AQ431" s="48"/>
      <c r="AR431" s="48"/>
      <c r="AS431" s="48"/>
      <c r="AT431" s="48"/>
      <c r="AU431" s="48"/>
      <c r="AV431" s="48"/>
      <c r="AW431" s="48"/>
      <c r="AX431" s="48"/>
      <c r="AY431" s="48"/>
    </row>
    <row r="432" spans="1:51">
      <c r="A432" s="48"/>
      <c r="B432" s="48"/>
      <c r="C432" s="48"/>
      <c r="D432" s="48"/>
      <c r="E432" s="48"/>
      <c r="F432" s="48"/>
      <c r="G432" s="48"/>
      <c r="H432" s="48"/>
      <c r="I432" s="48"/>
      <c r="J432" s="48"/>
      <c r="K432" s="48"/>
      <c r="L432" s="48"/>
      <c r="M432" s="48"/>
      <c r="N432" s="48"/>
      <c r="O432" s="48"/>
      <c r="P432" s="48"/>
      <c r="Q432" s="48"/>
      <c r="R432" s="48"/>
      <c r="S432" s="48"/>
      <c r="T432" s="48"/>
      <c r="U432" s="48"/>
      <c r="V432" s="48"/>
      <c r="W432" s="48"/>
      <c r="X432" s="48"/>
      <c r="Y432" s="48"/>
      <c r="Z432" s="48"/>
      <c r="AA432" s="48"/>
      <c r="AB432" s="48"/>
      <c r="AC432" s="48"/>
      <c r="AD432" s="48"/>
      <c r="AE432" s="48"/>
      <c r="AF432" s="48"/>
      <c r="AG432" s="48"/>
      <c r="AH432" s="48"/>
      <c r="AI432" s="48"/>
      <c r="AJ432" s="48"/>
      <c r="AK432" s="48"/>
      <c r="AL432" s="48"/>
      <c r="AM432" s="48"/>
      <c r="AN432" s="48"/>
      <c r="AO432" s="48"/>
      <c r="AP432" s="48"/>
      <c r="AQ432" s="48"/>
      <c r="AR432" s="48"/>
      <c r="AS432" s="48"/>
      <c r="AT432" s="48"/>
      <c r="AU432" s="48"/>
      <c r="AV432" s="48"/>
      <c r="AW432" s="48"/>
      <c r="AX432" s="48"/>
      <c r="AY432" s="48"/>
    </row>
    <row r="433" spans="1:51">
      <c r="A433" s="48"/>
      <c r="B433" s="48"/>
      <c r="C433" s="48"/>
      <c r="D433" s="48"/>
      <c r="E433" s="48"/>
      <c r="F433" s="48"/>
      <c r="G433" s="48"/>
      <c r="H433" s="48"/>
      <c r="I433" s="48"/>
      <c r="J433" s="48"/>
      <c r="K433" s="48"/>
      <c r="L433" s="48"/>
      <c r="M433" s="48"/>
      <c r="N433" s="48"/>
      <c r="O433" s="48"/>
      <c r="P433" s="48"/>
      <c r="Q433" s="48"/>
      <c r="R433" s="48"/>
      <c r="S433" s="48"/>
      <c r="T433" s="48"/>
      <c r="U433" s="48"/>
      <c r="V433" s="48"/>
      <c r="W433" s="48"/>
      <c r="X433" s="48"/>
      <c r="Y433" s="48"/>
      <c r="Z433" s="48"/>
      <c r="AA433" s="48"/>
      <c r="AB433" s="48"/>
      <c r="AC433" s="48"/>
      <c r="AD433" s="48"/>
      <c r="AE433" s="48"/>
      <c r="AF433" s="48"/>
      <c r="AG433" s="48"/>
      <c r="AH433" s="48"/>
      <c r="AI433" s="48"/>
      <c r="AJ433" s="48"/>
      <c r="AK433" s="48"/>
      <c r="AL433" s="48"/>
      <c r="AM433" s="48"/>
      <c r="AN433" s="48"/>
      <c r="AO433" s="48"/>
      <c r="AP433" s="48"/>
      <c r="AQ433" s="48"/>
      <c r="AR433" s="48"/>
      <c r="AS433" s="48"/>
      <c r="AT433" s="48"/>
      <c r="AU433" s="48"/>
      <c r="AV433" s="48"/>
      <c r="AW433" s="48"/>
      <c r="AX433" s="48"/>
      <c r="AY433" s="48"/>
    </row>
    <row r="434" spans="1:51">
      <c r="A434" s="48"/>
      <c r="B434" s="48"/>
      <c r="C434" s="48"/>
      <c r="D434" s="48"/>
      <c r="E434" s="48"/>
      <c r="F434" s="48"/>
      <c r="G434" s="48"/>
      <c r="H434" s="48"/>
      <c r="I434" s="48"/>
      <c r="J434" s="48"/>
      <c r="K434" s="48"/>
      <c r="L434" s="48"/>
      <c r="M434" s="48"/>
      <c r="N434" s="48"/>
      <c r="O434" s="48"/>
      <c r="P434" s="48"/>
      <c r="Q434" s="48"/>
      <c r="R434" s="48"/>
      <c r="S434" s="48"/>
      <c r="T434" s="48"/>
      <c r="U434" s="48"/>
      <c r="V434" s="48"/>
      <c r="W434" s="48"/>
      <c r="X434" s="48"/>
      <c r="Y434" s="48"/>
      <c r="Z434" s="48"/>
      <c r="AA434" s="48"/>
      <c r="AB434" s="48"/>
      <c r="AC434" s="48"/>
      <c r="AD434" s="48"/>
      <c r="AE434" s="48"/>
      <c r="AF434" s="48"/>
      <c r="AG434" s="48"/>
      <c r="AH434" s="48"/>
      <c r="AI434" s="48"/>
      <c r="AJ434" s="48"/>
      <c r="AK434" s="48"/>
      <c r="AL434" s="48"/>
      <c r="AM434" s="48"/>
      <c r="AN434" s="48"/>
      <c r="AO434" s="48"/>
      <c r="AP434" s="48"/>
      <c r="AQ434" s="48"/>
      <c r="AR434" s="48"/>
      <c r="AS434" s="48"/>
      <c r="AT434" s="48"/>
      <c r="AU434" s="48"/>
      <c r="AV434" s="48"/>
      <c r="AW434" s="48"/>
      <c r="AX434" s="48"/>
      <c r="AY434" s="48"/>
    </row>
    <row r="435" spans="1:51">
      <c r="A435" s="48"/>
      <c r="B435" s="48"/>
      <c r="C435" s="48"/>
      <c r="D435" s="48"/>
      <c r="E435" s="48"/>
      <c r="F435" s="48"/>
      <c r="G435" s="48"/>
      <c r="H435" s="48"/>
      <c r="I435" s="48"/>
      <c r="J435" s="48"/>
      <c r="K435" s="48"/>
      <c r="L435" s="48"/>
      <c r="M435" s="48"/>
      <c r="N435" s="48"/>
      <c r="O435" s="48"/>
      <c r="P435" s="48"/>
      <c r="Q435" s="48"/>
      <c r="R435" s="48"/>
      <c r="S435" s="48"/>
      <c r="T435" s="48"/>
      <c r="U435" s="48"/>
      <c r="V435" s="48"/>
      <c r="W435" s="48"/>
      <c r="X435" s="48"/>
      <c r="Y435" s="48"/>
      <c r="Z435" s="48"/>
      <c r="AA435" s="48"/>
      <c r="AB435" s="48"/>
      <c r="AC435" s="48"/>
      <c r="AD435" s="48"/>
      <c r="AE435" s="48"/>
      <c r="AF435" s="48"/>
      <c r="AG435" s="48"/>
      <c r="AH435" s="48"/>
      <c r="AI435" s="48"/>
      <c r="AJ435" s="48"/>
      <c r="AK435" s="48"/>
      <c r="AL435" s="48"/>
      <c r="AM435" s="48"/>
      <c r="AN435" s="48"/>
      <c r="AO435" s="48"/>
      <c r="AP435" s="48"/>
      <c r="AQ435" s="48"/>
      <c r="AR435" s="48"/>
      <c r="AS435" s="48"/>
      <c r="AT435" s="48"/>
      <c r="AU435" s="48"/>
      <c r="AV435" s="48"/>
      <c r="AW435" s="48"/>
      <c r="AX435" s="48"/>
      <c r="AY435" s="48"/>
    </row>
    <row r="436" spans="1:51">
      <c r="A436" s="48"/>
      <c r="B436" s="48"/>
      <c r="C436" s="48"/>
      <c r="D436" s="48"/>
      <c r="E436" s="48"/>
      <c r="F436" s="48"/>
      <c r="G436" s="48"/>
      <c r="H436" s="48"/>
      <c r="I436" s="48"/>
      <c r="J436" s="48"/>
      <c r="K436" s="48"/>
      <c r="L436" s="48"/>
      <c r="M436" s="48"/>
      <c r="N436" s="48"/>
      <c r="O436" s="48"/>
      <c r="P436" s="48"/>
      <c r="Q436" s="48"/>
      <c r="R436" s="48"/>
      <c r="S436" s="48"/>
      <c r="T436" s="48"/>
      <c r="U436" s="48"/>
      <c r="V436" s="48"/>
      <c r="W436" s="48"/>
      <c r="X436" s="48"/>
      <c r="Y436" s="48"/>
      <c r="Z436" s="48"/>
      <c r="AA436" s="48"/>
      <c r="AB436" s="48"/>
      <c r="AC436" s="48"/>
      <c r="AD436" s="48"/>
      <c r="AE436" s="48"/>
      <c r="AF436" s="48"/>
      <c r="AG436" s="48"/>
      <c r="AH436" s="48"/>
      <c r="AI436" s="48"/>
      <c r="AJ436" s="48"/>
      <c r="AK436" s="48"/>
      <c r="AL436" s="48"/>
      <c r="AM436" s="48"/>
      <c r="AN436" s="48"/>
      <c r="AO436" s="48"/>
      <c r="AP436" s="48"/>
      <c r="AQ436" s="48"/>
      <c r="AR436" s="48"/>
      <c r="AS436" s="48"/>
      <c r="AT436" s="48"/>
      <c r="AU436" s="48"/>
      <c r="AV436" s="48"/>
      <c r="AW436" s="48"/>
      <c r="AX436" s="48"/>
      <c r="AY436" s="48"/>
    </row>
    <row r="437" spans="1:51">
      <c r="A437" s="48"/>
      <c r="B437" s="48"/>
      <c r="C437" s="48"/>
      <c r="D437" s="48"/>
      <c r="E437" s="48"/>
      <c r="F437" s="48"/>
      <c r="G437" s="48"/>
      <c r="H437" s="48"/>
      <c r="I437" s="48"/>
      <c r="J437" s="48"/>
      <c r="K437" s="48"/>
      <c r="L437" s="48"/>
      <c r="M437" s="48"/>
      <c r="N437" s="48"/>
      <c r="O437" s="48"/>
      <c r="P437" s="48"/>
      <c r="Q437" s="48"/>
      <c r="R437" s="48"/>
      <c r="S437" s="48"/>
      <c r="T437" s="48"/>
      <c r="U437" s="48"/>
      <c r="V437" s="48"/>
      <c r="W437" s="48"/>
      <c r="X437" s="48"/>
      <c r="Y437" s="48"/>
      <c r="Z437" s="48"/>
      <c r="AA437" s="48"/>
      <c r="AB437" s="48"/>
      <c r="AC437" s="48"/>
      <c r="AD437" s="48"/>
      <c r="AE437" s="48"/>
      <c r="AF437" s="48"/>
      <c r="AG437" s="48"/>
      <c r="AH437" s="48"/>
      <c r="AI437" s="48"/>
      <c r="AJ437" s="48"/>
      <c r="AK437" s="48"/>
      <c r="AL437" s="48"/>
      <c r="AM437" s="48"/>
      <c r="AN437" s="48"/>
      <c r="AO437" s="48"/>
      <c r="AP437" s="48"/>
      <c r="AQ437" s="48"/>
      <c r="AR437" s="48"/>
      <c r="AS437" s="48"/>
      <c r="AT437" s="48"/>
      <c r="AU437" s="48"/>
      <c r="AV437" s="48"/>
      <c r="AW437" s="48"/>
      <c r="AX437" s="48"/>
      <c r="AY437" s="48"/>
    </row>
    <row r="438" spans="1:51">
      <c r="A438" s="48"/>
      <c r="B438" s="48"/>
      <c r="C438" s="48"/>
      <c r="D438" s="48"/>
      <c r="E438" s="48"/>
      <c r="F438" s="48"/>
      <c r="G438" s="48"/>
      <c r="H438" s="48"/>
      <c r="I438" s="48"/>
      <c r="J438" s="48"/>
      <c r="K438" s="48"/>
      <c r="L438" s="48"/>
      <c r="M438" s="48"/>
      <c r="N438" s="48"/>
      <c r="O438" s="48"/>
      <c r="P438" s="48"/>
      <c r="Q438" s="48"/>
      <c r="R438" s="48"/>
      <c r="S438" s="48"/>
      <c r="T438" s="48"/>
      <c r="U438" s="48"/>
      <c r="V438" s="48"/>
      <c r="W438" s="48"/>
      <c r="X438" s="48"/>
      <c r="Y438" s="48"/>
      <c r="Z438" s="48"/>
      <c r="AA438" s="48"/>
      <c r="AB438" s="48"/>
      <c r="AC438" s="48"/>
      <c r="AD438" s="48"/>
      <c r="AE438" s="48"/>
      <c r="AF438" s="48"/>
      <c r="AG438" s="48"/>
      <c r="AH438" s="48"/>
      <c r="AI438" s="48"/>
      <c r="AJ438" s="48"/>
      <c r="AK438" s="48"/>
      <c r="AL438" s="48"/>
      <c r="AM438" s="48"/>
      <c r="AN438" s="48"/>
      <c r="AO438" s="48"/>
      <c r="AP438" s="48"/>
      <c r="AQ438" s="48"/>
      <c r="AR438" s="48"/>
      <c r="AS438" s="48"/>
      <c r="AT438" s="48"/>
      <c r="AU438" s="48"/>
      <c r="AV438" s="48"/>
      <c r="AW438" s="48"/>
      <c r="AX438" s="48"/>
      <c r="AY438" s="48"/>
    </row>
    <row r="439" spans="1:51">
      <c r="A439" s="48"/>
      <c r="B439" s="48"/>
      <c r="C439" s="48"/>
      <c r="D439" s="48"/>
      <c r="E439" s="48"/>
      <c r="F439" s="48"/>
      <c r="G439" s="48"/>
      <c r="H439" s="48"/>
      <c r="I439" s="48"/>
      <c r="J439" s="48"/>
      <c r="K439" s="48"/>
      <c r="L439" s="48"/>
      <c r="M439" s="48"/>
      <c r="N439" s="48"/>
      <c r="O439" s="48"/>
      <c r="P439" s="48"/>
      <c r="Q439" s="48"/>
      <c r="R439" s="48"/>
      <c r="S439" s="48"/>
      <c r="T439" s="48"/>
      <c r="U439" s="48"/>
      <c r="V439" s="48"/>
      <c r="W439" s="48"/>
      <c r="X439" s="48"/>
      <c r="Y439" s="48"/>
      <c r="Z439" s="48"/>
      <c r="AA439" s="48"/>
      <c r="AB439" s="48"/>
      <c r="AC439" s="48"/>
      <c r="AD439" s="48"/>
      <c r="AE439" s="48"/>
      <c r="AF439" s="48"/>
      <c r="AG439" s="48"/>
      <c r="AH439" s="48"/>
      <c r="AI439" s="48"/>
      <c r="AJ439" s="48"/>
      <c r="AK439" s="48"/>
      <c r="AL439" s="48"/>
      <c r="AM439" s="48"/>
      <c r="AN439" s="48"/>
      <c r="AO439" s="48"/>
      <c r="AP439" s="48"/>
      <c r="AQ439" s="48"/>
      <c r="AR439" s="48"/>
      <c r="AS439" s="48"/>
      <c r="AT439" s="48"/>
      <c r="AU439" s="48"/>
      <c r="AV439" s="48"/>
      <c r="AW439" s="48"/>
      <c r="AX439" s="48"/>
      <c r="AY439" s="48"/>
    </row>
    <row r="440" spans="1:51">
      <c r="A440" s="48"/>
      <c r="B440" s="48"/>
      <c r="C440" s="48"/>
      <c r="D440" s="48"/>
      <c r="E440" s="48"/>
      <c r="F440" s="48"/>
      <c r="G440" s="48"/>
      <c r="H440" s="48"/>
      <c r="I440" s="48"/>
      <c r="J440" s="48"/>
      <c r="K440" s="48"/>
      <c r="L440" s="48"/>
      <c r="M440" s="48"/>
      <c r="N440" s="48"/>
      <c r="O440" s="48"/>
      <c r="P440" s="48"/>
      <c r="Q440" s="48"/>
      <c r="R440" s="48"/>
      <c r="S440" s="48"/>
      <c r="T440" s="48"/>
      <c r="U440" s="48"/>
      <c r="V440" s="48"/>
      <c r="W440" s="48"/>
      <c r="X440" s="48"/>
      <c r="Y440" s="48"/>
      <c r="Z440" s="48"/>
      <c r="AA440" s="48"/>
      <c r="AB440" s="48"/>
      <c r="AC440" s="48"/>
      <c r="AD440" s="48"/>
      <c r="AE440" s="48"/>
      <c r="AF440" s="48"/>
      <c r="AG440" s="48"/>
      <c r="AH440" s="48"/>
      <c r="AI440" s="48"/>
      <c r="AJ440" s="48"/>
      <c r="AK440" s="48"/>
      <c r="AL440" s="48"/>
      <c r="AM440" s="48"/>
      <c r="AN440" s="48"/>
      <c r="AO440" s="48"/>
      <c r="AP440" s="48"/>
      <c r="AQ440" s="48"/>
      <c r="AR440" s="48"/>
      <c r="AS440" s="48"/>
      <c r="AT440" s="48"/>
      <c r="AU440" s="48"/>
      <c r="AV440" s="48"/>
      <c r="AW440" s="48"/>
      <c r="AX440" s="48"/>
      <c r="AY440" s="48"/>
    </row>
    <row r="441" spans="1:51">
      <c r="A441" s="48"/>
      <c r="B441" s="48"/>
      <c r="C441" s="48"/>
      <c r="D441" s="48"/>
      <c r="E441" s="48"/>
      <c r="F441" s="48"/>
      <c r="G441" s="48"/>
      <c r="H441" s="48"/>
      <c r="I441" s="48"/>
      <c r="J441" s="48"/>
      <c r="K441" s="48"/>
      <c r="L441" s="48"/>
      <c r="M441" s="48"/>
      <c r="N441" s="48"/>
      <c r="O441" s="48"/>
      <c r="P441" s="48"/>
      <c r="Q441" s="48"/>
      <c r="R441" s="48"/>
      <c r="S441" s="48"/>
      <c r="T441" s="48"/>
      <c r="U441" s="48"/>
      <c r="V441" s="48"/>
      <c r="W441" s="48"/>
      <c r="X441" s="48"/>
      <c r="Y441" s="48"/>
      <c r="Z441" s="48"/>
      <c r="AA441" s="48"/>
      <c r="AB441" s="48"/>
      <c r="AC441" s="48"/>
      <c r="AD441" s="48"/>
      <c r="AE441" s="48"/>
      <c r="AF441" s="48"/>
      <c r="AG441" s="48"/>
      <c r="AH441" s="48"/>
      <c r="AI441" s="48"/>
      <c r="AJ441" s="48"/>
      <c r="AK441" s="48"/>
      <c r="AL441" s="48"/>
      <c r="AM441" s="48"/>
      <c r="AN441" s="48"/>
      <c r="AO441" s="48"/>
      <c r="AP441" s="48"/>
      <c r="AQ441" s="48"/>
      <c r="AR441" s="48"/>
      <c r="AS441" s="48"/>
      <c r="AT441" s="48"/>
      <c r="AU441" s="48"/>
      <c r="AV441" s="48"/>
      <c r="AW441" s="48"/>
      <c r="AX441" s="48"/>
      <c r="AY441" s="48"/>
    </row>
    <row r="442" spans="1:51">
      <c r="A442" s="48"/>
      <c r="B442" s="48"/>
      <c r="C442" s="48"/>
      <c r="D442" s="48"/>
      <c r="E442" s="48"/>
      <c r="F442" s="48"/>
      <c r="G442" s="48"/>
      <c r="H442" s="48"/>
      <c r="I442" s="48"/>
      <c r="J442" s="48"/>
      <c r="K442" s="48"/>
      <c r="L442" s="48"/>
      <c r="M442" s="48"/>
      <c r="N442" s="48"/>
      <c r="O442" s="48"/>
      <c r="P442" s="48"/>
      <c r="Q442" s="48"/>
      <c r="R442" s="48"/>
      <c r="S442" s="48"/>
      <c r="T442" s="48"/>
      <c r="U442" s="48"/>
      <c r="V442" s="48"/>
      <c r="W442" s="48"/>
      <c r="X442" s="48"/>
      <c r="Y442" s="48"/>
      <c r="Z442" s="48"/>
      <c r="AA442" s="48"/>
      <c r="AB442" s="48"/>
      <c r="AC442" s="48"/>
      <c r="AD442" s="48"/>
      <c r="AE442" s="48"/>
      <c r="AF442" s="48"/>
      <c r="AG442" s="48"/>
      <c r="AH442" s="48"/>
      <c r="AI442" s="48"/>
      <c r="AJ442" s="48"/>
      <c r="AK442" s="48"/>
      <c r="AL442" s="48"/>
      <c r="AM442" s="48"/>
      <c r="AN442" s="48"/>
      <c r="AO442" s="48"/>
      <c r="AP442" s="48"/>
      <c r="AQ442" s="48"/>
      <c r="AR442" s="48"/>
      <c r="AS442" s="48"/>
      <c r="AT442" s="48"/>
      <c r="AU442" s="48"/>
      <c r="AV442" s="48"/>
      <c r="AW442" s="48"/>
      <c r="AX442" s="48"/>
      <c r="AY442" s="48"/>
    </row>
    <row r="443" spans="1:51">
      <c r="A443" s="48"/>
      <c r="B443" s="48"/>
      <c r="C443" s="48"/>
      <c r="D443" s="48"/>
      <c r="E443" s="48"/>
      <c r="F443" s="48"/>
      <c r="G443" s="48"/>
      <c r="H443" s="48"/>
      <c r="I443" s="48"/>
      <c r="J443" s="48"/>
      <c r="K443" s="48"/>
      <c r="L443" s="48"/>
      <c r="M443" s="48"/>
      <c r="N443" s="48"/>
      <c r="O443" s="48"/>
      <c r="P443" s="48"/>
      <c r="Q443" s="48"/>
      <c r="R443" s="48"/>
      <c r="S443" s="48"/>
      <c r="T443" s="48"/>
      <c r="U443" s="48"/>
      <c r="V443" s="48"/>
      <c r="W443" s="48"/>
      <c r="X443" s="48"/>
      <c r="Y443" s="48"/>
      <c r="Z443" s="48"/>
      <c r="AA443" s="48"/>
      <c r="AB443" s="48"/>
      <c r="AC443" s="48"/>
      <c r="AD443" s="48"/>
      <c r="AE443" s="48"/>
      <c r="AF443" s="48"/>
      <c r="AG443" s="48"/>
      <c r="AH443" s="48"/>
      <c r="AI443" s="48"/>
      <c r="AJ443" s="48"/>
      <c r="AK443" s="48"/>
      <c r="AL443" s="48"/>
      <c r="AM443" s="48"/>
      <c r="AN443" s="48"/>
      <c r="AO443" s="48"/>
      <c r="AP443" s="48"/>
      <c r="AQ443" s="48"/>
      <c r="AR443" s="48"/>
      <c r="AS443" s="48"/>
      <c r="AT443" s="48"/>
      <c r="AU443" s="48"/>
      <c r="AV443" s="48"/>
      <c r="AW443" s="48"/>
      <c r="AX443" s="48"/>
      <c r="AY443" s="48"/>
    </row>
    <row r="444" spans="1:51">
      <c r="A444" s="48"/>
      <c r="B444" s="48"/>
      <c r="C444" s="48"/>
      <c r="D444" s="48"/>
      <c r="E444" s="48"/>
      <c r="F444" s="48"/>
      <c r="G444" s="48"/>
      <c r="H444" s="48"/>
      <c r="I444" s="48"/>
      <c r="J444" s="48"/>
      <c r="K444" s="48"/>
      <c r="L444" s="48"/>
      <c r="M444" s="48"/>
      <c r="N444" s="48"/>
      <c r="O444" s="48"/>
      <c r="P444" s="48"/>
      <c r="Q444" s="48"/>
      <c r="R444" s="48"/>
      <c r="S444" s="48"/>
      <c r="T444" s="48"/>
      <c r="U444" s="48"/>
      <c r="V444" s="48"/>
      <c r="W444" s="48"/>
      <c r="X444" s="48"/>
      <c r="Y444" s="48"/>
      <c r="Z444" s="48"/>
      <c r="AA444" s="48"/>
      <c r="AB444" s="48"/>
      <c r="AC444" s="48"/>
      <c r="AD444" s="48"/>
      <c r="AE444" s="48"/>
      <c r="AF444" s="48"/>
      <c r="AG444" s="48"/>
      <c r="AH444" s="48"/>
      <c r="AI444" s="48"/>
      <c r="AJ444" s="48"/>
      <c r="AK444" s="48"/>
      <c r="AL444" s="48"/>
      <c r="AM444" s="48"/>
      <c r="AN444" s="48"/>
      <c r="AO444" s="48"/>
      <c r="AP444" s="48"/>
      <c r="AQ444" s="48"/>
      <c r="AR444" s="48"/>
      <c r="AS444" s="48"/>
      <c r="AT444" s="48"/>
      <c r="AU444" s="48"/>
      <c r="AV444" s="48"/>
      <c r="AW444" s="48"/>
      <c r="AX444" s="48"/>
      <c r="AY444" s="48"/>
    </row>
    <row r="445" spans="1:51">
      <c r="A445" s="48"/>
      <c r="B445" s="48"/>
      <c r="C445" s="48"/>
      <c r="D445" s="48"/>
      <c r="E445" s="48"/>
      <c r="F445" s="48"/>
      <c r="G445" s="48"/>
      <c r="H445" s="48"/>
      <c r="I445" s="48"/>
      <c r="J445" s="48"/>
      <c r="K445" s="48"/>
      <c r="L445" s="48"/>
      <c r="M445" s="48"/>
      <c r="N445" s="48"/>
      <c r="O445" s="48"/>
      <c r="P445" s="48"/>
      <c r="Q445" s="48"/>
      <c r="R445" s="48"/>
      <c r="S445" s="48"/>
      <c r="T445" s="48"/>
      <c r="U445" s="48"/>
      <c r="V445" s="48"/>
      <c r="W445" s="48"/>
      <c r="X445" s="48"/>
      <c r="Y445" s="48"/>
      <c r="Z445" s="48"/>
      <c r="AA445" s="48"/>
      <c r="AB445" s="48"/>
      <c r="AC445" s="48"/>
      <c r="AD445" s="48"/>
      <c r="AE445" s="48"/>
      <c r="AF445" s="48"/>
      <c r="AG445" s="48"/>
      <c r="AH445" s="48"/>
      <c r="AI445" s="48"/>
      <c r="AJ445" s="48"/>
      <c r="AK445" s="48"/>
      <c r="AL445" s="48"/>
      <c r="AM445" s="48"/>
      <c r="AN445" s="48"/>
      <c r="AO445" s="48"/>
      <c r="AP445" s="48"/>
      <c r="AQ445" s="48"/>
      <c r="AR445" s="48"/>
      <c r="AS445" s="48"/>
      <c r="AT445" s="48"/>
      <c r="AU445" s="48"/>
      <c r="AV445" s="48"/>
      <c r="AW445" s="48"/>
      <c r="AX445" s="48"/>
      <c r="AY445" s="48"/>
    </row>
    <row r="446" spans="1:51">
      <c r="A446" s="48"/>
      <c r="B446" s="48"/>
      <c r="C446" s="48"/>
      <c r="D446" s="48"/>
      <c r="E446" s="48"/>
      <c r="F446" s="48"/>
      <c r="G446" s="48"/>
      <c r="H446" s="48"/>
      <c r="I446" s="48"/>
      <c r="J446" s="48"/>
      <c r="K446" s="48"/>
      <c r="L446" s="48"/>
      <c r="M446" s="48"/>
      <c r="N446" s="48"/>
      <c r="O446" s="48"/>
      <c r="P446" s="48"/>
      <c r="Q446" s="48"/>
      <c r="R446" s="48"/>
      <c r="S446" s="48"/>
      <c r="T446" s="48"/>
      <c r="U446" s="48"/>
      <c r="V446" s="48"/>
      <c r="W446" s="48"/>
      <c r="X446" s="48"/>
      <c r="Y446" s="48"/>
      <c r="Z446" s="48"/>
      <c r="AA446" s="48"/>
      <c r="AB446" s="48"/>
      <c r="AC446" s="48"/>
      <c r="AD446" s="48"/>
      <c r="AE446" s="48"/>
      <c r="AF446" s="48"/>
      <c r="AG446" s="48"/>
      <c r="AH446" s="48"/>
      <c r="AI446" s="48"/>
      <c r="AJ446" s="48"/>
      <c r="AK446" s="48"/>
      <c r="AL446" s="48"/>
      <c r="AM446" s="48"/>
      <c r="AN446" s="48"/>
      <c r="AO446" s="48"/>
      <c r="AP446" s="48"/>
      <c r="AQ446" s="48"/>
      <c r="AR446" s="48"/>
      <c r="AS446" s="48"/>
      <c r="AT446" s="48"/>
      <c r="AU446" s="48"/>
      <c r="AV446" s="48"/>
      <c r="AW446" s="48"/>
      <c r="AX446" s="48"/>
      <c r="AY446" s="48"/>
    </row>
    <row r="447" spans="1:51">
      <c r="A447" s="48"/>
      <c r="B447" s="48"/>
      <c r="C447" s="48"/>
      <c r="D447" s="48"/>
      <c r="E447" s="48"/>
      <c r="F447" s="48"/>
      <c r="G447" s="48"/>
      <c r="H447" s="48"/>
      <c r="I447" s="48"/>
      <c r="J447" s="48"/>
      <c r="K447" s="48"/>
      <c r="L447" s="48"/>
      <c r="M447" s="48"/>
      <c r="N447" s="48"/>
      <c r="O447" s="48"/>
      <c r="P447" s="48"/>
      <c r="Q447" s="48"/>
      <c r="R447" s="48"/>
      <c r="S447" s="48"/>
      <c r="T447" s="48"/>
      <c r="U447" s="48"/>
      <c r="V447" s="48"/>
      <c r="W447" s="48"/>
      <c r="X447" s="48"/>
      <c r="Y447" s="48"/>
      <c r="Z447" s="48"/>
      <c r="AA447" s="48"/>
      <c r="AB447" s="48"/>
      <c r="AC447" s="48"/>
      <c r="AD447" s="48"/>
      <c r="AE447" s="48"/>
      <c r="AF447" s="48"/>
      <c r="AG447" s="48"/>
      <c r="AH447" s="48"/>
      <c r="AI447" s="48"/>
      <c r="AJ447" s="48"/>
      <c r="AK447" s="48"/>
      <c r="AL447" s="48"/>
      <c r="AM447" s="48"/>
      <c r="AN447" s="48"/>
      <c r="AO447" s="48"/>
      <c r="AP447" s="48"/>
      <c r="AQ447" s="48"/>
      <c r="AR447" s="48"/>
      <c r="AS447" s="48"/>
      <c r="AT447" s="48"/>
      <c r="AU447" s="48"/>
      <c r="AV447" s="48"/>
      <c r="AW447" s="48"/>
      <c r="AX447" s="48"/>
      <c r="AY447" s="48"/>
    </row>
    <row r="448" spans="1:51">
      <c r="A448" s="48"/>
      <c r="B448" s="48"/>
      <c r="C448" s="48"/>
      <c r="D448" s="48"/>
      <c r="E448" s="48"/>
      <c r="F448" s="48"/>
      <c r="G448" s="48"/>
      <c r="H448" s="48"/>
      <c r="I448" s="48"/>
      <c r="J448" s="48"/>
      <c r="K448" s="48"/>
      <c r="L448" s="48"/>
      <c r="M448" s="48"/>
      <c r="N448" s="48"/>
      <c r="O448" s="48"/>
      <c r="P448" s="48"/>
      <c r="Q448" s="48"/>
      <c r="R448" s="48"/>
      <c r="S448" s="48"/>
      <c r="T448" s="48"/>
      <c r="U448" s="48"/>
      <c r="V448" s="48"/>
      <c r="W448" s="48"/>
      <c r="X448" s="48"/>
      <c r="Y448" s="48"/>
      <c r="Z448" s="48"/>
      <c r="AA448" s="48"/>
      <c r="AB448" s="48"/>
      <c r="AC448" s="48"/>
      <c r="AD448" s="48"/>
      <c r="AE448" s="48"/>
      <c r="AF448" s="48"/>
      <c r="AG448" s="48"/>
      <c r="AH448" s="48"/>
      <c r="AI448" s="48"/>
      <c r="AJ448" s="48"/>
      <c r="AK448" s="48"/>
      <c r="AL448" s="48"/>
      <c r="AM448" s="48"/>
      <c r="AN448" s="48"/>
      <c r="AO448" s="48"/>
      <c r="AP448" s="48"/>
      <c r="AQ448" s="48"/>
      <c r="AR448" s="48"/>
      <c r="AS448" s="48"/>
      <c r="AT448" s="48"/>
      <c r="AU448" s="48"/>
      <c r="AV448" s="48"/>
      <c r="AW448" s="48"/>
      <c r="AX448" s="48"/>
      <c r="AY448" s="48"/>
    </row>
    <row r="449" spans="1:51">
      <c r="A449" s="48"/>
      <c r="B449" s="48"/>
      <c r="C449" s="48"/>
      <c r="D449" s="48"/>
      <c r="E449" s="48"/>
      <c r="F449" s="48"/>
      <c r="G449" s="48"/>
      <c r="H449" s="48"/>
      <c r="I449" s="48"/>
      <c r="J449" s="48"/>
      <c r="K449" s="48"/>
      <c r="L449" s="48"/>
      <c r="M449" s="48"/>
      <c r="N449" s="48"/>
      <c r="O449" s="48"/>
      <c r="P449" s="48"/>
      <c r="Q449" s="48"/>
      <c r="R449" s="48"/>
      <c r="S449" s="48"/>
      <c r="T449" s="48"/>
      <c r="U449" s="48"/>
      <c r="V449" s="48"/>
      <c r="W449" s="48"/>
      <c r="X449" s="48"/>
      <c r="Y449" s="48"/>
      <c r="Z449" s="48"/>
      <c r="AA449" s="48"/>
      <c r="AB449" s="48"/>
      <c r="AC449" s="48"/>
      <c r="AD449" s="48"/>
      <c r="AE449" s="48"/>
      <c r="AF449" s="48"/>
      <c r="AG449" s="48"/>
      <c r="AH449" s="48"/>
      <c r="AI449" s="48"/>
      <c r="AJ449" s="48"/>
      <c r="AK449" s="48"/>
      <c r="AL449" s="48"/>
      <c r="AM449" s="48"/>
      <c r="AN449" s="48"/>
      <c r="AO449" s="48"/>
      <c r="AP449" s="48"/>
      <c r="AQ449" s="48"/>
      <c r="AR449" s="48"/>
      <c r="AS449" s="48"/>
      <c r="AT449" s="48"/>
      <c r="AU449" s="48"/>
      <c r="AV449" s="48"/>
      <c r="AW449" s="48"/>
      <c r="AX449" s="48"/>
      <c r="AY449" s="48"/>
    </row>
    <row r="450" spans="1:51">
      <c r="A450" s="48"/>
      <c r="B450" s="48"/>
      <c r="C450" s="48"/>
      <c r="D450" s="48"/>
      <c r="E450" s="48"/>
      <c r="F450" s="48"/>
      <c r="G450" s="48"/>
      <c r="H450" s="48"/>
      <c r="I450" s="48"/>
      <c r="J450" s="48"/>
      <c r="K450" s="48"/>
      <c r="L450" s="48"/>
      <c r="M450" s="48"/>
      <c r="N450" s="48"/>
      <c r="O450" s="48"/>
      <c r="P450" s="48"/>
      <c r="Q450" s="48"/>
      <c r="R450" s="48"/>
      <c r="S450" s="48"/>
      <c r="T450" s="48"/>
      <c r="U450" s="48"/>
      <c r="V450" s="48"/>
      <c r="W450" s="48"/>
      <c r="X450" s="48"/>
      <c r="Y450" s="48"/>
      <c r="Z450" s="48"/>
      <c r="AA450" s="48"/>
      <c r="AB450" s="48"/>
      <c r="AC450" s="48"/>
      <c r="AD450" s="48"/>
      <c r="AE450" s="48"/>
      <c r="AF450" s="48"/>
      <c r="AG450" s="48"/>
      <c r="AH450" s="48"/>
      <c r="AI450" s="48"/>
      <c r="AJ450" s="48"/>
      <c r="AK450" s="48"/>
      <c r="AL450" s="48"/>
      <c r="AM450" s="48"/>
      <c r="AN450" s="48"/>
      <c r="AO450" s="48"/>
      <c r="AP450" s="48"/>
      <c r="AQ450" s="48"/>
      <c r="AR450" s="48"/>
      <c r="AS450" s="48"/>
      <c r="AT450" s="48"/>
      <c r="AU450" s="48"/>
      <c r="AV450" s="48"/>
      <c r="AW450" s="48"/>
      <c r="AX450" s="48"/>
      <c r="AY450" s="48"/>
    </row>
    <row r="451" spans="1:51">
      <c r="A451" s="48"/>
      <c r="B451" s="48"/>
      <c r="C451" s="48"/>
      <c r="D451" s="48"/>
      <c r="E451" s="48"/>
      <c r="F451" s="48"/>
      <c r="G451" s="48"/>
      <c r="H451" s="48"/>
      <c r="I451" s="48"/>
      <c r="J451" s="48"/>
      <c r="K451" s="48"/>
      <c r="L451" s="48"/>
      <c r="M451" s="48"/>
      <c r="N451" s="48"/>
      <c r="O451" s="48"/>
      <c r="P451" s="48"/>
      <c r="Q451" s="48"/>
      <c r="R451" s="48"/>
      <c r="S451" s="48"/>
      <c r="T451" s="48"/>
      <c r="U451" s="48"/>
      <c r="V451" s="48"/>
      <c r="W451" s="48"/>
      <c r="X451" s="48"/>
      <c r="Y451" s="48"/>
      <c r="Z451" s="48"/>
      <c r="AA451" s="48"/>
      <c r="AB451" s="48"/>
      <c r="AC451" s="48"/>
      <c r="AD451" s="48"/>
      <c r="AE451" s="48"/>
      <c r="AF451" s="48"/>
      <c r="AG451" s="48"/>
      <c r="AH451" s="48"/>
      <c r="AI451" s="48"/>
      <c r="AJ451" s="48"/>
      <c r="AK451" s="48"/>
      <c r="AL451" s="48"/>
      <c r="AM451" s="48"/>
      <c r="AN451" s="48"/>
      <c r="AO451" s="48"/>
      <c r="AP451" s="48"/>
      <c r="AQ451" s="48"/>
      <c r="AR451" s="48"/>
      <c r="AS451" s="48"/>
      <c r="AT451" s="48"/>
      <c r="AU451" s="48"/>
      <c r="AV451" s="48"/>
      <c r="AW451" s="48"/>
      <c r="AX451" s="48"/>
      <c r="AY451" s="48"/>
    </row>
    <row r="452" spans="1:51">
      <c r="A452" s="48"/>
      <c r="B452" s="48"/>
      <c r="C452" s="48"/>
      <c r="D452" s="48"/>
      <c r="E452" s="48"/>
      <c r="F452" s="48"/>
      <c r="G452" s="48"/>
      <c r="H452" s="48"/>
      <c r="I452" s="48"/>
      <c r="J452" s="48"/>
      <c r="K452" s="48"/>
      <c r="L452" s="48"/>
      <c r="M452" s="48"/>
      <c r="N452" s="48"/>
      <c r="O452" s="48"/>
      <c r="P452" s="48"/>
      <c r="Q452" s="48"/>
      <c r="R452" s="48"/>
      <c r="S452" s="48"/>
      <c r="T452" s="48"/>
      <c r="U452" s="48"/>
      <c r="V452" s="48"/>
      <c r="W452" s="48"/>
      <c r="X452" s="48"/>
      <c r="Y452" s="48"/>
      <c r="Z452" s="48"/>
      <c r="AA452" s="48"/>
      <c r="AB452" s="48"/>
      <c r="AC452" s="48"/>
      <c r="AD452" s="48"/>
      <c r="AE452" s="48"/>
      <c r="AF452" s="48"/>
      <c r="AG452" s="48"/>
      <c r="AH452" s="48"/>
      <c r="AI452" s="48"/>
      <c r="AJ452" s="48"/>
      <c r="AK452" s="48"/>
      <c r="AL452" s="48"/>
      <c r="AM452" s="48"/>
      <c r="AN452" s="48"/>
      <c r="AO452" s="48"/>
      <c r="AP452" s="48"/>
      <c r="AQ452" s="48"/>
      <c r="AR452" s="48"/>
      <c r="AS452" s="48"/>
      <c r="AT452" s="48"/>
      <c r="AU452" s="48"/>
      <c r="AV452" s="48"/>
      <c r="AW452" s="48"/>
      <c r="AX452" s="48"/>
      <c r="AY452" s="48"/>
    </row>
    <row r="453" spans="1:51">
      <c r="A453" s="48"/>
      <c r="B453" s="48"/>
      <c r="C453" s="48"/>
      <c r="D453" s="48"/>
      <c r="E453" s="48"/>
      <c r="F453" s="48"/>
      <c r="G453" s="48"/>
      <c r="H453" s="48"/>
      <c r="I453" s="48"/>
      <c r="J453" s="48"/>
      <c r="K453" s="48"/>
      <c r="L453" s="48"/>
      <c r="M453" s="48"/>
      <c r="N453" s="48"/>
      <c r="O453" s="48"/>
      <c r="P453" s="48"/>
      <c r="Q453" s="48"/>
      <c r="R453" s="48"/>
      <c r="S453" s="48"/>
      <c r="T453" s="48"/>
      <c r="U453" s="48"/>
      <c r="V453" s="48"/>
      <c r="W453" s="48"/>
      <c r="X453" s="48"/>
      <c r="Y453" s="48"/>
      <c r="Z453" s="48"/>
      <c r="AA453" s="48"/>
      <c r="AB453" s="48"/>
      <c r="AC453" s="48"/>
      <c r="AD453" s="48"/>
      <c r="AE453" s="48"/>
      <c r="AF453" s="48"/>
      <c r="AG453" s="48"/>
      <c r="AH453" s="48"/>
      <c r="AI453" s="48"/>
      <c r="AJ453" s="48"/>
      <c r="AK453" s="48"/>
      <c r="AL453" s="48"/>
      <c r="AM453" s="48"/>
      <c r="AN453" s="48"/>
      <c r="AO453" s="48"/>
      <c r="AP453" s="48"/>
      <c r="AQ453" s="48"/>
      <c r="AR453" s="48"/>
      <c r="AS453" s="48"/>
      <c r="AT453" s="48"/>
      <c r="AU453" s="48"/>
      <c r="AV453" s="48"/>
      <c r="AW453" s="48"/>
      <c r="AX453" s="48"/>
      <c r="AY453" s="48"/>
    </row>
    <row r="454" spans="1:51">
      <c r="A454" s="48"/>
      <c r="B454" s="48"/>
      <c r="C454" s="48"/>
      <c r="D454" s="48"/>
      <c r="E454" s="48"/>
      <c r="F454" s="48"/>
      <c r="G454" s="48"/>
      <c r="H454" s="48"/>
      <c r="I454" s="48"/>
      <c r="J454" s="48"/>
      <c r="K454" s="48"/>
      <c r="L454" s="48"/>
      <c r="M454" s="48"/>
      <c r="N454" s="48"/>
      <c r="O454" s="48"/>
      <c r="P454" s="48"/>
      <c r="Q454" s="48"/>
      <c r="R454" s="48"/>
      <c r="S454" s="48"/>
      <c r="T454" s="48"/>
      <c r="U454" s="48"/>
      <c r="V454" s="48"/>
      <c r="W454" s="48"/>
      <c r="X454" s="48"/>
      <c r="Y454" s="48"/>
      <c r="Z454" s="48"/>
      <c r="AA454" s="48"/>
      <c r="AB454" s="48"/>
      <c r="AC454" s="48"/>
      <c r="AD454" s="48"/>
      <c r="AE454" s="48"/>
      <c r="AF454" s="48"/>
      <c r="AG454" s="48"/>
      <c r="AH454" s="48"/>
      <c r="AI454" s="48"/>
      <c r="AJ454" s="48"/>
      <c r="AK454" s="48"/>
      <c r="AL454" s="48"/>
      <c r="AM454" s="48"/>
      <c r="AN454" s="48"/>
      <c r="AO454" s="48"/>
      <c r="AP454" s="48"/>
      <c r="AQ454" s="48"/>
      <c r="AR454" s="48"/>
      <c r="AS454" s="48"/>
      <c r="AT454" s="48"/>
      <c r="AU454" s="48"/>
      <c r="AV454" s="48"/>
      <c r="AW454" s="48"/>
      <c r="AX454" s="48"/>
      <c r="AY454" s="48"/>
    </row>
    <row r="455" spans="1:51">
      <c r="A455" s="48"/>
      <c r="B455" s="48"/>
      <c r="C455" s="48"/>
      <c r="D455" s="48"/>
      <c r="E455" s="48"/>
      <c r="F455" s="48"/>
      <c r="G455" s="48"/>
      <c r="H455" s="48"/>
      <c r="I455" s="48"/>
      <c r="J455" s="48"/>
      <c r="K455" s="48"/>
      <c r="L455" s="48"/>
      <c r="M455" s="48"/>
      <c r="N455" s="48"/>
      <c r="O455" s="48"/>
      <c r="P455" s="48"/>
      <c r="Q455" s="48"/>
      <c r="R455" s="48"/>
      <c r="S455" s="48"/>
      <c r="T455" s="48"/>
      <c r="U455" s="48"/>
      <c r="V455" s="48"/>
      <c r="W455" s="48"/>
      <c r="X455" s="48"/>
      <c r="Y455" s="48"/>
      <c r="Z455" s="48"/>
      <c r="AA455" s="48"/>
      <c r="AB455" s="48"/>
      <c r="AC455" s="48"/>
      <c r="AD455" s="48"/>
      <c r="AE455" s="48"/>
      <c r="AF455" s="48"/>
      <c r="AG455" s="48"/>
      <c r="AH455" s="48"/>
      <c r="AI455" s="48"/>
      <c r="AJ455" s="48"/>
      <c r="AK455" s="48"/>
      <c r="AL455" s="48"/>
      <c r="AM455" s="48"/>
      <c r="AN455" s="48"/>
      <c r="AO455" s="48"/>
      <c r="AP455" s="48"/>
      <c r="AQ455" s="48"/>
      <c r="AR455" s="48"/>
      <c r="AS455" s="48"/>
      <c r="AT455" s="48"/>
      <c r="AU455" s="48"/>
      <c r="AV455" s="48"/>
      <c r="AW455" s="48"/>
      <c r="AX455" s="48"/>
      <c r="AY455" s="48"/>
    </row>
    <row r="456" spans="1:51">
      <c r="A456" s="48"/>
      <c r="B456" s="48"/>
      <c r="C456" s="48"/>
      <c r="D456" s="48"/>
      <c r="E456" s="48"/>
      <c r="F456" s="48"/>
      <c r="G456" s="48"/>
      <c r="H456" s="48"/>
      <c r="I456" s="48"/>
      <c r="J456" s="48"/>
      <c r="K456" s="48"/>
      <c r="L456" s="48"/>
      <c r="M456" s="48"/>
      <c r="N456" s="48"/>
      <c r="O456" s="48"/>
      <c r="P456" s="48"/>
      <c r="Q456" s="48"/>
      <c r="R456" s="48"/>
      <c r="S456" s="48"/>
      <c r="T456" s="48"/>
      <c r="U456" s="48"/>
      <c r="V456" s="48"/>
      <c r="W456" s="48"/>
      <c r="X456" s="48"/>
      <c r="Y456" s="48"/>
      <c r="Z456" s="48"/>
      <c r="AA456" s="48"/>
      <c r="AB456" s="48"/>
      <c r="AC456" s="48"/>
      <c r="AD456" s="48"/>
      <c r="AE456" s="48"/>
      <c r="AF456" s="48"/>
      <c r="AG456" s="48"/>
      <c r="AH456" s="48"/>
      <c r="AI456" s="48"/>
      <c r="AJ456" s="48"/>
      <c r="AK456" s="48"/>
      <c r="AL456" s="48"/>
      <c r="AM456" s="48"/>
      <c r="AN456" s="48"/>
      <c r="AO456" s="48"/>
      <c r="AP456" s="48"/>
      <c r="AQ456" s="48"/>
      <c r="AR456" s="48"/>
      <c r="AS456" s="48"/>
      <c r="AT456" s="48"/>
      <c r="AU456" s="48"/>
      <c r="AV456" s="48"/>
      <c r="AW456" s="48"/>
      <c r="AX456" s="48"/>
      <c r="AY456" s="48"/>
    </row>
    <row r="457" spans="1:51">
      <c r="A457" s="48"/>
      <c r="B457" s="48"/>
      <c r="C457" s="48"/>
      <c r="D457" s="48"/>
      <c r="E457" s="48"/>
      <c r="F457" s="48"/>
      <c r="G457" s="48"/>
      <c r="H457" s="48"/>
      <c r="I457" s="48"/>
      <c r="J457" s="48"/>
      <c r="K457" s="48"/>
      <c r="L457" s="48"/>
      <c r="M457" s="48"/>
      <c r="N457" s="48"/>
      <c r="O457" s="48"/>
      <c r="P457" s="48"/>
      <c r="Q457" s="48"/>
      <c r="R457" s="48"/>
      <c r="S457" s="48"/>
      <c r="T457" s="48"/>
      <c r="U457" s="48"/>
      <c r="V457" s="48"/>
      <c r="W457" s="48"/>
      <c r="X457" s="48"/>
      <c r="Y457" s="48"/>
      <c r="Z457" s="48"/>
      <c r="AA457" s="48"/>
      <c r="AB457" s="48"/>
      <c r="AC457" s="48"/>
      <c r="AD457" s="48"/>
      <c r="AE457" s="48"/>
      <c r="AF457" s="48"/>
      <c r="AG457" s="48"/>
      <c r="AH457" s="48"/>
      <c r="AI457" s="48"/>
      <c r="AJ457" s="48"/>
      <c r="AK457" s="48"/>
      <c r="AL457" s="48"/>
      <c r="AM457" s="48"/>
      <c r="AN457" s="48"/>
      <c r="AO457" s="48"/>
      <c r="AP457" s="48"/>
      <c r="AQ457" s="48"/>
      <c r="AR457" s="48"/>
      <c r="AS457" s="48"/>
      <c r="AT457" s="48"/>
      <c r="AU457" s="48"/>
      <c r="AV457" s="48"/>
      <c r="AW457" s="48"/>
      <c r="AX457" s="48"/>
      <c r="AY457" s="48"/>
    </row>
    <row r="458" spans="1:51">
      <c r="A458" s="48"/>
      <c r="B458" s="48"/>
      <c r="C458" s="48"/>
      <c r="D458" s="48"/>
      <c r="E458" s="48"/>
      <c r="F458" s="48"/>
      <c r="G458" s="48"/>
      <c r="H458" s="48"/>
      <c r="I458" s="48"/>
      <c r="J458" s="48"/>
      <c r="K458" s="48"/>
      <c r="L458" s="48"/>
      <c r="M458" s="48"/>
      <c r="N458" s="48"/>
      <c r="O458" s="48"/>
      <c r="P458" s="48"/>
      <c r="Q458" s="48"/>
      <c r="R458" s="48"/>
      <c r="S458" s="48"/>
      <c r="T458" s="48"/>
      <c r="U458" s="48"/>
      <c r="V458" s="48"/>
      <c r="W458" s="48"/>
      <c r="X458" s="48"/>
      <c r="Y458" s="48"/>
      <c r="Z458" s="48"/>
      <c r="AA458" s="48"/>
      <c r="AB458" s="48"/>
      <c r="AC458" s="48"/>
      <c r="AD458" s="48"/>
      <c r="AE458" s="48"/>
      <c r="AF458" s="48"/>
      <c r="AG458" s="48"/>
      <c r="AH458" s="48"/>
      <c r="AI458" s="48"/>
      <c r="AJ458" s="48"/>
      <c r="AK458" s="48"/>
      <c r="AL458" s="48"/>
      <c r="AM458" s="48"/>
      <c r="AN458" s="48"/>
      <c r="AO458" s="48"/>
      <c r="AP458" s="48"/>
      <c r="AQ458" s="48"/>
      <c r="AR458" s="48"/>
      <c r="AS458" s="48"/>
      <c r="AT458" s="48"/>
      <c r="AU458" s="48"/>
      <c r="AV458" s="48"/>
      <c r="AW458" s="48"/>
      <c r="AX458" s="48"/>
      <c r="AY458" s="48"/>
    </row>
    <row r="459" spans="1:51">
      <c r="A459" s="48"/>
      <c r="B459" s="48"/>
      <c r="C459" s="48"/>
      <c r="D459" s="48"/>
      <c r="E459" s="48"/>
      <c r="F459" s="48"/>
      <c r="G459" s="48"/>
      <c r="H459" s="48"/>
      <c r="I459" s="48"/>
      <c r="J459" s="48"/>
      <c r="K459" s="48"/>
      <c r="L459" s="48"/>
      <c r="M459" s="48"/>
      <c r="N459" s="48"/>
      <c r="O459" s="48"/>
      <c r="P459" s="48"/>
      <c r="Q459" s="48"/>
      <c r="R459" s="48"/>
      <c r="S459" s="48"/>
      <c r="T459" s="48"/>
      <c r="U459" s="48"/>
      <c r="V459" s="48"/>
      <c r="W459" s="48"/>
      <c r="X459" s="48"/>
      <c r="Y459" s="48"/>
      <c r="Z459" s="48"/>
      <c r="AA459" s="48"/>
      <c r="AB459" s="48"/>
      <c r="AC459" s="48"/>
      <c r="AD459" s="48"/>
      <c r="AE459" s="48"/>
      <c r="AF459" s="48"/>
      <c r="AG459" s="48"/>
      <c r="AH459" s="48"/>
      <c r="AI459" s="48"/>
      <c r="AJ459" s="48"/>
      <c r="AK459" s="48"/>
      <c r="AL459" s="48"/>
      <c r="AM459" s="48"/>
      <c r="AN459" s="48"/>
      <c r="AO459" s="48"/>
      <c r="AP459" s="48"/>
      <c r="AQ459" s="48"/>
      <c r="AR459" s="48"/>
      <c r="AS459" s="48"/>
      <c r="AT459" s="48"/>
      <c r="AU459" s="48"/>
      <c r="AV459" s="48"/>
      <c r="AW459" s="48"/>
      <c r="AX459" s="48"/>
      <c r="AY459" s="48"/>
    </row>
    <row r="460" spans="1:51">
      <c r="A460" s="48"/>
      <c r="B460" s="48"/>
      <c r="C460" s="48"/>
      <c r="D460" s="48"/>
      <c r="E460" s="48"/>
      <c r="F460" s="48"/>
      <c r="G460" s="48"/>
      <c r="H460" s="48"/>
      <c r="I460" s="48"/>
      <c r="J460" s="48"/>
      <c r="K460" s="48"/>
      <c r="L460" s="48"/>
      <c r="M460" s="48"/>
      <c r="N460" s="48"/>
      <c r="O460" s="48"/>
      <c r="P460" s="48"/>
      <c r="Q460" s="48"/>
      <c r="R460" s="48"/>
      <c r="S460" s="48"/>
      <c r="T460" s="48"/>
      <c r="U460" s="48"/>
      <c r="V460" s="48"/>
      <c r="W460" s="48"/>
      <c r="X460" s="48"/>
      <c r="Y460" s="48"/>
      <c r="Z460" s="48"/>
      <c r="AA460" s="48"/>
      <c r="AB460" s="48"/>
      <c r="AC460" s="48"/>
      <c r="AD460" s="48"/>
      <c r="AE460" s="48"/>
      <c r="AF460" s="48"/>
      <c r="AG460" s="48"/>
      <c r="AH460" s="48"/>
      <c r="AI460" s="48"/>
      <c r="AJ460" s="48"/>
      <c r="AK460" s="48"/>
      <c r="AL460" s="48"/>
      <c r="AM460" s="48"/>
      <c r="AN460" s="48"/>
      <c r="AO460" s="48"/>
      <c r="AP460" s="48"/>
      <c r="AQ460" s="48"/>
      <c r="AR460" s="48"/>
      <c r="AS460" s="48"/>
      <c r="AT460" s="48"/>
      <c r="AU460" s="48"/>
      <c r="AV460" s="48"/>
      <c r="AW460" s="48"/>
      <c r="AX460" s="48"/>
      <c r="AY460" s="48"/>
    </row>
    <row r="461" spans="1:51">
      <c r="A461" s="48"/>
      <c r="B461" s="48"/>
      <c r="C461" s="48"/>
      <c r="D461" s="48"/>
      <c r="E461" s="48"/>
      <c r="F461" s="48"/>
      <c r="G461" s="48"/>
      <c r="H461" s="48"/>
      <c r="I461" s="48"/>
      <c r="J461" s="48"/>
      <c r="K461" s="48"/>
      <c r="L461" s="48"/>
      <c r="M461" s="48"/>
      <c r="N461" s="48"/>
      <c r="O461" s="48"/>
      <c r="P461" s="48"/>
      <c r="Q461" s="48"/>
      <c r="R461" s="48"/>
      <c r="S461" s="48"/>
      <c r="T461" s="48"/>
      <c r="U461" s="48"/>
      <c r="V461" s="48"/>
      <c r="W461" s="48"/>
      <c r="X461" s="48"/>
      <c r="Y461" s="48"/>
      <c r="Z461" s="48"/>
      <c r="AA461" s="48"/>
      <c r="AB461" s="48"/>
      <c r="AC461" s="48"/>
      <c r="AD461" s="48"/>
      <c r="AE461" s="48"/>
      <c r="AF461" s="48"/>
      <c r="AG461" s="48"/>
      <c r="AH461" s="48"/>
      <c r="AI461" s="48"/>
      <c r="AJ461" s="48"/>
      <c r="AK461" s="48"/>
      <c r="AL461" s="48"/>
      <c r="AM461" s="48"/>
      <c r="AN461" s="48"/>
      <c r="AO461" s="48"/>
      <c r="AP461" s="48"/>
      <c r="AQ461" s="48"/>
      <c r="AR461" s="48"/>
      <c r="AS461" s="48"/>
      <c r="AT461" s="48"/>
      <c r="AU461" s="48"/>
      <c r="AV461" s="48"/>
      <c r="AW461" s="48"/>
      <c r="AX461" s="48"/>
      <c r="AY461" s="48"/>
    </row>
    <row r="462" spans="1:51">
      <c r="A462" s="48"/>
      <c r="B462" s="48"/>
      <c r="C462" s="48"/>
      <c r="D462" s="48"/>
      <c r="E462" s="48"/>
      <c r="F462" s="48"/>
      <c r="G462" s="48"/>
      <c r="H462" s="48"/>
      <c r="I462" s="48"/>
      <c r="J462" s="48"/>
      <c r="K462" s="48"/>
      <c r="L462" s="48"/>
      <c r="M462" s="48"/>
      <c r="N462" s="48"/>
      <c r="O462" s="48"/>
      <c r="P462" s="48"/>
      <c r="Q462" s="48"/>
      <c r="R462" s="48"/>
      <c r="S462" s="48"/>
      <c r="T462" s="48"/>
      <c r="U462" s="48"/>
      <c r="V462" s="48"/>
      <c r="W462" s="48"/>
      <c r="X462" s="48"/>
      <c r="Y462" s="48"/>
      <c r="Z462" s="48"/>
      <c r="AA462" s="48"/>
      <c r="AB462" s="48"/>
      <c r="AC462" s="48"/>
      <c r="AD462" s="48"/>
      <c r="AE462" s="48"/>
      <c r="AF462" s="48"/>
      <c r="AG462" s="48"/>
      <c r="AH462" s="48"/>
      <c r="AI462" s="48"/>
      <c r="AJ462" s="48"/>
      <c r="AK462" s="48"/>
      <c r="AL462" s="48"/>
      <c r="AM462" s="48"/>
      <c r="AN462" s="48"/>
      <c r="AO462" s="48"/>
      <c r="AP462" s="48"/>
      <c r="AQ462" s="48"/>
      <c r="AR462" s="48"/>
      <c r="AS462" s="48"/>
      <c r="AT462" s="48"/>
      <c r="AU462" s="48"/>
      <c r="AV462" s="48"/>
      <c r="AW462" s="48"/>
      <c r="AX462" s="48"/>
      <c r="AY462" s="48"/>
    </row>
    <row r="463" spans="1:51">
      <c r="A463" s="48"/>
      <c r="B463" s="48"/>
      <c r="C463" s="48"/>
      <c r="D463" s="48"/>
      <c r="E463" s="48"/>
      <c r="F463" s="48"/>
      <c r="G463" s="48"/>
      <c r="H463" s="48"/>
      <c r="I463" s="48"/>
      <c r="J463" s="48"/>
      <c r="K463" s="48"/>
      <c r="L463" s="48"/>
      <c r="M463" s="48"/>
      <c r="N463" s="48"/>
      <c r="O463" s="48"/>
      <c r="P463" s="48"/>
      <c r="Q463" s="48"/>
      <c r="R463" s="48"/>
      <c r="S463" s="48"/>
      <c r="T463" s="48"/>
      <c r="U463" s="48"/>
      <c r="V463" s="48"/>
      <c r="W463" s="48"/>
      <c r="X463" s="48"/>
      <c r="Y463" s="48"/>
      <c r="Z463" s="48"/>
      <c r="AA463" s="48"/>
      <c r="AB463" s="48"/>
      <c r="AC463" s="48"/>
      <c r="AD463" s="48"/>
      <c r="AE463" s="48"/>
      <c r="AF463" s="48"/>
      <c r="AG463" s="48"/>
      <c r="AH463" s="48"/>
      <c r="AI463" s="48"/>
      <c r="AJ463" s="48"/>
      <c r="AK463" s="48"/>
      <c r="AL463" s="48"/>
      <c r="AM463" s="48"/>
      <c r="AN463" s="48"/>
      <c r="AO463" s="48"/>
      <c r="AP463" s="48"/>
      <c r="AQ463" s="48"/>
      <c r="AR463" s="48"/>
      <c r="AS463" s="48"/>
      <c r="AT463" s="48"/>
      <c r="AU463" s="48"/>
      <c r="AV463" s="48"/>
      <c r="AW463" s="48"/>
      <c r="AX463" s="48"/>
      <c r="AY463" s="48"/>
    </row>
    <row r="464" spans="1:51">
      <c r="A464" s="48"/>
      <c r="B464" s="48"/>
      <c r="C464" s="48"/>
      <c r="D464" s="48"/>
      <c r="E464" s="48"/>
      <c r="F464" s="48"/>
      <c r="G464" s="48"/>
      <c r="H464" s="48"/>
      <c r="I464" s="48"/>
      <c r="J464" s="48"/>
      <c r="K464" s="48"/>
      <c r="L464" s="48"/>
      <c r="M464" s="48"/>
      <c r="N464" s="48"/>
      <c r="O464" s="48"/>
      <c r="P464" s="48"/>
      <c r="Q464" s="48"/>
      <c r="R464" s="48"/>
      <c r="S464" s="48"/>
      <c r="T464" s="48"/>
      <c r="U464" s="48"/>
      <c r="V464" s="48"/>
      <c r="W464" s="48"/>
      <c r="X464" s="48"/>
      <c r="Y464" s="48"/>
      <c r="Z464" s="48"/>
      <c r="AA464" s="48"/>
      <c r="AB464" s="48"/>
      <c r="AC464" s="48"/>
      <c r="AD464" s="48"/>
      <c r="AE464" s="48"/>
      <c r="AF464" s="48"/>
      <c r="AG464" s="48"/>
      <c r="AH464" s="48"/>
      <c r="AI464" s="48"/>
      <c r="AJ464" s="48"/>
      <c r="AK464" s="48"/>
      <c r="AL464" s="48"/>
      <c r="AM464" s="48"/>
      <c r="AN464" s="48"/>
      <c r="AO464" s="48"/>
      <c r="AP464" s="48"/>
      <c r="AQ464" s="48"/>
      <c r="AR464" s="48"/>
      <c r="AS464" s="48"/>
      <c r="AT464" s="48"/>
      <c r="AU464" s="48"/>
      <c r="AV464" s="48"/>
      <c r="AW464" s="48"/>
      <c r="AX464" s="48"/>
      <c r="AY464" s="48"/>
    </row>
    <row r="465" spans="1:51">
      <c r="A465" s="48"/>
      <c r="B465" s="48"/>
      <c r="C465" s="48"/>
      <c r="D465" s="48"/>
      <c r="E465" s="48"/>
      <c r="F465" s="48"/>
      <c r="G465" s="48"/>
      <c r="H465" s="48"/>
      <c r="I465" s="48"/>
      <c r="J465" s="48"/>
      <c r="K465" s="48"/>
      <c r="L465" s="48"/>
      <c r="M465" s="48"/>
      <c r="N465" s="48"/>
      <c r="O465" s="48"/>
      <c r="P465" s="48"/>
      <c r="Q465" s="48"/>
      <c r="R465" s="48"/>
      <c r="S465" s="48"/>
      <c r="T465" s="48"/>
      <c r="U465" s="48"/>
      <c r="V465" s="48"/>
      <c r="W465" s="48"/>
      <c r="X465" s="48"/>
      <c r="Y465" s="48"/>
      <c r="Z465" s="48"/>
      <c r="AA465" s="48"/>
      <c r="AB465" s="48"/>
      <c r="AC465" s="48"/>
      <c r="AD465" s="48"/>
      <c r="AE465" s="48"/>
      <c r="AF465" s="48"/>
      <c r="AG465" s="48"/>
      <c r="AH465" s="48"/>
      <c r="AI465" s="48"/>
      <c r="AJ465" s="48"/>
      <c r="AK465" s="48"/>
      <c r="AL465" s="48"/>
      <c r="AM465" s="48"/>
      <c r="AN465" s="48"/>
      <c r="AO465" s="48"/>
      <c r="AP465" s="48"/>
      <c r="AQ465" s="48"/>
      <c r="AR465" s="48"/>
      <c r="AS465" s="48"/>
      <c r="AT465" s="48"/>
      <c r="AU465" s="48"/>
      <c r="AV465" s="48"/>
      <c r="AW465" s="48"/>
      <c r="AX465" s="48"/>
      <c r="AY465" s="48"/>
    </row>
    <row r="466" spans="1:51">
      <c r="A466" s="48"/>
      <c r="B466" s="48"/>
      <c r="C466" s="48"/>
      <c r="D466" s="48"/>
      <c r="E466" s="48"/>
      <c r="F466" s="48"/>
      <c r="G466" s="48"/>
      <c r="H466" s="48"/>
      <c r="I466" s="48"/>
      <c r="J466" s="48"/>
      <c r="K466" s="48"/>
      <c r="L466" s="48"/>
      <c r="M466" s="48"/>
      <c r="N466" s="48"/>
      <c r="O466" s="48"/>
      <c r="P466" s="48"/>
      <c r="Q466" s="48"/>
      <c r="R466" s="48"/>
      <c r="S466" s="48"/>
      <c r="T466" s="48"/>
      <c r="U466" s="48"/>
      <c r="V466" s="48"/>
      <c r="W466" s="48"/>
      <c r="X466" s="48"/>
      <c r="Y466" s="48"/>
      <c r="Z466" s="48"/>
      <c r="AA466" s="48"/>
      <c r="AB466" s="48"/>
      <c r="AC466" s="48"/>
      <c r="AD466" s="48"/>
      <c r="AE466" s="48"/>
      <c r="AF466" s="48"/>
      <c r="AG466" s="48"/>
      <c r="AH466" s="48"/>
      <c r="AI466" s="48"/>
      <c r="AJ466" s="48"/>
      <c r="AK466" s="48"/>
      <c r="AL466" s="48"/>
      <c r="AM466" s="48"/>
      <c r="AN466" s="48"/>
      <c r="AO466" s="48"/>
      <c r="AP466" s="48"/>
      <c r="AQ466" s="48"/>
      <c r="AR466" s="48"/>
      <c r="AS466" s="48"/>
      <c r="AT466" s="48"/>
      <c r="AU466" s="48"/>
      <c r="AV466" s="48"/>
      <c r="AW466" s="48"/>
      <c r="AX466" s="48"/>
      <c r="AY466" s="48"/>
    </row>
    <row r="467" spans="1:51">
      <c r="A467" s="48"/>
      <c r="B467" s="48"/>
      <c r="C467" s="48"/>
      <c r="D467" s="48"/>
      <c r="E467" s="48"/>
      <c r="F467" s="48"/>
      <c r="G467" s="48"/>
      <c r="H467" s="48"/>
      <c r="I467" s="48"/>
      <c r="J467" s="48"/>
      <c r="K467" s="48"/>
      <c r="L467" s="48"/>
      <c r="M467" s="48"/>
      <c r="N467" s="48"/>
      <c r="O467" s="48"/>
      <c r="P467" s="48"/>
      <c r="Q467" s="48"/>
      <c r="R467" s="48"/>
      <c r="S467" s="48"/>
      <c r="T467" s="48"/>
      <c r="U467" s="48"/>
      <c r="V467" s="48"/>
      <c r="W467" s="48"/>
      <c r="X467" s="48"/>
      <c r="Y467" s="48"/>
      <c r="Z467" s="48"/>
      <c r="AA467" s="48"/>
      <c r="AB467" s="48"/>
      <c r="AC467" s="48"/>
      <c r="AD467" s="48"/>
      <c r="AE467" s="48"/>
      <c r="AF467" s="48"/>
      <c r="AG467" s="48"/>
      <c r="AH467" s="48"/>
      <c r="AI467" s="48"/>
      <c r="AJ467" s="48"/>
      <c r="AK467" s="48"/>
      <c r="AL467" s="48"/>
      <c r="AM467" s="48"/>
      <c r="AN467" s="48"/>
      <c r="AO467" s="48"/>
      <c r="AP467" s="48"/>
      <c r="AQ467" s="48"/>
      <c r="AR467" s="48"/>
      <c r="AS467" s="48"/>
      <c r="AT467" s="48"/>
      <c r="AU467" s="48"/>
      <c r="AV467" s="48"/>
      <c r="AW467" s="48"/>
      <c r="AX467" s="48"/>
      <c r="AY467" s="48"/>
    </row>
    <row r="468" spans="1:51">
      <c r="A468" s="48"/>
      <c r="B468" s="48"/>
      <c r="C468" s="48"/>
      <c r="D468" s="48"/>
      <c r="E468" s="48"/>
      <c r="F468" s="48"/>
      <c r="G468" s="48"/>
      <c r="H468" s="48"/>
      <c r="I468" s="48"/>
      <c r="J468" s="48"/>
      <c r="K468" s="48"/>
      <c r="L468" s="48"/>
      <c r="M468" s="48"/>
      <c r="N468" s="48"/>
      <c r="O468" s="48"/>
      <c r="P468" s="48"/>
      <c r="Q468" s="48"/>
      <c r="R468" s="48"/>
      <c r="S468" s="48"/>
      <c r="T468" s="48"/>
      <c r="U468" s="48"/>
      <c r="V468" s="48"/>
      <c r="W468" s="48"/>
      <c r="X468" s="48"/>
      <c r="Y468" s="48"/>
      <c r="Z468" s="48"/>
      <c r="AA468" s="48"/>
      <c r="AB468" s="48"/>
      <c r="AC468" s="48"/>
      <c r="AD468" s="48"/>
      <c r="AE468" s="48"/>
      <c r="AF468" s="48"/>
      <c r="AG468" s="48"/>
      <c r="AH468" s="48"/>
      <c r="AI468" s="48"/>
      <c r="AJ468" s="48"/>
      <c r="AK468" s="48"/>
      <c r="AL468" s="48"/>
      <c r="AM468" s="48"/>
      <c r="AN468" s="48"/>
      <c r="AO468" s="48"/>
      <c r="AP468" s="48"/>
      <c r="AQ468" s="48"/>
      <c r="AR468" s="48"/>
      <c r="AS468" s="48"/>
      <c r="AT468" s="48"/>
      <c r="AU468" s="48"/>
      <c r="AV468" s="48"/>
      <c r="AW468" s="48"/>
      <c r="AX468" s="48"/>
      <c r="AY468" s="48"/>
    </row>
    <row r="469" spans="1:51">
      <c r="A469" s="48"/>
      <c r="B469" s="48"/>
      <c r="C469" s="48"/>
      <c r="D469" s="48"/>
      <c r="E469" s="48"/>
      <c r="F469" s="48"/>
      <c r="G469" s="48"/>
      <c r="H469" s="48"/>
      <c r="I469" s="48"/>
      <c r="J469" s="48"/>
      <c r="K469" s="48"/>
      <c r="L469" s="48"/>
      <c r="M469" s="48"/>
      <c r="N469" s="48"/>
      <c r="O469" s="48"/>
      <c r="P469" s="48"/>
      <c r="Q469" s="48"/>
      <c r="R469" s="48"/>
      <c r="S469" s="48"/>
      <c r="T469" s="48"/>
      <c r="U469" s="48"/>
      <c r="V469" s="48"/>
      <c r="W469" s="48"/>
      <c r="X469" s="48"/>
      <c r="Y469" s="48"/>
      <c r="Z469" s="48"/>
      <c r="AA469" s="48"/>
      <c r="AB469" s="48"/>
      <c r="AC469" s="48"/>
      <c r="AD469" s="48"/>
      <c r="AE469" s="48"/>
      <c r="AF469" s="48"/>
      <c r="AG469" s="48"/>
      <c r="AH469" s="48"/>
      <c r="AI469" s="48"/>
      <c r="AJ469" s="48"/>
      <c r="AK469" s="48"/>
      <c r="AL469" s="48"/>
      <c r="AM469" s="48"/>
      <c r="AN469" s="48"/>
      <c r="AO469" s="48"/>
      <c r="AP469" s="48"/>
      <c r="AQ469" s="48"/>
      <c r="AR469" s="48"/>
      <c r="AS469" s="48"/>
      <c r="AT469" s="48"/>
      <c r="AU469" s="48"/>
      <c r="AV469" s="48"/>
      <c r="AW469" s="48"/>
      <c r="AX469" s="48"/>
      <c r="AY469" s="48"/>
    </row>
    <row r="470" spans="1:51">
      <c r="A470" s="48"/>
      <c r="B470" s="48"/>
      <c r="C470" s="48"/>
      <c r="D470" s="48"/>
      <c r="E470" s="48"/>
      <c r="F470" s="48"/>
      <c r="G470" s="48"/>
      <c r="H470" s="48"/>
      <c r="I470" s="48"/>
      <c r="J470" s="48"/>
      <c r="K470" s="48"/>
      <c r="L470" s="48"/>
      <c r="M470" s="48"/>
      <c r="N470" s="48"/>
      <c r="O470" s="48"/>
      <c r="P470" s="48"/>
      <c r="Q470" s="48"/>
      <c r="R470" s="48"/>
      <c r="S470" s="48"/>
      <c r="T470" s="48"/>
      <c r="U470" s="48"/>
      <c r="V470" s="48"/>
      <c r="W470" s="48"/>
      <c r="X470" s="48"/>
      <c r="Y470" s="48"/>
      <c r="Z470" s="48"/>
      <c r="AA470" s="48"/>
      <c r="AB470" s="48"/>
      <c r="AC470" s="48"/>
      <c r="AD470" s="48"/>
      <c r="AE470" s="48"/>
      <c r="AF470" s="48"/>
      <c r="AG470" s="48"/>
      <c r="AH470" s="48"/>
      <c r="AI470" s="48"/>
      <c r="AJ470" s="48"/>
      <c r="AK470" s="48"/>
      <c r="AL470" s="48"/>
      <c r="AM470" s="48"/>
      <c r="AN470" s="48"/>
      <c r="AO470" s="48"/>
      <c r="AP470" s="48"/>
      <c r="AQ470" s="48"/>
      <c r="AR470" s="48"/>
      <c r="AS470" s="48"/>
      <c r="AT470" s="48"/>
      <c r="AU470" s="48"/>
      <c r="AV470" s="48"/>
      <c r="AW470" s="48"/>
      <c r="AX470" s="48"/>
      <c r="AY470" s="48"/>
    </row>
    <row r="471" spans="1:51">
      <c r="A471" s="48"/>
      <c r="B471" s="48"/>
      <c r="C471" s="48"/>
      <c r="D471" s="48"/>
      <c r="E471" s="48"/>
      <c r="F471" s="48"/>
      <c r="G471" s="48"/>
      <c r="H471" s="48"/>
      <c r="I471" s="48"/>
      <c r="J471" s="48"/>
      <c r="K471" s="48"/>
      <c r="L471" s="48"/>
      <c r="M471" s="48"/>
      <c r="N471" s="48"/>
      <c r="O471" s="48"/>
      <c r="P471" s="48"/>
      <c r="Q471" s="48"/>
      <c r="R471" s="48"/>
      <c r="S471" s="48"/>
      <c r="T471" s="48"/>
      <c r="U471" s="48"/>
      <c r="V471" s="48"/>
      <c r="W471" s="48"/>
      <c r="X471" s="48"/>
      <c r="Y471" s="48"/>
      <c r="Z471" s="48"/>
      <c r="AA471" s="48"/>
      <c r="AB471" s="48"/>
      <c r="AC471" s="48"/>
      <c r="AD471" s="48"/>
      <c r="AE471" s="48"/>
      <c r="AF471" s="48"/>
      <c r="AG471" s="48"/>
      <c r="AH471" s="48"/>
      <c r="AI471" s="48"/>
      <c r="AJ471" s="48"/>
      <c r="AK471" s="48"/>
      <c r="AL471" s="48"/>
      <c r="AM471" s="48"/>
      <c r="AN471" s="48"/>
      <c r="AO471" s="48"/>
      <c r="AP471" s="48"/>
      <c r="AQ471" s="48"/>
      <c r="AR471" s="48"/>
      <c r="AS471" s="48"/>
      <c r="AT471" s="48"/>
      <c r="AU471" s="48"/>
      <c r="AV471" s="48"/>
      <c r="AW471" s="48"/>
      <c r="AX471" s="48"/>
      <c r="AY471" s="48"/>
    </row>
    <row r="472" spans="1:51">
      <c r="A472" s="48"/>
      <c r="B472" s="48"/>
      <c r="C472" s="48"/>
      <c r="D472" s="48"/>
      <c r="E472" s="48"/>
      <c r="F472" s="48"/>
      <c r="G472" s="48"/>
      <c r="H472" s="48"/>
      <c r="I472" s="48"/>
      <c r="J472" s="48"/>
      <c r="K472" s="48"/>
      <c r="L472" s="48"/>
      <c r="M472" s="48"/>
      <c r="N472" s="48"/>
      <c r="O472" s="48"/>
      <c r="P472" s="48"/>
      <c r="Q472" s="48"/>
      <c r="R472" s="48"/>
      <c r="S472" s="48"/>
      <c r="T472" s="48"/>
      <c r="U472" s="48"/>
      <c r="V472" s="48"/>
      <c r="W472" s="48"/>
      <c r="X472" s="48"/>
      <c r="Y472" s="48"/>
      <c r="Z472" s="48"/>
      <c r="AA472" s="48"/>
      <c r="AB472" s="48"/>
      <c r="AC472" s="48"/>
      <c r="AD472" s="48"/>
      <c r="AE472" s="48"/>
      <c r="AF472" s="48"/>
      <c r="AG472" s="48"/>
      <c r="AH472" s="48"/>
      <c r="AI472" s="48"/>
      <c r="AJ472" s="48"/>
      <c r="AK472" s="48"/>
      <c r="AL472" s="48"/>
      <c r="AM472" s="48"/>
      <c r="AN472" s="48"/>
      <c r="AO472" s="48"/>
      <c r="AP472" s="48"/>
      <c r="AQ472" s="48"/>
      <c r="AR472" s="48"/>
      <c r="AS472" s="48"/>
      <c r="AT472" s="48"/>
      <c r="AU472" s="48"/>
      <c r="AV472" s="48"/>
      <c r="AW472" s="48"/>
      <c r="AX472" s="48"/>
      <c r="AY472" s="48"/>
    </row>
    <row r="473" spans="1:51">
      <c r="A473" s="48"/>
      <c r="B473" s="48"/>
      <c r="C473" s="48"/>
      <c r="D473" s="48"/>
      <c r="E473" s="48"/>
      <c r="F473" s="48"/>
      <c r="G473" s="48"/>
      <c r="H473" s="48"/>
      <c r="I473" s="48"/>
      <c r="J473" s="48"/>
      <c r="K473" s="48"/>
      <c r="L473" s="48"/>
      <c r="M473" s="48"/>
      <c r="N473" s="48"/>
      <c r="O473" s="48"/>
      <c r="P473" s="48"/>
      <c r="Q473" s="48"/>
      <c r="R473" s="48"/>
      <c r="S473" s="48"/>
      <c r="T473" s="48"/>
      <c r="U473" s="48"/>
      <c r="V473" s="48"/>
      <c r="W473" s="48"/>
      <c r="X473" s="48"/>
      <c r="Y473" s="48"/>
      <c r="Z473" s="48"/>
      <c r="AA473" s="48"/>
      <c r="AB473" s="48"/>
      <c r="AC473" s="48"/>
      <c r="AD473" s="48"/>
      <c r="AE473" s="48"/>
      <c r="AF473" s="48"/>
      <c r="AG473" s="48"/>
      <c r="AH473" s="48"/>
      <c r="AI473" s="48"/>
      <c r="AJ473" s="48"/>
      <c r="AK473" s="48"/>
      <c r="AL473" s="48"/>
      <c r="AM473" s="48"/>
      <c r="AN473" s="48"/>
      <c r="AO473" s="48"/>
      <c r="AP473" s="48"/>
      <c r="AQ473" s="48"/>
      <c r="AR473" s="48"/>
      <c r="AS473" s="48"/>
      <c r="AT473" s="48"/>
      <c r="AU473" s="48"/>
      <c r="AV473" s="48"/>
      <c r="AW473" s="48"/>
      <c r="AX473" s="48"/>
      <c r="AY473" s="48"/>
    </row>
    <row r="474" spans="1:51">
      <c r="A474" s="48"/>
      <c r="B474" s="48"/>
      <c r="C474" s="48"/>
      <c r="D474" s="48"/>
      <c r="E474" s="48"/>
      <c r="F474" s="48"/>
      <c r="G474" s="48"/>
      <c r="H474" s="48"/>
      <c r="I474" s="48"/>
      <c r="J474" s="48"/>
      <c r="K474" s="48"/>
      <c r="L474" s="48"/>
      <c r="M474" s="48"/>
      <c r="N474" s="48"/>
      <c r="O474" s="48"/>
      <c r="P474" s="48"/>
      <c r="Q474" s="48"/>
      <c r="R474" s="48"/>
      <c r="S474" s="48"/>
      <c r="T474" s="48"/>
      <c r="U474" s="48"/>
      <c r="V474" s="48"/>
      <c r="W474" s="48"/>
      <c r="X474" s="48"/>
      <c r="Y474" s="48"/>
      <c r="Z474" s="48"/>
      <c r="AA474" s="48"/>
      <c r="AB474" s="48"/>
      <c r="AC474" s="48"/>
      <c r="AD474" s="48"/>
      <c r="AE474" s="48"/>
      <c r="AF474" s="48"/>
      <c r="AG474" s="48"/>
      <c r="AH474" s="48"/>
      <c r="AI474" s="48"/>
      <c r="AJ474" s="48"/>
      <c r="AK474" s="48"/>
      <c r="AL474" s="48"/>
      <c r="AM474" s="48"/>
      <c r="AN474" s="48"/>
      <c r="AO474" s="48"/>
      <c r="AP474" s="48"/>
      <c r="AQ474" s="48"/>
      <c r="AR474" s="48"/>
      <c r="AS474" s="48"/>
      <c r="AT474" s="48"/>
      <c r="AU474" s="48"/>
      <c r="AV474" s="48"/>
      <c r="AW474" s="48"/>
      <c r="AX474" s="48"/>
      <c r="AY474" s="48"/>
    </row>
    <row r="475" spans="1:51">
      <c r="A475" s="48"/>
      <c r="B475" s="48"/>
      <c r="C475" s="48"/>
      <c r="D475" s="48"/>
      <c r="E475" s="48"/>
      <c r="F475" s="48"/>
      <c r="G475" s="48"/>
      <c r="H475" s="48"/>
      <c r="I475" s="48"/>
      <c r="J475" s="48"/>
      <c r="K475" s="48"/>
      <c r="L475" s="48"/>
      <c r="M475" s="48"/>
      <c r="N475" s="48"/>
      <c r="O475" s="48"/>
      <c r="P475" s="48"/>
      <c r="Q475" s="48"/>
      <c r="R475" s="48"/>
      <c r="S475" s="48"/>
      <c r="T475" s="48"/>
      <c r="U475" s="48"/>
      <c r="V475" s="48"/>
      <c r="W475" s="48"/>
      <c r="X475" s="48"/>
      <c r="Y475" s="48"/>
      <c r="Z475" s="48"/>
      <c r="AA475" s="48"/>
      <c r="AB475" s="48"/>
      <c r="AC475" s="48"/>
      <c r="AD475" s="48"/>
      <c r="AE475" s="48"/>
      <c r="AF475" s="48"/>
      <c r="AG475" s="48"/>
      <c r="AH475" s="48"/>
      <c r="AI475" s="48"/>
      <c r="AJ475" s="48"/>
      <c r="AK475" s="48"/>
      <c r="AL475" s="48"/>
      <c r="AM475" s="48"/>
      <c r="AN475" s="48"/>
      <c r="AO475" s="48"/>
      <c r="AP475" s="48"/>
      <c r="AQ475" s="48"/>
      <c r="AR475" s="48"/>
      <c r="AS475" s="48"/>
      <c r="AT475" s="48"/>
      <c r="AU475" s="48"/>
      <c r="AV475" s="48"/>
      <c r="AW475" s="48"/>
      <c r="AX475" s="48"/>
      <c r="AY475" s="48"/>
    </row>
    <row r="476" spans="1:51">
      <c r="A476" s="48"/>
      <c r="B476" s="48"/>
      <c r="C476" s="48"/>
      <c r="D476" s="48"/>
      <c r="E476" s="48"/>
      <c r="F476" s="48"/>
      <c r="G476" s="48"/>
      <c r="H476" s="48"/>
      <c r="I476" s="48"/>
      <c r="J476" s="48"/>
      <c r="K476" s="48"/>
      <c r="L476" s="48"/>
      <c r="M476" s="48"/>
      <c r="N476" s="48"/>
      <c r="O476" s="48"/>
      <c r="P476" s="48"/>
      <c r="Q476" s="48"/>
      <c r="R476" s="48"/>
      <c r="S476" s="48"/>
      <c r="T476" s="48"/>
      <c r="U476" s="48"/>
      <c r="V476" s="48"/>
      <c r="W476" s="48"/>
      <c r="X476" s="48"/>
      <c r="Y476" s="48"/>
      <c r="Z476" s="48"/>
      <c r="AA476" s="48"/>
      <c r="AB476" s="48"/>
      <c r="AC476" s="48"/>
      <c r="AD476" s="48"/>
      <c r="AE476" s="48"/>
      <c r="AF476" s="48"/>
      <c r="AG476" s="48"/>
      <c r="AH476" s="48"/>
      <c r="AI476" s="48"/>
      <c r="AJ476" s="48"/>
      <c r="AK476" s="48"/>
      <c r="AL476" s="48"/>
      <c r="AM476" s="48"/>
      <c r="AN476" s="48"/>
      <c r="AO476" s="48"/>
      <c r="AP476" s="48"/>
      <c r="AQ476" s="48"/>
      <c r="AR476" s="48"/>
      <c r="AS476" s="48"/>
      <c r="AT476" s="48"/>
      <c r="AU476" s="48"/>
      <c r="AV476" s="48"/>
      <c r="AW476" s="48"/>
      <c r="AX476" s="48"/>
      <c r="AY476" s="48"/>
    </row>
    <row r="477" spans="1:51">
      <c r="A477" s="48"/>
      <c r="B477" s="48"/>
      <c r="C477" s="48"/>
      <c r="D477" s="48"/>
      <c r="E477" s="48"/>
      <c r="F477" s="48"/>
      <c r="G477" s="48"/>
      <c r="H477" s="48"/>
      <c r="I477" s="48"/>
      <c r="J477" s="48"/>
      <c r="K477" s="48"/>
      <c r="L477" s="48"/>
      <c r="M477" s="48"/>
      <c r="N477" s="48"/>
      <c r="O477" s="48"/>
      <c r="P477" s="48"/>
      <c r="Q477" s="48"/>
      <c r="R477" s="48"/>
      <c r="S477" s="48"/>
      <c r="T477" s="48"/>
      <c r="U477" s="48"/>
      <c r="V477" s="48"/>
      <c r="W477" s="48"/>
      <c r="X477" s="48"/>
      <c r="Y477" s="48"/>
      <c r="Z477" s="48"/>
      <c r="AA477" s="48"/>
      <c r="AB477" s="48"/>
      <c r="AC477" s="48"/>
      <c r="AD477" s="48"/>
      <c r="AE477" s="48"/>
      <c r="AF477" s="48"/>
      <c r="AG477" s="48"/>
      <c r="AH477" s="48"/>
      <c r="AI477" s="48"/>
      <c r="AJ477" s="48"/>
      <c r="AK477" s="48"/>
      <c r="AL477" s="48"/>
      <c r="AM477" s="48"/>
      <c r="AN477" s="48"/>
      <c r="AO477" s="48"/>
      <c r="AP477" s="48"/>
      <c r="AQ477" s="48"/>
      <c r="AR477" s="48"/>
      <c r="AS477" s="48"/>
      <c r="AT477" s="48"/>
      <c r="AU477" s="48"/>
      <c r="AV477" s="48"/>
      <c r="AW477" s="48"/>
      <c r="AX477" s="48"/>
      <c r="AY477" s="48"/>
    </row>
    <row r="478" spans="1:51">
      <c r="A478" s="48"/>
      <c r="B478" s="48"/>
      <c r="C478" s="48"/>
      <c r="D478" s="48"/>
      <c r="E478" s="48"/>
      <c r="F478" s="48"/>
      <c r="G478" s="48"/>
      <c r="H478" s="48"/>
      <c r="I478" s="48"/>
      <c r="J478" s="48"/>
      <c r="K478" s="48"/>
      <c r="L478" s="48"/>
      <c r="M478" s="48"/>
      <c r="N478" s="48"/>
      <c r="O478" s="48"/>
      <c r="P478" s="48"/>
      <c r="Q478" s="48"/>
      <c r="R478" s="48"/>
      <c r="S478" s="48"/>
      <c r="T478" s="48"/>
      <c r="U478" s="48"/>
      <c r="V478" s="48"/>
      <c r="W478" s="48"/>
      <c r="X478" s="48"/>
      <c r="Y478" s="48"/>
      <c r="Z478" s="48"/>
      <c r="AA478" s="48"/>
      <c r="AB478" s="48"/>
      <c r="AC478" s="48"/>
      <c r="AD478" s="48"/>
      <c r="AE478" s="48"/>
      <c r="AF478" s="48"/>
      <c r="AG478" s="48"/>
      <c r="AH478" s="48"/>
      <c r="AI478" s="48"/>
      <c r="AJ478" s="48"/>
      <c r="AK478" s="48"/>
      <c r="AL478" s="48"/>
      <c r="AM478" s="48"/>
      <c r="AN478" s="48"/>
      <c r="AO478" s="48"/>
      <c r="AP478" s="48"/>
      <c r="AQ478" s="48"/>
      <c r="AR478" s="48"/>
      <c r="AS478" s="48"/>
      <c r="AT478" s="48"/>
      <c r="AU478" s="48"/>
      <c r="AV478" s="48"/>
      <c r="AW478" s="48"/>
      <c r="AX478" s="48"/>
      <c r="AY478" s="48"/>
    </row>
    <row r="479" spans="1:51">
      <c r="A479" s="48"/>
      <c r="B479" s="48"/>
      <c r="C479" s="48"/>
      <c r="D479" s="48"/>
      <c r="E479" s="48"/>
      <c r="F479" s="48"/>
      <c r="G479" s="48"/>
      <c r="H479" s="48"/>
      <c r="I479" s="48"/>
      <c r="J479" s="48"/>
      <c r="K479" s="48"/>
      <c r="L479" s="48"/>
      <c r="M479" s="48"/>
      <c r="N479" s="48"/>
      <c r="O479" s="48"/>
      <c r="P479" s="48"/>
      <c r="Q479" s="48"/>
      <c r="R479" s="48"/>
      <c r="S479" s="48"/>
      <c r="T479" s="48"/>
      <c r="U479" s="48"/>
      <c r="V479" s="48"/>
      <c r="W479" s="48"/>
      <c r="X479" s="48"/>
      <c r="Y479" s="48"/>
      <c r="Z479" s="48"/>
      <c r="AA479" s="48"/>
      <c r="AB479" s="48"/>
      <c r="AC479" s="48"/>
      <c r="AD479" s="48"/>
      <c r="AE479" s="48"/>
      <c r="AF479" s="48"/>
      <c r="AG479" s="48"/>
      <c r="AH479" s="48"/>
      <c r="AI479" s="48"/>
      <c r="AJ479" s="48"/>
      <c r="AK479" s="48"/>
      <c r="AL479" s="48"/>
      <c r="AM479" s="48"/>
      <c r="AN479" s="48"/>
      <c r="AO479" s="48"/>
      <c r="AP479" s="48"/>
      <c r="AQ479" s="48"/>
      <c r="AR479" s="48"/>
      <c r="AS479" s="48"/>
      <c r="AT479" s="48"/>
      <c r="AU479" s="48"/>
      <c r="AV479" s="48"/>
      <c r="AW479" s="48"/>
      <c r="AX479" s="48"/>
      <c r="AY479" s="48"/>
    </row>
    <row r="480" spans="1:51">
      <c r="A480" s="48"/>
      <c r="B480" s="48"/>
      <c r="C480" s="48"/>
      <c r="D480" s="48"/>
      <c r="E480" s="48"/>
      <c r="F480" s="48"/>
      <c r="G480" s="48"/>
      <c r="H480" s="48"/>
      <c r="I480" s="48"/>
      <c r="J480" s="48"/>
      <c r="K480" s="48"/>
      <c r="L480" s="48"/>
      <c r="M480" s="48"/>
      <c r="N480" s="48"/>
      <c r="O480" s="48"/>
      <c r="P480" s="48"/>
      <c r="Q480" s="48"/>
      <c r="R480" s="48"/>
      <c r="S480" s="48"/>
      <c r="T480" s="48"/>
      <c r="U480" s="48"/>
      <c r="V480" s="48"/>
      <c r="W480" s="48"/>
      <c r="X480" s="48"/>
      <c r="Y480" s="48"/>
      <c r="Z480" s="48"/>
      <c r="AA480" s="48"/>
      <c r="AB480" s="48"/>
      <c r="AC480" s="48"/>
      <c r="AD480" s="48"/>
      <c r="AE480" s="48"/>
      <c r="AF480" s="48"/>
      <c r="AG480" s="48"/>
      <c r="AH480" s="48"/>
      <c r="AI480" s="48"/>
      <c r="AJ480" s="48"/>
      <c r="AK480" s="48"/>
      <c r="AL480" s="48"/>
      <c r="AM480" s="48"/>
      <c r="AN480" s="48"/>
      <c r="AO480" s="48"/>
      <c r="AP480" s="48"/>
      <c r="AQ480" s="48"/>
      <c r="AR480" s="48"/>
      <c r="AS480" s="48"/>
      <c r="AT480" s="48"/>
      <c r="AU480" s="48"/>
      <c r="AV480" s="48"/>
      <c r="AW480" s="48"/>
      <c r="AX480" s="48"/>
      <c r="AY480" s="48"/>
    </row>
    <row r="481" spans="1:51">
      <c r="A481" s="48"/>
      <c r="B481" s="48"/>
      <c r="C481" s="48"/>
      <c r="D481" s="48"/>
      <c r="E481" s="48"/>
      <c r="F481" s="48"/>
      <c r="G481" s="48"/>
      <c r="H481" s="48"/>
      <c r="I481" s="48"/>
      <c r="J481" s="48"/>
      <c r="K481" s="48"/>
      <c r="L481" s="48"/>
      <c r="M481" s="48"/>
      <c r="N481" s="48"/>
      <c r="O481" s="48"/>
      <c r="P481" s="48"/>
      <c r="Q481" s="48"/>
      <c r="R481" s="48"/>
      <c r="S481" s="48"/>
      <c r="T481" s="48"/>
      <c r="U481" s="48"/>
      <c r="V481" s="48"/>
      <c r="W481" s="48"/>
      <c r="X481" s="48"/>
      <c r="Y481" s="48"/>
      <c r="Z481" s="48"/>
      <c r="AA481" s="48"/>
      <c r="AB481" s="48"/>
      <c r="AC481" s="48"/>
      <c r="AD481" s="48"/>
      <c r="AE481" s="48"/>
      <c r="AF481" s="48"/>
      <c r="AG481" s="48"/>
      <c r="AH481" s="48"/>
      <c r="AI481" s="48"/>
      <c r="AJ481" s="48"/>
      <c r="AK481" s="48"/>
      <c r="AL481" s="48"/>
      <c r="AM481" s="48"/>
      <c r="AN481" s="48"/>
      <c r="AO481" s="48"/>
      <c r="AP481" s="48"/>
      <c r="AQ481" s="48"/>
      <c r="AR481" s="48"/>
      <c r="AS481" s="48"/>
      <c r="AT481" s="48"/>
      <c r="AU481" s="48"/>
      <c r="AV481" s="48"/>
      <c r="AW481" s="48"/>
      <c r="AX481" s="48"/>
      <c r="AY481" s="48"/>
    </row>
    <row r="482" spans="1:51">
      <c r="A482" s="48"/>
      <c r="B482" s="48"/>
      <c r="C482" s="48"/>
      <c r="D482" s="48"/>
      <c r="E482" s="48"/>
      <c r="F482" s="48"/>
      <c r="G482" s="48"/>
      <c r="H482" s="48"/>
      <c r="I482" s="48"/>
      <c r="J482" s="48"/>
      <c r="K482" s="48"/>
      <c r="L482" s="48"/>
      <c r="M482" s="48"/>
      <c r="N482" s="48"/>
      <c r="O482" s="48"/>
      <c r="P482" s="48"/>
      <c r="Q482" s="48"/>
      <c r="R482" s="48"/>
      <c r="S482" s="48"/>
      <c r="T482" s="48"/>
      <c r="U482" s="48"/>
      <c r="V482" s="48"/>
      <c r="W482" s="48"/>
      <c r="X482" s="48"/>
      <c r="Y482" s="48"/>
      <c r="Z482" s="48"/>
      <c r="AA482" s="48"/>
      <c r="AB482" s="48"/>
      <c r="AC482" s="48"/>
      <c r="AD482" s="48"/>
      <c r="AE482" s="48"/>
      <c r="AF482" s="48"/>
      <c r="AG482" s="48"/>
      <c r="AH482" s="48"/>
      <c r="AI482" s="48"/>
      <c r="AJ482" s="48"/>
      <c r="AK482" s="48"/>
      <c r="AL482" s="48"/>
      <c r="AM482" s="48"/>
      <c r="AN482" s="48"/>
      <c r="AO482" s="48"/>
      <c r="AP482" s="48"/>
      <c r="AQ482" s="48"/>
      <c r="AR482" s="48"/>
      <c r="AS482" s="48"/>
      <c r="AT482" s="48"/>
      <c r="AU482" s="48"/>
      <c r="AV482" s="48"/>
      <c r="AW482" s="48"/>
      <c r="AX482" s="48"/>
      <c r="AY482" s="48"/>
    </row>
    <row r="483" spans="1:51">
      <c r="A483" s="48"/>
      <c r="B483" s="48"/>
      <c r="C483" s="48"/>
      <c r="D483" s="48"/>
      <c r="E483" s="48"/>
      <c r="F483" s="48"/>
      <c r="G483" s="48"/>
      <c r="H483" s="48"/>
      <c r="I483" s="48"/>
      <c r="J483" s="48"/>
      <c r="K483" s="48"/>
      <c r="L483" s="48"/>
      <c r="M483" s="48"/>
      <c r="N483" s="48"/>
      <c r="O483" s="48"/>
      <c r="P483" s="48"/>
      <c r="Q483" s="48"/>
      <c r="R483" s="48"/>
      <c r="S483" s="48"/>
      <c r="T483" s="48"/>
      <c r="U483" s="48"/>
      <c r="V483" s="48"/>
      <c r="W483" s="48"/>
      <c r="X483" s="48"/>
      <c r="Y483" s="48"/>
      <c r="Z483" s="48"/>
      <c r="AA483" s="48"/>
      <c r="AB483" s="48"/>
      <c r="AC483" s="48"/>
      <c r="AD483" s="48"/>
      <c r="AE483" s="48"/>
      <c r="AF483" s="48"/>
      <c r="AG483" s="48"/>
      <c r="AH483" s="48"/>
      <c r="AI483" s="48"/>
      <c r="AJ483" s="48"/>
      <c r="AK483" s="48"/>
      <c r="AL483" s="48"/>
      <c r="AM483" s="48"/>
      <c r="AN483" s="48"/>
      <c r="AO483" s="48"/>
      <c r="AP483" s="48"/>
      <c r="AQ483" s="48"/>
      <c r="AR483" s="48"/>
      <c r="AS483" s="48"/>
      <c r="AT483" s="48"/>
      <c r="AU483" s="48"/>
      <c r="AV483" s="48"/>
      <c r="AW483" s="48"/>
      <c r="AX483" s="48"/>
      <c r="AY483" s="48"/>
    </row>
    <row r="484" spans="1:51">
      <c r="A484" s="48"/>
      <c r="B484" s="48"/>
      <c r="C484" s="48"/>
      <c r="D484" s="48"/>
      <c r="E484" s="48"/>
      <c r="F484" s="48"/>
      <c r="G484" s="48"/>
      <c r="H484" s="48"/>
      <c r="I484" s="48"/>
      <c r="J484" s="48"/>
      <c r="K484" s="48"/>
      <c r="L484" s="48"/>
      <c r="M484" s="48"/>
      <c r="N484" s="48"/>
      <c r="O484" s="48"/>
      <c r="P484" s="48"/>
      <c r="Q484" s="48"/>
      <c r="R484" s="48"/>
      <c r="S484" s="48"/>
      <c r="T484" s="48"/>
      <c r="U484" s="48"/>
      <c r="V484" s="48"/>
      <c r="W484" s="48"/>
      <c r="X484" s="48"/>
      <c r="Y484" s="48"/>
      <c r="Z484" s="48"/>
      <c r="AA484" s="48"/>
      <c r="AB484" s="48"/>
      <c r="AC484" s="48"/>
      <c r="AD484" s="48"/>
      <c r="AE484" s="48"/>
      <c r="AF484" s="48"/>
      <c r="AG484" s="48"/>
      <c r="AH484" s="48"/>
      <c r="AI484" s="48"/>
      <c r="AJ484" s="48"/>
      <c r="AK484" s="48"/>
      <c r="AL484" s="48"/>
      <c r="AM484" s="48"/>
      <c r="AN484" s="48"/>
      <c r="AO484" s="48"/>
      <c r="AP484" s="48"/>
      <c r="AQ484" s="48"/>
      <c r="AR484" s="48"/>
      <c r="AS484" s="48"/>
      <c r="AT484" s="48"/>
      <c r="AU484" s="48"/>
      <c r="AV484" s="48"/>
      <c r="AW484" s="48"/>
      <c r="AX484" s="48"/>
      <c r="AY484" s="48"/>
    </row>
    <row r="485" spans="1:51">
      <c r="A485" s="48"/>
      <c r="B485" s="48"/>
      <c r="C485" s="48"/>
      <c r="D485" s="48"/>
      <c r="E485" s="48"/>
      <c r="F485" s="48"/>
      <c r="G485" s="48"/>
      <c r="H485" s="48"/>
      <c r="I485" s="48"/>
      <c r="J485" s="48"/>
      <c r="K485" s="48"/>
      <c r="L485" s="48"/>
      <c r="M485" s="48"/>
      <c r="N485" s="48"/>
      <c r="O485" s="48"/>
      <c r="P485" s="48"/>
      <c r="Q485" s="48"/>
      <c r="R485" s="48"/>
      <c r="S485" s="48"/>
      <c r="T485" s="48"/>
      <c r="U485" s="48"/>
      <c r="V485" s="48"/>
      <c r="W485" s="48"/>
      <c r="X485" s="48"/>
      <c r="Y485" s="48"/>
      <c r="Z485" s="48"/>
      <c r="AA485" s="48"/>
      <c r="AB485" s="48"/>
      <c r="AC485" s="48"/>
      <c r="AD485" s="48"/>
      <c r="AE485" s="48"/>
      <c r="AF485" s="48"/>
      <c r="AG485" s="48"/>
      <c r="AH485" s="48"/>
      <c r="AI485" s="48"/>
      <c r="AJ485" s="48"/>
      <c r="AK485" s="48"/>
      <c r="AL485" s="48"/>
      <c r="AM485" s="48"/>
      <c r="AN485" s="48"/>
      <c r="AO485" s="48"/>
      <c r="AP485" s="48"/>
      <c r="AQ485" s="48"/>
      <c r="AR485" s="48"/>
      <c r="AS485" s="48"/>
      <c r="AT485" s="48"/>
      <c r="AU485" s="48"/>
      <c r="AV485" s="48"/>
      <c r="AW485" s="48"/>
      <c r="AX485" s="48"/>
      <c r="AY485" s="48"/>
    </row>
    <row r="486" spans="1:51">
      <c r="A486" s="48"/>
      <c r="B486" s="48"/>
      <c r="C486" s="48"/>
      <c r="D486" s="48"/>
      <c r="E486" s="48"/>
      <c r="F486" s="48"/>
      <c r="G486" s="48"/>
      <c r="H486" s="48"/>
      <c r="I486" s="48"/>
      <c r="J486" s="48"/>
      <c r="K486" s="48"/>
      <c r="L486" s="48"/>
      <c r="M486" s="48"/>
      <c r="N486" s="48"/>
      <c r="O486" s="48"/>
      <c r="P486" s="48"/>
      <c r="Q486" s="48"/>
      <c r="R486" s="48"/>
      <c r="S486" s="48"/>
      <c r="T486" s="48"/>
      <c r="U486" s="48"/>
      <c r="V486" s="48"/>
      <c r="W486" s="48"/>
      <c r="X486" s="48"/>
      <c r="Y486" s="48"/>
      <c r="Z486" s="48"/>
      <c r="AA486" s="48"/>
      <c r="AB486" s="48"/>
      <c r="AC486" s="48"/>
      <c r="AD486" s="48"/>
      <c r="AE486" s="48"/>
      <c r="AF486" s="48"/>
      <c r="AG486" s="48"/>
      <c r="AH486" s="48"/>
      <c r="AI486" s="48"/>
      <c r="AJ486" s="48"/>
      <c r="AK486" s="48"/>
      <c r="AL486" s="48"/>
      <c r="AM486" s="48"/>
      <c r="AN486" s="48"/>
      <c r="AO486" s="48"/>
      <c r="AP486" s="48"/>
      <c r="AQ486" s="48"/>
      <c r="AR486" s="48"/>
      <c r="AS486" s="48"/>
      <c r="AT486" s="48"/>
      <c r="AU486" s="48"/>
      <c r="AV486" s="48"/>
      <c r="AW486" s="48"/>
      <c r="AX486" s="48"/>
      <c r="AY486" s="48"/>
    </row>
    <row r="487" spans="1:51">
      <c r="A487" s="48"/>
      <c r="B487" s="48"/>
      <c r="C487" s="48"/>
      <c r="D487" s="48"/>
      <c r="E487" s="48"/>
      <c r="F487" s="48"/>
      <c r="G487" s="48"/>
      <c r="H487" s="48"/>
      <c r="I487" s="48"/>
      <c r="J487" s="48"/>
      <c r="K487" s="48"/>
      <c r="L487" s="48"/>
      <c r="M487" s="48"/>
      <c r="N487" s="48"/>
      <c r="O487" s="48"/>
      <c r="P487" s="48"/>
      <c r="Q487" s="48"/>
      <c r="R487" s="48"/>
      <c r="S487" s="48"/>
      <c r="T487" s="48"/>
      <c r="U487" s="48"/>
      <c r="V487" s="48"/>
      <c r="W487" s="48"/>
      <c r="X487" s="48"/>
      <c r="Y487" s="48"/>
      <c r="Z487" s="48"/>
      <c r="AA487" s="48"/>
      <c r="AB487" s="48"/>
      <c r="AC487" s="48"/>
      <c r="AD487" s="48"/>
      <c r="AE487" s="48"/>
      <c r="AF487" s="48"/>
      <c r="AG487" s="48"/>
      <c r="AH487" s="48"/>
      <c r="AI487" s="48"/>
      <c r="AJ487" s="48"/>
      <c r="AK487" s="48"/>
      <c r="AL487" s="48"/>
      <c r="AM487" s="48"/>
      <c r="AN487" s="48"/>
      <c r="AO487" s="48"/>
      <c r="AP487" s="48"/>
      <c r="AQ487" s="48"/>
      <c r="AR487" s="48"/>
      <c r="AS487" s="48"/>
      <c r="AT487" s="48"/>
      <c r="AU487" s="48"/>
      <c r="AV487" s="48"/>
      <c r="AW487" s="48"/>
      <c r="AX487" s="48"/>
      <c r="AY487" s="48"/>
    </row>
    <row r="488" spans="1:51">
      <c r="A488" s="48"/>
      <c r="B488" s="48"/>
      <c r="C488" s="48"/>
      <c r="D488" s="48"/>
      <c r="E488" s="48"/>
      <c r="F488" s="48"/>
      <c r="G488" s="48"/>
      <c r="H488" s="48"/>
      <c r="I488" s="48"/>
      <c r="J488" s="48"/>
      <c r="K488" s="48"/>
      <c r="L488" s="48"/>
      <c r="M488" s="48"/>
      <c r="N488" s="48"/>
      <c r="O488" s="48"/>
      <c r="P488" s="48"/>
      <c r="Q488" s="48"/>
      <c r="R488" s="48"/>
      <c r="S488" s="48"/>
      <c r="T488" s="48"/>
      <c r="U488" s="48"/>
      <c r="V488" s="48"/>
      <c r="W488" s="48"/>
      <c r="X488" s="48"/>
      <c r="Y488" s="48"/>
      <c r="Z488" s="48"/>
      <c r="AA488" s="48"/>
      <c r="AB488" s="48"/>
      <c r="AC488" s="48"/>
      <c r="AD488" s="48"/>
      <c r="AE488" s="48"/>
      <c r="AF488" s="48"/>
      <c r="AG488" s="48"/>
      <c r="AH488" s="48"/>
      <c r="AI488" s="48"/>
      <c r="AJ488" s="48"/>
      <c r="AK488" s="48"/>
      <c r="AL488" s="48"/>
      <c r="AM488" s="48"/>
      <c r="AN488" s="48"/>
      <c r="AO488" s="48"/>
      <c r="AP488" s="48"/>
      <c r="AQ488" s="48"/>
      <c r="AR488" s="48"/>
      <c r="AS488" s="48"/>
      <c r="AT488" s="48"/>
      <c r="AU488" s="48"/>
      <c r="AV488" s="48"/>
      <c r="AW488" s="48"/>
      <c r="AX488" s="48"/>
      <c r="AY488" s="48"/>
    </row>
    <row r="489" spans="1:51">
      <c r="A489" s="48"/>
      <c r="B489" s="48"/>
      <c r="C489" s="48"/>
      <c r="D489" s="48"/>
      <c r="E489" s="48"/>
      <c r="F489" s="48"/>
      <c r="G489" s="48"/>
      <c r="H489" s="48"/>
      <c r="I489" s="48"/>
      <c r="J489" s="48"/>
      <c r="K489" s="48"/>
      <c r="L489" s="48"/>
      <c r="M489" s="48"/>
      <c r="N489" s="48"/>
      <c r="O489" s="48"/>
      <c r="P489" s="48"/>
      <c r="Q489" s="48"/>
      <c r="R489" s="48"/>
      <c r="S489" s="48"/>
      <c r="T489" s="48"/>
      <c r="U489" s="48"/>
      <c r="V489" s="48"/>
      <c r="W489" s="48"/>
      <c r="X489" s="48"/>
      <c r="Y489" s="48"/>
      <c r="Z489" s="48"/>
      <c r="AA489" s="48"/>
      <c r="AB489" s="48"/>
      <c r="AC489" s="48"/>
      <c r="AD489" s="48"/>
      <c r="AE489" s="48"/>
      <c r="AF489" s="48"/>
      <c r="AG489" s="48"/>
      <c r="AH489" s="48"/>
      <c r="AI489" s="48"/>
      <c r="AJ489" s="48"/>
      <c r="AK489" s="48"/>
      <c r="AL489" s="48"/>
      <c r="AM489" s="48"/>
      <c r="AN489" s="48"/>
      <c r="AO489" s="48"/>
      <c r="AP489" s="48"/>
      <c r="AQ489" s="48"/>
      <c r="AR489" s="48"/>
      <c r="AS489" s="48"/>
      <c r="AT489" s="48"/>
      <c r="AU489" s="48"/>
      <c r="AV489" s="48"/>
      <c r="AW489" s="48"/>
      <c r="AX489" s="48"/>
      <c r="AY489" s="48"/>
    </row>
    <row r="490" spans="1:51">
      <c r="A490" s="48"/>
      <c r="B490" s="48"/>
      <c r="C490" s="48"/>
      <c r="D490" s="48"/>
      <c r="E490" s="48"/>
      <c r="F490" s="48"/>
      <c r="G490" s="48"/>
      <c r="H490" s="48"/>
      <c r="I490" s="48"/>
      <c r="J490" s="48"/>
      <c r="K490" s="48"/>
      <c r="L490" s="48"/>
      <c r="M490" s="48"/>
      <c r="N490" s="48"/>
      <c r="O490" s="48"/>
      <c r="P490" s="48"/>
      <c r="Q490" s="48"/>
      <c r="R490" s="48"/>
      <c r="S490" s="48"/>
      <c r="T490" s="48"/>
      <c r="U490" s="48"/>
      <c r="V490" s="48"/>
      <c r="W490" s="48"/>
      <c r="X490" s="48"/>
      <c r="Y490" s="48"/>
      <c r="Z490" s="48"/>
      <c r="AA490" s="48"/>
      <c r="AB490" s="48"/>
      <c r="AC490" s="48"/>
      <c r="AD490" s="48"/>
      <c r="AE490" s="48"/>
      <c r="AF490" s="48"/>
      <c r="AG490" s="48"/>
      <c r="AH490" s="48"/>
      <c r="AI490" s="48"/>
      <c r="AJ490" s="48"/>
      <c r="AK490" s="48"/>
      <c r="AL490" s="48"/>
      <c r="AM490" s="48"/>
      <c r="AN490" s="48"/>
      <c r="AO490" s="48"/>
      <c r="AP490" s="48"/>
      <c r="AQ490" s="48"/>
      <c r="AR490" s="48"/>
      <c r="AS490" s="48"/>
      <c r="AT490" s="48"/>
      <c r="AU490" s="48"/>
      <c r="AV490" s="48"/>
      <c r="AW490" s="48"/>
      <c r="AX490" s="48"/>
      <c r="AY490" s="48"/>
    </row>
    <row r="491" spans="1:51">
      <c r="A491" s="48"/>
      <c r="B491" s="48"/>
      <c r="C491" s="48"/>
      <c r="D491" s="48"/>
      <c r="E491" s="48"/>
      <c r="F491" s="48"/>
      <c r="G491" s="48"/>
      <c r="H491" s="48"/>
      <c r="I491" s="48"/>
      <c r="J491" s="48"/>
      <c r="K491" s="48"/>
      <c r="L491" s="48"/>
      <c r="M491" s="48"/>
      <c r="N491" s="48"/>
      <c r="O491" s="48"/>
      <c r="P491" s="48"/>
      <c r="Q491" s="48"/>
      <c r="R491" s="48"/>
      <c r="S491" s="48"/>
      <c r="T491" s="48"/>
      <c r="U491" s="48"/>
      <c r="V491" s="48"/>
      <c r="W491" s="48"/>
      <c r="X491" s="48"/>
      <c r="Y491" s="48"/>
      <c r="Z491" s="48"/>
      <c r="AA491" s="48"/>
      <c r="AB491" s="48"/>
      <c r="AC491" s="48"/>
      <c r="AD491" s="48"/>
      <c r="AE491" s="48"/>
      <c r="AF491" s="48"/>
      <c r="AG491" s="48"/>
      <c r="AH491" s="48"/>
      <c r="AI491" s="48"/>
      <c r="AJ491" s="48"/>
      <c r="AK491" s="48"/>
      <c r="AL491" s="48"/>
      <c r="AM491" s="48"/>
      <c r="AN491" s="48"/>
      <c r="AO491" s="48"/>
      <c r="AP491" s="48"/>
      <c r="AQ491" s="48"/>
      <c r="AR491" s="48"/>
      <c r="AS491" s="48"/>
      <c r="AT491" s="48"/>
      <c r="AU491" s="48"/>
      <c r="AV491" s="48"/>
      <c r="AW491" s="48"/>
      <c r="AX491" s="48"/>
      <c r="AY491" s="48"/>
    </row>
    <row r="492" spans="1:51">
      <c r="A492" s="48"/>
      <c r="B492" s="48"/>
      <c r="C492" s="48"/>
      <c r="D492" s="48"/>
      <c r="E492" s="48"/>
      <c r="F492" s="48"/>
      <c r="G492" s="48"/>
      <c r="H492" s="48"/>
      <c r="I492" s="48"/>
      <c r="J492" s="48"/>
      <c r="K492" s="48"/>
      <c r="L492" s="48"/>
      <c r="M492" s="48"/>
      <c r="N492" s="48"/>
      <c r="O492" s="48"/>
      <c r="P492" s="48"/>
      <c r="Q492" s="48"/>
      <c r="R492" s="48"/>
      <c r="S492" s="48"/>
      <c r="T492" s="48"/>
      <c r="U492" s="48"/>
      <c r="V492" s="48"/>
      <c r="W492" s="48"/>
      <c r="X492" s="48"/>
      <c r="Y492" s="48"/>
      <c r="Z492" s="48"/>
      <c r="AA492" s="48"/>
      <c r="AB492" s="48"/>
      <c r="AC492" s="48"/>
      <c r="AD492" s="48"/>
      <c r="AE492" s="48"/>
      <c r="AF492" s="48"/>
      <c r="AG492" s="48"/>
      <c r="AH492" s="48"/>
      <c r="AI492" s="48"/>
      <c r="AJ492" s="48"/>
      <c r="AK492" s="48"/>
      <c r="AL492" s="48"/>
      <c r="AM492" s="48"/>
      <c r="AN492" s="48"/>
      <c r="AO492" s="48"/>
      <c r="AP492" s="48"/>
      <c r="AQ492" s="48"/>
      <c r="AR492" s="48"/>
      <c r="AS492" s="48"/>
      <c r="AT492" s="48"/>
      <c r="AU492" s="48"/>
      <c r="AV492" s="48"/>
      <c r="AW492" s="48"/>
      <c r="AX492" s="48"/>
      <c r="AY492" s="48"/>
    </row>
    <row r="493" spans="1:51">
      <c r="A493" s="48"/>
      <c r="B493" s="48"/>
      <c r="C493" s="48"/>
      <c r="D493" s="48"/>
      <c r="E493" s="48"/>
      <c r="F493" s="48"/>
      <c r="G493" s="48"/>
      <c r="H493" s="48"/>
      <c r="I493" s="48"/>
      <c r="J493" s="48"/>
      <c r="K493" s="48"/>
      <c r="L493" s="48"/>
      <c r="M493" s="48"/>
      <c r="N493" s="48"/>
      <c r="O493" s="48"/>
      <c r="P493" s="48"/>
      <c r="Q493" s="48"/>
      <c r="R493" s="48"/>
      <c r="S493" s="48"/>
      <c r="T493" s="48"/>
      <c r="U493" s="48"/>
      <c r="V493" s="48"/>
      <c r="W493" s="48"/>
      <c r="X493" s="48"/>
      <c r="Y493" s="48"/>
      <c r="Z493" s="48"/>
      <c r="AA493" s="48"/>
      <c r="AB493" s="48"/>
      <c r="AC493" s="48"/>
      <c r="AD493" s="48"/>
      <c r="AE493" s="48"/>
      <c r="AF493" s="48"/>
      <c r="AG493" s="48"/>
      <c r="AH493" s="48"/>
      <c r="AI493" s="48"/>
      <c r="AJ493" s="48"/>
      <c r="AK493" s="48"/>
      <c r="AL493" s="48"/>
      <c r="AM493" s="48"/>
      <c r="AN493" s="48"/>
      <c r="AO493" s="48"/>
      <c r="AP493" s="48"/>
      <c r="AQ493" s="48"/>
      <c r="AR493" s="48"/>
      <c r="AS493" s="48"/>
      <c r="AT493" s="48"/>
      <c r="AU493" s="48"/>
      <c r="AV493" s="48"/>
      <c r="AW493" s="48"/>
      <c r="AX493" s="48"/>
      <c r="AY493" s="48"/>
    </row>
    <row r="494" spans="1:51">
      <c r="A494" s="48"/>
      <c r="B494" s="48"/>
      <c r="C494" s="48"/>
      <c r="D494" s="48"/>
      <c r="E494" s="48"/>
      <c r="F494" s="48"/>
      <c r="G494" s="48"/>
      <c r="H494" s="48"/>
      <c r="I494" s="48"/>
      <c r="J494" s="48"/>
      <c r="K494" s="48"/>
      <c r="L494" s="48"/>
      <c r="M494" s="48"/>
      <c r="N494" s="48"/>
      <c r="O494" s="48"/>
      <c r="P494" s="48"/>
      <c r="Q494" s="48"/>
      <c r="R494" s="48"/>
      <c r="S494" s="48"/>
      <c r="T494" s="48"/>
      <c r="U494" s="48"/>
      <c r="V494" s="48"/>
      <c r="W494" s="48"/>
      <c r="X494" s="48"/>
      <c r="Y494" s="48"/>
      <c r="Z494" s="48"/>
      <c r="AA494" s="48"/>
      <c r="AB494" s="48"/>
      <c r="AC494" s="48"/>
      <c r="AD494" s="48"/>
      <c r="AE494" s="48"/>
      <c r="AF494" s="48"/>
      <c r="AG494" s="48"/>
      <c r="AH494" s="48"/>
      <c r="AI494" s="48"/>
      <c r="AJ494" s="48"/>
      <c r="AK494" s="48"/>
      <c r="AL494" s="48"/>
      <c r="AM494" s="48"/>
      <c r="AN494" s="48"/>
      <c r="AO494" s="48"/>
      <c r="AP494" s="48"/>
      <c r="AQ494" s="48"/>
      <c r="AR494" s="48"/>
      <c r="AS494" s="48"/>
      <c r="AT494" s="48"/>
      <c r="AU494" s="48"/>
      <c r="AV494" s="48"/>
      <c r="AW494" s="48"/>
      <c r="AX494" s="48"/>
      <c r="AY494" s="48"/>
    </row>
    <row r="495" spans="1:51">
      <c r="A495" s="48"/>
      <c r="B495" s="48"/>
      <c r="C495" s="48"/>
      <c r="D495" s="48"/>
      <c r="E495" s="48"/>
      <c r="F495" s="48"/>
      <c r="G495" s="48"/>
      <c r="H495" s="48"/>
      <c r="I495" s="48"/>
      <c r="J495" s="48"/>
      <c r="K495" s="48"/>
      <c r="L495" s="48"/>
      <c r="M495" s="48"/>
      <c r="N495" s="48"/>
      <c r="O495" s="48"/>
      <c r="P495" s="48"/>
      <c r="Q495" s="48"/>
      <c r="R495" s="48"/>
      <c r="S495" s="48"/>
      <c r="T495" s="48"/>
      <c r="U495" s="48"/>
      <c r="V495" s="48"/>
      <c r="W495" s="48"/>
      <c r="X495" s="48"/>
      <c r="Y495" s="48"/>
      <c r="Z495" s="48"/>
      <c r="AA495" s="48"/>
      <c r="AB495" s="48"/>
      <c r="AC495" s="48"/>
      <c r="AD495" s="48"/>
      <c r="AE495" s="48"/>
      <c r="AF495" s="48"/>
      <c r="AG495" s="48"/>
      <c r="AH495" s="48"/>
      <c r="AI495" s="48"/>
      <c r="AJ495" s="48"/>
      <c r="AK495" s="48"/>
      <c r="AL495" s="48"/>
      <c r="AM495" s="48"/>
      <c r="AN495" s="48"/>
      <c r="AO495" s="48"/>
      <c r="AP495" s="48"/>
      <c r="AQ495" s="48"/>
      <c r="AR495" s="48"/>
      <c r="AS495" s="48"/>
      <c r="AT495" s="48"/>
      <c r="AU495" s="48"/>
      <c r="AV495" s="48"/>
      <c r="AW495" s="48"/>
      <c r="AX495" s="48"/>
      <c r="AY495" s="48"/>
    </row>
    <row r="496" spans="1:51">
      <c r="A496" s="48"/>
      <c r="B496" s="48"/>
      <c r="C496" s="48"/>
      <c r="D496" s="48"/>
      <c r="E496" s="48"/>
      <c r="F496" s="48"/>
      <c r="G496" s="48"/>
      <c r="H496" s="48"/>
      <c r="I496" s="48"/>
      <c r="J496" s="48"/>
      <c r="K496" s="48"/>
      <c r="L496" s="48"/>
      <c r="M496" s="48"/>
      <c r="N496" s="48"/>
      <c r="O496" s="48"/>
      <c r="P496" s="48"/>
      <c r="Q496" s="48"/>
      <c r="R496" s="48"/>
      <c r="S496" s="48"/>
      <c r="T496" s="48"/>
      <c r="U496" s="48"/>
      <c r="V496" s="48"/>
      <c r="W496" s="48"/>
      <c r="X496" s="48"/>
      <c r="Y496" s="48"/>
      <c r="Z496" s="48"/>
      <c r="AA496" s="48"/>
      <c r="AB496" s="48"/>
      <c r="AC496" s="48"/>
      <c r="AD496" s="48"/>
      <c r="AE496" s="48"/>
      <c r="AF496" s="48"/>
      <c r="AG496" s="48"/>
      <c r="AH496" s="48"/>
      <c r="AI496" s="48"/>
      <c r="AJ496" s="48"/>
      <c r="AK496" s="48"/>
      <c r="AL496" s="48"/>
      <c r="AM496" s="48"/>
      <c r="AN496" s="48"/>
      <c r="AO496" s="48"/>
      <c r="AP496" s="48"/>
      <c r="AQ496" s="48"/>
      <c r="AR496" s="48"/>
      <c r="AS496" s="48"/>
      <c r="AT496" s="48"/>
      <c r="AU496" s="48"/>
      <c r="AV496" s="48"/>
      <c r="AW496" s="48"/>
      <c r="AX496" s="48"/>
      <c r="AY496" s="48"/>
    </row>
    <row r="497" spans="1:51">
      <c r="A497" s="48"/>
      <c r="B497" s="48"/>
      <c r="C497" s="48"/>
      <c r="D497" s="48"/>
      <c r="E497" s="48"/>
      <c r="F497" s="48"/>
      <c r="G497" s="48"/>
      <c r="H497" s="48"/>
      <c r="I497" s="48"/>
      <c r="J497" s="48"/>
      <c r="K497" s="48"/>
      <c r="L497" s="48"/>
      <c r="M497" s="48"/>
      <c r="N497" s="48"/>
      <c r="O497" s="48"/>
      <c r="P497" s="48"/>
      <c r="Q497" s="48"/>
      <c r="R497" s="48"/>
      <c r="S497" s="48"/>
      <c r="T497" s="48"/>
      <c r="U497" s="48"/>
      <c r="V497" s="48"/>
      <c r="W497" s="48"/>
      <c r="X497" s="48"/>
      <c r="Y497" s="48"/>
      <c r="Z497" s="48"/>
      <c r="AA497" s="48"/>
      <c r="AB497" s="48"/>
      <c r="AC497" s="48"/>
      <c r="AD497" s="48"/>
      <c r="AE497" s="48"/>
      <c r="AF497" s="48"/>
      <c r="AG497" s="48"/>
      <c r="AH497" s="48"/>
      <c r="AI497" s="48"/>
      <c r="AJ497" s="48"/>
      <c r="AK497" s="48"/>
      <c r="AL497" s="48"/>
      <c r="AM497" s="48"/>
      <c r="AN497" s="48"/>
      <c r="AO497" s="48"/>
      <c r="AP497" s="48"/>
      <c r="AQ497" s="48"/>
      <c r="AR497" s="48"/>
      <c r="AS497" s="48"/>
      <c r="AT497" s="48"/>
      <c r="AU497" s="48"/>
      <c r="AV497" s="48"/>
      <c r="AW497" s="48"/>
      <c r="AX497" s="48"/>
      <c r="AY497" s="48"/>
    </row>
    <row r="498" spans="1:51">
      <c r="A498" s="48"/>
      <c r="B498" s="48"/>
      <c r="C498" s="48"/>
      <c r="D498" s="48"/>
      <c r="E498" s="48"/>
      <c r="F498" s="48"/>
      <c r="G498" s="48"/>
      <c r="H498" s="48"/>
      <c r="I498" s="48"/>
      <c r="J498" s="48"/>
      <c r="K498" s="48"/>
      <c r="L498" s="48"/>
      <c r="M498" s="48"/>
      <c r="N498" s="48"/>
      <c r="O498" s="48"/>
      <c r="P498" s="48"/>
      <c r="Q498" s="48"/>
      <c r="R498" s="48"/>
      <c r="S498" s="48"/>
      <c r="T498" s="48"/>
      <c r="U498" s="48"/>
      <c r="V498" s="48"/>
      <c r="W498" s="48"/>
      <c r="X498" s="48"/>
      <c r="Y498" s="48"/>
      <c r="Z498" s="48"/>
      <c r="AA498" s="48"/>
      <c r="AB498" s="48"/>
      <c r="AC498" s="48"/>
      <c r="AD498" s="48"/>
      <c r="AE498" s="48"/>
      <c r="AF498" s="48"/>
      <c r="AG498" s="48"/>
      <c r="AH498" s="48"/>
      <c r="AI498" s="48"/>
      <c r="AJ498" s="48"/>
      <c r="AK498" s="48"/>
      <c r="AL498" s="48"/>
      <c r="AM498" s="48"/>
      <c r="AN498" s="48"/>
      <c r="AO498" s="48"/>
      <c r="AP498" s="48"/>
      <c r="AQ498" s="48"/>
      <c r="AR498" s="48"/>
      <c r="AS498" s="48"/>
      <c r="AT498" s="48"/>
      <c r="AU498" s="48"/>
      <c r="AV498" s="48"/>
      <c r="AW498" s="48"/>
      <c r="AX498" s="48"/>
      <c r="AY498" s="48"/>
    </row>
    <row r="499" spans="1:51">
      <c r="A499" s="48"/>
      <c r="B499" s="48"/>
      <c r="C499" s="48"/>
      <c r="D499" s="48"/>
      <c r="E499" s="48"/>
      <c r="F499" s="48"/>
      <c r="G499" s="48"/>
      <c r="H499" s="48"/>
      <c r="I499" s="48"/>
      <c r="J499" s="48"/>
      <c r="K499" s="48"/>
      <c r="L499" s="48"/>
      <c r="M499" s="48"/>
      <c r="N499" s="48"/>
      <c r="O499" s="48"/>
      <c r="P499" s="48"/>
      <c r="Q499" s="48"/>
      <c r="R499" s="48"/>
      <c r="S499" s="48"/>
      <c r="T499" s="48"/>
      <c r="U499" s="48"/>
      <c r="V499" s="48"/>
      <c r="W499" s="48"/>
      <c r="X499" s="48"/>
      <c r="Y499" s="48"/>
      <c r="Z499" s="48"/>
      <c r="AA499" s="48"/>
      <c r="AB499" s="48"/>
      <c r="AC499" s="48"/>
      <c r="AD499" s="48"/>
      <c r="AE499" s="48"/>
      <c r="AF499" s="48"/>
      <c r="AG499" s="48"/>
      <c r="AH499" s="48"/>
      <c r="AI499" s="48"/>
      <c r="AJ499" s="48"/>
      <c r="AK499" s="48"/>
      <c r="AL499" s="48"/>
      <c r="AM499" s="48"/>
      <c r="AN499" s="48"/>
      <c r="AO499" s="48"/>
      <c r="AP499" s="48"/>
      <c r="AQ499" s="48"/>
      <c r="AR499" s="48"/>
      <c r="AS499" s="48"/>
      <c r="AT499" s="48"/>
      <c r="AU499" s="48"/>
      <c r="AV499" s="48"/>
      <c r="AW499" s="48"/>
      <c r="AX499" s="48"/>
      <c r="AY499" s="48"/>
    </row>
    <row r="500" spans="1:51">
      <c r="A500" s="48"/>
      <c r="B500" s="48"/>
      <c r="C500" s="48"/>
      <c r="D500" s="48"/>
      <c r="E500" s="48"/>
      <c r="F500" s="48"/>
      <c r="G500" s="48"/>
      <c r="H500" s="48"/>
      <c r="I500" s="48"/>
      <c r="J500" s="48"/>
      <c r="K500" s="48"/>
      <c r="L500" s="48"/>
      <c r="M500" s="48"/>
      <c r="N500" s="48"/>
      <c r="O500" s="48"/>
      <c r="P500" s="48"/>
      <c r="Q500" s="48"/>
      <c r="R500" s="48"/>
      <c r="S500" s="48"/>
      <c r="T500" s="48"/>
      <c r="U500" s="48"/>
      <c r="V500" s="48"/>
      <c r="W500" s="48"/>
      <c r="X500" s="48"/>
      <c r="Y500" s="48"/>
      <c r="Z500" s="48"/>
      <c r="AA500" s="48"/>
      <c r="AB500" s="48"/>
      <c r="AC500" s="48"/>
      <c r="AD500" s="48"/>
      <c r="AE500" s="48"/>
      <c r="AF500" s="48"/>
      <c r="AG500" s="48"/>
      <c r="AH500" s="48"/>
      <c r="AI500" s="48"/>
      <c r="AJ500" s="48"/>
      <c r="AK500" s="48"/>
      <c r="AL500" s="48"/>
      <c r="AM500" s="48"/>
      <c r="AN500" s="48"/>
      <c r="AO500" s="48"/>
      <c r="AP500" s="48"/>
      <c r="AQ500" s="48"/>
      <c r="AR500" s="48"/>
      <c r="AS500" s="48"/>
      <c r="AT500" s="48"/>
      <c r="AU500" s="48"/>
      <c r="AV500" s="48"/>
      <c r="AW500" s="48"/>
      <c r="AX500" s="48"/>
      <c r="AY500" s="48"/>
    </row>
    <row r="501" spans="1:51">
      <c r="A501" s="48"/>
      <c r="B501" s="48"/>
      <c r="C501" s="48"/>
      <c r="D501" s="48"/>
      <c r="E501" s="48"/>
      <c r="F501" s="48"/>
      <c r="G501" s="48"/>
      <c r="H501" s="48"/>
      <c r="I501" s="48"/>
      <c r="J501" s="48"/>
      <c r="K501" s="48"/>
      <c r="L501" s="48"/>
      <c r="M501" s="48"/>
      <c r="N501" s="48"/>
      <c r="O501" s="48"/>
      <c r="P501" s="48"/>
      <c r="Q501" s="48"/>
      <c r="R501" s="48"/>
      <c r="S501" s="48"/>
      <c r="T501" s="48"/>
      <c r="U501" s="48"/>
      <c r="V501" s="48"/>
      <c r="W501" s="48"/>
      <c r="X501" s="48"/>
      <c r="Y501" s="48"/>
      <c r="Z501" s="48"/>
      <c r="AA501" s="48"/>
      <c r="AB501" s="48"/>
      <c r="AC501" s="48"/>
      <c r="AD501" s="48"/>
      <c r="AE501" s="48"/>
      <c r="AF501" s="48"/>
      <c r="AG501" s="48"/>
      <c r="AH501" s="48"/>
      <c r="AI501" s="48"/>
      <c r="AJ501" s="48"/>
      <c r="AK501" s="48"/>
      <c r="AL501" s="48"/>
      <c r="AM501" s="48"/>
      <c r="AN501" s="48"/>
      <c r="AO501" s="48"/>
      <c r="AP501" s="48"/>
      <c r="AQ501" s="48"/>
      <c r="AR501" s="48"/>
      <c r="AS501" s="48"/>
      <c r="AT501" s="48"/>
      <c r="AU501" s="48"/>
      <c r="AV501" s="48"/>
      <c r="AW501" s="48"/>
      <c r="AX501" s="48"/>
      <c r="AY501" s="48"/>
    </row>
    <row r="502" spans="1:51">
      <c r="A502" s="48"/>
      <c r="B502" s="48"/>
      <c r="C502" s="48"/>
      <c r="D502" s="48"/>
      <c r="E502" s="48"/>
      <c r="F502" s="48"/>
      <c r="G502" s="48"/>
      <c r="H502" s="48"/>
      <c r="I502" s="48"/>
      <c r="J502" s="48"/>
      <c r="K502" s="48"/>
      <c r="L502" s="48"/>
      <c r="M502" s="48"/>
      <c r="N502" s="48"/>
      <c r="O502" s="48"/>
      <c r="P502" s="48"/>
      <c r="Q502" s="48"/>
      <c r="R502" s="48"/>
      <c r="S502" s="48"/>
      <c r="T502" s="48"/>
      <c r="U502" s="48"/>
      <c r="V502" s="48"/>
      <c r="W502" s="48"/>
      <c r="X502" s="48"/>
      <c r="Y502" s="48"/>
      <c r="Z502" s="48"/>
      <c r="AA502" s="48"/>
      <c r="AB502" s="48"/>
      <c r="AC502" s="48"/>
      <c r="AD502" s="48"/>
      <c r="AE502" s="48"/>
      <c r="AF502" s="48"/>
      <c r="AG502" s="48"/>
      <c r="AH502" s="48"/>
      <c r="AI502" s="48"/>
      <c r="AJ502" s="48"/>
      <c r="AK502" s="48"/>
      <c r="AL502" s="48"/>
      <c r="AM502" s="48"/>
      <c r="AN502" s="48"/>
      <c r="AO502" s="48"/>
      <c r="AP502" s="48"/>
      <c r="AQ502" s="48"/>
      <c r="AR502" s="48"/>
      <c r="AS502" s="48"/>
      <c r="AT502" s="48"/>
      <c r="AU502" s="48"/>
      <c r="AV502" s="48"/>
      <c r="AW502" s="48"/>
      <c r="AX502" s="48"/>
      <c r="AY502" s="48"/>
    </row>
    <row r="503" spans="1:51">
      <c r="A503" s="48"/>
      <c r="B503" s="48"/>
      <c r="C503" s="48"/>
      <c r="D503" s="48"/>
      <c r="E503" s="48"/>
      <c r="F503" s="48"/>
      <c r="G503" s="48"/>
      <c r="H503" s="48"/>
      <c r="I503" s="48"/>
      <c r="J503" s="48"/>
      <c r="K503" s="48"/>
      <c r="L503" s="48"/>
      <c r="M503" s="48"/>
      <c r="N503" s="48"/>
      <c r="O503" s="48"/>
      <c r="P503" s="48"/>
      <c r="Q503" s="48"/>
      <c r="R503" s="48"/>
      <c r="S503" s="48"/>
      <c r="T503" s="48"/>
      <c r="U503" s="48"/>
      <c r="V503" s="48"/>
      <c r="W503" s="48"/>
      <c r="X503" s="48"/>
      <c r="Y503" s="48"/>
      <c r="Z503" s="48"/>
      <c r="AA503" s="48"/>
      <c r="AB503" s="48"/>
      <c r="AC503" s="48"/>
      <c r="AD503" s="48"/>
      <c r="AE503" s="48"/>
      <c r="AF503" s="48"/>
      <c r="AG503" s="48"/>
      <c r="AH503" s="48"/>
      <c r="AI503" s="48"/>
      <c r="AJ503" s="48"/>
      <c r="AK503" s="48"/>
      <c r="AL503" s="48"/>
      <c r="AM503" s="48"/>
      <c r="AN503" s="48"/>
      <c r="AO503" s="48"/>
      <c r="AP503" s="48"/>
      <c r="AQ503" s="48"/>
      <c r="AR503" s="48"/>
      <c r="AS503" s="48"/>
      <c r="AT503" s="48"/>
      <c r="AU503" s="48"/>
      <c r="AV503" s="48"/>
      <c r="AW503" s="48"/>
      <c r="AX503" s="48"/>
      <c r="AY503" s="48"/>
    </row>
    <row r="504" spans="1:51">
      <c r="A504" s="48"/>
      <c r="B504" s="48"/>
      <c r="C504" s="48"/>
      <c r="D504" s="48"/>
      <c r="E504" s="48"/>
      <c r="F504" s="48"/>
      <c r="G504" s="48"/>
      <c r="H504" s="48"/>
      <c r="I504" s="48"/>
      <c r="J504" s="48"/>
      <c r="K504" s="48"/>
      <c r="L504" s="48"/>
      <c r="M504" s="48"/>
      <c r="N504" s="48"/>
      <c r="O504" s="48"/>
      <c r="P504" s="48"/>
      <c r="Q504" s="48"/>
      <c r="R504" s="48"/>
      <c r="S504" s="48"/>
      <c r="T504" s="48"/>
      <c r="U504" s="48"/>
      <c r="V504" s="48"/>
      <c r="W504" s="48"/>
      <c r="X504" s="48"/>
      <c r="Y504" s="48"/>
      <c r="Z504" s="48"/>
      <c r="AA504" s="48"/>
      <c r="AB504" s="48"/>
      <c r="AC504" s="48"/>
      <c r="AD504" s="48"/>
      <c r="AE504" s="48"/>
      <c r="AF504" s="48"/>
      <c r="AG504" s="48"/>
      <c r="AH504" s="48"/>
      <c r="AI504" s="48"/>
      <c r="AJ504" s="48"/>
      <c r="AK504" s="48"/>
      <c r="AL504" s="48"/>
      <c r="AM504" s="48"/>
      <c r="AN504" s="48"/>
      <c r="AO504" s="48"/>
      <c r="AP504" s="48"/>
      <c r="AQ504" s="48"/>
      <c r="AR504" s="48"/>
      <c r="AS504" s="48"/>
      <c r="AT504" s="48"/>
      <c r="AU504" s="48"/>
      <c r="AV504" s="48"/>
      <c r="AW504" s="48"/>
      <c r="AX504" s="48"/>
      <c r="AY504" s="48"/>
    </row>
    <row r="505" spans="1:51">
      <c r="A505" s="48"/>
      <c r="B505" s="48"/>
      <c r="C505" s="48"/>
      <c r="D505" s="48"/>
      <c r="E505" s="48"/>
      <c r="F505" s="48"/>
      <c r="G505" s="48"/>
      <c r="H505" s="48"/>
      <c r="I505" s="48"/>
      <c r="J505" s="48"/>
      <c r="K505" s="48"/>
      <c r="L505" s="48"/>
      <c r="M505" s="48"/>
      <c r="N505" s="48"/>
      <c r="O505" s="48"/>
      <c r="P505" s="48"/>
      <c r="Q505" s="48"/>
      <c r="R505" s="48"/>
      <c r="S505" s="48"/>
      <c r="T505" s="48"/>
      <c r="U505" s="48"/>
      <c r="V505" s="48"/>
      <c r="W505" s="48"/>
      <c r="X505" s="48"/>
      <c r="Y505" s="48"/>
      <c r="Z505" s="48"/>
      <c r="AA505" s="48"/>
      <c r="AB505" s="48"/>
      <c r="AC505" s="48"/>
      <c r="AD505" s="48"/>
      <c r="AE505" s="48"/>
      <c r="AF505" s="48"/>
      <c r="AG505" s="48"/>
      <c r="AH505" s="48"/>
      <c r="AI505" s="48"/>
      <c r="AJ505" s="48"/>
      <c r="AK505" s="48"/>
      <c r="AL505" s="48"/>
      <c r="AM505" s="48"/>
      <c r="AN505" s="48"/>
      <c r="AO505" s="48"/>
      <c r="AP505" s="48"/>
      <c r="AQ505" s="48"/>
      <c r="AR505" s="48"/>
      <c r="AS505" s="48"/>
      <c r="AT505" s="48"/>
      <c r="AU505" s="48"/>
      <c r="AV505" s="48"/>
      <c r="AW505" s="48"/>
      <c r="AX505" s="48"/>
      <c r="AY505" s="48"/>
    </row>
    <row r="506" spans="1:51">
      <c r="A506" s="48"/>
      <c r="B506" s="48"/>
      <c r="C506" s="48"/>
      <c r="D506" s="48"/>
      <c r="E506" s="48"/>
      <c r="F506" s="48"/>
      <c r="G506" s="48"/>
      <c r="H506" s="48"/>
      <c r="I506" s="48"/>
      <c r="J506" s="48"/>
      <c r="K506" s="48"/>
      <c r="L506" s="48"/>
      <c r="M506" s="48"/>
      <c r="N506" s="48"/>
      <c r="O506" s="48"/>
      <c r="P506" s="48"/>
      <c r="Q506" s="48"/>
      <c r="R506" s="48"/>
      <c r="S506" s="48"/>
      <c r="T506" s="48"/>
      <c r="U506" s="48"/>
      <c r="V506" s="48"/>
      <c r="W506" s="48"/>
      <c r="X506" s="48"/>
      <c r="Y506" s="48"/>
      <c r="Z506" s="48"/>
      <c r="AA506" s="48"/>
      <c r="AB506" s="48"/>
      <c r="AC506" s="48"/>
      <c r="AD506" s="48"/>
      <c r="AE506" s="48"/>
      <c r="AF506" s="48"/>
      <c r="AG506" s="48"/>
      <c r="AH506" s="48"/>
      <c r="AI506" s="48"/>
      <c r="AJ506" s="48"/>
      <c r="AK506" s="48"/>
      <c r="AL506" s="48"/>
      <c r="AM506" s="48"/>
      <c r="AN506" s="48"/>
      <c r="AO506" s="48"/>
      <c r="AP506" s="48"/>
      <c r="AQ506" s="48"/>
      <c r="AR506" s="48"/>
      <c r="AS506" s="48"/>
      <c r="AT506" s="48"/>
      <c r="AU506" s="48"/>
      <c r="AV506" s="48"/>
      <c r="AW506" s="48"/>
      <c r="AX506" s="48"/>
      <c r="AY506" s="48"/>
    </row>
    <row r="507" spans="1:51">
      <c r="A507" s="48"/>
      <c r="B507" s="48"/>
      <c r="C507" s="48"/>
      <c r="D507" s="48"/>
      <c r="E507" s="48"/>
      <c r="F507" s="48"/>
      <c r="G507" s="48"/>
      <c r="H507" s="48"/>
      <c r="I507" s="48"/>
      <c r="J507" s="48"/>
      <c r="K507" s="48"/>
      <c r="L507" s="48"/>
      <c r="M507" s="48"/>
      <c r="N507" s="48"/>
      <c r="O507" s="48"/>
      <c r="P507" s="48"/>
      <c r="Q507" s="48"/>
      <c r="R507" s="48"/>
      <c r="S507" s="48"/>
      <c r="T507" s="48"/>
      <c r="U507" s="48"/>
      <c r="V507" s="48"/>
      <c r="W507" s="48"/>
      <c r="X507" s="48"/>
      <c r="Y507" s="48"/>
      <c r="Z507" s="48"/>
      <c r="AA507" s="48"/>
      <c r="AB507" s="48"/>
      <c r="AC507" s="48"/>
      <c r="AD507" s="48"/>
      <c r="AE507" s="48"/>
      <c r="AF507" s="48"/>
      <c r="AG507" s="48"/>
      <c r="AH507" s="48"/>
      <c r="AI507" s="48"/>
      <c r="AJ507" s="48"/>
      <c r="AK507" s="48"/>
      <c r="AL507" s="48"/>
      <c r="AM507" s="48"/>
      <c r="AN507" s="48"/>
      <c r="AO507" s="48"/>
      <c r="AP507" s="48"/>
      <c r="AQ507" s="48"/>
      <c r="AR507" s="48"/>
      <c r="AS507" s="48"/>
      <c r="AT507" s="48"/>
      <c r="AU507" s="48"/>
      <c r="AV507" s="48"/>
      <c r="AW507" s="48"/>
      <c r="AX507" s="48"/>
      <c r="AY507" s="48"/>
    </row>
    <row r="508" spans="1:51">
      <c r="A508" s="48"/>
      <c r="B508" s="48"/>
      <c r="C508" s="48"/>
      <c r="D508" s="48"/>
      <c r="E508" s="48"/>
      <c r="F508" s="48"/>
      <c r="G508" s="48"/>
      <c r="H508" s="48"/>
      <c r="I508" s="48"/>
      <c r="J508" s="48"/>
      <c r="K508" s="48"/>
      <c r="L508" s="48"/>
      <c r="M508" s="48"/>
      <c r="N508" s="48"/>
      <c r="O508" s="48"/>
      <c r="P508" s="48"/>
      <c r="Q508" s="48"/>
      <c r="R508" s="48"/>
      <c r="S508" s="48"/>
      <c r="T508" s="48"/>
      <c r="U508" s="48"/>
      <c r="V508" s="48"/>
      <c r="W508" s="48"/>
      <c r="X508" s="48"/>
      <c r="Y508" s="48"/>
      <c r="Z508" s="48"/>
      <c r="AA508" s="48"/>
      <c r="AB508" s="48"/>
      <c r="AC508" s="48"/>
      <c r="AD508" s="48"/>
      <c r="AE508" s="48"/>
      <c r="AF508" s="48"/>
      <c r="AG508" s="48"/>
      <c r="AH508" s="48"/>
      <c r="AI508" s="48"/>
      <c r="AJ508" s="48"/>
      <c r="AK508" s="48"/>
      <c r="AL508" s="48"/>
      <c r="AM508" s="48"/>
      <c r="AN508" s="48"/>
      <c r="AO508" s="48"/>
      <c r="AP508" s="48"/>
      <c r="AQ508" s="48"/>
      <c r="AR508" s="48"/>
      <c r="AS508" s="48"/>
      <c r="AT508" s="48"/>
      <c r="AU508" s="48"/>
      <c r="AV508" s="48"/>
      <c r="AW508" s="48"/>
      <c r="AX508" s="48"/>
      <c r="AY508" s="48"/>
    </row>
    <row r="509" spans="1:51">
      <c r="A509" s="48"/>
      <c r="B509" s="48"/>
      <c r="C509" s="48"/>
      <c r="D509" s="48"/>
      <c r="E509" s="48"/>
      <c r="F509" s="48"/>
      <c r="G509" s="48"/>
      <c r="H509" s="48"/>
      <c r="I509" s="48"/>
      <c r="J509" s="48"/>
      <c r="K509" s="48"/>
      <c r="L509" s="48"/>
      <c r="M509" s="48"/>
      <c r="N509" s="48"/>
      <c r="O509" s="48"/>
      <c r="P509" s="48"/>
      <c r="Q509" s="48"/>
      <c r="R509" s="48"/>
      <c r="S509" s="48"/>
      <c r="T509" s="48"/>
      <c r="U509" s="48"/>
      <c r="V509" s="48"/>
      <c r="W509" s="48"/>
      <c r="X509" s="48"/>
      <c r="Y509" s="48"/>
      <c r="Z509" s="48"/>
      <c r="AA509" s="48"/>
      <c r="AB509" s="48"/>
      <c r="AC509" s="48"/>
      <c r="AD509" s="48"/>
      <c r="AE509" s="48"/>
      <c r="AF509" s="48"/>
      <c r="AG509" s="48"/>
      <c r="AH509" s="48"/>
      <c r="AI509" s="48"/>
      <c r="AJ509" s="48"/>
      <c r="AK509" s="48"/>
      <c r="AL509" s="48"/>
      <c r="AM509" s="48"/>
      <c r="AN509" s="48"/>
      <c r="AO509" s="48"/>
      <c r="AP509" s="48"/>
      <c r="AQ509" s="48"/>
      <c r="AR509" s="48"/>
      <c r="AS509" s="48"/>
      <c r="AT509" s="48"/>
      <c r="AU509" s="48"/>
      <c r="AV509" s="48"/>
      <c r="AW509" s="48"/>
      <c r="AX509" s="48"/>
      <c r="AY509" s="48"/>
    </row>
    <row r="510" spans="1:51">
      <c r="A510" s="48"/>
      <c r="B510" s="48"/>
      <c r="C510" s="48"/>
      <c r="D510" s="48"/>
      <c r="E510" s="48"/>
      <c r="F510" s="48"/>
      <c r="G510" s="48"/>
      <c r="H510" s="48"/>
      <c r="I510" s="48"/>
      <c r="J510" s="48"/>
      <c r="K510" s="48"/>
      <c r="L510" s="48"/>
      <c r="M510" s="48"/>
      <c r="N510" s="48"/>
      <c r="O510" s="48"/>
      <c r="P510" s="48"/>
      <c r="Q510" s="48"/>
      <c r="R510" s="48"/>
      <c r="S510" s="48"/>
      <c r="T510" s="48"/>
      <c r="U510" s="48"/>
      <c r="V510" s="48"/>
      <c r="W510" s="48"/>
      <c r="X510" s="48"/>
      <c r="Y510" s="48"/>
      <c r="Z510" s="48"/>
      <c r="AA510" s="48"/>
      <c r="AB510" s="48"/>
      <c r="AC510" s="48"/>
      <c r="AD510" s="48"/>
      <c r="AE510" s="48"/>
      <c r="AF510" s="48"/>
      <c r="AG510" s="48"/>
      <c r="AH510" s="48"/>
      <c r="AI510" s="48"/>
      <c r="AJ510" s="48"/>
      <c r="AK510" s="48"/>
      <c r="AL510" s="48"/>
      <c r="AM510" s="48"/>
      <c r="AN510" s="48"/>
      <c r="AO510" s="48"/>
      <c r="AP510" s="48"/>
      <c r="AQ510" s="48"/>
      <c r="AR510" s="48"/>
      <c r="AS510" s="48"/>
      <c r="AT510" s="48"/>
      <c r="AU510" s="48"/>
      <c r="AV510" s="48"/>
      <c r="AW510" s="48"/>
      <c r="AX510" s="48"/>
      <c r="AY510" s="48"/>
    </row>
    <row r="511" spans="1:51">
      <c r="A511" s="48"/>
      <c r="B511" s="48"/>
      <c r="C511" s="48"/>
      <c r="D511" s="48"/>
      <c r="E511" s="48"/>
      <c r="F511" s="48"/>
      <c r="G511" s="48"/>
      <c r="H511" s="48"/>
      <c r="I511" s="48"/>
      <c r="J511" s="48"/>
      <c r="K511" s="48"/>
      <c r="L511" s="48"/>
      <c r="M511" s="48"/>
      <c r="N511" s="48"/>
      <c r="O511" s="48"/>
      <c r="P511" s="48"/>
      <c r="Q511" s="48"/>
      <c r="R511" s="48"/>
      <c r="S511" s="48"/>
      <c r="T511" s="48"/>
      <c r="U511" s="48"/>
      <c r="V511" s="48"/>
      <c r="W511" s="48"/>
      <c r="X511" s="48"/>
      <c r="Y511" s="48"/>
      <c r="Z511" s="48"/>
      <c r="AA511" s="48"/>
      <c r="AB511" s="48"/>
      <c r="AC511" s="48"/>
      <c r="AD511" s="48"/>
      <c r="AE511" s="48"/>
      <c r="AF511" s="48"/>
      <c r="AG511" s="48"/>
      <c r="AH511" s="48"/>
      <c r="AI511" s="48"/>
      <c r="AJ511" s="48"/>
      <c r="AK511" s="48"/>
      <c r="AL511" s="48"/>
      <c r="AM511" s="48"/>
      <c r="AN511" s="48"/>
      <c r="AO511" s="48"/>
      <c r="AP511" s="48"/>
      <c r="AQ511" s="48"/>
      <c r="AR511" s="48"/>
      <c r="AS511" s="48"/>
      <c r="AT511" s="48"/>
      <c r="AU511" s="48"/>
      <c r="AV511" s="48"/>
      <c r="AW511" s="48"/>
      <c r="AX511" s="48"/>
      <c r="AY511" s="48"/>
    </row>
    <row r="512" spans="1:51">
      <c r="A512" s="48"/>
      <c r="B512" s="48"/>
      <c r="C512" s="48"/>
      <c r="D512" s="48"/>
      <c r="E512" s="48"/>
      <c r="F512" s="48"/>
      <c r="G512" s="48"/>
      <c r="H512" s="48"/>
      <c r="I512" s="48"/>
      <c r="J512" s="48"/>
      <c r="K512" s="48"/>
      <c r="L512" s="48"/>
      <c r="M512" s="48"/>
      <c r="N512" s="48"/>
      <c r="O512" s="48"/>
      <c r="P512" s="48"/>
      <c r="Q512" s="48"/>
      <c r="R512" s="48"/>
      <c r="S512" s="48"/>
      <c r="T512" s="48"/>
      <c r="U512" s="48"/>
      <c r="V512" s="48"/>
      <c r="W512" s="48"/>
      <c r="X512" s="48"/>
      <c r="Y512" s="48"/>
      <c r="Z512" s="48"/>
      <c r="AA512" s="48"/>
      <c r="AB512" s="48"/>
      <c r="AC512" s="48"/>
      <c r="AD512" s="48"/>
      <c r="AE512" s="48"/>
      <c r="AF512" s="48"/>
      <c r="AG512" s="48"/>
      <c r="AH512" s="48"/>
      <c r="AI512" s="48"/>
      <c r="AJ512" s="48"/>
      <c r="AK512" s="48"/>
      <c r="AL512" s="48"/>
      <c r="AM512" s="48"/>
      <c r="AN512" s="48"/>
      <c r="AO512" s="48"/>
      <c r="AP512" s="48"/>
      <c r="AQ512" s="48"/>
      <c r="AR512" s="48"/>
      <c r="AS512" s="48"/>
      <c r="AT512" s="48"/>
      <c r="AU512" s="48"/>
      <c r="AV512" s="48"/>
      <c r="AW512" s="48"/>
      <c r="AX512" s="48"/>
      <c r="AY512" s="48"/>
    </row>
    <row r="513" spans="1:51">
      <c r="A513" s="48"/>
      <c r="B513" s="48"/>
      <c r="C513" s="48"/>
      <c r="D513" s="48"/>
      <c r="E513" s="48"/>
      <c r="F513" s="48"/>
      <c r="G513" s="48"/>
      <c r="H513" s="48"/>
      <c r="I513" s="48"/>
      <c r="J513" s="48"/>
      <c r="K513" s="48"/>
      <c r="L513" s="48"/>
      <c r="M513" s="48"/>
      <c r="N513" s="48"/>
      <c r="O513" s="48"/>
      <c r="P513" s="48"/>
      <c r="Q513" s="48"/>
      <c r="R513" s="48"/>
      <c r="S513" s="48"/>
      <c r="T513" s="48"/>
      <c r="U513" s="48"/>
      <c r="V513" s="48"/>
      <c r="W513" s="48"/>
      <c r="X513" s="48"/>
      <c r="Y513" s="48"/>
      <c r="Z513" s="48"/>
      <c r="AA513" s="48"/>
      <c r="AB513" s="48"/>
      <c r="AC513" s="48"/>
      <c r="AD513" s="48"/>
      <c r="AE513" s="48"/>
      <c r="AF513" s="48"/>
      <c r="AG513" s="48"/>
      <c r="AH513" s="48"/>
      <c r="AI513" s="48"/>
      <c r="AJ513" s="48"/>
      <c r="AK513" s="48"/>
      <c r="AL513" s="48"/>
      <c r="AM513" s="48"/>
      <c r="AN513" s="48"/>
      <c r="AO513" s="48"/>
      <c r="AP513" s="48"/>
      <c r="AQ513" s="48"/>
      <c r="AR513" s="48"/>
      <c r="AS513" s="48"/>
      <c r="AT513" s="48"/>
      <c r="AU513" s="48"/>
      <c r="AV513" s="48"/>
      <c r="AW513" s="48"/>
      <c r="AX513" s="48"/>
      <c r="AY513" s="48"/>
    </row>
    <row r="514" spans="1:51">
      <c r="A514" s="48"/>
      <c r="B514" s="48"/>
      <c r="C514" s="48"/>
      <c r="D514" s="48"/>
      <c r="E514" s="48"/>
      <c r="F514" s="48"/>
      <c r="G514" s="48"/>
      <c r="H514" s="48"/>
      <c r="I514" s="48"/>
      <c r="J514" s="48"/>
      <c r="K514" s="48"/>
      <c r="L514" s="48"/>
      <c r="M514" s="48"/>
      <c r="N514" s="48"/>
      <c r="O514" s="48"/>
      <c r="P514" s="48"/>
      <c r="Q514" s="48"/>
      <c r="R514" s="48"/>
      <c r="S514" s="48"/>
      <c r="T514" s="48"/>
      <c r="U514" s="48"/>
      <c r="V514" s="48"/>
      <c r="W514" s="48"/>
      <c r="X514" s="48"/>
      <c r="Y514" s="48"/>
      <c r="Z514" s="48"/>
      <c r="AA514" s="48"/>
      <c r="AB514" s="48"/>
      <c r="AC514" s="48"/>
      <c r="AD514" s="48"/>
      <c r="AE514" s="48"/>
      <c r="AF514" s="48"/>
      <c r="AG514" s="48"/>
      <c r="AH514" s="48"/>
      <c r="AI514" s="48"/>
      <c r="AJ514" s="48"/>
      <c r="AK514" s="48"/>
      <c r="AL514" s="48"/>
      <c r="AM514" s="48"/>
      <c r="AN514" s="48"/>
      <c r="AO514" s="48"/>
      <c r="AP514" s="48"/>
      <c r="AQ514" s="48"/>
      <c r="AR514" s="48"/>
      <c r="AS514" s="48"/>
      <c r="AT514" s="48"/>
      <c r="AU514" s="48"/>
      <c r="AV514" s="48"/>
      <c r="AW514" s="48"/>
      <c r="AX514" s="48"/>
      <c r="AY514" s="48"/>
    </row>
    <row r="515" spans="1:51">
      <c r="A515" s="48"/>
      <c r="B515" s="48"/>
      <c r="C515" s="48"/>
      <c r="D515" s="48"/>
      <c r="E515" s="48"/>
      <c r="F515" s="48"/>
      <c r="G515" s="48"/>
      <c r="H515" s="48"/>
      <c r="I515" s="48"/>
      <c r="J515" s="48"/>
      <c r="K515" s="48"/>
      <c r="L515" s="48"/>
      <c r="M515" s="48"/>
      <c r="N515" s="48"/>
      <c r="O515" s="48"/>
      <c r="P515" s="48"/>
      <c r="Q515" s="48"/>
      <c r="R515" s="48"/>
      <c r="S515" s="48"/>
      <c r="T515" s="48"/>
      <c r="U515" s="48"/>
      <c r="V515" s="48"/>
      <c r="W515" s="48"/>
      <c r="X515" s="48"/>
      <c r="Y515" s="48"/>
      <c r="Z515" s="48"/>
      <c r="AA515" s="48"/>
      <c r="AB515" s="48"/>
      <c r="AC515" s="48"/>
      <c r="AD515" s="48"/>
      <c r="AE515" s="48"/>
      <c r="AF515" s="48"/>
      <c r="AG515" s="48"/>
      <c r="AH515" s="48"/>
      <c r="AI515" s="48"/>
      <c r="AJ515" s="48"/>
      <c r="AK515" s="48"/>
      <c r="AL515" s="48"/>
      <c r="AM515" s="48"/>
      <c r="AN515" s="48"/>
      <c r="AO515" s="48"/>
      <c r="AP515" s="48"/>
      <c r="AQ515" s="48"/>
      <c r="AR515" s="48"/>
      <c r="AS515" s="48"/>
      <c r="AT515" s="48"/>
      <c r="AU515" s="48"/>
      <c r="AV515" s="48"/>
      <c r="AW515" s="48"/>
      <c r="AX515" s="48"/>
      <c r="AY515" s="48"/>
    </row>
    <row r="516" spans="1:51">
      <c r="A516" s="48"/>
      <c r="B516" s="48"/>
      <c r="C516" s="48"/>
      <c r="D516" s="48"/>
      <c r="E516" s="48"/>
      <c r="F516" s="48"/>
      <c r="G516" s="48"/>
      <c r="H516" s="48"/>
      <c r="I516" s="48"/>
      <c r="J516" s="48"/>
      <c r="K516" s="48"/>
      <c r="L516" s="48"/>
      <c r="M516" s="48"/>
      <c r="N516" s="48"/>
      <c r="O516" s="48"/>
      <c r="P516" s="48"/>
      <c r="Q516" s="48"/>
      <c r="R516" s="48"/>
      <c r="S516" s="48"/>
      <c r="T516" s="48"/>
      <c r="U516" s="48"/>
      <c r="V516" s="48"/>
      <c r="W516" s="48"/>
      <c r="X516" s="48"/>
      <c r="Y516" s="48"/>
      <c r="Z516" s="48"/>
      <c r="AA516" s="48"/>
      <c r="AB516" s="48"/>
      <c r="AC516" s="48"/>
      <c r="AD516" s="48"/>
      <c r="AE516" s="48"/>
      <c r="AF516" s="48"/>
      <c r="AG516" s="48"/>
      <c r="AH516" s="48"/>
      <c r="AI516" s="48"/>
      <c r="AJ516" s="48"/>
      <c r="AK516" s="48"/>
      <c r="AL516" s="48"/>
      <c r="AM516" s="48"/>
      <c r="AN516" s="48"/>
      <c r="AO516" s="48"/>
      <c r="AP516" s="48"/>
      <c r="AQ516" s="48"/>
      <c r="AR516" s="48"/>
      <c r="AS516" s="48"/>
      <c r="AT516" s="48"/>
      <c r="AU516" s="48"/>
      <c r="AV516" s="48"/>
      <c r="AW516" s="48"/>
      <c r="AX516" s="48"/>
      <c r="AY516" s="48"/>
    </row>
    <row r="517" spans="1:51">
      <c r="A517" s="48"/>
      <c r="B517" s="48"/>
      <c r="C517" s="48"/>
      <c r="D517" s="48"/>
      <c r="E517" s="48"/>
      <c r="F517" s="48"/>
      <c r="G517" s="48"/>
      <c r="H517" s="48"/>
      <c r="I517" s="48"/>
      <c r="J517" s="48"/>
      <c r="K517" s="48"/>
      <c r="L517" s="48"/>
      <c r="M517" s="48"/>
      <c r="N517" s="48"/>
      <c r="O517" s="48"/>
      <c r="P517" s="48"/>
      <c r="Q517" s="48"/>
      <c r="R517" s="48"/>
      <c r="S517" s="48"/>
      <c r="T517" s="48"/>
      <c r="U517" s="48"/>
      <c r="V517" s="48"/>
      <c r="W517" s="48"/>
      <c r="X517" s="48"/>
      <c r="Y517" s="48"/>
      <c r="Z517" s="48"/>
      <c r="AA517" s="48"/>
      <c r="AB517" s="48"/>
      <c r="AC517" s="48"/>
      <c r="AD517" s="48"/>
      <c r="AE517" s="48"/>
      <c r="AF517" s="48"/>
      <c r="AG517" s="48"/>
      <c r="AH517" s="48"/>
      <c r="AI517" s="48"/>
      <c r="AJ517" s="48"/>
      <c r="AK517" s="48"/>
      <c r="AL517" s="48"/>
      <c r="AM517" s="48"/>
      <c r="AN517" s="48"/>
      <c r="AO517" s="48"/>
      <c r="AP517" s="48"/>
      <c r="AQ517" s="48"/>
      <c r="AR517" s="48"/>
      <c r="AS517" s="48"/>
      <c r="AT517" s="48"/>
      <c r="AU517" s="48"/>
      <c r="AV517" s="48"/>
      <c r="AW517" s="48"/>
      <c r="AX517" s="48"/>
      <c r="AY517" s="48"/>
    </row>
    <row r="518" spans="1:51">
      <c r="A518" s="48"/>
      <c r="B518" s="48"/>
      <c r="C518" s="48"/>
      <c r="D518" s="48"/>
      <c r="E518" s="48"/>
      <c r="F518" s="48"/>
      <c r="G518" s="48"/>
      <c r="H518" s="48"/>
      <c r="I518" s="48"/>
      <c r="J518" s="48"/>
      <c r="K518" s="48"/>
      <c r="L518" s="48"/>
      <c r="M518" s="48"/>
      <c r="N518" s="48"/>
      <c r="O518" s="48"/>
      <c r="P518" s="48"/>
      <c r="Q518" s="48"/>
      <c r="R518" s="48"/>
      <c r="S518" s="48"/>
      <c r="T518" s="48"/>
      <c r="U518" s="48"/>
      <c r="V518" s="48"/>
      <c r="W518" s="48"/>
      <c r="X518" s="48"/>
      <c r="Y518" s="48"/>
      <c r="Z518" s="48"/>
      <c r="AA518" s="48"/>
      <c r="AB518" s="48"/>
      <c r="AC518" s="48"/>
      <c r="AD518" s="48"/>
      <c r="AE518" s="48"/>
      <c r="AF518" s="48"/>
      <c r="AG518" s="48"/>
      <c r="AH518" s="48"/>
      <c r="AI518" s="48"/>
      <c r="AJ518" s="48"/>
      <c r="AK518" s="48"/>
      <c r="AL518" s="48"/>
      <c r="AM518" s="48"/>
      <c r="AN518" s="48"/>
      <c r="AO518" s="48"/>
      <c r="AP518" s="48"/>
      <c r="AQ518" s="48"/>
      <c r="AR518" s="48"/>
      <c r="AS518" s="48"/>
      <c r="AT518" s="48"/>
      <c r="AU518" s="48"/>
      <c r="AV518" s="48"/>
      <c r="AW518" s="48"/>
      <c r="AX518" s="48"/>
      <c r="AY518" s="48"/>
    </row>
    <row r="519" spans="1:51">
      <c r="A519" s="48"/>
      <c r="B519" s="48"/>
      <c r="C519" s="48"/>
      <c r="D519" s="48"/>
      <c r="E519" s="48"/>
      <c r="F519" s="48"/>
      <c r="G519" s="48"/>
      <c r="H519" s="48"/>
      <c r="I519" s="48"/>
      <c r="J519" s="48"/>
      <c r="K519" s="48"/>
      <c r="L519" s="48"/>
      <c r="M519" s="48"/>
      <c r="N519" s="48"/>
      <c r="O519" s="48"/>
      <c r="P519" s="48"/>
      <c r="Q519" s="48"/>
      <c r="R519" s="48"/>
      <c r="S519" s="48"/>
      <c r="T519" s="48"/>
      <c r="U519" s="48"/>
      <c r="V519" s="48"/>
      <c r="W519" s="48"/>
      <c r="X519" s="48"/>
      <c r="Y519" s="48"/>
      <c r="Z519" s="48"/>
      <c r="AA519" s="48"/>
      <c r="AB519" s="48"/>
      <c r="AC519" s="48"/>
      <c r="AD519" s="48"/>
      <c r="AE519" s="48"/>
      <c r="AF519" s="48"/>
      <c r="AG519" s="48"/>
      <c r="AH519" s="48"/>
      <c r="AI519" s="48"/>
      <c r="AJ519" s="48"/>
      <c r="AK519" s="48"/>
      <c r="AL519" s="48"/>
      <c r="AM519" s="48"/>
      <c r="AN519" s="48"/>
      <c r="AO519" s="48"/>
      <c r="AP519" s="48"/>
      <c r="AQ519" s="48"/>
      <c r="AR519" s="48"/>
      <c r="AS519" s="48"/>
      <c r="AT519" s="48"/>
      <c r="AU519" s="48"/>
      <c r="AV519" s="48"/>
      <c r="AW519" s="48"/>
      <c r="AX519" s="48"/>
      <c r="AY519" s="48"/>
    </row>
    <row r="520" spans="1:51">
      <c r="A520" s="48"/>
      <c r="B520" s="48"/>
      <c r="C520" s="48"/>
      <c r="D520" s="48"/>
      <c r="E520" s="48"/>
      <c r="F520" s="48"/>
      <c r="G520" s="48"/>
      <c r="H520" s="48"/>
      <c r="I520" s="48"/>
      <c r="J520" s="48"/>
      <c r="K520" s="48"/>
      <c r="L520" s="48"/>
      <c r="M520" s="48"/>
      <c r="N520" s="48"/>
      <c r="O520" s="48"/>
      <c r="P520" s="48"/>
      <c r="Q520" s="48"/>
      <c r="R520" s="48"/>
      <c r="S520" s="48"/>
      <c r="T520" s="48"/>
      <c r="U520" s="48"/>
      <c r="V520" s="48"/>
      <c r="W520" s="48"/>
      <c r="X520" s="48"/>
      <c r="Y520" s="48"/>
      <c r="Z520" s="48"/>
      <c r="AA520" s="48"/>
      <c r="AB520" s="48"/>
      <c r="AC520" s="48"/>
      <c r="AD520" s="48"/>
      <c r="AE520" s="48"/>
      <c r="AF520" s="48"/>
      <c r="AG520" s="48"/>
      <c r="AH520" s="48"/>
      <c r="AI520" s="48"/>
      <c r="AJ520" s="48"/>
      <c r="AK520" s="48"/>
      <c r="AL520" s="48"/>
      <c r="AM520" s="48"/>
      <c r="AN520" s="48"/>
      <c r="AO520" s="48"/>
      <c r="AP520" s="48"/>
      <c r="AQ520" s="48"/>
      <c r="AR520" s="48"/>
      <c r="AS520" s="48"/>
      <c r="AT520" s="48"/>
      <c r="AU520" s="48"/>
      <c r="AV520" s="48"/>
      <c r="AW520" s="48"/>
      <c r="AX520" s="48"/>
      <c r="AY520" s="48"/>
    </row>
    <row r="521" spans="1:51">
      <c r="A521" s="48"/>
      <c r="B521" s="48"/>
      <c r="C521" s="48"/>
      <c r="D521" s="48"/>
      <c r="E521" s="48"/>
      <c r="F521" s="48"/>
      <c r="G521" s="48"/>
      <c r="H521" s="48"/>
      <c r="I521" s="48"/>
      <c r="J521" s="48"/>
      <c r="K521" s="48"/>
      <c r="L521" s="48"/>
      <c r="M521" s="48"/>
      <c r="N521" s="48"/>
      <c r="O521" s="48"/>
      <c r="P521" s="48"/>
      <c r="Q521" s="48"/>
      <c r="R521" s="48"/>
      <c r="S521" s="48"/>
      <c r="T521" s="48"/>
      <c r="U521" s="48"/>
      <c r="V521" s="48"/>
      <c r="W521" s="48"/>
      <c r="X521" s="48"/>
      <c r="Y521" s="48"/>
      <c r="Z521" s="48"/>
      <c r="AA521" s="48"/>
      <c r="AB521" s="48"/>
      <c r="AC521" s="48"/>
      <c r="AD521" s="48"/>
      <c r="AE521" s="48"/>
      <c r="AF521" s="48"/>
      <c r="AG521" s="48"/>
      <c r="AH521" s="48"/>
      <c r="AI521" s="48"/>
      <c r="AJ521" s="48"/>
      <c r="AK521" s="48"/>
      <c r="AL521" s="48"/>
      <c r="AM521" s="48"/>
      <c r="AN521" s="48"/>
      <c r="AO521" s="48"/>
      <c r="AP521" s="48"/>
      <c r="AQ521" s="48"/>
      <c r="AR521" s="48"/>
      <c r="AS521" s="48"/>
      <c r="AT521" s="48"/>
      <c r="AU521" s="48"/>
      <c r="AV521" s="48"/>
      <c r="AW521" s="48"/>
      <c r="AX521" s="48"/>
      <c r="AY521" s="48"/>
    </row>
    <row r="522" spans="1:51">
      <c r="A522" s="48"/>
      <c r="B522" s="48"/>
      <c r="C522" s="48"/>
      <c r="D522" s="48"/>
      <c r="E522" s="48"/>
      <c r="F522" s="48"/>
      <c r="G522" s="48"/>
      <c r="H522" s="48"/>
      <c r="I522" s="48"/>
      <c r="J522" s="48"/>
      <c r="K522" s="48"/>
      <c r="L522" s="48"/>
      <c r="M522" s="48"/>
      <c r="N522" s="48"/>
      <c r="O522" s="48"/>
      <c r="P522" s="48"/>
      <c r="Q522" s="48"/>
      <c r="R522" s="48"/>
      <c r="S522" s="48"/>
      <c r="T522" s="48"/>
      <c r="U522" s="48"/>
      <c r="V522" s="48"/>
      <c r="W522" s="48"/>
      <c r="X522" s="48"/>
      <c r="Y522" s="48"/>
      <c r="Z522" s="48"/>
      <c r="AA522" s="48"/>
      <c r="AB522" s="48"/>
      <c r="AC522" s="48"/>
      <c r="AD522" s="48"/>
      <c r="AE522" s="48"/>
      <c r="AF522" s="48"/>
      <c r="AG522" s="48"/>
      <c r="AH522" s="48"/>
      <c r="AI522" s="48"/>
      <c r="AJ522" s="48"/>
      <c r="AK522" s="48"/>
      <c r="AL522" s="48"/>
      <c r="AM522" s="48"/>
      <c r="AN522" s="48"/>
      <c r="AO522" s="48"/>
      <c r="AP522" s="48"/>
      <c r="AQ522" s="48"/>
      <c r="AR522" s="48"/>
      <c r="AS522" s="48"/>
      <c r="AT522" s="48"/>
      <c r="AU522" s="48"/>
      <c r="AV522" s="48"/>
      <c r="AW522" s="48"/>
      <c r="AX522" s="48"/>
      <c r="AY522" s="48"/>
    </row>
    <row r="523" spans="1:51">
      <c r="A523" s="48"/>
      <c r="B523" s="48"/>
      <c r="C523" s="48"/>
      <c r="D523" s="48"/>
      <c r="E523" s="48"/>
      <c r="F523" s="48"/>
      <c r="G523" s="48"/>
      <c r="H523" s="48"/>
      <c r="I523" s="48"/>
      <c r="J523" s="48"/>
      <c r="K523" s="48"/>
      <c r="L523" s="48"/>
      <c r="M523" s="48"/>
      <c r="N523" s="48"/>
      <c r="O523" s="48"/>
      <c r="P523" s="48"/>
      <c r="Q523" s="48"/>
      <c r="R523" s="48"/>
      <c r="S523" s="48"/>
      <c r="T523" s="48"/>
      <c r="U523" s="48"/>
      <c r="V523" s="48"/>
      <c r="W523" s="48"/>
      <c r="X523" s="48"/>
      <c r="Y523" s="48"/>
      <c r="Z523" s="48"/>
      <c r="AA523" s="48"/>
      <c r="AB523" s="48"/>
      <c r="AC523" s="48"/>
      <c r="AD523" s="48"/>
      <c r="AE523" s="48"/>
      <c r="AF523" s="48"/>
      <c r="AG523" s="48"/>
      <c r="AH523" s="48"/>
      <c r="AI523" s="48"/>
      <c r="AJ523" s="48"/>
      <c r="AK523" s="48"/>
      <c r="AL523" s="48"/>
      <c r="AM523" s="48"/>
      <c r="AN523" s="48"/>
      <c r="AO523" s="48"/>
      <c r="AP523" s="48"/>
      <c r="AQ523" s="48"/>
      <c r="AR523" s="48"/>
      <c r="AS523" s="48"/>
      <c r="AT523" s="48"/>
      <c r="AU523" s="48"/>
      <c r="AV523" s="48"/>
      <c r="AW523" s="48"/>
      <c r="AX523" s="48"/>
      <c r="AY523" s="48"/>
    </row>
    <row r="524" spans="1:51">
      <c r="A524" s="48"/>
      <c r="B524" s="48"/>
      <c r="C524" s="48"/>
      <c r="D524" s="48"/>
      <c r="E524" s="48"/>
      <c r="F524" s="48"/>
      <c r="G524" s="48"/>
      <c r="H524" s="48"/>
      <c r="I524" s="48"/>
      <c r="J524" s="48"/>
      <c r="K524" s="48"/>
      <c r="L524" s="48"/>
      <c r="M524" s="48"/>
      <c r="N524" s="48"/>
      <c r="O524" s="48"/>
      <c r="P524" s="48"/>
      <c r="Q524" s="48"/>
      <c r="R524" s="48"/>
      <c r="S524" s="48"/>
      <c r="T524" s="48"/>
      <c r="U524" s="48"/>
      <c r="V524" s="48"/>
      <c r="W524" s="48"/>
      <c r="X524" s="48"/>
      <c r="Y524" s="48"/>
      <c r="Z524" s="48"/>
      <c r="AA524" s="48"/>
      <c r="AB524" s="48"/>
      <c r="AC524" s="48"/>
      <c r="AD524" s="48"/>
      <c r="AE524" s="48"/>
      <c r="AF524" s="48"/>
      <c r="AG524" s="48"/>
      <c r="AH524" s="48"/>
      <c r="AI524" s="48"/>
      <c r="AJ524" s="48"/>
      <c r="AK524" s="48"/>
      <c r="AL524" s="48"/>
      <c r="AM524" s="48"/>
      <c r="AN524" s="48"/>
      <c r="AO524" s="48"/>
      <c r="AP524" s="48"/>
      <c r="AQ524" s="48"/>
      <c r="AR524" s="48"/>
      <c r="AS524" s="48"/>
      <c r="AT524" s="48"/>
      <c r="AU524" s="48"/>
      <c r="AV524" s="48"/>
      <c r="AW524" s="48"/>
      <c r="AX524" s="48"/>
      <c r="AY524" s="48"/>
    </row>
    <row r="525" spans="1:51">
      <c r="A525" s="48"/>
      <c r="B525" s="48"/>
      <c r="C525" s="48"/>
      <c r="D525" s="48"/>
      <c r="E525" s="48"/>
      <c r="F525" s="48"/>
      <c r="G525" s="48"/>
      <c r="H525" s="48"/>
      <c r="I525" s="48"/>
      <c r="J525" s="48"/>
      <c r="K525" s="48"/>
      <c r="L525" s="48"/>
      <c r="M525" s="48"/>
      <c r="N525" s="48"/>
      <c r="O525" s="48"/>
      <c r="P525" s="48"/>
      <c r="Q525" s="48"/>
      <c r="R525" s="48"/>
      <c r="S525" s="48"/>
      <c r="T525" s="48"/>
      <c r="U525" s="48"/>
      <c r="V525" s="48"/>
      <c r="W525" s="48"/>
      <c r="X525" s="48"/>
      <c r="Y525" s="48"/>
      <c r="Z525" s="48"/>
      <c r="AA525" s="48"/>
      <c r="AB525" s="48"/>
      <c r="AC525" s="48"/>
      <c r="AD525" s="48"/>
      <c r="AE525" s="48"/>
      <c r="AF525" s="48"/>
      <c r="AG525" s="48"/>
      <c r="AH525" s="48"/>
      <c r="AI525" s="48"/>
      <c r="AJ525" s="48"/>
      <c r="AK525" s="48"/>
      <c r="AL525" s="48"/>
      <c r="AM525" s="48"/>
      <c r="AN525" s="48"/>
      <c r="AO525" s="48"/>
      <c r="AP525" s="48"/>
      <c r="AQ525" s="48"/>
      <c r="AR525" s="48"/>
      <c r="AS525" s="48"/>
      <c r="AT525" s="48"/>
      <c r="AU525" s="48"/>
      <c r="AV525" s="48"/>
      <c r="AW525" s="48"/>
      <c r="AX525" s="48"/>
      <c r="AY525" s="48"/>
    </row>
    <row r="526" spans="1:51">
      <c r="A526" s="48"/>
      <c r="B526" s="48"/>
      <c r="C526" s="48"/>
      <c r="D526" s="48"/>
      <c r="E526" s="48"/>
      <c r="F526" s="48"/>
      <c r="G526" s="48"/>
      <c r="H526" s="48"/>
      <c r="I526" s="48"/>
      <c r="J526" s="48"/>
      <c r="K526" s="48"/>
      <c r="L526" s="48"/>
      <c r="M526" s="48"/>
      <c r="N526" s="48"/>
      <c r="O526" s="48"/>
      <c r="P526" s="48"/>
      <c r="Q526" s="48"/>
      <c r="R526" s="48"/>
      <c r="S526" s="48"/>
      <c r="T526" s="48"/>
      <c r="U526" s="48"/>
      <c r="V526" s="48"/>
      <c r="W526" s="48"/>
      <c r="X526" s="48"/>
      <c r="Y526" s="48"/>
      <c r="Z526" s="48"/>
      <c r="AA526" s="48"/>
      <c r="AB526" s="48"/>
      <c r="AC526" s="48"/>
      <c r="AD526" s="48"/>
      <c r="AE526" s="48"/>
      <c r="AF526" s="48"/>
      <c r="AG526" s="48"/>
      <c r="AH526" s="48"/>
      <c r="AI526" s="48"/>
      <c r="AJ526" s="48"/>
      <c r="AK526" s="48"/>
      <c r="AL526" s="48"/>
      <c r="AM526" s="48"/>
      <c r="AN526" s="48"/>
      <c r="AO526" s="48"/>
      <c r="AP526" s="48"/>
      <c r="AQ526" s="48"/>
      <c r="AR526" s="48"/>
      <c r="AS526" s="48"/>
      <c r="AT526" s="48"/>
      <c r="AU526" s="48"/>
      <c r="AV526" s="48"/>
      <c r="AW526" s="48"/>
      <c r="AX526" s="48"/>
      <c r="AY526" s="48"/>
    </row>
    <row r="527" spans="1:51">
      <c r="A527" s="48"/>
      <c r="B527" s="48"/>
      <c r="C527" s="48"/>
      <c r="D527" s="48"/>
      <c r="E527" s="48"/>
      <c r="F527" s="48"/>
      <c r="G527" s="48"/>
      <c r="H527" s="48"/>
      <c r="I527" s="48"/>
      <c r="J527" s="48"/>
      <c r="K527" s="48"/>
      <c r="L527" s="48"/>
      <c r="M527" s="48"/>
      <c r="N527" s="48"/>
      <c r="O527" s="48"/>
      <c r="P527" s="48"/>
      <c r="Q527" s="48"/>
      <c r="R527" s="48"/>
      <c r="S527" s="48"/>
      <c r="T527" s="48"/>
      <c r="U527" s="48"/>
      <c r="V527" s="48"/>
      <c r="W527" s="48"/>
      <c r="X527" s="48"/>
      <c r="Y527" s="48"/>
      <c r="Z527" s="48"/>
      <c r="AA527" s="48"/>
      <c r="AB527" s="48"/>
      <c r="AC527" s="48"/>
      <c r="AD527" s="48"/>
      <c r="AE527" s="48"/>
      <c r="AF527" s="48"/>
      <c r="AG527" s="48"/>
      <c r="AH527" s="48"/>
      <c r="AI527" s="48"/>
      <c r="AJ527" s="48"/>
      <c r="AK527" s="48"/>
      <c r="AL527" s="48"/>
      <c r="AM527" s="48"/>
      <c r="AN527" s="48"/>
      <c r="AO527" s="48"/>
      <c r="AP527" s="48"/>
      <c r="AQ527" s="48"/>
      <c r="AR527" s="48"/>
      <c r="AS527" s="48"/>
      <c r="AT527" s="48"/>
      <c r="AU527" s="48"/>
      <c r="AV527" s="48"/>
      <c r="AW527" s="48"/>
      <c r="AX527" s="48"/>
      <c r="AY527" s="48"/>
    </row>
    <row r="528" spans="1:51">
      <c r="A528" s="48"/>
      <c r="B528" s="48"/>
      <c r="C528" s="48"/>
      <c r="D528" s="48"/>
      <c r="E528" s="48"/>
      <c r="F528" s="48"/>
      <c r="G528" s="48"/>
      <c r="H528" s="48"/>
      <c r="I528" s="48"/>
      <c r="J528" s="48"/>
      <c r="K528" s="48"/>
      <c r="L528" s="48"/>
      <c r="M528" s="48"/>
      <c r="N528" s="48"/>
      <c r="O528" s="48"/>
      <c r="P528" s="48"/>
      <c r="Q528" s="48"/>
      <c r="R528" s="48"/>
      <c r="S528" s="48"/>
      <c r="T528" s="48"/>
      <c r="U528" s="48"/>
      <c r="V528" s="48"/>
      <c r="W528" s="48"/>
      <c r="X528" s="48"/>
      <c r="Y528" s="48"/>
      <c r="Z528" s="48"/>
      <c r="AA528" s="48"/>
      <c r="AB528" s="48"/>
      <c r="AC528" s="48"/>
      <c r="AD528" s="48"/>
      <c r="AE528" s="48"/>
      <c r="AF528" s="48"/>
      <c r="AG528" s="48"/>
      <c r="AH528" s="48"/>
      <c r="AI528" s="48"/>
      <c r="AJ528" s="48"/>
      <c r="AK528" s="48"/>
      <c r="AL528" s="48"/>
      <c r="AM528" s="48"/>
      <c r="AN528" s="48"/>
      <c r="AO528" s="48"/>
      <c r="AP528" s="48"/>
      <c r="AQ528" s="48"/>
      <c r="AR528" s="48"/>
      <c r="AS528" s="48"/>
      <c r="AT528" s="48"/>
      <c r="AU528" s="48"/>
      <c r="AV528" s="48"/>
      <c r="AW528" s="48"/>
      <c r="AX528" s="48"/>
      <c r="AY528" s="48"/>
    </row>
    <row r="529" spans="1:51">
      <c r="A529" s="48"/>
      <c r="B529" s="48"/>
      <c r="C529" s="48"/>
      <c r="D529" s="48"/>
      <c r="E529" s="48"/>
      <c r="F529" s="48"/>
      <c r="G529" s="48"/>
      <c r="H529" s="48"/>
      <c r="I529" s="48"/>
      <c r="J529" s="48"/>
      <c r="K529" s="48"/>
      <c r="L529" s="48"/>
      <c r="M529" s="48"/>
      <c r="N529" s="48"/>
      <c r="O529" s="48"/>
      <c r="P529" s="48"/>
      <c r="Q529" s="48"/>
      <c r="R529" s="48"/>
      <c r="S529" s="48"/>
      <c r="T529" s="48"/>
      <c r="U529" s="48"/>
      <c r="V529" s="48"/>
      <c r="W529" s="48"/>
      <c r="X529" s="48"/>
      <c r="Y529" s="48"/>
      <c r="Z529" s="48"/>
      <c r="AA529" s="48"/>
      <c r="AB529" s="48"/>
      <c r="AC529" s="48"/>
      <c r="AD529" s="48"/>
      <c r="AE529" s="48"/>
      <c r="AF529" s="48"/>
      <c r="AG529" s="48"/>
      <c r="AH529" s="48"/>
      <c r="AI529" s="48"/>
      <c r="AJ529" s="48"/>
      <c r="AK529" s="48"/>
      <c r="AL529" s="48"/>
      <c r="AM529" s="48"/>
      <c r="AN529" s="48"/>
      <c r="AO529" s="48"/>
      <c r="AP529" s="48"/>
      <c r="AQ529" s="48"/>
      <c r="AR529" s="48"/>
      <c r="AS529" s="48"/>
      <c r="AT529" s="48"/>
      <c r="AU529" s="48"/>
      <c r="AV529" s="48"/>
      <c r="AW529" s="48"/>
      <c r="AX529" s="48"/>
      <c r="AY529" s="48"/>
    </row>
    <row r="530" spans="1:51">
      <c r="A530" s="48"/>
      <c r="B530" s="48"/>
      <c r="C530" s="48"/>
      <c r="D530" s="48"/>
      <c r="E530" s="48"/>
      <c r="F530" s="48"/>
      <c r="G530" s="48"/>
      <c r="H530" s="48"/>
      <c r="I530" s="48"/>
      <c r="J530" s="48"/>
      <c r="K530" s="48"/>
      <c r="L530" s="48"/>
      <c r="M530" s="48"/>
      <c r="N530" s="48"/>
      <c r="O530" s="48"/>
      <c r="P530" s="48"/>
      <c r="Q530" s="48"/>
      <c r="R530" s="48"/>
      <c r="S530" s="48"/>
      <c r="T530" s="48"/>
      <c r="U530" s="48"/>
      <c r="V530" s="48"/>
      <c r="W530" s="48"/>
      <c r="X530" s="48"/>
      <c r="Y530" s="48"/>
      <c r="Z530" s="48"/>
      <c r="AA530" s="48"/>
      <c r="AB530" s="48"/>
      <c r="AC530" s="48"/>
      <c r="AD530" s="48"/>
      <c r="AE530" s="48"/>
      <c r="AF530" s="48"/>
      <c r="AG530" s="48"/>
      <c r="AH530" s="48"/>
      <c r="AI530" s="48"/>
      <c r="AJ530" s="48"/>
      <c r="AK530" s="48"/>
      <c r="AL530" s="48"/>
      <c r="AM530" s="48"/>
      <c r="AN530" s="48"/>
      <c r="AO530" s="48"/>
      <c r="AP530" s="48"/>
      <c r="AQ530" s="48"/>
      <c r="AR530" s="48"/>
      <c r="AS530" s="48"/>
      <c r="AT530" s="48"/>
      <c r="AU530" s="48"/>
      <c r="AV530" s="48"/>
      <c r="AW530" s="48"/>
      <c r="AX530" s="48"/>
      <c r="AY530" s="48"/>
    </row>
    <row r="531" spans="1:51">
      <c r="A531" s="48"/>
      <c r="B531" s="48"/>
      <c r="C531" s="48"/>
      <c r="D531" s="48"/>
      <c r="E531" s="48"/>
      <c r="F531" s="48"/>
      <c r="G531" s="48"/>
      <c r="H531" s="48"/>
      <c r="I531" s="48"/>
      <c r="J531" s="48"/>
      <c r="K531" s="48"/>
      <c r="L531" s="48"/>
      <c r="M531" s="48"/>
      <c r="N531" s="48"/>
      <c r="O531" s="48"/>
      <c r="P531" s="48"/>
      <c r="Q531" s="48"/>
      <c r="R531" s="48"/>
      <c r="S531" s="48"/>
      <c r="T531" s="48"/>
      <c r="U531" s="48"/>
      <c r="V531" s="48"/>
      <c r="W531" s="48"/>
      <c r="X531" s="48"/>
      <c r="Y531" s="48"/>
      <c r="Z531" s="48"/>
      <c r="AA531" s="48"/>
      <c r="AB531" s="48"/>
      <c r="AC531" s="48"/>
      <c r="AD531" s="48"/>
      <c r="AE531" s="48"/>
      <c r="AF531" s="48"/>
      <c r="AG531" s="48"/>
      <c r="AH531" s="48"/>
      <c r="AI531" s="48"/>
      <c r="AJ531" s="48"/>
      <c r="AK531" s="48"/>
      <c r="AL531" s="48"/>
      <c r="AM531" s="48"/>
      <c r="AN531" s="48"/>
      <c r="AO531" s="48"/>
      <c r="AP531" s="48"/>
      <c r="AQ531" s="48"/>
      <c r="AR531" s="48"/>
      <c r="AS531" s="48"/>
      <c r="AT531" s="48"/>
      <c r="AU531" s="48"/>
      <c r="AV531" s="48"/>
      <c r="AW531" s="48"/>
      <c r="AX531" s="48"/>
      <c r="AY531" s="48"/>
    </row>
    <row r="532" spans="1:51">
      <c r="A532" s="48"/>
      <c r="B532" s="48"/>
      <c r="C532" s="48"/>
      <c r="D532" s="48"/>
      <c r="E532" s="48"/>
      <c r="F532" s="48"/>
      <c r="G532" s="48"/>
      <c r="H532" s="48"/>
      <c r="I532" s="48"/>
      <c r="J532" s="48"/>
      <c r="K532" s="48"/>
      <c r="L532" s="48"/>
      <c r="M532" s="48"/>
      <c r="N532" s="48"/>
      <c r="O532" s="48"/>
      <c r="P532" s="48"/>
      <c r="Q532" s="48"/>
      <c r="R532" s="48"/>
      <c r="S532" s="48"/>
      <c r="T532" s="48"/>
      <c r="U532" s="48"/>
      <c r="V532" s="48"/>
      <c r="W532" s="48"/>
      <c r="X532" s="48"/>
      <c r="Y532" s="48"/>
      <c r="Z532" s="48"/>
      <c r="AA532" s="48"/>
      <c r="AB532" s="48"/>
      <c r="AC532" s="48"/>
      <c r="AD532" s="48"/>
      <c r="AE532" s="48"/>
      <c r="AF532" s="48"/>
      <c r="AG532" s="48"/>
      <c r="AH532" s="48"/>
      <c r="AI532" s="48"/>
      <c r="AJ532" s="48"/>
      <c r="AK532" s="48"/>
      <c r="AL532" s="48"/>
      <c r="AM532" s="48"/>
      <c r="AN532" s="48"/>
      <c r="AO532" s="48"/>
      <c r="AP532" s="48"/>
      <c r="AQ532" s="48"/>
      <c r="AR532" s="48"/>
      <c r="AS532" s="48"/>
      <c r="AT532" s="48"/>
      <c r="AU532" s="48"/>
      <c r="AV532" s="48"/>
      <c r="AW532" s="48"/>
      <c r="AX532" s="48"/>
      <c r="AY532" s="48"/>
    </row>
    <row r="533" spans="1:51">
      <c r="A533" s="48"/>
      <c r="B533" s="48"/>
      <c r="C533" s="48"/>
      <c r="D533" s="48"/>
      <c r="E533" s="48"/>
      <c r="F533" s="48"/>
      <c r="G533" s="48"/>
      <c r="H533" s="48"/>
      <c r="I533" s="48"/>
      <c r="J533" s="48"/>
      <c r="K533" s="48"/>
      <c r="L533" s="48"/>
      <c r="M533" s="48"/>
      <c r="N533" s="48"/>
      <c r="O533" s="48"/>
      <c r="P533" s="48"/>
      <c r="Q533" s="48"/>
      <c r="R533" s="48"/>
      <c r="S533" s="48"/>
      <c r="T533" s="48"/>
      <c r="U533" s="48"/>
      <c r="V533" s="48"/>
      <c r="W533" s="48"/>
      <c r="X533" s="48"/>
      <c r="Y533" s="48"/>
      <c r="Z533" s="48"/>
      <c r="AA533" s="48"/>
      <c r="AB533" s="48"/>
      <c r="AC533" s="48"/>
      <c r="AD533" s="48"/>
      <c r="AE533" s="48"/>
      <c r="AF533" s="48"/>
      <c r="AG533" s="48"/>
      <c r="AH533" s="48"/>
      <c r="AI533" s="48"/>
      <c r="AJ533" s="48"/>
      <c r="AK533" s="48"/>
      <c r="AL533" s="48"/>
      <c r="AM533" s="48"/>
      <c r="AN533" s="48"/>
      <c r="AO533" s="48"/>
      <c r="AP533" s="48"/>
      <c r="AQ533" s="48"/>
      <c r="AR533" s="48"/>
      <c r="AS533" s="48"/>
      <c r="AT533" s="48"/>
      <c r="AU533" s="48"/>
      <c r="AV533" s="48"/>
      <c r="AW533" s="48"/>
      <c r="AX533" s="48"/>
      <c r="AY533" s="48"/>
    </row>
    <row r="534" spans="1:51">
      <c r="A534" s="48"/>
      <c r="B534" s="48"/>
      <c r="C534" s="48"/>
      <c r="D534" s="48"/>
      <c r="E534" s="48"/>
      <c r="F534" s="48"/>
      <c r="G534" s="48"/>
      <c r="H534" s="48"/>
      <c r="I534" s="48"/>
      <c r="J534" s="48"/>
      <c r="K534" s="48"/>
      <c r="L534" s="48"/>
      <c r="M534" s="48"/>
      <c r="N534" s="48"/>
      <c r="O534" s="48"/>
      <c r="P534" s="48"/>
      <c r="Q534" s="48"/>
      <c r="R534" s="48"/>
      <c r="S534" s="48"/>
      <c r="T534" s="48"/>
      <c r="U534" s="48"/>
      <c r="V534" s="48"/>
      <c r="W534" s="48"/>
      <c r="X534" s="48"/>
      <c r="Y534" s="48"/>
      <c r="Z534" s="48"/>
      <c r="AA534" s="48"/>
      <c r="AB534" s="48"/>
      <c r="AC534" s="48"/>
      <c r="AD534" s="48"/>
      <c r="AE534" s="48"/>
      <c r="AF534" s="48"/>
      <c r="AG534" s="48"/>
      <c r="AH534" s="48"/>
      <c r="AI534" s="48"/>
      <c r="AJ534" s="48"/>
      <c r="AK534" s="48"/>
      <c r="AL534" s="48"/>
      <c r="AM534" s="48"/>
      <c r="AN534" s="48"/>
      <c r="AO534" s="48"/>
      <c r="AP534" s="48"/>
      <c r="AQ534" s="48"/>
      <c r="AR534" s="48"/>
      <c r="AS534" s="48"/>
      <c r="AT534" s="48"/>
      <c r="AU534" s="48"/>
      <c r="AV534" s="48"/>
      <c r="AW534" s="48"/>
      <c r="AX534" s="48"/>
      <c r="AY534" s="48"/>
    </row>
    <row r="535" spans="1:51">
      <c r="A535" s="48"/>
      <c r="B535" s="48"/>
      <c r="C535" s="48"/>
      <c r="D535" s="48"/>
      <c r="E535" s="48"/>
      <c r="F535" s="48"/>
      <c r="G535" s="48"/>
      <c r="H535" s="48"/>
      <c r="I535" s="48"/>
      <c r="J535" s="48"/>
      <c r="K535" s="48"/>
      <c r="L535" s="48"/>
      <c r="M535" s="48"/>
      <c r="N535" s="48"/>
      <c r="O535" s="48"/>
      <c r="P535" s="48"/>
      <c r="Q535" s="48"/>
      <c r="R535" s="48"/>
      <c r="S535" s="48"/>
      <c r="T535" s="48"/>
      <c r="U535" s="48"/>
      <c r="V535" s="48"/>
      <c r="W535" s="48"/>
      <c r="X535" s="48"/>
      <c r="Y535" s="48"/>
      <c r="Z535" s="48"/>
      <c r="AA535" s="48"/>
      <c r="AB535" s="48"/>
      <c r="AC535" s="48"/>
      <c r="AD535" s="48"/>
      <c r="AE535" s="48"/>
      <c r="AF535" s="48"/>
      <c r="AG535" s="48"/>
      <c r="AH535" s="48"/>
      <c r="AI535" s="48"/>
      <c r="AJ535" s="48"/>
      <c r="AK535" s="48"/>
      <c r="AL535" s="48"/>
      <c r="AM535" s="48"/>
      <c r="AN535" s="48"/>
      <c r="AO535" s="48"/>
      <c r="AP535" s="48"/>
      <c r="AQ535" s="48"/>
      <c r="AR535" s="48"/>
      <c r="AS535" s="48"/>
      <c r="AT535" s="48"/>
      <c r="AU535" s="48"/>
      <c r="AV535" s="48"/>
      <c r="AW535" s="48"/>
      <c r="AX535" s="48"/>
      <c r="AY535" s="48"/>
    </row>
    <row r="536" spans="1:51">
      <c r="A536" s="48"/>
      <c r="B536" s="48"/>
      <c r="C536" s="48"/>
      <c r="D536" s="48"/>
      <c r="E536" s="48"/>
      <c r="F536" s="48"/>
      <c r="G536" s="48"/>
      <c r="H536" s="48"/>
      <c r="I536" s="48"/>
      <c r="J536" s="48"/>
      <c r="K536" s="48"/>
      <c r="L536" s="48"/>
      <c r="M536" s="48"/>
      <c r="N536" s="48"/>
      <c r="O536" s="48"/>
      <c r="P536" s="48"/>
      <c r="Q536" s="48"/>
      <c r="R536" s="48"/>
      <c r="S536" s="48"/>
      <c r="T536" s="48"/>
      <c r="U536" s="48"/>
      <c r="V536" s="48"/>
      <c r="W536" s="48"/>
      <c r="X536" s="48"/>
      <c r="Y536" s="48"/>
      <c r="Z536" s="48"/>
      <c r="AA536" s="48"/>
      <c r="AB536" s="48"/>
      <c r="AC536" s="48"/>
      <c r="AD536" s="48"/>
      <c r="AE536" s="48"/>
      <c r="AF536" s="48"/>
      <c r="AG536" s="48"/>
      <c r="AH536" s="48"/>
      <c r="AI536" s="48"/>
      <c r="AJ536" s="48"/>
      <c r="AK536" s="48"/>
      <c r="AL536" s="48"/>
      <c r="AM536" s="48"/>
      <c r="AN536" s="48"/>
      <c r="AO536" s="48"/>
      <c r="AP536" s="48"/>
      <c r="AQ536" s="48"/>
      <c r="AR536" s="48"/>
      <c r="AS536" s="48"/>
      <c r="AT536" s="48"/>
      <c r="AU536" s="48"/>
      <c r="AV536" s="48"/>
      <c r="AW536" s="48"/>
      <c r="AX536" s="48"/>
      <c r="AY536" s="48"/>
    </row>
    <row r="537" spans="1:51">
      <c r="A537" s="48"/>
      <c r="B537" s="48"/>
      <c r="C537" s="48"/>
      <c r="D537" s="48"/>
      <c r="E537" s="48"/>
      <c r="F537" s="48"/>
      <c r="G537" s="48"/>
      <c r="H537" s="48"/>
      <c r="I537" s="48"/>
      <c r="J537" s="48"/>
      <c r="K537" s="48"/>
      <c r="L537" s="48"/>
      <c r="M537" s="48"/>
      <c r="N537" s="48"/>
      <c r="O537" s="48"/>
      <c r="P537" s="48"/>
      <c r="Q537" s="48"/>
      <c r="R537" s="48"/>
      <c r="S537" s="48"/>
      <c r="T537" s="48"/>
      <c r="U537" s="48"/>
      <c r="V537" s="48"/>
      <c r="W537" s="48"/>
      <c r="X537" s="48"/>
      <c r="Y537" s="48"/>
      <c r="Z537" s="48"/>
      <c r="AA537" s="48"/>
      <c r="AB537" s="48"/>
      <c r="AC537" s="48"/>
      <c r="AD537" s="48"/>
      <c r="AE537" s="48"/>
      <c r="AF537" s="48"/>
      <c r="AG537" s="48"/>
      <c r="AH537" s="48"/>
      <c r="AI537" s="48"/>
      <c r="AJ537" s="48"/>
      <c r="AK537" s="48"/>
      <c r="AL537" s="48"/>
      <c r="AM537" s="48"/>
      <c r="AN537" s="48"/>
      <c r="AO537" s="48"/>
      <c r="AP537" s="48"/>
      <c r="AQ537" s="48"/>
      <c r="AR537" s="48"/>
      <c r="AS537" s="48"/>
      <c r="AT537" s="48"/>
      <c r="AU537" s="48"/>
      <c r="AV537" s="48"/>
      <c r="AW537" s="48"/>
      <c r="AX537" s="48"/>
      <c r="AY537" s="48"/>
    </row>
    <row r="538" spans="1:51">
      <c r="A538" s="48"/>
      <c r="B538" s="48"/>
      <c r="C538" s="48"/>
      <c r="D538" s="48"/>
      <c r="E538" s="48"/>
      <c r="F538" s="48"/>
      <c r="G538" s="48"/>
      <c r="H538" s="48"/>
      <c r="I538" s="48"/>
      <c r="J538" s="48"/>
      <c r="K538" s="48"/>
      <c r="L538" s="48"/>
      <c r="M538" s="48"/>
      <c r="N538" s="48"/>
      <c r="O538" s="48"/>
      <c r="P538" s="48"/>
      <c r="Q538" s="48"/>
      <c r="R538" s="48"/>
      <c r="S538" s="48"/>
      <c r="T538" s="48"/>
      <c r="U538" s="48"/>
      <c r="V538" s="48"/>
      <c r="W538" s="48"/>
      <c r="X538" s="48"/>
      <c r="Y538" s="48"/>
      <c r="Z538" s="48"/>
      <c r="AA538" s="48"/>
      <c r="AB538" s="48"/>
      <c r="AC538" s="48"/>
      <c r="AD538" s="48"/>
      <c r="AE538" s="48"/>
      <c r="AF538" s="48"/>
      <c r="AG538" s="48"/>
      <c r="AH538" s="48"/>
      <c r="AI538" s="48"/>
      <c r="AJ538" s="48"/>
      <c r="AK538" s="48"/>
      <c r="AL538" s="48"/>
      <c r="AM538" s="48"/>
      <c r="AN538" s="48"/>
      <c r="AO538" s="48"/>
      <c r="AP538" s="48"/>
      <c r="AQ538" s="48"/>
      <c r="AR538" s="48"/>
      <c r="AS538" s="48"/>
      <c r="AT538" s="48"/>
      <c r="AU538" s="48"/>
      <c r="AV538" s="48"/>
      <c r="AW538" s="48"/>
      <c r="AX538" s="48"/>
      <c r="AY538" s="48"/>
    </row>
    <row r="539" spans="1:51">
      <c r="A539" s="48"/>
      <c r="B539" s="48"/>
      <c r="C539" s="48"/>
      <c r="D539" s="48"/>
      <c r="E539" s="48"/>
      <c r="F539" s="48"/>
      <c r="G539" s="48"/>
      <c r="H539" s="48"/>
      <c r="I539" s="48"/>
      <c r="J539" s="48"/>
      <c r="K539" s="48"/>
      <c r="L539" s="48"/>
      <c r="M539" s="48"/>
      <c r="N539" s="48"/>
      <c r="O539" s="48"/>
      <c r="P539" s="48"/>
      <c r="Q539" s="48"/>
      <c r="R539" s="48"/>
      <c r="S539" s="48"/>
      <c r="T539" s="48"/>
      <c r="U539" s="48"/>
      <c r="V539" s="48"/>
      <c r="W539" s="48"/>
      <c r="X539" s="48"/>
      <c r="Y539" s="48"/>
      <c r="Z539" s="48"/>
      <c r="AA539" s="48"/>
      <c r="AB539" s="48"/>
      <c r="AC539" s="48"/>
      <c r="AD539" s="48"/>
      <c r="AE539" s="48"/>
      <c r="AF539" s="48"/>
      <c r="AG539" s="48"/>
      <c r="AH539" s="48"/>
      <c r="AI539" s="48"/>
      <c r="AJ539" s="48"/>
      <c r="AK539" s="48"/>
      <c r="AL539" s="48"/>
      <c r="AM539" s="48"/>
      <c r="AN539" s="48"/>
      <c r="AO539" s="48"/>
      <c r="AP539" s="48"/>
      <c r="AQ539" s="48"/>
      <c r="AR539" s="48"/>
      <c r="AS539" s="48"/>
      <c r="AT539" s="48"/>
      <c r="AU539" s="48"/>
      <c r="AV539" s="48"/>
      <c r="AW539" s="48"/>
      <c r="AX539" s="48"/>
      <c r="AY539" s="48"/>
    </row>
    <row r="540" spans="1:51">
      <c r="A540" s="48"/>
      <c r="B540" s="48"/>
      <c r="C540" s="48"/>
      <c r="D540" s="48"/>
      <c r="E540" s="48"/>
      <c r="F540" s="48"/>
      <c r="G540" s="48"/>
      <c r="H540" s="48"/>
      <c r="I540" s="48"/>
      <c r="J540" s="48"/>
      <c r="K540" s="48"/>
      <c r="L540" s="48"/>
      <c r="M540" s="48"/>
      <c r="N540" s="48"/>
      <c r="O540" s="48"/>
      <c r="P540" s="48"/>
      <c r="Q540" s="48"/>
      <c r="R540" s="48"/>
      <c r="S540" s="48"/>
      <c r="T540" s="48"/>
      <c r="U540" s="48"/>
      <c r="V540" s="48"/>
      <c r="W540" s="48"/>
      <c r="X540" s="48"/>
      <c r="Y540" s="48"/>
      <c r="Z540" s="48"/>
      <c r="AA540" s="48"/>
      <c r="AB540" s="48"/>
      <c r="AC540" s="48"/>
      <c r="AD540" s="48"/>
      <c r="AE540" s="48"/>
      <c r="AF540" s="48"/>
      <c r="AG540" s="48"/>
      <c r="AH540" s="48"/>
      <c r="AI540" s="48"/>
      <c r="AJ540" s="48"/>
      <c r="AK540" s="48"/>
      <c r="AL540" s="48"/>
      <c r="AM540" s="48"/>
      <c r="AN540" s="48"/>
      <c r="AO540" s="48"/>
      <c r="AP540" s="48"/>
      <c r="AQ540" s="48"/>
      <c r="AR540" s="48"/>
      <c r="AS540" s="48"/>
      <c r="AT540" s="48"/>
      <c r="AU540" s="48"/>
      <c r="AV540" s="48"/>
      <c r="AW540" s="48"/>
      <c r="AX540" s="48"/>
      <c r="AY540" s="48"/>
    </row>
    <row r="541" spans="1:51">
      <c r="A541" s="48"/>
      <c r="B541" s="48"/>
      <c r="C541" s="48"/>
      <c r="D541" s="48"/>
      <c r="E541" s="48"/>
      <c r="F541" s="48"/>
      <c r="G541" s="48"/>
      <c r="H541" s="48"/>
      <c r="I541" s="48"/>
      <c r="J541" s="48"/>
      <c r="K541" s="48"/>
      <c r="L541" s="48"/>
      <c r="M541" s="48"/>
      <c r="N541" s="48"/>
      <c r="O541" s="48"/>
      <c r="P541" s="48"/>
      <c r="Q541" s="48"/>
      <c r="R541" s="48"/>
      <c r="S541" s="48"/>
      <c r="T541" s="48"/>
      <c r="U541" s="48"/>
      <c r="V541" s="48"/>
      <c r="W541" s="48"/>
      <c r="X541" s="48"/>
      <c r="Y541" s="48"/>
      <c r="Z541" s="48"/>
      <c r="AA541" s="48"/>
      <c r="AB541" s="48"/>
      <c r="AC541" s="48"/>
      <c r="AD541" s="48"/>
      <c r="AE541" s="48"/>
      <c r="AF541" s="48"/>
      <c r="AG541" s="48"/>
      <c r="AH541" s="48"/>
      <c r="AI541" s="48"/>
      <c r="AJ541" s="48"/>
      <c r="AK541" s="48"/>
      <c r="AL541" s="48"/>
      <c r="AM541" s="48"/>
      <c r="AN541" s="48"/>
      <c r="AO541" s="48"/>
      <c r="AP541" s="48"/>
      <c r="AQ541" s="48"/>
      <c r="AR541" s="48"/>
      <c r="AS541" s="48"/>
      <c r="AT541" s="48"/>
      <c r="AU541" s="48"/>
      <c r="AV541" s="48"/>
      <c r="AW541" s="48"/>
      <c r="AX541" s="48"/>
      <c r="AY541" s="48"/>
    </row>
    <row r="542" spans="1:51">
      <c r="A542" s="48"/>
      <c r="B542" s="48"/>
      <c r="C542" s="48"/>
      <c r="D542" s="48"/>
      <c r="E542" s="48"/>
      <c r="F542" s="48"/>
      <c r="G542" s="48"/>
      <c r="H542" s="48"/>
      <c r="I542" s="48"/>
      <c r="J542" s="48"/>
      <c r="K542" s="48"/>
      <c r="L542" s="48"/>
      <c r="M542" s="48"/>
      <c r="N542" s="48"/>
      <c r="O542" s="48"/>
      <c r="P542" s="48"/>
      <c r="Q542" s="48"/>
      <c r="R542" s="48"/>
      <c r="S542" s="48"/>
      <c r="T542" s="48"/>
      <c r="U542" s="48"/>
      <c r="V542" s="48"/>
      <c r="W542" s="48"/>
      <c r="X542" s="48"/>
      <c r="Y542" s="48"/>
      <c r="Z542" s="48"/>
      <c r="AA542" s="48"/>
      <c r="AB542" s="48"/>
      <c r="AC542" s="48"/>
      <c r="AD542" s="48"/>
      <c r="AE542" s="48"/>
      <c r="AF542" s="48"/>
      <c r="AG542" s="48"/>
      <c r="AH542" s="48"/>
      <c r="AI542" s="48"/>
      <c r="AJ542" s="48"/>
      <c r="AK542" s="48"/>
      <c r="AL542" s="48"/>
      <c r="AM542" s="48"/>
      <c r="AN542" s="48"/>
      <c r="AO542" s="48"/>
      <c r="AP542" s="48"/>
      <c r="AQ542" s="48"/>
      <c r="AR542" s="48"/>
      <c r="AS542" s="48"/>
      <c r="AT542" s="48"/>
      <c r="AU542" s="48"/>
      <c r="AV542" s="48"/>
      <c r="AW542" s="48"/>
      <c r="AX542" s="48"/>
      <c r="AY542" s="48"/>
    </row>
    <row r="543" spans="1:51">
      <c r="A543" s="48"/>
      <c r="B543" s="48"/>
      <c r="C543" s="48"/>
      <c r="D543" s="48"/>
      <c r="E543" s="48"/>
      <c r="F543" s="48"/>
      <c r="G543" s="48"/>
      <c r="H543" s="48"/>
      <c r="I543" s="48"/>
      <c r="J543" s="48"/>
      <c r="K543" s="48"/>
      <c r="L543" s="48"/>
      <c r="M543" s="48"/>
      <c r="N543" s="48"/>
      <c r="O543" s="48"/>
      <c r="P543" s="48"/>
      <c r="Q543" s="48"/>
      <c r="R543" s="48"/>
      <c r="S543" s="48"/>
      <c r="T543" s="48"/>
      <c r="U543" s="48"/>
      <c r="V543" s="48"/>
      <c r="W543" s="48"/>
      <c r="X543" s="48"/>
      <c r="Y543" s="48"/>
      <c r="Z543" s="48"/>
      <c r="AA543" s="48"/>
      <c r="AB543" s="48"/>
      <c r="AC543" s="48"/>
      <c r="AD543" s="48"/>
      <c r="AE543" s="48"/>
      <c r="AF543" s="48"/>
      <c r="AG543" s="48"/>
      <c r="AH543" s="48"/>
      <c r="AI543" s="48"/>
      <c r="AJ543" s="48"/>
      <c r="AK543" s="48"/>
      <c r="AL543" s="48"/>
      <c r="AM543" s="48"/>
      <c r="AN543" s="48"/>
      <c r="AO543" s="48"/>
      <c r="AP543" s="48"/>
      <c r="AQ543" s="48"/>
      <c r="AR543" s="48"/>
      <c r="AS543" s="48"/>
      <c r="AT543" s="48"/>
      <c r="AU543" s="48"/>
      <c r="AV543" s="48"/>
      <c r="AW543" s="48"/>
      <c r="AX543" s="48"/>
      <c r="AY543" s="48"/>
    </row>
    <row r="544" spans="1:51">
      <c r="A544" s="48"/>
      <c r="B544" s="48"/>
      <c r="C544" s="48"/>
      <c r="D544" s="48"/>
      <c r="E544" s="48"/>
      <c r="F544" s="48"/>
      <c r="G544" s="48"/>
      <c r="H544" s="48"/>
      <c r="I544" s="48"/>
      <c r="J544" s="48"/>
      <c r="K544" s="48"/>
      <c r="L544" s="48"/>
      <c r="M544" s="48"/>
      <c r="N544" s="48"/>
      <c r="O544" s="48"/>
      <c r="P544" s="48"/>
      <c r="Q544" s="48"/>
      <c r="R544" s="48"/>
      <c r="S544" s="48"/>
      <c r="T544" s="48"/>
      <c r="U544" s="48"/>
      <c r="V544" s="48"/>
      <c r="W544" s="48"/>
      <c r="X544" s="48"/>
      <c r="Y544" s="48"/>
      <c r="Z544" s="48"/>
      <c r="AA544" s="48"/>
      <c r="AB544" s="48"/>
      <c r="AC544" s="48"/>
      <c r="AD544" s="48"/>
      <c r="AE544" s="48"/>
      <c r="AF544" s="48"/>
      <c r="AG544" s="48"/>
      <c r="AH544" s="48"/>
      <c r="AI544" s="48"/>
      <c r="AJ544" s="48"/>
      <c r="AK544" s="48"/>
      <c r="AL544" s="48"/>
      <c r="AM544" s="48"/>
      <c r="AN544" s="48"/>
      <c r="AO544" s="48"/>
      <c r="AP544" s="48"/>
      <c r="AQ544" s="48"/>
      <c r="AR544" s="48"/>
      <c r="AS544" s="48"/>
      <c r="AT544" s="48"/>
      <c r="AU544" s="48"/>
      <c r="AV544" s="48"/>
      <c r="AW544" s="48"/>
      <c r="AX544" s="48"/>
      <c r="AY544" s="48"/>
    </row>
    <row r="545" spans="1:51">
      <c r="A545" s="48"/>
      <c r="B545" s="48"/>
      <c r="C545" s="48"/>
      <c r="D545" s="48"/>
      <c r="E545" s="48"/>
      <c r="F545" s="48"/>
      <c r="G545" s="48"/>
      <c r="H545" s="48"/>
      <c r="I545" s="48"/>
      <c r="J545" s="48"/>
      <c r="K545" s="48"/>
      <c r="L545" s="48"/>
      <c r="M545" s="48"/>
      <c r="N545" s="48"/>
      <c r="O545" s="48"/>
      <c r="P545" s="48"/>
      <c r="Q545" s="48"/>
      <c r="R545" s="48"/>
      <c r="S545" s="48"/>
      <c r="T545" s="48"/>
      <c r="U545" s="48"/>
      <c r="V545" s="48"/>
      <c r="W545" s="48"/>
      <c r="X545" s="48"/>
      <c r="Y545" s="48"/>
      <c r="Z545" s="48"/>
      <c r="AA545" s="48"/>
      <c r="AB545" s="48"/>
      <c r="AC545" s="48"/>
      <c r="AD545" s="48"/>
      <c r="AE545" s="48"/>
      <c r="AF545" s="48"/>
      <c r="AG545" s="48"/>
      <c r="AH545" s="48"/>
      <c r="AI545" s="48"/>
      <c r="AJ545" s="48"/>
      <c r="AK545" s="48"/>
      <c r="AL545" s="48"/>
      <c r="AM545" s="48"/>
      <c r="AN545" s="48"/>
      <c r="AO545" s="48"/>
      <c r="AP545" s="48"/>
      <c r="AQ545" s="48"/>
      <c r="AR545" s="48"/>
      <c r="AS545" s="48"/>
      <c r="AT545" s="48"/>
      <c r="AU545" s="48"/>
      <c r="AV545" s="48"/>
      <c r="AW545" s="48"/>
      <c r="AX545" s="48"/>
      <c r="AY545" s="48"/>
    </row>
    <row r="546" spans="1:51">
      <c r="A546" s="48"/>
      <c r="B546" s="48"/>
      <c r="C546" s="48"/>
      <c r="D546" s="48"/>
      <c r="E546" s="48"/>
      <c r="F546" s="48"/>
      <c r="G546" s="48"/>
      <c r="H546" s="48"/>
      <c r="I546" s="48"/>
      <c r="J546" s="48"/>
      <c r="K546" s="48"/>
      <c r="L546" s="48"/>
      <c r="M546" s="48"/>
      <c r="N546" s="48"/>
      <c r="O546" s="48"/>
      <c r="P546" s="48"/>
      <c r="Q546" s="48"/>
      <c r="R546" s="48"/>
      <c r="S546" s="48"/>
      <c r="T546" s="48"/>
      <c r="U546" s="48"/>
      <c r="V546" s="48"/>
      <c r="W546" s="48"/>
      <c r="X546" s="48"/>
      <c r="Y546" s="48"/>
      <c r="Z546" s="48"/>
      <c r="AA546" s="48"/>
      <c r="AB546" s="48"/>
      <c r="AC546" s="48"/>
      <c r="AD546" s="48"/>
      <c r="AE546" s="48"/>
      <c r="AF546" s="48"/>
      <c r="AG546" s="48"/>
      <c r="AH546" s="48"/>
      <c r="AI546" s="48"/>
      <c r="AJ546" s="48"/>
      <c r="AK546" s="48"/>
      <c r="AL546" s="48"/>
      <c r="AM546" s="48"/>
      <c r="AN546" s="48"/>
      <c r="AO546" s="48"/>
      <c r="AP546" s="48"/>
      <c r="AQ546" s="48"/>
      <c r="AR546" s="48"/>
      <c r="AS546" s="48"/>
      <c r="AT546" s="48"/>
      <c r="AU546" s="48"/>
      <c r="AV546" s="48"/>
      <c r="AW546" s="48"/>
      <c r="AX546" s="48"/>
      <c r="AY546" s="48"/>
    </row>
    <row r="547" spans="1:51">
      <c r="A547" s="48"/>
      <c r="B547" s="48"/>
      <c r="C547" s="48"/>
      <c r="D547" s="48"/>
      <c r="E547" s="48"/>
      <c r="F547" s="48"/>
      <c r="G547" s="48"/>
      <c r="H547" s="48"/>
      <c r="I547" s="48"/>
      <c r="J547" s="48"/>
      <c r="K547" s="48"/>
      <c r="L547" s="48"/>
      <c r="M547" s="48"/>
      <c r="N547" s="48"/>
      <c r="O547" s="48"/>
      <c r="P547" s="48"/>
      <c r="Q547" s="48"/>
      <c r="R547" s="48"/>
      <c r="S547" s="48"/>
      <c r="T547" s="48"/>
      <c r="U547" s="48"/>
      <c r="V547" s="48"/>
      <c r="W547" s="48"/>
      <c r="X547" s="48"/>
      <c r="Y547" s="48"/>
      <c r="Z547" s="48"/>
      <c r="AA547" s="48"/>
      <c r="AB547" s="48"/>
      <c r="AC547" s="48"/>
      <c r="AD547" s="48"/>
      <c r="AE547" s="48"/>
      <c r="AF547" s="48"/>
      <c r="AG547" s="48"/>
      <c r="AH547" s="48"/>
      <c r="AI547" s="48"/>
      <c r="AJ547" s="48"/>
      <c r="AK547" s="48"/>
      <c r="AL547" s="48"/>
      <c r="AM547" s="48"/>
      <c r="AN547" s="48"/>
      <c r="AO547" s="48"/>
      <c r="AP547" s="48"/>
      <c r="AQ547" s="48"/>
      <c r="AR547" s="48"/>
      <c r="AS547" s="48"/>
      <c r="AT547" s="48"/>
      <c r="AU547" s="48"/>
      <c r="AV547" s="48"/>
      <c r="AW547" s="48"/>
      <c r="AX547" s="48"/>
      <c r="AY547" s="48"/>
    </row>
    <row r="548" spans="1:51">
      <c r="A548" s="48"/>
      <c r="B548" s="48"/>
      <c r="C548" s="48"/>
      <c r="D548" s="48"/>
      <c r="E548" s="48"/>
      <c r="F548" s="48"/>
      <c r="G548" s="48"/>
      <c r="H548" s="48"/>
      <c r="I548" s="48"/>
      <c r="J548" s="48"/>
      <c r="K548" s="48"/>
      <c r="L548" s="48"/>
      <c r="M548" s="48"/>
      <c r="N548" s="48"/>
      <c r="O548" s="48"/>
      <c r="P548" s="48"/>
      <c r="Q548" s="48"/>
      <c r="R548" s="48"/>
      <c r="S548" s="48"/>
      <c r="T548" s="48"/>
      <c r="U548" s="48"/>
      <c r="V548" s="48"/>
      <c r="W548" s="48"/>
      <c r="X548" s="48"/>
      <c r="Y548" s="48"/>
      <c r="Z548" s="48"/>
      <c r="AA548" s="48"/>
      <c r="AB548" s="48"/>
      <c r="AC548" s="48"/>
      <c r="AD548" s="48"/>
      <c r="AE548" s="48"/>
      <c r="AF548" s="48"/>
      <c r="AG548" s="48"/>
      <c r="AH548" s="48"/>
      <c r="AI548" s="48"/>
      <c r="AJ548" s="48"/>
      <c r="AK548" s="48"/>
      <c r="AL548" s="48"/>
      <c r="AM548" s="48"/>
      <c r="AN548" s="48"/>
      <c r="AO548" s="48"/>
      <c r="AP548" s="48"/>
      <c r="AQ548" s="48"/>
      <c r="AR548" s="48"/>
      <c r="AS548" s="48"/>
      <c r="AT548" s="48"/>
      <c r="AU548" s="48"/>
      <c r="AV548" s="48"/>
      <c r="AW548" s="48"/>
      <c r="AX548" s="48"/>
      <c r="AY548" s="48"/>
    </row>
    <row r="549" spans="1:51">
      <c r="A549" s="48"/>
      <c r="B549" s="48"/>
      <c r="C549" s="48"/>
      <c r="D549" s="48"/>
      <c r="E549" s="48"/>
      <c r="F549" s="48"/>
      <c r="G549" s="48"/>
      <c r="H549" s="48"/>
      <c r="I549" s="48"/>
      <c r="J549" s="48"/>
      <c r="K549" s="48"/>
      <c r="L549" s="48"/>
      <c r="M549" s="48"/>
      <c r="N549" s="48"/>
      <c r="O549" s="48"/>
      <c r="P549" s="48"/>
      <c r="Q549" s="48"/>
      <c r="R549" s="48"/>
      <c r="S549" s="48"/>
      <c r="T549" s="48"/>
      <c r="U549" s="48"/>
      <c r="V549" s="48"/>
      <c r="W549" s="48"/>
      <c r="X549" s="48"/>
      <c r="Y549" s="48"/>
      <c r="Z549" s="48"/>
      <c r="AA549" s="48"/>
      <c r="AB549" s="48"/>
      <c r="AC549" s="48"/>
      <c r="AD549" s="48"/>
      <c r="AE549" s="48"/>
      <c r="AF549" s="48"/>
      <c r="AG549" s="48"/>
      <c r="AH549" s="48"/>
      <c r="AI549" s="48"/>
      <c r="AJ549" s="48"/>
      <c r="AK549" s="48"/>
      <c r="AL549" s="48"/>
      <c r="AM549" s="48"/>
      <c r="AN549" s="48"/>
      <c r="AO549" s="48"/>
      <c r="AP549" s="48"/>
      <c r="AQ549" s="48"/>
      <c r="AR549" s="48"/>
      <c r="AS549" s="48"/>
      <c r="AT549" s="48"/>
      <c r="AU549" s="48"/>
      <c r="AV549" s="48"/>
      <c r="AW549" s="48"/>
      <c r="AX549" s="48"/>
      <c r="AY549" s="48"/>
    </row>
    <row r="550" spans="1:51">
      <c r="A550" s="48"/>
      <c r="B550" s="48"/>
      <c r="C550" s="48"/>
      <c r="D550" s="48"/>
      <c r="E550" s="48"/>
      <c r="F550" s="48"/>
      <c r="G550" s="48"/>
      <c r="H550" s="48"/>
      <c r="I550" s="48"/>
      <c r="J550" s="48"/>
      <c r="K550" s="48"/>
      <c r="L550" s="48"/>
      <c r="M550" s="48"/>
      <c r="N550" s="48"/>
      <c r="O550" s="48"/>
      <c r="P550" s="48"/>
      <c r="Q550" s="48"/>
      <c r="R550" s="48"/>
      <c r="S550" s="48"/>
      <c r="T550" s="48"/>
      <c r="U550" s="48"/>
      <c r="V550" s="48"/>
      <c r="W550" s="48"/>
      <c r="X550" s="48"/>
      <c r="Y550" s="48"/>
      <c r="Z550" s="48"/>
      <c r="AA550" s="48"/>
      <c r="AB550" s="48"/>
      <c r="AC550" s="48"/>
      <c r="AD550" s="48"/>
      <c r="AE550" s="48"/>
      <c r="AF550" s="48"/>
      <c r="AG550" s="48"/>
      <c r="AH550" s="48"/>
      <c r="AI550" s="48"/>
      <c r="AJ550" s="48"/>
      <c r="AK550" s="48"/>
      <c r="AL550" s="48"/>
      <c r="AM550" s="48"/>
      <c r="AN550" s="48"/>
      <c r="AO550" s="48"/>
      <c r="AP550" s="48"/>
      <c r="AQ550" s="48"/>
      <c r="AR550" s="48"/>
      <c r="AS550" s="48"/>
      <c r="AT550" s="48"/>
      <c r="AU550" s="48"/>
      <c r="AV550" s="48"/>
      <c r="AW550" s="48"/>
      <c r="AX550" s="48"/>
      <c r="AY550" s="48"/>
    </row>
    <row r="551" spans="1:51">
      <c r="A551" s="48"/>
      <c r="B551" s="48"/>
      <c r="C551" s="48"/>
      <c r="D551" s="48"/>
      <c r="E551" s="48"/>
      <c r="F551" s="48"/>
      <c r="G551" s="48"/>
      <c r="H551" s="48"/>
      <c r="I551" s="48"/>
      <c r="J551" s="48"/>
      <c r="K551" s="48"/>
      <c r="L551" s="48"/>
      <c r="M551" s="48"/>
      <c r="N551" s="48"/>
      <c r="O551" s="48"/>
      <c r="P551" s="48"/>
      <c r="Q551" s="48"/>
      <c r="R551" s="48"/>
      <c r="S551" s="48"/>
      <c r="T551" s="48"/>
      <c r="U551" s="48"/>
      <c r="V551" s="48"/>
      <c r="W551" s="48"/>
      <c r="X551" s="48"/>
      <c r="Y551" s="48"/>
      <c r="Z551" s="48"/>
      <c r="AA551" s="48"/>
      <c r="AB551" s="48"/>
      <c r="AC551" s="48"/>
      <c r="AD551" s="48"/>
      <c r="AE551" s="48"/>
      <c r="AF551" s="48"/>
      <c r="AG551" s="48"/>
      <c r="AH551" s="48"/>
      <c r="AI551" s="48"/>
      <c r="AJ551" s="48"/>
      <c r="AK551" s="48"/>
      <c r="AL551" s="48"/>
      <c r="AM551" s="48"/>
      <c r="AN551" s="48"/>
      <c r="AO551" s="48"/>
      <c r="AP551" s="48"/>
      <c r="AQ551" s="48"/>
      <c r="AR551" s="48"/>
      <c r="AS551" s="48"/>
      <c r="AT551" s="48"/>
      <c r="AU551" s="48"/>
      <c r="AV551" s="48"/>
      <c r="AW551" s="48"/>
      <c r="AX551" s="48"/>
      <c r="AY551" s="48"/>
    </row>
    <row r="552" spans="1:51">
      <c r="A552" s="48"/>
      <c r="B552" s="48"/>
      <c r="C552" s="48"/>
      <c r="D552" s="48"/>
      <c r="E552" s="48"/>
      <c r="F552" s="48"/>
      <c r="G552" s="48"/>
      <c r="H552" s="48"/>
      <c r="I552" s="48"/>
      <c r="J552" s="48"/>
      <c r="K552" s="48"/>
      <c r="L552" s="48"/>
      <c r="M552" s="48"/>
      <c r="N552" s="48"/>
      <c r="O552" s="48"/>
      <c r="P552" s="48"/>
      <c r="Q552" s="48"/>
      <c r="R552" s="48"/>
      <c r="S552" s="48"/>
      <c r="T552" s="48"/>
      <c r="U552" s="48"/>
      <c r="V552" s="48"/>
      <c r="W552" s="48"/>
      <c r="X552" s="48"/>
      <c r="Y552" s="48"/>
      <c r="Z552" s="48"/>
      <c r="AA552" s="48"/>
      <c r="AB552" s="48"/>
      <c r="AC552" s="48"/>
      <c r="AD552" s="48"/>
      <c r="AE552" s="48"/>
      <c r="AF552" s="48"/>
      <c r="AG552" s="48"/>
      <c r="AH552" s="48"/>
      <c r="AI552" s="48"/>
      <c r="AJ552" s="48"/>
      <c r="AK552" s="48"/>
      <c r="AL552" s="48"/>
      <c r="AM552" s="48"/>
      <c r="AN552" s="48"/>
      <c r="AO552" s="48"/>
      <c r="AP552" s="48"/>
      <c r="AQ552" s="48"/>
      <c r="AR552" s="48"/>
      <c r="AS552" s="48"/>
      <c r="AT552" s="48"/>
      <c r="AU552" s="48"/>
      <c r="AV552" s="48"/>
      <c r="AW552" s="48"/>
      <c r="AX552" s="48"/>
      <c r="AY552" s="48"/>
    </row>
    <row r="553" spans="1:51">
      <c r="A553" s="48"/>
      <c r="B553" s="48"/>
      <c r="C553" s="48"/>
      <c r="D553" s="48"/>
      <c r="E553" s="48"/>
      <c r="F553" s="48"/>
      <c r="G553" s="48"/>
      <c r="H553" s="48"/>
      <c r="I553" s="48"/>
      <c r="J553" s="48"/>
      <c r="K553" s="48"/>
      <c r="L553" s="48"/>
      <c r="M553" s="48"/>
      <c r="N553" s="48"/>
      <c r="O553" s="48"/>
      <c r="P553" s="48"/>
      <c r="Q553" s="48"/>
      <c r="R553" s="48"/>
      <c r="S553" s="48"/>
      <c r="T553" s="48"/>
      <c r="U553" s="48"/>
      <c r="V553" s="48"/>
      <c r="W553" s="48"/>
      <c r="X553" s="48"/>
      <c r="Y553" s="48"/>
      <c r="Z553" s="48"/>
      <c r="AA553" s="48"/>
      <c r="AB553" s="48"/>
      <c r="AC553" s="48"/>
      <c r="AD553" s="48"/>
      <c r="AE553" s="48"/>
      <c r="AF553" s="48"/>
      <c r="AG553" s="48"/>
      <c r="AH553" s="48"/>
      <c r="AI553" s="48"/>
      <c r="AJ553" s="48"/>
      <c r="AK553" s="48"/>
      <c r="AL553" s="48"/>
      <c r="AM553" s="48"/>
      <c r="AN553" s="48"/>
      <c r="AO553" s="48"/>
      <c r="AP553" s="48"/>
      <c r="AQ553" s="48"/>
      <c r="AR553" s="48"/>
      <c r="AS553" s="48"/>
      <c r="AT553" s="48"/>
      <c r="AU553" s="48"/>
      <c r="AV553" s="48"/>
      <c r="AW553" s="48"/>
      <c r="AX553" s="48"/>
      <c r="AY553" s="48"/>
    </row>
    <row r="554" spans="1:51">
      <c r="A554" s="48"/>
      <c r="B554" s="48"/>
      <c r="C554" s="48"/>
      <c r="D554" s="48"/>
      <c r="E554" s="48"/>
      <c r="F554" s="48"/>
      <c r="G554" s="48"/>
      <c r="H554" s="48"/>
      <c r="I554" s="48"/>
      <c r="J554" s="48"/>
      <c r="K554" s="48"/>
      <c r="L554" s="48"/>
      <c r="M554" s="48"/>
      <c r="N554" s="48"/>
      <c r="O554" s="48"/>
      <c r="P554" s="48"/>
      <c r="Q554" s="48"/>
      <c r="R554" s="48"/>
      <c r="S554" s="48"/>
      <c r="T554" s="48"/>
      <c r="U554" s="48"/>
      <c r="V554" s="48"/>
      <c r="W554" s="48"/>
      <c r="X554" s="48"/>
      <c r="Y554" s="48"/>
      <c r="Z554" s="48"/>
      <c r="AA554" s="48"/>
      <c r="AB554" s="48"/>
      <c r="AC554" s="48"/>
      <c r="AD554" s="48"/>
      <c r="AE554" s="48"/>
      <c r="AF554" s="48"/>
      <c r="AG554" s="48"/>
      <c r="AH554" s="48"/>
      <c r="AI554" s="48"/>
      <c r="AJ554" s="48"/>
      <c r="AK554" s="48"/>
      <c r="AL554" s="48"/>
      <c r="AM554" s="48"/>
      <c r="AN554" s="48"/>
      <c r="AO554" s="48"/>
      <c r="AP554" s="48"/>
      <c r="AQ554" s="48"/>
      <c r="AR554" s="48"/>
      <c r="AS554" s="48"/>
      <c r="AT554" s="48"/>
      <c r="AU554" s="48"/>
      <c r="AV554" s="48"/>
      <c r="AW554" s="48"/>
      <c r="AX554" s="48"/>
      <c r="AY554" s="48"/>
    </row>
    <row r="555" spans="1:51">
      <c r="A555" s="48"/>
      <c r="B555" s="48"/>
      <c r="C555" s="48"/>
      <c r="D555" s="48"/>
      <c r="E555" s="48"/>
      <c r="F555" s="48"/>
      <c r="G555" s="48"/>
      <c r="H555" s="48"/>
      <c r="I555" s="48"/>
      <c r="J555" s="48"/>
      <c r="K555" s="48"/>
      <c r="L555" s="48"/>
      <c r="M555" s="48"/>
      <c r="N555" s="48"/>
      <c r="O555" s="48"/>
      <c r="P555" s="48"/>
      <c r="Q555" s="48"/>
      <c r="R555" s="48"/>
      <c r="S555" s="48"/>
      <c r="T555" s="48"/>
      <c r="U555" s="48"/>
      <c r="V555" s="48"/>
      <c r="W555" s="48"/>
      <c r="X555" s="48"/>
      <c r="Y555" s="48"/>
      <c r="Z555" s="48"/>
      <c r="AA555" s="48"/>
      <c r="AB555" s="48"/>
      <c r="AC555" s="48"/>
      <c r="AD555" s="48"/>
      <c r="AE555" s="48"/>
      <c r="AF555" s="48"/>
      <c r="AG555" s="48"/>
      <c r="AH555" s="48"/>
      <c r="AI555" s="48"/>
      <c r="AJ555" s="48"/>
      <c r="AK555" s="48"/>
      <c r="AL555" s="48"/>
      <c r="AM555" s="48"/>
      <c r="AN555" s="48"/>
      <c r="AO555" s="48"/>
      <c r="AP555" s="48"/>
      <c r="AQ555" s="48"/>
      <c r="AR555" s="48"/>
      <c r="AS555" s="48"/>
      <c r="AT555" s="48"/>
      <c r="AU555" s="48"/>
      <c r="AV555" s="48"/>
      <c r="AW555" s="48"/>
      <c r="AX555" s="48"/>
      <c r="AY555" s="48"/>
    </row>
    <row r="556" spans="1:51">
      <c r="A556" s="48"/>
      <c r="B556" s="48"/>
      <c r="C556" s="48"/>
      <c r="D556" s="48"/>
      <c r="E556" s="48"/>
      <c r="F556" s="48"/>
      <c r="G556" s="48"/>
      <c r="H556" s="48"/>
      <c r="I556" s="48"/>
      <c r="J556" s="48"/>
      <c r="K556" s="48"/>
      <c r="L556" s="48"/>
      <c r="M556" s="48"/>
      <c r="N556" s="48"/>
      <c r="O556" s="48"/>
      <c r="P556" s="48"/>
      <c r="Q556" s="48"/>
      <c r="R556" s="48"/>
      <c r="S556" s="48"/>
      <c r="T556" s="48"/>
      <c r="U556" s="48"/>
      <c r="V556" s="48"/>
      <c r="W556" s="48"/>
      <c r="X556" s="48"/>
      <c r="Y556" s="48"/>
      <c r="Z556" s="48"/>
      <c r="AA556" s="48"/>
      <c r="AB556" s="48"/>
      <c r="AC556" s="48"/>
      <c r="AD556" s="48"/>
      <c r="AE556" s="48"/>
      <c r="AF556" s="48"/>
      <c r="AG556" s="48"/>
      <c r="AH556" s="48"/>
      <c r="AI556" s="48"/>
      <c r="AJ556" s="48"/>
      <c r="AK556" s="48"/>
      <c r="AL556" s="48"/>
      <c r="AM556" s="48"/>
      <c r="AN556" s="48"/>
      <c r="AO556" s="48"/>
      <c r="AP556" s="48"/>
      <c r="AQ556" s="48"/>
      <c r="AR556" s="48"/>
      <c r="AS556" s="48"/>
      <c r="AT556" s="48"/>
      <c r="AU556" s="48"/>
      <c r="AV556" s="48"/>
      <c r="AW556" s="48"/>
      <c r="AX556" s="48"/>
      <c r="AY556" s="48"/>
    </row>
    <row r="557" spans="1:51">
      <c r="A557" s="48"/>
      <c r="B557" s="48"/>
      <c r="C557" s="48"/>
      <c r="D557" s="48"/>
      <c r="E557" s="48"/>
      <c r="F557" s="48"/>
      <c r="G557" s="48"/>
      <c r="H557" s="48"/>
      <c r="I557" s="48"/>
      <c r="J557" s="48"/>
      <c r="K557" s="48"/>
      <c r="L557" s="48"/>
      <c r="M557" s="48"/>
      <c r="N557" s="48"/>
      <c r="O557" s="48"/>
      <c r="P557" s="48"/>
      <c r="Q557" s="48"/>
      <c r="R557" s="48"/>
      <c r="S557" s="48"/>
      <c r="T557" s="48"/>
      <c r="U557" s="48"/>
      <c r="V557" s="48"/>
      <c r="W557" s="48"/>
      <c r="X557" s="48"/>
      <c r="Y557" s="48"/>
      <c r="Z557" s="48"/>
      <c r="AA557" s="48"/>
      <c r="AB557" s="48"/>
      <c r="AC557" s="48"/>
      <c r="AD557" s="48"/>
      <c r="AE557" s="48"/>
      <c r="AF557" s="48"/>
      <c r="AG557" s="48"/>
      <c r="AH557" s="48"/>
      <c r="AI557" s="48"/>
      <c r="AJ557" s="48"/>
      <c r="AK557" s="48"/>
      <c r="AL557" s="48"/>
      <c r="AM557" s="48"/>
      <c r="AN557" s="48"/>
      <c r="AO557" s="48"/>
      <c r="AP557" s="48"/>
      <c r="AQ557" s="48"/>
      <c r="AR557" s="48"/>
      <c r="AS557" s="48"/>
      <c r="AT557" s="48"/>
      <c r="AU557" s="48"/>
      <c r="AV557" s="48"/>
      <c r="AW557" s="48"/>
      <c r="AX557" s="48"/>
      <c r="AY557" s="48"/>
    </row>
    <row r="558" spans="1:51">
      <c r="A558" s="48"/>
      <c r="B558" s="48"/>
      <c r="C558" s="48"/>
      <c r="D558" s="48"/>
      <c r="E558" s="48"/>
      <c r="F558" s="48"/>
      <c r="G558" s="48"/>
      <c r="H558" s="48"/>
      <c r="I558" s="48"/>
      <c r="J558" s="48"/>
      <c r="K558" s="48"/>
      <c r="L558" s="48"/>
      <c r="M558" s="48"/>
      <c r="N558" s="48"/>
      <c r="O558" s="48"/>
      <c r="P558" s="48"/>
      <c r="Q558" s="48"/>
      <c r="R558" s="48"/>
      <c r="S558" s="48"/>
      <c r="T558" s="48"/>
      <c r="U558" s="48"/>
      <c r="V558" s="48"/>
      <c r="W558" s="48"/>
      <c r="X558" s="48"/>
      <c r="Y558" s="48"/>
      <c r="Z558" s="48"/>
      <c r="AA558" s="48"/>
      <c r="AB558" s="48"/>
      <c r="AC558" s="48"/>
      <c r="AD558" s="48"/>
      <c r="AE558" s="48"/>
      <c r="AF558" s="48"/>
      <c r="AG558" s="48"/>
      <c r="AH558" s="48"/>
      <c r="AI558" s="48"/>
      <c r="AJ558" s="48"/>
      <c r="AK558" s="48"/>
      <c r="AL558" s="48"/>
      <c r="AM558" s="48"/>
      <c r="AN558" s="48"/>
      <c r="AO558" s="48"/>
      <c r="AP558" s="48"/>
      <c r="AQ558" s="48"/>
      <c r="AR558" s="48"/>
      <c r="AS558" s="48"/>
      <c r="AT558" s="48"/>
      <c r="AU558" s="48"/>
      <c r="AV558" s="48"/>
      <c r="AW558" s="48"/>
      <c r="AX558" s="48"/>
      <c r="AY558" s="48"/>
    </row>
    <row r="559" spans="1:51">
      <c r="A559" s="48"/>
      <c r="B559" s="48"/>
      <c r="C559" s="48"/>
      <c r="D559" s="48"/>
      <c r="E559" s="48"/>
      <c r="F559" s="48"/>
      <c r="G559" s="48"/>
      <c r="H559" s="48"/>
      <c r="I559" s="48"/>
      <c r="J559" s="48"/>
      <c r="K559" s="48"/>
      <c r="L559" s="48"/>
      <c r="M559" s="48"/>
      <c r="N559" s="48"/>
      <c r="O559" s="48"/>
      <c r="P559" s="48"/>
      <c r="Q559" s="48"/>
      <c r="R559" s="48"/>
      <c r="S559" s="48"/>
      <c r="T559" s="48"/>
      <c r="U559" s="48"/>
      <c r="V559" s="48"/>
      <c r="W559" s="48"/>
      <c r="X559" s="48"/>
      <c r="Y559" s="48"/>
      <c r="Z559" s="48"/>
      <c r="AA559" s="48"/>
      <c r="AB559" s="48"/>
      <c r="AC559" s="48"/>
      <c r="AD559" s="48"/>
      <c r="AE559" s="48"/>
      <c r="AF559" s="48"/>
      <c r="AG559" s="48"/>
      <c r="AH559" s="48"/>
      <c r="AI559" s="48"/>
      <c r="AJ559" s="48"/>
      <c r="AK559" s="48"/>
      <c r="AL559" s="48"/>
      <c r="AM559" s="48"/>
      <c r="AN559" s="48"/>
      <c r="AO559" s="48"/>
      <c r="AP559" s="48"/>
      <c r="AQ559" s="48"/>
      <c r="AR559" s="48"/>
      <c r="AS559" s="48"/>
      <c r="AT559" s="48"/>
      <c r="AU559" s="48"/>
      <c r="AV559" s="48"/>
      <c r="AW559" s="48"/>
      <c r="AX559" s="48"/>
      <c r="AY559" s="48"/>
    </row>
    <row r="560" spans="1:51">
      <c r="A560" s="48"/>
      <c r="B560" s="48"/>
      <c r="C560" s="48"/>
      <c r="D560" s="48"/>
      <c r="E560" s="48"/>
      <c r="F560" s="48"/>
      <c r="G560" s="48"/>
      <c r="H560" s="48"/>
      <c r="I560" s="48"/>
      <c r="J560" s="48"/>
      <c r="K560" s="48"/>
      <c r="L560" s="48"/>
      <c r="M560" s="48"/>
      <c r="N560" s="48"/>
      <c r="O560" s="48"/>
      <c r="P560" s="48"/>
      <c r="Q560" s="48"/>
      <c r="R560" s="48"/>
      <c r="S560" s="48"/>
      <c r="T560" s="48"/>
      <c r="U560" s="48"/>
      <c r="V560" s="48"/>
      <c r="W560" s="48"/>
      <c r="X560" s="48"/>
      <c r="Y560" s="48"/>
      <c r="Z560" s="48"/>
      <c r="AA560" s="48"/>
      <c r="AB560" s="48"/>
      <c r="AC560" s="48"/>
      <c r="AD560" s="48"/>
      <c r="AE560" s="48"/>
      <c r="AF560" s="48"/>
      <c r="AG560" s="48"/>
      <c r="AH560" s="48"/>
      <c r="AI560" s="48"/>
      <c r="AJ560" s="48"/>
      <c r="AK560" s="48"/>
      <c r="AL560" s="48"/>
      <c r="AM560" s="48"/>
      <c r="AN560" s="48"/>
      <c r="AO560" s="48"/>
      <c r="AP560" s="48"/>
      <c r="AQ560" s="48"/>
      <c r="AR560" s="48"/>
      <c r="AS560" s="48"/>
      <c r="AT560" s="48"/>
      <c r="AU560" s="48"/>
      <c r="AV560" s="48"/>
      <c r="AW560" s="48"/>
      <c r="AX560" s="48"/>
      <c r="AY560" s="48"/>
    </row>
    <row r="561" spans="1:51">
      <c r="A561" s="48"/>
      <c r="B561" s="48"/>
      <c r="C561" s="48"/>
      <c r="D561" s="48"/>
      <c r="E561" s="48"/>
      <c r="F561" s="48"/>
      <c r="G561" s="48"/>
      <c r="H561" s="48"/>
      <c r="I561" s="48"/>
      <c r="J561" s="48"/>
      <c r="K561" s="48"/>
      <c r="L561" s="48"/>
      <c r="M561" s="48"/>
      <c r="N561" s="48"/>
      <c r="O561" s="48"/>
      <c r="P561" s="48"/>
      <c r="Q561" s="48"/>
      <c r="R561" s="48"/>
      <c r="S561" s="48"/>
      <c r="T561" s="48"/>
      <c r="U561" s="48"/>
      <c r="V561" s="48"/>
      <c r="W561" s="48"/>
      <c r="X561" s="48"/>
      <c r="Y561" s="48"/>
      <c r="Z561" s="48"/>
      <c r="AA561" s="48"/>
      <c r="AB561" s="48"/>
      <c r="AC561" s="48"/>
      <c r="AD561" s="48"/>
      <c r="AE561" s="48"/>
      <c r="AF561" s="48"/>
      <c r="AG561" s="48"/>
      <c r="AH561" s="48"/>
      <c r="AI561" s="48"/>
      <c r="AJ561" s="48"/>
      <c r="AK561" s="48"/>
      <c r="AL561" s="48"/>
      <c r="AM561" s="48"/>
      <c r="AN561" s="48"/>
      <c r="AO561" s="48"/>
      <c r="AP561" s="48"/>
      <c r="AQ561" s="48"/>
      <c r="AR561" s="48"/>
      <c r="AS561" s="48"/>
      <c r="AT561" s="48"/>
      <c r="AU561" s="48"/>
      <c r="AV561" s="48"/>
      <c r="AW561" s="48"/>
      <c r="AX561" s="48"/>
      <c r="AY561" s="48"/>
    </row>
    <row r="562" spans="1:51">
      <c r="A562" s="48"/>
      <c r="B562" s="48"/>
      <c r="C562" s="48"/>
      <c r="D562" s="48"/>
      <c r="E562" s="48"/>
      <c r="F562" s="48"/>
      <c r="G562" s="48"/>
      <c r="H562" s="48"/>
      <c r="I562" s="48"/>
      <c r="J562" s="48"/>
      <c r="K562" s="48"/>
      <c r="L562" s="48"/>
      <c r="M562" s="48"/>
      <c r="N562" s="48"/>
      <c r="O562" s="48"/>
      <c r="P562" s="48"/>
      <c r="Q562" s="48"/>
      <c r="R562" s="48"/>
      <c r="S562" s="48"/>
      <c r="T562" s="48"/>
      <c r="U562" s="48"/>
      <c r="V562" s="48"/>
      <c r="W562" s="48"/>
      <c r="X562" s="48"/>
      <c r="Y562" s="48"/>
      <c r="Z562" s="48"/>
      <c r="AA562" s="48"/>
      <c r="AB562" s="48"/>
      <c r="AC562" s="48"/>
      <c r="AD562" s="48"/>
      <c r="AE562" s="48"/>
      <c r="AF562" s="48"/>
      <c r="AG562" s="48"/>
      <c r="AH562" s="48"/>
      <c r="AI562" s="48"/>
      <c r="AJ562" s="48"/>
      <c r="AK562" s="48"/>
      <c r="AL562" s="48"/>
      <c r="AM562" s="48"/>
      <c r="AN562" s="48"/>
      <c r="AO562" s="48"/>
      <c r="AP562" s="48"/>
      <c r="AQ562" s="48"/>
      <c r="AR562" s="48"/>
      <c r="AS562" s="48"/>
      <c r="AT562" s="48"/>
      <c r="AU562" s="48"/>
      <c r="AV562" s="48"/>
      <c r="AW562" s="48"/>
      <c r="AX562" s="48"/>
      <c r="AY562" s="48"/>
    </row>
    <row r="563" spans="1:51">
      <c r="A563" s="48"/>
      <c r="B563" s="48"/>
      <c r="C563" s="48"/>
      <c r="D563" s="48"/>
      <c r="E563" s="48"/>
      <c r="F563" s="48"/>
      <c r="G563" s="48"/>
      <c r="H563" s="48"/>
      <c r="I563" s="48"/>
      <c r="J563" s="48"/>
      <c r="K563" s="48"/>
      <c r="L563" s="48"/>
      <c r="M563" s="48"/>
      <c r="N563" s="48"/>
      <c r="O563" s="48"/>
      <c r="P563" s="48"/>
      <c r="Q563" s="48"/>
      <c r="R563" s="48"/>
      <c r="S563" s="48"/>
      <c r="T563" s="48"/>
      <c r="U563" s="48"/>
      <c r="V563" s="48"/>
      <c r="W563" s="48"/>
      <c r="X563" s="48"/>
      <c r="Y563" s="48"/>
      <c r="Z563" s="48"/>
      <c r="AA563" s="48"/>
      <c r="AB563" s="48"/>
      <c r="AC563" s="48"/>
      <c r="AD563" s="48"/>
      <c r="AE563" s="48"/>
      <c r="AF563" s="48"/>
      <c r="AG563" s="48"/>
      <c r="AH563" s="48"/>
      <c r="AI563" s="48"/>
      <c r="AJ563" s="48"/>
      <c r="AK563" s="48"/>
      <c r="AL563" s="48"/>
      <c r="AM563" s="48"/>
      <c r="AN563" s="48"/>
      <c r="AO563" s="48"/>
      <c r="AP563" s="48"/>
      <c r="AQ563" s="48"/>
      <c r="AR563" s="48"/>
      <c r="AS563" s="48"/>
      <c r="AT563" s="48"/>
      <c r="AU563" s="48"/>
      <c r="AV563" s="48"/>
      <c r="AW563" s="48"/>
      <c r="AX563" s="48"/>
      <c r="AY563" s="48"/>
    </row>
    <row r="564" spans="1:51">
      <c r="A564" s="48"/>
      <c r="B564" s="48"/>
      <c r="C564" s="48"/>
      <c r="D564" s="48"/>
      <c r="E564" s="48"/>
      <c r="F564" s="48"/>
      <c r="G564" s="48"/>
      <c r="H564" s="48"/>
      <c r="I564" s="48"/>
      <c r="J564" s="48"/>
      <c r="K564" s="48"/>
      <c r="L564" s="48"/>
      <c r="M564" s="48"/>
      <c r="N564" s="48"/>
      <c r="O564" s="48"/>
      <c r="P564" s="48"/>
      <c r="Q564" s="48"/>
      <c r="R564" s="48"/>
      <c r="S564" s="48"/>
      <c r="T564" s="48"/>
      <c r="U564" s="48"/>
      <c r="V564" s="48"/>
      <c r="W564" s="48"/>
      <c r="X564" s="48"/>
      <c r="Y564" s="48"/>
      <c r="Z564" s="48"/>
      <c r="AA564" s="48"/>
      <c r="AB564" s="48"/>
      <c r="AC564" s="48"/>
      <c r="AD564" s="48"/>
      <c r="AE564" s="48"/>
      <c r="AF564" s="48"/>
      <c r="AG564" s="48"/>
      <c r="AH564" s="48"/>
      <c r="AI564" s="48"/>
      <c r="AJ564" s="48"/>
      <c r="AK564" s="48"/>
      <c r="AL564" s="48"/>
      <c r="AM564" s="48"/>
      <c r="AN564" s="48"/>
      <c r="AO564" s="48"/>
      <c r="AP564" s="48"/>
      <c r="AQ564" s="48"/>
      <c r="AR564" s="48"/>
      <c r="AS564" s="48"/>
      <c r="AT564" s="48"/>
      <c r="AU564" s="48"/>
      <c r="AV564" s="48"/>
      <c r="AW564" s="48"/>
      <c r="AX564" s="48"/>
      <c r="AY564" s="48"/>
    </row>
    <row r="565" spans="1:51">
      <c r="A565" s="48"/>
      <c r="B565" s="48"/>
      <c r="C565" s="48"/>
      <c r="D565" s="48"/>
      <c r="E565" s="48"/>
      <c r="F565" s="48"/>
      <c r="G565" s="48"/>
      <c r="H565" s="48"/>
      <c r="I565" s="48"/>
      <c r="J565" s="48"/>
      <c r="K565" s="48"/>
      <c r="L565" s="48"/>
      <c r="M565" s="48"/>
      <c r="N565" s="48"/>
      <c r="O565" s="48"/>
      <c r="P565" s="48"/>
      <c r="Q565" s="48"/>
      <c r="R565" s="48"/>
      <c r="S565" s="48"/>
      <c r="T565" s="48"/>
      <c r="U565" s="48"/>
      <c r="V565" s="48"/>
      <c r="W565" s="48"/>
      <c r="X565" s="48"/>
      <c r="Y565" s="48"/>
      <c r="Z565" s="48"/>
      <c r="AA565" s="48"/>
      <c r="AB565" s="48"/>
      <c r="AC565" s="48"/>
      <c r="AD565" s="48"/>
      <c r="AE565" s="48"/>
      <c r="AF565" s="48"/>
      <c r="AG565" s="48"/>
      <c r="AH565" s="48"/>
      <c r="AI565" s="48"/>
      <c r="AJ565" s="48"/>
      <c r="AK565" s="48"/>
      <c r="AL565" s="48"/>
      <c r="AM565" s="48"/>
      <c r="AN565" s="48"/>
      <c r="AO565" s="48"/>
      <c r="AP565" s="48"/>
      <c r="AQ565" s="48"/>
      <c r="AR565" s="48"/>
      <c r="AS565" s="48"/>
      <c r="AT565" s="48"/>
      <c r="AU565" s="48"/>
      <c r="AV565" s="48"/>
      <c r="AW565" s="48"/>
      <c r="AX565" s="48"/>
      <c r="AY565" s="48"/>
    </row>
    <row r="566" spans="1:51">
      <c r="A566" s="48"/>
      <c r="B566" s="48"/>
      <c r="C566" s="48"/>
      <c r="D566" s="48"/>
      <c r="E566" s="48"/>
      <c r="F566" s="48"/>
      <c r="G566" s="48"/>
      <c r="H566" s="48"/>
      <c r="I566" s="48"/>
      <c r="J566" s="48"/>
      <c r="K566" s="48"/>
      <c r="L566" s="48"/>
      <c r="M566" s="48"/>
      <c r="N566" s="48"/>
      <c r="O566" s="48"/>
      <c r="P566" s="48"/>
      <c r="Q566" s="48"/>
      <c r="R566" s="48"/>
      <c r="S566" s="48"/>
      <c r="T566" s="48"/>
      <c r="U566" s="48"/>
      <c r="V566" s="48"/>
      <c r="W566" s="48"/>
      <c r="X566" s="48"/>
      <c r="Y566" s="48"/>
      <c r="Z566" s="48"/>
      <c r="AA566" s="48"/>
      <c r="AB566" s="48"/>
      <c r="AC566" s="48"/>
      <c r="AD566" s="48"/>
      <c r="AE566" s="48"/>
      <c r="AF566" s="48"/>
      <c r="AG566" s="48"/>
      <c r="AH566" s="48"/>
      <c r="AI566" s="48"/>
      <c r="AJ566" s="48"/>
      <c r="AK566" s="48"/>
      <c r="AL566" s="48"/>
      <c r="AM566" s="48"/>
      <c r="AN566" s="48"/>
      <c r="AO566" s="48"/>
      <c r="AP566" s="48"/>
      <c r="AQ566" s="48"/>
      <c r="AR566" s="48"/>
      <c r="AS566" s="48"/>
      <c r="AT566" s="48"/>
      <c r="AU566" s="48"/>
      <c r="AV566" s="48"/>
      <c r="AW566" s="48"/>
      <c r="AX566" s="48"/>
      <c r="AY566" s="48"/>
    </row>
    <row r="567" spans="1:51">
      <c r="A567" s="48"/>
      <c r="B567" s="48"/>
      <c r="C567" s="48"/>
      <c r="D567" s="48"/>
      <c r="E567" s="48"/>
      <c r="F567" s="48"/>
      <c r="G567" s="48"/>
      <c r="H567" s="48"/>
      <c r="I567" s="48"/>
      <c r="J567" s="48"/>
      <c r="K567" s="48"/>
      <c r="L567" s="48"/>
      <c r="M567" s="48"/>
      <c r="N567" s="48"/>
      <c r="O567" s="48"/>
      <c r="P567" s="48"/>
      <c r="Q567" s="48"/>
      <c r="R567" s="48"/>
      <c r="S567" s="48"/>
      <c r="T567" s="48"/>
      <c r="U567" s="48"/>
      <c r="V567" s="48"/>
      <c r="W567" s="48"/>
      <c r="X567" s="48"/>
      <c r="Y567" s="48"/>
      <c r="Z567" s="48"/>
      <c r="AA567" s="48"/>
      <c r="AB567" s="48"/>
      <c r="AC567" s="48"/>
      <c r="AD567" s="48"/>
      <c r="AE567" s="48"/>
      <c r="AF567" s="48"/>
      <c r="AG567" s="48"/>
      <c r="AH567" s="48"/>
      <c r="AI567" s="48"/>
      <c r="AJ567" s="48"/>
      <c r="AK567" s="48"/>
      <c r="AL567" s="48"/>
      <c r="AM567" s="48"/>
      <c r="AN567" s="48"/>
      <c r="AO567" s="48"/>
      <c r="AP567" s="48"/>
      <c r="AQ567" s="48"/>
      <c r="AR567" s="48"/>
      <c r="AS567" s="48"/>
      <c r="AT567" s="48"/>
      <c r="AU567" s="48"/>
      <c r="AV567" s="48"/>
      <c r="AW567" s="48"/>
      <c r="AX567" s="48"/>
      <c r="AY567" s="48"/>
    </row>
    <row r="568" spans="1:51">
      <c r="A568" s="48"/>
      <c r="B568" s="48"/>
      <c r="C568" s="48"/>
      <c r="D568" s="48"/>
      <c r="E568" s="48"/>
      <c r="F568" s="48"/>
      <c r="G568" s="48"/>
      <c r="H568" s="48"/>
      <c r="I568" s="48"/>
      <c r="J568" s="48"/>
      <c r="K568" s="48"/>
      <c r="L568" s="48"/>
      <c r="M568" s="48"/>
      <c r="N568" s="48"/>
      <c r="O568" s="48"/>
      <c r="P568" s="48"/>
      <c r="Q568" s="48"/>
      <c r="R568" s="48"/>
      <c r="S568" s="48"/>
      <c r="T568" s="48"/>
      <c r="U568" s="48"/>
      <c r="V568" s="48"/>
      <c r="W568" s="48"/>
      <c r="X568" s="48"/>
      <c r="Y568" s="48"/>
      <c r="Z568" s="48"/>
      <c r="AA568" s="48"/>
      <c r="AB568" s="48"/>
      <c r="AC568" s="48"/>
      <c r="AD568" s="48"/>
      <c r="AE568" s="48"/>
      <c r="AF568" s="48"/>
      <c r="AG568" s="48"/>
      <c r="AH568" s="48"/>
      <c r="AI568" s="48"/>
      <c r="AJ568" s="48"/>
      <c r="AK568" s="48"/>
      <c r="AL568" s="48"/>
      <c r="AM568" s="48"/>
      <c r="AN568" s="48"/>
      <c r="AO568" s="48"/>
      <c r="AP568" s="48"/>
      <c r="AQ568" s="48"/>
      <c r="AR568" s="48"/>
      <c r="AS568" s="48"/>
      <c r="AT568" s="48"/>
      <c r="AU568" s="48"/>
      <c r="AV568" s="48"/>
      <c r="AW568" s="48"/>
      <c r="AX568" s="48"/>
      <c r="AY568" s="48"/>
    </row>
    <row r="569" spans="1:51">
      <c r="A569" s="48"/>
      <c r="B569" s="48"/>
      <c r="C569" s="48"/>
      <c r="D569" s="48"/>
      <c r="E569" s="48"/>
      <c r="F569" s="48"/>
      <c r="G569" s="48"/>
      <c r="H569" s="48"/>
      <c r="I569" s="48"/>
      <c r="J569" s="48"/>
      <c r="K569" s="48"/>
      <c r="L569" s="48"/>
      <c r="M569" s="48"/>
      <c r="N569" s="48"/>
      <c r="O569" s="48"/>
      <c r="P569" s="48"/>
      <c r="Q569" s="48"/>
      <c r="R569" s="48"/>
      <c r="S569" s="48"/>
      <c r="T569" s="48"/>
      <c r="U569" s="48"/>
      <c r="V569" s="48"/>
      <c r="W569" s="48"/>
      <c r="X569" s="48"/>
      <c r="Y569" s="48"/>
      <c r="Z569" s="48"/>
      <c r="AA569" s="48"/>
      <c r="AB569" s="48"/>
      <c r="AC569" s="48"/>
      <c r="AD569" s="48"/>
      <c r="AE569" s="48"/>
      <c r="AF569" s="48"/>
      <c r="AG569" s="48"/>
      <c r="AH569" s="48"/>
      <c r="AI569" s="48"/>
      <c r="AJ569" s="48"/>
      <c r="AK569" s="48"/>
      <c r="AL569" s="48"/>
      <c r="AM569" s="48"/>
      <c r="AN569" s="48"/>
      <c r="AO569" s="48"/>
      <c r="AP569" s="48"/>
      <c r="AQ569" s="48"/>
      <c r="AR569" s="48"/>
      <c r="AS569" s="48"/>
      <c r="AT569" s="48"/>
      <c r="AU569" s="48"/>
      <c r="AV569" s="48"/>
      <c r="AW569" s="48"/>
      <c r="AX569" s="48"/>
      <c r="AY569" s="48"/>
    </row>
    <row r="570" spans="1:51">
      <c r="A570" s="48"/>
      <c r="B570" s="48"/>
      <c r="C570" s="48"/>
      <c r="D570" s="48"/>
      <c r="E570" s="48"/>
      <c r="F570" s="48"/>
      <c r="G570" s="48"/>
      <c r="H570" s="48"/>
      <c r="I570" s="48"/>
      <c r="J570" s="48"/>
      <c r="K570" s="48"/>
      <c r="L570" s="48"/>
      <c r="M570" s="48"/>
      <c r="N570" s="48"/>
      <c r="O570" s="48"/>
      <c r="P570" s="48"/>
      <c r="Q570" s="48"/>
      <c r="R570" s="48"/>
      <c r="S570" s="48"/>
      <c r="T570" s="48"/>
      <c r="U570" s="48"/>
      <c r="V570" s="48"/>
      <c r="W570" s="48"/>
      <c r="X570" s="48"/>
      <c r="Y570" s="48"/>
      <c r="Z570" s="48"/>
      <c r="AA570" s="48"/>
      <c r="AB570" s="48"/>
      <c r="AC570" s="48"/>
      <c r="AD570" s="48"/>
      <c r="AE570" s="48"/>
      <c r="AF570" s="48"/>
      <c r="AG570" s="48"/>
      <c r="AH570" s="48"/>
      <c r="AI570" s="48"/>
      <c r="AJ570" s="48"/>
      <c r="AK570" s="48"/>
      <c r="AL570" s="48"/>
      <c r="AM570" s="48"/>
      <c r="AN570" s="48"/>
      <c r="AO570" s="48"/>
      <c r="AP570" s="48"/>
      <c r="AQ570" s="48"/>
      <c r="AR570" s="48"/>
      <c r="AS570" s="48"/>
      <c r="AT570" s="48"/>
      <c r="AU570" s="48"/>
      <c r="AV570" s="48"/>
      <c r="AW570" s="48"/>
      <c r="AX570" s="48"/>
      <c r="AY570" s="48"/>
    </row>
    <row r="571" spans="1:51">
      <c r="A571" s="48"/>
      <c r="B571" s="48"/>
      <c r="C571" s="48"/>
      <c r="D571" s="48"/>
      <c r="E571" s="48"/>
      <c r="F571" s="48"/>
      <c r="G571" s="48"/>
      <c r="H571" s="48"/>
      <c r="I571" s="48"/>
      <c r="J571" s="48"/>
      <c r="K571" s="48"/>
      <c r="L571" s="48"/>
      <c r="M571" s="48"/>
      <c r="N571" s="48"/>
      <c r="O571" s="48"/>
      <c r="P571" s="48"/>
      <c r="Q571" s="48"/>
      <c r="R571" s="48"/>
      <c r="S571" s="48"/>
      <c r="T571" s="48"/>
      <c r="U571" s="48"/>
      <c r="V571" s="48"/>
      <c r="W571" s="48"/>
      <c r="X571" s="48"/>
      <c r="Y571" s="48"/>
      <c r="Z571" s="48"/>
      <c r="AA571" s="48"/>
      <c r="AB571" s="48"/>
      <c r="AC571" s="48"/>
      <c r="AD571" s="48"/>
      <c r="AE571" s="48"/>
      <c r="AF571" s="48"/>
      <c r="AG571" s="48"/>
      <c r="AH571" s="48"/>
      <c r="AI571" s="48"/>
      <c r="AJ571" s="48"/>
      <c r="AK571" s="48"/>
      <c r="AL571" s="48"/>
      <c r="AM571" s="48"/>
      <c r="AN571" s="48"/>
      <c r="AO571" s="48"/>
      <c r="AP571" s="48"/>
      <c r="AQ571" s="48"/>
      <c r="AR571" s="48"/>
      <c r="AS571" s="48"/>
      <c r="AT571" s="48"/>
      <c r="AU571" s="48"/>
      <c r="AV571" s="48"/>
      <c r="AW571" s="48"/>
      <c r="AX571" s="48"/>
      <c r="AY571" s="48"/>
    </row>
    <row r="572" spans="1:51">
      <c r="A572" s="48"/>
      <c r="B572" s="48"/>
      <c r="C572" s="48"/>
      <c r="D572" s="48"/>
      <c r="E572" s="48"/>
      <c r="F572" s="48"/>
      <c r="G572" s="48"/>
      <c r="H572" s="48"/>
      <c r="I572" s="48"/>
      <c r="J572" s="48"/>
      <c r="K572" s="48"/>
      <c r="L572" s="48"/>
      <c r="M572" s="48"/>
      <c r="N572" s="48"/>
      <c r="O572" s="48"/>
      <c r="P572" s="48"/>
      <c r="Q572" s="48"/>
      <c r="R572" s="48"/>
      <c r="S572" s="48"/>
      <c r="T572" s="48"/>
      <c r="U572" s="48"/>
      <c r="V572" s="48"/>
      <c r="W572" s="48"/>
      <c r="X572" s="48"/>
      <c r="Y572" s="48"/>
      <c r="Z572" s="48"/>
      <c r="AA572" s="48"/>
      <c r="AB572" s="48"/>
      <c r="AC572" s="48"/>
      <c r="AD572" s="48"/>
      <c r="AE572" s="48"/>
      <c r="AF572" s="48"/>
      <c r="AG572" s="48"/>
      <c r="AH572" s="48"/>
      <c r="AI572" s="48"/>
      <c r="AJ572" s="48"/>
      <c r="AK572" s="48"/>
      <c r="AL572" s="48"/>
      <c r="AM572" s="48"/>
      <c r="AN572" s="48"/>
      <c r="AO572" s="48"/>
      <c r="AP572" s="48"/>
      <c r="AQ572" s="48"/>
      <c r="AR572" s="48"/>
      <c r="AS572" s="48"/>
      <c r="AT572" s="48"/>
      <c r="AU572" s="48"/>
      <c r="AV572" s="48"/>
      <c r="AW572" s="48"/>
      <c r="AX572" s="48"/>
      <c r="AY572" s="48"/>
    </row>
    <row r="573" spans="1:51">
      <c r="A573" s="48"/>
      <c r="B573" s="48"/>
      <c r="C573" s="48"/>
      <c r="D573" s="48"/>
      <c r="E573" s="48"/>
      <c r="F573" s="48"/>
      <c r="G573" s="48"/>
      <c r="H573" s="48"/>
      <c r="I573" s="48"/>
      <c r="J573" s="48"/>
      <c r="K573" s="48"/>
      <c r="L573" s="48"/>
      <c r="M573" s="48"/>
      <c r="N573" s="48"/>
      <c r="O573" s="48"/>
      <c r="P573" s="48"/>
      <c r="Q573" s="48"/>
      <c r="R573" s="48"/>
      <c r="S573" s="48"/>
      <c r="T573" s="48"/>
      <c r="U573" s="48"/>
      <c r="V573" s="48"/>
      <c r="W573" s="48"/>
      <c r="X573" s="48"/>
      <c r="Y573" s="48"/>
      <c r="Z573" s="48"/>
      <c r="AA573" s="48"/>
      <c r="AB573" s="48"/>
      <c r="AC573" s="48"/>
      <c r="AD573" s="48"/>
      <c r="AE573" s="48"/>
      <c r="AF573" s="48"/>
      <c r="AG573" s="48"/>
      <c r="AH573" s="48"/>
      <c r="AI573" s="48"/>
      <c r="AJ573" s="48"/>
      <c r="AK573" s="48"/>
      <c r="AL573" s="48"/>
      <c r="AM573" s="48"/>
      <c r="AN573" s="48"/>
      <c r="AO573" s="48"/>
      <c r="AP573" s="48"/>
      <c r="AQ573" s="48"/>
      <c r="AR573" s="48"/>
      <c r="AS573" s="48"/>
      <c r="AT573" s="48"/>
      <c r="AU573" s="48"/>
      <c r="AV573" s="48"/>
      <c r="AW573" s="48"/>
      <c r="AX573" s="48"/>
      <c r="AY573" s="48"/>
    </row>
    <row r="574" spans="1:51">
      <c r="A574" s="48"/>
      <c r="B574" s="48"/>
      <c r="C574" s="48"/>
      <c r="D574" s="48"/>
      <c r="E574" s="48"/>
      <c r="F574" s="48"/>
      <c r="G574" s="48"/>
      <c r="H574" s="48"/>
      <c r="I574" s="48"/>
      <c r="J574" s="48"/>
      <c r="K574" s="48"/>
      <c r="L574" s="48"/>
      <c r="M574" s="48"/>
      <c r="N574" s="48"/>
      <c r="O574" s="48"/>
      <c r="P574" s="48"/>
      <c r="Q574" s="48"/>
      <c r="R574" s="48"/>
      <c r="S574" s="48"/>
      <c r="T574" s="48"/>
      <c r="U574" s="48"/>
      <c r="V574" s="48"/>
      <c r="W574" s="48"/>
      <c r="X574" s="48"/>
      <c r="Y574" s="48"/>
      <c r="Z574" s="48"/>
      <c r="AA574" s="48"/>
      <c r="AB574" s="48"/>
      <c r="AC574" s="48"/>
      <c r="AD574" s="48"/>
      <c r="AE574" s="48"/>
      <c r="AF574" s="48"/>
      <c r="AG574" s="48"/>
      <c r="AH574" s="48"/>
      <c r="AI574" s="48"/>
      <c r="AJ574" s="48"/>
      <c r="AK574" s="48"/>
      <c r="AL574" s="48"/>
      <c r="AM574" s="48"/>
      <c r="AN574" s="48"/>
      <c r="AO574" s="48"/>
      <c r="AP574" s="48"/>
      <c r="AQ574" s="48"/>
      <c r="AR574" s="48"/>
      <c r="AS574" s="48"/>
      <c r="AT574" s="48"/>
      <c r="AU574" s="48"/>
      <c r="AV574" s="48"/>
      <c r="AW574" s="48"/>
      <c r="AX574" s="48"/>
      <c r="AY574" s="48"/>
    </row>
    <row r="575" spans="1:51">
      <c r="A575" s="48"/>
      <c r="B575" s="48"/>
      <c r="C575" s="48"/>
      <c r="D575" s="48"/>
      <c r="E575" s="48"/>
      <c r="F575" s="48"/>
      <c r="G575" s="48"/>
      <c r="H575" s="48"/>
      <c r="I575" s="48"/>
      <c r="J575" s="48"/>
      <c r="K575" s="48"/>
      <c r="L575" s="48"/>
      <c r="M575" s="48"/>
      <c r="N575" s="48"/>
      <c r="O575" s="48"/>
      <c r="P575" s="48"/>
      <c r="Q575" s="48"/>
      <c r="R575" s="48"/>
      <c r="S575" s="48"/>
      <c r="T575" s="48"/>
      <c r="U575" s="48"/>
      <c r="V575" s="48"/>
      <c r="W575" s="48"/>
      <c r="X575" s="48"/>
      <c r="Y575" s="48"/>
      <c r="Z575" s="48"/>
      <c r="AA575" s="48"/>
      <c r="AB575" s="48"/>
      <c r="AC575" s="48"/>
      <c r="AD575" s="48"/>
      <c r="AE575" s="48"/>
      <c r="AF575" s="48"/>
      <c r="AG575" s="48"/>
      <c r="AH575" s="48"/>
      <c r="AI575" s="48"/>
      <c r="AJ575" s="48"/>
      <c r="AK575" s="48"/>
      <c r="AL575" s="48"/>
      <c r="AM575" s="48"/>
      <c r="AN575" s="48"/>
      <c r="AO575" s="48"/>
      <c r="AP575" s="48"/>
      <c r="AQ575" s="48"/>
      <c r="AR575" s="48"/>
      <c r="AS575" s="48"/>
      <c r="AT575" s="48"/>
      <c r="AU575" s="48"/>
      <c r="AV575" s="48"/>
      <c r="AW575" s="48"/>
      <c r="AX575" s="48"/>
      <c r="AY575" s="48"/>
    </row>
    <row r="576" spans="1:51">
      <c r="A576" s="48"/>
      <c r="B576" s="48"/>
      <c r="C576" s="48"/>
      <c r="D576" s="48"/>
      <c r="E576" s="48"/>
      <c r="F576" s="48"/>
      <c r="G576" s="48"/>
      <c r="H576" s="48"/>
      <c r="I576" s="48"/>
      <c r="J576" s="48"/>
      <c r="K576" s="48"/>
      <c r="L576" s="48"/>
      <c r="M576" s="48"/>
      <c r="N576" s="48"/>
      <c r="O576" s="48"/>
      <c r="P576" s="48"/>
      <c r="Q576" s="48"/>
      <c r="R576" s="48"/>
      <c r="S576" s="48"/>
      <c r="T576" s="48"/>
      <c r="U576" s="48"/>
      <c r="V576" s="48"/>
      <c r="W576" s="48"/>
      <c r="X576" s="48"/>
      <c r="Y576" s="48"/>
      <c r="Z576" s="48"/>
      <c r="AA576" s="48"/>
      <c r="AB576" s="48"/>
      <c r="AC576" s="48"/>
      <c r="AD576" s="48"/>
      <c r="AE576" s="48"/>
      <c r="AF576" s="48"/>
      <c r="AG576" s="48"/>
      <c r="AH576" s="48"/>
      <c r="AI576" s="48"/>
      <c r="AJ576" s="48"/>
      <c r="AK576" s="48"/>
      <c r="AL576" s="48"/>
      <c r="AM576" s="48"/>
      <c r="AN576" s="48"/>
      <c r="AO576" s="48"/>
      <c r="AP576" s="48"/>
      <c r="AQ576" s="48"/>
      <c r="AR576" s="48"/>
      <c r="AS576" s="48"/>
      <c r="AT576" s="48"/>
      <c r="AU576" s="48"/>
      <c r="AV576" s="48"/>
      <c r="AW576" s="48"/>
      <c r="AX576" s="48"/>
      <c r="AY576" s="48"/>
    </row>
    <row r="577" spans="1:51">
      <c r="A577" s="48"/>
      <c r="B577" s="48"/>
      <c r="C577" s="48"/>
      <c r="D577" s="48"/>
      <c r="E577" s="48"/>
      <c r="F577" s="48"/>
      <c r="G577" s="48"/>
      <c r="H577" s="48"/>
      <c r="I577" s="48"/>
      <c r="J577" s="48"/>
      <c r="K577" s="48"/>
      <c r="L577" s="48"/>
      <c r="M577" s="48"/>
      <c r="N577" s="48"/>
      <c r="O577" s="48"/>
      <c r="P577" s="48"/>
      <c r="Q577" s="48"/>
      <c r="R577" s="48"/>
      <c r="S577" s="48"/>
      <c r="T577" s="48"/>
      <c r="U577" s="48"/>
      <c r="V577" s="48"/>
      <c r="W577" s="48"/>
      <c r="X577" s="48"/>
      <c r="Y577" s="48"/>
      <c r="Z577" s="48"/>
      <c r="AA577" s="48"/>
      <c r="AB577" s="48"/>
      <c r="AC577" s="48"/>
      <c r="AD577" s="48"/>
      <c r="AE577" s="48"/>
      <c r="AF577" s="48"/>
      <c r="AG577" s="48"/>
      <c r="AH577" s="48"/>
      <c r="AI577" s="48"/>
      <c r="AJ577" s="48"/>
      <c r="AK577" s="48"/>
      <c r="AL577" s="48"/>
      <c r="AM577" s="48"/>
      <c r="AN577" s="48"/>
      <c r="AO577" s="48"/>
      <c r="AP577" s="48"/>
      <c r="AQ577" s="48"/>
      <c r="AR577" s="48"/>
      <c r="AS577" s="48"/>
      <c r="AT577" s="48"/>
      <c r="AU577" s="48"/>
      <c r="AV577" s="48"/>
      <c r="AW577" s="48"/>
      <c r="AX577" s="48"/>
      <c r="AY577" s="48"/>
    </row>
    <row r="578" spans="1:51">
      <c r="A578" s="48"/>
      <c r="B578" s="48"/>
      <c r="C578" s="48"/>
      <c r="D578" s="48"/>
      <c r="E578" s="48"/>
      <c r="F578" s="48"/>
      <c r="G578" s="48"/>
      <c r="H578" s="48"/>
      <c r="I578" s="48"/>
      <c r="J578" s="48"/>
      <c r="K578" s="48"/>
      <c r="L578" s="48"/>
      <c r="M578" s="48"/>
      <c r="N578" s="48"/>
      <c r="O578" s="48"/>
      <c r="P578" s="48"/>
      <c r="Q578" s="48"/>
      <c r="R578" s="48"/>
      <c r="S578" s="48"/>
      <c r="T578" s="48"/>
      <c r="U578" s="48"/>
      <c r="V578" s="48"/>
      <c r="W578" s="48"/>
      <c r="X578" s="48"/>
      <c r="Y578" s="48"/>
      <c r="Z578" s="48"/>
      <c r="AA578" s="48"/>
      <c r="AB578" s="48"/>
      <c r="AC578" s="48"/>
      <c r="AD578" s="48"/>
      <c r="AE578" s="48"/>
      <c r="AF578" s="48"/>
      <c r="AG578" s="48"/>
      <c r="AH578" s="48"/>
      <c r="AI578" s="48"/>
      <c r="AJ578" s="48"/>
      <c r="AK578" s="48"/>
      <c r="AL578" s="48"/>
      <c r="AM578" s="48"/>
      <c r="AN578" s="48"/>
      <c r="AO578" s="48"/>
      <c r="AP578" s="48"/>
      <c r="AQ578" s="48"/>
      <c r="AR578" s="48"/>
      <c r="AS578" s="48"/>
      <c r="AT578" s="48"/>
      <c r="AU578" s="48"/>
      <c r="AV578" s="48"/>
      <c r="AW578" s="48"/>
      <c r="AX578" s="48"/>
      <c r="AY578" s="48"/>
    </row>
    <row r="579" spans="1:51">
      <c r="A579" s="48"/>
      <c r="B579" s="48"/>
      <c r="C579" s="48"/>
      <c r="D579" s="48"/>
      <c r="E579" s="48"/>
      <c r="F579" s="48"/>
      <c r="G579" s="48"/>
      <c r="H579" s="48"/>
      <c r="I579" s="48"/>
      <c r="J579" s="48"/>
      <c r="K579" s="48"/>
      <c r="L579" s="48"/>
      <c r="M579" s="48"/>
      <c r="N579" s="48"/>
      <c r="O579" s="48"/>
      <c r="P579" s="48"/>
      <c r="Q579" s="48"/>
      <c r="R579" s="48"/>
      <c r="S579" s="48"/>
      <c r="T579" s="48"/>
      <c r="U579" s="48"/>
      <c r="V579" s="48"/>
      <c r="W579" s="48"/>
      <c r="X579" s="48"/>
      <c r="Y579" s="48"/>
      <c r="Z579" s="48"/>
      <c r="AA579" s="48"/>
      <c r="AB579" s="48"/>
      <c r="AC579" s="48"/>
      <c r="AD579" s="48"/>
      <c r="AE579" s="48"/>
      <c r="AF579" s="48"/>
      <c r="AG579" s="48"/>
      <c r="AH579" s="48"/>
      <c r="AI579" s="48"/>
      <c r="AJ579" s="48"/>
      <c r="AK579" s="48"/>
      <c r="AL579" s="48"/>
      <c r="AM579" s="48"/>
      <c r="AN579" s="48"/>
      <c r="AO579" s="48"/>
      <c r="AP579" s="48"/>
      <c r="AQ579" s="48"/>
      <c r="AR579" s="48"/>
      <c r="AS579" s="48"/>
      <c r="AT579" s="48"/>
      <c r="AU579" s="48"/>
      <c r="AV579" s="48"/>
      <c r="AW579" s="48"/>
      <c r="AX579" s="48"/>
      <c r="AY579" s="48"/>
    </row>
    <row r="580" spans="1:51">
      <c r="A580" s="48"/>
      <c r="B580" s="48"/>
      <c r="C580" s="48"/>
      <c r="D580" s="48"/>
      <c r="E580" s="48"/>
      <c r="F580" s="48"/>
      <c r="G580" s="48"/>
      <c r="H580" s="48"/>
      <c r="I580" s="48"/>
      <c r="J580" s="48"/>
      <c r="K580" s="48"/>
      <c r="L580" s="48"/>
      <c r="M580" s="48"/>
      <c r="N580" s="48"/>
      <c r="O580" s="48"/>
      <c r="P580" s="48"/>
      <c r="Q580" s="48"/>
      <c r="R580" s="48"/>
      <c r="S580" s="48"/>
      <c r="T580" s="48"/>
      <c r="U580" s="48"/>
      <c r="V580" s="48"/>
      <c r="W580" s="48"/>
      <c r="X580" s="48"/>
      <c r="Y580" s="48"/>
      <c r="Z580" s="48"/>
      <c r="AA580" s="48"/>
      <c r="AB580" s="48"/>
      <c r="AC580" s="48"/>
      <c r="AD580" s="48"/>
      <c r="AE580" s="48"/>
      <c r="AF580" s="48"/>
      <c r="AG580" s="48"/>
      <c r="AH580" s="48"/>
      <c r="AI580" s="48"/>
      <c r="AJ580" s="48"/>
      <c r="AK580" s="48"/>
      <c r="AL580" s="48"/>
      <c r="AM580" s="48"/>
      <c r="AN580" s="48"/>
      <c r="AO580" s="48"/>
      <c r="AP580" s="48"/>
      <c r="AQ580" s="48"/>
      <c r="AR580" s="48"/>
      <c r="AS580" s="48"/>
      <c r="AT580" s="48"/>
      <c r="AU580" s="48"/>
      <c r="AV580" s="48"/>
      <c r="AW580" s="48"/>
      <c r="AX580" s="48"/>
      <c r="AY580" s="48"/>
    </row>
    <row r="581" spans="1:51">
      <c r="A581" s="48"/>
      <c r="B581" s="48"/>
      <c r="C581" s="48"/>
      <c r="D581" s="48"/>
      <c r="E581" s="48"/>
      <c r="F581" s="48"/>
      <c r="G581" s="48"/>
      <c r="H581" s="48"/>
      <c r="I581" s="48"/>
      <c r="J581" s="48"/>
      <c r="K581" s="48"/>
      <c r="L581" s="48"/>
      <c r="M581" s="48"/>
      <c r="N581" s="48"/>
      <c r="O581" s="48"/>
      <c r="P581" s="48"/>
      <c r="Q581" s="48"/>
      <c r="R581" s="48"/>
      <c r="S581" s="48"/>
      <c r="T581" s="48"/>
      <c r="U581" s="48"/>
      <c r="V581" s="48"/>
      <c r="W581" s="48"/>
      <c r="X581" s="48"/>
      <c r="Y581" s="48"/>
      <c r="Z581" s="48"/>
      <c r="AA581" s="48"/>
      <c r="AB581" s="48"/>
      <c r="AC581" s="48"/>
      <c r="AD581" s="48"/>
      <c r="AE581" s="48"/>
      <c r="AF581" s="48"/>
      <c r="AG581" s="48"/>
      <c r="AH581" s="48"/>
      <c r="AI581" s="48"/>
      <c r="AJ581" s="48"/>
      <c r="AK581" s="48"/>
      <c r="AL581" s="48"/>
      <c r="AM581" s="48"/>
      <c r="AN581" s="48"/>
      <c r="AO581" s="48"/>
      <c r="AP581" s="48"/>
      <c r="AQ581" s="48"/>
      <c r="AR581" s="48"/>
      <c r="AS581" s="48"/>
      <c r="AT581" s="48"/>
      <c r="AU581" s="48"/>
      <c r="AV581" s="48"/>
      <c r="AW581" s="48"/>
      <c r="AX581" s="48"/>
      <c r="AY581" s="48"/>
    </row>
    <row r="582" spans="1:51">
      <c r="A582" s="48"/>
      <c r="B582" s="48"/>
      <c r="C582" s="48"/>
      <c r="D582" s="48"/>
      <c r="E582" s="48"/>
      <c r="F582" s="48"/>
      <c r="G582" s="48"/>
      <c r="H582" s="48"/>
      <c r="I582" s="48"/>
      <c r="J582" s="48"/>
      <c r="K582" s="48"/>
      <c r="L582" s="48"/>
      <c r="M582" s="48"/>
      <c r="N582" s="48"/>
      <c r="O582" s="48"/>
      <c r="P582" s="48"/>
      <c r="Q582" s="48"/>
      <c r="R582" s="48"/>
      <c r="S582" s="48"/>
      <c r="T582" s="48"/>
      <c r="U582" s="48"/>
      <c r="V582" s="48"/>
      <c r="W582" s="48"/>
      <c r="X582" s="48"/>
      <c r="Y582" s="48"/>
      <c r="Z582" s="48"/>
      <c r="AA582" s="48"/>
      <c r="AB582" s="48"/>
      <c r="AC582" s="48"/>
      <c r="AD582" s="48"/>
      <c r="AE582" s="48"/>
      <c r="AF582" s="48"/>
      <c r="AG582" s="48"/>
      <c r="AH582" s="48"/>
      <c r="AI582" s="48"/>
      <c r="AJ582" s="48"/>
      <c r="AK582" s="48"/>
      <c r="AL582" s="48"/>
      <c r="AM582" s="48"/>
      <c r="AN582" s="48"/>
      <c r="AO582" s="48"/>
      <c r="AP582" s="48"/>
      <c r="AQ582" s="48"/>
      <c r="AR582" s="48"/>
      <c r="AS582" s="48"/>
      <c r="AT582" s="48"/>
      <c r="AU582" s="48"/>
      <c r="AV582" s="48"/>
      <c r="AW582" s="48"/>
      <c r="AX582" s="48"/>
      <c r="AY582" s="48"/>
    </row>
    <row r="583" spans="1:51">
      <c r="A583" s="48"/>
      <c r="B583" s="48"/>
      <c r="C583" s="48"/>
      <c r="D583" s="48"/>
      <c r="E583" s="48"/>
      <c r="F583" s="48"/>
      <c r="G583" s="48"/>
      <c r="H583" s="48"/>
      <c r="I583" s="48"/>
      <c r="J583" s="48"/>
      <c r="K583" s="48"/>
      <c r="L583" s="48"/>
      <c r="M583" s="48"/>
      <c r="N583" s="48"/>
      <c r="O583" s="48"/>
      <c r="P583" s="48"/>
      <c r="Q583" s="48"/>
      <c r="R583" s="48"/>
      <c r="S583" s="48"/>
      <c r="T583" s="48"/>
      <c r="U583" s="48"/>
      <c r="V583" s="48"/>
      <c r="W583" s="48"/>
      <c r="X583" s="48"/>
      <c r="Y583" s="48"/>
      <c r="Z583" s="48"/>
      <c r="AA583" s="48"/>
      <c r="AB583" s="48"/>
      <c r="AC583" s="48"/>
      <c r="AD583" s="48"/>
      <c r="AE583" s="48"/>
      <c r="AF583" s="48"/>
      <c r="AG583" s="48"/>
      <c r="AH583" s="48"/>
      <c r="AI583" s="48"/>
      <c r="AJ583" s="48"/>
      <c r="AK583" s="48"/>
      <c r="AL583" s="48"/>
      <c r="AM583" s="48"/>
      <c r="AN583" s="48"/>
      <c r="AO583" s="48"/>
      <c r="AP583" s="48"/>
      <c r="AQ583" s="48"/>
      <c r="AR583" s="48"/>
      <c r="AS583" s="48"/>
      <c r="AT583" s="48"/>
      <c r="AU583" s="48"/>
      <c r="AV583" s="48"/>
      <c r="AW583" s="48"/>
      <c r="AX583" s="48"/>
      <c r="AY583" s="48"/>
    </row>
    <row r="584" spans="1:51">
      <c r="A584" s="48"/>
      <c r="B584" s="48"/>
      <c r="C584" s="48"/>
      <c r="D584" s="48"/>
      <c r="E584" s="48"/>
      <c r="F584" s="48"/>
      <c r="G584" s="48"/>
      <c r="H584" s="48"/>
      <c r="I584" s="48"/>
      <c r="J584" s="48"/>
      <c r="K584" s="48"/>
      <c r="L584" s="48"/>
      <c r="M584" s="48"/>
      <c r="N584" s="48"/>
      <c r="O584" s="48"/>
      <c r="P584" s="48"/>
      <c r="Q584" s="48"/>
      <c r="R584" s="48"/>
      <c r="S584" s="48"/>
      <c r="T584" s="48"/>
      <c r="U584" s="48"/>
      <c r="V584" s="48"/>
      <c r="W584" s="48"/>
      <c r="X584" s="48"/>
      <c r="Y584" s="48"/>
      <c r="Z584" s="48"/>
      <c r="AA584" s="48"/>
      <c r="AB584" s="48"/>
      <c r="AC584" s="48"/>
      <c r="AD584" s="48"/>
      <c r="AE584" s="48"/>
      <c r="AF584" s="48"/>
      <c r="AG584" s="48"/>
      <c r="AH584" s="48"/>
      <c r="AI584" s="48"/>
      <c r="AJ584" s="48"/>
      <c r="AK584" s="48"/>
      <c r="AL584" s="48"/>
      <c r="AM584" s="48"/>
      <c r="AN584" s="48"/>
      <c r="AO584" s="48"/>
      <c r="AP584" s="48"/>
      <c r="AQ584" s="48"/>
      <c r="AR584" s="48"/>
      <c r="AS584" s="48"/>
      <c r="AT584" s="48"/>
      <c r="AU584" s="48"/>
      <c r="AV584" s="48"/>
      <c r="AW584" s="48"/>
      <c r="AX584" s="48"/>
      <c r="AY584" s="48"/>
    </row>
    <row r="585" spans="1:51">
      <c r="A585" s="48"/>
      <c r="B585" s="48"/>
      <c r="C585" s="48"/>
      <c r="D585" s="48"/>
      <c r="E585" s="48"/>
      <c r="F585" s="48"/>
      <c r="G585" s="48"/>
      <c r="H585" s="48"/>
      <c r="I585" s="48"/>
      <c r="J585" s="48"/>
      <c r="K585" s="48"/>
      <c r="L585" s="48"/>
      <c r="M585" s="48"/>
      <c r="N585" s="48"/>
      <c r="O585" s="48"/>
      <c r="P585" s="48"/>
      <c r="Q585" s="48"/>
      <c r="R585" s="48"/>
      <c r="S585" s="48"/>
      <c r="T585" s="48"/>
      <c r="U585" s="48"/>
      <c r="V585" s="48"/>
      <c r="W585" s="48"/>
      <c r="X585" s="48"/>
      <c r="Y585" s="48"/>
      <c r="Z585" s="48"/>
      <c r="AA585" s="48"/>
      <c r="AB585" s="48"/>
      <c r="AC585" s="48"/>
      <c r="AD585" s="48"/>
      <c r="AE585" s="48"/>
      <c r="AF585" s="48"/>
      <c r="AG585" s="48"/>
      <c r="AH585" s="48"/>
      <c r="AI585" s="48"/>
      <c r="AJ585" s="48"/>
      <c r="AK585" s="48"/>
      <c r="AL585" s="48"/>
      <c r="AM585" s="48"/>
      <c r="AN585" s="48"/>
      <c r="AO585" s="48"/>
      <c r="AP585" s="48"/>
      <c r="AQ585" s="48"/>
      <c r="AR585" s="48"/>
      <c r="AS585" s="48"/>
      <c r="AT585" s="48"/>
      <c r="AU585" s="48"/>
      <c r="AV585" s="48"/>
      <c r="AW585" s="48"/>
      <c r="AX585" s="48"/>
      <c r="AY585" s="48"/>
    </row>
    <row r="586" spans="1:51">
      <c r="A586" s="48"/>
      <c r="B586" s="48"/>
      <c r="C586" s="48"/>
      <c r="D586" s="48"/>
      <c r="E586" s="48"/>
      <c r="F586" s="48"/>
      <c r="G586" s="48"/>
      <c r="H586" s="48"/>
      <c r="I586" s="48"/>
      <c r="J586" s="48"/>
      <c r="K586" s="48"/>
      <c r="L586" s="48"/>
      <c r="M586" s="48"/>
      <c r="N586" s="48"/>
      <c r="O586" s="48"/>
      <c r="P586" s="48"/>
      <c r="Q586" s="48"/>
      <c r="R586" s="48"/>
      <c r="S586" s="48"/>
      <c r="T586" s="48"/>
      <c r="U586" s="48"/>
      <c r="V586" s="48"/>
      <c r="W586" s="48"/>
      <c r="X586" s="48"/>
      <c r="Y586" s="48"/>
      <c r="Z586" s="48"/>
      <c r="AA586" s="48"/>
      <c r="AB586" s="48"/>
      <c r="AC586" s="48"/>
      <c r="AD586" s="48"/>
      <c r="AE586" s="48"/>
      <c r="AF586" s="48"/>
      <c r="AG586" s="48"/>
      <c r="AH586" s="48"/>
      <c r="AI586" s="48"/>
      <c r="AJ586" s="48"/>
      <c r="AK586" s="48"/>
      <c r="AL586" s="48"/>
      <c r="AM586" s="48"/>
      <c r="AN586" s="48"/>
      <c r="AO586" s="48"/>
      <c r="AP586" s="48"/>
      <c r="AQ586" s="48"/>
      <c r="AR586" s="48"/>
      <c r="AS586" s="48"/>
      <c r="AT586" s="48"/>
      <c r="AU586" s="48"/>
      <c r="AV586" s="48"/>
      <c r="AW586" s="48"/>
      <c r="AX586" s="48"/>
      <c r="AY586" s="48"/>
    </row>
    <row r="587" spans="1:51">
      <c r="A587" s="48"/>
      <c r="B587" s="48"/>
      <c r="C587" s="48"/>
      <c r="D587" s="48"/>
      <c r="E587" s="48"/>
      <c r="F587" s="48"/>
      <c r="G587" s="48"/>
      <c r="H587" s="48"/>
      <c r="I587" s="48"/>
      <c r="J587" s="48"/>
      <c r="K587" s="48"/>
      <c r="L587" s="48"/>
      <c r="M587" s="48"/>
      <c r="N587" s="48"/>
      <c r="O587" s="48"/>
      <c r="P587" s="48"/>
      <c r="Q587" s="48"/>
      <c r="R587" s="48"/>
      <c r="S587" s="48"/>
      <c r="T587" s="48"/>
      <c r="U587" s="48"/>
      <c r="V587" s="48"/>
      <c r="W587" s="48"/>
      <c r="X587" s="48"/>
      <c r="Y587" s="48"/>
      <c r="Z587" s="48"/>
      <c r="AA587" s="48"/>
      <c r="AB587" s="48"/>
      <c r="AC587" s="48"/>
      <c r="AD587" s="48"/>
      <c r="AE587" s="48"/>
      <c r="AF587" s="48"/>
      <c r="AG587" s="48"/>
      <c r="AH587" s="48"/>
      <c r="AI587" s="48"/>
      <c r="AJ587" s="48"/>
      <c r="AK587" s="48"/>
      <c r="AL587" s="48"/>
      <c r="AM587" s="48"/>
      <c r="AN587" s="48"/>
      <c r="AO587" s="48"/>
      <c r="AP587" s="48"/>
      <c r="AQ587" s="48"/>
      <c r="AR587" s="48"/>
      <c r="AS587" s="48"/>
      <c r="AT587" s="48"/>
      <c r="AU587" s="48"/>
      <c r="AV587" s="48"/>
      <c r="AW587" s="48"/>
      <c r="AX587" s="48"/>
      <c r="AY587" s="48"/>
    </row>
    <row r="588" spans="1:51">
      <c r="A588" s="48"/>
      <c r="B588" s="48"/>
      <c r="C588" s="48"/>
      <c r="D588" s="48"/>
      <c r="E588" s="48"/>
      <c r="F588" s="48"/>
      <c r="G588" s="48"/>
      <c r="H588" s="48"/>
      <c r="I588" s="48"/>
      <c r="J588" s="48"/>
      <c r="K588" s="48"/>
      <c r="L588" s="48"/>
      <c r="M588" s="48"/>
      <c r="N588" s="48"/>
      <c r="O588" s="48"/>
      <c r="P588" s="48"/>
      <c r="Q588" s="48"/>
      <c r="R588" s="48"/>
      <c r="S588" s="48"/>
      <c r="T588" s="48"/>
      <c r="U588" s="48"/>
      <c r="V588" s="48"/>
      <c r="W588" s="48"/>
      <c r="X588" s="48"/>
      <c r="Y588" s="48"/>
      <c r="Z588" s="48"/>
      <c r="AA588" s="48"/>
      <c r="AB588" s="48"/>
      <c r="AC588" s="48"/>
      <c r="AD588" s="48"/>
      <c r="AE588" s="48"/>
      <c r="AF588" s="48"/>
      <c r="AG588" s="48"/>
      <c r="AH588" s="48"/>
      <c r="AI588" s="48"/>
      <c r="AJ588" s="48"/>
      <c r="AK588" s="48"/>
      <c r="AL588" s="48"/>
      <c r="AM588" s="48"/>
      <c r="AN588" s="48"/>
      <c r="AO588" s="48"/>
      <c r="AP588" s="48"/>
      <c r="AQ588" s="48"/>
      <c r="AR588" s="48"/>
      <c r="AS588" s="48"/>
      <c r="AT588" s="48"/>
      <c r="AU588" s="48"/>
      <c r="AV588" s="48"/>
      <c r="AW588" s="48"/>
      <c r="AX588" s="48"/>
      <c r="AY588" s="48"/>
    </row>
    <row r="589" spans="1:51">
      <c r="A589" s="48"/>
      <c r="B589" s="48"/>
      <c r="C589" s="48"/>
      <c r="D589" s="48"/>
      <c r="E589" s="48"/>
      <c r="F589" s="48"/>
      <c r="G589" s="48"/>
      <c r="H589" s="48"/>
      <c r="I589" s="48"/>
      <c r="J589" s="48"/>
      <c r="K589" s="48"/>
      <c r="L589" s="48"/>
      <c r="M589" s="48"/>
      <c r="N589" s="48"/>
      <c r="O589" s="48"/>
      <c r="P589" s="48"/>
      <c r="Q589" s="48"/>
      <c r="R589" s="48"/>
      <c r="S589" s="48"/>
      <c r="T589" s="48"/>
      <c r="U589" s="48"/>
      <c r="V589" s="48"/>
      <c r="W589" s="48"/>
      <c r="X589" s="48"/>
      <c r="Y589" s="48"/>
      <c r="Z589" s="48"/>
      <c r="AA589" s="48"/>
      <c r="AB589" s="48"/>
      <c r="AC589" s="48"/>
      <c r="AD589" s="48"/>
      <c r="AE589" s="48"/>
      <c r="AF589" s="48"/>
      <c r="AG589" s="48"/>
      <c r="AH589" s="48"/>
      <c r="AI589" s="48"/>
      <c r="AJ589" s="48"/>
      <c r="AK589" s="48"/>
      <c r="AL589" s="48"/>
      <c r="AM589" s="48"/>
      <c r="AN589" s="48"/>
      <c r="AO589" s="48"/>
      <c r="AP589" s="48"/>
      <c r="AQ589" s="48"/>
      <c r="AR589" s="48"/>
      <c r="AS589" s="48"/>
      <c r="AT589" s="48"/>
      <c r="AU589" s="48"/>
      <c r="AV589" s="48"/>
      <c r="AW589" s="48"/>
      <c r="AX589" s="48"/>
      <c r="AY589" s="48"/>
    </row>
    <row r="590" spans="1:51">
      <c r="A590" s="48"/>
      <c r="B590" s="48"/>
      <c r="C590" s="48"/>
      <c r="D590" s="48"/>
      <c r="E590" s="48"/>
      <c r="F590" s="48"/>
      <c r="G590" s="48"/>
      <c r="H590" s="48"/>
      <c r="I590" s="48"/>
      <c r="J590" s="48"/>
      <c r="K590" s="48"/>
      <c r="L590" s="48"/>
      <c r="M590" s="48"/>
      <c r="N590" s="48"/>
      <c r="O590" s="48"/>
      <c r="P590" s="48"/>
      <c r="Q590" s="48"/>
      <c r="R590" s="48"/>
      <c r="S590" s="48"/>
      <c r="T590" s="48"/>
      <c r="U590" s="48"/>
      <c r="V590" s="48"/>
      <c r="W590" s="48"/>
      <c r="X590" s="48"/>
      <c r="Y590" s="48"/>
      <c r="Z590" s="48"/>
      <c r="AA590" s="48"/>
      <c r="AB590" s="48"/>
      <c r="AC590" s="48"/>
      <c r="AD590" s="48"/>
      <c r="AE590" s="48"/>
      <c r="AF590" s="48"/>
      <c r="AG590" s="48"/>
      <c r="AH590" s="48"/>
      <c r="AI590" s="48"/>
      <c r="AJ590" s="48"/>
      <c r="AK590" s="48"/>
      <c r="AL590" s="48"/>
      <c r="AM590" s="48"/>
      <c r="AN590" s="48"/>
      <c r="AO590" s="48"/>
      <c r="AP590" s="48"/>
      <c r="AQ590" s="48"/>
      <c r="AR590" s="48"/>
      <c r="AS590" s="48"/>
      <c r="AT590" s="48"/>
      <c r="AU590" s="48"/>
      <c r="AV590" s="48"/>
      <c r="AW590" s="48"/>
      <c r="AX590" s="48"/>
      <c r="AY590" s="48"/>
    </row>
    <row r="591" spans="1:51">
      <c r="A591" s="48"/>
      <c r="B591" s="48"/>
      <c r="C591" s="48"/>
      <c r="D591" s="48"/>
      <c r="E591" s="48"/>
      <c r="F591" s="48"/>
      <c r="G591" s="48"/>
      <c r="H591" s="48"/>
      <c r="I591" s="48"/>
      <c r="J591" s="48"/>
      <c r="K591" s="48"/>
      <c r="L591" s="48"/>
      <c r="M591" s="48"/>
      <c r="N591" s="48"/>
      <c r="O591" s="48"/>
      <c r="P591" s="48"/>
      <c r="Q591" s="48"/>
      <c r="R591" s="48"/>
      <c r="S591" s="48"/>
      <c r="T591" s="48"/>
      <c r="U591" s="48"/>
      <c r="V591" s="48"/>
      <c r="W591" s="48"/>
      <c r="X591" s="48"/>
      <c r="Y591" s="48"/>
      <c r="Z591" s="48"/>
      <c r="AA591" s="48"/>
      <c r="AB591" s="48"/>
      <c r="AC591" s="48"/>
      <c r="AD591" s="48"/>
      <c r="AE591" s="48"/>
      <c r="AF591" s="48"/>
      <c r="AG591" s="48"/>
      <c r="AH591" s="48"/>
      <c r="AI591" s="48"/>
      <c r="AJ591" s="48"/>
      <c r="AK591" s="48"/>
      <c r="AL591" s="48"/>
      <c r="AM591" s="48"/>
      <c r="AN591" s="48"/>
      <c r="AO591" s="48"/>
      <c r="AP591" s="48"/>
      <c r="AQ591" s="48"/>
      <c r="AR591" s="48"/>
      <c r="AS591" s="48"/>
      <c r="AT591" s="48"/>
      <c r="AU591" s="48"/>
      <c r="AV591" s="48"/>
      <c r="AW591" s="48"/>
      <c r="AX591" s="48"/>
      <c r="AY591" s="48"/>
    </row>
    <row r="592" spans="1:51">
      <c r="A592" s="48"/>
      <c r="B592" s="48"/>
      <c r="C592" s="48"/>
      <c r="D592" s="48"/>
      <c r="E592" s="48"/>
      <c r="F592" s="48"/>
      <c r="G592" s="48"/>
      <c r="H592" s="48"/>
      <c r="I592" s="48"/>
      <c r="J592" s="48"/>
      <c r="K592" s="48"/>
      <c r="L592" s="48"/>
      <c r="M592" s="48"/>
      <c r="N592" s="48"/>
      <c r="O592" s="48"/>
      <c r="P592" s="48"/>
      <c r="Q592" s="48"/>
      <c r="R592" s="48"/>
      <c r="S592" s="48"/>
      <c r="T592" s="48"/>
      <c r="U592" s="48"/>
      <c r="V592" s="48"/>
      <c r="W592" s="48"/>
      <c r="X592" s="48"/>
      <c r="Y592" s="48"/>
      <c r="Z592" s="48"/>
      <c r="AA592" s="48"/>
      <c r="AB592" s="48"/>
      <c r="AC592" s="48"/>
      <c r="AD592" s="48"/>
      <c r="AE592" s="48"/>
      <c r="AF592" s="48"/>
      <c r="AG592" s="48"/>
      <c r="AH592" s="48"/>
      <c r="AI592" s="48"/>
      <c r="AJ592" s="48"/>
      <c r="AK592" s="48"/>
      <c r="AL592" s="48"/>
      <c r="AM592" s="48"/>
      <c r="AN592" s="48"/>
      <c r="AO592" s="48"/>
      <c r="AP592" s="48"/>
      <c r="AQ592" s="48"/>
      <c r="AR592" s="48"/>
      <c r="AS592" s="48"/>
      <c r="AT592" s="48"/>
      <c r="AU592" s="48"/>
      <c r="AV592" s="48"/>
      <c r="AW592" s="48"/>
      <c r="AX592" s="48"/>
      <c r="AY592" s="48"/>
    </row>
    <row r="593" spans="1:51">
      <c r="A593" s="48"/>
      <c r="B593" s="48"/>
      <c r="C593" s="48"/>
      <c r="D593" s="48"/>
      <c r="E593" s="48"/>
      <c r="F593" s="48"/>
      <c r="G593" s="48"/>
      <c r="H593" s="48"/>
      <c r="I593" s="48"/>
      <c r="J593" s="48"/>
      <c r="K593" s="48"/>
      <c r="L593" s="48"/>
      <c r="M593" s="48"/>
      <c r="N593" s="48"/>
      <c r="O593" s="48"/>
      <c r="P593" s="48"/>
      <c r="Q593" s="48"/>
      <c r="R593" s="48"/>
      <c r="S593" s="48"/>
      <c r="T593" s="48"/>
      <c r="U593" s="48"/>
      <c r="V593" s="48"/>
      <c r="W593" s="48"/>
      <c r="X593" s="48"/>
      <c r="Y593" s="48"/>
      <c r="Z593" s="48"/>
      <c r="AA593" s="48"/>
      <c r="AB593" s="48"/>
      <c r="AC593" s="48"/>
      <c r="AD593" s="48"/>
      <c r="AE593" s="48"/>
      <c r="AF593" s="48"/>
      <c r="AG593" s="48"/>
      <c r="AH593" s="48"/>
      <c r="AI593" s="48"/>
      <c r="AJ593" s="48"/>
      <c r="AK593" s="48"/>
      <c r="AL593" s="48"/>
      <c r="AM593" s="48"/>
      <c r="AN593" s="48"/>
      <c r="AO593" s="48"/>
      <c r="AP593" s="48"/>
      <c r="AQ593" s="48"/>
      <c r="AR593" s="48"/>
      <c r="AS593" s="48"/>
      <c r="AT593" s="48"/>
      <c r="AU593" s="48"/>
      <c r="AV593" s="48"/>
      <c r="AW593" s="48"/>
      <c r="AX593" s="48"/>
      <c r="AY593" s="48"/>
    </row>
    <row r="594" spans="1:51">
      <c r="A594" s="48"/>
      <c r="B594" s="48"/>
      <c r="C594" s="48"/>
      <c r="D594" s="48"/>
      <c r="E594" s="48"/>
      <c r="F594" s="48"/>
      <c r="G594" s="48"/>
      <c r="H594" s="48"/>
      <c r="I594" s="48"/>
      <c r="J594" s="48"/>
      <c r="K594" s="48"/>
      <c r="L594" s="48"/>
      <c r="M594" s="48"/>
      <c r="N594" s="48"/>
      <c r="O594" s="48"/>
      <c r="P594" s="48"/>
      <c r="Q594" s="48"/>
      <c r="R594" s="48"/>
      <c r="S594" s="48"/>
      <c r="T594" s="48"/>
      <c r="U594" s="48"/>
      <c r="V594" s="48"/>
      <c r="W594" s="48"/>
      <c r="X594" s="48"/>
      <c r="Y594" s="48"/>
      <c r="Z594" s="48"/>
      <c r="AA594" s="48"/>
      <c r="AB594" s="48"/>
      <c r="AC594" s="48"/>
      <c r="AD594" s="48"/>
      <c r="AE594" s="48"/>
      <c r="AF594" s="48"/>
      <c r="AG594" s="48"/>
      <c r="AH594" s="48"/>
      <c r="AI594" s="48"/>
      <c r="AJ594" s="48"/>
      <c r="AK594" s="48"/>
      <c r="AL594" s="48"/>
      <c r="AM594" s="48"/>
      <c r="AN594" s="48"/>
      <c r="AO594" s="48"/>
      <c r="AP594" s="48"/>
      <c r="AQ594" s="48"/>
      <c r="AR594" s="48"/>
      <c r="AS594" s="48"/>
      <c r="AT594" s="48"/>
      <c r="AU594" s="48"/>
      <c r="AV594" s="48"/>
      <c r="AW594" s="48"/>
      <c r="AX594" s="48"/>
      <c r="AY594" s="48"/>
    </row>
    <row r="595" spans="1:51">
      <c r="A595" s="48"/>
      <c r="B595" s="48"/>
      <c r="C595" s="48"/>
      <c r="D595" s="48"/>
      <c r="E595" s="48"/>
      <c r="F595" s="48"/>
      <c r="G595" s="48"/>
      <c r="H595" s="48"/>
      <c r="I595" s="48"/>
      <c r="J595" s="48"/>
      <c r="K595" s="48"/>
      <c r="L595" s="48"/>
      <c r="M595" s="48"/>
      <c r="N595" s="48"/>
      <c r="O595" s="48"/>
      <c r="P595" s="48"/>
      <c r="Q595" s="48"/>
      <c r="R595" s="48"/>
      <c r="S595" s="48"/>
      <c r="T595" s="48"/>
      <c r="U595" s="48"/>
      <c r="V595" s="48"/>
      <c r="W595" s="48"/>
      <c r="X595" s="48"/>
      <c r="Y595" s="48"/>
      <c r="Z595" s="48"/>
      <c r="AA595" s="48"/>
      <c r="AB595" s="48"/>
      <c r="AC595" s="48"/>
      <c r="AD595" s="48"/>
      <c r="AE595" s="48"/>
      <c r="AF595" s="48"/>
      <c r="AG595" s="48"/>
      <c r="AH595" s="48"/>
      <c r="AI595" s="48"/>
      <c r="AJ595" s="48"/>
      <c r="AK595" s="48"/>
      <c r="AL595" s="48"/>
      <c r="AM595" s="48"/>
      <c r="AN595" s="48"/>
      <c r="AO595" s="48"/>
      <c r="AP595" s="48"/>
      <c r="AQ595" s="48"/>
      <c r="AR595" s="48"/>
      <c r="AS595" s="48"/>
      <c r="AT595" s="48"/>
      <c r="AU595" s="48"/>
      <c r="AV595" s="48"/>
      <c r="AW595" s="48"/>
      <c r="AX595" s="48"/>
      <c r="AY595" s="48"/>
    </row>
    <row r="596" spans="1:51">
      <c r="A596" s="48"/>
      <c r="B596" s="48"/>
      <c r="C596" s="48"/>
      <c r="D596" s="48"/>
      <c r="E596" s="48"/>
      <c r="F596" s="48"/>
      <c r="G596" s="48"/>
      <c r="H596" s="48"/>
      <c r="I596" s="48"/>
      <c r="J596" s="48"/>
      <c r="K596" s="48"/>
      <c r="L596" s="48"/>
      <c r="M596" s="48"/>
      <c r="N596" s="48"/>
      <c r="O596" s="48"/>
      <c r="P596" s="48"/>
      <c r="Q596" s="48"/>
      <c r="R596" s="48"/>
      <c r="S596" s="48"/>
      <c r="T596" s="48"/>
      <c r="U596" s="48"/>
      <c r="V596" s="48"/>
      <c r="W596" s="48"/>
      <c r="X596" s="48"/>
      <c r="Y596" s="48"/>
      <c r="Z596" s="48"/>
      <c r="AA596" s="48"/>
      <c r="AB596" s="48"/>
      <c r="AC596" s="48"/>
      <c r="AD596" s="48"/>
      <c r="AE596" s="48"/>
      <c r="AF596" s="48"/>
      <c r="AG596" s="48"/>
      <c r="AH596" s="48"/>
      <c r="AI596" s="48"/>
      <c r="AJ596" s="48"/>
      <c r="AK596" s="48"/>
      <c r="AL596" s="48"/>
      <c r="AM596" s="48"/>
      <c r="AN596" s="48"/>
      <c r="AO596" s="48"/>
      <c r="AP596" s="48"/>
      <c r="AQ596" s="48"/>
      <c r="AR596" s="48"/>
      <c r="AS596" s="48"/>
      <c r="AT596" s="48"/>
      <c r="AU596" s="48"/>
      <c r="AV596" s="48"/>
      <c r="AW596" s="48"/>
      <c r="AX596" s="48"/>
      <c r="AY596" s="48"/>
    </row>
    <row r="597" spans="1:51">
      <c r="A597" s="48"/>
      <c r="B597" s="48"/>
      <c r="C597" s="48"/>
      <c r="D597" s="48"/>
      <c r="E597" s="48"/>
      <c r="F597" s="48"/>
      <c r="G597" s="48"/>
      <c r="H597" s="48"/>
      <c r="I597" s="48"/>
      <c r="J597" s="48"/>
      <c r="K597" s="48"/>
      <c r="L597" s="48"/>
      <c r="M597" s="48"/>
      <c r="N597" s="48"/>
      <c r="O597" s="48"/>
      <c r="P597" s="48"/>
      <c r="Q597" s="48"/>
      <c r="R597" s="48"/>
      <c r="S597" s="48"/>
      <c r="T597" s="48"/>
      <c r="U597" s="48"/>
      <c r="V597" s="48"/>
      <c r="W597" s="48"/>
      <c r="X597" s="48"/>
      <c r="Y597" s="48"/>
      <c r="Z597" s="48"/>
      <c r="AA597" s="48"/>
      <c r="AB597" s="48"/>
      <c r="AC597" s="48"/>
      <c r="AD597" s="48"/>
      <c r="AE597" s="48"/>
      <c r="AF597" s="48"/>
      <c r="AG597" s="48"/>
      <c r="AH597" s="48"/>
      <c r="AI597" s="48"/>
      <c r="AJ597" s="48"/>
      <c r="AK597" s="48"/>
      <c r="AL597" s="48"/>
      <c r="AM597" s="48"/>
      <c r="AN597" s="48"/>
      <c r="AO597" s="48"/>
      <c r="AP597" s="48"/>
      <c r="AQ597" s="48"/>
      <c r="AR597" s="48"/>
      <c r="AS597" s="48"/>
      <c r="AT597" s="48"/>
      <c r="AU597" s="48"/>
      <c r="AV597" s="48"/>
      <c r="AW597" s="48"/>
      <c r="AX597" s="48"/>
      <c r="AY597" s="48"/>
    </row>
    <row r="598" spans="1:51">
      <c r="A598" s="48"/>
      <c r="B598" s="48"/>
      <c r="C598" s="48"/>
      <c r="D598" s="48"/>
      <c r="E598" s="48"/>
      <c r="F598" s="48"/>
      <c r="G598" s="48"/>
      <c r="H598" s="48"/>
      <c r="I598" s="48"/>
      <c r="J598" s="48"/>
      <c r="K598" s="48"/>
      <c r="L598" s="48"/>
      <c r="M598" s="48"/>
      <c r="N598" s="48"/>
      <c r="O598" s="48"/>
      <c r="P598" s="48"/>
      <c r="Q598" s="48"/>
      <c r="R598" s="48"/>
      <c r="S598" s="48"/>
      <c r="T598" s="48"/>
      <c r="U598" s="48"/>
      <c r="V598" s="48"/>
      <c r="W598" s="48"/>
      <c r="X598" s="48"/>
      <c r="Y598" s="48"/>
      <c r="Z598" s="48"/>
      <c r="AA598" s="48"/>
      <c r="AB598" s="48"/>
      <c r="AC598" s="48"/>
      <c r="AD598" s="48"/>
      <c r="AE598" s="48"/>
      <c r="AF598" s="48"/>
      <c r="AG598" s="48"/>
      <c r="AH598" s="48"/>
      <c r="AI598" s="48"/>
      <c r="AJ598" s="48"/>
      <c r="AK598" s="48"/>
      <c r="AL598" s="48"/>
      <c r="AM598" s="48"/>
      <c r="AN598" s="48"/>
      <c r="AO598" s="48"/>
      <c r="AP598" s="48"/>
      <c r="AQ598" s="48"/>
      <c r="AR598" s="48"/>
      <c r="AS598" s="48"/>
      <c r="AT598" s="48"/>
      <c r="AU598" s="48"/>
      <c r="AV598" s="48"/>
      <c r="AW598" s="48"/>
      <c r="AX598" s="48"/>
      <c r="AY598" s="48"/>
    </row>
    <row r="599" spans="1:51">
      <c r="A599" s="48"/>
      <c r="B599" s="48"/>
      <c r="C599" s="48"/>
      <c r="D599" s="48"/>
      <c r="E599" s="48"/>
      <c r="F599" s="48"/>
      <c r="G599" s="48"/>
      <c r="H599" s="48"/>
      <c r="I599" s="48"/>
      <c r="J599" s="48"/>
      <c r="K599" s="48"/>
      <c r="L599" s="48"/>
      <c r="M599" s="48"/>
      <c r="N599" s="48"/>
      <c r="O599" s="48"/>
      <c r="P599" s="48"/>
      <c r="Q599" s="48"/>
      <c r="R599" s="48"/>
      <c r="S599" s="48"/>
      <c r="T599" s="48"/>
      <c r="U599" s="48"/>
      <c r="V599" s="48"/>
      <c r="W599" s="48"/>
      <c r="X599" s="48"/>
      <c r="Y599" s="48"/>
      <c r="Z599" s="48"/>
      <c r="AA599" s="48"/>
      <c r="AB599" s="48"/>
      <c r="AC599" s="48"/>
      <c r="AD599" s="48"/>
      <c r="AE599" s="48"/>
      <c r="AF599" s="48"/>
      <c r="AG599" s="48"/>
      <c r="AH599" s="48"/>
      <c r="AI599" s="48"/>
      <c r="AJ599" s="48"/>
      <c r="AK599" s="48"/>
      <c r="AL599" s="48"/>
      <c r="AM599" s="48"/>
      <c r="AN599" s="48"/>
      <c r="AO599" s="48"/>
      <c r="AP599" s="48"/>
      <c r="AQ599" s="48"/>
      <c r="AR599" s="48"/>
      <c r="AS599" s="48"/>
      <c r="AT599" s="48"/>
      <c r="AU599" s="48"/>
      <c r="AV599" s="48"/>
      <c r="AW599" s="48"/>
      <c r="AX599" s="48"/>
      <c r="AY599" s="48"/>
    </row>
    <row r="600" spans="1:51">
      <c r="A600" s="48"/>
      <c r="B600" s="48"/>
      <c r="C600" s="48"/>
      <c r="D600" s="48"/>
      <c r="E600" s="48"/>
      <c r="F600" s="48"/>
      <c r="G600" s="48"/>
      <c r="H600" s="48"/>
      <c r="I600" s="48"/>
      <c r="J600" s="48"/>
      <c r="K600" s="48"/>
      <c r="L600" s="48"/>
      <c r="M600" s="48"/>
      <c r="N600" s="48"/>
      <c r="O600" s="48"/>
      <c r="P600" s="48"/>
      <c r="Q600" s="48"/>
      <c r="R600" s="48"/>
      <c r="S600" s="48"/>
      <c r="T600" s="48"/>
      <c r="U600" s="48"/>
      <c r="V600" s="48"/>
      <c r="W600" s="48"/>
      <c r="X600" s="48"/>
      <c r="Y600" s="48"/>
      <c r="Z600" s="48"/>
      <c r="AA600" s="48"/>
      <c r="AB600" s="48"/>
      <c r="AC600" s="48"/>
      <c r="AD600" s="48"/>
      <c r="AE600" s="48"/>
      <c r="AF600" s="48"/>
      <c r="AG600" s="48"/>
      <c r="AH600" s="48"/>
      <c r="AI600" s="48"/>
      <c r="AJ600" s="48"/>
      <c r="AK600" s="48"/>
      <c r="AL600" s="48"/>
      <c r="AM600" s="48"/>
      <c r="AN600" s="48"/>
      <c r="AO600" s="48"/>
      <c r="AP600" s="48"/>
      <c r="AQ600" s="48"/>
      <c r="AR600" s="48"/>
      <c r="AS600" s="48"/>
      <c r="AT600" s="48"/>
      <c r="AU600" s="48"/>
      <c r="AV600" s="48"/>
      <c r="AW600" s="48"/>
      <c r="AX600" s="48"/>
      <c r="AY600" s="48"/>
    </row>
    <row r="601" spans="1:51">
      <c r="A601" s="48"/>
      <c r="B601" s="48"/>
      <c r="C601" s="48"/>
      <c r="D601" s="48"/>
      <c r="E601" s="48"/>
      <c r="F601" s="48"/>
      <c r="G601" s="48"/>
      <c r="H601" s="48"/>
      <c r="I601" s="48"/>
      <c r="J601" s="48"/>
      <c r="K601" s="48"/>
      <c r="L601" s="48"/>
      <c r="M601" s="48"/>
      <c r="N601" s="48"/>
      <c r="O601" s="48"/>
      <c r="P601" s="48"/>
      <c r="Q601" s="48"/>
      <c r="R601" s="48"/>
      <c r="S601" s="48"/>
      <c r="T601" s="48"/>
      <c r="U601" s="48"/>
      <c r="V601" s="48"/>
      <c r="W601" s="48"/>
      <c r="X601" s="48"/>
      <c r="Y601" s="48"/>
      <c r="Z601" s="48"/>
      <c r="AA601" s="48"/>
      <c r="AB601" s="48"/>
      <c r="AC601" s="48"/>
      <c r="AD601" s="48"/>
      <c r="AE601" s="48"/>
      <c r="AF601" s="48"/>
      <c r="AG601" s="48"/>
      <c r="AH601" s="48"/>
      <c r="AI601" s="48"/>
      <c r="AJ601" s="48"/>
      <c r="AK601" s="48"/>
      <c r="AL601" s="48"/>
      <c r="AM601" s="48"/>
      <c r="AN601" s="48"/>
      <c r="AO601" s="48"/>
      <c r="AP601" s="48"/>
      <c r="AQ601" s="48"/>
      <c r="AR601" s="48"/>
      <c r="AS601" s="48"/>
      <c r="AT601" s="48"/>
      <c r="AU601" s="48"/>
      <c r="AV601" s="48"/>
      <c r="AW601" s="48"/>
      <c r="AX601" s="48"/>
      <c r="AY601" s="48"/>
    </row>
    <row r="602" spans="1:51">
      <c r="A602" s="48"/>
      <c r="B602" s="48"/>
      <c r="C602" s="48"/>
      <c r="D602" s="48"/>
      <c r="E602" s="48"/>
      <c r="F602" s="48"/>
      <c r="G602" s="48"/>
      <c r="H602" s="48"/>
      <c r="I602" s="48"/>
      <c r="J602" s="48"/>
      <c r="K602" s="48"/>
      <c r="L602" s="48"/>
      <c r="M602" s="48"/>
      <c r="N602" s="48"/>
      <c r="O602" s="48"/>
      <c r="P602" s="48"/>
      <c r="Q602" s="48"/>
      <c r="R602" s="48"/>
      <c r="S602" s="48"/>
      <c r="T602" s="48"/>
      <c r="U602" s="48"/>
      <c r="V602" s="48"/>
      <c r="W602" s="48"/>
      <c r="X602" s="48"/>
      <c r="Y602" s="48"/>
      <c r="Z602" s="48"/>
      <c r="AA602" s="48"/>
      <c r="AB602" s="48"/>
      <c r="AC602" s="48"/>
      <c r="AD602" s="48"/>
      <c r="AE602" s="48"/>
      <c r="AF602" s="48"/>
      <c r="AG602" s="48"/>
      <c r="AH602" s="48"/>
      <c r="AI602" s="48"/>
      <c r="AJ602" s="48"/>
      <c r="AK602" s="48"/>
      <c r="AL602" s="48"/>
      <c r="AM602" s="48"/>
      <c r="AN602" s="48"/>
      <c r="AO602" s="48"/>
      <c r="AP602" s="48"/>
      <c r="AQ602" s="48"/>
      <c r="AR602" s="48"/>
      <c r="AS602" s="48"/>
      <c r="AT602" s="48"/>
      <c r="AU602" s="48"/>
      <c r="AV602" s="48"/>
      <c r="AW602" s="48"/>
      <c r="AX602" s="48"/>
      <c r="AY602" s="48"/>
    </row>
    <row r="603" spans="1:51">
      <c r="A603" s="48"/>
      <c r="B603" s="48"/>
      <c r="C603" s="48"/>
      <c r="D603" s="48"/>
      <c r="E603" s="48"/>
      <c r="F603" s="48"/>
      <c r="G603" s="48"/>
      <c r="H603" s="48"/>
      <c r="I603" s="48"/>
      <c r="J603" s="48"/>
      <c r="K603" s="48"/>
      <c r="L603" s="48"/>
      <c r="M603" s="48"/>
      <c r="N603" s="48"/>
      <c r="O603" s="48"/>
      <c r="P603" s="48"/>
      <c r="Q603" s="48"/>
      <c r="R603" s="48"/>
      <c r="S603" s="48"/>
      <c r="T603" s="48"/>
      <c r="U603" s="48"/>
      <c r="V603" s="48"/>
      <c r="W603" s="48"/>
      <c r="X603" s="48"/>
      <c r="Y603" s="48"/>
      <c r="Z603" s="48"/>
      <c r="AA603" s="48"/>
      <c r="AB603" s="48"/>
      <c r="AC603" s="48"/>
      <c r="AD603" s="48"/>
      <c r="AE603" s="48"/>
      <c r="AF603" s="48"/>
      <c r="AG603" s="48"/>
      <c r="AH603" s="48"/>
      <c r="AI603" s="48"/>
      <c r="AJ603" s="48"/>
      <c r="AK603" s="48"/>
      <c r="AL603" s="48"/>
      <c r="AM603" s="48"/>
      <c r="AN603" s="48"/>
      <c r="AO603" s="48"/>
      <c r="AP603" s="48"/>
      <c r="AQ603" s="48"/>
      <c r="AR603" s="48"/>
      <c r="AS603" s="48"/>
      <c r="AT603" s="48"/>
      <c r="AU603" s="48"/>
      <c r="AV603" s="48"/>
      <c r="AW603" s="48"/>
      <c r="AX603" s="48"/>
      <c r="AY603" s="48"/>
    </row>
    <row r="604" spans="1:51">
      <c r="A604" s="48"/>
      <c r="B604" s="48"/>
      <c r="C604" s="48"/>
      <c r="D604" s="48"/>
      <c r="E604" s="48"/>
      <c r="F604" s="48"/>
      <c r="G604" s="48"/>
      <c r="H604" s="48"/>
      <c r="I604" s="48"/>
      <c r="J604" s="48"/>
      <c r="K604" s="48"/>
      <c r="L604" s="48"/>
      <c r="M604" s="48"/>
      <c r="N604" s="48"/>
      <c r="O604" s="48"/>
      <c r="P604" s="48"/>
      <c r="Q604" s="48"/>
      <c r="R604" s="48"/>
      <c r="S604" s="48"/>
      <c r="T604" s="48"/>
      <c r="U604" s="48"/>
      <c r="V604" s="48"/>
      <c r="W604" s="48"/>
      <c r="X604" s="48"/>
      <c r="Y604" s="48"/>
      <c r="Z604" s="48"/>
      <c r="AA604" s="48"/>
      <c r="AB604" s="48"/>
      <c r="AC604" s="48"/>
      <c r="AD604" s="48"/>
      <c r="AE604" s="48"/>
      <c r="AF604" s="48"/>
      <c r="AG604" s="48"/>
      <c r="AH604" s="48"/>
      <c r="AI604" s="48"/>
      <c r="AJ604" s="48"/>
      <c r="AK604" s="48"/>
      <c r="AL604" s="48"/>
      <c r="AM604" s="48"/>
      <c r="AN604" s="48"/>
      <c r="AO604" s="48"/>
      <c r="AP604" s="48"/>
      <c r="AQ604" s="48"/>
      <c r="AR604" s="48"/>
      <c r="AS604" s="48"/>
      <c r="AT604" s="48"/>
      <c r="AU604" s="48"/>
      <c r="AV604" s="48"/>
      <c r="AW604" s="48"/>
      <c r="AX604" s="48"/>
      <c r="AY604" s="48"/>
    </row>
    <row r="605" spans="1:51">
      <c r="A605" s="48"/>
      <c r="B605" s="48"/>
      <c r="C605" s="48"/>
      <c r="D605" s="48"/>
      <c r="E605" s="48"/>
      <c r="F605" s="48"/>
      <c r="G605" s="48"/>
      <c r="H605" s="48"/>
      <c r="I605" s="48"/>
      <c r="J605" s="48"/>
      <c r="K605" s="48"/>
      <c r="L605" s="48"/>
      <c r="M605" s="48"/>
      <c r="N605" s="48"/>
      <c r="O605" s="48"/>
      <c r="P605" s="48"/>
      <c r="Q605" s="48"/>
      <c r="R605" s="48"/>
      <c r="S605" s="48"/>
      <c r="T605" s="48"/>
      <c r="U605" s="48"/>
      <c r="V605" s="48"/>
      <c r="W605" s="48"/>
      <c r="X605" s="48"/>
      <c r="Y605" s="48"/>
      <c r="Z605" s="48"/>
      <c r="AA605" s="48"/>
      <c r="AB605" s="48"/>
      <c r="AC605" s="48"/>
      <c r="AD605" s="48"/>
      <c r="AE605" s="48"/>
      <c r="AF605" s="48"/>
      <c r="AG605" s="48"/>
      <c r="AH605" s="48"/>
      <c r="AI605" s="48"/>
      <c r="AJ605" s="48"/>
      <c r="AK605" s="48"/>
      <c r="AL605" s="48"/>
      <c r="AM605" s="48"/>
      <c r="AN605" s="48"/>
      <c r="AO605" s="48"/>
      <c r="AP605" s="48"/>
      <c r="AQ605" s="48"/>
      <c r="AR605" s="48"/>
      <c r="AS605" s="48"/>
      <c r="AT605" s="48"/>
      <c r="AU605" s="48"/>
      <c r="AV605" s="48"/>
      <c r="AW605" s="48"/>
      <c r="AX605" s="48"/>
      <c r="AY605" s="48"/>
    </row>
    <row r="606" spans="1:51">
      <c r="A606" s="48"/>
      <c r="B606" s="48"/>
      <c r="C606" s="48"/>
      <c r="D606" s="48"/>
      <c r="E606" s="48"/>
      <c r="F606" s="48"/>
      <c r="G606" s="48"/>
      <c r="H606" s="48"/>
      <c r="I606" s="48"/>
      <c r="J606" s="48"/>
      <c r="K606" s="48"/>
      <c r="L606" s="48"/>
      <c r="M606" s="48"/>
      <c r="N606" s="48"/>
      <c r="O606" s="48"/>
      <c r="P606" s="48"/>
      <c r="Q606" s="48"/>
      <c r="R606" s="48"/>
      <c r="S606" s="48"/>
      <c r="T606" s="48"/>
      <c r="U606" s="48"/>
      <c r="V606" s="48"/>
      <c r="W606" s="48"/>
      <c r="X606" s="48"/>
      <c r="Y606" s="48"/>
      <c r="Z606" s="48"/>
      <c r="AA606" s="48"/>
      <c r="AB606" s="48"/>
      <c r="AC606" s="48"/>
      <c r="AD606" s="48"/>
      <c r="AE606" s="48"/>
      <c r="AF606" s="48"/>
      <c r="AG606" s="48"/>
      <c r="AH606" s="48"/>
      <c r="AI606" s="48"/>
      <c r="AJ606" s="48"/>
      <c r="AK606" s="48"/>
      <c r="AL606" s="48"/>
      <c r="AM606" s="48"/>
      <c r="AN606" s="48"/>
      <c r="AO606" s="48"/>
      <c r="AP606" s="48"/>
      <c r="AQ606" s="48"/>
      <c r="AR606" s="48"/>
      <c r="AS606" s="48"/>
      <c r="AT606" s="48"/>
      <c r="AU606" s="48"/>
      <c r="AV606" s="48"/>
      <c r="AW606" s="48"/>
      <c r="AX606" s="48"/>
      <c r="AY606" s="48"/>
    </row>
    <row r="607" spans="1:51">
      <c r="A607" s="48"/>
      <c r="B607" s="48"/>
      <c r="C607" s="48"/>
      <c r="D607" s="48"/>
      <c r="E607" s="48"/>
      <c r="F607" s="48"/>
      <c r="G607" s="48"/>
      <c r="H607" s="48"/>
      <c r="I607" s="48"/>
      <c r="J607" s="48"/>
      <c r="K607" s="48"/>
      <c r="L607" s="48"/>
      <c r="M607" s="48"/>
      <c r="N607" s="48"/>
      <c r="O607" s="48"/>
      <c r="P607" s="48"/>
      <c r="Q607" s="48"/>
      <c r="R607" s="48"/>
      <c r="S607" s="48"/>
      <c r="T607" s="48"/>
      <c r="U607" s="48"/>
      <c r="V607" s="48"/>
      <c r="W607" s="48"/>
      <c r="X607" s="48"/>
      <c r="Y607" s="48"/>
      <c r="Z607" s="48"/>
      <c r="AA607" s="48"/>
      <c r="AB607" s="48"/>
      <c r="AC607" s="48"/>
      <c r="AD607" s="48"/>
      <c r="AE607" s="48"/>
      <c r="AF607" s="48"/>
      <c r="AG607" s="48"/>
      <c r="AH607" s="48"/>
      <c r="AI607" s="48"/>
      <c r="AJ607" s="48"/>
      <c r="AK607" s="48"/>
      <c r="AL607" s="48"/>
      <c r="AM607" s="48"/>
      <c r="AN607" s="48"/>
      <c r="AO607" s="48"/>
      <c r="AP607" s="48"/>
      <c r="AQ607" s="48"/>
      <c r="AR607" s="48"/>
      <c r="AS607" s="48"/>
      <c r="AT607" s="48"/>
      <c r="AU607" s="48"/>
      <c r="AV607" s="48"/>
      <c r="AW607" s="48"/>
      <c r="AX607" s="48"/>
      <c r="AY607" s="48"/>
    </row>
    <row r="608" spans="1:51">
      <c r="A608" s="48"/>
      <c r="B608" s="48"/>
      <c r="C608" s="48"/>
      <c r="D608" s="48"/>
      <c r="E608" s="48"/>
      <c r="F608" s="48"/>
      <c r="G608" s="48"/>
      <c r="H608" s="48"/>
      <c r="I608" s="48"/>
      <c r="J608" s="48"/>
      <c r="K608" s="48"/>
      <c r="L608" s="48"/>
      <c r="M608" s="48"/>
      <c r="N608" s="48"/>
      <c r="O608" s="48"/>
      <c r="P608" s="48"/>
      <c r="Q608" s="48"/>
      <c r="R608" s="48"/>
      <c r="S608" s="48"/>
      <c r="T608" s="48"/>
      <c r="U608" s="48"/>
      <c r="V608" s="48"/>
      <c r="W608" s="48"/>
      <c r="X608" s="48"/>
      <c r="Y608" s="48"/>
      <c r="Z608" s="48"/>
      <c r="AA608" s="48"/>
      <c r="AB608" s="48"/>
      <c r="AC608" s="48"/>
      <c r="AD608" s="48"/>
      <c r="AE608" s="48"/>
      <c r="AF608" s="48"/>
      <c r="AG608" s="48"/>
      <c r="AH608" s="48"/>
      <c r="AI608" s="48"/>
      <c r="AJ608" s="48"/>
      <c r="AK608" s="48"/>
      <c r="AL608" s="48"/>
      <c r="AM608" s="48"/>
      <c r="AN608" s="48"/>
      <c r="AO608" s="48"/>
      <c r="AP608" s="48"/>
      <c r="AQ608" s="48"/>
      <c r="AR608" s="48"/>
      <c r="AS608" s="48"/>
      <c r="AT608" s="48"/>
      <c r="AU608" s="48"/>
      <c r="AV608" s="48"/>
      <c r="AW608" s="48"/>
      <c r="AX608" s="48"/>
      <c r="AY608" s="48"/>
    </row>
    <row r="609" spans="1:51">
      <c r="A609" s="48"/>
      <c r="B609" s="48"/>
      <c r="C609" s="48"/>
      <c r="D609" s="48"/>
      <c r="E609" s="48"/>
      <c r="F609" s="48"/>
      <c r="G609" s="48"/>
      <c r="H609" s="48"/>
      <c r="I609" s="48"/>
      <c r="J609" s="48"/>
      <c r="K609" s="48"/>
      <c r="L609" s="48"/>
      <c r="M609" s="48"/>
      <c r="N609" s="48"/>
      <c r="O609" s="48"/>
      <c r="P609" s="48"/>
      <c r="Q609" s="48"/>
      <c r="R609" s="48"/>
      <c r="S609" s="48"/>
      <c r="T609" s="48"/>
      <c r="U609" s="48"/>
      <c r="V609" s="48"/>
      <c r="W609" s="48"/>
      <c r="X609" s="48"/>
      <c r="Y609" s="48"/>
      <c r="Z609" s="48"/>
      <c r="AA609" s="48"/>
      <c r="AB609" s="48"/>
      <c r="AC609" s="48"/>
      <c r="AD609" s="48"/>
      <c r="AE609" s="48"/>
      <c r="AF609" s="48"/>
      <c r="AG609" s="48"/>
      <c r="AH609" s="48"/>
      <c r="AI609" s="48"/>
      <c r="AJ609" s="48"/>
      <c r="AK609" s="48"/>
      <c r="AL609" s="48"/>
      <c r="AM609" s="48"/>
      <c r="AN609" s="48"/>
      <c r="AO609" s="48"/>
      <c r="AP609" s="48"/>
      <c r="AQ609" s="48"/>
      <c r="AR609" s="48"/>
      <c r="AS609" s="48"/>
      <c r="AT609" s="48"/>
      <c r="AU609" s="48"/>
      <c r="AV609" s="48"/>
      <c r="AW609" s="48"/>
      <c r="AX609" s="48"/>
      <c r="AY609" s="48"/>
    </row>
    <row r="610" spans="1:51">
      <c r="A610" s="48"/>
      <c r="B610" s="48"/>
      <c r="C610" s="48"/>
      <c r="D610" s="48"/>
      <c r="E610" s="48"/>
      <c r="F610" s="48"/>
      <c r="G610" s="48"/>
      <c r="H610" s="48"/>
      <c r="I610" s="48"/>
      <c r="J610" s="48"/>
      <c r="K610" s="48"/>
      <c r="L610" s="48"/>
      <c r="M610" s="48"/>
      <c r="N610" s="48"/>
      <c r="O610" s="48"/>
      <c r="P610" s="48"/>
      <c r="Q610" s="48"/>
      <c r="R610" s="48"/>
      <c r="S610" s="48"/>
      <c r="T610" s="48"/>
      <c r="U610" s="48"/>
      <c r="V610" s="48"/>
      <c r="W610" s="48"/>
      <c r="X610" s="48"/>
      <c r="Y610" s="48"/>
      <c r="Z610" s="48"/>
      <c r="AA610" s="48"/>
      <c r="AB610" s="48"/>
      <c r="AC610" s="48"/>
      <c r="AD610" s="48"/>
      <c r="AE610" s="48"/>
      <c r="AF610" s="48"/>
      <c r="AG610" s="48"/>
      <c r="AH610" s="48"/>
      <c r="AI610" s="48"/>
      <c r="AJ610" s="48"/>
      <c r="AK610" s="48"/>
      <c r="AL610" s="48"/>
      <c r="AM610" s="48"/>
      <c r="AN610" s="48"/>
      <c r="AO610" s="48"/>
      <c r="AP610" s="48"/>
      <c r="AQ610" s="48"/>
      <c r="AR610" s="48"/>
      <c r="AS610" s="48"/>
      <c r="AT610" s="48"/>
      <c r="AU610" s="48"/>
      <c r="AV610" s="48"/>
      <c r="AW610" s="48"/>
      <c r="AX610" s="48"/>
      <c r="AY610" s="48"/>
    </row>
    <row r="611" spans="1:51">
      <c r="A611" s="48"/>
      <c r="B611" s="48"/>
      <c r="C611" s="48"/>
      <c r="D611" s="48"/>
      <c r="E611" s="48"/>
      <c r="F611" s="48"/>
      <c r="G611" s="48"/>
      <c r="H611" s="48"/>
      <c r="I611" s="48"/>
      <c r="J611" s="48"/>
      <c r="K611" s="48"/>
      <c r="L611" s="48"/>
      <c r="M611" s="48"/>
      <c r="N611" s="48"/>
      <c r="O611" s="48"/>
      <c r="P611" s="48"/>
      <c r="Q611" s="48"/>
      <c r="R611" s="48"/>
      <c r="S611" s="48"/>
      <c r="T611" s="48"/>
      <c r="U611" s="48"/>
      <c r="V611" s="48"/>
      <c r="W611" s="48"/>
      <c r="X611" s="48"/>
      <c r="Y611" s="48"/>
      <c r="Z611" s="48"/>
      <c r="AA611" s="48"/>
      <c r="AB611" s="48"/>
      <c r="AC611" s="48"/>
      <c r="AD611" s="48"/>
      <c r="AE611" s="48"/>
      <c r="AF611" s="48"/>
      <c r="AG611" s="48"/>
      <c r="AH611" s="48"/>
      <c r="AI611" s="48"/>
      <c r="AJ611" s="48"/>
      <c r="AK611" s="48"/>
      <c r="AL611" s="48"/>
      <c r="AM611" s="48"/>
      <c r="AN611" s="48"/>
      <c r="AO611" s="48"/>
      <c r="AP611" s="48"/>
      <c r="AQ611" s="48"/>
      <c r="AR611" s="48"/>
      <c r="AS611" s="48"/>
      <c r="AT611" s="48"/>
      <c r="AU611" s="48"/>
      <c r="AV611" s="48"/>
      <c r="AW611" s="48"/>
      <c r="AX611" s="48"/>
      <c r="AY611" s="48"/>
    </row>
    <row r="612" spans="1:51">
      <c r="A612" s="48"/>
      <c r="B612" s="48"/>
      <c r="C612" s="48"/>
      <c r="D612" s="48"/>
      <c r="E612" s="48"/>
      <c r="F612" s="48"/>
      <c r="G612" s="48"/>
      <c r="H612" s="48"/>
      <c r="I612" s="48"/>
      <c r="J612" s="48"/>
      <c r="K612" s="48"/>
      <c r="L612" s="48"/>
      <c r="M612" s="48"/>
      <c r="N612" s="48"/>
      <c r="O612" s="48"/>
      <c r="P612" s="48"/>
      <c r="Q612" s="48"/>
      <c r="R612" s="48"/>
      <c r="S612" s="48"/>
      <c r="T612" s="48"/>
      <c r="U612" s="48"/>
      <c r="V612" s="48"/>
      <c r="W612" s="48"/>
      <c r="X612" s="48"/>
      <c r="Y612" s="48"/>
      <c r="Z612" s="48"/>
      <c r="AA612" s="48"/>
      <c r="AB612" s="48"/>
      <c r="AC612" s="48"/>
      <c r="AD612" s="48"/>
      <c r="AE612" s="48"/>
      <c r="AF612" s="48"/>
      <c r="AG612" s="48"/>
      <c r="AH612" s="48"/>
      <c r="AI612" s="48"/>
      <c r="AJ612" s="48"/>
      <c r="AK612" s="48"/>
      <c r="AL612" s="48"/>
      <c r="AM612" s="48"/>
      <c r="AN612" s="48"/>
      <c r="AO612" s="48"/>
      <c r="AP612" s="48"/>
      <c r="AQ612" s="48"/>
      <c r="AR612" s="48"/>
      <c r="AS612" s="48"/>
      <c r="AT612" s="48"/>
      <c r="AU612" s="48"/>
      <c r="AV612" s="48"/>
      <c r="AW612" s="48"/>
      <c r="AX612" s="48"/>
      <c r="AY612" s="48"/>
    </row>
    <row r="613" spans="1:51">
      <c r="A613" s="48"/>
      <c r="B613" s="48"/>
      <c r="C613" s="48"/>
      <c r="D613" s="48"/>
      <c r="E613" s="48"/>
      <c r="F613" s="48"/>
      <c r="G613" s="48"/>
      <c r="H613" s="48"/>
      <c r="I613" s="48"/>
      <c r="J613" s="48"/>
      <c r="K613" s="48"/>
      <c r="L613" s="48"/>
      <c r="M613" s="48"/>
      <c r="N613" s="48"/>
      <c r="O613" s="48"/>
      <c r="P613" s="48"/>
      <c r="Q613" s="48"/>
      <c r="R613" s="48"/>
      <c r="S613" s="48"/>
      <c r="T613" s="48"/>
      <c r="U613" s="48"/>
      <c r="V613" s="48"/>
      <c r="W613" s="48"/>
      <c r="X613" s="48"/>
      <c r="Y613" s="48"/>
      <c r="Z613" s="48"/>
      <c r="AA613" s="48"/>
      <c r="AB613" s="48"/>
      <c r="AC613" s="48"/>
      <c r="AD613" s="48"/>
      <c r="AE613" s="48"/>
      <c r="AF613" s="48"/>
      <c r="AG613" s="48"/>
      <c r="AH613" s="48"/>
      <c r="AI613" s="48"/>
      <c r="AJ613" s="48"/>
      <c r="AK613" s="48"/>
      <c r="AL613" s="48"/>
      <c r="AM613" s="48"/>
      <c r="AN613" s="48"/>
      <c r="AO613" s="48"/>
      <c r="AP613" s="48"/>
      <c r="AQ613" s="48"/>
      <c r="AR613" s="48"/>
      <c r="AS613" s="48"/>
      <c r="AT613" s="48"/>
      <c r="AU613" s="48"/>
      <c r="AV613" s="48"/>
      <c r="AW613" s="48"/>
      <c r="AX613" s="48"/>
      <c r="AY613" s="48"/>
    </row>
    <row r="614" spans="1:51">
      <c r="A614" s="48"/>
      <c r="B614" s="48"/>
      <c r="C614" s="48"/>
      <c r="D614" s="48"/>
      <c r="E614" s="48"/>
      <c r="F614" s="48"/>
      <c r="G614" s="48"/>
      <c r="H614" s="48"/>
      <c r="I614" s="48"/>
      <c r="J614" s="48"/>
      <c r="K614" s="48"/>
      <c r="L614" s="48"/>
      <c r="M614" s="48"/>
      <c r="N614" s="48"/>
      <c r="O614" s="48"/>
      <c r="P614" s="48"/>
      <c r="Q614" s="48"/>
      <c r="R614" s="48"/>
      <c r="S614" s="48"/>
      <c r="T614" s="48"/>
      <c r="U614" s="48"/>
      <c r="V614" s="48"/>
      <c r="W614" s="48"/>
      <c r="X614" s="48"/>
      <c r="Y614" s="48"/>
      <c r="Z614" s="48"/>
      <c r="AA614" s="48"/>
      <c r="AB614" s="48"/>
      <c r="AC614" s="48"/>
      <c r="AD614" s="48"/>
      <c r="AE614" s="48"/>
      <c r="AF614" s="48"/>
      <c r="AG614" s="48"/>
      <c r="AH614" s="48"/>
      <c r="AI614" s="48"/>
      <c r="AJ614" s="48"/>
      <c r="AK614" s="48"/>
      <c r="AL614" s="48"/>
      <c r="AM614" s="48"/>
      <c r="AN614" s="48"/>
      <c r="AO614" s="48"/>
      <c r="AP614" s="48"/>
      <c r="AQ614" s="48"/>
      <c r="AR614" s="48"/>
      <c r="AS614" s="48"/>
      <c r="AT614" s="48"/>
      <c r="AU614" s="48"/>
      <c r="AV614" s="48"/>
      <c r="AW614" s="48"/>
      <c r="AX614" s="48"/>
      <c r="AY614" s="48"/>
    </row>
    <row r="615" spans="1:51">
      <c r="A615" s="48"/>
      <c r="B615" s="48"/>
      <c r="C615" s="48"/>
      <c r="D615" s="48"/>
      <c r="E615" s="48"/>
      <c r="F615" s="48"/>
      <c r="G615" s="48"/>
      <c r="H615" s="48"/>
      <c r="I615" s="48"/>
      <c r="J615" s="48"/>
      <c r="K615" s="48"/>
      <c r="L615" s="48"/>
      <c r="M615" s="48"/>
      <c r="N615" s="48"/>
      <c r="O615" s="48"/>
      <c r="P615" s="48"/>
      <c r="Q615" s="48"/>
      <c r="R615" s="48"/>
      <c r="S615" s="48"/>
      <c r="T615" s="48"/>
      <c r="U615" s="48"/>
      <c r="V615" s="48"/>
      <c r="W615" s="48"/>
      <c r="X615" s="48"/>
      <c r="Y615" s="48"/>
      <c r="Z615" s="48"/>
      <c r="AA615" s="48"/>
      <c r="AB615" s="48"/>
      <c r="AC615" s="48"/>
      <c r="AD615" s="48"/>
      <c r="AE615" s="48"/>
      <c r="AF615" s="48"/>
      <c r="AG615" s="48"/>
      <c r="AH615" s="48"/>
      <c r="AI615" s="48"/>
      <c r="AJ615" s="48"/>
      <c r="AK615" s="48"/>
      <c r="AL615" s="48"/>
      <c r="AM615" s="48"/>
      <c r="AN615" s="48"/>
      <c r="AO615" s="48"/>
      <c r="AP615" s="48"/>
      <c r="AQ615" s="48"/>
      <c r="AR615" s="48"/>
      <c r="AS615" s="48"/>
      <c r="AT615" s="48"/>
      <c r="AU615" s="48"/>
      <c r="AV615" s="48"/>
      <c r="AW615" s="48"/>
      <c r="AX615" s="48"/>
      <c r="AY615" s="48"/>
    </row>
    <row r="616" spans="1:51">
      <c r="A616" s="48"/>
      <c r="B616" s="48"/>
      <c r="C616" s="48"/>
      <c r="D616" s="48"/>
      <c r="E616" s="48"/>
      <c r="F616" s="48"/>
      <c r="G616" s="48"/>
      <c r="H616" s="48"/>
      <c r="I616" s="48"/>
      <c r="J616" s="48"/>
      <c r="K616" s="48"/>
      <c r="L616" s="48"/>
      <c r="M616" s="48"/>
      <c r="N616" s="48"/>
      <c r="O616" s="48"/>
      <c r="P616" s="48"/>
      <c r="Q616" s="48"/>
      <c r="R616" s="48"/>
      <c r="S616" s="48"/>
      <c r="T616" s="48"/>
      <c r="U616" s="48"/>
      <c r="V616" s="48"/>
      <c r="W616" s="48"/>
      <c r="X616" s="48"/>
      <c r="Y616" s="48"/>
      <c r="Z616" s="48"/>
      <c r="AA616" s="48"/>
      <c r="AB616" s="48"/>
      <c r="AC616" s="48"/>
      <c r="AD616" s="48"/>
      <c r="AE616" s="48"/>
      <c r="AF616" s="48"/>
      <c r="AG616" s="48"/>
      <c r="AH616" s="48"/>
      <c r="AI616" s="48"/>
      <c r="AJ616" s="48"/>
      <c r="AK616" s="48"/>
      <c r="AL616" s="48"/>
      <c r="AM616" s="48"/>
      <c r="AN616" s="48"/>
      <c r="AO616" s="48"/>
      <c r="AP616" s="48"/>
      <c r="AQ616" s="48"/>
      <c r="AR616" s="48"/>
      <c r="AS616" s="48"/>
      <c r="AT616" s="48"/>
      <c r="AU616" s="48"/>
      <c r="AV616" s="48"/>
      <c r="AW616" s="48"/>
      <c r="AX616" s="48"/>
      <c r="AY616" s="48"/>
    </row>
    <row r="617" spans="1:51">
      <c r="A617" s="48"/>
      <c r="B617" s="48"/>
      <c r="C617" s="48"/>
      <c r="D617" s="48"/>
      <c r="E617" s="48"/>
      <c r="F617" s="48"/>
      <c r="G617" s="48"/>
      <c r="H617" s="48"/>
      <c r="I617" s="48"/>
      <c r="J617" s="48"/>
      <c r="K617" s="48"/>
      <c r="L617" s="48"/>
      <c r="M617" s="48"/>
      <c r="N617" s="48"/>
      <c r="O617" s="48"/>
      <c r="P617" s="48"/>
      <c r="Q617" s="48"/>
      <c r="R617" s="48"/>
      <c r="S617" s="48"/>
      <c r="T617" s="48"/>
      <c r="U617" s="48"/>
      <c r="V617" s="48"/>
      <c r="W617" s="48"/>
      <c r="X617" s="48"/>
      <c r="Y617" s="48"/>
      <c r="Z617" s="48"/>
      <c r="AA617" s="48"/>
      <c r="AB617" s="48"/>
      <c r="AC617" s="48"/>
      <c r="AD617" s="48"/>
      <c r="AE617" s="48"/>
      <c r="AF617" s="48"/>
      <c r="AG617" s="48"/>
      <c r="AH617" s="48"/>
      <c r="AI617" s="48"/>
      <c r="AJ617" s="48"/>
      <c r="AK617" s="48"/>
      <c r="AL617" s="48"/>
      <c r="AM617" s="48"/>
      <c r="AN617" s="48"/>
      <c r="AO617" s="48"/>
      <c r="AP617" s="48"/>
      <c r="AQ617" s="48"/>
      <c r="AR617" s="48"/>
      <c r="AS617" s="48"/>
      <c r="AT617" s="48"/>
      <c r="AU617" s="48"/>
      <c r="AV617" s="48"/>
      <c r="AW617" s="48"/>
      <c r="AX617" s="48"/>
      <c r="AY617" s="48"/>
    </row>
    <row r="618" spans="1:51">
      <c r="A618" s="48"/>
      <c r="B618" s="48"/>
      <c r="C618" s="48"/>
      <c r="D618" s="48"/>
      <c r="E618" s="48"/>
      <c r="F618" s="48"/>
      <c r="G618" s="48"/>
      <c r="H618" s="48"/>
      <c r="I618" s="48"/>
      <c r="J618" s="48"/>
      <c r="K618" s="48"/>
      <c r="L618" s="48"/>
      <c r="M618" s="48"/>
      <c r="N618" s="48"/>
      <c r="O618" s="48"/>
      <c r="P618" s="48"/>
      <c r="Q618" s="48"/>
      <c r="R618" s="48"/>
      <c r="S618" s="48"/>
      <c r="T618" s="48"/>
      <c r="U618" s="48"/>
      <c r="V618" s="48"/>
      <c r="W618" s="48"/>
      <c r="X618" s="48"/>
      <c r="Y618" s="48"/>
      <c r="Z618" s="48"/>
      <c r="AA618" s="48"/>
      <c r="AB618" s="48"/>
      <c r="AC618" s="48"/>
      <c r="AD618" s="48"/>
      <c r="AE618" s="48"/>
      <c r="AF618" s="48"/>
      <c r="AG618" s="48"/>
      <c r="AH618" s="48"/>
      <c r="AI618" s="48"/>
      <c r="AJ618" s="48"/>
      <c r="AK618" s="48"/>
      <c r="AL618" s="48"/>
      <c r="AM618" s="48"/>
      <c r="AN618" s="48"/>
      <c r="AO618" s="48"/>
      <c r="AP618" s="48"/>
      <c r="AQ618" s="48"/>
      <c r="AR618" s="48"/>
      <c r="AS618" s="48"/>
      <c r="AT618" s="48"/>
      <c r="AU618" s="48"/>
      <c r="AV618" s="48"/>
      <c r="AW618" s="48"/>
      <c r="AX618" s="48"/>
      <c r="AY618" s="48"/>
    </row>
    <row r="619" spans="1:51">
      <c r="A619" s="48"/>
      <c r="B619" s="48"/>
      <c r="C619" s="48"/>
      <c r="D619" s="48"/>
      <c r="E619" s="48"/>
      <c r="F619" s="48"/>
      <c r="G619" s="48"/>
      <c r="H619" s="48"/>
      <c r="I619" s="48"/>
      <c r="J619" s="48"/>
      <c r="K619" s="48"/>
      <c r="L619" s="48"/>
      <c r="M619" s="48"/>
      <c r="N619" s="48"/>
      <c r="O619" s="48"/>
      <c r="P619" s="48"/>
      <c r="Q619" s="48"/>
      <c r="R619" s="48"/>
      <c r="S619" s="48"/>
      <c r="T619" s="48"/>
      <c r="U619" s="48"/>
      <c r="V619" s="48"/>
      <c r="W619" s="48"/>
      <c r="X619" s="48"/>
      <c r="Y619" s="48"/>
      <c r="Z619" s="48"/>
      <c r="AA619" s="48"/>
      <c r="AB619" s="48"/>
      <c r="AC619" s="48"/>
      <c r="AD619" s="48"/>
      <c r="AE619" s="48"/>
      <c r="AF619" s="48"/>
      <c r="AG619" s="48"/>
      <c r="AH619" s="48"/>
      <c r="AI619" s="48"/>
      <c r="AJ619" s="48"/>
      <c r="AK619" s="48"/>
      <c r="AL619" s="48"/>
      <c r="AM619" s="48"/>
      <c r="AN619" s="48"/>
      <c r="AO619" s="48"/>
      <c r="AP619" s="48"/>
      <c r="AQ619" s="48"/>
      <c r="AR619" s="48"/>
      <c r="AS619" s="48"/>
      <c r="AT619" s="48"/>
      <c r="AU619" s="48"/>
      <c r="AV619" s="48"/>
      <c r="AW619" s="48"/>
      <c r="AX619" s="48"/>
      <c r="AY619" s="48"/>
    </row>
    <row r="620" spans="1:51">
      <c r="A620" s="48"/>
      <c r="B620" s="48"/>
      <c r="C620" s="48"/>
      <c r="D620" s="48"/>
      <c r="E620" s="48"/>
      <c r="F620" s="48"/>
      <c r="G620" s="48"/>
      <c r="H620" s="48"/>
      <c r="I620" s="48"/>
      <c r="J620" s="48"/>
      <c r="K620" s="48"/>
      <c r="L620" s="48"/>
      <c r="M620" s="48"/>
      <c r="N620" s="48"/>
      <c r="O620" s="48"/>
      <c r="P620" s="48"/>
      <c r="Q620" s="48"/>
      <c r="R620" s="48"/>
      <c r="S620" s="48"/>
      <c r="T620" s="48"/>
      <c r="U620" s="48"/>
      <c r="V620" s="48"/>
      <c r="W620" s="48"/>
      <c r="X620" s="48"/>
      <c r="Y620" s="48"/>
      <c r="Z620" s="48"/>
      <c r="AA620" s="48"/>
      <c r="AB620" s="48"/>
      <c r="AC620" s="48"/>
      <c r="AD620" s="48"/>
      <c r="AE620" s="48"/>
      <c r="AF620" s="48"/>
      <c r="AG620" s="48"/>
      <c r="AH620" s="48"/>
      <c r="AI620" s="48"/>
      <c r="AJ620" s="48"/>
      <c r="AK620" s="48"/>
      <c r="AL620" s="48"/>
      <c r="AM620" s="48"/>
      <c r="AN620" s="48"/>
      <c r="AO620" s="48"/>
      <c r="AP620" s="48"/>
      <c r="AQ620" s="48"/>
      <c r="AR620" s="48"/>
      <c r="AS620" s="48"/>
      <c r="AT620" s="48"/>
      <c r="AU620" s="48"/>
      <c r="AV620" s="48"/>
      <c r="AW620" s="48"/>
      <c r="AX620" s="48"/>
      <c r="AY620" s="48"/>
    </row>
    <row r="621" spans="1:51">
      <c r="A621" s="48"/>
      <c r="B621" s="48"/>
      <c r="C621" s="48"/>
      <c r="D621" s="48"/>
      <c r="E621" s="48"/>
      <c r="F621" s="48"/>
      <c r="G621" s="48"/>
      <c r="H621" s="48"/>
      <c r="I621" s="48"/>
      <c r="J621" s="48"/>
      <c r="K621" s="48"/>
      <c r="L621" s="48"/>
      <c r="M621" s="48"/>
      <c r="N621" s="48"/>
      <c r="O621" s="48"/>
      <c r="P621" s="48"/>
      <c r="Q621" s="48"/>
      <c r="R621" s="48"/>
      <c r="S621" s="48"/>
      <c r="T621" s="48"/>
      <c r="U621" s="48"/>
      <c r="V621" s="48"/>
      <c r="W621" s="48"/>
      <c r="X621" s="48"/>
      <c r="Y621" s="48"/>
      <c r="Z621" s="48"/>
      <c r="AA621" s="48"/>
      <c r="AB621" s="48"/>
      <c r="AC621" s="48"/>
      <c r="AD621" s="48"/>
      <c r="AE621" s="48"/>
      <c r="AF621" s="48"/>
      <c r="AG621" s="48"/>
      <c r="AH621" s="48"/>
      <c r="AI621" s="48"/>
      <c r="AJ621" s="48"/>
      <c r="AK621" s="48"/>
      <c r="AL621" s="48"/>
      <c r="AM621" s="48"/>
      <c r="AN621" s="48"/>
      <c r="AO621" s="48"/>
      <c r="AP621" s="48"/>
      <c r="AQ621" s="48"/>
      <c r="AR621" s="48"/>
      <c r="AS621" s="48"/>
      <c r="AT621" s="48"/>
      <c r="AU621" s="48"/>
      <c r="AV621" s="48"/>
      <c r="AW621" s="48"/>
      <c r="AX621" s="48"/>
      <c r="AY621" s="48"/>
    </row>
    <row r="622" spans="1:51">
      <c r="A622" s="48"/>
      <c r="B622" s="48"/>
      <c r="C622" s="48"/>
      <c r="D622" s="48"/>
      <c r="E622" s="48"/>
      <c r="F622" s="48"/>
      <c r="G622" s="48"/>
      <c r="H622" s="48"/>
      <c r="I622" s="48"/>
      <c r="J622" s="48"/>
      <c r="K622" s="48"/>
      <c r="L622" s="48"/>
      <c r="M622" s="48"/>
      <c r="N622" s="48"/>
      <c r="O622" s="48"/>
      <c r="P622" s="48"/>
      <c r="Q622" s="48"/>
      <c r="R622" s="48"/>
      <c r="S622" s="48"/>
      <c r="T622" s="48"/>
      <c r="U622" s="48"/>
      <c r="V622" s="48"/>
      <c r="W622" s="48"/>
      <c r="X622" s="48"/>
      <c r="Y622" s="48"/>
      <c r="Z622" s="48"/>
      <c r="AA622" s="48"/>
      <c r="AB622" s="48"/>
      <c r="AC622" s="48"/>
      <c r="AD622" s="48"/>
      <c r="AE622" s="48"/>
      <c r="AF622" s="48"/>
      <c r="AG622" s="48"/>
      <c r="AH622" s="48"/>
      <c r="AI622" s="48"/>
      <c r="AJ622" s="48"/>
      <c r="AK622" s="48"/>
      <c r="AL622" s="48"/>
      <c r="AM622" s="48"/>
      <c r="AN622" s="48"/>
      <c r="AO622" s="48"/>
      <c r="AP622" s="48"/>
      <c r="AQ622" s="48"/>
      <c r="AR622" s="48"/>
      <c r="AS622" s="48"/>
      <c r="AT622" s="48"/>
      <c r="AU622" s="48"/>
      <c r="AV622" s="48"/>
      <c r="AW622" s="48"/>
      <c r="AX622" s="48"/>
      <c r="AY622" s="48"/>
    </row>
    <row r="623" spans="1:51">
      <c r="A623" s="48"/>
      <c r="B623" s="48"/>
      <c r="C623" s="48"/>
      <c r="D623" s="48"/>
      <c r="E623" s="48"/>
      <c r="F623" s="48"/>
      <c r="G623" s="48"/>
      <c r="H623" s="48"/>
      <c r="I623" s="48"/>
      <c r="J623" s="48"/>
      <c r="K623" s="48"/>
      <c r="L623" s="48"/>
      <c r="M623" s="48"/>
      <c r="N623" s="48"/>
      <c r="O623" s="48"/>
      <c r="P623" s="48"/>
      <c r="Q623" s="48"/>
      <c r="R623" s="48"/>
      <c r="S623" s="48"/>
      <c r="T623" s="48"/>
      <c r="U623" s="48"/>
      <c r="V623" s="48"/>
      <c r="W623" s="48"/>
      <c r="X623" s="48"/>
      <c r="Y623" s="48"/>
      <c r="Z623" s="48"/>
      <c r="AA623" s="48"/>
      <c r="AB623" s="48"/>
      <c r="AC623" s="48"/>
      <c r="AD623" s="48"/>
      <c r="AE623" s="48"/>
      <c r="AF623" s="48"/>
      <c r="AG623" s="48"/>
      <c r="AH623" s="48"/>
      <c r="AI623" s="48"/>
      <c r="AJ623" s="48"/>
      <c r="AK623" s="48"/>
      <c r="AL623" s="48"/>
      <c r="AM623" s="48"/>
      <c r="AN623" s="48"/>
      <c r="AO623" s="48"/>
      <c r="AP623" s="48"/>
      <c r="AQ623" s="48"/>
      <c r="AR623" s="48"/>
      <c r="AS623" s="48"/>
      <c r="AT623" s="48"/>
      <c r="AU623" s="48"/>
      <c r="AV623" s="48"/>
      <c r="AW623" s="48"/>
      <c r="AX623" s="48"/>
      <c r="AY623" s="48"/>
    </row>
    <row r="624" spans="1:51">
      <c r="A624" s="48"/>
      <c r="B624" s="48"/>
      <c r="C624" s="48"/>
      <c r="D624" s="48"/>
      <c r="E624" s="48"/>
      <c r="F624" s="48"/>
      <c r="G624" s="48"/>
      <c r="H624" s="48"/>
      <c r="I624" s="48"/>
      <c r="J624" s="48"/>
      <c r="K624" s="48"/>
      <c r="L624" s="48"/>
      <c r="M624" s="48"/>
      <c r="N624" s="48"/>
      <c r="O624" s="48"/>
      <c r="P624" s="48"/>
      <c r="Q624" s="48"/>
      <c r="R624" s="48"/>
      <c r="S624" s="48"/>
      <c r="T624" s="48"/>
      <c r="U624" s="48"/>
      <c r="V624" s="48"/>
      <c r="W624" s="48"/>
      <c r="X624" s="48"/>
      <c r="Y624" s="48"/>
      <c r="Z624" s="48"/>
      <c r="AA624" s="48"/>
      <c r="AB624" s="48"/>
      <c r="AC624" s="48"/>
      <c r="AD624" s="48"/>
      <c r="AE624" s="48"/>
      <c r="AF624" s="48"/>
      <c r="AG624" s="48"/>
      <c r="AH624" s="48"/>
      <c r="AI624" s="48"/>
      <c r="AJ624" s="48"/>
      <c r="AK624" s="48"/>
      <c r="AL624" s="48"/>
      <c r="AM624" s="48"/>
      <c r="AN624" s="48"/>
      <c r="AO624" s="48"/>
      <c r="AP624" s="48"/>
      <c r="AQ624" s="48"/>
      <c r="AR624" s="48"/>
      <c r="AS624" s="48"/>
      <c r="AT624" s="48"/>
      <c r="AU624" s="48"/>
      <c r="AV624" s="48"/>
      <c r="AW624" s="48"/>
      <c r="AX624" s="48"/>
      <c r="AY624" s="48"/>
    </row>
    <row r="625" spans="1:51">
      <c r="A625" s="48"/>
      <c r="B625" s="48"/>
      <c r="C625" s="48"/>
      <c r="D625" s="48"/>
      <c r="E625" s="48"/>
      <c r="F625" s="48"/>
      <c r="G625" s="48"/>
      <c r="H625" s="48"/>
      <c r="I625" s="48"/>
      <c r="J625" s="48"/>
      <c r="K625" s="48"/>
      <c r="L625" s="48"/>
      <c r="M625" s="48"/>
      <c r="N625" s="48"/>
      <c r="O625" s="48"/>
      <c r="P625" s="48"/>
      <c r="Q625" s="48"/>
      <c r="R625" s="48"/>
      <c r="S625" s="48"/>
      <c r="T625" s="48"/>
      <c r="U625" s="48"/>
      <c r="V625" s="48"/>
      <c r="W625" s="48"/>
      <c r="X625" s="48"/>
      <c r="Y625" s="48"/>
      <c r="Z625" s="48"/>
      <c r="AA625" s="48"/>
      <c r="AB625" s="48"/>
      <c r="AC625" s="48"/>
      <c r="AD625" s="48"/>
      <c r="AE625" s="48"/>
      <c r="AF625" s="48"/>
      <c r="AG625" s="48"/>
      <c r="AH625" s="48"/>
      <c r="AI625" s="48"/>
      <c r="AJ625" s="48"/>
      <c r="AK625" s="48"/>
      <c r="AL625" s="48"/>
      <c r="AM625" s="48"/>
      <c r="AN625" s="48"/>
      <c r="AO625" s="48"/>
      <c r="AP625" s="48"/>
      <c r="AQ625" s="48"/>
      <c r="AR625" s="48"/>
      <c r="AS625" s="48"/>
      <c r="AT625" s="48"/>
      <c r="AU625" s="48"/>
      <c r="AV625" s="48"/>
      <c r="AW625" s="48"/>
      <c r="AX625" s="48"/>
      <c r="AY625" s="48"/>
    </row>
    <row r="626" spans="1:51">
      <c r="A626" s="48"/>
      <c r="B626" s="48"/>
      <c r="C626" s="48"/>
      <c r="D626" s="48"/>
      <c r="E626" s="48"/>
      <c r="F626" s="48"/>
      <c r="G626" s="48"/>
      <c r="H626" s="48"/>
      <c r="I626" s="48"/>
      <c r="J626" s="48"/>
      <c r="K626" s="48"/>
      <c r="L626" s="48"/>
      <c r="M626" s="48"/>
      <c r="N626" s="48"/>
      <c r="O626" s="48"/>
      <c r="P626" s="48"/>
      <c r="Q626" s="48"/>
      <c r="R626" s="48"/>
      <c r="S626" s="48"/>
      <c r="T626" s="48"/>
      <c r="U626" s="48"/>
      <c r="V626" s="48"/>
      <c r="W626" s="48"/>
      <c r="X626" s="48"/>
      <c r="Y626" s="48"/>
      <c r="Z626" s="48"/>
      <c r="AA626" s="48"/>
      <c r="AB626" s="48"/>
      <c r="AC626" s="48"/>
      <c r="AD626" s="48"/>
      <c r="AE626" s="48"/>
      <c r="AF626" s="48"/>
      <c r="AG626" s="48"/>
      <c r="AH626" s="48"/>
      <c r="AI626" s="48"/>
      <c r="AJ626" s="48"/>
      <c r="AK626" s="48"/>
      <c r="AL626" s="48"/>
      <c r="AM626" s="48"/>
      <c r="AN626" s="48"/>
      <c r="AO626" s="48"/>
      <c r="AP626" s="48"/>
      <c r="AQ626" s="48"/>
      <c r="AR626" s="48"/>
      <c r="AS626" s="48"/>
      <c r="AT626" s="48"/>
      <c r="AU626" s="48"/>
      <c r="AV626" s="48"/>
      <c r="AW626" s="48"/>
      <c r="AX626" s="48"/>
      <c r="AY626" s="48"/>
    </row>
    <row r="627" spans="1:51">
      <c r="A627" s="48"/>
      <c r="B627" s="48"/>
      <c r="C627" s="48"/>
      <c r="D627" s="48"/>
      <c r="E627" s="48"/>
      <c r="F627" s="48"/>
      <c r="G627" s="48"/>
      <c r="H627" s="48"/>
      <c r="I627" s="48"/>
      <c r="J627" s="48"/>
      <c r="K627" s="48"/>
      <c r="L627" s="48"/>
      <c r="M627" s="48"/>
      <c r="N627" s="48"/>
      <c r="O627" s="48"/>
      <c r="P627" s="48"/>
      <c r="Q627" s="48"/>
      <c r="R627" s="48"/>
      <c r="S627" s="48"/>
      <c r="T627" s="48"/>
      <c r="U627" s="48"/>
      <c r="V627" s="48"/>
      <c r="W627" s="48"/>
      <c r="X627" s="48"/>
      <c r="Y627" s="48"/>
      <c r="Z627" s="48"/>
      <c r="AA627" s="48"/>
      <c r="AB627" s="48"/>
      <c r="AC627" s="48"/>
      <c r="AD627" s="48"/>
      <c r="AE627" s="48"/>
      <c r="AF627" s="48"/>
      <c r="AG627" s="48"/>
      <c r="AH627" s="48"/>
      <c r="AI627" s="48"/>
      <c r="AJ627" s="48"/>
      <c r="AK627" s="48"/>
      <c r="AL627" s="48"/>
      <c r="AM627" s="48"/>
      <c r="AN627" s="48"/>
      <c r="AO627" s="48"/>
      <c r="AP627" s="48"/>
      <c r="AQ627" s="48"/>
      <c r="AR627" s="48"/>
      <c r="AS627" s="48"/>
      <c r="AT627" s="48"/>
      <c r="AU627" s="48"/>
      <c r="AV627" s="48"/>
      <c r="AW627" s="48"/>
      <c r="AX627" s="48"/>
      <c r="AY627" s="48"/>
    </row>
    <row r="628" spans="1:51">
      <c r="A628" s="48"/>
      <c r="B628" s="48"/>
      <c r="C628" s="48"/>
      <c r="D628" s="48"/>
      <c r="E628" s="48"/>
      <c r="F628" s="48"/>
      <c r="G628" s="48"/>
      <c r="H628" s="48"/>
      <c r="I628" s="48"/>
      <c r="J628" s="48"/>
      <c r="K628" s="48"/>
      <c r="L628" s="48"/>
      <c r="M628" s="48"/>
      <c r="N628" s="48"/>
      <c r="O628" s="48"/>
      <c r="P628" s="48"/>
      <c r="Q628" s="48"/>
      <c r="R628" s="48"/>
      <c r="S628" s="48"/>
      <c r="T628" s="48"/>
      <c r="U628" s="48"/>
      <c r="V628" s="48"/>
      <c r="W628" s="48"/>
      <c r="X628" s="48"/>
      <c r="Y628" s="48"/>
      <c r="Z628" s="48"/>
      <c r="AA628" s="48"/>
      <c r="AB628" s="48"/>
      <c r="AC628" s="48"/>
      <c r="AD628" s="48"/>
      <c r="AE628" s="48"/>
      <c r="AF628" s="48"/>
      <c r="AG628" s="48"/>
      <c r="AH628" s="48"/>
      <c r="AI628" s="48"/>
      <c r="AJ628" s="48"/>
      <c r="AK628" s="48"/>
      <c r="AL628" s="48"/>
      <c r="AM628" s="48"/>
      <c r="AN628" s="48"/>
      <c r="AO628" s="48"/>
      <c r="AP628" s="48"/>
      <c r="AQ628" s="48"/>
      <c r="AR628" s="48"/>
      <c r="AS628" s="48"/>
      <c r="AT628" s="48"/>
      <c r="AU628" s="48"/>
      <c r="AV628" s="48"/>
      <c r="AW628" s="48"/>
      <c r="AX628" s="48"/>
      <c r="AY628" s="48"/>
    </row>
    <row r="629" spans="1:51">
      <c r="A629" s="48"/>
      <c r="B629" s="48"/>
      <c r="C629" s="48"/>
      <c r="D629" s="48"/>
      <c r="E629" s="48"/>
      <c r="F629" s="48"/>
      <c r="G629" s="48"/>
      <c r="H629" s="48"/>
      <c r="I629" s="48"/>
      <c r="J629" s="48"/>
      <c r="K629" s="48"/>
      <c r="L629" s="48"/>
      <c r="M629" s="48"/>
      <c r="N629" s="48"/>
      <c r="O629" s="48"/>
      <c r="P629" s="48"/>
      <c r="Q629" s="48"/>
      <c r="R629" s="48"/>
      <c r="S629" s="48"/>
      <c r="T629" s="48"/>
      <c r="U629" s="48"/>
      <c r="V629" s="48"/>
      <c r="W629" s="48"/>
      <c r="X629" s="48"/>
      <c r="Y629" s="48"/>
      <c r="Z629" s="48"/>
      <c r="AA629" s="48"/>
      <c r="AB629" s="48"/>
      <c r="AC629" s="48"/>
      <c r="AD629" s="48"/>
      <c r="AE629" s="48"/>
      <c r="AF629" s="48"/>
      <c r="AG629" s="48"/>
      <c r="AH629" s="48"/>
      <c r="AI629" s="48"/>
      <c r="AJ629" s="48"/>
      <c r="AK629" s="48"/>
      <c r="AL629" s="48"/>
      <c r="AM629" s="48"/>
      <c r="AN629" s="48"/>
      <c r="AO629" s="48"/>
      <c r="AP629" s="48"/>
      <c r="AQ629" s="48"/>
      <c r="AR629" s="48"/>
      <c r="AS629" s="48"/>
      <c r="AT629" s="48"/>
      <c r="AU629" s="48"/>
      <c r="AV629" s="48"/>
      <c r="AW629" s="48"/>
      <c r="AX629" s="48"/>
      <c r="AY629" s="48"/>
    </row>
    <row r="630" spans="1:51">
      <c r="A630" s="48"/>
      <c r="B630" s="48"/>
      <c r="C630" s="48"/>
      <c r="D630" s="48"/>
      <c r="E630" s="48"/>
      <c r="F630" s="48"/>
      <c r="G630" s="48"/>
      <c r="H630" s="48"/>
      <c r="I630" s="48"/>
      <c r="J630" s="48"/>
      <c r="K630" s="48"/>
      <c r="L630" s="48"/>
      <c r="M630" s="48"/>
      <c r="N630" s="48"/>
      <c r="O630" s="48"/>
      <c r="P630" s="48"/>
      <c r="Q630" s="48"/>
      <c r="R630" s="48"/>
      <c r="S630" s="48"/>
      <c r="T630" s="48"/>
      <c r="U630" s="48"/>
      <c r="V630" s="48"/>
      <c r="W630" s="48"/>
      <c r="X630" s="48"/>
      <c r="Y630" s="48"/>
      <c r="Z630" s="48"/>
      <c r="AA630" s="48"/>
      <c r="AB630" s="48"/>
      <c r="AC630" s="48"/>
      <c r="AD630" s="48"/>
      <c r="AE630" s="48"/>
      <c r="AF630" s="48"/>
      <c r="AG630" s="48"/>
      <c r="AH630" s="48"/>
      <c r="AI630" s="48"/>
      <c r="AJ630" s="48"/>
      <c r="AK630" s="48"/>
      <c r="AL630" s="48"/>
      <c r="AM630" s="48"/>
      <c r="AN630" s="48"/>
      <c r="AO630" s="48"/>
      <c r="AP630" s="48"/>
      <c r="AQ630" s="48"/>
      <c r="AR630" s="48"/>
      <c r="AS630" s="48"/>
      <c r="AT630" s="48"/>
      <c r="AU630" s="48"/>
      <c r="AV630" s="48"/>
      <c r="AW630" s="48"/>
      <c r="AX630" s="48"/>
      <c r="AY630" s="48"/>
    </row>
    <row r="631" spans="1:51">
      <c r="A631" s="48"/>
      <c r="B631" s="48"/>
      <c r="C631" s="48"/>
      <c r="D631" s="48"/>
      <c r="E631" s="48"/>
      <c r="F631" s="48"/>
      <c r="G631" s="48"/>
      <c r="H631" s="48"/>
      <c r="I631" s="48"/>
      <c r="J631" s="48"/>
      <c r="K631" s="48"/>
      <c r="L631" s="48"/>
      <c r="M631" s="48"/>
      <c r="N631" s="48"/>
      <c r="O631" s="48"/>
      <c r="P631" s="48"/>
      <c r="Q631" s="48"/>
      <c r="R631" s="48"/>
      <c r="S631" s="48"/>
      <c r="T631" s="48"/>
      <c r="U631" s="48"/>
      <c r="V631" s="48"/>
      <c r="W631" s="48"/>
      <c r="X631" s="48"/>
      <c r="Y631" s="48"/>
      <c r="Z631" s="48"/>
      <c r="AA631" s="48"/>
      <c r="AB631" s="48"/>
      <c r="AC631" s="48"/>
      <c r="AD631" s="48"/>
      <c r="AE631" s="48"/>
      <c r="AF631" s="48"/>
      <c r="AG631" s="48"/>
      <c r="AH631" s="48"/>
      <c r="AI631" s="48"/>
      <c r="AJ631" s="48"/>
      <c r="AK631" s="48"/>
      <c r="AL631" s="48"/>
      <c r="AM631" s="48"/>
      <c r="AN631" s="48"/>
      <c r="AO631" s="48"/>
      <c r="AP631" s="48"/>
      <c r="AQ631" s="48"/>
      <c r="AR631" s="48"/>
      <c r="AS631" s="48"/>
      <c r="AT631" s="48"/>
      <c r="AU631" s="48"/>
      <c r="AV631" s="48"/>
      <c r="AW631" s="48"/>
      <c r="AX631" s="48"/>
      <c r="AY631" s="48"/>
    </row>
    <row r="632" spans="1:51">
      <c r="A632" s="48"/>
      <c r="B632" s="48"/>
      <c r="C632" s="48"/>
      <c r="D632" s="48"/>
      <c r="E632" s="48"/>
      <c r="F632" s="48"/>
      <c r="G632" s="48"/>
      <c r="H632" s="48"/>
      <c r="I632" s="48"/>
      <c r="J632" s="48"/>
      <c r="K632" s="48"/>
      <c r="L632" s="48"/>
      <c r="M632" s="48"/>
      <c r="N632" s="48"/>
      <c r="O632" s="48"/>
      <c r="P632" s="48"/>
      <c r="Q632" s="48"/>
      <c r="R632" s="48"/>
      <c r="S632" s="48"/>
      <c r="T632" s="48"/>
      <c r="U632" s="48"/>
      <c r="V632" s="48"/>
      <c r="W632" s="48"/>
      <c r="X632" s="48"/>
      <c r="Y632" s="48"/>
      <c r="Z632" s="48"/>
      <c r="AA632" s="48"/>
      <c r="AB632" s="48"/>
      <c r="AC632" s="48"/>
      <c r="AD632" s="48"/>
      <c r="AE632" s="48"/>
      <c r="AF632" s="48"/>
      <c r="AG632" s="48"/>
      <c r="AH632" s="48"/>
      <c r="AI632" s="48"/>
      <c r="AJ632" s="48"/>
      <c r="AK632" s="48"/>
      <c r="AL632" s="48"/>
      <c r="AM632" s="48"/>
      <c r="AN632" s="48"/>
      <c r="AO632" s="48"/>
      <c r="AP632" s="48"/>
      <c r="AQ632" s="48"/>
      <c r="AR632" s="48"/>
      <c r="AS632" s="48"/>
      <c r="AT632" s="48"/>
      <c r="AU632" s="48"/>
      <c r="AV632" s="48"/>
      <c r="AW632" s="48"/>
      <c r="AX632" s="48"/>
      <c r="AY632" s="48"/>
    </row>
    <row r="633" spans="1:51">
      <c r="A633" s="48"/>
      <c r="B633" s="48"/>
      <c r="C633" s="48"/>
      <c r="D633" s="48"/>
      <c r="E633" s="48"/>
      <c r="F633" s="48"/>
      <c r="G633" s="48"/>
      <c r="H633" s="48"/>
      <c r="I633" s="48"/>
      <c r="J633" s="48"/>
      <c r="K633" s="48"/>
      <c r="L633" s="48"/>
      <c r="M633" s="48"/>
      <c r="N633" s="48"/>
      <c r="O633" s="48"/>
      <c r="P633" s="48"/>
      <c r="Q633" s="48"/>
      <c r="R633" s="48"/>
      <c r="S633" s="48"/>
      <c r="T633" s="48"/>
      <c r="U633" s="48"/>
      <c r="V633" s="48"/>
      <c r="W633" s="48"/>
      <c r="X633" s="48"/>
      <c r="Y633" s="48"/>
      <c r="Z633" s="48"/>
      <c r="AA633" s="48"/>
      <c r="AB633" s="48"/>
      <c r="AC633" s="48"/>
      <c r="AD633" s="48"/>
      <c r="AE633" s="48"/>
      <c r="AF633" s="48"/>
      <c r="AG633" s="48"/>
      <c r="AH633" s="48"/>
      <c r="AI633" s="48"/>
      <c r="AJ633" s="48"/>
      <c r="AK633" s="48"/>
      <c r="AL633" s="48"/>
      <c r="AM633" s="48"/>
      <c r="AN633" s="48"/>
      <c r="AO633" s="48"/>
      <c r="AP633" s="48"/>
      <c r="AQ633" s="48"/>
      <c r="AR633" s="48"/>
      <c r="AS633" s="48"/>
      <c r="AT633" s="48"/>
      <c r="AU633" s="48"/>
      <c r="AV633" s="48"/>
      <c r="AW633" s="48"/>
      <c r="AX633" s="48"/>
      <c r="AY633" s="48"/>
    </row>
    <row r="634" spans="1:51">
      <c r="A634" s="48"/>
      <c r="B634" s="48"/>
      <c r="C634" s="48"/>
      <c r="D634" s="48"/>
      <c r="E634" s="48"/>
      <c r="F634" s="48"/>
      <c r="G634" s="48"/>
      <c r="H634" s="48"/>
      <c r="I634" s="48"/>
      <c r="J634" s="48"/>
      <c r="K634" s="48"/>
      <c r="L634" s="48"/>
      <c r="M634" s="48"/>
      <c r="N634" s="48"/>
      <c r="O634" s="48"/>
      <c r="P634" s="48"/>
      <c r="Q634" s="48"/>
      <c r="R634" s="48"/>
      <c r="S634" s="48"/>
      <c r="T634" s="48"/>
      <c r="U634" s="48"/>
      <c r="V634" s="48"/>
      <c r="W634" s="48"/>
      <c r="X634" s="48"/>
      <c r="Y634" s="48"/>
      <c r="Z634" s="48"/>
      <c r="AA634" s="48"/>
      <c r="AB634" s="48"/>
      <c r="AC634" s="48"/>
      <c r="AD634" s="48"/>
      <c r="AE634" s="48"/>
      <c r="AF634" s="48"/>
      <c r="AG634" s="48"/>
      <c r="AH634" s="48"/>
      <c r="AI634" s="48"/>
      <c r="AJ634" s="48"/>
      <c r="AK634" s="48"/>
      <c r="AL634" s="48"/>
      <c r="AM634" s="48"/>
      <c r="AN634" s="48"/>
      <c r="AO634" s="48"/>
      <c r="AP634" s="48"/>
      <c r="AQ634" s="48"/>
      <c r="AR634" s="48"/>
      <c r="AS634" s="48"/>
      <c r="AT634" s="48"/>
      <c r="AU634" s="48"/>
      <c r="AV634" s="48"/>
      <c r="AW634" s="48"/>
      <c r="AX634" s="48"/>
      <c r="AY634" s="48"/>
    </row>
    <row r="635" spans="1:51">
      <c r="A635" s="48"/>
      <c r="B635" s="48"/>
      <c r="C635" s="48"/>
      <c r="D635" s="48"/>
      <c r="E635" s="48"/>
      <c r="F635" s="48"/>
      <c r="G635" s="48"/>
      <c r="H635" s="48"/>
      <c r="I635" s="48"/>
      <c r="J635" s="48"/>
      <c r="K635" s="48"/>
      <c r="L635" s="48"/>
      <c r="M635" s="48"/>
      <c r="N635" s="48"/>
      <c r="O635" s="48"/>
      <c r="P635" s="48"/>
      <c r="Q635" s="48"/>
      <c r="R635" s="48"/>
      <c r="S635" s="48"/>
      <c r="T635" s="48"/>
      <c r="U635" s="48"/>
      <c r="V635" s="48"/>
      <c r="W635" s="48"/>
      <c r="X635" s="48"/>
      <c r="Y635" s="48"/>
      <c r="Z635" s="48"/>
      <c r="AA635" s="48"/>
      <c r="AB635" s="48"/>
      <c r="AC635" s="48"/>
      <c r="AD635" s="48"/>
      <c r="AE635" s="48"/>
      <c r="AF635" s="48"/>
      <c r="AG635" s="48"/>
      <c r="AH635" s="48"/>
      <c r="AI635" s="48"/>
      <c r="AJ635" s="48"/>
      <c r="AK635" s="48"/>
      <c r="AL635" s="48"/>
      <c r="AM635" s="48"/>
      <c r="AN635" s="48"/>
      <c r="AO635" s="48"/>
      <c r="AP635" s="48"/>
      <c r="AQ635" s="48"/>
      <c r="AR635" s="48"/>
      <c r="AS635" s="48"/>
      <c r="AT635" s="48"/>
      <c r="AU635" s="48"/>
      <c r="AV635" s="48"/>
      <c r="AW635" s="48"/>
      <c r="AX635" s="48"/>
      <c r="AY635" s="48"/>
    </row>
    <row r="636" spans="1:51">
      <c r="A636" s="48"/>
      <c r="B636" s="48"/>
      <c r="C636" s="48"/>
      <c r="D636" s="48"/>
      <c r="E636" s="48"/>
      <c r="F636" s="48"/>
      <c r="G636" s="48"/>
      <c r="H636" s="48"/>
      <c r="I636" s="48"/>
      <c r="J636" s="48"/>
      <c r="K636" s="48"/>
      <c r="L636" s="48"/>
      <c r="M636" s="48"/>
      <c r="N636" s="48"/>
      <c r="O636" s="48"/>
      <c r="P636" s="48"/>
      <c r="Q636" s="48"/>
      <c r="R636" s="48"/>
      <c r="S636" s="48"/>
      <c r="T636" s="48"/>
      <c r="U636" s="48"/>
      <c r="V636" s="48"/>
      <c r="W636" s="48"/>
      <c r="X636" s="48"/>
      <c r="Y636" s="48"/>
      <c r="Z636" s="48"/>
      <c r="AA636" s="48"/>
      <c r="AB636" s="48"/>
      <c r="AC636" s="48"/>
      <c r="AD636" s="48"/>
      <c r="AE636" s="48"/>
      <c r="AF636" s="48"/>
      <c r="AG636" s="48"/>
      <c r="AH636" s="48"/>
      <c r="AI636" s="48"/>
      <c r="AJ636" s="48"/>
      <c r="AK636" s="48"/>
      <c r="AL636" s="48"/>
      <c r="AM636" s="48"/>
      <c r="AN636" s="48"/>
      <c r="AO636" s="48"/>
      <c r="AP636" s="48"/>
      <c r="AQ636" s="48"/>
      <c r="AR636" s="48"/>
      <c r="AS636" s="48"/>
      <c r="AT636" s="48"/>
      <c r="AU636" s="48"/>
      <c r="AV636" s="48"/>
      <c r="AW636" s="48"/>
      <c r="AX636" s="48"/>
      <c r="AY636" s="48"/>
    </row>
    <row r="637" spans="1:51">
      <c r="A637" s="48"/>
      <c r="B637" s="48"/>
      <c r="C637" s="48"/>
      <c r="D637" s="48"/>
      <c r="E637" s="48"/>
      <c r="F637" s="48"/>
      <c r="G637" s="48"/>
      <c r="H637" s="48"/>
      <c r="I637" s="48"/>
      <c r="J637" s="48"/>
      <c r="K637" s="48"/>
      <c r="L637" s="48"/>
      <c r="M637" s="48"/>
      <c r="N637" s="48"/>
      <c r="O637" s="48"/>
      <c r="P637" s="48"/>
      <c r="Q637" s="48"/>
      <c r="R637" s="48"/>
      <c r="S637" s="48"/>
      <c r="T637" s="48"/>
      <c r="U637" s="48"/>
      <c r="V637" s="48"/>
      <c r="W637" s="48"/>
      <c r="X637" s="48"/>
      <c r="Y637" s="48"/>
      <c r="Z637" s="48"/>
      <c r="AA637" s="48"/>
      <c r="AB637" s="48"/>
      <c r="AC637" s="48"/>
      <c r="AD637" s="48"/>
      <c r="AE637" s="48"/>
      <c r="AF637" s="48"/>
      <c r="AG637" s="48"/>
      <c r="AH637" s="48"/>
      <c r="AI637" s="48"/>
      <c r="AJ637" s="48"/>
      <c r="AK637" s="48"/>
      <c r="AL637" s="48"/>
      <c r="AM637" s="48"/>
      <c r="AN637" s="48"/>
      <c r="AO637" s="48"/>
      <c r="AP637" s="48"/>
      <c r="AQ637" s="48"/>
      <c r="AR637" s="48"/>
      <c r="AS637" s="48"/>
      <c r="AT637" s="48"/>
      <c r="AU637" s="48"/>
      <c r="AV637" s="48"/>
      <c r="AW637" s="48"/>
      <c r="AX637" s="48"/>
      <c r="AY637" s="48"/>
    </row>
    <row r="638" spans="1:51">
      <c r="A638" s="48"/>
      <c r="B638" s="48"/>
      <c r="C638" s="48"/>
      <c r="D638" s="48"/>
      <c r="E638" s="48"/>
      <c r="F638" s="48"/>
      <c r="G638" s="48"/>
      <c r="H638" s="48"/>
      <c r="I638" s="48"/>
      <c r="J638" s="48"/>
      <c r="K638" s="48"/>
      <c r="L638" s="48"/>
      <c r="M638" s="48"/>
      <c r="N638" s="48"/>
      <c r="O638" s="48"/>
      <c r="P638" s="48"/>
      <c r="Q638" s="48"/>
      <c r="R638" s="48"/>
      <c r="S638" s="48"/>
      <c r="T638" s="48"/>
      <c r="U638" s="48"/>
      <c r="V638" s="48"/>
      <c r="W638" s="48"/>
      <c r="X638" s="48"/>
      <c r="Y638" s="48"/>
      <c r="Z638" s="48"/>
      <c r="AA638" s="48"/>
      <c r="AB638" s="48"/>
      <c r="AC638" s="48"/>
      <c r="AD638" s="48"/>
      <c r="AE638" s="48"/>
      <c r="AF638" s="48"/>
      <c r="AG638" s="48"/>
      <c r="AH638" s="48"/>
      <c r="AI638" s="48"/>
      <c r="AJ638" s="48"/>
      <c r="AK638" s="48"/>
      <c r="AL638" s="48"/>
      <c r="AM638" s="48"/>
      <c r="AN638" s="48"/>
      <c r="AO638" s="48"/>
      <c r="AP638" s="48"/>
      <c r="AQ638" s="48"/>
      <c r="AR638" s="48"/>
      <c r="AS638" s="48"/>
      <c r="AT638" s="48"/>
      <c r="AU638" s="48"/>
      <c r="AV638" s="48"/>
      <c r="AW638" s="48"/>
      <c r="AX638" s="48"/>
      <c r="AY638" s="48"/>
    </row>
    <row r="639" spans="1:51">
      <c r="A639" s="48"/>
      <c r="B639" s="48"/>
      <c r="C639" s="48"/>
      <c r="D639" s="48"/>
      <c r="E639" s="48"/>
      <c r="F639" s="48"/>
      <c r="G639" s="48"/>
      <c r="H639" s="48"/>
      <c r="I639" s="48"/>
      <c r="J639" s="48"/>
      <c r="K639" s="48"/>
      <c r="L639" s="48"/>
      <c r="M639" s="48"/>
      <c r="N639" s="48"/>
      <c r="O639" s="48"/>
      <c r="P639" s="48"/>
      <c r="Q639" s="48"/>
      <c r="R639" s="48"/>
      <c r="S639" s="48"/>
      <c r="T639" s="48"/>
      <c r="U639" s="48"/>
      <c r="V639" s="48"/>
      <c r="W639" s="48"/>
      <c r="X639" s="48"/>
      <c r="Y639" s="48"/>
      <c r="Z639" s="48"/>
      <c r="AA639" s="48"/>
      <c r="AB639" s="48"/>
      <c r="AC639" s="48"/>
      <c r="AD639" s="48"/>
      <c r="AE639" s="48"/>
      <c r="AF639" s="48"/>
      <c r="AG639" s="48"/>
      <c r="AH639" s="48"/>
      <c r="AI639" s="48"/>
      <c r="AJ639" s="48"/>
      <c r="AK639" s="48"/>
      <c r="AL639" s="48"/>
      <c r="AM639" s="48"/>
      <c r="AN639" s="48"/>
      <c r="AO639" s="48"/>
      <c r="AP639" s="48"/>
      <c r="AQ639" s="48"/>
      <c r="AR639" s="48"/>
      <c r="AS639" s="48"/>
      <c r="AT639" s="48"/>
      <c r="AU639" s="48"/>
      <c r="AV639" s="48"/>
      <c r="AW639" s="48"/>
      <c r="AX639" s="48"/>
      <c r="AY639" s="48"/>
    </row>
    <row r="640" spans="1:51">
      <c r="A640" s="48"/>
      <c r="B640" s="48"/>
      <c r="C640" s="48"/>
      <c r="D640" s="48"/>
      <c r="E640" s="48"/>
      <c r="F640" s="48"/>
      <c r="G640" s="48"/>
      <c r="H640" s="48"/>
      <c r="I640" s="48"/>
      <c r="J640" s="48"/>
      <c r="K640" s="48"/>
      <c r="L640" s="48"/>
      <c r="M640" s="48"/>
      <c r="N640" s="48"/>
      <c r="O640" s="48"/>
      <c r="P640" s="48"/>
      <c r="Q640" s="48"/>
      <c r="R640" s="48"/>
      <c r="S640" s="48"/>
      <c r="T640" s="48"/>
      <c r="U640" s="48"/>
      <c r="V640" s="48"/>
      <c r="W640" s="48"/>
      <c r="X640" s="48"/>
      <c r="Y640" s="48"/>
      <c r="Z640" s="48"/>
      <c r="AA640" s="48"/>
      <c r="AB640" s="48"/>
      <c r="AC640" s="48"/>
      <c r="AD640" s="48"/>
      <c r="AE640" s="48"/>
      <c r="AF640" s="48"/>
      <c r="AG640" s="48"/>
      <c r="AH640" s="48"/>
      <c r="AI640" s="48"/>
      <c r="AJ640" s="48"/>
      <c r="AK640" s="48"/>
      <c r="AL640" s="48"/>
      <c r="AM640" s="48"/>
      <c r="AN640" s="48"/>
      <c r="AO640" s="48"/>
      <c r="AP640" s="48"/>
      <c r="AQ640" s="48"/>
      <c r="AR640" s="48"/>
      <c r="AS640" s="48"/>
      <c r="AT640" s="48"/>
      <c r="AU640" s="48"/>
      <c r="AV640" s="48"/>
      <c r="AW640" s="48"/>
      <c r="AX640" s="48"/>
      <c r="AY640" s="48"/>
    </row>
    <row r="641" spans="1:51">
      <c r="A641" s="48"/>
      <c r="B641" s="48"/>
      <c r="C641" s="48"/>
      <c r="D641" s="48"/>
      <c r="E641" s="48"/>
      <c r="F641" s="48"/>
      <c r="G641" s="48"/>
      <c r="H641" s="48"/>
      <c r="I641" s="48"/>
      <c r="J641" s="48"/>
      <c r="K641" s="48"/>
      <c r="L641" s="48"/>
      <c r="M641" s="48"/>
      <c r="N641" s="48"/>
      <c r="O641" s="48"/>
      <c r="P641" s="48"/>
      <c r="Q641" s="48"/>
      <c r="R641" s="48"/>
      <c r="S641" s="48"/>
      <c r="T641" s="48"/>
      <c r="U641" s="48"/>
      <c r="V641" s="48"/>
      <c r="W641" s="48"/>
      <c r="X641" s="48"/>
      <c r="Y641" s="48"/>
      <c r="Z641" s="48"/>
      <c r="AA641" s="48"/>
      <c r="AB641" s="48"/>
      <c r="AC641" s="48"/>
      <c r="AD641" s="48"/>
      <c r="AE641" s="48"/>
      <c r="AF641" s="48"/>
      <c r="AG641" s="48"/>
      <c r="AH641" s="48"/>
      <c r="AI641" s="48"/>
      <c r="AJ641" s="48"/>
      <c r="AK641" s="48"/>
      <c r="AL641" s="48"/>
      <c r="AM641" s="48"/>
      <c r="AN641" s="48"/>
      <c r="AO641" s="48"/>
      <c r="AP641" s="48"/>
      <c r="AQ641" s="48"/>
      <c r="AR641" s="48"/>
      <c r="AS641" s="48"/>
      <c r="AT641" s="48"/>
      <c r="AU641" s="48"/>
      <c r="AV641" s="48"/>
      <c r="AW641" s="48"/>
      <c r="AX641" s="48"/>
      <c r="AY641" s="48"/>
    </row>
    <row r="642" spans="1:51">
      <c r="A642" s="48"/>
      <c r="B642" s="48"/>
      <c r="C642" s="48"/>
      <c r="D642" s="48"/>
      <c r="E642" s="48"/>
      <c r="F642" s="48"/>
      <c r="G642" s="48"/>
      <c r="H642" s="48"/>
      <c r="I642" s="48"/>
      <c r="J642" s="48"/>
      <c r="K642" s="48"/>
      <c r="L642" s="48"/>
      <c r="M642" s="48"/>
      <c r="N642" s="48"/>
      <c r="O642" s="48"/>
      <c r="P642" s="48"/>
      <c r="Q642" s="48"/>
      <c r="R642" s="48"/>
      <c r="S642" s="48"/>
      <c r="T642" s="48"/>
      <c r="U642" s="48"/>
      <c r="V642" s="48"/>
      <c r="W642" s="48"/>
      <c r="X642" s="48"/>
      <c r="Y642" s="48"/>
      <c r="Z642" s="48"/>
      <c r="AA642" s="48"/>
      <c r="AB642" s="48"/>
      <c r="AC642" s="48"/>
      <c r="AD642" s="48"/>
      <c r="AE642" s="48"/>
      <c r="AF642" s="48"/>
      <c r="AG642" s="48"/>
      <c r="AH642" s="48"/>
      <c r="AI642" s="48"/>
      <c r="AJ642" s="48"/>
      <c r="AK642" s="48"/>
      <c r="AL642" s="48"/>
      <c r="AM642" s="48"/>
      <c r="AN642" s="48"/>
      <c r="AO642" s="48"/>
      <c r="AP642" s="48"/>
      <c r="AQ642" s="48"/>
      <c r="AR642" s="48"/>
      <c r="AS642" s="48"/>
      <c r="AT642" s="48"/>
      <c r="AU642" s="48"/>
      <c r="AV642" s="48"/>
      <c r="AW642" s="48"/>
      <c r="AX642" s="48"/>
      <c r="AY642" s="48"/>
    </row>
    <row r="643" spans="1:51">
      <c r="A643" s="48"/>
      <c r="B643" s="48"/>
      <c r="C643" s="48"/>
      <c r="D643" s="48"/>
      <c r="E643" s="48"/>
      <c r="F643" s="48"/>
      <c r="G643" s="48"/>
      <c r="H643" s="48"/>
      <c r="I643" s="48"/>
      <c r="J643" s="48"/>
      <c r="K643" s="48"/>
      <c r="L643" s="48"/>
      <c r="M643" s="48"/>
      <c r="N643" s="48"/>
      <c r="O643" s="48"/>
      <c r="P643" s="48"/>
      <c r="Q643" s="48"/>
      <c r="R643" s="48"/>
      <c r="S643" s="48"/>
      <c r="T643" s="48"/>
      <c r="U643" s="48"/>
      <c r="V643" s="48"/>
      <c r="W643" s="48"/>
      <c r="X643" s="48"/>
      <c r="Y643" s="48"/>
      <c r="Z643" s="48"/>
      <c r="AA643" s="48"/>
      <c r="AB643" s="48"/>
      <c r="AC643" s="48"/>
      <c r="AD643" s="48"/>
      <c r="AE643" s="48"/>
      <c r="AF643" s="48"/>
      <c r="AG643" s="48"/>
      <c r="AH643" s="48"/>
      <c r="AI643" s="48"/>
      <c r="AJ643" s="48"/>
      <c r="AK643" s="48"/>
      <c r="AL643" s="48"/>
      <c r="AM643" s="48"/>
      <c r="AN643" s="48"/>
      <c r="AO643" s="48"/>
      <c r="AP643" s="48"/>
      <c r="AQ643" s="48"/>
      <c r="AR643" s="48"/>
      <c r="AS643" s="48"/>
      <c r="AT643" s="48"/>
      <c r="AU643" s="48"/>
      <c r="AV643" s="48"/>
      <c r="AW643" s="48"/>
      <c r="AX643" s="48"/>
      <c r="AY643" s="48"/>
    </row>
    <row r="644" spans="1:51">
      <c r="A644" s="48"/>
      <c r="B644" s="48"/>
      <c r="C644" s="48"/>
      <c r="D644" s="48"/>
      <c r="E644" s="48"/>
      <c r="F644" s="48"/>
      <c r="G644" s="48"/>
      <c r="H644" s="48"/>
      <c r="I644" s="48"/>
      <c r="J644" s="48"/>
      <c r="K644" s="48"/>
      <c r="L644" s="48"/>
      <c r="M644" s="48"/>
      <c r="N644" s="48"/>
      <c r="O644" s="48"/>
      <c r="P644" s="48"/>
      <c r="Q644" s="48"/>
      <c r="R644" s="48"/>
      <c r="S644" s="48"/>
      <c r="T644" s="48"/>
      <c r="U644" s="48"/>
      <c r="V644" s="48"/>
      <c r="W644" s="48"/>
      <c r="X644" s="48"/>
      <c r="Y644" s="48"/>
      <c r="Z644" s="48"/>
      <c r="AA644" s="48"/>
      <c r="AB644" s="48"/>
      <c r="AC644" s="48"/>
      <c r="AD644" s="48"/>
      <c r="AE644" s="48"/>
      <c r="AF644" s="48"/>
      <c r="AG644" s="48"/>
      <c r="AH644" s="48"/>
      <c r="AI644" s="48"/>
      <c r="AJ644" s="48"/>
      <c r="AK644" s="48"/>
      <c r="AL644" s="48"/>
      <c r="AM644" s="48"/>
      <c r="AN644" s="48"/>
      <c r="AO644" s="48"/>
      <c r="AP644" s="48"/>
      <c r="AQ644" s="48"/>
      <c r="AR644" s="48"/>
      <c r="AS644" s="48"/>
      <c r="AT644" s="48"/>
      <c r="AU644" s="48"/>
      <c r="AV644" s="48"/>
      <c r="AW644" s="48"/>
      <c r="AX644" s="48"/>
      <c r="AY644" s="48"/>
    </row>
    <row r="645" spans="1:51">
      <c r="A645" s="48"/>
      <c r="B645" s="48"/>
      <c r="C645" s="48"/>
      <c r="D645" s="48"/>
      <c r="E645" s="48"/>
      <c r="F645" s="48"/>
      <c r="G645" s="48"/>
      <c r="H645" s="48"/>
      <c r="I645" s="48"/>
      <c r="J645" s="48"/>
      <c r="K645" s="48"/>
      <c r="L645" s="48"/>
      <c r="M645" s="48"/>
      <c r="N645" s="48"/>
      <c r="O645" s="48"/>
      <c r="P645" s="48"/>
      <c r="Q645" s="48"/>
      <c r="R645" s="48"/>
      <c r="S645" s="48"/>
      <c r="T645" s="48"/>
      <c r="U645" s="48"/>
      <c r="V645" s="48"/>
      <c r="W645" s="48"/>
      <c r="X645" s="48"/>
      <c r="Y645" s="48"/>
      <c r="Z645" s="48"/>
      <c r="AA645" s="48"/>
      <c r="AB645" s="48"/>
      <c r="AC645" s="48"/>
      <c r="AD645" s="48"/>
      <c r="AE645" s="48"/>
      <c r="AF645" s="48"/>
      <c r="AG645" s="48"/>
      <c r="AH645" s="48"/>
      <c r="AI645" s="48"/>
      <c r="AJ645" s="48"/>
      <c r="AK645" s="48"/>
      <c r="AL645" s="48"/>
      <c r="AM645" s="48"/>
      <c r="AN645" s="48"/>
      <c r="AO645" s="48"/>
      <c r="AP645" s="48"/>
      <c r="AQ645" s="48"/>
      <c r="AR645" s="48"/>
      <c r="AS645" s="48"/>
      <c r="AT645" s="48"/>
      <c r="AU645" s="48"/>
      <c r="AV645" s="48"/>
      <c r="AW645" s="48"/>
      <c r="AX645" s="48"/>
      <c r="AY645" s="48"/>
    </row>
    <row r="646" spans="1:51">
      <c r="A646" s="48"/>
      <c r="B646" s="48"/>
      <c r="C646" s="48"/>
      <c r="D646" s="48"/>
      <c r="E646" s="48"/>
      <c r="F646" s="48"/>
      <c r="G646" s="48"/>
      <c r="H646" s="48"/>
      <c r="I646" s="48"/>
      <c r="J646" s="48"/>
      <c r="K646" s="48"/>
      <c r="L646" s="48"/>
      <c r="M646" s="48"/>
      <c r="N646" s="48"/>
      <c r="O646" s="48"/>
      <c r="P646" s="48"/>
      <c r="Q646" s="48"/>
      <c r="R646" s="48"/>
      <c r="S646" s="48"/>
      <c r="T646" s="48"/>
      <c r="U646" s="48"/>
      <c r="V646" s="48"/>
      <c r="W646" s="48"/>
      <c r="X646" s="48"/>
      <c r="Y646" s="48"/>
      <c r="Z646" s="48"/>
      <c r="AA646" s="48"/>
      <c r="AB646" s="48"/>
      <c r="AC646" s="48"/>
      <c r="AD646" s="48"/>
      <c r="AE646" s="48"/>
      <c r="AF646" s="48"/>
      <c r="AG646" s="48"/>
      <c r="AH646" s="48"/>
      <c r="AI646" s="48"/>
      <c r="AJ646" s="48"/>
      <c r="AK646" s="48"/>
      <c r="AL646" s="48"/>
      <c r="AM646" s="48"/>
      <c r="AN646" s="48"/>
      <c r="AO646" s="48"/>
      <c r="AP646" s="48"/>
      <c r="AQ646" s="48"/>
      <c r="AR646" s="48"/>
      <c r="AS646" s="48"/>
      <c r="AT646" s="48"/>
      <c r="AU646" s="48"/>
      <c r="AV646" s="48"/>
      <c r="AW646" s="48"/>
      <c r="AX646" s="48"/>
      <c r="AY646" s="48"/>
    </row>
    <row r="647" spans="1:51">
      <c r="A647" s="48"/>
      <c r="B647" s="48"/>
      <c r="C647" s="48"/>
      <c r="D647" s="48"/>
      <c r="E647" s="48"/>
      <c r="F647" s="48"/>
      <c r="G647" s="48"/>
      <c r="H647" s="48"/>
      <c r="I647" s="48"/>
      <c r="J647" s="48"/>
      <c r="K647" s="48"/>
      <c r="L647" s="48"/>
      <c r="M647" s="48"/>
      <c r="N647" s="48"/>
      <c r="O647" s="48"/>
      <c r="P647" s="48"/>
      <c r="Q647" s="48"/>
      <c r="R647" s="48"/>
      <c r="S647" s="48"/>
      <c r="T647" s="48"/>
      <c r="U647" s="48"/>
      <c r="V647" s="48"/>
      <c r="W647" s="48"/>
      <c r="X647" s="48"/>
      <c r="Y647" s="48"/>
      <c r="Z647" s="48"/>
      <c r="AA647" s="48"/>
      <c r="AB647" s="48"/>
      <c r="AC647" s="48"/>
      <c r="AD647" s="48"/>
      <c r="AE647" s="48"/>
      <c r="AF647" s="48"/>
      <c r="AG647" s="48"/>
      <c r="AH647" s="48"/>
      <c r="AI647" s="48"/>
      <c r="AJ647" s="48"/>
      <c r="AK647" s="48"/>
      <c r="AL647" s="48"/>
      <c r="AM647" s="48"/>
      <c r="AN647" s="48"/>
      <c r="AO647" s="48"/>
      <c r="AP647" s="48"/>
      <c r="AQ647" s="48"/>
      <c r="AR647" s="48"/>
      <c r="AS647" s="48"/>
      <c r="AT647" s="48"/>
      <c r="AU647" s="48"/>
      <c r="AV647" s="48"/>
      <c r="AW647" s="48"/>
      <c r="AX647" s="48"/>
      <c r="AY647" s="48"/>
    </row>
    <row r="648" spans="1:51">
      <c r="A648" s="48"/>
      <c r="B648" s="48"/>
      <c r="C648" s="48"/>
      <c r="D648" s="48"/>
      <c r="E648" s="48"/>
      <c r="F648" s="48"/>
      <c r="G648" s="48"/>
      <c r="H648" s="48"/>
      <c r="I648" s="48"/>
      <c r="J648" s="48"/>
      <c r="K648" s="48"/>
      <c r="L648" s="48"/>
      <c r="M648" s="48"/>
      <c r="N648" s="48"/>
      <c r="O648" s="48"/>
      <c r="P648" s="48"/>
      <c r="Q648" s="48"/>
      <c r="R648" s="48"/>
      <c r="S648" s="48"/>
      <c r="T648" s="48"/>
      <c r="U648" s="48"/>
      <c r="V648" s="48"/>
      <c r="W648" s="48"/>
      <c r="X648" s="48"/>
      <c r="Y648" s="48"/>
      <c r="Z648" s="48"/>
      <c r="AA648" s="48"/>
      <c r="AB648" s="48"/>
      <c r="AC648" s="48"/>
      <c r="AD648" s="48"/>
      <c r="AE648" s="48"/>
      <c r="AF648" s="48"/>
      <c r="AG648" s="48"/>
      <c r="AH648" s="48"/>
      <c r="AI648" s="48"/>
      <c r="AJ648" s="48"/>
      <c r="AK648" s="48"/>
      <c r="AL648" s="48"/>
      <c r="AM648" s="48"/>
      <c r="AN648" s="48"/>
      <c r="AO648" s="48"/>
      <c r="AP648" s="48"/>
      <c r="AQ648" s="48"/>
      <c r="AR648" s="48"/>
      <c r="AS648" s="48"/>
      <c r="AT648" s="48"/>
      <c r="AU648" s="48"/>
      <c r="AV648" s="48"/>
      <c r="AW648" s="48"/>
      <c r="AX648" s="48"/>
      <c r="AY648" s="48"/>
    </row>
    <row r="649" spans="1:51">
      <c r="A649" s="48"/>
      <c r="B649" s="48"/>
      <c r="C649" s="48"/>
      <c r="D649" s="48"/>
      <c r="E649" s="48"/>
      <c r="F649" s="48"/>
      <c r="G649" s="48"/>
      <c r="H649" s="48"/>
      <c r="I649" s="48"/>
      <c r="J649" s="48"/>
      <c r="K649" s="48"/>
      <c r="L649" s="48"/>
      <c r="M649" s="48"/>
      <c r="N649" s="48"/>
      <c r="O649" s="48"/>
      <c r="P649" s="48"/>
      <c r="Q649" s="48"/>
      <c r="R649" s="48"/>
      <c r="S649" s="48"/>
      <c r="T649" s="48"/>
      <c r="U649" s="48"/>
      <c r="V649" s="48"/>
      <c r="W649" s="48"/>
      <c r="X649" s="48"/>
      <c r="Y649" s="48"/>
      <c r="Z649" s="48"/>
      <c r="AA649" s="48"/>
      <c r="AB649" s="48"/>
      <c r="AC649" s="48"/>
      <c r="AD649" s="48"/>
      <c r="AE649" s="48"/>
      <c r="AF649" s="48"/>
      <c r="AG649" s="48"/>
      <c r="AH649" s="48"/>
      <c r="AI649" s="48"/>
      <c r="AJ649" s="48"/>
      <c r="AK649" s="48"/>
      <c r="AL649" s="48"/>
      <c r="AM649" s="48"/>
      <c r="AN649" s="48"/>
      <c r="AO649" s="48"/>
      <c r="AP649" s="48"/>
      <c r="AQ649" s="48"/>
      <c r="AR649" s="48"/>
      <c r="AS649" s="48"/>
      <c r="AT649" s="48"/>
      <c r="AU649" s="48"/>
      <c r="AV649" s="48"/>
      <c r="AW649" s="48"/>
      <c r="AX649" s="48"/>
      <c r="AY649" s="48"/>
    </row>
    <row r="650" spans="1:51">
      <c r="A650" s="48"/>
      <c r="B650" s="48"/>
      <c r="C650" s="48"/>
      <c r="D650" s="48"/>
      <c r="E650" s="48"/>
      <c r="F650" s="48"/>
      <c r="G650" s="48"/>
      <c r="H650" s="48"/>
      <c r="I650" s="48"/>
      <c r="J650" s="48"/>
      <c r="K650" s="48"/>
      <c r="L650" s="48"/>
      <c r="M650" s="48"/>
      <c r="N650" s="48"/>
      <c r="O650" s="48"/>
      <c r="P650" s="48"/>
      <c r="Q650" s="48"/>
      <c r="R650" s="48"/>
      <c r="S650" s="48"/>
      <c r="T650" s="48"/>
      <c r="U650" s="48"/>
      <c r="V650" s="48"/>
      <c r="W650" s="48"/>
      <c r="X650" s="48"/>
      <c r="Y650" s="48"/>
      <c r="Z650" s="48"/>
      <c r="AA650" s="48"/>
      <c r="AB650" s="48"/>
      <c r="AC650" s="48"/>
      <c r="AD650" s="48"/>
      <c r="AE650" s="48"/>
      <c r="AF650" s="48"/>
      <c r="AG650" s="48"/>
      <c r="AH650" s="48"/>
      <c r="AI650" s="48"/>
      <c r="AJ650" s="48"/>
      <c r="AK650" s="48"/>
      <c r="AL650" s="48"/>
      <c r="AM650" s="48"/>
      <c r="AN650" s="48"/>
      <c r="AO650" s="48"/>
      <c r="AP650" s="48"/>
      <c r="AQ650" s="48"/>
      <c r="AR650" s="48"/>
      <c r="AS650" s="48"/>
      <c r="AT650" s="48"/>
      <c r="AU650" s="48"/>
      <c r="AV650" s="48"/>
      <c r="AW650" s="48"/>
      <c r="AX650" s="48"/>
      <c r="AY650" s="48"/>
    </row>
    <row r="651" spans="1:51">
      <c r="A651" s="48"/>
      <c r="B651" s="48"/>
      <c r="C651" s="48"/>
      <c r="D651" s="48"/>
      <c r="E651" s="48"/>
      <c r="F651" s="48"/>
      <c r="G651" s="48"/>
      <c r="H651" s="48"/>
      <c r="I651" s="48"/>
      <c r="J651" s="48"/>
      <c r="K651" s="48"/>
      <c r="L651" s="48"/>
      <c r="M651" s="48"/>
      <c r="N651" s="48"/>
      <c r="O651" s="48"/>
      <c r="P651" s="48"/>
      <c r="Q651" s="48"/>
      <c r="R651" s="48"/>
      <c r="S651" s="48"/>
      <c r="T651" s="48"/>
      <c r="U651" s="48"/>
      <c r="V651" s="48"/>
      <c r="W651" s="48"/>
      <c r="X651" s="48"/>
      <c r="Y651" s="48"/>
      <c r="Z651" s="48"/>
      <c r="AA651" s="48"/>
      <c r="AB651" s="48"/>
      <c r="AC651" s="48"/>
      <c r="AD651" s="48"/>
      <c r="AE651" s="48"/>
      <c r="AF651" s="48"/>
      <c r="AG651" s="48"/>
      <c r="AH651" s="48"/>
      <c r="AI651" s="48"/>
      <c r="AJ651" s="48"/>
      <c r="AK651" s="48"/>
      <c r="AL651" s="48"/>
      <c r="AM651" s="48"/>
      <c r="AN651" s="48"/>
      <c r="AO651" s="48"/>
      <c r="AP651" s="48"/>
      <c r="AQ651" s="48"/>
      <c r="AR651" s="48"/>
      <c r="AS651" s="48"/>
      <c r="AT651" s="48"/>
      <c r="AU651" s="48"/>
      <c r="AV651" s="48"/>
      <c r="AW651" s="48"/>
      <c r="AX651" s="48"/>
      <c r="AY651" s="48"/>
    </row>
    <row r="652" spans="1:51">
      <c r="A652" s="48"/>
      <c r="B652" s="48"/>
      <c r="C652" s="48"/>
      <c r="D652" s="48"/>
      <c r="E652" s="48"/>
      <c r="F652" s="48"/>
      <c r="G652" s="48"/>
      <c r="H652" s="48"/>
      <c r="I652" s="48"/>
      <c r="J652" s="48"/>
      <c r="K652" s="48"/>
      <c r="L652" s="48"/>
      <c r="M652" s="48"/>
      <c r="N652" s="48"/>
      <c r="O652" s="48"/>
      <c r="P652" s="48"/>
      <c r="Q652" s="48"/>
      <c r="R652" s="48"/>
      <c r="S652" s="48"/>
      <c r="T652" s="48"/>
      <c r="U652" s="48"/>
      <c r="V652" s="48"/>
      <c r="W652" s="48"/>
      <c r="X652" s="48"/>
      <c r="Y652" s="48"/>
      <c r="Z652" s="48"/>
      <c r="AA652" s="48"/>
      <c r="AB652" s="48"/>
      <c r="AC652" s="48"/>
      <c r="AD652" s="48"/>
      <c r="AE652" s="48"/>
      <c r="AF652" s="48"/>
      <c r="AG652" s="48"/>
      <c r="AH652" s="48"/>
      <c r="AI652" s="48"/>
      <c r="AJ652" s="48"/>
      <c r="AK652" s="48"/>
      <c r="AL652" s="48"/>
      <c r="AM652" s="48"/>
      <c r="AN652" s="48"/>
      <c r="AO652" s="48"/>
      <c r="AP652" s="48"/>
      <c r="AQ652" s="48"/>
      <c r="AR652" s="48"/>
      <c r="AS652" s="48"/>
      <c r="AT652" s="48"/>
      <c r="AU652" s="48"/>
      <c r="AV652" s="48"/>
      <c r="AW652" s="48"/>
      <c r="AX652" s="48"/>
      <c r="AY652" s="48"/>
    </row>
    <row r="653" spans="1:51">
      <c r="A653" s="48"/>
      <c r="B653" s="48"/>
      <c r="C653" s="48"/>
      <c r="D653" s="48"/>
      <c r="E653" s="48"/>
      <c r="F653" s="48"/>
      <c r="G653" s="48"/>
      <c r="H653" s="48"/>
      <c r="I653" s="48"/>
      <c r="J653" s="48"/>
      <c r="K653" s="48"/>
      <c r="L653" s="48"/>
      <c r="M653" s="48"/>
      <c r="N653" s="48"/>
      <c r="O653" s="48"/>
      <c r="P653" s="48"/>
      <c r="Q653" s="48"/>
      <c r="R653" s="48"/>
      <c r="S653" s="48"/>
      <c r="T653" s="48"/>
      <c r="U653" s="48"/>
      <c r="V653" s="48"/>
      <c r="W653" s="48"/>
      <c r="X653" s="48"/>
      <c r="Y653" s="48"/>
      <c r="Z653" s="48"/>
      <c r="AA653" s="48"/>
      <c r="AB653" s="48"/>
      <c r="AC653" s="48"/>
      <c r="AD653" s="48"/>
      <c r="AE653" s="48"/>
      <c r="AF653" s="48"/>
      <c r="AG653" s="48"/>
      <c r="AH653" s="48"/>
      <c r="AI653" s="48"/>
      <c r="AJ653" s="48"/>
      <c r="AK653" s="48"/>
      <c r="AL653" s="48"/>
      <c r="AM653" s="48"/>
      <c r="AN653" s="48"/>
      <c r="AO653" s="48"/>
      <c r="AP653" s="48"/>
      <c r="AQ653" s="48"/>
      <c r="AR653" s="48"/>
      <c r="AS653" s="48"/>
      <c r="AT653" s="48"/>
      <c r="AU653" s="48"/>
      <c r="AV653" s="48"/>
      <c r="AW653" s="48"/>
      <c r="AX653" s="48"/>
      <c r="AY653" s="48"/>
    </row>
    <row r="654" spans="1:51">
      <c r="A654" s="48"/>
      <c r="B654" s="48"/>
      <c r="C654" s="48"/>
      <c r="D654" s="48"/>
      <c r="E654" s="48"/>
      <c r="F654" s="48"/>
      <c r="G654" s="48"/>
      <c r="H654" s="48"/>
      <c r="I654" s="48"/>
      <c r="J654" s="48"/>
      <c r="K654" s="48"/>
      <c r="L654" s="48"/>
      <c r="M654" s="48"/>
      <c r="N654" s="48"/>
      <c r="O654" s="48"/>
      <c r="P654" s="48"/>
      <c r="Q654" s="48"/>
      <c r="R654" s="48"/>
      <c r="S654" s="48"/>
      <c r="T654" s="48"/>
      <c r="U654" s="48"/>
      <c r="V654" s="48"/>
      <c r="W654" s="48"/>
      <c r="X654" s="48"/>
      <c r="Y654" s="48"/>
      <c r="Z654" s="48"/>
      <c r="AA654" s="48"/>
      <c r="AB654" s="48"/>
      <c r="AC654" s="48"/>
      <c r="AD654" s="48"/>
      <c r="AE654" s="48"/>
      <c r="AF654" s="48"/>
      <c r="AG654" s="48"/>
      <c r="AH654" s="48"/>
      <c r="AI654" s="48"/>
      <c r="AJ654" s="48"/>
      <c r="AK654" s="48"/>
      <c r="AL654" s="48"/>
      <c r="AM654" s="48"/>
      <c r="AN654" s="48"/>
      <c r="AO654" s="48"/>
      <c r="AP654" s="48"/>
      <c r="AQ654" s="48"/>
      <c r="AR654" s="48"/>
      <c r="AS654" s="48"/>
      <c r="AT654" s="48"/>
      <c r="AU654" s="48"/>
      <c r="AV654" s="48"/>
      <c r="AW654" s="48"/>
      <c r="AX654" s="48"/>
      <c r="AY654" s="48"/>
    </row>
    <row r="655" spans="1:51">
      <c r="A655" s="48"/>
      <c r="B655" s="48"/>
      <c r="C655" s="48"/>
      <c r="D655" s="48"/>
      <c r="E655" s="48"/>
      <c r="F655" s="48"/>
      <c r="G655" s="48"/>
      <c r="H655" s="48"/>
      <c r="I655" s="48"/>
      <c r="J655" s="48"/>
      <c r="K655" s="48"/>
      <c r="L655" s="48"/>
      <c r="M655" s="48"/>
      <c r="N655" s="48"/>
      <c r="O655" s="48"/>
      <c r="P655" s="48"/>
      <c r="Q655" s="48"/>
      <c r="R655" s="48"/>
      <c r="S655" s="48"/>
      <c r="T655" s="48"/>
      <c r="U655" s="48"/>
      <c r="V655" s="48"/>
      <c r="W655" s="48"/>
      <c r="X655" s="48"/>
      <c r="Y655" s="48"/>
      <c r="Z655" s="48"/>
      <c r="AA655" s="48"/>
      <c r="AB655" s="48"/>
      <c r="AC655" s="48"/>
      <c r="AD655" s="48"/>
      <c r="AE655" s="48"/>
      <c r="AF655" s="48"/>
      <c r="AG655" s="48"/>
      <c r="AH655" s="48"/>
      <c r="AI655" s="48"/>
      <c r="AJ655" s="48"/>
      <c r="AK655" s="48"/>
      <c r="AL655" s="48"/>
      <c r="AM655" s="48"/>
      <c r="AN655" s="48"/>
      <c r="AO655" s="48"/>
      <c r="AP655" s="48"/>
      <c r="AQ655" s="48"/>
      <c r="AR655" s="48"/>
      <c r="AS655" s="48"/>
      <c r="AT655" s="48"/>
      <c r="AU655" s="48"/>
      <c r="AV655" s="48"/>
      <c r="AW655" s="48"/>
      <c r="AX655" s="48"/>
      <c r="AY655" s="48"/>
    </row>
    <row r="656" spans="1:51">
      <c r="A656" s="48"/>
      <c r="B656" s="48"/>
      <c r="C656" s="48"/>
      <c r="D656" s="48"/>
      <c r="E656" s="48"/>
      <c r="F656" s="48"/>
      <c r="G656" s="48"/>
      <c r="H656" s="48"/>
      <c r="I656" s="48"/>
      <c r="J656" s="48"/>
      <c r="K656" s="48"/>
      <c r="L656" s="48"/>
      <c r="M656" s="48"/>
      <c r="N656" s="48"/>
      <c r="O656" s="48"/>
      <c r="P656" s="48"/>
      <c r="Q656" s="48"/>
      <c r="R656" s="48"/>
      <c r="S656" s="48"/>
      <c r="T656" s="48"/>
      <c r="U656" s="48"/>
      <c r="V656" s="48"/>
      <c r="W656" s="48"/>
      <c r="X656" s="48"/>
      <c r="Y656" s="48"/>
      <c r="Z656" s="48"/>
      <c r="AA656" s="48"/>
      <c r="AB656" s="48"/>
      <c r="AC656" s="48"/>
      <c r="AD656" s="48"/>
      <c r="AE656" s="48"/>
      <c r="AF656" s="48"/>
      <c r="AG656" s="48"/>
      <c r="AH656" s="48"/>
      <c r="AI656" s="48"/>
      <c r="AJ656" s="48"/>
      <c r="AK656" s="48"/>
      <c r="AL656" s="48"/>
      <c r="AM656" s="48"/>
      <c r="AN656" s="48"/>
      <c r="AO656" s="48"/>
      <c r="AP656" s="48"/>
      <c r="AQ656" s="48"/>
      <c r="AR656" s="48"/>
      <c r="AS656" s="48"/>
      <c r="AT656" s="48"/>
      <c r="AU656" s="48"/>
      <c r="AV656" s="48"/>
      <c r="AW656" s="48"/>
      <c r="AX656" s="48"/>
      <c r="AY656" s="48"/>
    </row>
    <row r="657" spans="1:51">
      <c r="A657" s="48"/>
      <c r="B657" s="48"/>
      <c r="C657" s="48"/>
      <c r="D657" s="48"/>
      <c r="E657" s="48"/>
      <c r="F657" s="48"/>
      <c r="G657" s="48"/>
      <c r="H657" s="48"/>
      <c r="I657" s="48"/>
      <c r="J657" s="48"/>
      <c r="K657" s="48"/>
      <c r="L657" s="48"/>
      <c r="M657" s="48"/>
      <c r="N657" s="48"/>
      <c r="O657" s="48"/>
      <c r="P657" s="48"/>
      <c r="Q657" s="48"/>
      <c r="R657" s="48"/>
      <c r="S657" s="48"/>
      <c r="T657" s="48"/>
      <c r="U657" s="48"/>
      <c r="V657" s="48"/>
      <c r="W657" s="48"/>
      <c r="X657" s="48"/>
      <c r="Y657" s="48"/>
      <c r="Z657" s="48"/>
      <c r="AA657" s="48"/>
      <c r="AB657" s="48"/>
      <c r="AC657" s="48"/>
      <c r="AD657" s="48"/>
      <c r="AE657" s="48"/>
      <c r="AF657" s="48"/>
      <c r="AG657" s="48"/>
      <c r="AH657" s="48"/>
      <c r="AI657" s="48"/>
      <c r="AJ657" s="48"/>
      <c r="AK657" s="48"/>
      <c r="AL657" s="48"/>
      <c r="AM657" s="48"/>
      <c r="AN657" s="48"/>
      <c r="AO657" s="48"/>
      <c r="AP657" s="48"/>
      <c r="AQ657" s="48"/>
      <c r="AR657" s="48"/>
      <c r="AS657" s="48"/>
      <c r="AT657" s="48"/>
      <c r="AU657" s="48"/>
      <c r="AV657" s="48"/>
      <c r="AW657" s="48"/>
      <c r="AX657" s="48"/>
      <c r="AY657" s="48"/>
    </row>
    <row r="658" spans="1:51">
      <c r="A658" s="48"/>
      <c r="B658" s="48"/>
      <c r="C658" s="48"/>
      <c r="D658" s="48"/>
      <c r="E658" s="48"/>
      <c r="F658" s="48"/>
      <c r="G658" s="48"/>
      <c r="H658" s="48"/>
      <c r="I658" s="48"/>
      <c r="J658" s="48"/>
      <c r="K658" s="48"/>
      <c r="L658" s="48"/>
      <c r="M658" s="48"/>
      <c r="N658" s="48"/>
      <c r="O658" s="48"/>
      <c r="P658" s="48"/>
      <c r="Q658" s="48"/>
      <c r="R658" s="48"/>
      <c r="S658" s="48"/>
      <c r="T658" s="48"/>
      <c r="U658" s="48"/>
      <c r="V658" s="48"/>
      <c r="W658" s="48"/>
      <c r="X658" s="48"/>
      <c r="Y658" s="48"/>
      <c r="Z658" s="48"/>
      <c r="AA658" s="48"/>
      <c r="AB658" s="48"/>
      <c r="AC658" s="48"/>
      <c r="AD658" s="48"/>
      <c r="AE658" s="48"/>
      <c r="AF658" s="48"/>
      <c r="AG658" s="48"/>
      <c r="AH658" s="48"/>
      <c r="AI658" s="48"/>
      <c r="AJ658" s="48"/>
      <c r="AK658" s="48"/>
      <c r="AL658" s="48"/>
      <c r="AM658" s="48"/>
      <c r="AN658" s="48"/>
      <c r="AO658" s="48"/>
      <c r="AP658" s="48"/>
      <c r="AQ658" s="48"/>
      <c r="AR658" s="48"/>
      <c r="AS658" s="48"/>
      <c r="AT658" s="48"/>
      <c r="AU658" s="48"/>
      <c r="AV658" s="48"/>
      <c r="AW658" s="48"/>
      <c r="AX658" s="48"/>
      <c r="AY658" s="48"/>
    </row>
    <row r="659" spans="1:51">
      <c r="A659" s="48"/>
      <c r="B659" s="48"/>
      <c r="C659" s="48"/>
      <c r="D659" s="48"/>
      <c r="E659" s="48"/>
      <c r="F659" s="48"/>
      <c r="G659" s="48"/>
      <c r="H659" s="48"/>
      <c r="I659" s="48"/>
      <c r="J659" s="48"/>
      <c r="K659" s="48"/>
      <c r="L659" s="48"/>
      <c r="M659" s="48"/>
      <c r="N659" s="48"/>
      <c r="O659" s="48"/>
      <c r="P659" s="48"/>
      <c r="Q659" s="48"/>
      <c r="R659" s="48"/>
      <c r="S659" s="48"/>
      <c r="T659" s="48"/>
      <c r="U659" s="48"/>
      <c r="V659" s="48"/>
      <c r="W659" s="48"/>
      <c r="X659" s="48"/>
      <c r="Y659" s="48"/>
      <c r="Z659" s="48"/>
      <c r="AA659" s="48"/>
      <c r="AB659" s="48"/>
      <c r="AC659" s="48"/>
      <c r="AD659" s="48"/>
      <c r="AE659" s="48"/>
      <c r="AF659" s="48"/>
      <c r="AG659" s="48"/>
      <c r="AH659" s="48"/>
      <c r="AI659" s="48"/>
      <c r="AJ659" s="48"/>
      <c r="AK659" s="48"/>
      <c r="AL659" s="48"/>
      <c r="AM659" s="48"/>
      <c r="AN659" s="48"/>
      <c r="AO659" s="48"/>
      <c r="AP659" s="48"/>
      <c r="AQ659" s="48"/>
      <c r="AR659" s="48"/>
      <c r="AS659" s="48"/>
      <c r="AT659" s="48"/>
      <c r="AU659" s="48"/>
      <c r="AV659" s="48"/>
      <c r="AW659" s="48"/>
      <c r="AX659" s="48"/>
      <c r="AY659" s="48"/>
    </row>
    <row r="660" spans="1:51">
      <c r="A660" s="48"/>
      <c r="B660" s="48"/>
      <c r="C660" s="48"/>
      <c r="D660" s="48"/>
      <c r="E660" s="48"/>
      <c r="F660" s="48"/>
      <c r="G660" s="48"/>
      <c r="H660" s="48"/>
      <c r="I660" s="48"/>
      <c r="J660" s="48"/>
      <c r="K660" s="48"/>
      <c r="L660" s="48"/>
      <c r="M660" s="48"/>
      <c r="N660" s="48"/>
      <c r="O660" s="48"/>
      <c r="P660" s="48"/>
      <c r="Q660" s="48"/>
      <c r="R660" s="48"/>
      <c r="S660" s="48"/>
      <c r="T660" s="48"/>
      <c r="U660" s="48"/>
      <c r="V660" s="48"/>
      <c r="W660" s="48"/>
      <c r="X660" s="48"/>
      <c r="Y660" s="48"/>
      <c r="Z660" s="48"/>
      <c r="AA660" s="48"/>
      <c r="AB660" s="48"/>
      <c r="AC660" s="48"/>
      <c r="AD660" s="48"/>
      <c r="AE660" s="48"/>
      <c r="AF660" s="48"/>
      <c r="AG660" s="48"/>
      <c r="AH660" s="48"/>
      <c r="AI660" s="48"/>
      <c r="AJ660" s="48"/>
      <c r="AK660" s="48"/>
      <c r="AL660" s="48"/>
      <c r="AM660" s="48"/>
      <c r="AN660" s="48"/>
      <c r="AO660" s="48"/>
      <c r="AP660" s="48"/>
      <c r="AQ660" s="48"/>
      <c r="AR660" s="48"/>
      <c r="AS660" s="48"/>
      <c r="AT660" s="48"/>
      <c r="AU660" s="48"/>
      <c r="AV660" s="48"/>
      <c r="AW660" s="48"/>
      <c r="AX660" s="48"/>
      <c r="AY660" s="48"/>
    </row>
    <row r="661" spans="1:51">
      <c r="A661" s="48"/>
      <c r="B661" s="48"/>
      <c r="C661" s="48"/>
      <c r="D661" s="48"/>
      <c r="E661" s="48"/>
      <c r="F661" s="48"/>
      <c r="G661" s="48"/>
      <c r="H661" s="48"/>
      <c r="I661" s="48"/>
      <c r="J661" s="48"/>
      <c r="K661" s="48"/>
      <c r="L661" s="48"/>
      <c r="M661" s="48"/>
      <c r="N661" s="48"/>
      <c r="O661" s="48"/>
      <c r="P661" s="48"/>
      <c r="Q661" s="48"/>
      <c r="R661" s="48"/>
      <c r="S661" s="48"/>
      <c r="T661" s="48"/>
      <c r="U661" s="48"/>
      <c r="V661" s="48"/>
      <c r="W661" s="48"/>
      <c r="X661" s="48"/>
      <c r="Y661" s="48"/>
      <c r="Z661" s="48"/>
      <c r="AA661" s="48"/>
      <c r="AB661" s="48"/>
      <c r="AC661" s="48"/>
      <c r="AD661" s="48"/>
      <c r="AE661" s="48"/>
      <c r="AF661" s="48"/>
      <c r="AG661" s="48"/>
      <c r="AH661" s="48"/>
      <c r="AI661" s="48"/>
      <c r="AJ661" s="48"/>
      <c r="AK661" s="48"/>
      <c r="AL661" s="48"/>
      <c r="AM661" s="48"/>
      <c r="AN661" s="48"/>
      <c r="AO661" s="48"/>
      <c r="AP661" s="48"/>
      <c r="AQ661" s="48"/>
      <c r="AR661" s="48"/>
      <c r="AS661" s="48"/>
      <c r="AT661" s="48"/>
      <c r="AU661" s="48"/>
      <c r="AV661" s="48"/>
      <c r="AW661" s="48"/>
      <c r="AX661" s="48"/>
      <c r="AY661" s="48"/>
    </row>
    <row r="662" spans="1:51">
      <c r="A662" s="48"/>
      <c r="B662" s="48"/>
      <c r="C662" s="48"/>
      <c r="D662" s="48"/>
      <c r="E662" s="48"/>
      <c r="F662" s="48"/>
      <c r="G662" s="48"/>
      <c r="H662" s="48"/>
      <c r="I662" s="48"/>
      <c r="J662" s="48"/>
      <c r="K662" s="48"/>
      <c r="L662" s="48"/>
      <c r="M662" s="48"/>
      <c r="N662" s="48"/>
      <c r="O662" s="48"/>
      <c r="P662" s="48"/>
      <c r="Q662" s="48"/>
      <c r="R662" s="48"/>
      <c r="S662" s="48"/>
      <c r="T662" s="48"/>
      <c r="U662" s="48"/>
      <c r="V662" s="48"/>
      <c r="W662" s="48"/>
      <c r="X662" s="48"/>
      <c r="Y662" s="48"/>
      <c r="Z662" s="48"/>
      <c r="AA662" s="48"/>
      <c r="AB662" s="48"/>
      <c r="AC662" s="48"/>
      <c r="AD662" s="48"/>
      <c r="AE662" s="48"/>
      <c r="AF662" s="48"/>
      <c r="AG662" s="48"/>
      <c r="AH662" s="48"/>
      <c r="AI662" s="48"/>
      <c r="AJ662" s="48"/>
      <c r="AK662" s="48"/>
      <c r="AL662" s="48"/>
      <c r="AM662" s="48"/>
      <c r="AN662" s="48"/>
      <c r="AO662" s="48"/>
      <c r="AP662" s="48"/>
      <c r="AQ662" s="48"/>
      <c r="AR662" s="48"/>
      <c r="AS662" s="48"/>
      <c r="AT662" s="48"/>
      <c r="AU662" s="48"/>
      <c r="AV662" s="48"/>
      <c r="AW662" s="48"/>
      <c r="AX662" s="48"/>
      <c r="AY662" s="48"/>
    </row>
    <row r="663" spans="1:51">
      <c r="A663" s="48"/>
      <c r="B663" s="48"/>
      <c r="C663" s="48"/>
      <c r="D663" s="48"/>
      <c r="E663" s="48"/>
      <c r="F663" s="48"/>
      <c r="G663" s="48"/>
      <c r="H663" s="48"/>
      <c r="I663" s="48"/>
      <c r="J663" s="48"/>
      <c r="K663" s="48"/>
      <c r="L663" s="48"/>
      <c r="M663" s="48"/>
      <c r="N663" s="48"/>
      <c r="O663" s="48"/>
      <c r="P663" s="48"/>
      <c r="Q663" s="48"/>
      <c r="R663" s="48"/>
      <c r="S663" s="48"/>
      <c r="T663" s="48"/>
      <c r="U663" s="48"/>
      <c r="V663" s="48"/>
      <c r="W663" s="48"/>
      <c r="X663" s="48"/>
      <c r="Y663" s="48"/>
      <c r="Z663" s="48"/>
      <c r="AA663" s="48"/>
      <c r="AB663" s="48"/>
      <c r="AC663" s="48"/>
      <c r="AD663" s="48"/>
      <c r="AE663" s="48"/>
      <c r="AF663" s="48"/>
      <c r="AG663" s="48"/>
      <c r="AH663" s="48"/>
      <c r="AI663" s="48"/>
      <c r="AJ663" s="48"/>
      <c r="AK663" s="48"/>
      <c r="AL663" s="48"/>
      <c r="AM663" s="48"/>
      <c r="AN663" s="48"/>
      <c r="AO663" s="48"/>
      <c r="AP663" s="48"/>
      <c r="AQ663" s="48"/>
      <c r="AR663" s="48"/>
      <c r="AS663" s="48"/>
      <c r="AT663" s="48"/>
      <c r="AU663" s="48"/>
      <c r="AV663" s="48"/>
      <c r="AW663" s="48"/>
      <c r="AX663" s="48"/>
      <c r="AY663" s="48"/>
    </row>
    <row r="664" spans="1:51">
      <c r="A664" s="48"/>
      <c r="B664" s="48"/>
      <c r="C664" s="48"/>
      <c r="D664" s="48"/>
      <c r="E664" s="48"/>
      <c r="F664" s="48"/>
      <c r="G664" s="48"/>
      <c r="H664" s="48"/>
      <c r="I664" s="48"/>
      <c r="J664" s="48"/>
      <c r="K664" s="48"/>
      <c r="L664" s="48"/>
      <c r="M664" s="48"/>
      <c r="N664" s="48"/>
      <c r="O664" s="48"/>
      <c r="P664" s="48"/>
      <c r="Q664" s="48"/>
      <c r="R664" s="48"/>
      <c r="S664" s="48"/>
      <c r="T664" s="48"/>
      <c r="U664" s="48"/>
      <c r="V664" s="48"/>
      <c r="W664" s="48"/>
      <c r="X664" s="48"/>
      <c r="Y664" s="48"/>
      <c r="Z664" s="48"/>
      <c r="AA664" s="48"/>
      <c r="AB664" s="48"/>
      <c r="AC664" s="48"/>
      <c r="AD664" s="48"/>
      <c r="AE664" s="48"/>
      <c r="AF664" s="48"/>
      <c r="AG664" s="48"/>
      <c r="AH664" s="48"/>
      <c r="AI664" s="48"/>
      <c r="AJ664" s="48"/>
      <c r="AK664" s="48"/>
      <c r="AL664" s="48"/>
      <c r="AM664" s="48"/>
      <c r="AN664" s="48"/>
      <c r="AO664" s="48"/>
      <c r="AP664" s="48"/>
      <c r="AQ664" s="48"/>
      <c r="AR664" s="48"/>
      <c r="AS664" s="48"/>
      <c r="AT664" s="48"/>
      <c r="AU664" s="48"/>
      <c r="AV664" s="48"/>
      <c r="AW664" s="48"/>
      <c r="AX664" s="48"/>
      <c r="AY664" s="48"/>
    </row>
    <row r="665" spans="1:51">
      <c r="A665" s="48"/>
      <c r="B665" s="48"/>
      <c r="C665" s="48"/>
      <c r="D665" s="48"/>
      <c r="E665" s="48"/>
      <c r="F665" s="48"/>
      <c r="G665" s="48"/>
      <c r="H665" s="48"/>
      <c r="I665" s="48"/>
      <c r="J665" s="48"/>
      <c r="K665" s="48"/>
      <c r="L665" s="48"/>
      <c r="M665" s="48"/>
      <c r="N665" s="48"/>
      <c r="O665" s="48"/>
      <c r="P665" s="48"/>
      <c r="Q665" s="48"/>
      <c r="R665" s="48"/>
      <c r="S665" s="48"/>
      <c r="T665" s="48"/>
      <c r="U665" s="48"/>
      <c r="V665" s="48"/>
      <c r="W665" s="48"/>
      <c r="X665" s="48"/>
      <c r="Y665" s="48"/>
      <c r="Z665" s="48"/>
      <c r="AA665" s="48"/>
      <c r="AB665" s="48"/>
      <c r="AC665" s="48"/>
      <c r="AD665" s="48"/>
      <c r="AE665" s="48"/>
      <c r="AF665" s="48"/>
      <c r="AG665" s="48"/>
      <c r="AH665" s="48"/>
      <c r="AI665" s="48"/>
      <c r="AJ665" s="48"/>
      <c r="AK665" s="48"/>
      <c r="AL665" s="48"/>
      <c r="AM665" s="48"/>
      <c r="AN665" s="48"/>
      <c r="AO665" s="48"/>
      <c r="AP665" s="48"/>
      <c r="AQ665" s="48"/>
      <c r="AR665" s="48"/>
      <c r="AS665" s="48"/>
      <c r="AT665" s="48"/>
      <c r="AU665" s="48"/>
      <c r="AV665" s="48"/>
      <c r="AW665" s="48"/>
      <c r="AX665" s="48"/>
      <c r="AY665" s="48"/>
    </row>
    <row r="666" spans="1:51">
      <c r="A666" s="48"/>
      <c r="B666" s="48"/>
      <c r="C666" s="48"/>
      <c r="D666" s="48"/>
      <c r="E666" s="48"/>
      <c r="F666" s="48"/>
      <c r="G666" s="48"/>
      <c r="H666" s="48"/>
      <c r="I666" s="48"/>
      <c r="J666" s="48"/>
      <c r="K666" s="48"/>
      <c r="L666" s="48"/>
      <c r="M666" s="48"/>
      <c r="N666" s="48"/>
      <c r="O666" s="48"/>
      <c r="P666" s="48"/>
      <c r="Q666" s="48"/>
      <c r="R666" s="48"/>
      <c r="S666" s="48"/>
      <c r="T666" s="48"/>
      <c r="U666" s="48"/>
      <c r="V666" s="48"/>
      <c r="W666" s="48"/>
      <c r="X666" s="48"/>
      <c r="Y666" s="48"/>
      <c r="Z666" s="48"/>
      <c r="AA666" s="48"/>
      <c r="AB666" s="48"/>
      <c r="AC666" s="48"/>
      <c r="AD666" s="48"/>
      <c r="AE666" s="48"/>
      <c r="AF666" s="48"/>
      <c r="AG666" s="48"/>
      <c r="AH666" s="48"/>
      <c r="AI666" s="48"/>
      <c r="AJ666" s="48"/>
      <c r="AK666" s="48"/>
      <c r="AL666" s="48"/>
      <c r="AM666" s="48"/>
      <c r="AN666" s="48"/>
      <c r="AO666" s="48"/>
      <c r="AP666" s="48"/>
      <c r="AQ666" s="48"/>
      <c r="AR666" s="48"/>
      <c r="AS666" s="48"/>
      <c r="AT666" s="48"/>
      <c r="AU666" s="48"/>
      <c r="AV666" s="48"/>
      <c r="AW666" s="48"/>
      <c r="AX666" s="48"/>
      <c r="AY666" s="48"/>
    </row>
    <row r="667" spans="1:51">
      <c r="A667" s="48"/>
      <c r="B667" s="48"/>
      <c r="C667" s="48"/>
      <c r="D667" s="48"/>
      <c r="E667" s="48"/>
      <c r="F667" s="48"/>
      <c r="G667" s="48"/>
      <c r="H667" s="48"/>
      <c r="I667" s="48"/>
      <c r="J667" s="48"/>
      <c r="K667" s="48"/>
      <c r="L667" s="48"/>
      <c r="M667" s="48"/>
      <c r="N667" s="48"/>
      <c r="O667" s="48"/>
      <c r="P667" s="48"/>
      <c r="Q667" s="48"/>
      <c r="R667" s="48"/>
      <c r="S667" s="48"/>
      <c r="T667" s="48"/>
      <c r="U667" s="48"/>
      <c r="V667" s="48"/>
      <c r="W667" s="48"/>
      <c r="X667" s="48"/>
      <c r="Y667" s="48"/>
      <c r="Z667" s="48"/>
      <c r="AA667" s="48"/>
      <c r="AB667" s="48"/>
      <c r="AC667" s="48"/>
      <c r="AD667" s="48"/>
      <c r="AE667" s="48"/>
      <c r="AF667" s="48"/>
      <c r="AG667" s="48"/>
      <c r="AH667" s="48"/>
      <c r="AI667" s="48"/>
      <c r="AJ667" s="48"/>
      <c r="AK667" s="48"/>
      <c r="AL667" s="48"/>
      <c r="AM667" s="48"/>
      <c r="AN667" s="48"/>
      <c r="AO667" s="48"/>
      <c r="AP667" s="48"/>
      <c r="AQ667" s="48"/>
      <c r="AR667" s="48"/>
      <c r="AS667" s="48"/>
      <c r="AT667" s="48"/>
      <c r="AU667" s="48"/>
      <c r="AV667" s="48"/>
      <c r="AW667" s="48"/>
      <c r="AX667" s="48"/>
      <c r="AY667" s="48"/>
    </row>
    <row r="668" spans="1:51">
      <c r="A668" s="48"/>
      <c r="B668" s="48"/>
      <c r="C668" s="48"/>
      <c r="D668" s="48"/>
      <c r="E668" s="48"/>
      <c r="F668" s="48"/>
      <c r="G668" s="48"/>
      <c r="H668" s="48"/>
      <c r="I668" s="48"/>
      <c r="J668" s="48"/>
      <c r="K668" s="48"/>
      <c r="L668" s="48"/>
      <c r="M668" s="48"/>
      <c r="N668" s="48"/>
      <c r="O668" s="48"/>
      <c r="P668" s="48"/>
      <c r="Q668" s="48"/>
      <c r="R668" s="48"/>
      <c r="S668" s="48"/>
      <c r="T668" s="48"/>
      <c r="U668" s="48"/>
      <c r="V668" s="48"/>
      <c r="W668" s="48"/>
      <c r="X668" s="48"/>
      <c r="Y668" s="48"/>
      <c r="Z668" s="48"/>
      <c r="AA668" s="48"/>
      <c r="AB668" s="48"/>
      <c r="AC668" s="48"/>
      <c r="AD668" s="48"/>
      <c r="AE668" s="48"/>
      <c r="AF668" s="48"/>
      <c r="AG668" s="48"/>
      <c r="AH668" s="48"/>
      <c r="AI668" s="48"/>
      <c r="AJ668" s="48"/>
      <c r="AK668" s="48"/>
      <c r="AL668" s="48"/>
      <c r="AM668" s="48"/>
      <c r="AN668" s="48"/>
      <c r="AO668" s="48"/>
      <c r="AP668" s="48"/>
      <c r="AQ668" s="48"/>
      <c r="AR668" s="48"/>
      <c r="AS668" s="48"/>
      <c r="AT668" s="48"/>
      <c r="AU668" s="48"/>
      <c r="AV668" s="48"/>
      <c r="AW668" s="48"/>
      <c r="AX668" s="48"/>
      <c r="AY668" s="48"/>
    </row>
    <row r="669" spans="1:51">
      <c r="A669" s="48"/>
      <c r="B669" s="48"/>
      <c r="C669" s="48"/>
      <c r="D669" s="48"/>
      <c r="E669" s="48"/>
      <c r="F669" s="48"/>
      <c r="G669" s="48"/>
      <c r="H669" s="48"/>
      <c r="I669" s="48"/>
      <c r="J669" s="48"/>
      <c r="K669" s="48"/>
      <c r="L669" s="48"/>
      <c r="M669" s="48"/>
      <c r="N669" s="48"/>
      <c r="O669" s="48"/>
      <c r="P669" s="48"/>
      <c r="Q669" s="48"/>
      <c r="R669" s="48"/>
      <c r="S669" s="48"/>
      <c r="T669" s="48"/>
      <c r="U669" s="48"/>
      <c r="V669" s="48"/>
      <c r="W669" s="48"/>
      <c r="X669" s="48"/>
      <c r="Y669" s="48"/>
      <c r="Z669" s="48"/>
      <c r="AA669" s="48"/>
      <c r="AB669" s="48"/>
      <c r="AC669" s="48"/>
      <c r="AD669" s="48"/>
      <c r="AE669" s="48"/>
      <c r="AF669" s="48"/>
      <c r="AG669" s="48"/>
      <c r="AH669" s="48"/>
      <c r="AI669" s="48"/>
      <c r="AJ669" s="48"/>
      <c r="AK669" s="48"/>
      <c r="AL669" s="48"/>
      <c r="AM669" s="48"/>
      <c r="AN669" s="48"/>
      <c r="AO669" s="48"/>
      <c r="AP669" s="48"/>
      <c r="AQ669" s="48"/>
      <c r="AR669" s="48"/>
      <c r="AS669" s="48"/>
      <c r="AT669" s="48"/>
      <c r="AU669" s="48"/>
      <c r="AV669" s="48"/>
      <c r="AW669" s="48"/>
      <c r="AX669" s="48"/>
      <c r="AY669" s="48"/>
    </row>
    <row r="670" spans="1:51">
      <c r="A670" s="48"/>
      <c r="B670" s="48"/>
      <c r="C670" s="48"/>
      <c r="D670" s="48"/>
      <c r="E670" s="48"/>
      <c r="F670" s="48"/>
      <c r="G670" s="48"/>
      <c r="H670" s="48"/>
      <c r="I670" s="48"/>
      <c r="J670" s="48"/>
      <c r="K670" s="48"/>
      <c r="L670" s="48"/>
      <c r="M670" s="48"/>
      <c r="N670" s="48"/>
      <c r="O670" s="48"/>
      <c r="P670" s="48"/>
      <c r="Q670" s="48"/>
      <c r="R670" s="48"/>
      <c r="S670" s="48"/>
      <c r="T670" s="48"/>
      <c r="U670" s="48"/>
      <c r="V670" s="48"/>
      <c r="W670" s="48"/>
      <c r="X670" s="48"/>
      <c r="Y670" s="48"/>
      <c r="Z670" s="48"/>
      <c r="AA670" s="48"/>
      <c r="AB670" s="48"/>
      <c r="AC670" s="48"/>
      <c r="AD670" s="48"/>
      <c r="AE670" s="48"/>
      <c r="AF670" s="48"/>
      <c r="AG670" s="48"/>
      <c r="AH670" s="48"/>
      <c r="AI670" s="48"/>
      <c r="AJ670" s="48"/>
      <c r="AK670" s="48"/>
      <c r="AL670" s="48"/>
      <c r="AM670" s="48"/>
      <c r="AN670" s="48"/>
      <c r="AO670" s="48"/>
      <c r="AP670" s="48"/>
      <c r="AQ670" s="48"/>
      <c r="AR670" s="48"/>
      <c r="AS670" s="48"/>
      <c r="AT670" s="48"/>
      <c r="AU670" s="48"/>
      <c r="AV670" s="48"/>
      <c r="AW670" s="48"/>
      <c r="AX670" s="48"/>
      <c r="AY670" s="48"/>
    </row>
    <row r="671" spans="1:51">
      <c r="A671" s="48"/>
      <c r="B671" s="48"/>
      <c r="C671" s="48"/>
      <c r="D671" s="48"/>
      <c r="E671" s="48"/>
      <c r="F671" s="48"/>
      <c r="G671" s="48"/>
      <c r="H671" s="48"/>
      <c r="I671" s="48"/>
      <c r="J671" s="48"/>
      <c r="K671" s="48"/>
      <c r="L671" s="48"/>
      <c r="M671" s="48"/>
      <c r="N671" s="48"/>
      <c r="O671" s="48"/>
      <c r="P671" s="48"/>
      <c r="Q671" s="48"/>
      <c r="R671" s="48"/>
      <c r="S671" s="48"/>
      <c r="T671" s="48"/>
      <c r="U671" s="48"/>
      <c r="V671" s="48"/>
      <c r="W671" s="48"/>
      <c r="X671" s="48"/>
      <c r="Y671" s="48"/>
      <c r="Z671" s="48"/>
      <c r="AA671" s="48"/>
      <c r="AB671" s="48"/>
      <c r="AC671" s="48"/>
      <c r="AD671" s="48"/>
      <c r="AE671" s="48"/>
      <c r="AF671" s="48"/>
      <c r="AG671" s="48"/>
      <c r="AH671" s="48"/>
      <c r="AI671" s="48"/>
      <c r="AJ671" s="48"/>
      <c r="AK671" s="48"/>
      <c r="AL671" s="48"/>
      <c r="AM671" s="48"/>
      <c r="AN671" s="48"/>
      <c r="AO671" s="48"/>
      <c r="AP671" s="48"/>
      <c r="AQ671" s="48"/>
      <c r="AR671" s="48"/>
      <c r="AS671" s="48"/>
      <c r="AT671" s="48"/>
      <c r="AU671" s="48"/>
      <c r="AV671" s="48"/>
      <c r="AW671" s="48"/>
      <c r="AX671" s="48"/>
      <c r="AY671" s="48"/>
    </row>
    <row r="672" spans="1:51">
      <c r="A672" s="48"/>
      <c r="B672" s="48"/>
      <c r="C672" s="48"/>
      <c r="D672" s="48"/>
      <c r="E672" s="48"/>
      <c r="F672" s="48"/>
      <c r="G672" s="48"/>
      <c r="H672" s="48"/>
      <c r="I672" s="48"/>
      <c r="J672" s="48"/>
      <c r="K672" s="48"/>
      <c r="L672" s="48"/>
      <c r="M672" s="48"/>
      <c r="N672" s="48"/>
      <c r="O672" s="48"/>
      <c r="P672" s="48"/>
      <c r="Q672" s="48"/>
      <c r="R672" s="48"/>
      <c r="S672" s="48"/>
      <c r="T672" s="48"/>
      <c r="U672" s="48"/>
      <c r="V672" s="48"/>
      <c r="W672" s="48"/>
      <c r="X672" s="48"/>
      <c r="Y672" s="48"/>
      <c r="Z672" s="48"/>
      <c r="AA672" s="48"/>
      <c r="AB672" s="48"/>
      <c r="AC672" s="48"/>
      <c r="AD672" s="48"/>
      <c r="AE672" s="48"/>
      <c r="AF672" s="48"/>
      <c r="AG672" s="48"/>
      <c r="AH672" s="48"/>
      <c r="AI672" s="48"/>
      <c r="AJ672" s="48"/>
      <c r="AK672" s="48"/>
      <c r="AL672" s="48"/>
      <c r="AM672" s="48"/>
      <c r="AN672" s="48"/>
      <c r="AO672" s="48"/>
      <c r="AP672" s="48"/>
      <c r="AQ672" s="48"/>
      <c r="AR672" s="48"/>
      <c r="AS672" s="48"/>
      <c r="AT672" s="48"/>
      <c r="AU672" s="48"/>
      <c r="AV672" s="48"/>
      <c r="AW672" s="48"/>
      <c r="AX672" s="48"/>
      <c r="AY672" s="48"/>
    </row>
    <row r="673" spans="1:51">
      <c r="A673" s="48"/>
      <c r="B673" s="48"/>
      <c r="C673" s="48"/>
      <c r="D673" s="48"/>
      <c r="E673" s="48"/>
      <c r="F673" s="48"/>
      <c r="G673" s="48"/>
      <c r="H673" s="48"/>
      <c r="I673" s="48"/>
      <c r="J673" s="48"/>
      <c r="K673" s="48"/>
      <c r="L673" s="48"/>
      <c r="M673" s="48"/>
      <c r="N673" s="48"/>
      <c r="O673" s="48"/>
      <c r="P673" s="48"/>
      <c r="Q673" s="48"/>
      <c r="R673" s="48"/>
      <c r="S673" s="48"/>
      <c r="T673" s="48"/>
      <c r="U673" s="48"/>
      <c r="V673" s="48"/>
      <c r="W673" s="48"/>
      <c r="X673" s="48"/>
      <c r="Y673" s="48"/>
      <c r="Z673" s="48"/>
      <c r="AA673" s="48"/>
      <c r="AB673" s="48"/>
      <c r="AC673" s="48"/>
      <c r="AD673" s="48"/>
      <c r="AE673" s="48"/>
      <c r="AF673" s="48"/>
      <c r="AG673" s="48"/>
      <c r="AH673" s="48"/>
      <c r="AI673" s="48"/>
      <c r="AJ673" s="48"/>
      <c r="AK673" s="48"/>
      <c r="AL673" s="48"/>
      <c r="AM673" s="48"/>
      <c r="AN673" s="48"/>
      <c r="AO673" s="48"/>
      <c r="AP673" s="48"/>
      <c r="AQ673" s="48"/>
      <c r="AR673" s="48"/>
      <c r="AS673" s="48"/>
      <c r="AT673" s="48"/>
      <c r="AU673" s="48"/>
      <c r="AV673" s="48"/>
      <c r="AW673" s="48"/>
      <c r="AX673" s="48"/>
      <c r="AY673" s="48"/>
    </row>
    <row r="674" spans="1:51">
      <c r="A674" s="48"/>
      <c r="B674" s="48"/>
      <c r="C674" s="48"/>
      <c r="D674" s="48"/>
      <c r="E674" s="48"/>
      <c r="F674" s="48"/>
      <c r="G674" s="48"/>
      <c r="H674" s="48"/>
      <c r="I674" s="48"/>
      <c r="J674" s="48"/>
      <c r="K674" s="48"/>
      <c r="L674" s="48"/>
      <c r="M674" s="48"/>
      <c r="N674" s="48"/>
      <c r="O674" s="48"/>
      <c r="P674" s="48"/>
      <c r="Q674" s="48"/>
      <c r="R674" s="48"/>
      <c r="S674" s="48"/>
      <c r="T674" s="48"/>
      <c r="U674" s="48"/>
      <c r="V674" s="48"/>
      <c r="W674" s="48"/>
      <c r="X674" s="48"/>
      <c r="Y674" s="48"/>
      <c r="Z674" s="48"/>
      <c r="AA674" s="48"/>
      <c r="AB674" s="48"/>
      <c r="AC674" s="48"/>
      <c r="AD674" s="48"/>
      <c r="AE674" s="48"/>
      <c r="AF674" s="48"/>
      <c r="AG674" s="48"/>
      <c r="AH674" s="48"/>
      <c r="AI674" s="48"/>
      <c r="AJ674" s="48"/>
      <c r="AK674" s="48"/>
      <c r="AL674" s="48"/>
      <c r="AM674" s="48"/>
      <c r="AN674" s="48"/>
      <c r="AO674" s="48"/>
      <c r="AP674" s="48"/>
      <c r="AQ674" s="48"/>
      <c r="AR674" s="48"/>
      <c r="AS674" s="48"/>
      <c r="AT674" s="48"/>
      <c r="AU674" s="48"/>
      <c r="AV674" s="48"/>
      <c r="AW674" s="48"/>
      <c r="AX674" s="48"/>
      <c r="AY674" s="48"/>
    </row>
    <row r="675" spans="1:51">
      <c r="A675" s="48"/>
      <c r="B675" s="48"/>
      <c r="C675" s="48"/>
      <c r="D675" s="48"/>
      <c r="E675" s="48"/>
      <c r="F675" s="48"/>
      <c r="G675" s="48"/>
      <c r="H675" s="48"/>
      <c r="I675" s="48"/>
      <c r="J675" s="48"/>
      <c r="K675" s="48"/>
      <c r="L675" s="48"/>
      <c r="M675" s="48"/>
      <c r="N675" s="48"/>
      <c r="O675" s="48"/>
      <c r="P675" s="48"/>
      <c r="Q675" s="48"/>
      <c r="R675" s="48"/>
      <c r="S675" s="48"/>
      <c r="T675" s="48"/>
      <c r="U675" s="48"/>
      <c r="V675" s="48"/>
      <c r="W675" s="48"/>
      <c r="X675" s="48"/>
      <c r="Y675" s="48"/>
      <c r="Z675" s="48"/>
      <c r="AA675" s="48"/>
      <c r="AB675" s="48"/>
      <c r="AC675" s="48"/>
      <c r="AD675" s="48"/>
      <c r="AE675" s="48"/>
      <c r="AF675" s="48"/>
      <c r="AG675" s="48"/>
      <c r="AH675" s="48"/>
      <c r="AI675" s="48"/>
      <c r="AJ675" s="48"/>
      <c r="AK675" s="48"/>
      <c r="AL675" s="48"/>
      <c r="AM675" s="48"/>
      <c r="AN675" s="48"/>
      <c r="AO675" s="48"/>
      <c r="AP675" s="48"/>
      <c r="AQ675" s="48"/>
      <c r="AR675" s="48"/>
      <c r="AS675" s="48"/>
      <c r="AT675" s="48"/>
      <c r="AU675" s="48"/>
      <c r="AV675" s="48"/>
      <c r="AW675" s="48"/>
      <c r="AX675" s="48"/>
      <c r="AY675" s="48"/>
    </row>
    <row r="676" spans="1:51">
      <c r="A676" s="48"/>
      <c r="B676" s="48"/>
      <c r="C676" s="48"/>
      <c r="D676" s="48"/>
      <c r="E676" s="48"/>
      <c r="F676" s="48"/>
      <c r="G676" s="48"/>
      <c r="H676" s="48"/>
      <c r="I676" s="48"/>
      <c r="J676" s="48"/>
      <c r="K676" s="48"/>
      <c r="L676" s="48"/>
      <c r="M676" s="48"/>
      <c r="N676" s="48"/>
      <c r="O676" s="48"/>
      <c r="P676" s="48"/>
      <c r="Q676" s="48"/>
      <c r="R676" s="48"/>
      <c r="S676" s="48"/>
      <c r="T676" s="48"/>
      <c r="U676" s="48"/>
      <c r="V676" s="48"/>
      <c r="W676" s="48"/>
      <c r="X676" s="48"/>
      <c r="Y676" s="48"/>
      <c r="Z676" s="48"/>
      <c r="AA676" s="48"/>
      <c r="AB676" s="48"/>
      <c r="AC676" s="48"/>
      <c r="AD676" s="48"/>
      <c r="AE676" s="48"/>
      <c r="AF676" s="48"/>
      <c r="AG676" s="48"/>
      <c r="AH676" s="48"/>
      <c r="AI676" s="48"/>
      <c r="AJ676" s="48"/>
      <c r="AK676" s="48"/>
      <c r="AL676" s="48"/>
      <c r="AM676" s="48"/>
      <c r="AN676" s="48"/>
      <c r="AO676" s="48"/>
      <c r="AP676" s="48"/>
      <c r="AQ676" s="48"/>
      <c r="AR676" s="48"/>
      <c r="AS676" s="48"/>
      <c r="AT676" s="48"/>
      <c r="AU676" s="48"/>
      <c r="AV676" s="48"/>
      <c r="AW676" s="48"/>
      <c r="AX676" s="48"/>
      <c r="AY676" s="48"/>
    </row>
    <row r="677" spans="1:51">
      <c r="A677" s="48"/>
      <c r="B677" s="48"/>
      <c r="C677" s="48"/>
      <c r="D677" s="48"/>
      <c r="E677" s="48"/>
      <c r="F677" s="48"/>
      <c r="G677" s="48"/>
      <c r="H677" s="48"/>
      <c r="I677" s="48"/>
      <c r="J677" s="48"/>
      <c r="K677" s="48"/>
      <c r="L677" s="48"/>
      <c r="M677" s="48"/>
      <c r="N677" s="48"/>
      <c r="O677" s="48"/>
      <c r="P677" s="48"/>
      <c r="Q677" s="48"/>
      <c r="R677" s="48"/>
      <c r="S677" s="48"/>
      <c r="T677" s="48"/>
      <c r="U677" s="48"/>
      <c r="V677" s="48"/>
      <c r="W677" s="48"/>
      <c r="X677" s="48"/>
      <c r="Y677" s="48"/>
      <c r="Z677" s="48"/>
      <c r="AA677" s="48"/>
      <c r="AB677" s="48"/>
      <c r="AC677" s="48"/>
      <c r="AD677" s="48"/>
      <c r="AE677" s="48"/>
      <c r="AF677" s="48"/>
      <c r="AG677" s="48"/>
      <c r="AH677" s="48"/>
      <c r="AI677" s="48"/>
      <c r="AJ677" s="48"/>
      <c r="AK677" s="48"/>
      <c r="AL677" s="48"/>
      <c r="AM677" s="48"/>
      <c r="AN677" s="48"/>
      <c r="AO677" s="48"/>
      <c r="AP677" s="48"/>
      <c r="AQ677" s="48"/>
      <c r="AR677" s="48"/>
      <c r="AS677" s="48"/>
      <c r="AT677" s="48"/>
      <c r="AU677" s="48"/>
      <c r="AV677" s="48"/>
      <c r="AW677" s="48"/>
      <c r="AX677" s="48"/>
      <c r="AY677" s="48"/>
    </row>
    <row r="678" spans="1:51">
      <c r="A678" s="48"/>
      <c r="B678" s="48"/>
      <c r="C678" s="48"/>
      <c r="D678" s="48"/>
      <c r="E678" s="48"/>
      <c r="F678" s="48"/>
      <c r="G678" s="48"/>
      <c r="H678" s="48"/>
      <c r="I678" s="48"/>
      <c r="J678" s="48"/>
      <c r="K678" s="48"/>
      <c r="L678" s="48"/>
      <c r="M678" s="48"/>
      <c r="N678" s="48"/>
      <c r="O678" s="48"/>
      <c r="P678" s="48"/>
      <c r="Q678" s="48"/>
      <c r="R678" s="48"/>
      <c r="S678" s="48"/>
      <c r="T678" s="48"/>
      <c r="U678" s="48"/>
      <c r="V678" s="48"/>
      <c r="W678" s="48"/>
      <c r="X678" s="48"/>
      <c r="Y678" s="48"/>
      <c r="Z678" s="48"/>
      <c r="AA678" s="48"/>
      <c r="AB678" s="48"/>
      <c r="AC678" s="48"/>
      <c r="AD678" s="48"/>
      <c r="AE678" s="48"/>
      <c r="AF678" s="48"/>
      <c r="AG678" s="48"/>
      <c r="AH678" s="48"/>
      <c r="AI678" s="48"/>
      <c r="AJ678" s="48"/>
      <c r="AK678" s="48"/>
      <c r="AL678" s="48"/>
      <c r="AM678" s="48"/>
      <c r="AN678" s="48"/>
      <c r="AO678" s="48"/>
      <c r="AP678" s="48"/>
      <c r="AQ678" s="48"/>
      <c r="AR678" s="48"/>
      <c r="AS678" s="48"/>
      <c r="AT678" s="48"/>
      <c r="AU678" s="48"/>
      <c r="AV678" s="48"/>
      <c r="AW678" s="48"/>
      <c r="AX678" s="48"/>
      <c r="AY678" s="48"/>
    </row>
    <row r="679" spans="1:51">
      <c r="A679" s="48"/>
      <c r="B679" s="48"/>
      <c r="C679" s="48"/>
      <c r="D679" s="48"/>
      <c r="E679" s="48"/>
      <c r="F679" s="48"/>
      <c r="G679" s="48"/>
      <c r="H679" s="48"/>
      <c r="I679" s="48"/>
      <c r="J679" s="48"/>
      <c r="K679" s="48"/>
      <c r="L679" s="48"/>
      <c r="M679" s="48"/>
      <c r="N679" s="48"/>
      <c r="O679" s="48"/>
      <c r="P679" s="48"/>
      <c r="Q679" s="48"/>
      <c r="R679" s="48"/>
      <c r="S679" s="48"/>
      <c r="T679" s="48"/>
      <c r="U679" s="48"/>
      <c r="V679" s="48"/>
      <c r="W679" s="48"/>
      <c r="X679" s="48"/>
      <c r="Y679" s="48"/>
      <c r="Z679" s="48"/>
      <c r="AA679" s="48"/>
      <c r="AB679" s="48"/>
      <c r="AC679" s="48"/>
      <c r="AD679" s="48"/>
      <c r="AE679" s="48"/>
      <c r="AF679" s="48"/>
      <c r="AG679" s="48"/>
      <c r="AH679" s="48"/>
      <c r="AI679" s="48"/>
      <c r="AJ679" s="48"/>
      <c r="AK679" s="48"/>
      <c r="AL679" s="48"/>
      <c r="AM679" s="48"/>
      <c r="AN679" s="48"/>
      <c r="AO679" s="48"/>
      <c r="AP679" s="48"/>
      <c r="AQ679" s="48"/>
      <c r="AR679" s="48"/>
      <c r="AS679" s="48"/>
      <c r="AT679" s="48"/>
      <c r="AU679" s="48"/>
      <c r="AV679" s="48"/>
      <c r="AW679" s="48"/>
      <c r="AX679" s="48"/>
      <c r="AY679" s="48"/>
    </row>
    <row r="680" spans="1:51">
      <c r="A680" s="48"/>
      <c r="B680" s="48"/>
      <c r="C680" s="48"/>
      <c r="D680" s="48"/>
      <c r="E680" s="48"/>
      <c r="F680" s="48"/>
      <c r="G680" s="48"/>
      <c r="H680" s="48"/>
      <c r="I680" s="48"/>
      <c r="J680" s="48"/>
      <c r="K680" s="48"/>
      <c r="L680" s="48"/>
      <c r="M680" s="48"/>
      <c r="N680" s="48"/>
      <c r="O680" s="48"/>
      <c r="P680" s="48"/>
      <c r="Q680" s="48"/>
      <c r="R680" s="48"/>
      <c r="S680" s="48"/>
      <c r="T680" s="48"/>
      <c r="U680" s="48"/>
      <c r="V680" s="48"/>
      <c r="W680" s="48"/>
      <c r="X680" s="48"/>
      <c r="Y680" s="48"/>
      <c r="Z680" s="48"/>
      <c r="AA680" s="48"/>
      <c r="AB680" s="48"/>
      <c r="AC680" s="48"/>
      <c r="AD680" s="48"/>
      <c r="AE680" s="48"/>
      <c r="AF680" s="48"/>
      <c r="AG680" s="48"/>
      <c r="AH680" s="48"/>
      <c r="AI680" s="48"/>
      <c r="AJ680" s="48"/>
      <c r="AK680" s="48"/>
      <c r="AL680" s="48"/>
      <c r="AM680" s="48"/>
      <c r="AN680" s="48"/>
      <c r="AO680" s="48"/>
      <c r="AP680" s="48"/>
      <c r="AQ680" s="48"/>
      <c r="AR680" s="48"/>
      <c r="AS680" s="48"/>
      <c r="AT680" s="48"/>
      <c r="AU680" s="48"/>
      <c r="AV680" s="48"/>
      <c r="AW680" s="48"/>
      <c r="AX680" s="48"/>
      <c r="AY680" s="48"/>
    </row>
    <row r="681" spans="1:51">
      <c r="A681" s="48"/>
      <c r="B681" s="48"/>
      <c r="C681" s="48"/>
      <c r="D681" s="48"/>
      <c r="E681" s="48"/>
      <c r="F681" s="48"/>
      <c r="G681" s="48"/>
      <c r="H681" s="48"/>
      <c r="I681" s="48"/>
      <c r="J681" s="48"/>
      <c r="K681" s="48"/>
      <c r="L681" s="48"/>
      <c r="M681" s="48"/>
      <c r="N681" s="48"/>
      <c r="O681" s="48"/>
      <c r="P681" s="48"/>
      <c r="Q681" s="48"/>
      <c r="R681" s="48"/>
      <c r="S681" s="48"/>
      <c r="T681" s="48"/>
      <c r="U681" s="48"/>
      <c r="V681" s="48"/>
      <c r="W681" s="48"/>
      <c r="X681" s="48"/>
      <c r="Y681" s="48"/>
      <c r="Z681" s="48"/>
      <c r="AA681" s="48"/>
      <c r="AB681" s="48"/>
      <c r="AC681" s="48"/>
      <c r="AD681" s="48"/>
      <c r="AE681" s="48"/>
      <c r="AF681" s="48"/>
      <c r="AG681" s="48"/>
      <c r="AH681" s="48"/>
      <c r="AI681" s="48"/>
      <c r="AJ681" s="48"/>
      <c r="AK681" s="48"/>
      <c r="AL681" s="48"/>
      <c r="AM681" s="48"/>
      <c r="AN681" s="48"/>
      <c r="AO681" s="48"/>
      <c r="AP681" s="48"/>
      <c r="AQ681" s="48"/>
      <c r="AR681" s="48"/>
      <c r="AS681" s="48"/>
      <c r="AT681" s="48"/>
      <c r="AU681" s="48"/>
      <c r="AV681" s="48"/>
      <c r="AW681" s="48"/>
      <c r="AX681" s="48"/>
      <c r="AY681" s="48"/>
    </row>
    <row r="682" spans="1:51">
      <c r="A682" s="48"/>
      <c r="B682" s="48"/>
      <c r="C682" s="48"/>
      <c r="D682" s="48"/>
      <c r="E682" s="48"/>
      <c r="F682" s="48"/>
      <c r="G682" s="48"/>
      <c r="H682" s="48"/>
      <c r="I682" s="48"/>
      <c r="J682" s="48"/>
      <c r="K682" s="48"/>
      <c r="L682" s="48"/>
      <c r="M682" s="48"/>
      <c r="N682" s="48"/>
      <c r="O682" s="48"/>
      <c r="P682" s="48"/>
      <c r="Q682" s="48"/>
      <c r="R682" s="48"/>
      <c r="S682" s="48"/>
      <c r="T682" s="48"/>
      <c r="U682" s="48"/>
      <c r="V682" s="48"/>
      <c r="W682" s="48"/>
      <c r="X682" s="48"/>
      <c r="Y682" s="48"/>
      <c r="Z682" s="48"/>
      <c r="AA682" s="48"/>
      <c r="AB682" s="48"/>
      <c r="AC682" s="48"/>
      <c r="AD682" s="48"/>
      <c r="AE682" s="48"/>
      <c r="AF682" s="48"/>
      <c r="AG682" s="48"/>
      <c r="AH682" s="48"/>
      <c r="AI682" s="48"/>
      <c r="AJ682" s="48"/>
      <c r="AK682" s="48"/>
      <c r="AL682" s="48"/>
      <c r="AM682" s="48"/>
      <c r="AN682" s="48"/>
      <c r="AO682" s="48"/>
      <c r="AP682" s="48"/>
      <c r="AQ682" s="48"/>
      <c r="AR682" s="48"/>
      <c r="AS682" s="48"/>
      <c r="AT682" s="48"/>
      <c r="AU682" s="48"/>
      <c r="AV682" s="48"/>
      <c r="AW682" s="48"/>
      <c r="AX682" s="48"/>
      <c r="AY682" s="48"/>
    </row>
    <row r="683" spans="1:51">
      <c r="A683" s="48"/>
      <c r="B683" s="48"/>
      <c r="C683" s="48"/>
      <c r="D683" s="48"/>
      <c r="E683" s="48"/>
      <c r="F683" s="48"/>
      <c r="G683" s="48"/>
      <c r="H683" s="48"/>
      <c r="I683" s="48"/>
      <c r="J683" s="48"/>
      <c r="K683" s="48"/>
      <c r="L683" s="48"/>
      <c r="M683" s="48"/>
      <c r="N683" s="48"/>
      <c r="O683" s="48"/>
      <c r="P683" s="48"/>
      <c r="Q683" s="48"/>
      <c r="R683" s="48"/>
      <c r="S683" s="48"/>
      <c r="T683" s="48"/>
      <c r="U683" s="48"/>
      <c r="V683" s="48"/>
      <c r="W683" s="48"/>
      <c r="X683" s="48"/>
      <c r="Y683" s="48"/>
      <c r="Z683" s="48"/>
      <c r="AA683" s="48"/>
      <c r="AB683" s="48"/>
      <c r="AC683" s="48"/>
      <c r="AD683" s="48"/>
      <c r="AE683" s="48"/>
      <c r="AF683" s="48"/>
      <c r="AG683" s="48"/>
      <c r="AH683" s="48"/>
      <c r="AI683" s="48"/>
      <c r="AJ683" s="48"/>
      <c r="AK683" s="48"/>
      <c r="AL683" s="48"/>
      <c r="AM683" s="48"/>
      <c r="AN683" s="48"/>
      <c r="AO683" s="48"/>
      <c r="AP683" s="48"/>
      <c r="AQ683" s="48"/>
      <c r="AR683" s="48"/>
      <c r="AS683" s="48"/>
      <c r="AT683" s="48"/>
      <c r="AU683" s="48"/>
      <c r="AV683" s="48"/>
      <c r="AW683" s="48"/>
      <c r="AX683" s="48"/>
      <c r="AY683" s="48"/>
    </row>
    <row r="684" spans="1:51">
      <c r="A684" s="48"/>
      <c r="B684" s="48"/>
      <c r="C684" s="48"/>
      <c r="D684" s="48"/>
      <c r="E684" s="48"/>
      <c r="F684" s="48"/>
      <c r="G684" s="48"/>
      <c r="H684" s="48"/>
      <c r="I684" s="48"/>
      <c r="J684" s="48"/>
      <c r="K684" s="48"/>
      <c r="L684" s="48"/>
      <c r="M684" s="48"/>
      <c r="N684" s="48"/>
      <c r="O684" s="48"/>
      <c r="P684" s="48"/>
      <c r="Q684" s="48"/>
      <c r="R684" s="48"/>
      <c r="S684" s="48"/>
      <c r="T684" s="48"/>
      <c r="U684" s="48"/>
      <c r="V684" s="48"/>
      <c r="W684" s="48"/>
      <c r="X684" s="48"/>
      <c r="Y684" s="48"/>
      <c r="Z684" s="48"/>
      <c r="AA684" s="48"/>
      <c r="AB684" s="48"/>
      <c r="AC684" s="48"/>
      <c r="AD684" s="48"/>
      <c r="AE684" s="48"/>
      <c r="AF684" s="48"/>
      <c r="AG684" s="48"/>
      <c r="AH684" s="48"/>
      <c r="AI684" s="48"/>
      <c r="AJ684" s="48"/>
      <c r="AK684" s="48"/>
      <c r="AL684" s="48"/>
      <c r="AM684" s="48"/>
      <c r="AN684" s="48"/>
      <c r="AO684" s="48"/>
      <c r="AP684" s="48"/>
      <c r="AQ684" s="48"/>
      <c r="AR684" s="48"/>
      <c r="AS684" s="48"/>
      <c r="AT684" s="48"/>
      <c r="AU684" s="48"/>
      <c r="AV684" s="48"/>
      <c r="AW684" s="48"/>
      <c r="AX684" s="48"/>
      <c r="AY684" s="48"/>
    </row>
    <row r="685" spans="1:51">
      <c r="A685" s="48"/>
      <c r="B685" s="48"/>
      <c r="C685" s="48"/>
      <c r="D685" s="48"/>
      <c r="E685" s="48"/>
      <c r="F685" s="48"/>
      <c r="G685" s="48"/>
      <c r="H685" s="48"/>
      <c r="I685" s="48"/>
      <c r="J685" s="48"/>
      <c r="K685" s="48"/>
      <c r="L685" s="48"/>
      <c r="M685" s="48"/>
      <c r="N685" s="48"/>
      <c r="O685" s="48"/>
      <c r="P685" s="48"/>
      <c r="Q685" s="48"/>
      <c r="R685" s="48"/>
      <c r="S685" s="48"/>
      <c r="T685" s="48"/>
      <c r="U685" s="48"/>
      <c r="V685" s="48"/>
      <c r="W685" s="48"/>
      <c r="X685" s="48"/>
      <c r="Y685" s="48"/>
      <c r="Z685" s="48"/>
      <c r="AA685" s="48"/>
      <c r="AB685" s="48"/>
      <c r="AC685" s="48"/>
      <c r="AD685" s="48"/>
      <c r="AE685" s="48"/>
      <c r="AF685" s="48"/>
      <c r="AG685" s="48"/>
      <c r="AH685" s="48"/>
      <c r="AI685" s="48"/>
      <c r="AJ685" s="48"/>
      <c r="AK685" s="48"/>
      <c r="AL685" s="48"/>
      <c r="AM685" s="48"/>
      <c r="AN685" s="48"/>
      <c r="AO685" s="48"/>
      <c r="AP685" s="48"/>
      <c r="AQ685" s="48"/>
      <c r="AR685" s="48"/>
      <c r="AS685" s="48"/>
      <c r="AT685" s="48"/>
      <c r="AU685" s="48"/>
      <c r="AV685" s="48"/>
      <c r="AW685" s="48"/>
      <c r="AX685" s="48"/>
      <c r="AY685" s="48"/>
    </row>
    <row r="686" spans="1:51">
      <c r="A686" s="48"/>
      <c r="B686" s="48"/>
      <c r="C686" s="48"/>
      <c r="D686" s="48"/>
      <c r="E686" s="48"/>
      <c r="F686" s="48"/>
      <c r="G686" s="48"/>
      <c r="H686" s="48"/>
      <c r="I686" s="48"/>
      <c r="J686" s="48"/>
      <c r="K686" s="48"/>
      <c r="L686" s="48"/>
      <c r="M686" s="48"/>
      <c r="N686" s="48"/>
      <c r="O686" s="48"/>
      <c r="P686" s="48"/>
      <c r="Q686" s="48"/>
      <c r="R686" s="48"/>
      <c r="S686" s="48"/>
      <c r="T686" s="48"/>
      <c r="U686" s="48"/>
      <c r="V686" s="48"/>
      <c r="W686" s="48"/>
      <c r="X686" s="48"/>
      <c r="Y686" s="48"/>
      <c r="Z686" s="48"/>
      <c r="AA686" s="48"/>
      <c r="AB686" s="48"/>
      <c r="AC686" s="48"/>
      <c r="AD686" s="48"/>
      <c r="AE686" s="48"/>
      <c r="AF686" s="48"/>
      <c r="AG686" s="48"/>
      <c r="AH686" s="48"/>
      <c r="AI686" s="48"/>
      <c r="AJ686" s="48"/>
      <c r="AK686" s="48"/>
      <c r="AL686" s="48"/>
      <c r="AM686" s="48"/>
      <c r="AN686" s="48"/>
      <c r="AO686" s="48"/>
      <c r="AP686" s="48"/>
      <c r="AQ686" s="48"/>
      <c r="AR686" s="48"/>
      <c r="AS686" s="48"/>
      <c r="AT686" s="48"/>
      <c r="AU686" s="48"/>
      <c r="AV686" s="48"/>
      <c r="AW686" s="48"/>
      <c r="AX686" s="48"/>
      <c r="AY686" s="48"/>
    </row>
    <row r="687" spans="1:51">
      <c r="A687" s="48"/>
      <c r="B687" s="48"/>
      <c r="C687" s="48"/>
      <c r="D687" s="48"/>
      <c r="E687" s="48"/>
      <c r="F687" s="48"/>
      <c r="G687" s="48"/>
      <c r="H687" s="48"/>
      <c r="I687" s="48"/>
      <c r="J687" s="48"/>
      <c r="K687" s="48"/>
      <c r="L687" s="48"/>
      <c r="M687" s="48"/>
      <c r="N687" s="48"/>
      <c r="O687" s="48"/>
      <c r="P687" s="48"/>
      <c r="Q687" s="48"/>
      <c r="R687" s="48"/>
      <c r="S687" s="48"/>
      <c r="T687" s="48"/>
      <c r="U687" s="48"/>
      <c r="V687" s="48"/>
      <c r="W687" s="48"/>
      <c r="X687" s="48"/>
      <c r="Y687" s="48"/>
      <c r="Z687" s="48"/>
      <c r="AA687" s="48"/>
      <c r="AB687" s="48"/>
      <c r="AC687" s="48"/>
      <c r="AD687" s="48"/>
      <c r="AE687" s="48"/>
      <c r="AF687" s="48"/>
      <c r="AG687" s="48"/>
      <c r="AH687" s="48"/>
      <c r="AI687" s="48"/>
      <c r="AJ687" s="48"/>
      <c r="AK687" s="48"/>
      <c r="AL687" s="48"/>
      <c r="AM687" s="48"/>
      <c r="AN687" s="48"/>
      <c r="AO687" s="48"/>
      <c r="AP687" s="48"/>
      <c r="AQ687" s="48"/>
      <c r="AR687" s="48"/>
      <c r="AS687" s="48"/>
      <c r="AT687" s="48"/>
      <c r="AU687" s="48"/>
      <c r="AV687" s="48"/>
      <c r="AW687" s="48"/>
      <c r="AX687" s="48"/>
      <c r="AY687" s="48"/>
    </row>
    <row r="688" spans="1:51">
      <c r="A688" s="48"/>
      <c r="B688" s="48"/>
      <c r="C688" s="48"/>
      <c r="D688" s="48"/>
      <c r="E688" s="48"/>
      <c r="F688" s="48"/>
      <c r="G688" s="48"/>
      <c r="H688" s="48"/>
      <c r="I688" s="48"/>
      <c r="J688" s="48"/>
      <c r="K688" s="48"/>
      <c r="L688" s="48"/>
      <c r="M688" s="48"/>
      <c r="N688" s="48"/>
      <c r="O688" s="48"/>
      <c r="P688" s="48"/>
      <c r="Q688" s="48"/>
      <c r="R688" s="48"/>
      <c r="S688" s="48"/>
      <c r="T688" s="48"/>
      <c r="U688" s="48"/>
      <c r="V688" s="48"/>
      <c r="W688" s="48"/>
      <c r="X688" s="48"/>
      <c r="Y688" s="48"/>
      <c r="Z688" s="48"/>
      <c r="AA688" s="48"/>
      <c r="AB688" s="48"/>
      <c r="AC688" s="48"/>
      <c r="AD688" s="48"/>
      <c r="AE688" s="48"/>
      <c r="AF688" s="48"/>
      <c r="AG688" s="48"/>
      <c r="AH688" s="48"/>
      <c r="AI688" s="48"/>
      <c r="AJ688" s="48"/>
      <c r="AK688" s="48"/>
      <c r="AL688" s="48"/>
      <c r="AM688" s="48"/>
      <c r="AN688" s="48"/>
      <c r="AO688" s="48"/>
      <c r="AP688" s="48"/>
      <c r="AQ688" s="48"/>
      <c r="AR688" s="48"/>
      <c r="AS688" s="48"/>
      <c r="AT688" s="48"/>
      <c r="AU688" s="48"/>
      <c r="AV688" s="48"/>
      <c r="AW688" s="48"/>
      <c r="AX688" s="48"/>
      <c r="AY688" s="48"/>
    </row>
    <row r="689" spans="1:51">
      <c r="A689" s="48"/>
      <c r="B689" s="48"/>
      <c r="C689" s="48"/>
      <c r="D689" s="48"/>
      <c r="E689" s="48"/>
      <c r="F689" s="48"/>
      <c r="G689" s="48"/>
      <c r="H689" s="48"/>
      <c r="I689" s="48"/>
      <c r="J689" s="48"/>
      <c r="K689" s="48"/>
      <c r="L689" s="48"/>
      <c r="M689" s="48"/>
      <c r="N689" s="48"/>
      <c r="O689" s="48"/>
      <c r="P689" s="48"/>
      <c r="Q689" s="48"/>
      <c r="R689" s="48"/>
      <c r="S689" s="48"/>
      <c r="T689" s="48"/>
      <c r="U689" s="48"/>
      <c r="V689" s="48"/>
      <c r="W689" s="48"/>
      <c r="X689" s="48"/>
      <c r="Y689" s="48"/>
      <c r="Z689" s="48"/>
      <c r="AA689" s="48"/>
      <c r="AB689" s="48"/>
      <c r="AC689" s="48"/>
      <c r="AD689" s="48"/>
      <c r="AE689" s="48"/>
      <c r="AF689" s="48"/>
      <c r="AG689" s="48"/>
      <c r="AH689" s="48"/>
      <c r="AI689" s="48"/>
      <c r="AJ689" s="48"/>
      <c r="AK689" s="48"/>
      <c r="AL689" s="48"/>
      <c r="AM689" s="48"/>
      <c r="AN689" s="48"/>
      <c r="AO689" s="48"/>
      <c r="AP689" s="48"/>
      <c r="AQ689" s="48"/>
      <c r="AR689" s="48"/>
      <c r="AS689" s="48"/>
      <c r="AT689" s="48"/>
      <c r="AU689" s="48"/>
      <c r="AV689" s="48"/>
      <c r="AW689" s="48"/>
      <c r="AX689" s="48"/>
      <c r="AY689" s="48"/>
    </row>
    <row r="690" spans="1:51">
      <c r="A690" s="48"/>
      <c r="B690" s="48"/>
      <c r="C690" s="48"/>
      <c r="D690" s="48"/>
      <c r="E690" s="48"/>
      <c r="F690" s="48"/>
      <c r="G690" s="48"/>
      <c r="H690" s="48"/>
      <c r="I690" s="48"/>
      <c r="J690" s="48"/>
      <c r="K690" s="48"/>
      <c r="L690" s="48"/>
      <c r="M690" s="48"/>
      <c r="N690" s="48"/>
      <c r="O690" s="48"/>
      <c r="P690" s="48"/>
      <c r="Q690" s="48"/>
      <c r="R690" s="48"/>
      <c r="S690" s="48"/>
      <c r="T690" s="48"/>
      <c r="U690" s="48"/>
      <c r="V690" s="48"/>
      <c r="W690" s="48"/>
      <c r="X690" s="48"/>
      <c r="Y690" s="48"/>
      <c r="Z690" s="48"/>
      <c r="AA690" s="48"/>
      <c r="AB690" s="48"/>
      <c r="AC690" s="48"/>
      <c r="AD690" s="48"/>
      <c r="AE690" s="48"/>
      <c r="AF690" s="48"/>
      <c r="AG690" s="48"/>
      <c r="AH690" s="48"/>
      <c r="AI690" s="48"/>
      <c r="AJ690" s="48"/>
      <c r="AK690" s="48"/>
      <c r="AL690" s="48"/>
      <c r="AM690" s="48"/>
      <c r="AN690" s="48"/>
      <c r="AO690" s="48"/>
      <c r="AP690" s="48"/>
      <c r="AQ690" s="48"/>
      <c r="AR690" s="48"/>
      <c r="AS690" s="48"/>
      <c r="AT690" s="48"/>
      <c r="AU690" s="48"/>
      <c r="AV690" s="48"/>
      <c r="AW690" s="48"/>
      <c r="AX690" s="48"/>
      <c r="AY690" s="48"/>
    </row>
    <row r="691" spans="1:51">
      <c r="A691" s="48"/>
      <c r="B691" s="48"/>
      <c r="C691" s="48"/>
      <c r="D691" s="48"/>
      <c r="E691" s="48"/>
      <c r="F691" s="48"/>
      <c r="G691" s="48"/>
      <c r="H691" s="48"/>
      <c r="I691" s="48"/>
      <c r="J691" s="48"/>
      <c r="K691" s="48"/>
      <c r="L691" s="48"/>
      <c r="M691" s="48"/>
      <c r="N691" s="48"/>
      <c r="O691" s="48"/>
      <c r="P691" s="48"/>
      <c r="Q691" s="48"/>
      <c r="R691" s="48"/>
      <c r="S691" s="48"/>
      <c r="T691" s="48"/>
      <c r="U691" s="48"/>
      <c r="V691" s="48"/>
      <c r="W691" s="48"/>
      <c r="X691" s="48"/>
      <c r="Y691" s="48"/>
      <c r="Z691" s="48"/>
      <c r="AA691" s="48"/>
      <c r="AB691" s="48"/>
      <c r="AC691" s="48"/>
      <c r="AD691" s="48"/>
      <c r="AE691" s="48"/>
      <c r="AF691" s="48"/>
      <c r="AG691" s="48"/>
      <c r="AH691" s="48"/>
      <c r="AI691" s="48"/>
      <c r="AJ691" s="48"/>
      <c r="AK691" s="48"/>
      <c r="AL691" s="48"/>
      <c r="AM691" s="48"/>
      <c r="AN691" s="48"/>
      <c r="AO691" s="48"/>
      <c r="AP691" s="48"/>
      <c r="AQ691" s="48"/>
      <c r="AR691" s="48"/>
      <c r="AS691" s="48"/>
      <c r="AT691" s="48"/>
      <c r="AU691" s="48"/>
      <c r="AV691" s="48"/>
      <c r="AW691" s="48"/>
      <c r="AX691" s="48"/>
      <c r="AY691" s="48"/>
    </row>
    <row r="692" spans="1:51">
      <c r="A692" s="48"/>
      <c r="B692" s="48"/>
      <c r="C692" s="48"/>
      <c r="D692" s="48"/>
      <c r="E692" s="48"/>
      <c r="F692" s="48"/>
      <c r="G692" s="48"/>
      <c r="H692" s="48"/>
      <c r="I692" s="48"/>
      <c r="J692" s="48"/>
      <c r="K692" s="48"/>
      <c r="L692" s="48"/>
      <c r="M692" s="48"/>
      <c r="N692" s="48"/>
      <c r="O692" s="48"/>
      <c r="P692" s="48"/>
      <c r="Q692" s="48"/>
      <c r="R692" s="48"/>
      <c r="S692" s="48"/>
      <c r="T692" s="48"/>
      <c r="U692" s="48"/>
      <c r="V692" s="48"/>
      <c r="W692" s="48"/>
      <c r="X692" s="48"/>
      <c r="Y692" s="48"/>
      <c r="Z692" s="48"/>
      <c r="AA692" s="48"/>
      <c r="AB692" s="48"/>
      <c r="AC692" s="48"/>
      <c r="AD692" s="48"/>
      <c r="AE692" s="48"/>
      <c r="AF692" s="48"/>
      <c r="AG692" s="48"/>
      <c r="AH692" s="48"/>
      <c r="AI692" s="48"/>
      <c r="AJ692" s="48"/>
      <c r="AK692" s="48"/>
      <c r="AL692" s="48"/>
      <c r="AM692" s="48"/>
      <c r="AN692" s="48"/>
      <c r="AO692" s="48"/>
      <c r="AP692" s="48"/>
      <c r="AQ692" s="48"/>
      <c r="AR692" s="48"/>
      <c r="AS692" s="48"/>
      <c r="AT692" s="48"/>
      <c r="AU692" s="48"/>
      <c r="AV692" s="48"/>
      <c r="AW692" s="48"/>
      <c r="AX692" s="48"/>
      <c r="AY692" s="48"/>
    </row>
    <row r="693" spans="1:51">
      <c r="A693" s="48"/>
      <c r="B693" s="48"/>
      <c r="C693" s="48"/>
      <c r="D693" s="48"/>
      <c r="E693" s="48"/>
      <c r="F693" s="48"/>
      <c r="G693" s="48"/>
      <c r="H693" s="48"/>
      <c r="I693" s="48"/>
      <c r="J693" s="48"/>
      <c r="K693" s="48"/>
      <c r="L693" s="48"/>
      <c r="M693" s="48"/>
      <c r="N693" s="48"/>
      <c r="O693" s="48"/>
      <c r="P693" s="48"/>
      <c r="Q693" s="48"/>
      <c r="R693" s="48"/>
      <c r="S693" s="48"/>
      <c r="T693" s="48"/>
      <c r="U693" s="48"/>
      <c r="V693" s="48"/>
      <c r="W693" s="48"/>
      <c r="X693" s="48"/>
      <c r="Y693" s="48"/>
      <c r="Z693" s="48"/>
      <c r="AA693" s="48"/>
      <c r="AB693" s="48"/>
      <c r="AC693" s="48"/>
      <c r="AD693" s="48"/>
      <c r="AE693" s="48"/>
      <c r="AF693" s="48"/>
      <c r="AG693" s="48"/>
      <c r="AH693" s="48"/>
      <c r="AI693" s="48"/>
      <c r="AJ693" s="48"/>
      <c r="AK693" s="48"/>
      <c r="AL693" s="48"/>
      <c r="AM693" s="48"/>
      <c r="AN693" s="48"/>
      <c r="AO693" s="48"/>
      <c r="AP693" s="48"/>
      <c r="AQ693" s="48"/>
      <c r="AR693" s="48"/>
      <c r="AS693" s="48"/>
      <c r="AT693" s="48"/>
      <c r="AU693" s="48"/>
      <c r="AV693" s="48"/>
      <c r="AW693" s="48"/>
      <c r="AX693" s="48"/>
      <c r="AY693" s="48"/>
    </row>
    <row r="694" spans="1:51">
      <c r="A694" s="48"/>
      <c r="B694" s="48"/>
      <c r="C694" s="48"/>
      <c r="D694" s="48"/>
      <c r="E694" s="48"/>
      <c r="F694" s="48"/>
      <c r="G694" s="48"/>
      <c r="H694" s="48"/>
      <c r="I694" s="48"/>
      <c r="J694" s="48"/>
      <c r="K694" s="48"/>
      <c r="L694" s="48"/>
      <c r="M694" s="48"/>
      <c r="N694" s="48"/>
      <c r="O694" s="48"/>
      <c r="P694" s="48"/>
      <c r="Q694" s="48"/>
      <c r="R694" s="48"/>
      <c r="S694" s="48"/>
      <c r="T694" s="48"/>
      <c r="U694" s="48"/>
      <c r="V694" s="48"/>
      <c r="W694" s="48"/>
      <c r="X694" s="48"/>
      <c r="Y694" s="48"/>
      <c r="Z694" s="48"/>
      <c r="AA694" s="48"/>
      <c r="AB694" s="48"/>
      <c r="AC694" s="48"/>
      <c r="AD694" s="48"/>
      <c r="AE694" s="48"/>
      <c r="AF694" s="48"/>
      <c r="AG694" s="48"/>
      <c r="AH694" s="48"/>
      <c r="AI694" s="48"/>
      <c r="AJ694" s="48"/>
      <c r="AK694" s="48"/>
      <c r="AL694" s="48"/>
      <c r="AM694" s="48"/>
      <c r="AN694" s="48"/>
      <c r="AO694" s="48"/>
      <c r="AP694" s="48"/>
      <c r="AQ694" s="48"/>
      <c r="AR694" s="48"/>
      <c r="AS694" s="48"/>
      <c r="AT694" s="48"/>
      <c r="AU694" s="48"/>
      <c r="AV694" s="48"/>
      <c r="AW694" s="48"/>
      <c r="AX694" s="48"/>
      <c r="AY694" s="48"/>
    </row>
    <row r="695" spans="1:51">
      <c r="A695" s="48"/>
      <c r="B695" s="48"/>
      <c r="C695" s="48"/>
      <c r="D695" s="48"/>
      <c r="E695" s="48"/>
      <c r="F695" s="48"/>
      <c r="G695" s="48"/>
      <c r="H695" s="48"/>
      <c r="I695" s="48"/>
      <c r="J695" s="48"/>
      <c r="K695" s="48"/>
      <c r="L695" s="48"/>
      <c r="M695" s="48"/>
      <c r="N695" s="48"/>
      <c r="O695" s="48"/>
      <c r="P695" s="48"/>
      <c r="Q695" s="48"/>
      <c r="R695" s="48"/>
      <c r="S695" s="48"/>
      <c r="T695" s="48"/>
      <c r="U695" s="48"/>
      <c r="V695" s="48"/>
      <c r="W695" s="48"/>
      <c r="X695" s="48"/>
      <c r="Y695" s="48"/>
      <c r="Z695" s="48"/>
      <c r="AA695" s="48"/>
      <c r="AB695" s="48"/>
      <c r="AC695" s="48"/>
      <c r="AD695" s="48"/>
      <c r="AE695" s="48"/>
      <c r="AF695" s="48"/>
      <c r="AG695" s="48"/>
      <c r="AH695" s="48"/>
      <c r="AI695" s="48"/>
      <c r="AJ695" s="48"/>
      <c r="AK695" s="48"/>
      <c r="AL695" s="48"/>
      <c r="AM695" s="48"/>
      <c r="AN695" s="48"/>
      <c r="AO695" s="48"/>
      <c r="AP695" s="48"/>
      <c r="AQ695" s="48"/>
      <c r="AR695" s="48"/>
      <c r="AS695" s="48"/>
      <c r="AT695" s="48"/>
      <c r="AU695" s="48"/>
      <c r="AV695" s="48"/>
      <c r="AW695" s="48"/>
      <c r="AX695" s="48"/>
      <c r="AY695" s="48"/>
    </row>
    <row r="696" spans="1:51">
      <c r="A696" s="48"/>
      <c r="B696" s="48"/>
      <c r="C696" s="48"/>
      <c r="D696" s="48"/>
      <c r="E696" s="48"/>
      <c r="F696" s="48"/>
      <c r="G696" s="48"/>
      <c r="H696" s="48"/>
      <c r="I696" s="48"/>
      <c r="J696" s="48"/>
      <c r="K696" s="48"/>
      <c r="L696" s="48"/>
      <c r="M696" s="48"/>
      <c r="N696" s="48"/>
      <c r="O696" s="48"/>
      <c r="P696" s="48"/>
      <c r="Q696" s="48"/>
      <c r="R696" s="48"/>
      <c r="S696" s="48"/>
      <c r="T696" s="48"/>
      <c r="U696" s="48"/>
      <c r="V696" s="48"/>
      <c r="W696" s="48"/>
      <c r="X696" s="48"/>
      <c r="Y696" s="48"/>
      <c r="Z696" s="48"/>
      <c r="AA696" s="48"/>
      <c r="AB696" s="48"/>
      <c r="AC696" s="48"/>
      <c r="AD696" s="48"/>
      <c r="AE696" s="48"/>
      <c r="AF696" s="48"/>
      <c r="AG696" s="48"/>
      <c r="AH696" s="48"/>
      <c r="AI696" s="48"/>
      <c r="AJ696" s="48"/>
      <c r="AK696" s="48"/>
      <c r="AL696" s="48"/>
      <c r="AM696" s="48"/>
      <c r="AN696" s="48"/>
      <c r="AO696" s="48"/>
      <c r="AP696" s="48"/>
      <c r="AQ696" s="48"/>
      <c r="AR696" s="48"/>
      <c r="AS696" s="48"/>
      <c r="AT696" s="48"/>
      <c r="AU696" s="48"/>
      <c r="AV696" s="48"/>
      <c r="AW696" s="48"/>
      <c r="AX696" s="48"/>
      <c r="AY696" s="48"/>
    </row>
    <row r="697" spans="1:51">
      <c r="A697" s="48"/>
      <c r="B697" s="48"/>
      <c r="C697" s="48"/>
      <c r="D697" s="48"/>
      <c r="E697" s="48"/>
      <c r="F697" s="48"/>
      <c r="G697" s="48"/>
      <c r="H697" s="48"/>
      <c r="I697" s="48"/>
      <c r="J697" s="48"/>
      <c r="K697" s="48"/>
      <c r="L697" s="48"/>
      <c r="M697" s="48"/>
      <c r="N697" s="48"/>
      <c r="O697" s="48"/>
      <c r="P697" s="48"/>
      <c r="Q697" s="48"/>
      <c r="R697" s="48"/>
      <c r="S697" s="48"/>
      <c r="T697" s="48"/>
      <c r="U697" s="48"/>
      <c r="V697" s="48"/>
      <c r="W697" s="48"/>
      <c r="X697" s="48"/>
      <c r="Y697" s="48"/>
      <c r="Z697" s="48"/>
      <c r="AA697" s="48"/>
      <c r="AB697" s="48"/>
      <c r="AC697" s="48"/>
      <c r="AD697" s="48"/>
      <c r="AE697" s="48"/>
      <c r="AF697" s="48"/>
      <c r="AG697" s="48"/>
      <c r="AH697" s="48"/>
      <c r="AI697" s="48"/>
      <c r="AJ697" s="48"/>
      <c r="AK697" s="48"/>
      <c r="AL697" s="48"/>
      <c r="AM697" s="48"/>
      <c r="AN697" s="48"/>
      <c r="AO697" s="48"/>
      <c r="AP697" s="48"/>
      <c r="AQ697" s="48"/>
      <c r="AR697" s="48"/>
      <c r="AS697" s="48"/>
      <c r="AT697" s="48"/>
      <c r="AU697" s="48"/>
      <c r="AV697" s="48"/>
      <c r="AW697" s="48"/>
      <c r="AX697" s="48"/>
      <c r="AY697" s="48"/>
    </row>
    <row r="698" spans="1:51">
      <c r="A698" s="48"/>
      <c r="B698" s="48"/>
      <c r="C698" s="48"/>
      <c r="D698" s="48"/>
      <c r="E698" s="48"/>
      <c r="F698" s="48"/>
      <c r="G698" s="48"/>
      <c r="H698" s="48"/>
      <c r="I698" s="48"/>
      <c r="J698" s="48"/>
      <c r="K698" s="48"/>
      <c r="L698" s="48"/>
      <c r="M698" s="48"/>
      <c r="N698" s="48"/>
      <c r="O698" s="48"/>
      <c r="P698" s="48"/>
      <c r="Q698" s="48"/>
      <c r="R698" s="48"/>
      <c r="S698" s="48"/>
      <c r="T698" s="48"/>
      <c r="U698" s="48"/>
      <c r="V698" s="48"/>
      <c r="W698" s="48"/>
      <c r="X698" s="48"/>
      <c r="Y698" s="48"/>
      <c r="Z698" s="48"/>
      <c r="AA698" s="48"/>
      <c r="AB698" s="48"/>
      <c r="AC698" s="48"/>
      <c r="AD698" s="48"/>
      <c r="AE698" s="48"/>
      <c r="AF698" s="48"/>
      <c r="AG698" s="48"/>
      <c r="AH698" s="48"/>
      <c r="AI698" s="48"/>
      <c r="AJ698" s="48"/>
      <c r="AK698" s="48"/>
      <c r="AL698" s="48"/>
      <c r="AM698" s="48"/>
      <c r="AN698" s="48"/>
      <c r="AO698" s="48"/>
      <c r="AP698" s="48"/>
      <c r="AQ698" s="48"/>
      <c r="AR698" s="48"/>
      <c r="AS698" s="48"/>
      <c r="AT698" s="48"/>
      <c r="AU698" s="48"/>
      <c r="AV698" s="48"/>
      <c r="AW698" s="48"/>
      <c r="AX698" s="48"/>
      <c r="AY698" s="48"/>
    </row>
    <row r="699" spans="1:51">
      <c r="A699" s="48"/>
      <c r="B699" s="48"/>
      <c r="C699" s="48"/>
      <c r="D699" s="48"/>
      <c r="E699" s="48"/>
      <c r="F699" s="48"/>
      <c r="G699" s="48"/>
      <c r="H699" s="48"/>
      <c r="I699" s="48"/>
      <c r="J699" s="48"/>
      <c r="K699" s="48"/>
      <c r="L699" s="48"/>
      <c r="M699" s="48"/>
      <c r="N699" s="48"/>
      <c r="O699" s="48"/>
      <c r="P699" s="48"/>
      <c r="Q699" s="48"/>
      <c r="R699" s="48"/>
      <c r="S699" s="48"/>
      <c r="T699" s="48"/>
      <c r="U699" s="48"/>
      <c r="V699" s="48"/>
      <c r="W699" s="48"/>
      <c r="X699" s="48"/>
      <c r="Y699" s="48"/>
      <c r="Z699" s="48"/>
      <c r="AA699" s="48"/>
      <c r="AB699" s="48"/>
      <c r="AC699" s="48"/>
      <c r="AD699" s="48"/>
      <c r="AE699" s="48"/>
      <c r="AF699" s="48"/>
      <c r="AG699" s="48"/>
      <c r="AH699" s="48"/>
      <c r="AI699" s="48"/>
      <c r="AJ699" s="48"/>
      <c r="AK699" s="48"/>
      <c r="AL699" s="48"/>
      <c r="AM699" s="48"/>
      <c r="AN699" s="48"/>
      <c r="AO699" s="48"/>
      <c r="AP699" s="48"/>
      <c r="AQ699" s="48"/>
      <c r="AR699" s="48"/>
      <c r="AS699" s="48"/>
      <c r="AT699" s="48"/>
      <c r="AU699" s="48"/>
      <c r="AV699" s="48"/>
      <c r="AW699" s="48"/>
      <c r="AX699" s="48"/>
      <c r="AY699" s="48"/>
    </row>
    <row r="700" spans="1:51">
      <c r="A700" s="48"/>
      <c r="B700" s="48"/>
      <c r="C700" s="48"/>
      <c r="D700" s="48"/>
      <c r="E700" s="48"/>
      <c r="F700" s="48"/>
      <c r="G700" s="48"/>
      <c r="H700" s="48"/>
      <c r="I700" s="48"/>
      <c r="J700" s="48"/>
      <c r="K700" s="48"/>
      <c r="L700" s="48"/>
      <c r="M700" s="48"/>
      <c r="N700" s="48"/>
      <c r="O700" s="48"/>
      <c r="P700" s="48"/>
      <c r="Q700" s="48"/>
      <c r="R700" s="48"/>
      <c r="S700" s="48"/>
      <c r="T700" s="48"/>
      <c r="U700" s="48"/>
      <c r="V700" s="48"/>
      <c r="W700" s="48"/>
      <c r="X700" s="48"/>
      <c r="Y700" s="48"/>
      <c r="Z700" s="48"/>
      <c r="AA700" s="48"/>
      <c r="AB700" s="48"/>
      <c r="AC700" s="48"/>
      <c r="AD700" s="48"/>
      <c r="AE700" s="48"/>
      <c r="AF700" s="48"/>
      <c r="AG700" s="48"/>
      <c r="AH700" s="48"/>
      <c r="AI700" s="48"/>
      <c r="AJ700" s="48"/>
      <c r="AK700" s="48"/>
      <c r="AL700" s="48"/>
      <c r="AM700" s="48"/>
      <c r="AN700" s="48"/>
      <c r="AO700" s="48"/>
      <c r="AP700" s="48"/>
      <c r="AQ700" s="48"/>
      <c r="AR700" s="48"/>
      <c r="AS700" s="48"/>
      <c r="AT700" s="48"/>
      <c r="AU700" s="48"/>
      <c r="AV700" s="48"/>
      <c r="AW700" s="48"/>
      <c r="AX700" s="48"/>
      <c r="AY700" s="48"/>
    </row>
    <row r="701" spans="1:51">
      <c r="A701" s="48"/>
      <c r="B701" s="48"/>
      <c r="C701" s="48"/>
      <c r="D701" s="48"/>
      <c r="E701" s="48"/>
      <c r="F701" s="48"/>
      <c r="G701" s="48"/>
      <c r="H701" s="48"/>
      <c r="I701" s="48"/>
      <c r="J701" s="48"/>
      <c r="K701" s="48"/>
      <c r="L701" s="48"/>
      <c r="M701" s="48"/>
      <c r="N701" s="48"/>
      <c r="O701" s="48"/>
      <c r="P701" s="48"/>
      <c r="Q701" s="48"/>
      <c r="R701" s="48"/>
      <c r="S701" s="48"/>
      <c r="T701" s="48"/>
      <c r="U701" s="48"/>
      <c r="V701" s="48"/>
      <c r="W701" s="48"/>
      <c r="X701" s="48"/>
      <c r="Y701" s="48"/>
      <c r="Z701" s="48"/>
      <c r="AA701" s="48"/>
      <c r="AB701" s="48"/>
      <c r="AC701" s="48"/>
      <c r="AD701" s="48"/>
      <c r="AE701" s="48"/>
      <c r="AF701" s="48"/>
      <c r="AG701" s="48"/>
      <c r="AH701" s="48"/>
      <c r="AI701" s="48"/>
      <c r="AJ701" s="48"/>
      <c r="AK701" s="48"/>
      <c r="AL701" s="48"/>
      <c r="AM701" s="48"/>
      <c r="AN701" s="48"/>
      <c r="AO701" s="48"/>
      <c r="AP701" s="48"/>
      <c r="AQ701" s="48"/>
      <c r="AR701" s="48"/>
      <c r="AS701" s="48"/>
      <c r="AT701" s="48"/>
      <c r="AU701" s="48"/>
      <c r="AV701" s="48"/>
      <c r="AW701" s="48"/>
      <c r="AX701" s="48"/>
      <c r="AY701" s="48"/>
    </row>
    <row r="702" spans="1:51">
      <c r="A702" s="48"/>
      <c r="B702" s="48"/>
      <c r="C702" s="48"/>
      <c r="D702" s="48"/>
      <c r="E702" s="48"/>
      <c r="F702" s="48"/>
      <c r="G702" s="48"/>
      <c r="H702" s="48"/>
      <c r="I702" s="48"/>
      <c r="J702" s="48"/>
      <c r="K702" s="48"/>
      <c r="L702" s="48"/>
      <c r="M702" s="48"/>
      <c r="N702" s="48"/>
      <c r="O702" s="48"/>
      <c r="P702" s="48"/>
      <c r="Q702" s="48"/>
      <c r="R702" s="48"/>
      <c r="S702" s="48"/>
      <c r="T702" s="48"/>
      <c r="U702" s="48"/>
      <c r="V702" s="48"/>
      <c r="W702" s="48"/>
      <c r="X702" s="48"/>
      <c r="Y702" s="48"/>
      <c r="Z702" s="48"/>
      <c r="AA702" s="48"/>
      <c r="AB702" s="48"/>
      <c r="AC702" s="48"/>
      <c r="AD702" s="48"/>
      <c r="AE702" s="48"/>
      <c r="AF702" s="48"/>
      <c r="AG702" s="48"/>
      <c r="AH702" s="48"/>
      <c r="AI702" s="48"/>
      <c r="AJ702" s="48"/>
      <c r="AK702" s="48"/>
      <c r="AL702" s="48"/>
      <c r="AM702" s="48"/>
      <c r="AN702" s="48"/>
      <c r="AO702" s="48"/>
      <c r="AP702" s="48"/>
      <c r="AQ702" s="48"/>
      <c r="AR702" s="48"/>
      <c r="AS702" s="48"/>
      <c r="AT702" s="48"/>
      <c r="AU702" s="48"/>
      <c r="AV702" s="48"/>
      <c r="AW702" s="48"/>
      <c r="AX702" s="48"/>
      <c r="AY702" s="48"/>
    </row>
    <row r="703" spans="1:51">
      <c r="A703" s="48"/>
      <c r="B703" s="48"/>
      <c r="C703" s="48"/>
      <c r="D703" s="48"/>
      <c r="E703" s="48"/>
      <c r="F703" s="48"/>
      <c r="G703" s="48"/>
      <c r="H703" s="48"/>
      <c r="I703" s="48"/>
      <c r="J703" s="48"/>
      <c r="K703" s="48"/>
      <c r="L703" s="48"/>
      <c r="M703" s="48"/>
      <c r="N703" s="48"/>
      <c r="O703" s="48"/>
      <c r="P703" s="48"/>
      <c r="Q703" s="48"/>
      <c r="R703" s="48"/>
      <c r="S703" s="48"/>
      <c r="T703" s="48"/>
      <c r="U703" s="48"/>
      <c r="V703" s="48"/>
      <c r="W703" s="48"/>
      <c r="X703" s="48"/>
      <c r="Y703" s="48"/>
      <c r="Z703" s="48"/>
      <c r="AA703" s="48"/>
      <c r="AB703" s="48"/>
      <c r="AC703" s="48"/>
      <c r="AD703" s="48"/>
      <c r="AE703" s="48"/>
      <c r="AF703" s="48"/>
      <c r="AG703" s="48"/>
      <c r="AH703" s="48"/>
      <c r="AI703" s="48"/>
      <c r="AJ703" s="48"/>
      <c r="AK703" s="48"/>
      <c r="AL703" s="48"/>
      <c r="AM703" s="48"/>
      <c r="AN703" s="48"/>
      <c r="AO703" s="48"/>
      <c r="AP703" s="48"/>
      <c r="AQ703" s="48"/>
      <c r="AR703" s="48"/>
      <c r="AS703" s="48"/>
      <c r="AT703" s="48"/>
      <c r="AU703" s="48"/>
      <c r="AV703" s="48"/>
      <c r="AW703" s="48"/>
      <c r="AX703" s="48"/>
      <c r="AY703" s="48"/>
    </row>
    <row r="704" spans="1:51">
      <c r="A704" s="48"/>
      <c r="B704" s="48"/>
      <c r="C704" s="48"/>
      <c r="D704" s="48"/>
      <c r="E704" s="48"/>
      <c r="F704" s="48"/>
      <c r="G704" s="48"/>
      <c r="H704" s="48"/>
      <c r="I704" s="48"/>
      <c r="J704" s="48"/>
      <c r="K704" s="48"/>
      <c r="L704" s="48"/>
      <c r="M704" s="48"/>
      <c r="N704" s="48"/>
      <c r="O704" s="48"/>
      <c r="P704" s="48"/>
      <c r="Q704" s="48"/>
      <c r="R704" s="48"/>
      <c r="S704" s="48"/>
      <c r="T704" s="48"/>
      <c r="U704" s="48"/>
      <c r="V704" s="48"/>
      <c r="W704" s="48"/>
      <c r="X704" s="48"/>
      <c r="Y704" s="48"/>
      <c r="Z704" s="48"/>
      <c r="AA704" s="48"/>
      <c r="AB704" s="48"/>
      <c r="AC704" s="48"/>
      <c r="AD704" s="48"/>
      <c r="AE704" s="48"/>
      <c r="AF704" s="48"/>
      <c r="AG704" s="48"/>
      <c r="AH704" s="48"/>
      <c r="AI704" s="48"/>
      <c r="AJ704" s="48"/>
      <c r="AK704" s="48"/>
      <c r="AL704" s="48"/>
      <c r="AM704" s="48"/>
      <c r="AN704" s="48"/>
      <c r="AO704" s="48"/>
      <c r="AP704" s="48"/>
      <c r="AQ704" s="48"/>
      <c r="AR704" s="48"/>
      <c r="AS704" s="48"/>
      <c r="AT704" s="48"/>
      <c r="AU704" s="48"/>
      <c r="AV704" s="48"/>
      <c r="AW704" s="48"/>
      <c r="AX704" s="48"/>
      <c r="AY704" s="48"/>
    </row>
    <row r="705" spans="1:51">
      <c r="A705" s="48"/>
      <c r="B705" s="48"/>
      <c r="C705" s="48"/>
      <c r="D705" s="48"/>
      <c r="E705" s="48"/>
      <c r="F705" s="48"/>
      <c r="G705" s="48"/>
      <c r="H705" s="48"/>
      <c r="I705" s="48"/>
      <c r="J705" s="48"/>
      <c r="K705" s="48"/>
      <c r="L705" s="48"/>
      <c r="M705" s="48"/>
      <c r="N705" s="48"/>
      <c r="O705" s="48"/>
      <c r="P705" s="48"/>
      <c r="Q705" s="48"/>
      <c r="R705" s="48"/>
      <c r="S705" s="48"/>
      <c r="T705" s="48"/>
      <c r="U705" s="48"/>
      <c r="V705" s="48"/>
      <c r="W705" s="48"/>
      <c r="X705" s="48"/>
      <c r="Y705" s="48"/>
      <c r="Z705" s="48"/>
      <c r="AA705" s="48"/>
      <c r="AB705" s="48"/>
      <c r="AC705" s="48"/>
      <c r="AD705" s="48"/>
      <c r="AE705" s="48"/>
      <c r="AF705" s="48"/>
      <c r="AG705" s="48"/>
      <c r="AH705" s="48"/>
      <c r="AI705" s="48"/>
      <c r="AJ705" s="48"/>
      <c r="AK705" s="48"/>
      <c r="AL705" s="48"/>
      <c r="AM705" s="48"/>
      <c r="AN705" s="48"/>
      <c r="AO705" s="48"/>
      <c r="AP705" s="48"/>
      <c r="AQ705" s="48"/>
      <c r="AR705" s="48"/>
      <c r="AS705" s="48"/>
      <c r="AT705" s="48"/>
      <c r="AU705" s="48"/>
      <c r="AV705" s="48"/>
      <c r="AW705" s="48"/>
      <c r="AX705" s="48"/>
      <c r="AY705" s="48"/>
    </row>
    <row r="706" spans="1:51">
      <c r="A706" s="48"/>
      <c r="B706" s="48"/>
      <c r="C706" s="48"/>
      <c r="D706" s="48"/>
      <c r="E706" s="48"/>
      <c r="F706" s="48"/>
      <c r="G706" s="48"/>
      <c r="H706" s="48"/>
      <c r="I706" s="48"/>
      <c r="J706" s="48"/>
      <c r="K706" s="48"/>
      <c r="L706" s="48"/>
      <c r="M706" s="48"/>
      <c r="N706" s="48"/>
      <c r="O706" s="48"/>
      <c r="P706" s="48"/>
      <c r="Q706" s="48"/>
      <c r="R706" s="48"/>
      <c r="S706" s="48"/>
      <c r="T706" s="48"/>
      <c r="U706" s="48"/>
      <c r="V706" s="48"/>
      <c r="W706" s="48"/>
      <c r="X706" s="48"/>
      <c r="Y706" s="48"/>
      <c r="Z706" s="48"/>
      <c r="AA706" s="48"/>
      <c r="AB706" s="48"/>
      <c r="AC706" s="48"/>
      <c r="AD706" s="48"/>
      <c r="AE706" s="48"/>
      <c r="AF706" s="48"/>
      <c r="AG706" s="48"/>
      <c r="AH706" s="48"/>
      <c r="AI706" s="48"/>
      <c r="AJ706" s="48"/>
      <c r="AK706" s="48"/>
      <c r="AL706" s="48"/>
      <c r="AM706" s="48"/>
      <c r="AN706" s="48"/>
      <c r="AO706" s="48"/>
      <c r="AP706" s="48"/>
      <c r="AQ706" s="48"/>
      <c r="AR706" s="48"/>
      <c r="AS706" s="48"/>
      <c r="AT706" s="48"/>
      <c r="AU706" s="48"/>
      <c r="AV706" s="48"/>
      <c r="AW706" s="48"/>
      <c r="AX706" s="48"/>
      <c r="AY706" s="48"/>
    </row>
    <row r="707" spans="1:51">
      <c r="A707" s="48"/>
      <c r="B707" s="48"/>
      <c r="C707" s="48"/>
      <c r="D707" s="48"/>
      <c r="E707" s="48"/>
      <c r="F707" s="48"/>
      <c r="G707" s="48"/>
      <c r="H707" s="48"/>
      <c r="I707" s="48"/>
      <c r="J707" s="48"/>
      <c r="K707" s="48"/>
      <c r="L707" s="48"/>
      <c r="M707" s="48"/>
      <c r="N707" s="48"/>
      <c r="O707" s="48"/>
      <c r="P707" s="48"/>
      <c r="Q707" s="48"/>
      <c r="R707" s="48"/>
      <c r="S707" s="48"/>
      <c r="T707" s="48"/>
      <c r="U707" s="48"/>
      <c r="V707" s="48"/>
      <c r="W707" s="48"/>
      <c r="X707" s="48"/>
      <c r="Y707" s="48"/>
      <c r="Z707" s="48"/>
      <c r="AA707" s="48"/>
      <c r="AB707" s="48"/>
      <c r="AC707" s="48"/>
      <c r="AD707" s="48"/>
      <c r="AE707" s="48"/>
      <c r="AF707" s="48"/>
      <c r="AG707" s="48"/>
      <c r="AH707" s="48"/>
      <c r="AI707" s="48"/>
      <c r="AJ707" s="48"/>
      <c r="AK707" s="48"/>
      <c r="AL707" s="48"/>
      <c r="AM707" s="48"/>
      <c r="AN707" s="48"/>
      <c r="AO707" s="48"/>
      <c r="AP707" s="48"/>
      <c r="AQ707" s="48"/>
      <c r="AR707" s="48"/>
      <c r="AS707" s="48"/>
      <c r="AT707" s="48"/>
      <c r="AU707" s="48"/>
      <c r="AV707" s="48"/>
      <c r="AW707" s="48"/>
      <c r="AX707" s="48"/>
      <c r="AY707" s="48"/>
    </row>
    <row r="708" spans="1:51">
      <c r="A708" s="48"/>
      <c r="B708" s="48"/>
      <c r="C708" s="48"/>
      <c r="D708" s="48"/>
      <c r="E708" s="48"/>
      <c r="F708" s="48"/>
      <c r="G708" s="48"/>
      <c r="H708" s="48"/>
      <c r="I708" s="48"/>
      <c r="J708" s="48"/>
      <c r="K708" s="48"/>
      <c r="L708" s="48"/>
      <c r="M708" s="48"/>
      <c r="N708" s="48"/>
      <c r="O708" s="48"/>
      <c r="P708" s="48"/>
      <c r="Q708" s="48"/>
      <c r="R708" s="48"/>
      <c r="S708" s="48"/>
      <c r="T708" s="48"/>
      <c r="U708" s="48"/>
      <c r="V708" s="48"/>
      <c r="W708" s="48"/>
      <c r="X708" s="48"/>
      <c r="Y708" s="48"/>
      <c r="Z708" s="48"/>
      <c r="AA708" s="48"/>
      <c r="AB708" s="48"/>
      <c r="AC708" s="48"/>
      <c r="AD708" s="48"/>
      <c r="AE708" s="48"/>
      <c r="AF708" s="48"/>
      <c r="AG708" s="48"/>
      <c r="AH708" s="48"/>
      <c r="AI708" s="48"/>
      <c r="AJ708" s="48"/>
      <c r="AK708" s="48"/>
      <c r="AL708" s="48"/>
      <c r="AM708" s="48"/>
      <c r="AN708" s="48"/>
      <c r="AO708" s="48"/>
      <c r="AP708" s="48"/>
      <c r="AQ708" s="48"/>
      <c r="AR708" s="48"/>
      <c r="AS708" s="48"/>
      <c r="AT708" s="48"/>
      <c r="AU708" s="48"/>
      <c r="AV708" s="48"/>
      <c r="AW708" s="48"/>
      <c r="AX708" s="48"/>
      <c r="AY708" s="48"/>
    </row>
    <row r="709" spans="1:51">
      <c r="A709" s="48"/>
      <c r="B709" s="48"/>
      <c r="C709" s="48"/>
      <c r="D709" s="48"/>
      <c r="E709" s="48"/>
      <c r="F709" s="48"/>
      <c r="G709" s="48"/>
      <c r="H709" s="48"/>
      <c r="I709" s="48"/>
      <c r="J709" s="48"/>
      <c r="K709" s="48"/>
      <c r="L709" s="48"/>
      <c r="M709" s="48"/>
      <c r="N709" s="48"/>
      <c r="O709" s="48"/>
      <c r="P709" s="48"/>
      <c r="Q709" s="48"/>
      <c r="R709" s="48"/>
      <c r="S709" s="48"/>
      <c r="T709" s="48"/>
      <c r="U709" s="48"/>
      <c r="V709" s="48"/>
      <c r="W709" s="48"/>
      <c r="X709" s="48"/>
      <c r="Y709" s="48"/>
      <c r="Z709" s="48"/>
      <c r="AA709" s="48"/>
      <c r="AB709" s="48"/>
      <c r="AC709" s="48"/>
      <c r="AD709" s="48"/>
      <c r="AE709" s="48"/>
      <c r="AF709" s="48"/>
      <c r="AG709" s="48"/>
      <c r="AH709" s="48"/>
      <c r="AI709" s="48"/>
      <c r="AJ709" s="48"/>
      <c r="AK709" s="48"/>
      <c r="AL709" s="48"/>
      <c r="AM709" s="48"/>
      <c r="AN709" s="48"/>
      <c r="AO709" s="48"/>
      <c r="AP709" s="48"/>
      <c r="AQ709" s="48"/>
      <c r="AR709" s="48"/>
      <c r="AS709" s="48"/>
      <c r="AT709" s="48"/>
      <c r="AU709" s="48"/>
      <c r="AV709" s="48"/>
      <c r="AW709" s="48"/>
      <c r="AX709" s="48"/>
      <c r="AY709" s="48"/>
    </row>
    <row r="710" spans="1:51">
      <c r="A710" s="48"/>
      <c r="B710" s="48"/>
      <c r="C710" s="48"/>
      <c r="D710" s="48"/>
      <c r="E710" s="48"/>
      <c r="F710" s="48"/>
      <c r="G710" s="48"/>
      <c r="H710" s="48"/>
      <c r="I710" s="48"/>
      <c r="J710" s="48"/>
      <c r="K710" s="48"/>
      <c r="L710" s="48"/>
      <c r="M710" s="48"/>
      <c r="N710" s="48"/>
      <c r="O710" s="48"/>
      <c r="P710" s="48"/>
      <c r="Q710" s="48"/>
      <c r="R710" s="48"/>
      <c r="S710" s="48"/>
      <c r="T710" s="48"/>
      <c r="U710" s="48"/>
      <c r="V710" s="48"/>
      <c r="W710" s="48"/>
      <c r="X710" s="48"/>
      <c r="Y710" s="48"/>
      <c r="Z710" s="48"/>
      <c r="AA710" s="48"/>
      <c r="AB710" s="48"/>
      <c r="AC710" s="48"/>
      <c r="AD710" s="48"/>
      <c r="AE710" s="48"/>
      <c r="AF710" s="48"/>
      <c r="AG710" s="48"/>
      <c r="AH710" s="48"/>
      <c r="AI710" s="48"/>
      <c r="AJ710" s="48"/>
      <c r="AK710" s="48"/>
      <c r="AL710" s="48"/>
      <c r="AM710" s="48"/>
      <c r="AN710" s="48"/>
      <c r="AO710" s="48"/>
      <c r="AP710" s="48"/>
      <c r="AQ710" s="48"/>
      <c r="AR710" s="48"/>
      <c r="AS710" s="48"/>
      <c r="AT710" s="48"/>
      <c r="AU710" s="48"/>
      <c r="AV710" s="48"/>
      <c r="AW710" s="48"/>
      <c r="AX710" s="48"/>
      <c r="AY710" s="48"/>
    </row>
    <row r="711" spans="1:51">
      <c r="A711" s="48"/>
      <c r="B711" s="48"/>
      <c r="C711" s="48"/>
      <c r="D711" s="48"/>
      <c r="E711" s="48"/>
      <c r="F711" s="48"/>
      <c r="G711" s="48"/>
      <c r="H711" s="48"/>
      <c r="I711" s="48"/>
      <c r="J711" s="48"/>
      <c r="K711" s="48"/>
      <c r="L711" s="48"/>
      <c r="M711" s="48"/>
      <c r="N711" s="48"/>
      <c r="O711" s="48"/>
      <c r="P711" s="48"/>
      <c r="Q711" s="48"/>
      <c r="R711" s="48"/>
      <c r="S711" s="48"/>
      <c r="T711" s="48"/>
      <c r="U711" s="48"/>
      <c r="V711" s="48"/>
      <c r="W711" s="48"/>
      <c r="X711" s="48"/>
      <c r="Y711" s="48"/>
      <c r="Z711" s="48"/>
      <c r="AA711" s="48"/>
      <c r="AB711" s="48"/>
      <c r="AC711" s="48"/>
      <c r="AD711" s="48"/>
      <c r="AE711" s="48"/>
      <c r="AF711" s="48"/>
      <c r="AG711" s="48"/>
      <c r="AH711" s="48"/>
      <c r="AI711" s="48"/>
      <c r="AJ711" s="48"/>
      <c r="AK711" s="48"/>
      <c r="AL711" s="48"/>
      <c r="AM711" s="48"/>
      <c r="AN711" s="48"/>
      <c r="AO711" s="48"/>
      <c r="AP711" s="48"/>
      <c r="AQ711" s="48"/>
      <c r="AR711" s="48"/>
      <c r="AS711" s="48"/>
      <c r="AT711" s="48"/>
      <c r="AU711" s="48"/>
      <c r="AV711" s="48"/>
      <c r="AW711" s="48"/>
      <c r="AX711" s="48"/>
      <c r="AY711" s="48"/>
    </row>
    <row r="712" spans="1:51">
      <c r="A712" s="48"/>
      <c r="B712" s="48"/>
      <c r="C712" s="48"/>
      <c r="D712" s="48"/>
      <c r="E712" s="48"/>
      <c r="F712" s="48"/>
      <c r="G712" s="48"/>
      <c r="H712" s="48"/>
      <c r="I712" s="48"/>
      <c r="J712" s="48"/>
      <c r="K712" s="48"/>
      <c r="L712" s="48"/>
      <c r="M712" s="48"/>
      <c r="N712" s="48"/>
      <c r="O712" s="48"/>
      <c r="P712" s="48"/>
      <c r="Q712" s="48"/>
      <c r="R712" s="48"/>
      <c r="S712" s="48"/>
      <c r="T712" s="48"/>
      <c r="U712" s="48"/>
      <c r="V712" s="48"/>
      <c r="W712" s="48"/>
      <c r="X712" s="48"/>
      <c r="Y712" s="48"/>
      <c r="Z712" s="48"/>
      <c r="AA712" s="48"/>
      <c r="AB712" s="48"/>
      <c r="AC712" s="48"/>
      <c r="AD712" s="48"/>
      <c r="AE712" s="48"/>
      <c r="AF712" s="48"/>
      <c r="AG712" s="48"/>
      <c r="AH712" s="48"/>
      <c r="AI712" s="48"/>
      <c r="AJ712" s="48"/>
      <c r="AK712" s="48"/>
      <c r="AL712" s="48"/>
      <c r="AM712" s="48"/>
      <c r="AN712" s="48"/>
      <c r="AO712" s="48"/>
      <c r="AP712" s="48"/>
      <c r="AQ712" s="48"/>
      <c r="AR712" s="48"/>
      <c r="AS712" s="48"/>
      <c r="AT712" s="48"/>
      <c r="AU712" s="48"/>
      <c r="AV712" s="48"/>
      <c r="AW712" s="48"/>
      <c r="AX712" s="48"/>
      <c r="AY712" s="48"/>
    </row>
    <row r="713" spans="1:51">
      <c r="A713" s="48"/>
      <c r="B713" s="48"/>
      <c r="C713" s="48"/>
      <c r="D713" s="48"/>
      <c r="E713" s="48"/>
      <c r="F713" s="48"/>
      <c r="G713" s="48"/>
      <c r="H713" s="48"/>
      <c r="I713" s="48"/>
      <c r="J713" s="48"/>
      <c r="K713" s="48"/>
      <c r="L713" s="48"/>
      <c r="M713" s="48"/>
      <c r="N713" s="48"/>
      <c r="O713" s="48"/>
      <c r="P713" s="48"/>
      <c r="Q713" s="48"/>
      <c r="R713" s="48"/>
      <c r="S713" s="48"/>
      <c r="T713" s="48"/>
      <c r="U713" s="48"/>
      <c r="V713" s="48"/>
      <c r="W713" s="48"/>
      <c r="X713" s="48"/>
      <c r="Y713" s="48"/>
      <c r="Z713" s="48"/>
      <c r="AA713" s="48"/>
      <c r="AB713" s="48"/>
      <c r="AC713" s="48"/>
      <c r="AD713" s="48"/>
      <c r="AE713" s="48"/>
      <c r="AF713" s="48"/>
      <c r="AG713" s="48"/>
      <c r="AH713" s="48"/>
      <c r="AI713" s="48"/>
      <c r="AJ713" s="48"/>
      <c r="AK713" s="48"/>
      <c r="AL713" s="48"/>
      <c r="AM713" s="48"/>
      <c r="AN713" s="48"/>
      <c r="AO713" s="48"/>
      <c r="AP713" s="48"/>
      <c r="AQ713" s="48"/>
      <c r="AR713" s="48"/>
      <c r="AS713" s="48"/>
      <c r="AT713" s="48"/>
      <c r="AU713" s="48"/>
      <c r="AV713" s="48"/>
      <c r="AW713" s="48"/>
      <c r="AX713" s="48"/>
      <c r="AY713" s="48"/>
    </row>
    <row r="714" spans="1:51">
      <c r="A714" s="48"/>
      <c r="B714" s="48"/>
      <c r="C714" s="48"/>
      <c r="D714" s="48"/>
      <c r="E714" s="48"/>
      <c r="F714" s="48"/>
      <c r="G714" s="48"/>
      <c r="H714" s="48"/>
      <c r="I714" s="48"/>
      <c r="J714" s="48"/>
      <c r="K714" s="48"/>
      <c r="L714" s="48"/>
      <c r="M714" s="48"/>
      <c r="N714" s="48"/>
      <c r="O714" s="48"/>
      <c r="P714" s="48"/>
      <c r="Q714" s="48"/>
      <c r="R714" s="48"/>
      <c r="S714" s="48"/>
      <c r="T714" s="48"/>
      <c r="U714" s="48"/>
      <c r="V714" s="48"/>
      <c r="W714" s="48"/>
      <c r="X714" s="48"/>
      <c r="Y714" s="48"/>
      <c r="Z714" s="48"/>
      <c r="AA714" s="48"/>
      <c r="AB714" s="48"/>
      <c r="AC714" s="48"/>
      <c r="AD714" s="48"/>
      <c r="AE714" s="48"/>
      <c r="AF714" s="48"/>
      <c r="AG714" s="48"/>
      <c r="AH714" s="48"/>
      <c r="AI714" s="48"/>
      <c r="AJ714" s="48"/>
      <c r="AK714" s="48"/>
      <c r="AL714" s="48"/>
      <c r="AM714" s="48"/>
      <c r="AN714" s="48"/>
      <c r="AO714" s="48"/>
      <c r="AP714" s="48"/>
      <c r="AQ714" s="48"/>
      <c r="AR714" s="48"/>
      <c r="AS714" s="48"/>
      <c r="AT714" s="48"/>
      <c r="AU714" s="48"/>
      <c r="AV714" s="48"/>
      <c r="AW714" s="48"/>
      <c r="AX714" s="48"/>
      <c r="AY714" s="48"/>
    </row>
    <row r="715" spans="1:51">
      <c r="A715" s="48"/>
      <c r="B715" s="48"/>
      <c r="C715" s="48"/>
      <c r="D715" s="48"/>
      <c r="E715" s="48"/>
      <c r="F715" s="48"/>
      <c r="G715" s="48"/>
      <c r="H715" s="48"/>
      <c r="I715" s="48"/>
      <c r="J715" s="48"/>
      <c r="K715" s="48"/>
      <c r="L715" s="48"/>
      <c r="M715" s="48"/>
      <c r="N715" s="48"/>
      <c r="O715" s="48"/>
      <c r="P715" s="48"/>
      <c r="Q715" s="48"/>
      <c r="R715" s="48"/>
      <c r="S715" s="48"/>
      <c r="T715" s="48"/>
      <c r="U715" s="48"/>
      <c r="V715" s="48"/>
      <c r="W715" s="48"/>
      <c r="X715" s="48"/>
      <c r="Y715" s="48"/>
      <c r="Z715" s="48"/>
      <c r="AA715" s="48"/>
      <c r="AB715" s="48"/>
      <c r="AC715" s="48"/>
      <c r="AD715" s="48"/>
      <c r="AE715" s="48"/>
      <c r="AF715" s="48"/>
      <c r="AG715" s="48"/>
      <c r="AH715" s="48"/>
      <c r="AI715" s="48"/>
      <c r="AJ715" s="48"/>
      <c r="AK715" s="48"/>
      <c r="AL715" s="48"/>
      <c r="AM715" s="48"/>
      <c r="AN715" s="48"/>
      <c r="AO715" s="48"/>
      <c r="AP715" s="48"/>
      <c r="AQ715" s="48"/>
      <c r="AR715" s="48"/>
      <c r="AS715" s="48"/>
      <c r="AT715" s="48"/>
      <c r="AU715" s="48"/>
      <c r="AV715" s="48"/>
      <c r="AW715" s="48"/>
      <c r="AX715" s="48"/>
      <c r="AY715" s="48"/>
    </row>
    <row r="716" spans="1:51">
      <c r="A716" s="48"/>
      <c r="B716" s="48"/>
      <c r="C716" s="48"/>
      <c r="D716" s="48"/>
      <c r="E716" s="48"/>
      <c r="F716" s="48"/>
      <c r="G716" s="48"/>
      <c r="H716" s="48"/>
      <c r="I716" s="48"/>
      <c r="J716" s="48"/>
      <c r="K716" s="48"/>
      <c r="L716" s="48"/>
      <c r="M716" s="48"/>
      <c r="N716" s="48"/>
      <c r="O716" s="48"/>
      <c r="P716" s="48"/>
      <c r="Q716" s="48"/>
      <c r="R716" s="48"/>
      <c r="S716" s="48"/>
      <c r="T716" s="48"/>
      <c r="U716" s="48"/>
      <c r="V716" s="48"/>
      <c r="W716" s="48"/>
      <c r="X716" s="48"/>
      <c r="Y716" s="48"/>
      <c r="Z716" s="48"/>
      <c r="AA716" s="48"/>
      <c r="AB716" s="48"/>
      <c r="AC716" s="48"/>
      <c r="AD716" s="48"/>
      <c r="AE716" s="48"/>
      <c r="AF716" s="48"/>
      <c r="AG716" s="48"/>
      <c r="AH716" s="48"/>
      <c r="AI716" s="48"/>
      <c r="AJ716" s="48"/>
      <c r="AK716" s="48"/>
      <c r="AL716" s="48"/>
      <c r="AM716" s="48"/>
      <c r="AN716" s="48"/>
      <c r="AO716" s="48"/>
      <c r="AP716" s="48"/>
      <c r="AQ716" s="48"/>
      <c r="AR716" s="48"/>
      <c r="AS716" s="48"/>
      <c r="AT716" s="48"/>
      <c r="AU716" s="48"/>
      <c r="AV716" s="48"/>
      <c r="AW716" s="48"/>
      <c r="AX716" s="48"/>
      <c r="AY716" s="48"/>
    </row>
    <row r="717" spans="1:51">
      <c r="A717" s="48"/>
      <c r="B717" s="48"/>
      <c r="C717" s="48"/>
      <c r="D717" s="48"/>
      <c r="E717" s="48"/>
      <c r="F717" s="48"/>
      <c r="G717" s="48"/>
      <c r="H717" s="48"/>
      <c r="I717" s="48"/>
      <c r="J717" s="48"/>
      <c r="K717" s="48"/>
      <c r="L717" s="48"/>
      <c r="M717" s="48"/>
      <c r="N717" s="48"/>
      <c r="O717" s="48"/>
      <c r="P717" s="48"/>
      <c r="Q717" s="48"/>
      <c r="R717" s="48"/>
      <c r="S717" s="48"/>
      <c r="T717" s="48"/>
      <c r="U717" s="48"/>
      <c r="V717" s="48"/>
      <c r="W717" s="48"/>
      <c r="X717" s="48"/>
      <c r="Y717" s="48"/>
      <c r="Z717" s="48"/>
      <c r="AA717" s="48"/>
      <c r="AB717" s="48"/>
      <c r="AC717" s="48"/>
      <c r="AD717" s="48"/>
      <c r="AE717" s="48"/>
      <c r="AF717" s="48"/>
      <c r="AG717" s="48"/>
      <c r="AH717" s="48"/>
      <c r="AI717" s="48"/>
      <c r="AJ717" s="48"/>
      <c r="AK717" s="48"/>
      <c r="AL717" s="48"/>
      <c r="AM717" s="48"/>
      <c r="AN717" s="48"/>
      <c r="AO717" s="48"/>
      <c r="AP717" s="48"/>
      <c r="AQ717" s="48"/>
      <c r="AR717" s="48"/>
      <c r="AS717" s="48"/>
      <c r="AT717" s="48"/>
      <c r="AU717" s="48"/>
      <c r="AV717" s="48"/>
      <c r="AW717" s="48"/>
      <c r="AX717" s="48"/>
      <c r="AY717" s="48"/>
    </row>
    <row r="718" spans="1:51">
      <c r="A718" s="48"/>
      <c r="B718" s="48"/>
      <c r="C718" s="48"/>
      <c r="D718" s="48"/>
      <c r="E718" s="48"/>
      <c r="F718" s="48"/>
      <c r="G718" s="48"/>
      <c r="H718" s="48"/>
      <c r="I718" s="48"/>
      <c r="J718" s="48"/>
      <c r="K718" s="48"/>
      <c r="L718" s="48"/>
      <c r="M718" s="48"/>
      <c r="N718" s="48"/>
      <c r="O718" s="48"/>
      <c r="P718" s="48"/>
      <c r="Q718" s="48"/>
      <c r="R718" s="48"/>
      <c r="S718" s="48"/>
      <c r="T718" s="48"/>
      <c r="U718" s="48"/>
      <c r="V718" s="48"/>
      <c r="W718" s="48"/>
      <c r="X718" s="48"/>
      <c r="Y718" s="48"/>
      <c r="Z718" s="48"/>
      <c r="AA718" s="48"/>
      <c r="AB718" s="48"/>
      <c r="AC718" s="48"/>
      <c r="AD718" s="48"/>
      <c r="AE718" s="48"/>
      <c r="AF718" s="48"/>
      <c r="AG718" s="48"/>
      <c r="AH718" s="48"/>
      <c r="AI718" s="48"/>
      <c r="AJ718" s="48"/>
      <c r="AK718" s="48"/>
      <c r="AL718" s="48"/>
      <c r="AM718" s="48"/>
      <c r="AN718" s="48"/>
      <c r="AO718" s="48"/>
      <c r="AP718" s="48"/>
      <c r="AQ718" s="48"/>
      <c r="AR718" s="48"/>
      <c r="AS718" s="48"/>
      <c r="AT718" s="48"/>
      <c r="AU718" s="48"/>
      <c r="AV718" s="48"/>
      <c r="AW718" s="48"/>
      <c r="AX718" s="48"/>
      <c r="AY718" s="48"/>
    </row>
    <row r="719" spans="1:51">
      <c r="A719" s="48"/>
      <c r="B719" s="48"/>
      <c r="C719" s="48"/>
      <c r="D719" s="48"/>
      <c r="E719" s="48"/>
      <c r="F719" s="48"/>
      <c r="G719" s="48"/>
      <c r="H719" s="48"/>
      <c r="I719" s="48"/>
      <c r="J719" s="48"/>
      <c r="K719" s="48"/>
      <c r="L719" s="48"/>
      <c r="M719" s="48"/>
      <c r="N719" s="48"/>
      <c r="O719" s="48"/>
      <c r="P719" s="48"/>
      <c r="Q719" s="48"/>
      <c r="R719" s="48"/>
      <c r="S719" s="48"/>
      <c r="T719" s="48"/>
      <c r="U719" s="48"/>
      <c r="V719" s="48"/>
      <c r="W719" s="48"/>
      <c r="X719" s="48"/>
      <c r="Y719" s="48"/>
      <c r="Z719" s="48"/>
      <c r="AA719" s="48"/>
      <c r="AB719" s="48"/>
      <c r="AC719" s="48"/>
      <c r="AD719" s="48"/>
      <c r="AE719" s="48"/>
      <c r="AF719" s="48"/>
      <c r="AG719" s="48"/>
      <c r="AH719" s="48"/>
      <c r="AI719" s="48"/>
      <c r="AJ719" s="48"/>
      <c r="AK719" s="48"/>
      <c r="AL719" s="48"/>
      <c r="AM719" s="48"/>
      <c r="AN719" s="48"/>
      <c r="AO719" s="48"/>
      <c r="AP719" s="48"/>
      <c r="AQ719" s="48"/>
      <c r="AR719" s="48"/>
      <c r="AS719" s="48"/>
      <c r="AT719" s="48"/>
      <c r="AU719" s="48"/>
      <c r="AV719" s="48"/>
      <c r="AW719" s="48"/>
      <c r="AX719" s="48"/>
      <c r="AY719" s="48"/>
    </row>
    <row r="720" spans="1:51">
      <c r="A720" s="48"/>
      <c r="B720" s="48"/>
      <c r="C720" s="48"/>
      <c r="D720" s="48"/>
      <c r="E720" s="48"/>
      <c r="F720" s="48"/>
      <c r="G720" s="48"/>
      <c r="H720" s="48"/>
      <c r="I720" s="48"/>
      <c r="J720" s="48"/>
      <c r="K720" s="48"/>
      <c r="L720" s="48"/>
      <c r="M720" s="48"/>
      <c r="N720" s="48"/>
      <c r="O720" s="48"/>
      <c r="P720" s="48"/>
      <c r="Q720" s="48"/>
      <c r="R720" s="48"/>
      <c r="S720" s="48"/>
      <c r="T720" s="48"/>
      <c r="U720" s="48"/>
      <c r="V720" s="48"/>
      <c r="W720" s="48"/>
      <c r="X720" s="48"/>
      <c r="Y720" s="48"/>
      <c r="Z720" s="48"/>
      <c r="AA720" s="48"/>
      <c r="AB720" s="48"/>
      <c r="AC720" s="48"/>
      <c r="AD720" s="48"/>
      <c r="AE720" s="48"/>
      <c r="AF720" s="48"/>
      <c r="AG720" s="48"/>
      <c r="AH720" s="48"/>
      <c r="AI720" s="48"/>
      <c r="AJ720" s="48"/>
      <c r="AK720" s="48"/>
      <c r="AL720" s="48"/>
      <c r="AM720" s="48"/>
      <c r="AN720" s="48"/>
      <c r="AO720" s="48"/>
      <c r="AP720" s="48"/>
      <c r="AQ720" s="48"/>
      <c r="AR720" s="48"/>
      <c r="AS720" s="48"/>
      <c r="AT720" s="48"/>
      <c r="AU720" s="48"/>
      <c r="AV720" s="48"/>
      <c r="AW720" s="48"/>
      <c r="AX720" s="48"/>
      <c r="AY720" s="48"/>
    </row>
    <row r="721" spans="1:51">
      <c r="A721" s="48"/>
      <c r="B721" s="48"/>
      <c r="C721" s="48"/>
      <c r="D721" s="48"/>
      <c r="E721" s="48"/>
      <c r="F721" s="48"/>
      <c r="G721" s="48"/>
      <c r="H721" s="48"/>
      <c r="I721" s="48"/>
      <c r="J721" s="48"/>
      <c r="K721" s="48"/>
      <c r="L721" s="48"/>
      <c r="M721" s="48"/>
      <c r="N721" s="48"/>
      <c r="O721" s="48"/>
      <c r="P721" s="48"/>
      <c r="Q721" s="48"/>
      <c r="R721" s="48"/>
      <c r="S721" s="48"/>
      <c r="T721" s="48"/>
      <c r="U721" s="48"/>
      <c r="V721" s="48"/>
      <c r="W721" s="48"/>
      <c r="X721" s="48"/>
      <c r="Y721" s="48"/>
      <c r="Z721" s="48"/>
      <c r="AA721" s="48"/>
      <c r="AB721" s="48"/>
      <c r="AC721" s="48"/>
      <c r="AD721" s="48"/>
      <c r="AE721" s="48"/>
      <c r="AF721" s="48"/>
      <c r="AG721" s="48"/>
      <c r="AH721" s="48"/>
      <c r="AI721" s="48"/>
      <c r="AJ721" s="48"/>
      <c r="AK721" s="48"/>
      <c r="AL721" s="48"/>
      <c r="AM721" s="48"/>
      <c r="AN721" s="48"/>
      <c r="AO721" s="48"/>
      <c r="AP721" s="48"/>
      <c r="AQ721" s="48"/>
      <c r="AR721" s="48"/>
      <c r="AS721" s="48"/>
      <c r="AT721" s="48"/>
      <c r="AU721" s="48"/>
      <c r="AV721" s="48"/>
      <c r="AW721" s="48"/>
      <c r="AX721" s="48"/>
      <c r="AY721" s="48"/>
    </row>
    <row r="722" spans="1:51">
      <c r="A722" s="48"/>
      <c r="B722" s="48"/>
      <c r="C722" s="48"/>
      <c r="D722" s="48"/>
      <c r="E722" s="48"/>
      <c r="F722" s="48"/>
      <c r="G722" s="48"/>
      <c r="H722" s="48"/>
      <c r="I722" s="48"/>
      <c r="J722" s="48"/>
      <c r="K722" s="48"/>
      <c r="L722" s="48"/>
      <c r="M722" s="48"/>
      <c r="N722" s="48"/>
      <c r="O722" s="48"/>
      <c r="P722" s="48"/>
      <c r="Q722" s="48"/>
      <c r="R722" s="48"/>
      <c r="S722" s="48"/>
      <c r="T722" s="48"/>
      <c r="U722" s="48"/>
      <c r="V722" s="48"/>
      <c r="W722" s="48"/>
      <c r="X722" s="48"/>
      <c r="Y722" s="48"/>
      <c r="Z722" s="48"/>
      <c r="AA722" s="48"/>
      <c r="AB722" s="48"/>
      <c r="AC722" s="48"/>
      <c r="AD722" s="48"/>
      <c r="AE722" s="48"/>
      <c r="AF722" s="48"/>
      <c r="AG722" s="48"/>
      <c r="AH722" s="48"/>
      <c r="AI722" s="48"/>
      <c r="AJ722" s="48"/>
      <c r="AK722" s="48"/>
      <c r="AL722" s="48"/>
      <c r="AM722" s="48"/>
      <c r="AN722" s="48"/>
      <c r="AO722" s="48"/>
      <c r="AP722" s="48"/>
      <c r="AQ722" s="48"/>
      <c r="AR722" s="48"/>
      <c r="AS722" s="48"/>
      <c r="AT722" s="48"/>
      <c r="AU722" s="48"/>
      <c r="AV722" s="48"/>
      <c r="AW722" s="48"/>
      <c r="AX722" s="48"/>
      <c r="AY722" s="48"/>
    </row>
    <row r="723" spans="1:51">
      <c r="A723" s="48"/>
      <c r="B723" s="48"/>
      <c r="C723" s="48"/>
      <c r="D723" s="48"/>
      <c r="E723" s="48"/>
      <c r="F723" s="48"/>
      <c r="G723" s="48"/>
      <c r="H723" s="48"/>
      <c r="I723" s="48"/>
      <c r="J723" s="48"/>
      <c r="K723" s="48"/>
      <c r="L723" s="48"/>
      <c r="M723" s="48"/>
      <c r="N723" s="48"/>
      <c r="O723" s="48"/>
      <c r="P723" s="48"/>
      <c r="Q723" s="48"/>
      <c r="R723" s="48"/>
      <c r="S723" s="48"/>
      <c r="T723" s="48"/>
      <c r="U723" s="48"/>
      <c r="V723" s="48"/>
      <c r="W723" s="48"/>
      <c r="X723" s="48"/>
      <c r="Y723" s="48"/>
      <c r="Z723" s="48"/>
      <c r="AA723" s="48"/>
      <c r="AB723" s="48"/>
      <c r="AC723" s="48"/>
      <c r="AD723" s="48"/>
      <c r="AE723" s="48"/>
      <c r="AF723" s="48"/>
      <c r="AG723" s="48"/>
      <c r="AH723" s="48"/>
      <c r="AI723" s="48"/>
      <c r="AJ723" s="48"/>
      <c r="AK723" s="48"/>
      <c r="AL723" s="48"/>
      <c r="AM723" s="48"/>
      <c r="AN723" s="48"/>
      <c r="AO723" s="48"/>
      <c r="AP723" s="48"/>
      <c r="AQ723" s="48"/>
      <c r="AR723" s="48"/>
      <c r="AS723" s="48"/>
      <c r="AT723" s="48"/>
      <c r="AU723" s="48"/>
      <c r="AV723" s="48"/>
      <c r="AW723" s="48"/>
      <c r="AX723" s="48"/>
      <c r="AY723" s="48"/>
    </row>
    <row r="724" spans="1:51">
      <c r="A724" s="48"/>
      <c r="B724" s="48"/>
      <c r="C724" s="48"/>
      <c r="D724" s="48"/>
      <c r="E724" s="48"/>
      <c r="F724" s="48"/>
      <c r="G724" s="48"/>
      <c r="H724" s="48"/>
      <c r="I724" s="48"/>
      <c r="J724" s="48"/>
      <c r="K724" s="48"/>
      <c r="L724" s="48"/>
      <c r="M724" s="48"/>
      <c r="N724" s="48"/>
      <c r="O724" s="48"/>
      <c r="P724" s="48"/>
      <c r="Q724" s="48"/>
      <c r="R724" s="48"/>
      <c r="S724" s="48"/>
      <c r="T724" s="48"/>
      <c r="U724" s="48"/>
      <c r="V724" s="48"/>
      <c r="W724" s="48"/>
      <c r="X724" s="48"/>
      <c r="Y724" s="48"/>
      <c r="Z724" s="48"/>
      <c r="AA724" s="48"/>
      <c r="AB724" s="48"/>
      <c r="AC724" s="48"/>
      <c r="AD724" s="48"/>
      <c r="AE724" s="48"/>
      <c r="AF724" s="48"/>
      <c r="AG724" s="48"/>
      <c r="AH724" s="48"/>
      <c r="AI724" s="48"/>
      <c r="AJ724" s="48"/>
      <c r="AK724" s="48"/>
      <c r="AL724" s="48"/>
      <c r="AM724" s="48"/>
      <c r="AN724" s="48"/>
      <c r="AO724" s="48"/>
      <c r="AP724" s="48"/>
      <c r="AQ724" s="48"/>
      <c r="AR724" s="48"/>
      <c r="AS724" s="48"/>
      <c r="AT724" s="48"/>
      <c r="AU724" s="48"/>
      <c r="AV724" s="48"/>
      <c r="AW724" s="48"/>
      <c r="AX724" s="48"/>
      <c r="AY724" s="48"/>
    </row>
    <row r="725" spans="1:51">
      <c r="A725" s="48"/>
      <c r="B725" s="48"/>
      <c r="C725" s="48"/>
      <c r="D725" s="48"/>
      <c r="E725" s="48"/>
      <c r="F725" s="48"/>
      <c r="G725" s="48"/>
      <c r="H725" s="48"/>
      <c r="I725" s="48"/>
      <c r="J725" s="48"/>
      <c r="K725" s="48"/>
      <c r="L725" s="48"/>
      <c r="M725" s="48"/>
      <c r="N725" s="48"/>
      <c r="O725" s="48"/>
      <c r="P725" s="48"/>
      <c r="Q725" s="48"/>
      <c r="R725" s="48"/>
      <c r="S725" s="48"/>
      <c r="T725" s="48"/>
      <c r="U725" s="48"/>
      <c r="V725" s="48"/>
      <c r="W725" s="48"/>
      <c r="X725" s="48"/>
      <c r="Y725" s="48"/>
      <c r="Z725" s="48"/>
      <c r="AA725" s="48"/>
      <c r="AB725" s="48"/>
      <c r="AC725" s="48"/>
      <c r="AD725" s="48"/>
      <c r="AE725" s="48"/>
      <c r="AF725" s="48"/>
      <c r="AG725" s="48"/>
      <c r="AH725" s="48"/>
      <c r="AI725" s="48"/>
      <c r="AJ725" s="48"/>
      <c r="AK725" s="48"/>
      <c r="AL725" s="48"/>
      <c r="AM725" s="48"/>
      <c r="AN725" s="48"/>
      <c r="AO725" s="48"/>
      <c r="AP725" s="48"/>
      <c r="AQ725" s="48"/>
      <c r="AR725" s="48"/>
      <c r="AS725" s="48"/>
      <c r="AT725" s="48"/>
      <c r="AU725" s="48"/>
      <c r="AV725" s="48"/>
      <c r="AW725" s="48"/>
      <c r="AX725" s="48"/>
      <c r="AY725" s="48"/>
    </row>
    <row r="726" spans="1:51">
      <c r="A726" s="48"/>
      <c r="B726" s="48"/>
      <c r="C726" s="48"/>
      <c r="D726" s="48"/>
      <c r="E726" s="48"/>
      <c r="F726" s="48"/>
      <c r="G726" s="48"/>
      <c r="H726" s="48"/>
      <c r="I726" s="48"/>
      <c r="J726" s="48"/>
      <c r="K726" s="48"/>
      <c r="L726" s="48"/>
      <c r="M726" s="48"/>
      <c r="N726" s="48"/>
      <c r="O726" s="48"/>
      <c r="P726" s="48"/>
      <c r="Q726" s="48"/>
      <c r="R726" s="48"/>
      <c r="S726" s="48"/>
      <c r="T726" s="48"/>
      <c r="U726" s="48"/>
      <c r="V726" s="48"/>
      <c r="W726" s="48"/>
      <c r="X726" s="48"/>
      <c r="Y726" s="48"/>
      <c r="Z726" s="48"/>
      <c r="AA726" s="48"/>
      <c r="AB726" s="48"/>
      <c r="AC726" s="48"/>
      <c r="AD726" s="48"/>
      <c r="AE726" s="48"/>
      <c r="AF726" s="48"/>
      <c r="AG726" s="48"/>
      <c r="AH726" s="48"/>
      <c r="AI726" s="48"/>
      <c r="AJ726" s="48"/>
      <c r="AK726" s="48"/>
      <c r="AL726" s="48"/>
      <c r="AM726" s="48"/>
      <c r="AN726" s="48"/>
      <c r="AO726" s="48"/>
      <c r="AP726" s="48"/>
      <c r="AQ726" s="48"/>
      <c r="AR726" s="48"/>
      <c r="AS726" s="48"/>
      <c r="AT726" s="48"/>
      <c r="AU726" s="48"/>
      <c r="AV726" s="48"/>
      <c r="AW726" s="48"/>
      <c r="AX726" s="48"/>
      <c r="AY726" s="48"/>
    </row>
    <row r="727" spans="1:51">
      <c r="A727" s="48"/>
      <c r="B727" s="48"/>
      <c r="C727" s="48"/>
      <c r="D727" s="48"/>
      <c r="E727" s="48"/>
      <c r="F727" s="48"/>
      <c r="G727" s="48"/>
      <c r="H727" s="48"/>
      <c r="I727" s="48"/>
      <c r="J727" s="48"/>
      <c r="K727" s="48"/>
      <c r="L727" s="48"/>
      <c r="M727" s="48"/>
      <c r="N727" s="48"/>
      <c r="O727" s="48"/>
      <c r="P727" s="48"/>
      <c r="Q727" s="48"/>
      <c r="R727" s="48"/>
      <c r="S727" s="48"/>
      <c r="T727" s="48"/>
      <c r="U727" s="48"/>
      <c r="V727" s="48"/>
      <c r="W727" s="48"/>
      <c r="X727" s="48"/>
      <c r="Y727" s="48"/>
      <c r="Z727" s="48"/>
      <c r="AA727" s="48"/>
      <c r="AB727" s="48"/>
      <c r="AC727" s="48"/>
      <c r="AD727" s="48"/>
      <c r="AE727" s="48"/>
      <c r="AF727" s="48"/>
      <c r="AG727" s="48"/>
      <c r="AH727" s="48"/>
      <c r="AI727" s="48"/>
      <c r="AJ727" s="48"/>
      <c r="AK727" s="48"/>
      <c r="AL727" s="48"/>
      <c r="AM727" s="48"/>
      <c r="AN727" s="48"/>
      <c r="AO727" s="48"/>
      <c r="AP727" s="48"/>
      <c r="AQ727" s="48"/>
      <c r="AR727" s="48"/>
      <c r="AS727" s="48"/>
      <c r="AT727" s="48"/>
      <c r="AU727" s="48"/>
      <c r="AV727" s="48"/>
      <c r="AW727" s="48"/>
      <c r="AX727" s="48"/>
      <c r="AY727" s="48"/>
    </row>
    <row r="728" spans="1:51">
      <c r="A728" s="48"/>
      <c r="B728" s="48"/>
      <c r="C728" s="48"/>
      <c r="D728" s="48"/>
      <c r="E728" s="48"/>
      <c r="F728" s="48"/>
      <c r="G728" s="48"/>
      <c r="H728" s="48"/>
      <c r="I728" s="48"/>
      <c r="J728" s="48"/>
      <c r="K728" s="48"/>
      <c r="L728" s="48"/>
      <c r="M728" s="48"/>
      <c r="N728" s="48"/>
      <c r="O728" s="48"/>
      <c r="P728" s="48"/>
      <c r="Q728" s="48"/>
      <c r="R728" s="48"/>
      <c r="S728" s="48"/>
      <c r="T728" s="48"/>
      <c r="U728" s="48"/>
      <c r="V728" s="48"/>
      <c r="W728" s="48"/>
      <c r="X728" s="48"/>
      <c r="Y728" s="48"/>
      <c r="Z728" s="48"/>
      <c r="AA728" s="48"/>
      <c r="AB728" s="48"/>
      <c r="AC728" s="48"/>
      <c r="AD728" s="48"/>
      <c r="AE728" s="48"/>
      <c r="AF728" s="48"/>
      <c r="AG728" s="48"/>
      <c r="AH728" s="48"/>
      <c r="AI728" s="48"/>
      <c r="AJ728" s="48"/>
      <c r="AK728" s="48"/>
      <c r="AL728" s="48"/>
      <c r="AM728" s="48"/>
      <c r="AN728" s="48"/>
      <c r="AO728" s="48"/>
      <c r="AP728" s="48"/>
      <c r="AQ728" s="48"/>
      <c r="AR728" s="48"/>
      <c r="AS728" s="48"/>
      <c r="AT728" s="48"/>
      <c r="AU728" s="48"/>
      <c r="AV728" s="48"/>
      <c r="AW728" s="48"/>
      <c r="AX728" s="48"/>
      <c r="AY728" s="48"/>
    </row>
    <row r="729" spans="1:51">
      <c r="A729" s="48"/>
      <c r="B729" s="48"/>
      <c r="C729" s="48"/>
      <c r="D729" s="48"/>
      <c r="E729" s="48"/>
      <c r="F729" s="48"/>
      <c r="G729" s="48"/>
      <c r="H729" s="48"/>
      <c r="I729" s="48"/>
      <c r="J729" s="48"/>
      <c r="K729" s="48"/>
      <c r="L729" s="48"/>
      <c r="M729" s="48"/>
      <c r="N729" s="48"/>
      <c r="O729" s="48"/>
      <c r="P729" s="48"/>
      <c r="Q729" s="48"/>
      <c r="R729" s="48"/>
      <c r="S729" s="48"/>
      <c r="T729" s="48"/>
      <c r="U729" s="48"/>
      <c r="V729" s="48"/>
      <c r="W729" s="48"/>
      <c r="X729" s="48"/>
      <c r="Y729" s="48"/>
      <c r="Z729" s="48"/>
      <c r="AA729" s="48"/>
      <c r="AB729" s="48"/>
      <c r="AC729" s="48"/>
      <c r="AD729" s="48"/>
      <c r="AE729" s="48"/>
      <c r="AF729" s="48"/>
      <c r="AG729" s="48"/>
      <c r="AH729" s="48"/>
      <c r="AI729" s="48"/>
      <c r="AJ729" s="48"/>
      <c r="AK729" s="48"/>
      <c r="AL729" s="48"/>
      <c r="AM729" s="48"/>
      <c r="AN729" s="48"/>
      <c r="AO729" s="48"/>
      <c r="AP729" s="48"/>
      <c r="AQ729" s="48"/>
      <c r="AR729" s="48"/>
      <c r="AS729" s="48"/>
      <c r="AT729" s="48"/>
      <c r="AU729" s="48"/>
      <c r="AV729" s="48"/>
      <c r="AW729" s="48"/>
      <c r="AX729" s="48"/>
      <c r="AY729" s="48"/>
    </row>
    <row r="730" spans="1:51">
      <c r="A730" s="48"/>
      <c r="B730" s="48"/>
      <c r="C730" s="48"/>
      <c r="D730" s="48"/>
      <c r="E730" s="48"/>
      <c r="F730" s="48"/>
      <c r="G730" s="48"/>
      <c r="H730" s="48"/>
      <c r="I730" s="48"/>
      <c r="J730" s="48"/>
      <c r="K730" s="48"/>
      <c r="L730" s="48"/>
      <c r="M730" s="48"/>
      <c r="N730" s="48"/>
      <c r="O730" s="48"/>
      <c r="P730" s="48"/>
      <c r="Q730" s="48"/>
      <c r="R730" s="48"/>
      <c r="S730" s="48"/>
      <c r="T730" s="48"/>
      <c r="U730" s="48"/>
      <c r="V730" s="48"/>
      <c r="W730" s="48"/>
      <c r="X730" s="48"/>
      <c r="Y730" s="48"/>
      <c r="Z730" s="48"/>
      <c r="AA730" s="48"/>
      <c r="AB730" s="48"/>
      <c r="AC730" s="48"/>
      <c r="AD730" s="48"/>
      <c r="AE730" s="48"/>
      <c r="AF730" s="48"/>
      <c r="AG730" s="48"/>
      <c r="AH730" s="48"/>
      <c r="AI730" s="48"/>
      <c r="AJ730" s="48"/>
      <c r="AK730" s="48"/>
      <c r="AL730" s="48"/>
      <c r="AM730" s="48"/>
      <c r="AN730" s="48"/>
      <c r="AO730" s="48"/>
      <c r="AP730" s="48"/>
      <c r="AQ730" s="48"/>
      <c r="AR730" s="48"/>
      <c r="AS730" s="48"/>
      <c r="AT730" s="48"/>
      <c r="AU730" s="48"/>
      <c r="AV730" s="48"/>
      <c r="AW730" s="48"/>
      <c r="AX730" s="48"/>
      <c r="AY730" s="48"/>
    </row>
    <row r="731" spans="1:51">
      <c r="A731" s="48"/>
      <c r="B731" s="48"/>
      <c r="C731" s="48"/>
      <c r="D731" s="48"/>
      <c r="E731" s="48"/>
      <c r="F731" s="48"/>
      <c r="G731" s="48"/>
      <c r="H731" s="48"/>
      <c r="I731" s="48"/>
      <c r="J731" s="48"/>
      <c r="K731" s="48"/>
      <c r="L731" s="48"/>
      <c r="M731" s="48"/>
      <c r="N731" s="48"/>
      <c r="O731" s="48"/>
      <c r="P731" s="48"/>
      <c r="Q731" s="48"/>
      <c r="R731" s="48"/>
      <c r="S731" s="48"/>
      <c r="T731" s="48"/>
      <c r="U731" s="48"/>
      <c r="V731" s="48"/>
      <c r="W731" s="48"/>
      <c r="X731" s="48"/>
      <c r="Y731" s="48"/>
      <c r="Z731" s="48"/>
      <c r="AA731" s="48"/>
      <c r="AB731" s="48"/>
      <c r="AC731" s="48"/>
      <c r="AD731" s="48"/>
      <c r="AE731" s="48"/>
      <c r="AF731" s="48"/>
      <c r="AG731" s="48"/>
      <c r="AH731" s="48"/>
      <c r="AI731" s="48"/>
      <c r="AJ731" s="48"/>
      <c r="AK731" s="48"/>
      <c r="AL731" s="48"/>
      <c r="AM731" s="48"/>
      <c r="AN731" s="48"/>
      <c r="AO731" s="48"/>
      <c r="AP731" s="48"/>
      <c r="AQ731" s="48"/>
      <c r="AR731" s="48"/>
      <c r="AS731" s="48"/>
      <c r="AT731" s="48"/>
      <c r="AU731" s="48"/>
      <c r="AV731" s="48"/>
      <c r="AW731" s="48"/>
      <c r="AX731" s="48"/>
      <c r="AY731" s="48"/>
    </row>
    <row r="732" spans="1:51">
      <c r="A732" s="48"/>
      <c r="B732" s="48"/>
      <c r="C732" s="48"/>
      <c r="D732" s="48"/>
      <c r="E732" s="48"/>
      <c r="F732" s="48"/>
      <c r="G732" s="48"/>
      <c r="H732" s="48"/>
      <c r="I732" s="48"/>
      <c r="J732" s="48"/>
      <c r="K732" s="48"/>
      <c r="L732" s="48"/>
      <c r="M732" s="48"/>
      <c r="N732" s="48"/>
      <c r="O732" s="48"/>
      <c r="P732" s="48"/>
      <c r="Q732" s="48"/>
      <c r="R732" s="48"/>
      <c r="S732" s="48"/>
      <c r="T732" s="48"/>
      <c r="U732" s="48"/>
      <c r="V732" s="48"/>
      <c r="W732" s="48"/>
      <c r="X732" s="48"/>
      <c r="Y732" s="48"/>
      <c r="Z732" s="48"/>
      <c r="AA732" s="48"/>
      <c r="AB732" s="48"/>
      <c r="AC732" s="48"/>
      <c r="AD732" s="48"/>
      <c r="AE732" s="48"/>
      <c r="AF732" s="48"/>
      <c r="AG732" s="48"/>
      <c r="AH732" s="48"/>
      <c r="AI732" s="48"/>
      <c r="AJ732" s="48"/>
      <c r="AK732" s="48"/>
      <c r="AL732" s="48"/>
      <c r="AM732" s="48"/>
      <c r="AN732" s="48"/>
      <c r="AO732" s="48"/>
      <c r="AP732" s="48"/>
      <c r="AQ732" s="48"/>
      <c r="AR732" s="48"/>
      <c r="AS732" s="48"/>
      <c r="AT732" s="48"/>
      <c r="AU732" s="48"/>
      <c r="AV732" s="48"/>
      <c r="AW732" s="48"/>
      <c r="AX732" s="48"/>
      <c r="AY732" s="48"/>
    </row>
    <row r="733" spans="1:51">
      <c r="A733" s="48"/>
      <c r="B733" s="48"/>
      <c r="C733" s="48"/>
      <c r="D733" s="48"/>
      <c r="E733" s="48"/>
      <c r="F733" s="48"/>
      <c r="G733" s="48"/>
      <c r="H733" s="48"/>
      <c r="I733" s="48"/>
      <c r="J733" s="48"/>
      <c r="K733" s="48"/>
      <c r="L733" s="48"/>
      <c r="M733" s="48"/>
      <c r="N733" s="48"/>
      <c r="O733" s="48"/>
      <c r="P733" s="48"/>
      <c r="Q733" s="48"/>
      <c r="R733" s="48"/>
      <c r="S733" s="48"/>
      <c r="T733" s="48"/>
      <c r="U733" s="48"/>
      <c r="V733" s="48"/>
      <c r="W733" s="48"/>
      <c r="X733" s="48"/>
      <c r="Y733" s="48"/>
      <c r="Z733" s="48"/>
      <c r="AA733" s="48"/>
      <c r="AB733" s="48"/>
      <c r="AC733" s="48"/>
      <c r="AD733" s="48"/>
      <c r="AE733" s="48"/>
      <c r="AF733" s="48"/>
      <c r="AG733" s="48"/>
      <c r="AH733" s="48"/>
      <c r="AI733" s="48"/>
      <c r="AJ733" s="48"/>
      <c r="AK733" s="48"/>
      <c r="AL733" s="48"/>
      <c r="AM733" s="48"/>
      <c r="AN733" s="48"/>
      <c r="AO733" s="48"/>
      <c r="AP733" s="48"/>
      <c r="AQ733" s="48"/>
      <c r="AR733" s="48"/>
      <c r="AS733" s="48"/>
      <c r="AT733" s="48"/>
      <c r="AU733" s="48"/>
      <c r="AV733" s="48"/>
      <c r="AW733" s="48"/>
      <c r="AX733" s="48"/>
      <c r="AY733" s="48"/>
    </row>
    <row r="734" spans="1:51">
      <c r="A734" s="48"/>
      <c r="B734" s="48"/>
      <c r="C734" s="48"/>
      <c r="D734" s="48"/>
      <c r="E734" s="48"/>
      <c r="F734" s="48"/>
      <c r="G734" s="48"/>
      <c r="H734" s="48"/>
      <c r="I734" s="48"/>
      <c r="J734" s="48"/>
      <c r="K734" s="48"/>
      <c r="L734" s="48"/>
      <c r="M734" s="48"/>
      <c r="N734" s="48"/>
      <c r="O734" s="48"/>
      <c r="P734" s="48"/>
      <c r="Q734" s="48"/>
      <c r="R734" s="48"/>
      <c r="S734" s="48"/>
      <c r="T734" s="48"/>
      <c r="U734" s="48"/>
      <c r="V734" s="48"/>
      <c r="W734" s="48"/>
      <c r="X734" s="48"/>
      <c r="Y734" s="48"/>
      <c r="Z734" s="48"/>
      <c r="AA734" s="48"/>
      <c r="AB734" s="48"/>
      <c r="AC734" s="48"/>
      <c r="AD734" s="48"/>
      <c r="AE734" s="48"/>
      <c r="AF734" s="48"/>
      <c r="AG734" s="48"/>
      <c r="AH734" s="48"/>
      <c r="AI734" s="48"/>
      <c r="AJ734" s="48"/>
      <c r="AK734" s="48"/>
      <c r="AL734" s="48"/>
      <c r="AM734" s="48"/>
      <c r="AN734" s="48"/>
      <c r="AO734" s="48"/>
      <c r="AP734" s="48"/>
      <c r="AQ734" s="48"/>
      <c r="AR734" s="48"/>
      <c r="AS734" s="48"/>
      <c r="AT734" s="48"/>
      <c r="AU734" s="48"/>
      <c r="AV734" s="48"/>
      <c r="AW734" s="48"/>
      <c r="AX734" s="48"/>
      <c r="AY734" s="48"/>
    </row>
    <row r="735" spans="1:51">
      <c r="A735" s="48"/>
      <c r="B735" s="48"/>
      <c r="C735" s="48"/>
      <c r="D735" s="48"/>
      <c r="E735" s="48"/>
      <c r="F735" s="48"/>
      <c r="G735" s="48"/>
      <c r="H735" s="48"/>
      <c r="I735" s="48"/>
      <c r="J735" s="48"/>
      <c r="K735" s="48"/>
      <c r="L735" s="48"/>
      <c r="M735" s="48"/>
      <c r="N735" s="48"/>
      <c r="O735" s="48"/>
      <c r="P735" s="48"/>
      <c r="Q735" s="48"/>
      <c r="R735" s="48"/>
      <c r="S735" s="48"/>
      <c r="T735" s="48"/>
      <c r="U735" s="48"/>
      <c r="V735" s="48"/>
      <c r="W735" s="48"/>
      <c r="X735" s="48"/>
      <c r="Y735" s="48"/>
      <c r="Z735" s="48"/>
      <c r="AA735" s="48"/>
      <c r="AB735" s="48"/>
      <c r="AC735" s="48"/>
      <c r="AD735" s="48"/>
      <c r="AE735" s="48"/>
      <c r="AF735" s="48"/>
      <c r="AG735" s="48"/>
      <c r="AH735" s="48"/>
      <c r="AI735" s="48"/>
      <c r="AJ735" s="48"/>
      <c r="AK735" s="48"/>
      <c r="AL735" s="48"/>
      <c r="AM735" s="48"/>
      <c r="AN735" s="48"/>
      <c r="AO735" s="48"/>
      <c r="AP735" s="48"/>
      <c r="AQ735" s="48"/>
      <c r="AR735" s="48"/>
      <c r="AS735" s="48"/>
      <c r="AT735" s="48"/>
      <c r="AU735" s="48"/>
      <c r="AV735" s="48"/>
      <c r="AW735" s="48"/>
      <c r="AX735" s="48"/>
      <c r="AY735" s="48"/>
    </row>
    <row r="736" spans="1:51">
      <c r="A736" s="48"/>
      <c r="B736" s="48"/>
      <c r="C736" s="48"/>
      <c r="D736" s="48"/>
      <c r="E736" s="48"/>
      <c r="F736" s="48"/>
      <c r="G736" s="48"/>
      <c r="H736" s="48"/>
      <c r="I736" s="48"/>
      <c r="J736" s="48"/>
      <c r="K736" s="48"/>
      <c r="L736" s="48"/>
      <c r="M736" s="48"/>
      <c r="N736" s="48"/>
      <c r="O736" s="48"/>
      <c r="P736" s="48"/>
      <c r="Q736" s="48"/>
      <c r="R736" s="48"/>
      <c r="S736" s="48"/>
      <c r="T736" s="48"/>
      <c r="U736" s="48"/>
      <c r="V736" s="48"/>
      <c r="W736" s="48"/>
      <c r="X736" s="48"/>
      <c r="Y736" s="48"/>
      <c r="Z736" s="48"/>
      <c r="AA736" s="48"/>
      <c r="AB736" s="48"/>
      <c r="AC736" s="48"/>
      <c r="AD736" s="48"/>
      <c r="AE736" s="48"/>
      <c r="AF736" s="48"/>
      <c r="AG736" s="48"/>
      <c r="AH736" s="48"/>
      <c r="AI736" s="48"/>
      <c r="AJ736" s="48"/>
      <c r="AK736" s="48"/>
      <c r="AL736" s="48"/>
      <c r="AM736" s="48"/>
      <c r="AN736" s="48"/>
      <c r="AO736" s="48"/>
      <c r="AP736" s="48"/>
      <c r="AQ736" s="48"/>
      <c r="AR736" s="48"/>
      <c r="AS736" s="48"/>
      <c r="AT736" s="48"/>
      <c r="AU736" s="48"/>
      <c r="AV736" s="48"/>
      <c r="AW736" s="48"/>
      <c r="AX736" s="48"/>
      <c r="AY736" s="48"/>
    </row>
    <row r="737" spans="1:51">
      <c r="A737" s="48"/>
      <c r="B737" s="48"/>
      <c r="C737" s="48"/>
      <c r="D737" s="48"/>
      <c r="E737" s="48"/>
      <c r="F737" s="48"/>
      <c r="G737" s="48"/>
      <c r="H737" s="48"/>
      <c r="I737" s="48"/>
      <c r="J737" s="48"/>
      <c r="K737" s="48"/>
      <c r="L737" s="48"/>
      <c r="M737" s="48"/>
      <c r="N737" s="48"/>
      <c r="O737" s="48"/>
      <c r="P737" s="48"/>
      <c r="Q737" s="48"/>
      <c r="R737" s="48"/>
      <c r="S737" s="48"/>
      <c r="T737" s="48"/>
      <c r="U737" s="48"/>
      <c r="V737" s="48"/>
      <c r="W737" s="48"/>
      <c r="X737" s="48"/>
      <c r="Y737" s="48"/>
      <c r="Z737" s="48"/>
      <c r="AA737" s="48"/>
      <c r="AB737" s="48"/>
      <c r="AC737" s="48"/>
      <c r="AD737" s="48"/>
      <c r="AE737" s="48"/>
      <c r="AF737" s="48"/>
      <c r="AG737" s="48"/>
      <c r="AH737" s="48"/>
      <c r="AI737" s="48"/>
      <c r="AJ737" s="48"/>
      <c r="AK737" s="48"/>
      <c r="AL737" s="48"/>
      <c r="AM737" s="48"/>
      <c r="AN737" s="48"/>
      <c r="AO737" s="48"/>
      <c r="AP737" s="48"/>
      <c r="AQ737" s="48"/>
      <c r="AR737" s="48"/>
      <c r="AS737" s="48"/>
      <c r="AT737" s="48"/>
      <c r="AU737" s="48"/>
      <c r="AV737" s="48"/>
      <c r="AW737" s="48"/>
      <c r="AX737" s="48"/>
      <c r="AY737" s="48"/>
    </row>
    <row r="738" spans="1:51">
      <c r="A738" s="48"/>
      <c r="B738" s="48"/>
      <c r="C738" s="48"/>
      <c r="D738" s="48"/>
      <c r="E738" s="48"/>
      <c r="F738" s="48"/>
      <c r="G738" s="48"/>
      <c r="H738" s="48"/>
      <c r="I738" s="48"/>
      <c r="J738" s="48"/>
      <c r="K738" s="48"/>
      <c r="L738" s="48"/>
      <c r="M738" s="48"/>
      <c r="N738" s="48"/>
      <c r="O738" s="48"/>
      <c r="P738" s="48"/>
      <c r="Q738" s="48"/>
      <c r="R738" s="48"/>
      <c r="S738" s="48"/>
      <c r="T738" s="48"/>
      <c r="U738" s="48"/>
      <c r="V738" s="48"/>
      <c r="W738" s="48"/>
      <c r="X738" s="48"/>
      <c r="Y738" s="48"/>
      <c r="Z738" s="48"/>
      <c r="AA738" s="48"/>
      <c r="AB738" s="48"/>
      <c r="AC738" s="48"/>
      <c r="AD738" s="48"/>
      <c r="AE738" s="48"/>
      <c r="AF738" s="48"/>
      <c r="AG738" s="48"/>
      <c r="AH738" s="48"/>
      <c r="AI738" s="48"/>
      <c r="AJ738" s="48"/>
      <c r="AK738" s="48"/>
      <c r="AL738" s="48"/>
      <c r="AM738" s="48"/>
      <c r="AN738" s="48"/>
      <c r="AO738" s="48"/>
      <c r="AP738" s="48"/>
      <c r="AQ738" s="48"/>
      <c r="AR738" s="48"/>
      <c r="AS738" s="48"/>
      <c r="AT738" s="48"/>
      <c r="AU738" s="48"/>
      <c r="AV738" s="48"/>
      <c r="AW738" s="48"/>
      <c r="AX738" s="48"/>
      <c r="AY738" s="48"/>
    </row>
    <row r="739" spans="1:51">
      <c r="A739" s="48"/>
      <c r="B739" s="48"/>
      <c r="C739" s="48"/>
      <c r="D739" s="48"/>
      <c r="E739" s="48"/>
      <c r="F739" s="48"/>
      <c r="G739" s="48"/>
      <c r="H739" s="48"/>
      <c r="I739" s="48"/>
      <c r="J739" s="48"/>
      <c r="K739" s="48"/>
      <c r="L739" s="48"/>
      <c r="M739" s="48"/>
      <c r="N739" s="48"/>
      <c r="O739" s="48"/>
      <c r="P739" s="48"/>
      <c r="Q739" s="48"/>
      <c r="R739" s="48"/>
      <c r="S739" s="48"/>
      <c r="T739" s="48"/>
      <c r="U739" s="48"/>
      <c r="V739" s="48"/>
      <c r="W739" s="48"/>
      <c r="X739" s="48"/>
      <c r="Y739" s="48"/>
      <c r="Z739" s="48"/>
      <c r="AA739" s="48"/>
      <c r="AB739" s="48"/>
      <c r="AC739" s="48"/>
      <c r="AD739" s="48"/>
      <c r="AE739" s="48"/>
      <c r="AF739" s="48"/>
      <c r="AG739" s="48"/>
      <c r="AH739" s="48"/>
      <c r="AI739" s="48"/>
      <c r="AJ739" s="48"/>
      <c r="AK739" s="48"/>
      <c r="AL739" s="48"/>
      <c r="AM739" s="48"/>
      <c r="AN739" s="48"/>
      <c r="AO739" s="48"/>
      <c r="AP739" s="48"/>
      <c r="AQ739" s="48"/>
      <c r="AR739" s="48"/>
      <c r="AS739" s="48"/>
      <c r="AT739" s="48"/>
      <c r="AU739" s="48"/>
      <c r="AV739" s="48"/>
      <c r="AW739" s="48"/>
      <c r="AX739" s="48"/>
      <c r="AY739" s="48"/>
    </row>
    <row r="740" spans="1:51">
      <c r="A740" s="48"/>
      <c r="B740" s="48"/>
      <c r="C740" s="48"/>
      <c r="D740" s="48"/>
      <c r="E740" s="48"/>
      <c r="F740" s="48"/>
      <c r="G740" s="48"/>
      <c r="H740" s="48"/>
      <c r="I740" s="48"/>
      <c r="J740" s="48"/>
      <c r="K740" s="48"/>
      <c r="L740" s="48"/>
      <c r="M740" s="48"/>
      <c r="N740" s="48"/>
      <c r="O740" s="48"/>
      <c r="P740" s="48"/>
      <c r="Q740" s="48"/>
      <c r="R740" s="48"/>
      <c r="S740" s="48"/>
      <c r="T740" s="48"/>
      <c r="U740" s="48"/>
      <c r="V740" s="48"/>
      <c r="W740" s="48"/>
      <c r="X740" s="48"/>
      <c r="Y740" s="48"/>
      <c r="Z740" s="48"/>
      <c r="AA740" s="48"/>
      <c r="AB740" s="48"/>
      <c r="AC740" s="48"/>
      <c r="AD740" s="48"/>
      <c r="AE740" s="48"/>
      <c r="AF740" s="48"/>
      <c r="AG740" s="48"/>
      <c r="AH740" s="48"/>
      <c r="AI740" s="48"/>
      <c r="AJ740" s="48"/>
      <c r="AK740" s="48"/>
      <c r="AL740" s="48"/>
      <c r="AM740" s="48"/>
      <c r="AN740" s="48"/>
      <c r="AO740" s="48"/>
      <c r="AP740" s="48"/>
      <c r="AQ740" s="48"/>
      <c r="AR740" s="48"/>
      <c r="AS740" s="48"/>
      <c r="AT740" s="48"/>
      <c r="AU740" s="48"/>
      <c r="AV740" s="48"/>
      <c r="AW740" s="48"/>
      <c r="AX740" s="48"/>
      <c r="AY740" s="48"/>
    </row>
    <row r="741" spans="1:51">
      <c r="A741" s="48"/>
      <c r="B741" s="48"/>
      <c r="C741" s="48"/>
      <c r="D741" s="48"/>
      <c r="E741" s="48"/>
      <c r="F741" s="48"/>
      <c r="G741" s="48"/>
      <c r="H741" s="48"/>
      <c r="I741" s="48"/>
      <c r="J741" s="48"/>
      <c r="K741" s="48"/>
      <c r="L741" s="48"/>
      <c r="M741" s="48"/>
      <c r="N741" s="48"/>
      <c r="O741" s="48"/>
      <c r="P741" s="48"/>
      <c r="Q741" s="48"/>
      <c r="R741" s="48"/>
      <c r="S741" s="48"/>
      <c r="T741" s="48"/>
      <c r="U741" s="48"/>
      <c r="V741" s="48"/>
      <c r="W741" s="48"/>
      <c r="X741" s="48"/>
      <c r="Y741" s="48"/>
      <c r="Z741" s="48"/>
      <c r="AA741" s="48"/>
      <c r="AB741" s="48"/>
      <c r="AC741" s="48"/>
      <c r="AD741" s="48"/>
      <c r="AE741" s="48"/>
      <c r="AF741" s="48"/>
      <c r="AG741" s="48"/>
      <c r="AH741" s="48"/>
      <c r="AI741" s="48"/>
      <c r="AJ741" s="48"/>
      <c r="AK741" s="48"/>
      <c r="AL741" s="48"/>
      <c r="AM741" s="48"/>
      <c r="AN741" s="48"/>
      <c r="AO741" s="48"/>
      <c r="AP741" s="48"/>
      <c r="AQ741" s="48"/>
      <c r="AR741" s="48"/>
      <c r="AS741" s="48"/>
      <c r="AT741" s="48"/>
      <c r="AU741" s="48"/>
      <c r="AV741" s="48"/>
      <c r="AW741" s="48"/>
      <c r="AX741" s="48"/>
      <c r="AY741" s="48"/>
    </row>
    <row r="742" spans="1:51">
      <c r="A742" s="48"/>
      <c r="B742" s="48"/>
      <c r="C742" s="48"/>
      <c r="D742" s="48"/>
      <c r="E742" s="48"/>
      <c r="F742" s="48"/>
      <c r="G742" s="48"/>
      <c r="H742" s="48"/>
      <c r="I742" s="48"/>
      <c r="J742" s="48"/>
      <c r="K742" s="48"/>
      <c r="L742" s="48"/>
      <c r="M742" s="48"/>
      <c r="N742" s="48"/>
      <c r="O742" s="48"/>
      <c r="P742" s="48"/>
      <c r="Q742" s="48"/>
      <c r="R742" s="48"/>
      <c r="S742" s="48"/>
      <c r="T742" s="48"/>
      <c r="U742" s="48"/>
      <c r="V742" s="48"/>
      <c r="W742" s="48"/>
      <c r="X742" s="48"/>
      <c r="Y742" s="48"/>
      <c r="Z742" s="48"/>
      <c r="AA742" s="48"/>
      <c r="AB742" s="48"/>
      <c r="AC742" s="48"/>
      <c r="AD742" s="48"/>
      <c r="AE742" s="48"/>
      <c r="AF742" s="48"/>
      <c r="AG742" s="48"/>
      <c r="AH742" s="48"/>
      <c r="AI742" s="48"/>
      <c r="AJ742" s="48"/>
      <c r="AK742" s="48"/>
      <c r="AL742" s="48"/>
      <c r="AM742" s="48"/>
      <c r="AN742" s="48"/>
      <c r="AO742" s="48"/>
      <c r="AP742" s="48"/>
      <c r="AQ742" s="48"/>
      <c r="AR742" s="48"/>
      <c r="AS742" s="48"/>
      <c r="AT742" s="48"/>
      <c r="AU742" s="48"/>
      <c r="AV742" s="48"/>
      <c r="AW742" s="48"/>
      <c r="AX742" s="48"/>
      <c r="AY742" s="48"/>
    </row>
    <row r="743" spans="1:51">
      <c r="A743" s="48"/>
      <c r="B743" s="48"/>
      <c r="C743" s="48"/>
      <c r="D743" s="48"/>
      <c r="E743" s="48"/>
      <c r="F743" s="48"/>
      <c r="G743" s="48"/>
      <c r="H743" s="48"/>
      <c r="I743" s="48"/>
      <c r="J743" s="48"/>
      <c r="K743" s="48"/>
      <c r="L743" s="48"/>
      <c r="M743" s="48"/>
      <c r="N743" s="48"/>
      <c r="O743" s="48"/>
      <c r="P743" s="48"/>
      <c r="Q743" s="48"/>
      <c r="R743" s="48"/>
      <c r="S743" s="48"/>
      <c r="T743" s="48"/>
      <c r="U743" s="48"/>
      <c r="V743" s="48"/>
      <c r="W743" s="48"/>
      <c r="X743" s="48"/>
      <c r="Y743" s="48"/>
      <c r="Z743" s="48"/>
      <c r="AA743" s="48"/>
      <c r="AB743" s="48"/>
      <c r="AC743" s="48"/>
      <c r="AD743" s="48"/>
      <c r="AE743" s="48"/>
      <c r="AF743" s="48"/>
      <c r="AG743" s="48"/>
      <c r="AH743" s="48"/>
      <c r="AI743" s="48"/>
      <c r="AJ743" s="48"/>
      <c r="AK743" s="48"/>
      <c r="AL743" s="48"/>
      <c r="AM743" s="48"/>
      <c r="AN743" s="48"/>
      <c r="AO743" s="48"/>
      <c r="AP743" s="48"/>
      <c r="AQ743" s="48"/>
      <c r="AR743" s="48"/>
      <c r="AS743" s="48"/>
      <c r="AT743" s="48"/>
      <c r="AU743" s="48"/>
      <c r="AV743" s="48"/>
      <c r="AW743" s="48"/>
      <c r="AX743" s="48"/>
      <c r="AY743" s="48"/>
    </row>
    <row r="744" spans="1:51">
      <c r="A744" s="48"/>
      <c r="B744" s="48"/>
      <c r="C744" s="48"/>
      <c r="D744" s="48"/>
      <c r="E744" s="48"/>
      <c r="F744" s="48"/>
      <c r="G744" s="48"/>
      <c r="H744" s="48"/>
      <c r="I744" s="48"/>
      <c r="J744" s="48"/>
      <c r="K744" s="48"/>
      <c r="L744" s="48"/>
      <c r="M744" s="48"/>
      <c r="N744" s="48"/>
      <c r="O744" s="48"/>
      <c r="P744" s="48"/>
      <c r="Q744" s="48"/>
      <c r="R744" s="48"/>
      <c r="S744" s="48"/>
      <c r="T744" s="48"/>
      <c r="U744" s="48"/>
      <c r="V744" s="48"/>
      <c r="W744" s="48"/>
      <c r="X744" s="48"/>
      <c r="Y744" s="48"/>
      <c r="Z744" s="48"/>
      <c r="AA744" s="48"/>
      <c r="AB744" s="48"/>
      <c r="AC744" s="48"/>
      <c r="AD744" s="48"/>
      <c r="AE744" s="48"/>
      <c r="AF744" s="48"/>
      <c r="AG744" s="48"/>
      <c r="AH744" s="48"/>
      <c r="AI744" s="48"/>
      <c r="AJ744" s="48"/>
      <c r="AK744" s="48"/>
      <c r="AL744" s="48"/>
      <c r="AM744" s="48"/>
      <c r="AN744" s="48"/>
      <c r="AO744" s="48"/>
      <c r="AP744" s="48"/>
      <c r="AQ744" s="48"/>
      <c r="AR744" s="48"/>
      <c r="AS744" s="48"/>
      <c r="AT744" s="48"/>
      <c r="AU744" s="48"/>
      <c r="AV744" s="48"/>
      <c r="AW744" s="48"/>
      <c r="AX744" s="48"/>
      <c r="AY744" s="48"/>
    </row>
    <row r="745" spans="1:51">
      <c r="A745" s="48"/>
      <c r="B745" s="48"/>
      <c r="C745" s="48"/>
      <c r="D745" s="48"/>
      <c r="E745" s="48"/>
      <c r="F745" s="48"/>
      <c r="G745" s="48"/>
      <c r="H745" s="48"/>
      <c r="I745" s="48"/>
      <c r="J745" s="48"/>
      <c r="K745" s="48"/>
      <c r="L745" s="48"/>
      <c r="M745" s="48"/>
      <c r="N745" s="48"/>
      <c r="O745" s="48"/>
      <c r="P745" s="48"/>
      <c r="Q745" s="48"/>
      <c r="R745" s="48"/>
      <c r="S745" s="48"/>
      <c r="T745" s="48"/>
      <c r="U745" s="48"/>
      <c r="V745" s="48"/>
      <c r="W745" s="48"/>
      <c r="X745" s="48"/>
      <c r="Y745" s="48"/>
      <c r="Z745" s="48"/>
      <c r="AA745" s="48"/>
      <c r="AB745" s="48"/>
      <c r="AC745" s="48"/>
      <c r="AD745" s="48"/>
      <c r="AE745" s="48"/>
      <c r="AF745" s="48"/>
      <c r="AG745" s="48"/>
      <c r="AH745" s="48"/>
      <c r="AI745" s="48"/>
      <c r="AJ745" s="48"/>
      <c r="AK745" s="48"/>
      <c r="AL745" s="48"/>
      <c r="AM745" s="48"/>
      <c r="AN745" s="48"/>
      <c r="AO745" s="48"/>
      <c r="AP745" s="48"/>
      <c r="AQ745" s="48"/>
      <c r="AR745" s="48"/>
      <c r="AS745" s="48"/>
      <c r="AT745" s="48"/>
      <c r="AU745" s="48"/>
      <c r="AV745" s="48"/>
      <c r="AW745" s="48"/>
      <c r="AX745" s="48"/>
      <c r="AY745" s="48"/>
    </row>
    <row r="746" spans="1:51">
      <c r="A746" s="48"/>
      <c r="B746" s="48"/>
      <c r="C746" s="48"/>
      <c r="D746" s="48"/>
      <c r="E746" s="48"/>
      <c r="F746" s="48"/>
      <c r="G746" s="48"/>
      <c r="H746" s="48"/>
      <c r="I746" s="48"/>
      <c r="J746" s="48"/>
      <c r="K746" s="48"/>
      <c r="L746" s="48"/>
      <c r="M746" s="48"/>
      <c r="N746" s="48"/>
      <c r="O746" s="48"/>
      <c r="P746" s="48"/>
      <c r="Q746" s="48"/>
      <c r="R746" s="48"/>
      <c r="S746" s="48"/>
      <c r="T746" s="48"/>
      <c r="U746" s="48"/>
      <c r="V746" s="48"/>
      <c r="W746" s="48"/>
      <c r="X746" s="48"/>
      <c r="Y746" s="48"/>
      <c r="Z746" s="48"/>
      <c r="AA746" s="48"/>
      <c r="AB746" s="48"/>
      <c r="AC746" s="48"/>
      <c r="AD746" s="48"/>
      <c r="AE746" s="48"/>
      <c r="AF746" s="48"/>
      <c r="AG746" s="48"/>
      <c r="AH746" s="48"/>
      <c r="AI746" s="48"/>
      <c r="AJ746" s="48"/>
      <c r="AK746" s="48"/>
      <c r="AL746" s="48"/>
      <c r="AM746" s="48"/>
      <c r="AN746" s="48"/>
      <c r="AO746" s="48"/>
      <c r="AP746" s="48"/>
      <c r="AQ746" s="48"/>
      <c r="AR746" s="48"/>
      <c r="AS746" s="48"/>
      <c r="AT746" s="48"/>
      <c r="AU746" s="48"/>
      <c r="AV746" s="48"/>
      <c r="AW746" s="48"/>
      <c r="AX746" s="48"/>
      <c r="AY746" s="48"/>
    </row>
    <row r="747" spans="1:51">
      <c r="A747" s="48"/>
      <c r="B747" s="48"/>
      <c r="C747" s="48"/>
      <c r="D747" s="48"/>
      <c r="E747" s="48"/>
      <c r="F747" s="48"/>
      <c r="G747" s="48"/>
      <c r="H747" s="48"/>
      <c r="I747" s="48"/>
      <c r="J747" s="48"/>
      <c r="K747" s="48"/>
      <c r="L747" s="48"/>
      <c r="M747" s="48"/>
      <c r="N747" s="48"/>
      <c r="O747" s="48"/>
      <c r="P747" s="48"/>
      <c r="Q747" s="48"/>
      <c r="R747" s="48"/>
      <c r="S747" s="48"/>
      <c r="T747" s="48"/>
      <c r="U747" s="48"/>
      <c r="V747" s="48"/>
      <c r="W747" s="48"/>
      <c r="X747" s="48"/>
      <c r="Y747" s="48"/>
      <c r="Z747" s="48"/>
      <c r="AA747" s="48"/>
      <c r="AB747" s="48"/>
      <c r="AC747" s="48"/>
      <c r="AD747" s="48"/>
      <c r="AE747" s="48"/>
      <c r="AF747" s="48"/>
      <c r="AG747" s="48"/>
      <c r="AH747" s="48"/>
      <c r="AI747" s="48"/>
      <c r="AJ747" s="48"/>
      <c r="AK747" s="48"/>
      <c r="AL747" s="48"/>
      <c r="AM747" s="48"/>
      <c r="AN747" s="48"/>
      <c r="AO747" s="48"/>
      <c r="AP747" s="48"/>
      <c r="AQ747" s="48"/>
      <c r="AR747" s="48"/>
      <c r="AS747" s="48"/>
      <c r="AT747" s="48"/>
      <c r="AU747" s="48"/>
      <c r="AV747" s="48"/>
      <c r="AW747" s="48"/>
      <c r="AX747" s="48"/>
      <c r="AY747" s="48"/>
    </row>
    <row r="748" spans="1:51">
      <c r="A748" s="48"/>
      <c r="B748" s="48"/>
      <c r="C748" s="48"/>
      <c r="D748" s="48"/>
      <c r="E748" s="48"/>
      <c r="F748" s="48"/>
      <c r="G748" s="48"/>
      <c r="H748" s="48"/>
      <c r="I748" s="48"/>
      <c r="J748" s="48"/>
      <c r="K748" s="48"/>
      <c r="L748" s="48"/>
      <c r="M748" s="48"/>
      <c r="N748" s="48"/>
      <c r="O748" s="48"/>
      <c r="P748" s="48"/>
      <c r="Q748" s="48"/>
      <c r="R748" s="48"/>
      <c r="S748" s="48"/>
      <c r="T748" s="48"/>
      <c r="U748" s="48"/>
      <c r="V748" s="48"/>
      <c r="W748" s="48"/>
      <c r="X748" s="48"/>
      <c r="Y748" s="48"/>
      <c r="Z748" s="48"/>
      <c r="AA748" s="48"/>
      <c r="AB748" s="48"/>
      <c r="AC748" s="48"/>
      <c r="AD748" s="48"/>
      <c r="AE748" s="48"/>
      <c r="AF748" s="48"/>
      <c r="AG748" s="48"/>
      <c r="AH748" s="48"/>
      <c r="AI748" s="48"/>
      <c r="AJ748" s="48"/>
      <c r="AK748" s="48"/>
      <c r="AL748" s="48"/>
      <c r="AM748" s="48"/>
      <c r="AN748" s="48"/>
      <c r="AO748" s="48"/>
      <c r="AP748" s="48"/>
      <c r="AQ748" s="48"/>
      <c r="AR748" s="48"/>
      <c r="AS748" s="48"/>
      <c r="AT748" s="48"/>
      <c r="AU748" s="48"/>
      <c r="AV748" s="48"/>
      <c r="AW748" s="48"/>
      <c r="AX748" s="48"/>
      <c r="AY748" s="48"/>
    </row>
    <row r="749" spans="1:51">
      <c r="A749" s="48"/>
      <c r="B749" s="48"/>
      <c r="C749" s="48"/>
      <c r="D749" s="48"/>
      <c r="E749" s="48"/>
      <c r="F749" s="48"/>
      <c r="G749" s="48"/>
      <c r="H749" s="48"/>
      <c r="I749" s="48"/>
      <c r="J749" s="48"/>
      <c r="K749" s="48"/>
      <c r="L749" s="48"/>
      <c r="M749" s="48"/>
      <c r="N749" s="48"/>
      <c r="O749" s="48"/>
      <c r="P749" s="48"/>
      <c r="Q749" s="48"/>
      <c r="R749" s="48"/>
      <c r="S749" s="48"/>
      <c r="T749" s="48"/>
      <c r="U749" s="48"/>
      <c r="V749" s="48"/>
      <c r="W749" s="48"/>
      <c r="X749" s="48"/>
      <c r="Y749" s="48"/>
      <c r="Z749" s="48"/>
      <c r="AA749" s="48"/>
      <c r="AB749" s="48"/>
      <c r="AC749" s="48"/>
      <c r="AD749" s="48"/>
      <c r="AE749" s="48"/>
      <c r="AF749" s="48"/>
      <c r="AG749" s="48"/>
      <c r="AH749" s="48"/>
      <c r="AI749" s="48"/>
      <c r="AJ749" s="48"/>
      <c r="AK749" s="48"/>
      <c r="AL749" s="48"/>
      <c r="AM749" s="48"/>
      <c r="AN749" s="48"/>
      <c r="AO749" s="48"/>
      <c r="AP749" s="48"/>
      <c r="AQ749" s="48"/>
      <c r="AR749" s="48"/>
      <c r="AS749" s="48"/>
      <c r="AT749" s="48"/>
      <c r="AU749" s="48"/>
      <c r="AV749" s="48"/>
      <c r="AW749" s="48"/>
      <c r="AX749" s="48"/>
      <c r="AY749" s="48"/>
    </row>
    <row r="750" spans="1:51">
      <c r="A750" s="48"/>
      <c r="B750" s="48"/>
      <c r="C750" s="48"/>
      <c r="D750" s="48"/>
      <c r="E750" s="48"/>
      <c r="F750" s="48"/>
      <c r="G750" s="48"/>
      <c r="H750" s="48"/>
      <c r="I750" s="48"/>
      <c r="J750" s="48"/>
      <c r="K750" s="48"/>
      <c r="L750" s="48"/>
      <c r="M750" s="48"/>
      <c r="N750" s="48"/>
      <c r="O750" s="48"/>
      <c r="P750" s="48"/>
      <c r="Q750" s="48"/>
      <c r="R750" s="48"/>
      <c r="S750" s="48"/>
      <c r="T750" s="48"/>
      <c r="U750" s="48"/>
      <c r="V750" s="48"/>
      <c r="W750" s="48"/>
      <c r="X750" s="48"/>
      <c r="Y750" s="48"/>
      <c r="Z750" s="48"/>
      <c r="AA750" s="48"/>
      <c r="AB750" s="48"/>
      <c r="AC750" s="48"/>
      <c r="AD750" s="48"/>
      <c r="AE750" s="48"/>
      <c r="AF750" s="48"/>
      <c r="AG750" s="48"/>
      <c r="AH750" s="48"/>
      <c r="AI750" s="48"/>
      <c r="AJ750" s="48"/>
      <c r="AK750" s="48"/>
      <c r="AL750" s="48"/>
      <c r="AM750" s="48"/>
      <c r="AN750" s="48"/>
      <c r="AO750" s="48"/>
      <c r="AP750" s="48"/>
      <c r="AQ750" s="48"/>
      <c r="AR750" s="48"/>
      <c r="AS750" s="48"/>
      <c r="AT750" s="48"/>
      <c r="AU750" s="48"/>
      <c r="AV750" s="48"/>
      <c r="AW750" s="48"/>
      <c r="AX750" s="48"/>
      <c r="AY750" s="48"/>
    </row>
    <row r="751" spans="1:51">
      <c r="A751" s="48"/>
      <c r="B751" s="48"/>
      <c r="C751" s="48"/>
      <c r="D751" s="48"/>
      <c r="E751" s="48"/>
      <c r="F751" s="48"/>
      <c r="G751" s="48"/>
      <c r="H751" s="48"/>
      <c r="I751" s="48"/>
      <c r="J751" s="48"/>
      <c r="K751" s="48"/>
      <c r="L751" s="48"/>
      <c r="M751" s="48"/>
      <c r="N751" s="48"/>
      <c r="O751" s="48"/>
      <c r="P751" s="48"/>
      <c r="Q751" s="48"/>
      <c r="R751" s="48"/>
      <c r="S751" s="48"/>
      <c r="T751" s="48"/>
      <c r="U751" s="48"/>
      <c r="V751" s="48"/>
      <c r="W751" s="48"/>
      <c r="X751" s="48"/>
      <c r="Y751" s="48"/>
      <c r="Z751" s="48"/>
      <c r="AA751" s="48"/>
      <c r="AB751" s="48"/>
      <c r="AC751" s="48"/>
      <c r="AD751" s="48"/>
      <c r="AE751" s="48"/>
      <c r="AF751" s="48"/>
      <c r="AG751" s="48"/>
      <c r="AH751" s="48"/>
      <c r="AI751" s="48"/>
      <c r="AJ751" s="48"/>
      <c r="AK751" s="48"/>
      <c r="AL751" s="48"/>
      <c r="AM751" s="48"/>
      <c r="AN751" s="48"/>
      <c r="AO751" s="48"/>
      <c r="AP751" s="48"/>
      <c r="AQ751" s="48"/>
      <c r="AR751" s="48"/>
      <c r="AS751" s="48"/>
      <c r="AT751" s="48"/>
      <c r="AU751" s="48"/>
      <c r="AV751" s="48"/>
      <c r="AW751" s="48"/>
      <c r="AX751" s="48"/>
      <c r="AY751" s="48"/>
    </row>
    <row r="752" spans="1:51">
      <c r="A752" s="48"/>
      <c r="B752" s="48"/>
      <c r="C752" s="48"/>
      <c r="D752" s="48"/>
      <c r="E752" s="48"/>
      <c r="F752" s="48"/>
      <c r="G752" s="48"/>
      <c r="H752" s="48"/>
      <c r="I752" s="48"/>
      <c r="J752" s="48"/>
      <c r="K752" s="48"/>
      <c r="L752" s="48"/>
      <c r="M752" s="48"/>
      <c r="N752" s="48"/>
      <c r="O752" s="48"/>
      <c r="P752" s="48"/>
      <c r="Q752" s="48"/>
      <c r="R752" s="48"/>
      <c r="S752" s="48"/>
      <c r="T752" s="48"/>
      <c r="U752" s="48"/>
      <c r="V752" s="48"/>
      <c r="W752" s="48"/>
      <c r="X752" s="48"/>
      <c r="Y752" s="48"/>
      <c r="Z752" s="48"/>
      <c r="AA752" s="48"/>
      <c r="AB752" s="48"/>
      <c r="AC752" s="48"/>
      <c r="AD752" s="48"/>
      <c r="AE752" s="48"/>
      <c r="AF752" s="48"/>
      <c r="AG752" s="48"/>
      <c r="AH752" s="48"/>
      <c r="AI752" s="48"/>
      <c r="AJ752" s="48"/>
      <c r="AK752" s="48"/>
      <c r="AL752" s="48"/>
      <c r="AM752" s="48"/>
      <c r="AN752" s="48"/>
      <c r="AO752" s="48"/>
      <c r="AP752" s="48"/>
      <c r="AQ752" s="48"/>
      <c r="AR752" s="48"/>
      <c r="AS752" s="48"/>
      <c r="AT752" s="48"/>
      <c r="AU752" s="48"/>
      <c r="AV752" s="48"/>
      <c r="AW752" s="48"/>
      <c r="AX752" s="48"/>
      <c r="AY752" s="48"/>
    </row>
    <row r="753" spans="1:51">
      <c r="A753" s="48"/>
      <c r="B753" s="48"/>
      <c r="C753" s="48"/>
      <c r="D753" s="48"/>
      <c r="E753" s="48"/>
      <c r="F753" s="48"/>
      <c r="G753" s="48"/>
      <c r="H753" s="48"/>
      <c r="I753" s="48"/>
      <c r="J753" s="48"/>
      <c r="K753" s="48"/>
      <c r="L753" s="48"/>
      <c r="M753" s="48"/>
      <c r="N753" s="48"/>
      <c r="O753" s="48"/>
      <c r="P753" s="48"/>
      <c r="Q753" s="48"/>
      <c r="R753" s="48"/>
      <c r="S753" s="48"/>
      <c r="T753" s="48"/>
      <c r="U753" s="48"/>
      <c r="V753" s="48"/>
      <c r="W753" s="48"/>
      <c r="X753" s="48"/>
      <c r="Y753" s="48"/>
      <c r="Z753" s="48"/>
      <c r="AA753" s="48"/>
      <c r="AB753" s="48"/>
      <c r="AC753" s="48"/>
      <c r="AD753" s="48"/>
      <c r="AE753" s="48"/>
      <c r="AF753" s="48"/>
      <c r="AG753" s="48"/>
      <c r="AH753" s="48"/>
      <c r="AI753" s="48"/>
      <c r="AJ753" s="48"/>
      <c r="AK753" s="48"/>
      <c r="AL753" s="48"/>
      <c r="AM753" s="48"/>
      <c r="AN753" s="48"/>
      <c r="AO753" s="48"/>
      <c r="AP753" s="48"/>
      <c r="AQ753" s="48"/>
      <c r="AR753" s="48"/>
      <c r="AS753" s="48"/>
      <c r="AT753" s="48"/>
      <c r="AU753" s="48"/>
      <c r="AV753" s="48"/>
      <c r="AW753" s="48"/>
      <c r="AX753" s="48"/>
      <c r="AY753" s="48"/>
    </row>
    <row r="754" spans="1:51">
      <c r="A754" s="48"/>
      <c r="B754" s="48"/>
      <c r="C754" s="48"/>
      <c r="D754" s="48"/>
      <c r="E754" s="48"/>
      <c r="F754" s="48"/>
      <c r="G754" s="48"/>
      <c r="H754" s="48"/>
      <c r="I754" s="48"/>
      <c r="J754" s="48"/>
      <c r="K754" s="48"/>
      <c r="L754" s="48"/>
      <c r="M754" s="48"/>
      <c r="N754" s="48"/>
      <c r="O754" s="48"/>
      <c r="P754" s="48"/>
      <c r="Q754" s="48"/>
      <c r="R754" s="48"/>
      <c r="S754" s="48"/>
      <c r="T754" s="48"/>
      <c r="U754" s="48"/>
      <c r="V754" s="48"/>
      <c r="W754" s="48"/>
      <c r="X754" s="48"/>
      <c r="Y754" s="48"/>
      <c r="Z754" s="48"/>
      <c r="AA754" s="48"/>
      <c r="AB754" s="48"/>
      <c r="AC754" s="48"/>
      <c r="AD754" s="48"/>
      <c r="AE754" s="48"/>
      <c r="AF754" s="48"/>
      <c r="AG754" s="48"/>
      <c r="AH754" s="48"/>
      <c r="AI754" s="48"/>
      <c r="AJ754" s="48"/>
      <c r="AK754" s="48"/>
      <c r="AL754" s="48"/>
      <c r="AM754" s="48"/>
      <c r="AN754" s="48"/>
      <c r="AO754" s="48"/>
      <c r="AP754" s="48"/>
      <c r="AQ754" s="48"/>
      <c r="AR754" s="48"/>
      <c r="AS754" s="48"/>
      <c r="AT754" s="48"/>
      <c r="AU754" s="48"/>
      <c r="AV754" s="48"/>
      <c r="AW754" s="48"/>
      <c r="AX754" s="48"/>
      <c r="AY754" s="48"/>
    </row>
    <row r="755" spans="1:51">
      <c r="A755" s="48"/>
      <c r="B755" s="48"/>
      <c r="C755" s="48"/>
      <c r="D755" s="48"/>
      <c r="E755" s="48"/>
      <c r="F755" s="48"/>
      <c r="G755" s="48"/>
      <c r="H755" s="48"/>
      <c r="I755" s="48"/>
      <c r="J755" s="48"/>
      <c r="K755" s="48"/>
      <c r="L755" s="48"/>
      <c r="M755" s="48"/>
      <c r="N755" s="48"/>
      <c r="O755" s="48"/>
      <c r="P755" s="48"/>
      <c r="Q755" s="48"/>
      <c r="R755" s="48"/>
      <c r="S755" s="48"/>
      <c r="T755" s="48"/>
      <c r="U755" s="48"/>
      <c r="V755" s="48"/>
      <c r="W755" s="48"/>
      <c r="X755" s="48"/>
      <c r="Y755" s="48"/>
      <c r="Z755" s="48"/>
      <c r="AA755" s="48"/>
      <c r="AB755" s="48"/>
      <c r="AC755" s="48"/>
      <c r="AD755" s="48"/>
      <c r="AE755" s="48"/>
      <c r="AF755" s="48"/>
      <c r="AG755" s="48"/>
      <c r="AH755" s="48"/>
      <c r="AI755" s="48"/>
      <c r="AJ755" s="48"/>
      <c r="AK755" s="48"/>
      <c r="AL755" s="48"/>
      <c r="AM755" s="48"/>
      <c r="AN755" s="48"/>
      <c r="AO755" s="48"/>
      <c r="AP755" s="48"/>
      <c r="AQ755" s="48"/>
      <c r="AR755" s="48"/>
      <c r="AS755" s="48"/>
      <c r="AT755" s="48"/>
      <c r="AU755" s="48"/>
      <c r="AV755" s="48"/>
      <c r="AW755" s="48"/>
      <c r="AX755" s="48"/>
      <c r="AY755" s="48"/>
    </row>
    <row r="756" spans="1:51">
      <c r="A756" s="48"/>
      <c r="B756" s="48"/>
      <c r="C756" s="48"/>
      <c r="D756" s="48"/>
      <c r="E756" s="48"/>
      <c r="F756" s="48"/>
      <c r="G756" s="48"/>
      <c r="H756" s="48"/>
      <c r="I756" s="48"/>
      <c r="J756" s="48"/>
      <c r="K756" s="48"/>
      <c r="L756" s="48"/>
      <c r="M756" s="48"/>
      <c r="N756" s="48"/>
      <c r="O756" s="48"/>
      <c r="P756" s="48"/>
      <c r="Q756" s="48"/>
      <c r="R756" s="48"/>
      <c r="S756" s="48"/>
      <c r="T756" s="48"/>
      <c r="U756" s="48"/>
      <c r="V756" s="48"/>
      <c r="W756" s="48"/>
      <c r="X756" s="48"/>
      <c r="Y756" s="48"/>
      <c r="Z756" s="48"/>
      <c r="AA756" s="48"/>
      <c r="AB756" s="48"/>
      <c r="AC756" s="48"/>
      <c r="AD756" s="48"/>
      <c r="AE756" s="48"/>
      <c r="AF756" s="48"/>
      <c r="AG756" s="48"/>
      <c r="AH756" s="48"/>
      <c r="AI756" s="48"/>
      <c r="AJ756" s="48"/>
      <c r="AK756" s="48"/>
      <c r="AL756" s="48"/>
      <c r="AM756" s="48"/>
      <c r="AN756" s="48"/>
      <c r="AO756" s="48"/>
      <c r="AP756" s="48"/>
      <c r="AQ756" s="48"/>
      <c r="AR756" s="48"/>
      <c r="AS756" s="48"/>
      <c r="AT756" s="48"/>
      <c r="AU756" s="48"/>
      <c r="AV756" s="48"/>
      <c r="AW756" s="48"/>
      <c r="AX756" s="48"/>
      <c r="AY756" s="48"/>
    </row>
    <row r="757" spans="1:51">
      <c r="A757" s="48"/>
      <c r="B757" s="48"/>
      <c r="C757" s="48"/>
      <c r="D757" s="48"/>
      <c r="E757" s="48"/>
      <c r="F757" s="48"/>
      <c r="G757" s="48"/>
      <c r="H757" s="48"/>
      <c r="I757" s="48"/>
      <c r="J757" s="48"/>
      <c r="K757" s="48"/>
      <c r="L757" s="48"/>
      <c r="M757" s="48"/>
      <c r="N757" s="48"/>
      <c r="O757" s="48"/>
      <c r="P757" s="48"/>
      <c r="Q757" s="48"/>
      <c r="R757" s="48"/>
      <c r="S757" s="48"/>
      <c r="T757" s="48"/>
      <c r="U757" s="48"/>
      <c r="V757" s="48"/>
      <c r="W757" s="48"/>
      <c r="X757" s="48"/>
      <c r="Y757" s="48"/>
      <c r="Z757" s="48"/>
      <c r="AA757" s="48"/>
      <c r="AB757" s="48"/>
      <c r="AC757" s="48"/>
      <c r="AD757" s="48"/>
      <c r="AE757" s="48"/>
      <c r="AF757" s="48"/>
      <c r="AG757" s="48"/>
      <c r="AH757" s="48"/>
      <c r="AI757" s="48"/>
      <c r="AJ757" s="48"/>
      <c r="AK757" s="48"/>
      <c r="AL757" s="48"/>
      <c r="AM757" s="48"/>
      <c r="AN757" s="48"/>
      <c r="AO757" s="48"/>
      <c r="AP757" s="48"/>
      <c r="AQ757" s="48"/>
      <c r="AR757" s="48"/>
      <c r="AS757" s="48"/>
      <c r="AT757" s="48"/>
      <c r="AU757" s="48"/>
      <c r="AV757" s="48"/>
      <c r="AW757" s="48"/>
      <c r="AX757" s="48"/>
      <c r="AY757" s="48"/>
    </row>
    <row r="758" spans="1:51">
      <c r="A758" s="48"/>
      <c r="B758" s="48"/>
      <c r="C758" s="48"/>
      <c r="D758" s="48"/>
      <c r="E758" s="48"/>
      <c r="F758" s="48"/>
      <c r="G758" s="48"/>
      <c r="H758" s="48"/>
      <c r="I758" s="48"/>
      <c r="J758" s="48"/>
      <c r="K758" s="48"/>
      <c r="L758" s="48"/>
      <c r="M758" s="48"/>
      <c r="N758" s="48"/>
      <c r="O758" s="48"/>
      <c r="P758" s="48"/>
      <c r="Q758" s="48"/>
      <c r="R758" s="48"/>
      <c r="S758" s="48"/>
      <c r="T758" s="48"/>
      <c r="U758" s="48"/>
      <c r="V758" s="48"/>
      <c r="W758" s="48"/>
      <c r="X758" s="48"/>
      <c r="Y758" s="48"/>
      <c r="Z758" s="48"/>
      <c r="AA758" s="48"/>
      <c r="AB758" s="48"/>
      <c r="AC758" s="48"/>
      <c r="AD758" s="48"/>
      <c r="AE758" s="48"/>
      <c r="AF758" s="48"/>
      <c r="AG758" s="48"/>
      <c r="AH758" s="48"/>
      <c r="AI758" s="48"/>
      <c r="AJ758" s="48"/>
      <c r="AK758" s="48"/>
      <c r="AL758" s="48"/>
      <c r="AM758" s="48"/>
      <c r="AN758" s="48"/>
      <c r="AO758" s="48"/>
      <c r="AP758" s="48"/>
      <c r="AQ758" s="48"/>
      <c r="AR758" s="48"/>
      <c r="AS758" s="48"/>
      <c r="AT758" s="48"/>
      <c r="AU758" s="48"/>
      <c r="AV758" s="48"/>
      <c r="AW758" s="48"/>
      <c r="AX758" s="48"/>
      <c r="AY758" s="48"/>
    </row>
    <row r="759" spans="1:51">
      <c r="A759" s="48"/>
      <c r="B759" s="48"/>
      <c r="C759" s="48"/>
      <c r="D759" s="48"/>
      <c r="E759" s="48"/>
      <c r="F759" s="48"/>
      <c r="G759" s="48"/>
      <c r="H759" s="48"/>
      <c r="I759" s="48"/>
      <c r="J759" s="48"/>
      <c r="K759" s="48"/>
      <c r="L759" s="48"/>
      <c r="M759" s="48"/>
      <c r="N759" s="48"/>
      <c r="O759" s="48"/>
      <c r="P759" s="48"/>
      <c r="Q759" s="48"/>
      <c r="R759" s="48"/>
      <c r="S759" s="48"/>
      <c r="T759" s="48"/>
      <c r="U759" s="48"/>
      <c r="V759" s="48"/>
      <c r="W759" s="48"/>
      <c r="X759" s="48"/>
      <c r="Y759" s="48"/>
      <c r="Z759" s="48"/>
      <c r="AA759" s="48"/>
      <c r="AB759" s="48"/>
      <c r="AC759" s="48"/>
      <c r="AD759" s="48"/>
      <c r="AE759" s="48"/>
      <c r="AF759" s="48"/>
      <c r="AG759" s="48"/>
      <c r="AH759" s="48"/>
      <c r="AI759" s="48"/>
      <c r="AJ759" s="48"/>
      <c r="AK759" s="48"/>
      <c r="AL759" s="48"/>
      <c r="AM759" s="48"/>
      <c r="AN759" s="48"/>
      <c r="AO759" s="48"/>
      <c r="AP759" s="48"/>
      <c r="AQ759" s="48"/>
      <c r="AR759" s="48"/>
      <c r="AS759" s="48"/>
      <c r="AT759" s="48"/>
      <c r="AU759" s="48"/>
      <c r="AV759" s="48"/>
      <c r="AW759" s="48"/>
      <c r="AX759" s="48"/>
      <c r="AY759" s="48"/>
    </row>
    <row r="760" spans="1:51">
      <c r="A760" s="48"/>
      <c r="B760" s="48"/>
      <c r="C760" s="48"/>
      <c r="D760" s="48"/>
      <c r="E760" s="48"/>
      <c r="F760" s="48"/>
      <c r="G760" s="48"/>
      <c r="H760" s="48"/>
      <c r="I760" s="48"/>
      <c r="J760" s="48"/>
      <c r="K760" s="48"/>
      <c r="L760" s="48"/>
      <c r="M760" s="48"/>
      <c r="N760" s="48"/>
      <c r="O760" s="48"/>
      <c r="P760" s="48"/>
      <c r="Q760" s="48"/>
      <c r="R760" s="48"/>
      <c r="S760" s="48"/>
      <c r="T760" s="48"/>
      <c r="U760" s="48"/>
      <c r="V760" s="48"/>
      <c r="W760" s="48"/>
      <c r="X760" s="48"/>
      <c r="Y760" s="48"/>
      <c r="Z760" s="48"/>
      <c r="AA760" s="48"/>
      <c r="AB760" s="48"/>
      <c r="AC760" s="48"/>
      <c r="AD760" s="48"/>
      <c r="AE760" s="48"/>
      <c r="AF760" s="48"/>
      <c r="AG760" s="48"/>
      <c r="AH760" s="48"/>
      <c r="AI760" s="48"/>
      <c r="AJ760" s="48"/>
      <c r="AK760" s="48"/>
      <c r="AL760" s="48"/>
      <c r="AM760" s="48"/>
      <c r="AN760" s="48"/>
      <c r="AO760" s="48"/>
      <c r="AP760" s="48"/>
      <c r="AQ760" s="48"/>
      <c r="AR760" s="48"/>
      <c r="AS760" s="48"/>
      <c r="AT760" s="48"/>
      <c r="AU760" s="48"/>
      <c r="AV760" s="48"/>
      <c r="AW760" s="48"/>
      <c r="AX760" s="48"/>
      <c r="AY760" s="48"/>
    </row>
    <row r="761" spans="1:51">
      <c r="A761" s="48"/>
      <c r="B761" s="48"/>
      <c r="C761" s="48"/>
      <c r="D761" s="48"/>
      <c r="E761" s="48"/>
      <c r="F761" s="48"/>
      <c r="G761" s="48"/>
      <c r="H761" s="48"/>
      <c r="I761" s="48"/>
      <c r="J761" s="48"/>
      <c r="K761" s="48"/>
      <c r="L761" s="48"/>
      <c r="M761" s="48"/>
      <c r="N761" s="48"/>
      <c r="O761" s="48"/>
      <c r="P761" s="48"/>
      <c r="Q761" s="48"/>
      <c r="R761" s="48"/>
      <c r="S761" s="48"/>
      <c r="T761" s="48"/>
      <c r="U761" s="48"/>
      <c r="V761" s="48"/>
      <c r="W761" s="48"/>
      <c r="X761" s="48"/>
      <c r="Y761" s="48"/>
      <c r="Z761" s="48"/>
      <c r="AA761" s="48"/>
      <c r="AB761" s="48"/>
      <c r="AC761" s="48"/>
      <c r="AD761" s="48"/>
      <c r="AE761" s="48"/>
      <c r="AF761" s="48"/>
      <c r="AG761" s="48"/>
      <c r="AH761" s="48"/>
      <c r="AI761" s="48"/>
      <c r="AJ761" s="48"/>
      <c r="AK761" s="48"/>
      <c r="AL761" s="48"/>
      <c r="AM761" s="48"/>
      <c r="AN761" s="48"/>
      <c r="AO761" s="48"/>
      <c r="AP761" s="48"/>
      <c r="AQ761" s="48"/>
      <c r="AR761" s="48"/>
      <c r="AS761" s="48"/>
      <c r="AT761" s="48"/>
      <c r="AU761" s="48"/>
      <c r="AV761" s="48"/>
      <c r="AW761" s="48"/>
      <c r="AX761" s="48"/>
      <c r="AY761" s="48"/>
    </row>
    <row r="762" spans="1:51">
      <c r="A762" s="48"/>
      <c r="B762" s="48"/>
      <c r="C762" s="48"/>
      <c r="D762" s="48"/>
      <c r="E762" s="48"/>
      <c r="F762" s="48"/>
      <c r="G762" s="48"/>
      <c r="H762" s="48"/>
      <c r="I762" s="48"/>
      <c r="J762" s="48"/>
      <c r="K762" s="48"/>
      <c r="L762" s="48"/>
      <c r="M762" s="48"/>
      <c r="N762" s="48"/>
      <c r="O762" s="48"/>
      <c r="P762" s="48"/>
      <c r="Q762" s="48"/>
      <c r="R762" s="48"/>
      <c r="S762" s="48"/>
      <c r="T762" s="48"/>
      <c r="U762" s="48"/>
      <c r="V762" s="48"/>
      <c r="W762" s="48"/>
      <c r="X762" s="48"/>
      <c r="Y762" s="48"/>
      <c r="Z762" s="48"/>
      <c r="AA762" s="48"/>
      <c r="AB762" s="48"/>
      <c r="AC762" s="48"/>
      <c r="AD762" s="48"/>
      <c r="AE762" s="48"/>
      <c r="AF762" s="48"/>
      <c r="AG762" s="48"/>
      <c r="AH762" s="48"/>
      <c r="AI762" s="48"/>
      <c r="AJ762" s="48"/>
      <c r="AK762" s="48"/>
      <c r="AL762" s="48"/>
      <c r="AM762" s="48"/>
      <c r="AN762" s="48"/>
      <c r="AO762" s="48"/>
      <c r="AP762" s="48"/>
      <c r="AQ762" s="48"/>
      <c r="AR762" s="48"/>
      <c r="AS762" s="48"/>
      <c r="AT762" s="48"/>
      <c r="AU762" s="48"/>
      <c r="AV762" s="48"/>
      <c r="AW762" s="48"/>
      <c r="AX762" s="48"/>
      <c r="AY762" s="48"/>
    </row>
    <row r="763" spans="1:51">
      <c r="A763" s="48"/>
      <c r="B763" s="48"/>
      <c r="C763" s="48"/>
      <c r="D763" s="48"/>
      <c r="E763" s="48"/>
      <c r="F763" s="48"/>
      <c r="G763" s="48"/>
      <c r="H763" s="48"/>
      <c r="I763" s="48"/>
      <c r="J763" s="48"/>
      <c r="K763" s="48"/>
      <c r="L763" s="48"/>
      <c r="M763" s="48"/>
      <c r="N763" s="48"/>
      <c r="O763" s="48"/>
      <c r="P763" s="48"/>
      <c r="Q763" s="48"/>
      <c r="R763" s="48"/>
      <c r="S763" s="48"/>
      <c r="T763" s="48"/>
      <c r="U763" s="48"/>
      <c r="V763" s="48"/>
      <c r="W763" s="48"/>
      <c r="X763" s="48"/>
      <c r="Y763" s="48"/>
      <c r="Z763" s="48"/>
      <c r="AA763" s="48"/>
      <c r="AB763" s="48"/>
      <c r="AC763" s="48"/>
      <c r="AD763" s="48"/>
      <c r="AE763" s="48"/>
      <c r="AF763" s="48"/>
      <c r="AG763" s="48"/>
      <c r="AH763" s="48"/>
      <c r="AI763" s="48"/>
      <c r="AJ763" s="48"/>
      <c r="AK763" s="48"/>
      <c r="AL763" s="48"/>
      <c r="AM763" s="48"/>
      <c r="AN763" s="48"/>
      <c r="AO763" s="48"/>
      <c r="AP763" s="48"/>
      <c r="AQ763" s="48"/>
      <c r="AR763" s="48"/>
      <c r="AS763" s="48"/>
      <c r="AT763" s="48"/>
      <c r="AU763" s="48"/>
      <c r="AV763" s="48"/>
      <c r="AW763" s="48"/>
      <c r="AX763" s="48"/>
      <c r="AY763" s="48"/>
    </row>
    <row r="764" spans="1:51">
      <c r="A764" s="48"/>
      <c r="B764" s="48"/>
      <c r="C764" s="48"/>
      <c r="D764" s="48"/>
      <c r="E764" s="48"/>
      <c r="F764" s="48"/>
      <c r="G764" s="48"/>
      <c r="H764" s="48"/>
      <c r="I764" s="48"/>
      <c r="J764" s="48"/>
      <c r="K764" s="48"/>
      <c r="L764" s="48"/>
      <c r="M764" s="48"/>
      <c r="N764" s="48"/>
      <c r="O764" s="48"/>
      <c r="P764" s="48"/>
      <c r="Q764" s="48"/>
      <c r="R764" s="48"/>
      <c r="S764" s="48"/>
      <c r="T764" s="48"/>
      <c r="U764" s="48"/>
      <c r="V764" s="48"/>
      <c r="W764" s="48"/>
      <c r="X764" s="48"/>
      <c r="Y764" s="48"/>
      <c r="Z764" s="48"/>
      <c r="AA764" s="48"/>
      <c r="AB764" s="48"/>
      <c r="AC764" s="48"/>
      <c r="AD764" s="48"/>
      <c r="AE764" s="48"/>
      <c r="AF764" s="48"/>
      <c r="AG764" s="48"/>
      <c r="AH764" s="48"/>
      <c r="AI764" s="48"/>
      <c r="AJ764" s="48"/>
      <c r="AK764" s="48"/>
      <c r="AL764" s="48"/>
      <c r="AM764" s="48"/>
      <c r="AN764" s="48"/>
      <c r="AO764" s="48"/>
      <c r="AP764" s="48"/>
      <c r="AQ764" s="48"/>
      <c r="AR764" s="48"/>
      <c r="AS764" s="48"/>
      <c r="AT764" s="48"/>
      <c r="AU764" s="48"/>
      <c r="AV764" s="48"/>
      <c r="AW764" s="48"/>
      <c r="AX764" s="48"/>
      <c r="AY764" s="48"/>
    </row>
    <row r="765" spans="1:51">
      <c r="A765" s="48"/>
      <c r="B765" s="48"/>
      <c r="C765" s="48"/>
      <c r="D765" s="48"/>
      <c r="E765" s="48"/>
      <c r="F765" s="48"/>
      <c r="G765" s="48"/>
      <c r="H765" s="48"/>
      <c r="I765" s="48"/>
      <c r="J765" s="48"/>
      <c r="K765" s="48"/>
      <c r="L765" s="48"/>
      <c r="M765" s="48"/>
      <c r="N765" s="48"/>
      <c r="O765" s="48"/>
      <c r="P765" s="48"/>
      <c r="Q765" s="48"/>
      <c r="R765" s="48"/>
      <c r="S765" s="48"/>
      <c r="T765" s="48"/>
      <c r="U765" s="48"/>
      <c r="V765" s="48"/>
      <c r="W765" s="48"/>
      <c r="X765" s="48"/>
      <c r="Y765" s="48"/>
      <c r="Z765" s="48"/>
      <c r="AA765" s="48"/>
      <c r="AB765" s="48"/>
      <c r="AC765" s="48"/>
      <c r="AD765" s="48"/>
      <c r="AE765" s="48"/>
      <c r="AF765" s="48"/>
      <c r="AG765" s="48"/>
      <c r="AH765" s="48"/>
      <c r="AI765" s="48"/>
      <c r="AJ765" s="48"/>
      <c r="AK765" s="48"/>
      <c r="AL765" s="48"/>
      <c r="AM765" s="48"/>
      <c r="AN765" s="48"/>
      <c r="AO765" s="48"/>
      <c r="AP765" s="48"/>
      <c r="AQ765" s="48"/>
      <c r="AR765" s="48"/>
      <c r="AS765" s="48"/>
      <c r="AT765" s="48"/>
      <c r="AU765" s="48"/>
      <c r="AV765" s="48"/>
      <c r="AW765" s="48"/>
      <c r="AX765" s="48"/>
      <c r="AY765" s="48"/>
    </row>
    <row r="766" spans="1:51">
      <c r="A766" s="48"/>
      <c r="B766" s="48"/>
      <c r="C766" s="48"/>
      <c r="D766" s="48"/>
      <c r="E766" s="48"/>
      <c r="F766" s="48"/>
      <c r="G766" s="48"/>
      <c r="H766" s="48"/>
      <c r="I766" s="48"/>
      <c r="J766" s="48"/>
      <c r="K766" s="48"/>
      <c r="L766" s="48"/>
      <c r="M766" s="48"/>
      <c r="N766" s="48"/>
      <c r="O766" s="48"/>
      <c r="P766" s="48"/>
      <c r="Q766" s="48"/>
      <c r="R766" s="48"/>
      <c r="S766" s="48"/>
      <c r="T766" s="48"/>
      <c r="U766" s="48"/>
      <c r="V766" s="48"/>
      <c r="W766" s="48"/>
      <c r="X766" s="48"/>
      <c r="Y766" s="48"/>
      <c r="Z766" s="48"/>
      <c r="AA766" s="48"/>
      <c r="AB766" s="48"/>
      <c r="AC766" s="48"/>
      <c r="AD766" s="48"/>
      <c r="AE766" s="48"/>
      <c r="AF766" s="48"/>
      <c r="AG766" s="48"/>
      <c r="AH766" s="48"/>
      <c r="AI766" s="48"/>
      <c r="AJ766" s="48"/>
      <c r="AK766" s="48"/>
      <c r="AL766" s="48"/>
      <c r="AM766" s="48"/>
      <c r="AN766" s="48"/>
      <c r="AO766" s="48"/>
      <c r="AP766" s="48"/>
      <c r="AQ766" s="48"/>
      <c r="AR766" s="48"/>
      <c r="AS766" s="48"/>
      <c r="AT766" s="48"/>
      <c r="AU766" s="48"/>
      <c r="AV766" s="48"/>
      <c r="AW766" s="48"/>
      <c r="AX766" s="48"/>
      <c r="AY766" s="48"/>
    </row>
    <row r="767" spans="1:51">
      <c r="A767" s="48"/>
      <c r="B767" s="48"/>
      <c r="C767" s="48"/>
      <c r="D767" s="48"/>
      <c r="E767" s="48"/>
      <c r="F767" s="48"/>
      <c r="G767" s="48"/>
      <c r="H767" s="48"/>
      <c r="I767" s="48"/>
      <c r="J767" s="48"/>
      <c r="K767" s="48"/>
      <c r="L767" s="48"/>
      <c r="M767" s="48"/>
      <c r="N767" s="48"/>
      <c r="O767" s="48"/>
      <c r="P767" s="48"/>
      <c r="Q767" s="48"/>
      <c r="R767" s="48"/>
      <c r="S767" s="48"/>
      <c r="T767" s="48"/>
      <c r="U767" s="48"/>
      <c r="V767" s="48"/>
      <c r="W767" s="48"/>
      <c r="X767" s="48"/>
      <c r="Y767" s="48"/>
      <c r="Z767" s="48"/>
      <c r="AA767" s="48"/>
      <c r="AB767" s="48"/>
      <c r="AC767" s="48"/>
      <c r="AD767" s="48"/>
      <c r="AE767" s="48"/>
      <c r="AF767" s="48"/>
      <c r="AG767" s="48"/>
      <c r="AH767" s="48"/>
      <c r="AI767" s="48"/>
      <c r="AJ767" s="48"/>
      <c r="AK767" s="48"/>
      <c r="AL767" s="48"/>
      <c r="AM767" s="48"/>
      <c r="AN767" s="48"/>
      <c r="AO767" s="48"/>
      <c r="AP767" s="48"/>
      <c r="AQ767" s="48"/>
      <c r="AR767" s="48"/>
      <c r="AS767" s="48"/>
      <c r="AT767" s="48"/>
      <c r="AU767" s="48"/>
      <c r="AV767" s="48"/>
      <c r="AW767" s="48"/>
      <c r="AX767" s="48"/>
      <c r="AY767" s="48"/>
    </row>
    <row r="768" spans="1:51">
      <c r="A768" s="48"/>
      <c r="B768" s="48"/>
      <c r="C768" s="48"/>
      <c r="D768" s="48"/>
      <c r="E768" s="48"/>
      <c r="F768" s="48"/>
      <c r="G768" s="48"/>
      <c r="H768" s="48"/>
      <c r="I768" s="48"/>
      <c r="J768" s="48"/>
      <c r="K768" s="48"/>
      <c r="L768" s="48"/>
      <c r="M768" s="48"/>
      <c r="N768" s="48"/>
      <c r="O768" s="48"/>
      <c r="P768" s="48"/>
      <c r="Q768" s="48"/>
      <c r="R768" s="48"/>
      <c r="S768" s="48"/>
      <c r="T768" s="48"/>
      <c r="U768" s="48"/>
      <c r="V768" s="48"/>
      <c r="W768" s="48"/>
      <c r="X768" s="48"/>
      <c r="Y768" s="48"/>
      <c r="Z768" s="48"/>
      <c r="AA768" s="48"/>
      <c r="AB768" s="48"/>
      <c r="AC768" s="48"/>
      <c r="AD768" s="48"/>
      <c r="AE768" s="48"/>
      <c r="AF768" s="48"/>
      <c r="AG768" s="48"/>
      <c r="AH768" s="48"/>
      <c r="AI768" s="48"/>
      <c r="AJ768" s="48"/>
      <c r="AK768" s="48"/>
      <c r="AL768" s="48"/>
      <c r="AM768" s="48"/>
      <c r="AN768" s="48"/>
      <c r="AO768" s="48"/>
      <c r="AP768" s="48"/>
      <c r="AQ768" s="48"/>
      <c r="AR768" s="48"/>
      <c r="AS768" s="48"/>
      <c r="AT768" s="48"/>
      <c r="AU768" s="48"/>
      <c r="AV768" s="48"/>
      <c r="AW768" s="48"/>
      <c r="AX768" s="48"/>
      <c r="AY768" s="48"/>
    </row>
    <row r="769" spans="1:51">
      <c r="A769" s="48"/>
      <c r="B769" s="48"/>
      <c r="C769" s="48"/>
      <c r="D769" s="48"/>
      <c r="E769" s="48"/>
      <c r="F769" s="48"/>
      <c r="G769" s="48"/>
      <c r="H769" s="48"/>
      <c r="I769" s="48"/>
      <c r="J769" s="48"/>
      <c r="K769" s="48"/>
      <c r="L769" s="48"/>
      <c r="M769" s="48"/>
      <c r="N769" s="48"/>
      <c r="O769" s="48"/>
      <c r="P769" s="48"/>
      <c r="Q769" s="48"/>
      <c r="R769" s="48"/>
      <c r="S769" s="48"/>
      <c r="T769" s="48"/>
      <c r="U769" s="48"/>
      <c r="V769" s="48"/>
      <c r="W769" s="48"/>
      <c r="X769" s="48"/>
      <c r="Y769" s="48"/>
      <c r="Z769" s="48"/>
      <c r="AA769" s="48"/>
      <c r="AB769" s="48"/>
      <c r="AC769" s="48"/>
      <c r="AD769" s="48"/>
      <c r="AE769" s="48"/>
      <c r="AF769" s="48"/>
      <c r="AG769" s="48"/>
      <c r="AH769" s="48"/>
      <c r="AI769" s="48"/>
      <c r="AJ769" s="48"/>
      <c r="AK769" s="48"/>
      <c r="AL769" s="48"/>
      <c r="AM769" s="48"/>
      <c r="AN769" s="48"/>
      <c r="AO769" s="48"/>
      <c r="AP769" s="48"/>
      <c r="AQ769" s="48"/>
      <c r="AR769" s="48"/>
      <c r="AS769" s="48"/>
      <c r="AT769" s="48"/>
      <c r="AU769" s="48"/>
      <c r="AV769" s="48"/>
      <c r="AW769" s="48"/>
      <c r="AX769" s="48"/>
      <c r="AY769" s="48"/>
    </row>
    <row r="770" spans="1:51">
      <c r="A770" s="48"/>
      <c r="B770" s="48"/>
      <c r="C770" s="48"/>
      <c r="D770" s="48"/>
      <c r="E770" s="48"/>
      <c r="F770" s="48"/>
      <c r="G770" s="48"/>
      <c r="H770" s="48"/>
      <c r="I770" s="48"/>
      <c r="J770" s="48"/>
      <c r="K770" s="48"/>
      <c r="L770" s="48"/>
      <c r="M770" s="48"/>
      <c r="N770" s="48"/>
      <c r="O770" s="48"/>
      <c r="P770" s="48"/>
      <c r="Q770" s="48"/>
      <c r="R770" s="48"/>
      <c r="S770" s="48"/>
      <c r="T770" s="48"/>
      <c r="U770" s="48"/>
      <c r="V770" s="48"/>
      <c r="W770" s="48"/>
      <c r="X770" s="48"/>
      <c r="Y770" s="48"/>
      <c r="Z770" s="48"/>
      <c r="AA770" s="48"/>
      <c r="AB770" s="48"/>
      <c r="AC770" s="48"/>
      <c r="AD770" s="48"/>
      <c r="AE770" s="48"/>
      <c r="AF770" s="48"/>
      <c r="AG770" s="48"/>
      <c r="AH770" s="48"/>
      <c r="AI770" s="48"/>
      <c r="AJ770" s="48"/>
      <c r="AK770" s="48"/>
      <c r="AL770" s="48"/>
      <c r="AM770" s="48"/>
      <c r="AN770" s="48"/>
      <c r="AO770" s="48"/>
      <c r="AP770" s="48"/>
      <c r="AQ770" s="48"/>
      <c r="AR770" s="48"/>
      <c r="AS770" s="48"/>
      <c r="AT770" s="48"/>
      <c r="AU770" s="48"/>
      <c r="AV770" s="48"/>
      <c r="AW770" s="48"/>
      <c r="AX770" s="48"/>
      <c r="AY770" s="48"/>
    </row>
    <row r="771" spans="1:51">
      <c r="A771" s="48"/>
      <c r="B771" s="48"/>
      <c r="C771" s="48"/>
      <c r="D771" s="48"/>
      <c r="E771" s="48"/>
      <c r="F771" s="48"/>
      <c r="G771" s="48"/>
      <c r="H771" s="48"/>
      <c r="I771" s="48"/>
      <c r="J771" s="48"/>
      <c r="K771" s="48"/>
      <c r="L771" s="48"/>
      <c r="M771" s="48"/>
      <c r="N771" s="48"/>
      <c r="O771" s="48"/>
      <c r="P771" s="48"/>
      <c r="Q771" s="48"/>
      <c r="R771" s="48"/>
      <c r="S771" s="48"/>
      <c r="T771" s="48"/>
      <c r="U771" s="48"/>
      <c r="V771" s="48"/>
      <c r="W771" s="48"/>
      <c r="X771" s="48"/>
      <c r="Y771" s="48"/>
      <c r="Z771" s="48"/>
      <c r="AA771" s="48"/>
      <c r="AB771" s="48"/>
      <c r="AC771" s="48"/>
      <c r="AD771" s="48"/>
      <c r="AE771" s="48"/>
      <c r="AF771" s="48"/>
      <c r="AG771" s="48"/>
      <c r="AH771" s="48"/>
      <c r="AI771" s="48"/>
      <c r="AJ771" s="48"/>
      <c r="AK771" s="48"/>
      <c r="AL771" s="48"/>
      <c r="AM771" s="48"/>
      <c r="AN771" s="48"/>
      <c r="AO771" s="48"/>
      <c r="AP771" s="48"/>
      <c r="AQ771" s="48"/>
      <c r="AR771" s="48"/>
      <c r="AS771" s="48"/>
      <c r="AT771" s="48"/>
      <c r="AU771" s="48"/>
      <c r="AV771" s="48"/>
      <c r="AW771" s="48"/>
      <c r="AX771" s="48"/>
      <c r="AY771" s="48"/>
    </row>
    <row r="772" spans="1:51">
      <c r="A772" s="48"/>
      <c r="B772" s="48"/>
      <c r="C772" s="48"/>
      <c r="D772" s="48"/>
      <c r="E772" s="48"/>
      <c r="F772" s="48"/>
      <c r="G772" s="48"/>
      <c r="H772" s="48"/>
      <c r="I772" s="48"/>
      <c r="J772" s="48"/>
      <c r="K772" s="48"/>
      <c r="L772" s="48"/>
      <c r="M772" s="48"/>
      <c r="N772" s="48"/>
      <c r="O772" s="48"/>
      <c r="P772" s="48"/>
      <c r="Q772" s="48"/>
      <c r="R772" s="48"/>
      <c r="S772" s="48"/>
      <c r="T772" s="48"/>
      <c r="U772" s="48"/>
      <c r="V772" s="48"/>
      <c r="W772" s="48"/>
      <c r="X772" s="48"/>
      <c r="Y772" s="48"/>
      <c r="Z772" s="48"/>
      <c r="AA772" s="48"/>
      <c r="AB772" s="48"/>
      <c r="AC772" s="48"/>
      <c r="AD772" s="48"/>
      <c r="AE772" s="48"/>
      <c r="AF772" s="48"/>
      <c r="AG772" s="48"/>
      <c r="AH772" s="48"/>
      <c r="AI772" s="48"/>
      <c r="AJ772" s="48"/>
      <c r="AK772" s="48"/>
      <c r="AL772" s="48"/>
      <c r="AM772" s="48"/>
      <c r="AN772" s="48"/>
      <c r="AO772" s="48"/>
      <c r="AP772" s="48"/>
      <c r="AQ772" s="48"/>
      <c r="AR772" s="48"/>
      <c r="AS772" s="48"/>
      <c r="AT772" s="48"/>
      <c r="AU772" s="48"/>
      <c r="AV772" s="48"/>
      <c r="AW772" s="48"/>
      <c r="AX772" s="48"/>
      <c r="AY772" s="48"/>
    </row>
    <row r="773" spans="1:51">
      <c r="A773" s="48"/>
      <c r="B773" s="48"/>
      <c r="C773" s="48"/>
      <c r="D773" s="48"/>
      <c r="E773" s="48"/>
      <c r="F773" s="48"/>
      <c r="G773" s="48"/>
      <c r="H773" s="48"/>
      <c r="I773" s="48"/>
      <c r="J773" s="48"/>
      <c r="K773" s="48"/>
      <c r="L773" s="48"/>
      <c r="M773" s="48"/>
      <c r="N773" s="48"/>
      <c r="O773" s="48"/>
      <c r="P773" s="48"/>
      <c r="Q773" s="48"/>
      <c r="R773" s="48"/>
      <c r="S773" s="48"/>
      <c r="T773" s="48"/>
      <c r="U773" s="48"/>
      <c r="V773" s="48"/>
      <c r="W773" s="48"/>
      <c r="X773" s="48"/>
      <c r="Y773" s="48"/>
      <c r="Z773" s="48"/>
      <c r="AA773" s="48"/>
      <c r="AB773" s="48"/>
      <c r="AC773" s="48"/>
      <c r="AD773" s="48"/>
      <c r="AE773" s="48"/>
      <c r="AF773" s="48"/>
      <c r="AG773" s="48"/>
      <c r="AH773" s="48"/>
      <c r="AI773" s="48"/>
      <c r="AJ773" s="48"/>
      <c r="AK773" s="48"/>
      <c r="AL773" s="48"/>
      <c r="AM773" s="48"/>
      <c r="AN773" s="48"/>
      <c r="AO773" s="48"/>
      <c r="AP773" s="48"/>
      <c r="AQ773" s="48"/>
      <c r="AR773" s="48"/>
      <c r="AS773" s="48"/>
      <c r="AT773" s="48"/>
      <c r="AU773" s="48"/>
      <c r="AV773" s="48"/>
      <c r="AW773" s="48"/>
      <c r="AX773" s="48"/>
      <c r="AY773" s="48"/>
    </row>
    <row r="774" spans="1:51">
      <c r="A774" s="48"/>
      <c r="B774" s="48"/>
      <c r="C774" s="48"/>
      <c r="D774" s="48"/>
      <c r="E774" s="48"/>
      <c r="F774" s="48"/>
      <c r="G774" s="48"/>
      <c r="H774" s="48"/>
      <c r="I774" s="48"/>
      <c r="J774" s="48"/>
      <c r="K774" s="48"/>
      <c r="L774" s="48"/>
      <c r="M774" s="48"/>
      <c r="N774" s="48"/>
      <c r="O774" s="48"/>
      <c r="P774" s="48"/>
      <c r="Q774" s="48"/>
      <c r="R774" s="48"/>
      <c r="S774" s="48"/>
      <c r="T774" s="48"/>
      <c r="U774" s="48"/>
      <c r="V774" s="48"/>
      <c r="W774" s="48"/>
      <c r="X774" s="48"/>
      <c r="Y774" s="48"/>
      <c r="Z774" s="48"/>
      <c r="AA774" s="48"/>
      <c r="AB774" s="48"/>
      <c r="AC774" s="48"/>
      <c r="AD774" s="48"/>
      <c r="AE774" s="48"/>
      <c r="AF774" s="48"/>
      <c r="AG774" s="48"/>
      <c r="AH774" s="48"/>
      <c r="AI774" s="48"/>
      <c r="AJ774" s="48"/>
      <c r="AK774" s="48"/>
      <c r="AL774" s="48"/>
      <c r="AM774" s="48"/>
      <c r="AN774" s="48"/>
      <c r="AO774" s="48"/>
      <c r="AP774" s="48"/>
      <c r="AQ774" s="48"/>
      <c r="AR774" s="48"/>
      <c r="AS774" s="48"/>
      <c r="AT774" s="48"/>
      <c r="AU774" s="48"/>
      <c r="AV774" s="48"/>
      <c r="AW774" s="48"/>
      <c r="AX774" s="48"/>
      <c r="AY774" s="48"/>
    </row>
    <row r="775" spans="1:51">
      <c r="A775" s="48"/>
      <c r="B775" s="48"/>
      <c r="C775" s="48"/>
      <c r="D775" s="48"/>
      <c r="E775" s="48"/>
      <c r="F775" s="48"/>
      <c r="G775" s="48"/>
      <c r="H775" s="48"/>
      <c r="I775" s="48"/>
      <c r="J775" s="48"/>
      <c r="K775" s="48"/>
      <c r="L775" s="48"/>
      <c r="M775" s="48"/>
      <c r="N775" s="48"/>
      <c r="O775" s="48"/>
      <c r="P775" s="48"/>
      <c r="Q775" s="48"/>
      <c r="R775" s="48"/>
      <c r="S775" s="48"/>
      <c r="T775" s="48"/>
      <c r="U775" s="48"/>
      <c r="V775" s="48"/>
      <c r="W775" s="48"/>
      <c r="X775" s="48"/>
      <c r="Y775" s="48"/>
      <c r="Z775" s="48"/>
      <c r="AA775" s="48"/>
      <c r="AB775" s="48"/>
      <c r="AC775" s="48"/>
      <c r="AD775" s="48"/>
      <c r="AE775" s="48"/>
      <c r="AF775" s="48"/>
      <c r="AG775" s="48"/>
      <c r="AH775" s="48"/>
      <c r="AI775" s="48"/>
      <c r="AJ775" s="48"/>
      <c r="AK775" s="48"/>
      <c r="AL775" s="48"/>
      <c r="AM775" s="48"/>
      <c r="AN775" s="48"/>
      <c r="AO775" s="48"/>
      <c r="AP775" s="48"/>
      <c r="AQ775" s="48"/>
      <c r="AR775" s="48"/>
      <c r="AS775" s="48"/>
      <c r="AT775" s="48"/>
      <c r="AU775" s="48"/>
      <c r="AV775" s="48"/>
      <c r="AW775" s="48"/>
      <c r="AX775" s="48"/>
      <c r="AY775" s="48"/>
    </row>
    <row r="776" spans="1:51">
      <c r="A776" s="48"/>
      <c r="B776" s="48"/>
      <c r="C776" s="48"/>
      <c r="D776" s="48"/>
      <c r="E776" s="48"/>
      <c r="F776" s="48"/>
      <c r="G776" s="48"/>
      <c r="H776" s="48"/>
      <c r="I776" s="48"/>
      <c r="J776" s="48"/>
      <c r="K776" s="48"/>
      <c r="L776" s="48"/>
      <c r="M776" s="48"/>
      <c r="N776" s="48"/>
      <c r="O776" s="48"/>
      <c r="P776" s="48"/>
      <c r="Q776" s="48"/>
      <c r="R776" s="48"/>
      <c r="S776" s="48"/>
      <c r="T776" s="48"/>
      <c r="U776" s="48"/>
      <c r="V776" s="48"/>
      <c r="W776" s="48"/>
      <c r="X776" s="48"/>
      <c r="Y776" s="48"/>
      <c r="Z776" s="48"/>
      <c r="AA776" s="48"/>
      <c r="AB776" s="48"/>
      <c r="AC776" s="48"/>
      <c r="AD776" s="48"/>
      <c r="AE776" s="48"/>
      <c r="AF776" s="48"/>
      <c r="AG776" s="48"/>
      <c r="AH776" s="48"/>
      <c r="AI776" s="48"/>
      <c r="AJ776" s="48"/>
      <c r="AK776" s="48"/>
      <c r="AL776" s="48"/>
      <c r="AM776" s="48"/>
      <c r="AN776" s="48"/>
      <c r="AO776" s="48"/>
      <c r="AP776" s="48"/>
      <c r="AQ776" s="48"/>
      <c r="AR776" s="48"/>
      <c r="AS776" s="48"/>
      <c r="AT776" s="48"/>
      <c r="AU776" s="48"/>
      <c r="AV776" s="48"/>
      <c r="AW776" s="48"/>
      <c r="AX776" s="48"/>
      <c r="AY776" s="48"/>
    </row>
    <row r="777" spans="1:51">
      <c r="A777" s="48"/>
      <c r="B777" s="48"/>
      <c r="C777" s="48"/>
      <c r="D777" s="48"/>
      <c r="E777" s="48"/>
      <c r="F777" s="48"/>
      <c r="G777" s="48"/>
      <c r="H777" s="48"/>
      <c r="I777" s="48"/>
      <c r="J777" s="48"/>
      <c r="K777" s="48"/>
      <c r="L777" s="48"/>
      <c r="M777" s="48"/>
      <c r="N777" s="48"/>
      <c r="O777" s="48"/>
      <c r="P777" s="48"/>
      <c r="Q777" s="48"/>
      <c r="R777" s="48"/>
      <c r="S777" s="48"/>
      <c r="T777" s="48"/>
      <c r="U777" s="48"/>
      <c r="V777" s="48"/>
      <c r="W777" s="48"/>
      <c r="X777" s="48"/>
      <c r="Y777" s="48"/>
      <c r="Z777" s="48"/>
      <c r="AA777" s="48"/>
      <c r="AB777" s="48"/>
      <c r="AC777" s="48"/>
      <c r="AD777" s="48"/>
      <c r="AE777" s="48"/>
      <c r="AF777" s="48"/>
      <c r="AG777" s="48"/>
      <c r="AH777" s="48"/>
      <c r="AI777" s="48"/>
      <c r="AJ777" s="48"/>
      <c r="AK777" s="48"/>
      <c r="AL777" s="48"/>
      <c r="AM777" s="48"/>
      <c r="AN777" s="48"/>
      <c r="AO777" s="48"/>
      <c r="AP777" s="48"/>
      <c r="AQ777" s="48"/>
      <c r="AR777" s="48"/>
      <c r="AS777" s="48"/>
      <c r="AT777" s="48"/>
      <c r="AU777" s="48"/>
      <c r="AV777" s="48"/>
      <c r="AW777" s="48"/>
      <c r="AX777" s="48"/>
      <c r="AY777" s="48"/>
    </row>
    <row r="778" spans="1:51">
      <c r="A778" s="48"/>
      <c r="B778" s="48"/>
      <c r="C778" s="48"/>
      <c r="D778" s="48"/>
      <c r="E778" s="48"/>
      <c r="F778" s="48"/>
      <c r="G778" s="48"/>
      <c r="H778" s="48"/>
      <c r="I778" s="48"/>
      <c r="J778" s="48"/>
      <c r="K778" s="48"/>
      <c r="L778" s="48"/>
      <c r="M778" s="48"/>
      <c r="N778" s="48"/>
      <c r="O778" s="48"/>
      <c r="P778" s="48"/>
      <c r="Q778" s="48"/>
      <c r="R778" s="48"/>
      <c r="S778" s="48"/>
      <c r="T778" s="48"/>
      <c r="U778" s="48"/>
      <c r="V778" s="48"/>
      <c r="W778" s="48"/>
      <c r="X778" s="48"/>
      <c r="Y778" s="48"/>
      <c r="Z778" s="48"/>
      <c r="AA778" s="48"/>
      <c r="AB778" s="48"/>
      <c r="AC778" s="48"/>
      <c r="AD778" s="48"/>
      <c r="AE778" s="48"/>
      <c r="AF778" s="48"/>
      <c r="AG778" s="48"/>
      <c r="AH778" s="48"/>
      <c r="AI778" s="48"/>
      <c r="AJ778" s="48"/>
      <c r="AK778" s="48"/>
      <c r="AL778" s="48"/>
      <c r="AM778" s="48"/>
      <c r="AN778" s="48"/>
      <c r="AO778" s="48"/>
      <c r="AP778" s="48"/>
      <c r="AQ778" s="48"/>
      <c r="AR778" s="48"/>
      <c r="AS778" s="48"/>
      <c r="AT778" s="48"/>
      <c r="AU778" s="48"/>
      <c r="AV778" s="48"/>
      <c r="AW778" s="48"/>
      <c r="AX778" s="48"/>
      <c r="AY778" s="48"/>
    </row>
    <row r="779" spans="1:51">
      <c r="A779" s="48"/>
      <c r="B779" s="48"/>
      <c r="C779" s="48"/>
      <c r="D779" s="48"/>
      <c r="E779" s="48"/>
      <c r="F779" s="48"/>
      <c r="G779" s="48"/>
      <c r="H779" s="48"/>
      <c r="I779" s="48"/>
      <c r="J779" s="48"/>
      <c r="K779" s="48"/>
      <c r="L779" s="48"/>
      <c r="M779" s="48"/>
      <c r="N779" s="48"/>
      <c r="O779" s="48"/>
      <c r="P779" s="48"/>
      <c r="Q779" s="48"/>
      <c r="R779" s="48"/>
      <c r="S779" s="48"/>
      <c r="T779" s="48"/>
      <c r="U779" s="48"/>
      <c r="V779" s="48"/>
      <c r="W779" s="48"/>
      <c r="X779" s="48"/>
      <c r="Y779" s="48"/>
      <c r="Z779" s="48"/>
      <c r="AA779" s="48"/>
      <c r="AB779" s="48"/>
      <c r="AC779" s="48"/>
      <c r="AD779" s="48"/>
      <c r="AE779" s="48"/>
      <c r="AF779" s="48"/>
      <c r="AG779" s="48"/>
      <c r="AH779" s="48"/>
      <c r="AI779" s="48"/>
      <c r="AJ779" s="48"/>
      <c r="AK779" s="48"/>
      <c r="AL779" s="48"/>
      <c r="AM779" s="48"/>
      <c r="AN779" s="48"/>
      <c r="AO779" s="48"/>
      <c r="AP779" s="48"/>
      <c r="AQ779" s="48"/>
      <c r="AR779" s="48"/>
      <c r="AS779" s="48"/>
      <c r="AT779" s="48"/>
      <c r="AU779" s="48"/>
      <c r="AV779" s="48"/>
      <c r="AW779" s="48"/>
      <c r="AX779" s="48"/>
      <c r="AY779" s="48"/>
    </row>
    <row r="780" spans="1:51">
      <c r="A780" s="48"/>
      <c r="B780" s="48"/>
      <c r="C780" s="48"/>
      <c r="D780" s="48"/>
      <c r="E780" s="48"/>
      <c r="F780" s="48"/>
      <c r="G780" s="48"/>
      <c r="H780" s="48"/>
      <c r="I780" s="48"/>
      <c r="J780" s="48"/>
      <c r="K780" s="48"/>
      <c r="L780" s="48"/>
      <c r="M780" s="48"/>
      <c r="N780" s="48"/>
      <c r="O780" s="48"/>
      <c r="P780" s="48"/>
      <c r="Q780" s="48"/>
      <c r="R780" s="48"/>
      <c r="S780" s="48"/>
      <c r="T780" s="48"/>
      <c r="U780" s="48"/>
      <c r="V780" s="48"/>
      <c r="W780" s="48"/>
      <c r="X780" s="48"/>
      <c r="Y780" s="48"/>
      <c r="Z780" s="48"/>
      <c r="AA780" s="48"/>
      <c r="AB780" s="48"/>
      <c r="AC780" s="48"/>
      <c r="AD780" s="48"/>
      <c r="AE780" s="48"/>
      <c r="AF780" s="48"/>
      <c r="AG780" s="48"/>
      <c r="AH780" s="48"/>
      <c r="AI780" s="48"/>
      <c r="AJ780" s="48"/>
      <c r="AK780" s="48"/>
      <c r="AL780" s="48"/>
      <c r="AM780" s="48"/>
      <c r="AN780" s="48"/>
      <c r="AO780" s="48"/>
      <c r="AP780" s="48"/>
      <c r="AQ780" s="48"/>
      <c r="AR780" s="48"/>
      <c r="AS780" s="48"/>
      <c r="AT780" s="48"/>
      <c r="AU780" s="48"/>
      <c r="AV780" s="48"/>
      <c r="AW780" s="48"/>
      <c r="AX780" s="48"/>
      <c r="AY780" s="48"/>
    </row>
    <row r="781" spans="1:51">
      <c r="A781" s="48"/>
      <c r="B781" s="48"/>
      <c r="C781" s="48"/>
      <c r="D781" s="48"/>
      <c r="E781" s="48"/>
      <c r="F781" s="48"/>
      <c r="G781" s="48"/>
      <c r="H781" s="48"/>
      <c r="I781" s="48"/>
      <c r="J781" s="48"/>
      <c r="K781" s="48"/>
      <c r="L781" s="48"/>
      <c r="M781" s="48"/>
      <c r="N781" s="48"/>
      <c r="O781" s="48"/>
      <c r="P781" s="48"/>
      <c r="Q781" s="48"/>
      <c r="R781" s="48"/>
      <c r="S781" s="48"/>
      <c r="T781" s="48"/>
      <c r="U781" s="48"/>
      <c r="V781" s="48"/>
      <c r="W781" s="48"/>
      <c r="X781" s="48"/>
      <c r="Y781" s="48"/>
      <c r="Z781" s="48"/>
      <c r="AA781" s="48"/>
      <c r="AB781" s="48"/>
      <c r="AC781" s="48"/>
      <c r="AD781" s="48"/>
      <c r="AE781" s="48"/>
      <c r="AF781" s="48"/>
      <c r="AG781" s="48"/>
      <c r="AH781" s="48"/>
      <c r="AI781" s="48"/>
      <c r="AJ781" s="48"/>
      <c r="AK781" s="48"/>
      <c r="AL781" s="48"/>
      <c r="AM781" s="48"/>
      <c r="AN781" s="48"/>
      <c r="AO781" s="48"/>
      <c r="AP781" s="48"/>
      <c r="AQ781" s="48"/>
      <c r="AR781" s="48"/>
      <c r="AS781" s="48"/>
      <c r="AT781" s="48"/>
      <c r="AU781" s="48"/>
      <c r="AV781" s="48"/>
      <c r="AW781" s="48"/>
      <c r="AX781" s="48"/>
      <c r="AY781" s="48"/>
    </row>
    <row r="782" spans="1:51">
      <c r="A782" s="48"/>
      <c r="B782" s="48"/>
      <c r="C782" s="48"/>
      <c r="D782" s="48"/>
      <c r="E782" s="48"/>
      <c r="F782" s="48"/>
      <c r="G782" s="48"/>
      <c r="H782" s="48"/>
      <c r="I782" s="48"/>
      <c r="J782" s="48"/>
      <c r="K782" s="48"/>
      <c r="L782" s="48"/>
      <c r="M782" s="48"/>
      <c r="N782" s="48"/>
      <c r="O782" s="48"/>
      <c r="P782" s="48"/>
      <c r="Q782" s="48"/>
      <c r="R782" s="48"/>
      <c r="S782" s="48"/>
      <c r="T782" s="48"/>
      <c r="U782" s="48"/>
      <c r="V782" s="48"/>
      <c r="W782" s="48"/>
      <c r="X782" s="48"/>
      <c r="Y782" s="48"/>
      <c r="Z782" s="48"/>
      <c r="AA782" s="48"/>
      <c r="AB782" s="48"/>
      <c r="AC782" s="48"/>
      <c r="AD782" s="48"/>
      <c r="AE782" s="48"/>
      <c r="AF782" s="48"/>
      <c r="AG782" s="48"/>
      <c r="AH782" s="48"/>
      <c r="AI782" s="48"/>
      <c r="AJ782" s="48"/>
      <c r="AK782" s="48"/>
      <c r="AL782" s="48"/>
      <c r="AM782" s="48"/>
      <c r="AN782" s="48"/>
      <c r="AO782" s="48"/>
      <c r="AP782" s="48"/>
      <c r="AQ782" s="48"/>
      <c r="AR782" s="48"/>
      <c r="AS782" s="48"/>
      <c r="AT782" s="48"/>
      <c r="AU782" s="48"/>
      <c r="AV782" s="48"/>
      <c r="AW782" s="48"/>
      <c r="AX782" s="48"/>
      <c r="AY782" s="48"/>
    </row>
    <row r="783" spans="1:51">
      <c r="A783" s="48"/>
      <c r="B783" s="48"/>
      <c r="C783" s="48"/>
      <c r="D783" s="48"/>
      <c r="E783" s="48"/>
      <c r="F783" s="48"/>
      <c r="G783" s="48"/>
      <c r="H783" s="48"/>
      <c r="I783" s="48"/>
      <c r="J783" s="48"/>
      <c r="K783" s="48"/>
      <c r="L783" s="48"/>
      <c r="M783" s="48"/>
      <c r="N783" s="48"/>
      <c r="O783" s="48"/>
      <c r="P783" s="48"/>
      <c r="Q783" s="48"/>
      <c r="R783" s="48"/>
      <c r="S783" s="48"/>
      <c r="T783" s="48"/>
      <c r="U783" s="48"/>
      <c r="V783" s="48"/>
      <c r="W783" s="48"/>
      <c r="X783" s="48"/>
      <c r="Y783" s="48"/>
      <c r="Z783" s="48"/>
      <c r="AA783" s="48"/>
      <c r="AB783" s="48"/>
      <c r="AC783" s="48"/>
      <c r="AD783" s="48"/>
      <c r="AE783" s="48"/>
      <c r="AF783" s="48"/>
      <c r="AG783" s="48"/>
      <c r="AH783" s="48"/>
      <c r="AI783" s="48"/>
      <c r="AJ783" s="48"/>
      <c r="AK783" s="48"/>
      <c r="AL783" s="48"/>
      <c r="AM783" s="48"/>
      <c r="AN783" s="48"/>
      <c r="AO783" s="48"/>
      <c r="AP783" s="48"/>
      <c r="AQ783" s="48"/>
      <c r="AR783" s="48"/>
      <c r="AS783" s="48"/>
      <c r="AT783" s="48"/>
      <c r="AU783" s="48"/>
      <c r="AV783" s="48"/>
      <c r="AW783" s="48"/>
      <c r="AX783" s="48"/>
      <c r="AY783" s="48"/>
    </row>
    <row r="784" spans="1:51">
      <c r="A784" s="48"/>
      <c r="B784" s="48"/>
      <c r="C784" s="48"/>
      <c r="D784" s="48"/>
      <c r="E784" s="48"/>
      <c r="F784" s="48"/>
      <c r="G784" s="48"/>
      <c r="H784" s="48"/>
      <c r="I784" s="48"/>
      <c r="J784" s="48"/>
      <c r="K784" s="48"/>
      <c r="L784" s="48"/>
      <c r="M784" s="48"/>
      <c r="N784" s="48"/>
      <c r="O784" s="48"/>
      <c r="P784" s="48"/>
      <c r="Q784" s="48"/>
      <c r="R784" s="48"/>
      <c r="S784" s="48"/>
      <c r="T784" s="48"/>
      <c r="U784" s="48"/>
      <c r="V784" s="48"/>
      <c r="W784" s="48"/>
      <c r="X784" s="48"/>
      <c r="Y784" s="48"/>
      <c r="Z784" s="48"/>
      <c r="AA784" s="48"/>
      <c r="AB784" s="48"/>
      <c r="AC784" s="48"/>
      <c r="AD784" s="48"/>
      <c r="AE784" s="48"/>
      <c r="AF784" s="48"/>
      <c r="AG784" s="48"/>
      <c r="AH784" s="48"/>
      <c r="AI784" s="48"/>
      <c r="AJ784" s="48"/>
      <c r="AK784" s="48"/>
      <c r="AL784" s="48"/>
      <c r="AM784" s="48"/>
      <c r="AN784" s="48"/>
      <c r="AO784" s="48"/>
      <c r="AP784" s="48"/>
      <c r="AQ784" s="48"/>
      <c r="AR784" s="48"/>
      <c r="AS784" s="48"/>
      <c r="AT784" s="48"/>
      <c r="AU784" s="48"/>
      <c r="AV784" s="48"/>
      <c r="AW784" s="48"/>
      <c r="AX784" s="48"/>
      <c r="AY784" s="48"/>
    </row>
    <row r="785" spans="1:51">
      <c r="A785" s="48"/>
      <c r="B785" s="48"/>
      <c r="C785" s="48"/>
      <c r="D785" s="48"/>
      <c r="E785" s="48"/>
      <c r="F785" s="48"/>
      <c r="G785" s="48"/>
      <c r="H785" s="48"/>
      <c r="I785" s="48"/>
      <c r="J785" s="48"/>
      <c r="K785" s="48"/>
      <c r="L785" s="48"/>
      <c r="M785" s="48"/>
      <c r="N785" s="48"/>
      <c r="O785" s="48"/>
      <c r="P785" s="48"/>
      <c r="Q785" s="48"/>
      <c r="R785" s="48"/>
      <c r="S785" s="48"/>
      <c r="T785" s="48"/>
      <c r="U785" s="48"/>
      <c r="V785" s="48"/>
      <c r="W785" s="48"/>
      <c r="X785" s="48"/>
      <c r="Y785" s="48"/>
      <c r="Z785" s="48"/>
      <c r="AA785" s="48"/>
      <c r="AB785" s="48"/>
      <c r="AC785" s="48"/>
      <c r="AD785" s="48"/>
      <c r="AE785" s="48"/>
      <c r="AF785" s="48"/>
      <c r="AG785" s="48"/>
      <c r="AH785" s="48"/>
      <c r="AI785" s="48"/>
      <c r="AJ785" s="48"/>
      <c r="AK785" s="48"/>
      <c r="AL785" s="48"/>
      <c r="AM785" s="48"/>
      <c r="AN785" s="48"/>
      <c r="AO785" s="48"/>
      <c r="AP785" s="48"/>
      <c r="AQ785" s="48"/>
      <c r="AR785" s="48"/>
      <c r="AS785" s="48"/>
      <c r="AT785" s="48"/>
      <c r="AU785" s="48"/>
      <c r="AV785" s="48"/>
      <c r="AW785" s="48"/>
      <c r="AX785" s="48"/>
      <c r="AY785" s="48"/>
    </row>
    <row r="786" spans="1:51">
      <c r="A786" s="48"/>
      <c r="B786" s="48"/>
      <c r="C786" s="48"/>
      <c r="D786" s="48"/>
      <c r="E786" s="48"/>
      <c r="F786" s="48"/>
      <c r="G786" s="48"/>
      <c r="H786" s="48"/>
      <c r="I786" s="48"/>
      <c r="J786" s="48"/>
      <c r="K786" s="48"/>
      <c r="L786" s="48"/>
      <c r="M786" s="48"/>
      <c r="N786" s="48"/>
      <c r="O786" s="48"/>
      <c r="P786" s="48"/>
      <c r="Q786" s="48"/>
      <c r="R786" s="48"/>
      <c r="S786" s="48"/>
      <c r="T786" s="48"/>
      <c r="U786" s="48"/>
      <c r="V786" s="48"/>
      <c r="W786" s="48"/>
      <c r="X786" s="48"/>
      <c r="Y786" s="48"/>
      <c r="Z786" s="48"/>
      <c r="AA786" s="48"/>
      <c r="AB786" s="48"/>
      <c r="AC786" s="48"/>
      <c r="AD786" s="48"/>
      <c r="AE786" s="48"/>
      <c r="AF786" s="48"/>
      <c r="AG786" s="48"/>
      <c r="AH786" s="48"/>
      <c r="AI786" s="48"/>
      <c r="AJ786" s="48"/>
      <c r="AK786" s="48"/>
      <c r="AL786" s="48"/>
      <c r="AM786" s="48"/>
      <c r="AN786" s="48"/>
      <c r="AO786" s="48"/>
      <c r="AP786" s="48"/>
      <c r="AQ786" s="48"/>
      <c r="AR786" s="48"/>
      <c r="AS786" s="48"/>
      <c r="AT786" s="48"/>
      <c r="AU786" s="48"/>
      <c r="AV786" s="48"/>
      <c r="AW786" s="48"/>
      <c r="AX786" s="48"/>
      <c r="AY786" s="48"/>
    </row>
    <row r="787" spans="1:51">
      <c r="A787" s="48"/>
      <c r="B787" s="48"/>
      <c r="C787" s="48"/>
      <c r="D787" s="48"/>
      <c r="E787" s="48"/>
      <c r="F787" s="48"/>
      <c r="G787" s="48"/>
      <c r="H787" s="48"/>
      <c r="I787" s="48"/>
      <c r="J787" s="48"/>
      <c r="K787" s="48"/>
      <c r="L787" s="48"/>
      <c r="M787" s="48"/>
      <c r="N787" s="48"/>
      <c r="O787" s="48"/>
      <c r="P787" s="48"/>
      <c r="Q787" s="48"/>
      <c r="R787" s="48"/>
      <c r="S787" s="48"/>
      <c r="T787" s="48"/>
      <c r="U787" s="48"/>
      <c r="V787" s="48"/>
      <c r="W787" s="48"/>
      <c r="X787" s="48"/>
      <c r="Y787" s="48"/>
      <c r="Z787" s="48"/>
      <c r="AA787" s="48"/>
      <c r="AB787" s="48"/>
      <c r="AC787" s="48"/>
      <c r="AD787" s="48"/>
      <c r="AE787" s="48"/>
      <c r="AF787" s="48"/>
      <c r="AG787" s="48"/>
      <c r="AH787" s="48"/>
      <c r="AI787" s="48"/>
      <c r="AJ787" s="48"/>
      <c r="AK787" s="48"/>
      <c r="AL787" s="48"/>
      <c r="AM787" s="48"/>
      <c r="AN787" s="48"/>
      <c r="AO787" s="48"/>
      <c r="AP787" s="48"/>
      <c r="AQ787" s="48"/>
      <c r="AR787" s="48"/>
      <c r="AS787" s="48"/>
      <c r="AT787" s="48"/>
      <c r="AU787" s="48"/>
      <c r="AV787" s="48"/>
      <c r="AW787" s="48"/>
      <c r="AX787" s="48"/>
      <c r="AY787" s="48"/>
    </row>
    <row r="788" spans="1:51">
      <c r="A788" s="48"/>
      <c r="B788" s="48"/>
      <c r="C788" s="48"/>
      <c r="D788" s="48"/>
      <c r="E788" s="48"/>
      <c r="F788" s="48"/>
      <c r="G788" s="48"/>
      <c r="H788" s="48"/>
      <c r="I788" s="48"/>
      <c r="J788" s="48"/>
      <c r="K788" s="48"/>
      <c r="L788" s="48"/>
      <c r="M788" s="48"/>
      <c r="N788" s="48"/>
      <c r="O788" s="48"/>
      <c r="P788" s="48"/>
      <c r="Q788" s="48"/>
      <c r="R788" s="48"/>
      <c r="S788" s="48"/>
      <c r="T788" s="48"/>
      <c r="U788" s="48"/>
      <c r="V788" s="48"/>
      <c r="W788" s="48"/>
      <c r="X788" s="48"/>
      <c r="Y788" s="48"/>
      <c r="Z788" s="48"/>
      <c r="AA788" s="48"/>
      <c r="AB788" s="48"/>
      <c r="AC788" s="48"/>
      <c r="AD788" s="48"/>
      <c r="AE788" s="48"/>
      <c r="AF788" s="48"/>
      <c r="AG788" s="48"/>
      <c r="AH788" s="48"/>
      <c r="AI788" s="48"/>
      <c r="AJ788" s="48"/>
      <c r="AK788" s="48"/>
      <c r="AL788" s="48"/>
      <c r="AM788" s="48"/>
      <c r="AN788" s="48"/>
      <c r="AO788" s="48"/>
      <c r="AP788" s="48"/>
      <c r="AQ788" s="48"/>
      <c r="AR788" s="48"/>
      <c r="AS788" s="48"/>
      <c r="AT788" s="48"/>
      <c r="AU788" s="48"/>
      <c r="AV788" s="48"/>
      <c r="AW788" s="48"/>
      <c r="AX788" s="48"/>
      <c r="AY788" s="48"/>
    </row>
    <row r="789" spans="1:51">
      <c r="A789" s="48"/>
      <c r="B789" s="48"/>
      <c r="C789" s="48"/>
      <c r="D789" s="48"/>
      <c r="E789" s="48"/>
      <c r="F789" s="48"/>
      <c r="G789" s="48"/>
      <c r="H789" s="48"/>
      <c r="I789" s="48"/>
      <c r="J789" s="48"/>
      <c r="K789" s="48"/>
      <c r="L789" s="48"/>
      <c r="M789" s="48"/>
      <c r="N789" s="48"/>
      <c r="O789" s="48"/>
      <c r="P789" s="48"/>
      <c r="Q789" s="48"/>
      <c r="R789" s="48"/>
      <c r="S789" s="48"/>
      <c r="T789" s="48"/>
      <c r="U789" s="48"/>
      <c r="V789" s="48"/>
      <c r="W789" s="48"/>
      <c r="X789" s="48"/>
      <c r="Y789" s="48"/>
      <c r="Z789" s="48"/>
      <c r="AA789" s="48"/>
      <c r="AB789" s="48"/>
      <c r="AC789" s="48"/>
      <c r="AD789" s="48"/>
      <c r="AE789" s="48"/>
      <c r="AF789" s="48"/>
      <c r="AG789" s="48"/>
      <c r="AH789" s="48"/>
      <c r="AI789" s="48"/>
      <c r="AJ789" s="48"/>
      <c r="AK789" s="48"/>
      <c r="AL789" s="48"/>
      <c r="AM789" s="48"/>
      <c r="AN789" s="48"/>
      <c r="AO789" s="48"/>
      <c r="AP789" s="48"/>
      <c r="AQ789" s="48"/>
      <c r="AR789" s="48"/>
      <c r="AS789" s="48"/>
      <c r="AT789" s="48"/>
      <c r="AU789" s="48"/>
      <c r="AV789" s="48"/>
      <c r="AW789" s="48"/>
      <c r="AX789" s="48"/>
      <c r="AY789" s="48"/>
    </row>
    <row r="790" spans="1:51">
      <c r="A790" s="48"/>
      <c r="B790" s="48"/>
      <c r="C790" s="48"/>
      <c r="D790" s="48"/>
      <c r="E790" s="48"/>
      <c r="F790" s="48"/>
      <c r="G790" s="48"/>
      <c r="H790" s="48"/>
      <c r="I790" s="48"/>
      <c r="J790" s="48"/>
      <c r="K790" s="48"/>
      <c r="L790" s="48"/>
      <c r="M790" s="48"/>
      <c r="N790" s="48"/>
      <c r="O790" s="48"/>
      <c r="P790" s="48"/>
      <c r="Q790" s="48"/>
      <c r="R790" s="48"/>
      <c r="S790" s="48"/>
      <c r="T790" s="48"/>
      <c r="U790" s="48"/>
      <c r="V790" s="48"/>
      <c r="W790" s="48"/>
      <c r="X790" s="48"/>
      <c r="Y790" s="48"/>
      <c r="Z790" s="48"/>
      <c r="AA790" s="48"/>
      <c r="AB790" s="48"/>
      <c r="AC790" s="48"/>
      <c r="AD790" s="48"/>
      <c r="AE790" s="48"/>
      <c r="AF790" s="48"/>
      <c r="AG790" s="48"/>
      <c r="AH790" s="48"/>
      <c r="AI790" s="48"/>
      <c r="AJ790" s="48"/>
      <c r="AK790" s="48"/>
      <c r="AL790" s="48"/>
      <c r="AM790" s="48"/>
      <c r="AN790" s="48"/>
      <c r="AO790" s="48"/>
      <c r="AP790" s="48"/>
      <c r="AQ790" s="48"/>
      <c r="AR790" s="48"/>
      <c r="AS790" s="48"/>
      <c r="AT790" s="48"/>
      <c r="AU790" s="48"/>
      <c r="AV790" s="48"/>
      <c r="AW790" s="48"/>
      <c r="AX790" s="48"/>
      <c r="AY790" s="48"/>
    </row>
    <row r="791" spans="1:51">
      <c r="A791" s="48"/>
      <c r="B791" s="48"/>
      <c r="C791" s="48"/>
      <c r="D791" s="48"/>
      <c r="E791" s="48"/>
      <c r="F791" s="48"/>
      <c r="G791" s="48"/>
      <c r="H791" s="48"/>
      <c r="I791" s="48"/>
      <c r="J791" s="48"/>
      <c r="K791" s="48"/>
      <c r="L791" s="48"/>
      <c r="M791" s="48"/>
      <c r="N791" s="48"/>
      <c r="O791" s="48"/>
      <c r="P791" s="48"/>
      <c r="Q791" s="48"/>
      <c r="R791" s="48"/>
      <c r="S791" s="48"/>
      <c r="T791" s="48"/>
      <c r="U791" s="48"/>
      <c r="V791" s="48"/>
      <c r="W791" s="48"/>
      <c r="X791" s="48"/>
      <c r="Y791" s="48"/>
      <c r="Z791" s="48"/>
      <c r="AA791" s="48"/>
      <c r="AB791" s="48"/>
      <c r="AC791" s="48"/>
      <c r="AD791" s="48"/>
      <c r="AE791" s="48"/>
      <c r="AF791" s="48"/>
      <c r="AG791" s="48"/>
      <c r="AH791" s="48"/>
      <c r="AI791" s="48"/>
      <c r="AJ791" s="48"/>
      <c r="AK791" s="48"/>
      <c r="AL791" s="48"/>
      <c r="AM791" s="48"/>
      <c r="AN791" s="48"/>
      <c r="AO791" s="48"/>
      <c r="AP791" s="48"/>
      <c r="AQ791" s="48"/>
      <c r="AR791" s="48"/>
      <c r="AS791" s="48"/>
      <c r="AT791" s="48"/>
      <c r="AU791" s="48"/>
      <c r="AV791" s="48"/>
      <c r="AW791" s="48"/>
      <c r="AX791" s="48"/>
      <c r="AY791" s="48"/>
    </row>
    <row r="792" spans="1:51">
      <c r="A792" s="48"/>
      <c r="B792" s="48"/>
      <c r="C792" s="48"/>
      <c r="D792" s="48"/>
      <c r="E792" s="48"/>
      <c r="F792" s="48"/>
      <c r="G792" s="48"/>
      <c r="H792" s="48"/>
      <c r="I792" s="48"/>
      <c r="J792" s="48"/>
      <c r="K792" s="48"/>
      <c r="L792" s="48"/>
      <c r="M792" s="48"/>
      <c r="N792" s="48"/>
      <c r="O792" s="48"/>
      <c r="P792" s="48"/>
      <c r="Q792" s="48"/>
      <c r="R792" s="48"/>
      <c r="S792" s="48"/>
      <c r="T792" s="48"/>
      <c r="U792" s="48"/>
      <c r="V792" s="48"/>
      <c r="W792" s="48"/>
      <c r="X792" s="48"/>
      <c r="Y792" s="48"/>
      <c r="Z792" s="48"/>
      <c r="AA792" s="48"/>
      <c r="AB792" s="48"/>
      <c r="AC792" s="48"/>
      <c r="AD792" s="48"/>
      <c r="AE792" s="48"/>
      <c r="AF792" s="48"/>
      <c r="AG792" s="48"/>
      <c r="AH792" s="48"/>
      <c r="AI792" s="48"/>
      <c r="AJ792" s="48"/>
      <c r="AK792" s="48"/>
      <c r="AL792" s="48"/>
      <c r="AM792" s="48"/>
      <c r="AN792" s="48"/>
      <c r="AO792" s="48"/>
      <c r="AP792" s="48"/>
      <c r="AQ792" s="48"/>
      <c r="AR792" s="48"/>
      <c r="AS792" s="48"/>
      <c r="AT792" s="48"/>
      <c r="AU792" s="48"/>
      <c r="AV792" s="48"/>
      <c r="AW792" s="48"/>
      <c r="AX792" s="48"/>
      <c r="AY792" s="48"/>
    </row>
    <row r="793" spans="1:51">
      <c r="A793" s="48"/>
      <c r="B793" s="48"/>
      <c r="C793" s="48"/>
      <c r="D793" s="48"/>
      <c r="E793" s="48"/>
      <c r="F793" s="48"/>
      <c r="G793" s="48"/>
      <c r="H793" s="48"/>
      <c r="I793" s="48"/>
      <c r="J793" s="48"/>
      <c r="K793" s="48"/>
      <c r="L793" s="48"/>
      <c r="M793" s="48"/>
      <c r="N793" s="48"/>
      <c r="O793" s="48"/>
      <c r="P793" s="48"/>
      <c r="Q793" s="48"/>
      <c r="R793" s="48"/>
      <c r="S793" s="48"/>
      <c r="T793" s="48"/>
      <c r="U793" s="48"/>
      <c r="V793" s="48"/>
      <c r="W793" s="48"/>
      <c r="X793" s="48"/>
      <c r="Y793" s="48"/>
      <c r="Z793" s="48"/>
      <c r="AA793" s="48"/>
      <c r="AB793" s="48"/>
      <c r="AC793" s="48"/>
      <c r="AD793" s="48"/>
      <c r="AE793" s="48"/>
      <c r="AF793" s="48"/>
      <c r="AG793" s="48"/>
      <c r="AH793" s="48"/>
      <c r="AI793" s="48"/>
      <c r="AJ793" s="48"/>
      <c r="AK793" s="48"/>
      <c r="AL793" s="48"/>
      <c r="AM793" s="48"/>
      <c r="AN793" s="48"/>
      <c r="AO793" s="48"/>
      <c r="AP793" s="48"/>
      <c r="AQ793" s="48"/>
      <c r="AR793" s="48"/>
      <c r="AS793" s="48"/>
      <c r="AT793" s="48"/>
      <c r="AU793" s="48"/>
      <c r="AV793" s="48"/>
      <c r="AW793" s="48"/>
      <c r="AX793" s="48"/>
      <c r="AY793" s="48"/>
    </row>
    <row r="794" spans="1:51">
      <c r="A794" s="48"/>
      <c r="B794" s="48"/>
      <c r="C794" s="48"/>
      <c r="D794" s="48"/>
      <c r="E794" s="48"/>
      <c r="F794" s="48"/>
      <c r="G794" s="48"/>
      <c r="H794" s="48"/>
      <c r="I794" s="48"/>
      <c r="J794" s="48"/>
      <c r="K794" s="48"/>
      <c r="L794" s="48"/>
      <c r="M794" s="48"/>
      <c r="N794" s="48"/>
      <c r="O794" s="48"/>
      <c r="P794" s="48"/>
      <c r="Q794" s="48"/>
      <c r="R794" s="48"/>
      <c r="S794" s="48"/>
      <c r="T794" s="48"/>
      <c r="U794" s="48"/>
      <c r="V794" s="48"/>
      <c r="W794" s="48"/>
      <c r="X794" s="48"/>
      <c r="Y794" s="48"/>
      <c r="Z794" s="48"/>
      <c r="AA794" s="48"/>
      <c r="AB794" s="48"/>
      <c r="AC794" s="48"/>
      <c r="AD794" s="48"/>
      <c r="AE794" s="48"/>
      <c r="AF794" s="48"/>
      <c r="AG794" s="48"/>
      <c r="AH794" s="48"/>
      <c r="AI794" s="48"/>
      <c r="AJ794" s="48"/>
      <c r="AK794" s="48"/>
      <c r="AL794" s="48"/>
      <c r="AM794" s="48"/>
      <c r="AN794" s="48"/>
      <c r="AO794" s="48"/>
      <c r="AP794" s="48"/>
      <c r="AQ794" s="48"/>
      <c r="AR794" s="48"/>
      <c r="AS794" s="48"/>
      <c r="AT794" s="48"/>
      <c r="AU794" s="48"/>
      <c r="AV794" s="48"/>
      <c r="AW794" s="48"/>
      <c r="AX794" s="48"/>
      <c r="AY794" s="48"/>
    </row>
    <row r="795" spans="1:51">
      <c r="A795" s="48"/>
      <c r="B795" s="48"/>
      <c r="C795" s="48"/>
      <c r="D795" s="48"/>
      <c r="E795" s="48"/>
      <c r="F795" s="48"/>
      <c r="G795" s="48"/>
      <c r="H795" s="48"/>
      <c r="I795" s="48"/>
      <c r="J795" s="48"/>
      <c r="K795" s="48"/>
      <c r="L795" s="48"/>
      <c r="M795" s="48"/>
      <c r="N795" s="48"/>
      <c r="O795" s="48"/>
      <c r="P795" s="48"/>
      <c r="Q795" s="48"/>
      <c r="R795" s="48"/>
      <c r="S795" s="48"/>
      <c r="T795" s="48"/>
      <c r="U795" s="48"/>
      <c r="V795" s="48"/>
      <c r="W795" s="48"/>
      <c r="X795" s="48"/>
      <c r="Y795" s="48"/>
      <c r="Z795" s="48"/>
      <c r="AA795" s="48"/>
      <c r="AB795" s="48"/>
      <c r="AC795" s="48"/>
      <c r="AD795" s="48"/>
      <c r="AE795" s="48"/>
      <c r="AF795" s="48"/>
      <c r="AG795" s="48"/>
      <c r="AH795" s="48"/>
      <c r="AI795" s="48"/>
      <c r="AJ795" s="48"/>
      <c r="AK795" s="48"/>
      <c r="AL795" s="48"/>
      <c r="AM795" s="48"/>
      <c r="AN795" s="48"/>
      <c r="AO795" s="48"/>
      <c r="AP795" s="48"/>
      <c r="AQ795" s="48"/>
      <c r="AR795" s="48"/>
      <c r="AS795" s="48"/>
      <c r="AT795" s="48"/>
      <c r="AU795" s="48"/>
      <c r="AV795" s="48"/>
      <c r="AW795" s="48"/>
      <c r="AX795" s="48"/>
      <c r="AY795" s="48"/>
    </row>
    <row r="796" spans="1:51">
      <c r="A796" s="48"/>
      <c r="B796" s="48"/>
      <c r="C796" s="48"/>
      <c r="D796" s="48"/>
      <c r="E796" s="48"/>
      <c r="F796" s="48"/>
      <c r="G796" s="48"/>
      <c r="H796" s="48"/>
      <c r="I796" s="48"/>
      <c r="J796" s="48"/>
      <c r="K796" s="48"/>
      <c r="L796" s="48"/>
      <c r="M796" s="48"/>
      <c r="N796" s="48"/>
      <c r="O796" s="48"/>
      <c r="P796" s="48"/>
      <c r="Q796" s="48"/>
      <c r="R796" s="48"/>
      <c r="S796" s="48"/>
      <c r="T796" s="48"/>
      <c r="U796" s="48"/>
      <c r="V796" s="48"/>
      <c r="W796" s="48"/>
      <c r="X796" s="48"/>
      <c r="Y796" s="48"/>
      <c r="Z796" s="48"/>
      <c r="AA796" s="48"/>
      <c r="AB796" s="48"/>
      <c r="AC796" s="48"/>
      <c r="AD796" s="48"/>
      <c r="AE796" s="48"/>
      <c r="AF796" s="48"/>
      <c r="AG796" s="48"/>
      <c r="AH796" s="48"/>
      <c r="AI796" s="48"/>
      <c r="AJ796" s="48"/>
      <c r="AK796" s="48"/>
      <c r="AL796" s="48"/>
      <c r="AM796" s="48"/>
      <c r="AN796" s="48"/>
      <c r="AO796" s="48"/>
      <c r="AP796" s="48"/>
      <c r="AQ796" s="48"/>
      <c r="AR796" s="48"/>
      <c r="AS796" s="48"/>
      <c r="AT796" s="48"/>
      <c r="AU796" s="48"/>
      <c r="AV796" s="48"/>
      <c r="AW796" s="48"/>
      <c r="AX796" s="48"/>
      <c r="AY796" s="48"/>
    </row>
    <row r="797" spans="1:51">
      <c r="A797" s="48"/>
      <c r="B797" s="48"/>
      <c r="C797" s="48"/>
      <c r="D797" s="48"/>
      <c r="E797" s="48"/>
      <c r="F797" s="48"/>
      <c r="G797" s="48"/>
      <c r="H797" s="48"/>
      <c r="I797" s="48"/>
      <c r="J797" s="48"/>
      <c r="K797" s="48"/>
      <c r="L797" s="48"/>
      <c r="M797" s="48"/>
      <c r="N797" s="48"/>
      <c r="O797" s="48"/>
      <c r="P797" s="48"/>
      <c r="Q797" s="48"/>
      <c r="R797" s="48"/>
      <c r="S797" s="48"/>
      <c r="T797" s="48"/>
      <c r="U797" s="48"/>
      <c r="V797" s="48"/>
      <c r="W797" s="48"/>
      <c r="X797" s="48"/>
      <c r="Y797" s="48"/>
      <c r="Z797" s="48"/>
      <c r="AA797" s="48"/>
      <c r="AB797" s="48"/>
      <c r="AC797" s="48"/>
      <c r="AD797" s="48"/>
      <c r="AE797" s="48"/>
      <c r="AF797" s="48"/>
      <c r="AG797" s="48"/>
      <c r="AH797" s="48"/>
      <c r="AI797" s="48"/>
      <c r="AJ797" s="48"/>
      <c r="AK797" s="48"/>
      <c r="AL797" s="48"/>
      <c r="AM797" s="48"/>
      <c r="AN797" s="48"/>
      <c r="AO797" s="48"/>
      <c r="AP797" s="48"/>
      <c r="AQ797" s="48"/>
      <c r="AR797" s="48"/>
      <c r="AS797" s="48"/>
      <c r="AT797" s="48"/>
      <c r="AU797" s="48"/>
      <c r="AV797" s="48"/>
      <c r="AW797" s="48"/>
      <c r="AX797" s="48"/>
      <c r="AY797" s="48"/>
    </row>
    <row r="798" spans="1:51">
      <c r="A798" s="48"/>
      <c r="B798" s="48"/>
      <c r="C798" s="48"/>
      <c r="D798" s="48"/>
      <c r="E798" s="48"/>
      <c r="F798" s="48"/>
      <c r="G798" s="48"/>
      <c r="H798" s="48"/>
      <c r="I798" s="48"/>
      <c r="J798" s="48"/>
      <c r="K798" s="48"/>
      <c r="L798" s="48"/>
      <c r="M798" s="48"/>
      <c r="N798" s="48"/>
      <c r="O798" s="48"/>
      <c r="P798" s="48"/>
      <c r="Q798" s="48"/>
      <c r="R798" s="48"/>
      <c r="S798" s="48"/>
      <c r="T798" s="48"/>
      <c r="U798" s="48"/>
      <c r="V798" s="48"/>
      <c r="W798" s="48"/>
      <c r="X798" s="48"/>
      <c r="Y798" s="48"/>
      <c r="Z798" s="48"/>
      <c r="AA798" s="48"/>
      <c r="AB798" s="48"/>
      <c r="AC798" s="48"/>
      <c r="AD798" s="48"/>
      <c r="AE798" s="48"/>
      <c r="AF798" s="48"/>
      <c r="AG798" s="48"/>
      <c r="AH798" s="48"/>
      <c r="AI798" s="48"/>
      <c r="AJ798" s="48"/>
      <c r="AK798" s="48"/>
      <c r="AL798" s="48"/>
      <c r="AM798" s="48"/>
      <c r="AN798" s="48"/>
      <c r="AO798" s="48"/>
      <c r="AP798" s="48"/>
      <c r="AQ798" s="48"/>
      <c r="AR798" s="48"/>
      <c r="AS798" s="48"/>
      <c r="AT798" s="48"/>
      <c r="AU798" s="48"/>
      <c r="AV798" s="48"/>
      <c r="AW798" s="48"/>
      <c r="AX798" s="48"/>
      <c r="AY798" s="48"/>
    </row>
    <row r="799" spans="1:51">
      <c r="A799" s="48"/>
      <c r="B799" s="48"/>
      <c r="C799" s="48"/>
      <c r="D799" s="48"/>
      <c r="E799" s="48"/>
      <c r="F799" s="48"/>
      <c r="G799" s="48"/>
      <c r="H799" s="48"/>
      <c r="I799" s="48"/>
      <c r="J799" s="48"/>
      <c r="K799" s="48"/>
      <c r="L799" s="48"/>
      <c r="M799" s="48"/>
      <c r="N799" s="48"/>
      <c r="O799" s="48"/>
      <c r="P799" s="48"/>
      <c r="Q799" s="48"/>
      <c r="R799" s="48"/>
      <c r="S799" s="48"/>
      <c r="T799" s="48"/>
      <c r="U799" s="48"/>
      <c r="V799" s="48"/>
      <c r="W799" s="48"/>
      <c r="X799" s="48"/>
      <c r="Y799" s="48"/>
      <c r="Z799" s="48"/>
      <c r="AA799" s="48"/>
      <c r="AB799" s="48"/>
      <c r="AC799" s="48"/>
      <c r="AD799" s="48"/>
      <c r="AE799" s="48"/>
      <c r="AF799" s="48"/>
      <c r="AG799" s="48"/>
      <c r="AH799" s="48"/>
      <c r="AI799" s="48"/>
      <c r="AJ799" s="48"/>
      <c r="AK799" s="48"/>
      <c r="AL799" s="48"/>
      <c r="AM799" s="48"/>
      <c r="AN799" s="48"/>
      <c r="AO799" s="48"/>
      <c r="AP799" s="48"/>
      <c r="AQ799" s="48"/>
      <c r="AR799" s="48"/>
      <c r="AS799" s="48"/>
      <c r="AT799" s="48"/>
      <c r="AU799" s="48"/>
      <c r="AV799" s="48"/>
      <c r="AW799" s="48"/>
      <c r="AX799" s="48"/>
      <c r="AY799" s="48"/>
    </row>
    <row r="800" spans="1:51">
      <c r="A800" s="48"/>
      <c r="B800" s="48"/>
      <c r="C800" s="48"/>
      <c r="D800" s="48"/>
      <c r="E800" s="48"/>
      <c r="F800" s="48"/>
      <c r="G800" s="48"/>
      <c r="H800" s="48"/>
      <c r="I800" s="48"/>
      <c r="J800" s="48"/>
      <c r="K800" s="48"/>
      <c r="L800" s="48"/>
      <c r="M800" s="48"/>
      <c r="N800" s="48"/>
      <c r="O800" s="48"/>
      <c r="P800" s="48"/>
      <c r="Q800" s="48"/>
      <c r="R800" s="48"/>
      <c r="S800" s="48"/>
      <c r="T800" s="48"/>
      <c r="U800" s="48"/>
      <c r="V800" s="48"/>
      <c r="W800" s="48"/>
      <c r="X800" s="48"/>
      <c r="Y800" s="48"/>
      <c r="Z800" s="48"/>
      <c r="AA800" s="48"/>
      <c r="AB800" s="48"/>
      <c r="AC800" s="48"/>
      <c r="AD800" s="48"/>
      <c r="AE800" s="48"/>
      <c r="AF800" s="48"/>
      <c r="AG800" s="48"/>
      <c r="AH800" s="48"/>
      <c r="AI800" s="48"/>
      <c r="AJ800" s="48"/>
      <c r="AK800" s="48"/>
      <c r="AL800" s="48"/>
      <c r="AM800" s="48"/>
      <c r="AN800" s="48"/>
      <c r="AO800" s="48"/>
      <c r="AP800" s="48"/>
      <c r="AQ800" s="48"/>
      <c r="AR800" s="48"/>
      <c r="AS800" s="48"/>
      <c r="AT800" s="48"/>
      <c r="AU800" s="48"/>
      <c r="AV800" s="48"/>
      <c r="AW800" s="48"/>
      <c r="AX800" s="48"/>
      <c r="AY800" s="48"/>
    </row>
    <row r="801" spans="1:51">
      <c r="A801" s="48"/>
      <c r="B801" s="48"/>
      <c r="C801" s="48"/>
      <c r="D801" s="48"/>
      <c r="E801" s="48"/>
      <c r="F801" s="48"/>
      <c r="G801" s="48"/>
      <c r="H801" s="48"/>
      <c r="I801" s="48"/>
      <c r="J801" s="48"/>
      <c r="K801" s="48"/>
      <c r="L801" s="48"/>
      <c r="M801" s="48"/>
      <c r="N801" s="48"/>
      <c r="O801" s="48"/>
      <c r="P801" s="48"/>
      <c r="Q801" s="48"/>
      <c r="R801" s="48"/>
      <c r="S801" s="48"/>
      <c r="T801" s="48"/>
      <c r="U801" s="48"/>
      <c r="V801" s="48"/>
      <c r="W801" s="48"/>
      <c r="X801" s="48"/>
      <c r="Y801" s="48"/>
      <c r="Z801" s="48"/>
      <c r="AA801" s="48"/>
      <c r="AB801" s="48"/>
      <c r="AC801" s="48"/>
      <c r="AD801" s="48"/>
      <c r="AE801" s="48"/>
      <c r="AF801" s="48"/>
      <c r="AG801" s="48"/>
      <c r="AH801" s="48"/>
      <c r="AI801" s="48"/>
      <c r="AJ801" s="48"/>
      <c r="AK801" s="48"/>
      <c r="AL801" s="48"/>
      <c r="AM801" s="48"/>
      <c r="AN801" s="48"/>
      <c r="AO801" s="48"/>
      <c r="AP801" s="48"/>
      <c r="AQ801" s="48"/>
      <c r="AR801" s="48"/>
      <c r="AS801" s="48"/>
      <c r="AT801" s="48"/>
      <c r="AU801" s="48"/>
      <c r="AV801" s="48"/>
      <c r="AW801" s="48"/>
      <c r="AX801" s="48"/>
      <c r="AY801" s="48"/>
    </row>
    <row r="802" spans="1:51">
      <c r="A802" s="48"/>
      <c r="B802" s="48"/>
      <c r="C802" s="48"/>
      <c r="D802" s="48"/>
      <c r="E802" s="48"/>
      <c r="F802" s="48"/>
      <c r="G802" s="48"/>
      <c r="H802" s="48"/>
      <c r="I802" s="48"/>
      <c r="J802" s="48"/>
      <c r="K802" s="48"/>
      <c r="L802" s="48"/>
      <c r="M802" s="48"/>
      <c r="N802" s="48"/>
      <c r="O802" s="48"/>
      <c r="P802" s="48"/>
      <c r="Q802" s="48"/>
      <c r="R802" s="48"/>
      <c r="S802" s="48"/>
      <c r="T802" s="48"/>
      <c r="U802" s="48"/>
      <c r="V802" s="48"/>
      <c r="W802" s="48"/>
      <c r="X802" s="48"/>
      <c r="Y802" s="48"/>
      <c r="Z802" s="48"/>
      <c r="AA802" s="48"/>
      <c r="AB802" s="48"/>
      <c r="AC802" s="48"/>
      <c r="AD802" s="48"/>
      <c r="AE802" s="48"/>
      <c r="AF802" s="48"/>
      <c r="AG802" s="48"/>
      <c r="AH802" s="48"/>
      <c r="AI802" s="48"/>
      <c r="AJ802" s="48"/>
      <c r="AK802" s="48"/>
      <c r="AL802" s="48"/>
      <c r="AM802" s="48"/>
      <c r="AN802" s="48"/>
      <c r="AO802" s="48"/>
      <c r="AP802" s="48"/>
      <c r="AQ802" s="48"/>
      <c r="AR802" s="48"/>
      <c r="AS802" s="48"/>
      <c r="AT802" s="48"/>
      <c r="AU802" s="48"/>
      <c r="AV802" s="48"/>
      <c r="AW802" s="48"/>
      <c r="AX802" s="48"/>
      <c r="AY802" s="48"/>
    </row>
    <row r="803" spans="1:51">
      <c r="A803" s="48"/>
      <c r="B803" s="48"/>
      <c r="C803" s="48"/>
      <c r="D803" s="48"/>
      <c r="E803" s="48"/>
      <c r="F803" s="48"/>
      <c r="G803" s="48"/>
      <c r="H803" s="48"/>
      <c r="I803" s="48"/>
      <c r="J803" s="48"/>
      <c r="K803" s="48"/>
      <c r="L803" s="48"/>
      <c r="M803" s="48"/>
      <c r="N803" s="48"/>
      <c r="O803" s="48"/>
      <c r="P803" s="48"/>
      <c r="Q803" s="48"/>
      <c r="R803" s="48"/>
      <c r="S803" s="48"/>
      <c r="T803" s="48"/>
      <c r="U803" s="48"/>
      <c r="V803" s="48"/>
      <c r="W803" s="48"/>
      <c r="X803" s="48"/>
      <c r="Y803" s="48"/>
      <c r="Z803" s="48"/>
      <c r="AA803" s="48"/>
      <c r="AB803" s="48"/>
      <c r="AC803" s="48"/>
      <c r="AD803" s="48"/>
      <c r="AE803" s="48"/>
      <c r="AF803" s="48"/>
      <c r="AG803" s="48"/>
      <c r="AH803" s="48"/>
      <c r="AI803" s="48"/>
      <c r="AJ803" s="48"/>
      <c r="AK803" s="48"/>
      <c r="AL803" s="48"/>
      <c r="AM803" s="48"/>
      <c r="AN803" s="48"/>
      <c r="AO803" s="48"/>
      <c r="AP803" s="48"/>
      <c r="AQ803" s="48"/>
      <c r="AR803" s="48"/>
      <c r="AS803" s="48"/>
      <c r="AT803" s="48"/>
      <c r="AU803" s="48"/>
      <c r="AV803" s="48"/>
      <c r="AW803" s="48"/>
      <c r="AX803" s="48"/>
      <c r="AY803" s="48"/>
    </row>
    <row r="804" spans="1:51">
      <c r="A804" s="48"/>
      <c r="B804" s="48"/>
      <c r="C804" s="48"/>
      <c r="D804" s="48"/>
      <c r="E804" s="48"/>
      <c r="F804" s="48"/>
      <c r="G804" s="48"/>
      <c r="H804" s="48"/>
      <c r="I804" s="48"/>
      <c r="J804" s="48"/>
      <c r="K804" s="48"/>
      <c r="L804" s="48"/>
      <c r="M804" s="48"/>
      <c r="N804" s="48"/>
      <c r="O804" s="48"/>
      <c r="P804" s="48"/>
      <c r="Q804" s="48"/>
      <c r="R804" s="48"/>
      <c r="S804" s="48"/>
      <c r="T804" s="48"/>
      <c r="U804" s="48"/>
      <c r="V804" s="48"/>
      <c r="W804" s="48"/>
      <c r="X804" s="48"/>
      <c r="Y804" s="48"/>
      <c r="Z804" s="48"/>
      <c r="AA804" s="48"/>
      <c r="AB804" s="48"/>
      <c r="AC804" s="48"/>
      <c r="AD804" s="48"/>
      <c r="AE804" s="48"/>
      <c r="AF804" s="48"/>
      <c r="AG804" s="48"/>
      <c r="AH804" s="48"/>
      <c r="AI804" s="48"/>
      <c r="AJ804" s="48"/>
      <c r="AK804" s="48"/>
      <c r="AL804" s="48"/>
      <c r="AM804" s="48"/>
      <c r="AN804" s="48"/>
      <c r="AO804" s="48"/>
      <c r="AP804" s="48"/>
      <c r="AQ804" s="48"/>
      <c r="AR804" s="48"/>
      <c r="AS804" s="48"/>
      <c r="AT804" s="48"/>
      <c r="AU804" s="48"/>
      <c r="AV804" s="48"/>
      <c r="AW804" s="48"/>
      <c r="AX804" s="48"/>
      <c r="AY804" s="48"/>
    </row>
    <row r="805" spans="1:51">
      <c r="A805" s="48"/>
      <c r="B805" s="48"/>
      <c r="C805" s="48"/>
      <c r="D805" s="48"/>
      <c r="E805" s="48"/>
      <c r="F805" s="48"/>
      <c r="G805" s="48"/>
      <c r="H805" s="48"/>
      <c r="I805" s="48"/>
      <c r="J805" s="48"/>
      <c r="K805" s="48"/>
      <c r="L805" s="48"/>
      <c r="M805" s="48"/>
      <c r="N805" s="48"/>
      <c r="O805" s="48"/>
      <c r="P805" s="48"/>
      <c r="Q805" s="48"/>
      <c r="R805" s="48"/>
      <c r="S805" s="48"/>
      <c r="T805" s="48"/>
      <c r="U805" s="48"/>
      <c r="V805" s="48"/>
      <c r="W805" s="48"/>
      <c r="X805" s="48"/>
      <c r="Y805" s="48"/>
      <c r="Z805" s="48"/>
      <c r="AA805" s="48"/>
      <c r="AB805" s="48"/>
      <c r="AC805" s="48"/>
      <c r="AD805" s="48"/>
      <c r="AE805" s="48"/>
      <c r="AF805" s="48"/>
      <c r="AG805" s="48"/>
      <c r="AH805" s="48"/>
      <c r="AI805" s="48"/>
      <c r="AJ805" s="48"/>
      <c r="AK805" s="48"/>
      <c r="AL805" s="48"/>
      <c r="AM805" s="48"/>
      <c r="AN805" s="48"/>
      <c r="AO805" s="48"/>
      <c r="AP805" s="48"/>
      <c r="AQ805" s="48"/>
      <c r="AR805" s="48"/>
      <c r="AS805" s="48"/>
      <c r="AT805" s="48"/>
      <c r="AU805" s="48"/>
      <c r="AV805" s="48"/>
      <c r="AW805" s="48"/>
      <c r="AX805" s="48"/>
      <c r="AY805" s="48"/>
    </row>
    <row r="806" spans="1:51">
      <c r="A806" s="48"/>
      <c r="B806" s="48"/>
      <c r="C806" s="48"/>
      <c r="D806" s="48"/>
      <c r="E806" s="48"/>
      <c r="F806" s="48"/>
      <c r="G806" s="48"/>
      <c r="H806" s="48"/>
      <c r="I806" s="48"/>
      <c r="J806" s="48"/>
      <c r="K806" s="48"/>
      <c r="L806" s="48"/>
      <c r="M806" s="48"/>
      <c r="N806" s="48"/>
      <c r="O806" s="48"/>
      <c r="P806" s="48"/>
      <c r="Q806" s="48"/>
      <c r="R806" s="48"/>
      <c r="S806" s="48"/>
      <c r="T806" s="48"/>
      <c r="U806" s="48"/>
      <c r="V806" s="48"/>
      <c r="W806" s="48"/>
      <c r="X806" s="48"/>
      <c r="Y806" s="48"/>
      <c r="Z806" s="48"/>
      <c r="AA806" s="48"/>
      <c r="AB806" s="48"/>
      <c r="AC806" s="48"/>
      <c r="AD806" s="48"/>
      <c r="AE806" s="48"/>
      <c r="AF806" s="48"/>
      <c r="AG806" s="48"/>
      <c r="AH806" s="48"/>
      <c r="AI806" s="48"/>
      <c r="AJ806" s="48"/>
      <c r="AK806" s="48"/>
      <c r="AL806" s="48"/>
      <c r="AM806" s="48"/>
      <c r="AN806" s="48"/>
      <c r="AO806" s="48"/>
      <c r="AP806" s="48"/>
      <c r="AQ806" s="48"/>
      <c r="AR806" s="48"/>
      <c r="AS806" s="48"/>
      <c r="AT806" s="48"/>
      <c r="AU806" s="48"/>
      <c r="AV806" s="48"/>
      <c r="AW806" s="48"/>
      <c r="AX806" s="48"/>
      <c r="AY806" s="48"/>
    </row>
    <row r="807" spans="1:51">
      <c r="A807" s="48"/>
      <c r="B807" s="48"/>
      <c r="C807" s="48"/>
      <c r="D807" s="48"/>
      <c r="E807" s="48"/>
      <c r="F807" s="48"/>
      <c r="G807" s="48"/>
      <c r="H807" s="48"/>
      <c r="I807" s="48"/>
      <c r="J807" s="48"/>
      <c r="K807" s="48"/>
      <c r="L807" s="48"/>
      <c r="M807" s="48"/>
      <c r="N807" s="48"/>
      <c r="O807" s="48"/>
      <c r="P807" s="48"/>
      <c r="Q807" s="48"/>
      <c r="R807" s="48"/>
      <c r="S807" s="48"/>
      <c r="T807" s="48"/>
      <c r="U807" s="48"/>
      <c r="V807" s="48"/>
      <c r="W807" s="48"/>
      <c r="X807" s="48"/>
      <c r="Y807" s="48"/>
      <c r="Z807" s="48"/>
      <c r="AA807" s="48"/>
      <c r="AB807" s="48"/>
      <c r="AC807" s="48"/>
      <c r="AD807" s="48"/>
      <c r="AE807" s="48"/>
      <c r="AF807" s="48"/>
      <c r="AG807" s="48"/>
      <c r="AH807" s="48"/>
      <c r="AI807" s="48"/>
      <c r="AJ807" s="48"/>
      <c r="AK807" s="48"/>
      <c r="AL807" s="48"/>
      <c r="AM807" s="48"/>
      <c r="AN807" s="48"/>
      <c r="AO807" s="48"/>
      <c r="AP807" s="48"/>
      <c r="AQ807" s="48"/>
      <c r="AR807" s="48"/>
      <c r="AS807" s="48"/>
      <c r="AT807" s="48"/>
      <c r="AU807" s="48"/>
      <c r="AV807" s="48"/>
      <c r="AW807" s="48"/>
      <c r="AX807" s="48"/>
      <c r="AY807" s="48"/>
    </row>
    <row r="808" spans="1:51">
      <c r="A808" s="48"/>
      <c r="B808" s="48"/>
      <c r="C808" s="48"/>
      <c r="D808" s="48"/>
      <c r="E808" s="48"/>
      <c r="F808" s="48"/>
      <c r="G808" s="48"/>
      <c r="H808" s="48"/>
      <c r="I808" s="48"/>
      <c r="J808" s="48"/>
      <c r="K808" s="48"/>
      <c r="L808" s="48"/>
      <c r="M808" s="48"/>
      <c r="N808" s="48"/>
      <c r="O808" s="48"/>
      <c r="P808" s="48"/>
      <c r="Q808" s="48"/>
      <c r="R808" s="48"/>
      <c r="S808" s="48"/>
      <c r="T808" s="48"/>
      <c r="U808" s="48"/>
      <c r="V808" s="48"/>
      <c r="W808" s="48"/>
      <c r="X808" s="48"/>
      <c r="Y808" s="48"/>
      <c r="Z808" s="48"/>
      <c r="AA808" s="48"/>
      <c r="AB808" s="48"/>
      <c r="AC808" s="48"/>
      <c r="AD808" s="48"/>
      <c r="AE808" s="48"/>
      <c r="AF808" s="48"/>
      <c r="AG808" s="48"/>
      <c r="AH808" s="48"/>
      <c r="AI808" s="48"/>
      <c r="AJ808" s="48"/>
      <c r="AK808" s="48"/>
      <c r="AL808" s="48"/>
      <c r="AM808" s="48"/>
      <c r="AN808" s="48"/>
      <c r="AO808" s="48"/>
      <c r="AP808" s="48"/>
      <c r="AQ808" s="48"/>
      <c r="AR808" s="48"/>
      <c r="AS808" s="48"/>
      <c r="AT808" s="48"/>
      <c r="AU808" s="48"/>
      <c r="AV808" s="48"/>
      <c r="AW808" s="48"/>
      <c r="AX808" s="48"/>
      <c r="AY808" s="48"/>
    </row>
    <row r="809" spans="1:51">
      <c r="A809" s="48"/>
      <c r="B809" s="48"/>
      <c r="C809" s="48"/>
      <c r="D809" s="48"/>
      <c r="E809" s="48"/>
      <c r="F809" s="48"/>
      <c r="G809" s="48"/>
      <c r="H809" s="48"/>
      <c r="I809" s="48"/>
      <c r="J809" s="48"/>
      <c r="K809" s="48"/>
      <c r="L809" s="48"/>
      <c r="M809" s="48"/>
      <c r="N809" s="48"/>
      <c r="O809" s="48"/>
      <c r="P809" s="48"/>
      <c r="Q809" s="48"/>
      <c r="R809" s="48"/>
      <c r="S809" s="48"/>
      <c r="T809" s="48"/>
      <c r="U809" s="48"/>
      <c r="V809" s="48"/>
      <c r="W809" s="48"/>
      <c r="X809" s="48"/>
      <c r="Y809" s="48"/>
      <c r="Z809" s="48"/>
      <c r="AA809" s="48"/>
      <c r="AB809" s="48"/>
      <c r="AC809" s="48"/>
      <c r="AD809" s="48"/>
      <c r="AE809" s="48"/>
      <c r="AF809" s="48"/>
      <c r="AG809" s="48"/>
      <c r="AH809" s="48"/>
      <c r="AI809" s="48"/>
      <c r="AJ809" s="48"/>
      <c r="AK809" s="48"/>
      <c r="AL809" s="48"/>
      <c r="AM809" s="48"/>
      <c r="AN809" s="48"/>
      <c r="AO809" s="48"/>
      <c r="AP809" s="48"/>
      <c r="AQ809" s="48"/>
      <c r="AR809" s="48"/>
      <c r="AS809" s="48"/>
      <c r="AT809" s="48"/>
      <c r="AU809" s="48"/>
      <c r="AV809" s="48"/>
      <c r="AW809" s="48"/>
      <c r="AX809" s="48"/>
      <c r="AY809" s="48"/>
    </row>
    <row r="810" spans="1:51">
      <c r="A810" s="48"/>
      <c r="B810" s="48"/>
      <c r="C810" s="48"/>
      <c r="D810" s="48"/>
      <c r="E810" s="48"/>
      <c r="F810" s="48"/>
      <c r="G810" s="48"/>
      <c r="H810" s="48"/>
      <c r="I810" s="48"/>
      <c r="J810" s="48"/>
      <c r="K810" s="48"/>
      <c r="L810" s="48"/>
      <c r="M810" s="48"/>
      <c r="N810" s="48"/>
      <c r="O810" s="48"/>
      <c r="P810" s="48"/>
      <c r="Q810" s="48"/>
      <c r="R810" s="48"/>
      <c r="S810" s="48"/>
      <c r="T810" s="48"/>
      <c r="U810" s="48"/>
      <c r="V810" s="48"/>
      <c r="W810" s="48"/>
      <c r="X810" s="48"/>
      <c r="Y810" s="48"/>
      <c r="Z810" s="48"/>
      <c r="AA810" s="48"/>
      <c r="AB810" s="48"/>
      <c r="AC810" s="48"/>
      <c r="AD810" s="48"/>
      <c r="AE810" s="48"/>
      <c r="AF810" s="48"/>
      <c r="AG810" s="48"/>
      <c r="AH810" s="48"/>
      <c r="AI810" s="48"/>
      <c r="AJ810" s="48"/>
      <c r="AK810" s="48"/>
      <c r="AL810" s="48"/>
      <c r="AM810" s="48"/>
      <c r="AN810" s="48"/>
      <c r="AO810" s="48"/>
      <c r="AP810" s="48"/>
      <c r="AQ810" s="48"/>
      <c r="AR810" s="48"/>
      <c r="AS810" s="48"/>
      <c r="AT810" s="48"/>
      <c r="AU810" s="48"/>
      <c r="AV810" s="48"/>
      <c r="AW810" s="48"/>
      <c r="AX810" s="48"/>
      <c r="AY810" s="48"/>
    </row>
    <row r="811" spans="1:51">
      <c r="A811" s="48"/>
      <c r="B811" s="48"/>
      <c r="C811" s="48"/>
      <c r="D811" s="48"/>
      <c r="E811" s="48"/>
      <c r="F811" s="48"/>
      <c r="G811" s="48"/>
      <c r="H811" s="48"/>
      <c r="I811" s="48"/>
      <c r="J811" s="48"/>
      <c r="K811" s="48"/>
      <c r="L811" s="48"/>
      <c r="M811" s="48"/>
      <c r="N811" s="48"/>
      <c r="O811" s="48"/>
      <c r="P811" s="48"/>
      <c r="Q811" s="48"/>
      <c r="R811" s="48"/>
      <c r="S811" s="48"/>
      <c r="T811" s="48"/>
      <c r="U811" s="48"/>
      <c r="V811" s="48"/>
      <c r="W811" s="48"/>
      <c r="X811" s="48"/>
      <c r="Y811" s="48"/>
      <c r="Z811" s="48"/>
      <c r="AA811" s="48"/>
      <c r="AB811" s="48"/>
      <c r="AC811" s="48"/>
      <c r="AD811" s="48"/>
      <c r="AE811" s="48"/>
      <c r="AF811" s="48"/>
      <c r="AG811" s="48"/>
      <c r="AH811" s="48"/>
      <c r="AI811" s="48"/>
      <c r="AJ811" s="48"/>
      <c r="AK811" s="48"/>
      <c r="AL811" s="48"/>
      <c r="AM811" s="48"/>
      <c r="AN811" s="48"/>
      <c r="AO811" s="48"/>
      <c r="AP811" s="48"/>
      <c r="AQ811" s="48"/>
      <c r="AR811" s="48"/>
      <c r="AS811" s="48"/>
      <c r="AT811" s="48"/>
      <c r="AU811" s="48"/>
      <c r="AV811" s="48"/>
      <c r="AW811" s="48"/>
      <c r="AX811" s="48"/>
      <c r="AY811" s="48"/>
    </row>
    <row r="812" spans="1:51">
      <c r="A812" s="48"/>
      <c r="B812" s="48"/>
      <c r="C812" s="48"/>
      <c r="D812" s="48"/>
      <c r="E812" s="48"/>
      <c r="F812" s="48"/>
      <c r="G812" s="48"/>
      <c r="H812" s="48"/>
      <c r="I812" s="48"/>
      <c r="J812" s="48"/>
      <c r="K812" s="48"/>
      <c r="L812" s="48"/>
      <c r="M812" s="48"/>
      <c r="N812" s="48"/>
      <c r="O812" s="48"/>
      <c r="P812" s="48"/>
      <c r="Q812" s="48"/>
      <c r="R812" s="48"/>
      <c r="S812" s="48"/>
      <c r="T812" s="48"/>
      <c r="U812" s="48"/>
      <c r="V812" s="48"/>
      <c r="W812" s="48"/>
      <c r="X812" s="48"/>
      <c r="Y812" s="48"/>
      <c r="Z812" s="48"/>
      <c r="AA812" s="48"/>
      <c r="AB812" s="48"/>
      <c r="AC812" s="48"/>
      <c r="AD812" s="48"/>
      <c r="AE812" s="48"/>
      <c r="AF812" s="48"/>
      <c r="AG812" s="48"/>
      <c r="AH812" s="48"/>
      <c r="AI812" s="48"/>
      <c r="AJ812" s="48"/>
      <c r="AK812" s="48"/>
      <c r="AL812" s="48"/>
      <c r="AM812" s="48"/>
      <c r="AN812" s="48"/>
      <c r="AO812" s="48"/>
      <c r="AP812" s="48"/>
      <c r="AQ812" s="48"/>
      <c r="AR812" s="48"/>
      <c r="AS812" s="48"/>
      <c r="AT812" s="48"/>
      <c r="AU812" s="48"/>
      <c r="AV812" s="48"/>
      <c r="AW812" s="48"/>
      <c r="AX812" s="48"/>
      <c r="AY812" s="48"/>
    </row>
    <row r="813" spans="1:51">
      <c r="A813" s="48"/>
      <c r="B813" s="48"/>
      <c r="C813" s="48"/>
      <c r="D813" s="48"/>
      <c r="E813" s="48"/>
      <c r="F813" s="48"/>
      <c r="G813" s="48"/>
      <c r="H813" s="48"/>
      <c r="I813" s="48"/>
      <c r="J813" s="48"/>
      <c r="K813" s="48"/>
      <c r="L813" s="48"/>
      <c r="M813" s="48"/>
      <c r="N813" s="48"/>
      <c r="O813" s="48"/>
      <c r="P813" s="48"/>
      <c r="Q813" s="48"/>
      <c r="R813" s="48"/>
      <c r="S813" s="48"/>
      <c r="T813" s="48"/>
      <c r="U813" s="48"/>
      <c r="V813" s="48"/>
      <c r="W813" s="48"/>
      <c r="X813" s="48"/>
      <c r="Y813" s="48"/>
      <c r="Z813" s="48"/>
      <c r="AA813" s="48"/>
      <c r="AB813" s="48"/>
      <c r="AC813" s="48"/>
      <c r="AD813" s="48"/>
      <c r="AE813" s="48"/>
      <c r="AF813" s="48"/>
      <c r="AG813" s="48"/>
      <c r="AH813" s="48"/>
      <c r="AI813" s="48"/>
      <c r="AJ813" s="48"/>
      <c r="AK813" s="48"/>
      <c r="AL813" s="48"/>
      <c r="AM813" s="48"/>
      <c r="AN813" s="48"/>
      <c r="AO813" s="48"/>
      <c r="AP813" s="48"/>
      <c r="AQ813" s="48"/>
      <c r="AR813" s="48"/>
      <c r="AS813" s="48"/>
      <c r="AT813" s="48"/>
      <c r="AU813" s="48"/>
      <c r="AV813" s="48"/>
      <c r="AW813" s="48"/>
      <c r="AX813" s="48"/>
      <c r="AY813" s="48"/>
    </row>
    <row r="814" spans="1:51">
      <c r="A814" s="48"/>
      <c r="B814" s="48"/>
      <c r="C814" s="48"/>
      <c r="D814" s="48"/>
      <c r="E814" s="48"/>
      <c r="F814" s="48"/>
      <c r="G814" s="48"/>
      <c r="H814" s="48"/>
      <c r="I814" s="48"/>
      <c r="J814" s="48"/>
      <c r="K814" s="48"/>
      <c r="L814" s="48"/>
      <c r="M814" s="48"/>
      <c r="N814" s="48"/>
      <c r="O814" s="48"/>
      <c r="P814" s="48"/>
      <c r="Q814" s="48"/>
      <c r="R814" s="48"/>
      <c r="S814" s="48"/>
      <c r="T814" s="48"/>
      <c r="U814" s="48"/>
      <c r="V814" s="48"/>
      <c r="W814" s="48"/>
      <c r="X814" s="48"/>
      <c r="Y814" s="48"/>
      <c r="Z814" s="48"/>
      <c r="AA814" s="48"/>
      <c r="AB814" s="48"/>
      <c r="AC814" s="48"/>
      <c r="AD814" s="48"/>
      <c r="AE814" s="48"/>
      <c r="AF814" s="48"/>
      <c r="AG814" s="48"/>
      <c r="AH814" s="48"/>
      <c r="AI814" s="48"/>
      <c r="AJ814" s="48"/>
      <c r="AK814" s="48"/>
      <c r="AL814" s="48"/>
      <c r="AM814" s="48"/>
      <c r="AN814" s="48"/>
      <c r="AO814" s="48"/>
      <c r="AP814" s="48"/>
      <c r="AQ814" s="48"/>
      <c r="AR814" s="48"/>
      <c r="AS814" s="48"/>
      <c r="AT814" s="48"/>
      <c r="AU814" s="48"/>
      <c r="AV814" s="48"/>
      <c r="AW814" s="48"/>
      <c r="AX814" s="48"/>
      <c r="AY814" s="48"/>
    </row>
    <row r="815" spans="1:51">
      <c r="A815" s="48"/>
      <c r="B815" s="48"/>
      <c r="C815" s="48"/>
      <c r="D815" s="48"/>
      <c r="E815" s="48"/>
      <c r="F815" s="48"/>
      <c r="G815" s="48"/>
      <c r="H815" s="48"/>
      <c r="I815" s="48"/>
      <c r="J815" s="48"/>
      <c r="K815" s="48"/>
      <c r="L815" s="48"/>
      <c r="M815" s="48"/>
      <c r="N815" s="48"/>
      <c r="O815" s="48"/>
      <c r="P815" s="48"/>
      <c r="Q815" s="48"/>
      <c r="R815" s="48"/>
      <c r="S815" s="48"/>
      <c r="T815" s="48"/>
      <c r="U815" s="48"/>
      <c r="V815" s="48"/>
      <c r="W815" s="48"/>
      <c r="X815" s="48"/>
      <c r="Y815" s="48"/>
      <c r="Z815" s="48"/>
      <c r="AA815" s="48"/>
      <c r="AB815" s="48"/>
      <c r="AC815" s="48"/>
      <c r="AD815" s="48"/>
      <c r="AE815" s="48"/>
      <c r="AF815" s="48"/>
      <c r="AG815" s="48"/>
      <c r="AH815" s="48"/>
      <c r="AI815" s="48"/>
      <c r="AJ815" s="48"/>
      <c r="AK815" s="48"/>
      <c r="AL815" s="48"/>
      <c r="AM815" s="48"/>
      <c r="AN815" s="48"/>
      <c r="AO815" s="48"/>
      <c r="AP815" s="48"/>
      <c r="AQ815" s="48"/>
      <c r="AR815" s="48"/>
      <c r="AS815" s="48"/>
      <c r="AT815" s="48"/>
      <c r="AU815" s="48"/>
      <c r="AV815" s="48"/>
      <c r="AW815" s="48"/>
      <c r="AX815" s="48"/>
      <c r="AY815" s="48"/>
    </row>
    <row r="816" spans="1:51">
      <c r="A816" s="48"/>
      <c r="B816" s="48"/>
      <c r="C816" s="48"/>
      <c r="D816" s="48"/>
      <c r="E816" s="48"/>
      <c r="F816" s="48"/>
      <c r="G816" s="48"/>
      <c r="H816" s="48"/>
      <c r="I816" s="48"/>
      <c r="J816" s="48"/>
      <c r="K816" s="48"/>
      <c r="L816" s="48"/>
      <c r="M816" s="48"/>
      <c r="N816" s="48"/>
      <c r="O816" s="48"/>
      <c r="P816" s="48"/>
      <c r="Q816" s="48"/>
      <c r="R816" s="48"/>
      <c r="S816" s="48"/>
      <c r="T816" s="48"/>
      <c r="U816" s="48"/>
      <c r="V816" s="48"/>
      <c r="W816" s="48"/>
      <c r="X816" s="48"/>
      <c r="Y816" s="48"/>
      <c r="Z816" s="48"/>
      <c r="AA816" s="48"/>
      <c r="AB816" s="48"/>
      <c r="AC816" s="48"/>
      <c r="AD816" s="48"/>
      <c r="AE816" s="48"/>
      <c r="AF816" s="48"/>
      <c r="AG816" s="48"/>
      <c r="AH816" s="48"/>
      <c r="AI816" s="48"/>
      <c r="AJ816" s="48"/>
      <c r="AK816" s="48"/>
      <c r="AL816" s="48"/>
      <c r="AM816" s="48"/>
      <c r="AN816" s="48"/>
      <c r="AO816" s="48"/>
      <c r="AP816" s="48"/>
      <c r="AQ816" s="48"/>
      <c r="AR816" s="48"/>
      <c r="AS816" s="48"/>
      <c r="AT816" s="48"/>
      <c r="AU816" s="48"/>
      <c r="AV816" s="48"/>
      <c r="AW816" s="48"/>
      <c r="AX816" s="48"/>
      <c r="AY816" s="48"/>
    </row>
    <row r="817" spans="1:51">
      <c r="A817" s="48"/>
      <c r="B817" s="48"/>
      <c r="C817" s="48"/>
      <c r="D817" s="48"/>
      <c r="E817" s="48"/>
      <c r="F817" s="48"/>
      <c r="G817" s="48"/>
      <c r="H817" s="48"/>
      <c r="I817" s="48"/>
      <c r="J817" s="48"/>
      <c r="K817" s="48"/>
      <c r="L817" s="48"/>
      <c r="M817" s="48"/>
      <c r="N817" s="48"/>
      <c r="O817" s="48"/>
      <c r="P817" s="48"/>
      <c r="Q817" s="48"/>
      <c r="R817" s="48"/>
      <c r="S817" s="48"/>
      <c r="T817" s="48"/>
      <c r="U817" s="48"/>
      <c r="V817" s="48"/>
      <c r="W817" s="48"/>
      <c r="X817" s="48"/>
      <c r="Y817" s="48"/>
      <c r="Z817" s="48"/>
      <c r="AA817" s="48"/>
      <c r="AB817" s="48"/>
      <c r="AC817" s="48"/>
      <c r="AD817" s="48"/>
      <c r="AE817" s="48"/>
      <c r="AF817" s="48"/>
      <c r="AG817" s="48"/>
      <c r="AH817" s="48"/>
      <c r="AI817" s="48"/>
      <c r="AJ817" s="48"/>
      <c r="AK817" s="48"/>
      <c r="AL817" s="48"/>
      <c r="AM817" s="48"/>
      <c r="AN817" s="48"/>
      <c r="AO817" s="48"/>
      <c r="AP817" s="48"/>
      <c r="AQ817" s="48"/>
      <c r="AR817" s="48"/>
      <c r="AS817" s="48"/>
      <c r="AT817" s="48"/>
      <c r="AU817" s="48"/>
      <c r="AV817" s="48"/>
      <c r="AW817" s="48"/>
      <c r="AX817" s="48"/>
      <c r="AY817" s="48"/>
    </row>
    <row r="818" spans="1:51">
      <c r="A818" s="48"/>
      <c r="B818" s="48"/>
      <c r="C818" s="48"/>
      <c r="D818" s="48"/>
      <c r="E818" s="48"/>
      <c r="F818" s="48"/>
      <c r="G818" s="48"/>
      <c r="H818" s="48"/>
      <c r="I818" s="48"/>
      <c r="J818" s="48"/>
      <c r="K818" s="48"/>
      <c r="L818" s="48"/>
      <c r="M818" s="48"/>
      <c r="N818" s="48"/>
      <c r="O818" s="48"/>
      <c r="P818" s="48"/>
      <c r="Q818" s="48"/>
      <c r="R818" s="48"/>
      <c r="S818" s="48"/>
      <c r="T818" s="48"/>
      <c r="U818" s="48"/>
      <c r="V818" s="48"/>
      <c r="W818" s="48"/>
      <c r="X818" s="48"/>
      <c r="Y818" s="48"/>
      <c r="Z818" s="48"/>
      <c r="AA818" s="48"/>
      <c r="AB818" s="48"/>
      <c r="AC818" s="48"/>
      <c r="AD818" s="48"/>
      <c r="AE818" s="48"/>
      <c r="AF818" s="48"/>
      <c r="AG818" s="48"/>
      <c r="AH818" s="48"/>
      <c r="AI818" s="48"/>
      <c r="AJ818" s="48"/>
      <c r="AK818" s="48"/>
      <c r="AL818" s="48"/>
      <c r="AM818" s="48"/>
      <c r="AN818" s="48"/>
      <c r="AO818" s="48"/>
      <c r="AP818" s="48"/>
      <c r="AQ818" s="48"/>
      <c r="AR818" s="48"/>
      <c r="AS818" s="48"/>
      <c r="AT818" s="48"/>
      <c r="AU818" s="48"/>
      <c r="AV818" s="48"/>
      <c r="AW818" s="48"/>
      <c r="AX818" s="48"/>
      <c r="AY818" s="48"/>
    </row>
    <row r="819" spans="1:51">
      <c r="A819" s="48"/>
      <c r="B819" s="48"/>
      <c r="C819" s="48"/>
      <c r="D819" s="48"/>
      <c r="E819" s="48"/>
      <c r="F819" s="48"/>
      <c r="G819" s="48"/>
      <c r="H819" s="48"/>
      <c r="I819" s="48"/>
      <c r="J819" s="48"/>
      <c r="K819" s="48"/>
      <c r="L819" s="48"/>
      <c r="M819" s="48"/>
      <c r="N819" s="48"/>
      <c r="O819" s="48"/>
      <c r="P819" s="48"/>
      <c r="Q819" s="48"/>
      <c r="R819" s="48"/>
      <c r="S819" s="48"/>
      <c r="T819" s="48"/>
      <c r="U819" s="48"/>
      <c r="V819" s="48"/>
      <c r="W819" s="48"/>
      <c r="X819" s="48"/>
      <c r="Y819" s="48"/>
      <c r="Z819" s="48"/>
      <c r="AA819" s="48"/>
      <c r="AB819" s="48"/>
      <c r="AC819" s="48"/>
      <c r="AD819" s="48"/>
      <c r="AE819" s="48"/>
      <c r="AF819" s="48"/>
      <c r="AG819" s="48"/>
      <c r="AH819" s="48"/>
      <c r="AI819" s="48"/>
      <c r="AJ819" s="48"/>
      <c r="AK819" s="48"/>
      <c r="AL819" s="48"/>
      <c r="AM819" s="48"/>
      <c r="AN819" s="48"/>
      <c r="AO819" s="48"/>
      <c r="AP819" s="48"/>
      <c r="AQ819" s="48"/>
      <c r="AR819" s="48"/>
      <c r="AS819" s="48"/>
      <c r="AT819" s="48"/>
      <c r="AU819" s="48"/>
      <c r="AV819" s="48"/>
      <c r="AW819" s="48"/>
      <c r="AX819" s="48"/>
      <c r="AY819" s="48"/>
    </row>
    <row r="820" spans="1:51">
      <c r="A820" s="48"/>
      <c r="B820" s="48"/>
      <c r="C820" s="48"/>
      <c r="D820" s="48"/>
      <c r="E820" s="48"/>
      <c r="F820" s="48"/>
      <c r="G820" s="48"/>
      <c r="H820" s="48"/>
      <c r="I820" s="48"/>
      <c r="J820" s="48"/>
      <c r="K820" s="48"/>
      <c r="L820" s="48"/>
      <c r="M820" s="48"/>
      <c r="N820" s="48"/>
      <c r="O820" s="48"/>
      <c r="P820" s="48"/>
      <c r="Q820" s="48"/>
      <c r="R820" s="48"/>
      <c r="S820" s="48"/>
      <c r="T820" s="48"/>
      <c r="U820" s="48"/>
      <c r="V820" s="48"/>
      <c r="W820" s="48"/>
      <c r="X820" s="48"/>
      <c r="Y820" s="48"/>
      <c r="Z820" s="48"/>
      <c r="AA820" s="48"/>
      <c r="AB820" s="48"/>
      <c r="AC820" s="48"/>
      <c r="AD820" s="48"/>
      <c r="AE820" s="48"/>
      <c r="AF820" s="48"/>
      <c r="AG820" s="48"/>
      <c r="AH820" s="48"/>
      <c r="AI820" s="48"/>
      <c r="AJ820" s="48"/>
      <c r="AK820" s="48"/>
      <c r="AL820" s="48"/>
      <c r="AM820" s="48"/>
      <c r="AN820" s="48"/>
      <c r="AO820" s="48"/>
      <c r="AP820" s="48"/>
      <c r="AQ820" s="48"/>
      <c r="AR820" s="48"/>
      <c r="AS820" s="48"/>
      <c r="AT820" s="48"/>
      <c r="AU820" s="48"/>
      <c r="AV820" s="48"/>
      <c r="AW820" s="48"/>
      <c r="AX820" s="48"/>
      <c r="AY820" s="48"/>
    </row>
    <row r="821" spans="1:51">
      <c r="A821" s="48"/>
      <c r="B821" s="48"/>
      <c r="C821" s="48"/>
      <c r="D821" s="48"/>
      <c r="E821" s="48"/>
      <c r="F821" s="48"/>
      <c r="G821" s="48"/>
      <c r="H821" s="48"/>
      <c r="I821" s="48"/>
      <c r="J821" s="48"/>
      <c r="K821" s="48"/>
      <c r="L821" s="48"/>
      <c r="M821" s="48"/>
      <c r="N821" s="48"/>
      <c r="O821" s="48"/>
      <c r="P821" s="48"/>
      <c r="Q821" s="48"/>
      <c r="R821" s="48"/>
      <c r="S821" s="48"/>
      <c r="T821" s="48"/>
      <c r="U821" s="48"/>
      <c r="V821" s="48"/>
      <c r="W821" s="48"/>
      <c r="X821" s="48"/>
      <c r="Y821" s="48"/>
      <c r="Z821" s="48"/>
      <c r="AA821" s="48"/>
      <c r="AB821" s="48"/>
      <c r="AC821" s="48"/>
      <c r="AD821" s="48"/>
      <c r="AE821" s="48"/>
      <c r="AF821" s="48"/>
      <c r="AG821" s="48"/>
      <c r="AH821" s="48"/>
      <c r="AI821" s="48"/>
      <c r="AJ821" s="48"/>
      <c r="AK821" s="48"/>
      <c r="AL821" s="48"/>
      <c r="AM821" s="48"/>
      <c r="AN821" s="48"/>
      <c r="AO821" s="48"/>
      <c r="AP821" s="48"/>
      <c r="AQ821" s="48"/>
      <c r="AR821" s="48"/>
      <c r="AS821" s="48"/>
      <c r="AT821" s="48"/>
      <c r="AU821" s="48"/>
      <c r="AV821" s="48"/>
      <c r="AW821" s="48"/>
      <c r="AX821" s="48"/>
      <c r="AY821" s="48"/>
    </row>
    <row r="822" spans="1:51">
      <c r="A822" s="48"/>
      <c r="B822" s="48"/>
      <c r="C822" s="48"/>
      <c r="D822" s="48"/>
      <c r="E822" s="48"/>
      <c r="F822" s="48"/>
      <c r="G822" s="48"/>
      <c r="H822" s="48"/>
      <c r="I822" s="48"/>
      <c r="J822" s="48"/>
      <c r="K822" s="48"/>
      <c r="L822" s="48"/>
      <c r="M822" s="48"/>
      <c r="N822" s="48"/>
      <c r="O822" s="48"/>
      <c r="P822" s="48"/>
      <c r="Q822" s="48"/>
      <c r="R822" s="48"/>
      <c r="S822" s="48"/>
      <c r="T822" s="48"/>
      <c r="U822" s="48"/>
      <c r="V822" s="48"/>
      <c r="W822" s="48"/>
      <c r="X822" s="48"/>
      <c r="Y822" s="48"/>
      <c r="Z822" s="48"/>
      <c r="AA822" s="48"/>
      <c r="AB822" s="48"/>
      <c r="AC822" s="48"/>
      <c r="AD822" s="48"/>
      <c r="AE822" s="48"/>
      <c r="AF822" s="48"/>
      <c r="AG822" s="48"/>
      <c r="AH822" s="48"/>
      <c r="AI822" s="48"/>
      <c r="AJ822" s="48"/>
      <c r="AK822" s="48"/>
      <c r="AL822" s="48"/>
      <c r="AM822" s="48"/>
      <c r="AN822" s="48"/>
      <c r="AO822" s="48"/>
      <c r="AP822" s="48"/>
      <c r="AQ822" s="48"/>
      <c r="AR822" s="48"/>
      <c r="AS822" s="48"/>
      <c r="AT822" s="48"/>
      <c r="AU822" s="48"/>
      <c r="AV822" s="48"/>
      <c r="AW822" s="48"/>
      <c r="AX822" s="48"/>
      <c r="AY822" s="48"/>
    </row>
    <row r="823" spans="1:51">
      <c r="A823" s="48"/>
      <c r="B823" s="48"/>
      <c r="C823" s="48"/>
      <c r="D823" s="48"/>
      <c r="E823" s="48"/>
      <c r="F823" s="48"/>
      <c r="G823" s="48"/>
      <c r="H823" s="48"/>
      <c r="I823" s="48"/>
      <c r="J823" s="48"/>
      <c r="K823" s="48"/>
      <c r="L823" s="48"/>
      <c r="M823" s="48"/>
      <c r="N823" s="48"/>
      <c r="O823" s="48"/>
      <c r="P823" s="48"/>
      <c r="Q823" s="48"/>
      <c r="R823" s="48"/>
      <c r="S823" s="48"/>
      <c r="T823" s="48"/>
      <c r="U823" s="48"/>
      <c r="V823" s="48"/>
      <c r="W823" s="48"/>
      <c r="X823" s="48"/>
      <c r="Y823" s="48"/>
      <c r="Z823" s="48"/>
      <c r="AA823" s="48"/>
      <c r="AB823" s="48"/>
      <c r="AC823" s="48"/>
      <c r="AD823" s="48"/>
      <c r="AE823" s="48"/>
      <c r="AF823" s="48"/>
      <c r="AG823" s="48"/>
      <c r="AH823" s="48"/>
      <c r="AI823" s="48"/>
      <c r="AJ823" s="48"/>
      <c r="AK823" s="48"/>
      <c r="AL823" s="48"/>
      <c r="AM823" s="48"/>
      <c r="AN823" s="48"/>
      <c r="AO823" s="48"/>
      <c r="AP823" s="48"/>
      <c r="AQ823" s="48"/>
      <c r="AR823" s="48"/>
      <c r="AS823" s="48"/>
      <c r="AT823" s="48"/>
      <c r="AU823" s="48"/>
      <c r="AV823" s="48"/>
      <c r="AW823" s="48"/>
      <c r="AX823" s="48"/>
      <c r="AY823" s="48"/>
    </row>
    <row r="824" spans="1:51">
      <c r="A824" s="48"/>
      <c r="B824" s="48"/>
      <c r="C824" s="48"/>
      <c r="D824" s="48"/>
      <c r="E824" s="48"/>
      <c r="F824" s="48"/>
      <c r="G824" s="48"/>
      <c r="H824" s="48"/>
      <c r="I824" s="48"/>
      <c r="J824" s="48"/>
      <c r="K824" s="48"/>
      <c r="L824" s="48"/>
      <c r="M824" s="48"/>
      <c r="N824" s="48"/>
      <c r="O824" s="48"/>
      <c r="P824" s="48"/>
      <c r="Q824" s="48"/>
      <c r="R824" s="48"/>
      <c r="S824" s="48"/>
      <c r="T824" s="48"/>
      <c r="U824" s="48"/>
      <c r="V824" s="48"/>
      <c r="W824" s="48"/>
      <c r="X824" s="48"/>
      <c r="Y824" s="48"/>
      <c r="Z824" s="48"/>
      <c r="AA824" s="48"/>
      <c r="AB824" s="48"/>
      <c r="AC824" s="48"/>
      <c r="AD824" s="48"/>
      <c r="AE824" s="48"/>
      <c r="AF824" s="48"/>
      <c r="AG824" s="48"/>
      <c r="AH824" s="48"/>
      <c r="AI824" s="48"/>
      <c r="AJ824" s="48"/>
      <c r="AK824" s="48"/>
      <c r="AL824" s="48"/>
      <c r="AM824" s="48"/>
      <c r="AN824" s="48"/>
      <c r="AO824" s="48"/>
      <c r="AP824" s="48"/>
      <c r="AQ824" s="48"/>
      <c r="AR824" s="48"/>
      <c r="AS824" s="48"/>
      <c r="AT824" s="48"/>
      <c r="AU824" s="48"/>
      <c r="AV824" s="48"/>
      <c r="AW824" s="48"/>
      <c r="AX824" s="48"/>
      <c r="AY824" s="48"/>
    </row>
    <row r="825" spans="1:51">
      <c r="A825" s="48"/>
      <c r="B825" s="48"/>
      <c r="C825" s="48"/>
      <c r="D825" s="48"/>
      <c r="E825" s="48"/>
      <c r="F825" s="48"/>
      <c r="G825" s="48"/>
      <c r="H825" s="48"/>
      <c r="I825" s="48"/>
      <c r="J825" s="48"/>
      <c r="K825" s="48"/>
      <c r="L825" s="48"/>
      <c r="M825" s="48"/>
      <c r="N825" s="48"/>
      <c r="O825" s="48"/>
      <c r="P825" s="48"/>
      <c r="Q825" s="48"/>
      <c r="R825" s="48"/>
      <c r="S825" s="48"/>
      <c r="T825" s="48"/>
      <c r="U825" s="48"/>
      <c r="V825" s="48"/>
      <c r="W825" s="48"/>
      <c r="X825" s="48"/>
      <c r="Y825" s="48"/>
      <c r="Z825" s="48"/>
      <c r="AA825" s="48"/>
      <c r="AB825" s="48"/>
      <c r="AC825" s="48"/>
      <c r="AD825" s="48"/>
      <c r="AE825" s="48"/>
      <c r="AF825" s="48"/>
      <c r="AG825" s="48"/>
      <c r="AH825" s="48"/>
      <c r="AI825" s="48"/>
      <c r="AJ825" s="48"/>
      <c r="AK825" s="48"/>
      <c r="AL825" s="48"/>
      <c r="AM825" s="48"/>
      <c r="AN825" s="48"/>
      <c r="AO825" s="48"/>
      <c r="AP825" s="48"/>
      <c r="AQ825" s="48"/>
      <c r="AR825" s="48"/>
      <c r="AS825" s="48"/>
      <c r="AT825" s="48"/>
      <c r="AU825" s="48"/>
      <c r="AV825" s="48"/>
      <c r="AW825" s="48"/>
      <c r="AX825" s="48"/>
      <c r="AY825" s="48"/>
    </row>
    <row r="826" spans="1:51">
      <c r="A826" s="48"/>
      <c r="B826" s="48"/>
      <c r="C826" s="48"/>
      <c r="D826" s="48"/>
      <c r="E826" s="48"/>
      <c r="F826" s="48"/>
      <c r="G826" s="48"/>
      <c r="H826" s="48"/>
      <c r="I826" s="48"/>
      <c r="J826" s="48"/>
      <c r="K826" s="48"/>
      <c r="L826" s="48"/>
      <c r="M826" s="48"/>
      <c r="N826" s="48"/>
      <c r="O826" s="48"/>
      <c r="P826" s="48"/>
      <c r="Q826" s="48"/>
      <c r="R826" s="48"/>
      <c r="S826" s="48"/>
      <c r="T826" s="48"/>
      <c r="U826" s="48"/>
      <c r="V826" s="48"/>
      <c r="W826" s="48"/>
      <c r="X826" s="48"/>
      <c r="Y826" s="48"/>
      <c r="Z826" s="48"/>
      <c r="AA826" s="48"/>
      <c r="AB826" s="48"/>
      <c r="AC826" s="48"/>
      <c r="AD826" s="48"/>
      <c r="AE826" s="48"/>
      <c r="AF826" s="48"/>
      <c r="AG826" s="48"/>
      <c r="AH826" s="48"/>
      <c r="AI826" s="48"/>
      <c r="AJ826" s="48"/>
      <c r="AK826" s="48"/>
      <c r="AL826" s="48"/>
      <c r="AM826" s="48"/>
      <c r="AN826" s="48"/>
      <c r="AO826" s="48"/>
      <c r="AP826" s="48"/>
      <c r="AQ826" s="48"/>
      <c r="AR826" s="48"/>
      <c r="AS826" s="48"/>
      <c r="AT826" s="48"/>
      <c r="AU826" s="48"/>
      <c r="AV826" s="48"/>
      <c r="AW826" s="48"/>
      <c r="AX826" s="48"/>
      <c r="AY826" s="48"/>
    </row>
    <row r="827" spans="1:51">
      <c r="A827" s="48"/>
      <c r="B827" s="48"/>
      <c r="C827" s="48"/>
      <c r="D827" s="48"/>
      <c r="E827" s="48"/>
      <c r="F827" s="48"/>
      <c r="G827" s="48"/>
      <c r="H827" s="48"/>
      <c r="I827" s="48"/>
      <c r="J827" s="48"/>
      <c r="K827" s="48"/>
      <c r="L827" s="48"/>
      <c r="M827" s="48"/>
      <c r="N827" s="48"/>
      <c r="O827" s="48"/>
      <c r="P827" s="48"/>
      <c r="Q827" s="48"/>
      <c r="R827" s="48"/>
      <c r="S827" s="48"/>
      <c r="T827" s="48"/>
      <c r="U827" s="48"/>
      <c r="V827" s="48"/>
      <c r="W827" s="48"/>
      <c r="X827" s="48"/>
      <c r="Y827" s="48"/>
      <c r="Z827" s="48"/>
      <c r="AA827" s="48"/>
      <c r="AB827" s="48"/>
      <c r="AC827" s="48"/>
      <c r="AD827" s="48"/>
      <c r="AE827" s="48"/>
      <c r="AF827" s="48"/>
      <c r="AG827" s="48"/>
      <c r="AH827" s="48"/>
      <c r="AI827" s="48"/>
      <c r="AJ827" s="48"/>
      <c r="AK827" s="48"/>
      <c r="AL827" s="48"/>
      <c r="AM827" s="48"/>
      <c r="AN827" s="48"/>
      <c r="AO827" s="48"/>
      <c r="AP827" s="48"/>
      <c r="AQ827" s="48"/>
      <c r="AR827" s="48"/>
      <c r="AS827" s="48"/>
      <c r="AT827" s="48"/>
      <c r="AU827" s="48"/>
      <c r="AV827" s="48"/>
      <c r="AW827" s="48"/>
      <c r="AX827" s="48"/>
      <c r="AY827" s="48"/>
    </row>
  </sheetData>
  <sheetProtection algorithmName="SHA-512" hashValue="Z9Tc4shAh7gktJue9fVF2t5gv6Ex644JcRSoNDQJ6XDfyxcQmoEDTAt5cEiqgUDceBrLEQLFNIUU4N/K6Yfwdg==" saltValue="X1gIwR+vmZ/vEyKwtjX2XA==" spinCount="100000" sheet="1" objects="1" scenarios="1"/>
  <mergeCells count="335">
    <mergeCell ref="V267:V269"/>
    <mergeCell ref="W267:W269"/>
    <mergeCell ref="Y267:Y269"/>
    <mergeCell ref="AB267:AB269"/>
    <mergeCell ref="X267:X269"/>
    <mergeCell ref="Z267:AA268"/>
    <mergeCell ref="A270:A274"/>
    <mergeCell ref="F267:U267"/>
    <mergeCell ref="AC267:AC269"/>
    <mergeCell ref="A267:A269"/>
    <mergeCell ref="B267:B269"/>
    <mergeCell ref="C267:E268"/>
    <mergeCell ref="F268:G268"/>
    <mergeCell ref="H268:I268"/>
    <mergeCell ref="J268:K268"/>
    <mergeCell ref="L268:M268"/>
    <mergeCell ref="N268:O268"/>
    <mergeCell ref="P268:Q268"/>
    <mergeCell ref="R268:S268"/>
    <mergeCell ref="T268:U268"/>
    <mergeCell ref="A260:A262"/>
    <mergeCell ref="A263:A265"/>
    <mergeCell ref="A242:M242"/>
    <mergeCell ref="A243:B245"/>
    <mergeCell ref="C243:E244"/>
    <mergeCell ref="F243:AA243"/>
    <mergeCell ref="F244:G244"/>
    <mergeCell ref="H244:I244"/>
    <mergeCell ref="J244:K244"/>
    <mergeCell ref="L244:M244"/>
    <mergeCell ref="N244:O244"/>
    <mergeCell ref="P244:Q244"/>
    <mergeCell ref="R244:S244"/>
    <mergeCell ref="T244:U244"/>
    <mergeCell ref="V244:W244"/>
    <mergeCell ref="X244:Y244"/>
    <mergeCell ref="Z244:AA244"/>
    <mergeCell ref="A257:B259"/>
    <mergeCell ref="C257:E258"/>
    <mergeCell ref="F257:O257"/>
    <mergeCell ref="P257:P259"/>
    <mergeCell ref="F258:G258"/>
    <mergeCell ref="H258:I258"/>
    <mergeCell ref="J258:K258"/>
    <mergeCell ref="U210:Z211"/>
    <mergeCell ref="AA210:AF211"/>
    <mergeCell ref="A217:D218"/>
    <mergeCell ref="G217:H217"/>
    <mergeCell ref="I217:I218"/>
    <mergeCell ref="J217:J218"/>
    <mergeCell ref="A219:D219"/>
    <mergeCell ref="A220:D220"/>
    <mergeCell ref="A221:D221"/>
    <mergeCell ref="P210:R210"/>
    <mergeCell ref="S210:S212"/>
    <mergeCell ref="T210:T212"/>
    <mergeCell ref="Q211:Q212"/>
    <mergeCell ref="R211:R212"/>
    <mergeCell ref="P211:P212"/>
    <mergeCell ref="A213:B213"/>
    <mergeCell ref="A214:B214"/>
    <mergeCell ref="A215:B215"/>
    <mergeCell ref="E217:E218"/>
    <mergeCell ref="F217:F218"/>
    <mergeCell ref="F211:G211"/>
    <mergeCell ref="H211:I211"/>
    <mergeCell ref="F210:O210"/>
    <mergeCell ref="J211:K211"/>
    <mergeCell ref="V105:V107"/>
    <mergeCell ref="W105:W107"/>
    <mergeCell ref="A114:B114"/>
    <mergeCell ref="A115:A117"/>
    <mergeCell ref="A196:B198"/>
    <mergeCell ref="C196:E197"/>
    <mergeCell ref="F196:O196"/>
    <mergeCell ref="P196:S196"/>
    <mergeCell ref="F197:G197"/>
    <mergeCell ref="H197:I197"/>
    <mergeCell ref="J197:K197"/>
    <mergeCell ref="L197:M197"/>
    <mergeCell ref="N197:O197"/>
    <mergeCell ref="P197:P198"/>
    <mergeCell ref="Q197:Q198"/>
    <mergeCell ref="R197:R198"/>
    <mergeCell ref="S197:S198"/>
    <mergeCell ref="A192:B192"/>
    <mergeCell ref="A193:B193"/>
    <mergeCell ref="A194:B194"/>
    <mergeCell ref="A183:B183"/>
    <mergeCell ref="A184:B184"/>
    <mergeCell ref="A185:B185"/>
    <mergeCell ref="A186:B186"/>
    <mergeCell ref="A229:B229"/>
    <mergeCell ref="L258:M258"/>
    <mergeCell ref="N258:O258"/>
    <mergeCell ref="R258:R259"/>
    <mergeCell ref="A252:B252"/>
    <mergeCell ref="A250:B250"/>
    <mergeCell ref="A251:B251"/>
    <mergeCell ref="A253:A255"/>
    <mergeCell ref="A246:B246"/>
    <mergeCell ref="A247:B247"/>
    <mergeCell ref="A248:B248"/>
    <mergeCell ref="A249:B249"/>
    <mergeCell ref="A234:B236"/>
    <mergeCell ref="C234:E234"/>
    <mergeCell ref="C235:C236"/>
    <mergeCell ref="D235:E235"/>
    <mergeCell ref="A237:B237"/>
    <mergeCell ref="A238:B238"/>
    <mergeCell ref="A239:B239"/>
    <mergeCell ref="A240:B240"/>
    <mergeCell ref="A241:B241"/>
    <mergeCell ref="A230:A231"/>
    <mergeCell ref="A232:B232"/>
    <mergeCell ref="L211:M211"/>
    <mergeCell ref="N211:O211"/>
    <mergeCell ref="A223:A226"/>
    <mergeCell ref="A222:D222"/>
    <mergeCell ref="B223:D223"/>
    <mergeCell ref="B224:B225"/>
    <mergeCell ref="C224:D224"/>
    <mergeCell ref="C225:D225"/>
    <mergeCell ref="C226:D226"/>
    <mergeCell ref="A227:D227"/>
    <mergeCell ref="AD203:AE204"/>
    <mergeCell ref="AF203:AG204"/>
    <mergeCell ref="AH203:AH205"/>
    <mergeCell ref="AI203:AI205"/>
    <mergeCell ref="F204:G204"/>
    <mergeCell ref="H204:I204"/>
    <mergeCell ref="J204:K204"/>
    <mergeCell ref="L204:M204"/>
    <mergeCell ref="N204:O204"/>
    <mergeCell ref="P204:Q204"/>
    <mergeCell ref="Z204:AA204"/>
    <mergeCell ref="AB204:AC204"/>
    <mergeCell ref="A203:B205"/>
    <mergeCell ref="C203:E204"/>
    <mergeCell ref="F203:AC203"/>
    <mergeCell ref="R204:S204"/>
    <mergeCell ref="T204:U204"/>
    <mergeCell ref="V204:W204"/>
    <mergeCell ref="X204:Y204"/>
    <mergeCell ref="A206:A207"/>
    <mergeCell ref="A208:B208"/>
    <mergeCell ref="A210:B212"/>
    <mergeCell ref="C210:E211"/>
    <mergeCell ref="A199:B199"/>
    <mergeCell ref="A200:B200"/>
    <mergeCell ref="A201:B201"/>
    <mergeCell ref="A189:B191"/>
    <mergeCell ref="C189:E190"/>
    <mergeCell ref="A180:B182"/>
    <mergeCell ref="C180:E181"/>
    <mergeCell ref="F180:Q180"/>
    <mergeCell ref="F181:G181"/>
    <mergeCell ref="H181:I181"/>
    <mergeCell ref="J181:K181"/>
    <mergeCell ref="L181:M181"/>
    <mergeCell ref="N181:O181"/>
    <mergeCell ref="P181:Q181"/>
    <mergeCell ref="F189:U189"/>
    <mergeCell ref="F190:G190"/>
    <mergeCell ref="H190:I190"/>
    <mergeCell ref="J190:K190"/>
    <mergeCell ref="L190:M190"/>
    <mergeCell ref="N190:O190"/>
    <mergeCell ref="P190:Q190"/>
    <mergeCell ref="R190:S190"/>
    <mergeCell ref="T190:U190"/>
    <mergeCell ref="J171:K171"/>
    <mergeCell ref="L171:M171"/>
    <mergeCell ref="N171:O171"/>
    <mergeCell ref="A173:A175"/>
    <mergeCell ref="A176:A178"/>
    <mergeCell ref="A179:O179"/>
    <mergeCell ref="AJ161:AK161"/>
    <mergeCell ref="AL161:AM161"/>
    <mergeCell ref="A163:A165"/>
    <mergeCell ref="A166:A168"/>
    <mergeCell ref="A170:A172"/>
    <mergeCell ref="B170:B172"/>
    <mergeCell ref="C170:E171"/>
    <mergeCell ref="F170:O170"/>
    <mergeCell ref="F171:G171"/>
    <mergeCell ref="H171:I171"/>
    <mergeCell ref="X161:Y161"/>
    <mergeCell ref="Z161:AA161"/>
    <mergeCell ref="AB161:AC161"/>
    <mergeCell ref="AD161:AE161"/>
    <mergeCell ref="AF161:AG161"/>
    <mergeCell ref="AH161:AI161"/>
    <mergeCell ref="F160:AM160"/>
    <mergeCell ref="F161:G161"/>
    <mergeCell ref="H161:I161"/>
    <mergeCell ref="J161:K161"/>
    <mergeCell ref="L161:M161"/>
    <mergeCell ref="N161:O161"/>
    <mergeCell ref="P161:Q161"/>
    <mergeCell ref="R161:S161"/>
    <mergeCell ref="T161:U161"/>
    <mergeCell ref="V161:W161"/>
    <mergeCell ref="A152:B152"/>
    <mergeCell ref="A153:A157"/>
    <mergeCell ref="A158:B158"/>
    <mergeCell ref="A160:B162"/>
    <mergeCell ref="C160:E161"/>
    <mergeCell ref="A122:A126"/>
    <mergeCell ref="A127:A131"/>
    <mergeCell ref="A132:A136"/>
    <mergeCell ref="A137:A141"/>
    <mergeCell ref="A142:A146"/>
    <mergeCell ref="A147:A151"/>
    <mergeCell ref="P120:Q120"/>
    <mergeCell ref="R120:S120"/>
    <mergeCell ref="T120:U120"/>
    <mergeCell ref="V120:W120"/>
    <mergeCell ref="X120:Y120"/>
    <mergeCell ref="Z120:AA120"/>
    <mergeCell ref="A119:A121"/>
    <mergeCell ref="B119:B121"/>
    <mergeCell ref="C119:E120"/>
    <mergeCell ref="F119:AA119"/>
    <mergeCell ref="F120:G120"/>
    <mergeCell ref="H120:I120"/>
    <mergeCell ref="J120:K120"/>
    <mergeCell ref="L120:M120"/>
    <mergeCell ref="N120:O120"/>
    <mergeCell ref="A108:B108"/>
    <mergeCell ref="A109:B109"/>
    <mergeCell ref="A110:B110"/>
    <mergeCell ref="A111:B111"/>
    <mergeCell ref="A112:B112"/>
    <mergeCell ref="A113:B113"/>
    <mergeCell ref="J106:K106"/>
    <mergeCell ref="L106:M106"/>
    <mergeCell ref="N106:O106"/>
    <mergeCell ref="P106:Q106"/>
    <mergeCell ref="R106:S106"/>
    <mergeCell ref="T106:U106"/>
    <mergeCell ref="A100:B100"/>
    <mergeCell ref="A101:B101"/>
    <mergeCell ref="A102:B102"/>
    <mergeCell ref="A103:P103"/>
    <mergeCell ref="A104:Q104"/>
    <mergeCell ref="A105:B107"/>
    <mergeCell ref="C105:E106"/>
    <mergeCell ref="F105:U105"/>
    <mergeCell ref="F106:G106"/>
    <mergeCell ref="H106:I106"/>
    <mergeCell ref="A65:B65"/>
    <mergeCell ref="A66:B66"/>
    <mergeCell ref="A67:B67"/>
    <mergeCell ref="C95:E95"/>
    <mergeCell ref="F95:G95"/>
    <mergeCell ref="H95:I95"/>
    <mergeCell ref="A97:B97"/>
    <mergeCell ref="A98:B98"/>
    <mergeCell ref="A99:B99"/>
    <mergeCell ref="A77:A79"/>
    <mergeCell ref="B77:B78"/>
    <mergeCell ref="A89:B89"/>
    <mergeCell ref="A90:A91"/>
    <mergeCell ref="A92:A93"/>
    <mergeCell ref="A95:B96"/>
    <mergeCell ref="S17:S19"/>
    <mergeCell ref="F18:G18"/>
    <mergeCell ref="H18:I18"/>
    <mergeCell ref="J18:K18"/>
    <mergeCell ref="L18:M18"/>
    <mergeCell ref="X11:Y11"/>
    <mergeCell ref="A13:B13"/>
    <mergeCell ref="A14:A15"/>
    <mergeCell ref="A6:Y6"/>
    <mergeCell ref="A10:B12"/>
    <mergeCell ref="C10:E11"/>
    <mergeCell ref="F10:Y10"/>
    <mergeCell ref="F11:G11"/>
    <mergeCell ref="H11:I11"/>
    <mergeCell ref="J11:K11"/>
    <mergeCell ref="L11:M11"/>
    <mergeCell ref="N11:O11"/>
    <mergeCell ref="P11:Q11"/>
    <mergeCell ref="R11:S11"/>
    <mergeCell ref="T11:U11"/>
    <mergeCell ref="V11:W11"/>
    <mergeCell ref="N18:O18"/>
    <mergeCell ref="P18:Q18"/>
    <mergeCell ref="A17:A19"/>
    <mergeCell ref="B17:B19"/>
    <mergeCell ref="C17:E18"/>
    <mergeCell ref="F17:Q17"/>
    <mergeCell ref="A39:A41"/>
    <mergeCell ref="R17:R19"/>
    <mergeCell ref="C59:C60"/>
    <mergeCell ref="D59:J59"/>
    <mergeCell ref="K59:K60"/>
    <mergeCell ref="L59:L60"/>
    <mergeCell ref="M44:N44"/>
    <mergeCell ref="O44:P44"/>
    <mergeCell ref="A51:A53"/>
    <mergeCell ref="B51:D52"/>
    <mergeCell ref="E51:H51"/>
    <mergeCell ref="I51:I53"/>
    <mergeCell ref="J51:J53"/>
    <mergeCell ref="E52:F52"/>
    <mergeCell ref="G52:H52"/>
    <mergeCell ref="A43:A45"/>
    <mergeCell ref="B43:D44"/>
    <mergeCell ref="E43:P43"/>
    <mergeCell ref="AB119:AB121"/>
    <mergeCell ref="AC119:AC121"/>
    <mergeCell ref="Q43:Q45"/>
    <mergeCell ref="R43:R45"/>
    <mergeCell ref="A20:B20"/>
    <mergeCell ref="A21:A24"/>
    <mergeCell ref="A25:A36"/>
    <mergeCell ref="A37:A38"/>
    <mergeCell ref="A59:B60"/>
    <mergeCell ref="A61:B61"/>
    <mergeCell ref="E44:F44"/>
    <mergeCell ref="G44:H44"/>
    <mergeCell ref="I44:J44"/>
    <mergeCell ref="K44:L44"/>
    <mergeCell ref="A69:A71"/>
    <mergeCell ref="B69:D70"/>
    <mergeCell ref="E69:H69"/>
    <mergeCell ref="I69:I71"/>
    <mergeCell ref="J69:J71"/>
    <mergeCell ref="E70:F70"/>
    <mergeCell ref="G70:H70"/>
    <mergeCell ref="A62:B62"/>
    <mergeCell ref="A63:B63"/>
    <mergeCell ref="A64:B64"/>
  </mergeCells>
  <dataValidations count="9">
    <dataValidation operator="greaterThanOrEqual" allowBlank="1" showInputMessage="1" showErrorMessage="1" errorTitle="Error" error="Favor ingresar Números." sqref="G218:H218 C224:C226" xr:uid="{00000000-0002-0000-0300-000000000000}"/>
    <dataValidation type="whole" operator="greaterThanOrEqual" allowBlank="1" showInputMessage="1" showErrorMessage="1" errorTitle="Error" error="Favor ingresar Números." sqref="F192:U193 C216:F216 F213:AF215 F206:AI207 E46:R49 E227:F227 I227:J227 F183:Q185 R260:R262 B86:F87 E217:F217 C237:E241 E72:J74 E55:J57 B80:B83 F122:AC151 F153:AC157 F163:AM168 F199:S200 C228:F232 F173:O178 F20:S41 F13:Y15 F98:I102" xr:uid="{0010002B-00D1-4B53-8002-00D5000400C1}">
      <formula1>0</formula1>
    </dataValidation>
    <dataValidation type="whole" allowBlank="1" showInputMessage="1" showErrorMessage="1" sqref="F204:AC205 AD205:AG205 AI205 F208:AI208 C203:E208 T212" xr:uid="{00EE004A-00EA-42F7-9410-00E300400034}">
      <formula1>0</formula1>
      <formula2>1E+29</formula2>
    </dataValidation>
    <dataValidation type="whole" allowBlank="1" showInputMessage="1" showErrorMessage="1" errorTitle="Error" error="Favor ingresar Números." sqref="C72:D74 C256:E265 F152:AC152" xr:uid="{00A0006F-003E-4674-A0DE-009300C20066}">
      <formula1>0</formula1>
      <formula2>1E+29</formula2>
    </dataValidation>
    <dataValidation type="whole" allowBlank="1" showInputMessage="1" showErrorMessage="1" sqref="D61:L67 F246:AA255" xr:uid="{00A40044-0013-4987-9002-00DE00B80073}">
      <formula1>0</formula1>
      <formula2>9.99999999999999E+31</formula2>
    </dataValidation>
    <dataValidation type="whole" allowBlank="1" showInputMessage="1" showErrorMessage="1" sqref="C90:H93 F260:P265" xr:uid="{00B000B8-0044-4F12-8602-00BF00A1005B}">
      <formula1>0</formula1>
      <formula2>9.99999999999999E+32</formula2>
    </dataValidation>
    <dataValidation type="whole" allowBlank="1" showInputMessage="1" showErrorMessage="1" sqref="F108:W117" xr:uid="{002B007D-00C1-439B-8EE2-00B800D40081}">
      <formula1>0</formula1>
      <formula2>9.99999999999999E+30</formula2>
    </dataValidation>
    <dataValidation type="whole" allowBlank="1" showInputMessage="1" showErrorMessage="1" sqref="E219:J226 G227:H227" xr:uid="{00B2008B-000D-47CB-9A8F-004E00FA002C}">
      <formula1>0</formula1>
      <formula2>9.99999999999999E+39</formula2>
    </dataValidation>
    <dataValidation type="whole" allowBlank="1" showInputMessage="1" showErrorMessage="1" sqref="F270:AC274" xr:uid="{0094009B-00BE-4AEF-8971-0088008F0009}">
      <formula1>0</formula1>
      <formula2>9.99999999999999E+34</formula2>
    </dataValidation>
  </dataValidations>
  <pageMargins left="0.7" right="0.7" top="0.75" bottom="0.75" header="0.3" footer="0.3"/>
  <pageSetup paperSize="9" orientation="portrait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5"/>
  <dimension ref="A1:BY240"/>
  <sheetViews>
    <sheetView showGridLines="0" workbookViewId="0"/>
  </sheetViews>
  <sheetFormatPr baseColWidth="10" defaultColWidth="11.42578125" defaultRowHeight="15"/>
  <cols>
    <col min="1" max="1" width="42.7109375" style="48" customWidth="1"/>
    <col min="2" max="2" width="33.5703125" style="48" customWidth="1"/>
    <col min="3" max="5" width="14.28515625" style="48" customWidth="1"/>
    <col min="6" max="6" width="15.28515625" style="48" customWidth="1"/>
    <col min="7" max="7" width="15.140625" style="48" customWidth="1"/>
    <col min="8" max="8" width="13.42578125" style="48" customWidth="1"/>
    <col min="9" max="9" width="13.28515625" style="48" customWidth="1"/>
    <col min="10" max="10" width="12.42578125" style="48" customWidth="1"/>
    <col min="11" max="11" width="13.28515625" style="48" customWidth="1"/>
    <col min="12" max="12" width="11.42578125" style="48"/>
    <col min="13" max="13" width="11.85546875" style="48" customWidth="1"/>
    <col min="14" max="14" width="13.85546875" style="48" customWidth="1"/>
    <col min="15" max="15" width="13.42578125" style="48" customWidth="1"/>
    <col min="16" max="17" width="11.42578125" style="48"/>
    <col min="18" max="18" width="12.5703125" style="48" customWidth="1"/>
    <col min="19" max="19" width="13.5703125" style="48" customWidth="1"/>
    <col min="20" max="40" width="11.42578125" style="48"/>
    <col min="41" max="45" width="12.7109375" style="48" customWidth="1"/>
    <col min="46" max="65" width="11.42578125" style="48"/>
    <col min="66" max="66" width="11.42578125" style="48" customWidth="1"/>
    <col min="67" max="77" width="11.42578125" style="48" hidden="1" customWidth="1"/>
    <col min="78" max="93" width="11.42578125" style="48" customWidth="1"/>
    <col min="94" max="96" width="11.42578125" style="48"/>
    <col min="97" max="97" width="11.28515625" style="48" customWidth="1"/>
    <col min="98" max="98" width="11.85546875" style="48" customWidth="1"/>
    <col min="99" max="99" width="10.85546875" style="48" customWidth="1"/>
    <col min="100" max="151" width="11.42578125" style="48" customWidth="1"/>
    <col min="152" max="16384" width="11.42578125" style="48"/>
  </cols>
  <sheetData>
    <row r="1" spans="1:77">
      <c r="A1" s="49" t="s">
        <v>37</v>
      </c>
    </row>
    <row r="2" spans="1:77">
      <c r="A2" s="49" t="str">
        <f>CONCATENATE("COMUNA: ",NOMBRE!B2, " (",NOMBRE!C2,NOMBRE!D2,NOMBRE!E2,NOMBRE!F2,NOMBRE!G2,")")</f>
        <v>COMUNA: MAIPU (13119)</v>
      </c>
    </row>
    <row r="3" spans="1:77">
      <c r="A3" s="49" t="str">
        <f>CONCATENATE("ESTABLECIMIENTO/ESTRATEGIA: ", NOMBRE!B3, " (",NOMBRE!C3,NOMBRE!D3,NOMBRE!E3,NOMBRE!F3,NOMBRE!G3,NOMBRE!H3,")")</f>
        <v>ESTABLECIMIENTO/ESTRATEGIA: CESFAM DR. CARLOS GODOY (111380)</v>
      </c>
    </row>
    <row r="4" spans="1:77">
      <c r="A4" s="49" t="str">
        <f>CONCATENATE("MES: ",NOMBRE!B6, " (",NOMBRE!C6,NOMBRE!D6,")")</f>
        <v>MES: MARZO (03)</v>
      </c>
    </row>
    <row r="5" spans="1:77">
      <c r="A5" s="49" t="str">
        <f>CONCATENATE("AÑO: ",NOMBRE!B7)</f>
        <v>AÑO: 2026</v>
      </c>
    </row>
    <row r="6" spans="1:77" s="992" customFormat="1" ht="18" customHeight="1">
      <c r="A6" s="6048" t="s">
        <v>491</v>
      </c>
      <c r="B6" s="6048"/>
      <c r="C6" s="6048"/>
      <c r="D6" s="6048"/>
      <c r="E6" s="6048"/>
      <c r="F6" s="6048"/>
      <c r="G6" s="6048"/>
      <c r="H6" s="6048"/>
      <c r="I6" s="6048"/>
      <c r="J6" s="6048"/>
      <c r="K6" s="6048"/>
      <c r="L6" s="6048"/>
      <c r="M6" s="6048"/>
      <c r="N6" s="6048"/>
      <c r="O6" s="6048"/>
      <c r="P6" s="6048"/>
      <c r="Q6" s="6048"/>
      <c r="R6" s="6048"/>
      <c r="S6" s="6048"/>
      <c r="T6" s="6048"/>
      <c r="U6" s="6048"/>
      <c r="V6" s="6048"/>
      <c r="W6" s="6048"/>
      <c r="X6" s="624"/>
      <c r="Y6" s="624"/>
      <c r="Z6" s="624"/>
      <c r="AA6" s="624"/>
      <c r="AB6" s="624"/>
      <c r="AC6" s="624"/>
      <c r="AD6" s="624"/>
      <c r="AE6" s="624"/>
      <c r="AF6" s="624"/>
      <c r="AG6" s="624"/>
      <c r="AH6" s="624"/>
      <c r="AI6" s="624"/>
      <c r="AJ6" s="624"/>
      <c r="AK6" s="624"/>
      <c r="AL6" s="624"/>
      <c r="AM6" s="624"/>
      <c r="AN6" s="624"/>
      <c r="AO6" s="624"/>
      <c r="AP6" s="624"/>
      <c r="AQ6" s="624"/>
      <c r="AR6" s="624"/>
    </row>
    <row r="8" spans="1:77" ht="18" customHeight="1">
      <c r="A8" s="763" t="s">
        <v>492</v>
      </c>
      <c r="B8" s="782"/>
      <c r="C8" s="782"/>
      <c r="D8" s="782"/>
      <c r="E8" s="782"/>
      <c r="F8" s="782"/>
      <c r="G8" s="782"/>
      <c r="H8" s="782"/>
      <c r="I8" s="782"/>
      <c r="J8" s="782"/>
      <c r="K8" s="782"/>
      <c r="L8" s="782"/>
      <c r="M8" s="782"/>
      <c r="N8" s="782"/>
      <c r="O8" s="782"/>
      <c r="P8" s="782"/>
      <c r="Q8" s="782"/>
      <c r="R8" s="782"/>
      <c r="S8" s="782"/>
      <c r="T8" s="782"/>
      <c r="U8" s="782"/>
      <c r="V8" s="782"/>
      <c r="W8" s="782"/>
      <c r="X8" s="782"/>
      <c r="Y8" s="362"/>
      <c r="Z8" s="362"/>
      <c r="AA8" s="624"/>
      <c r="AB8" s="624"/>
      <c r="AC8" s="624"/>
      <c r="AD8" s="624"/>
      <c r="AE8" s="624"/>
      <c r="AF8" s="624"/>
      <c r="AG8" s="624"/>
      <c r="AH8" s="624"/>
      <c r="AI8" s="624"/>
      <c r="AJ8" s="624"/>
      <c r="AK8" s="624"/>
      <c r="AL8" s="624"/>
      <c r="AM8" s="624"/>
      <c r="AN8" s="624"/>
      <c r="AO8" s="624"/>
      <c r="AP8" s="739"/>
      <c r="AQ8" s="739"/>
      <c r="AR8" s="624"/>
      <c r="AS8" s="992"/>
    </row>
    <row r="9" spans="1:77">
      <c r="A9" s="5611" t="s">
        <v>493</v>
      </c>
      <c r="B9" s="5642" t="s">
        <v>42</v>
      </c>
      <c r="C9" s="5627"/>
      <c r="D9" s="5624"/>
      <c r="E9" s="5647" t="s">
        <v>115</v>
      </c>
      <c r="F9" s="5649"/>
      <c r="G9" s="5649"/>
      <c r="H9" s="5649"/>
      <c r="I9" s="5649"/>
      <c r="J9" s="5649"/>
      <c r="K9" s="5649"/>
      <c r="L9" s="5649"/>
      <c r="M9" s="5649"/>
      <c r="N9" s="5649"/>
      <c r="O9" s="5649"/>
      <c r="P9" s="5649"/>
      <c r="Q9" s="5649"/>
      <c r="R9" s="5649"/>
      <c r="S9" s="5649"/>
      <c r="T9" s="5649"/>
      <c r="U9" s="5649"/>
      <c r="V9" s="5649"/>
      <c r="W9" s="5649"/>
      <c r="X9" s="5649"/>
      <c r="Y9" s="5649"/>
      <c r="Z9" s="5649"/>
      <c r="AA9" s="5649"/>
      <c r="AB9" s="5649"/>
      <c r="AC9" s="5649"/>
      <c r="AD9" s="5649"/>
      <c r="AE9" s="5649"/>
      <c r="AF9" s="5649"/>
      <c r="AG9" s="5649"/>
      <c r="AH9" s="5649"/>
      <c r="AI9" s="5649"/>
      <c r="AJ9" s="5649"/>
      <c r="AK9" s="5649"/>
      <c r="AL9" s="5649"/>
      <c r="AM9" s="5649"/>
      <c r="AN9" s="5686"/>
      <c r="AO9" s="5657" t="s">
        <v>50</v>
      </c>
      <c r="AP9" s="5613" t="s">
        <v>51</v>
      </c>
      <c r="AQ9" s="5613" t="s">
        <v>48</v>
      </c>
      <c r="AR9" s="5613" t="s">
        <v>49</v>
      </c>
      <c r="AS9" s="5624" t="s">
        <v>494</v>
      </c>
    </row>
    <row r="10" spans="1:77" ht="24" customHeight="1">
      <c r="A10" s="5641"/>
      <c r="B10" s="5659"/>
      <c r="C10" s="5731"/>
      <c r="D10" s="5625"/>
      <c r="E10" s="5615" t="s">
        <v>495</v>
      </c>
      <c r="F10" s="5648"/>
      <c r="G10" s="5615" t="s">
        <v>496</v>
      </c>
      <c r="H10" s="5652"/>
      <c r="I10" s="5615" t="s">
        <v>347</v>
      </c>
      <c r="J10" s="5652"/>
      <c r="K10" s="5615" t="s">
        <v>108</v>
      </c>
      <c r="L10" s="5652"/>
      <c r="M10" s="5615" t="s">
        <v>58</v>
      </c>
      <c r="N10" s="5652"/>
      <c r="O10" s="5615" t="s">
        <v>59</v>
      </c>
      <c r="P10" s="5652"/>
      <c r="Q10" s="5615" t="s">
        <v>60</v>
      </c>
      <c r="R10" s="5652"/>
      <c r="S10" s="5615" t="s">
        <v>61</v>
      </c>
      <c r="T10" s="5652"/>
      <c r="U10" s="5615" t="s">
        <v>62</v>
      </c>
      <c r="V10" s="5652"/>
      <c r="W10" s="5615" t="s">
        <v>63</v>
      </c>
      <c r="X10" s="5652"/>
      <c r="Y10" s="5615" t="s">
        <v>64</v>
      </c>
      <c r="Z10" s="5652"/>
      <c r="AA10" s="5615" t="s">
        <v>65</v>
      </c>
      <c r="AB10" s="5652"/>
      <c r="AC10" s="5615" t="s">
        <v>66</v>
      </c>
      <c r="AD10" s="5652"/>
      <c r="AE10" s="5615" t="s">
        <v>67</v>
      </c>
      <c r="AF10" s="5652"/>
      <c r="AG10" s="5615" t="s">
        <v>68</v>
      </c>
      <c r="AH10" s="5652"/>
      <c r="AI10" s="5615" t="s">
        <v>69</v>
      </c>
      <c r="AJ10" s="5652"/>
      <c r="AK10" s="5615" t="s">
        <v>70</v>
      </c>
      <c r="AL10" s="5652"/>
      <c r="AM10" s="5647" t="s">
        <v>497</v>
      </c>
      <c r="AN10" s="5686"/>
      <c r="AO10" s="5665"/>
      <c r="AP10" s="5671"/>
      <c r="AQ10" s="5671"/>
      <c r="AR10" s="5671"/>
      <c r="AS10" s="5645"/>
    </row>
    <row r="11" spans="1:77" ht="33" customHeight="1">
      <c r="A11" s="5612"/>
      <c r="B11" s="75" t="s">
        <v>93</v>
      </c>
      <c r="C11" s="196" t="s">
        <v>72</v>
      </c>
      <c r="D11" s="76" t="s">
        <v>73</v>
      </c>
      <c r="E11" s="194" t="s">
        <v>72</v>
      </c>
      <c r="F11" s="191" t="s">
        <v>73</v>
      </c>
      <c r="G11" s="194" t="s">
        <v>72</v>
      </c>
      <c r="H11" s="191" t="s">
        <v>73</v>
      </c>
      <c r="I11" s="194" t="s">
        <v>72</v>
      </c>
      <c r="J11" s="191" t="s">
        <v>73</v>
      </c>
      <c r="K11" s="194" t="s">
        <v>72</v>
      </c>
      <c r="L11" s="191" t="s">
        <v>73</v>
      </c>
      <c r="M11" s="194" t="s">
        <v>72</v>
      </c>
      <c r="N11" s="191" t="s">
        <v>73</v>
      </c>
      <c r="O11" s="194" t="s">
        <v>72</v>
      </c>
      <c r="P11" s="191" t="s">
        <v>73</v>
      </c>
      <c r="Q11" s="194" t="s">
        <v>72</v>
      </c>
      <c r="R11" s="191" t="s">
        <v>73</v>
      </c>
      <c r="S11" s="194" t="s">
        <v>72</v>
      </c>
      <c r="T11" s="191" t="s">
        <v>73</v>
      </c>
      <c r="U11" s="194" t="s">
        <v>72</v>
      </c>
      <c r="V11" s="191" t="s">
        <v>73</v>
      </c>
      <c r="W11" s="194" t="s">
        <v>72</v>
      </c>
      <c r="X11" s="191" t="s">
        <v>73</v>
      </c>
      <c r="Y11" s="194" t="s">
        <v>72</v>
      </c>
      <c r="Z11" s="191" t="s">
        <v>73</v>
      </c>
      <c r="AA11" s="194" t="s">
        <v>72</v>
      </c>
      <c r="AB11" s="191" t="s">
        <v>73</v>
      </c>
      <c r="AC11" s="194" t="s">
        <v>72</v>
      </c>
      <c r="AD11" s="191" t="s">
        <v>73</v>
      </c>
      <c r="AE11" s="194" t="s">
        <v>72</v>
      </c>
      <c r="AF11" s="191" t="s">
        <v>73</v>
      </c>
      <c r="AG11" s="194" t="s">
        <v>72</v>
      </c>
      <c r="AH11" s="191" t="s">
        <v>73</v>
      </c>
      <c r="AI11" s="194" t="s">
        <v>72</v>
      </c>
      <c r="AJ11" s="191" t="s">
        <v>73</v>
      </c>
      <c r="AK11" s="194" t="s">
        <v>72</v>
      </c>
      <c r="AL11" s="191" t="s">
        <v>73</v>
      </c>
      <c r="AM11" s="194" t="s">
        <v>72</v>
      </c>
      <c r="AN11" s="308" t="s">
        <v>73</v>
      </c>
      <c r="AO11" s="5658"/>
      <c r="AP11" s="5614"/>
      <c r="AQ11" s="5614"/>
      <c r="AR11" s="5614"/>
      <c r="AS11" s="5625"/>
    </row>
    <row r="12" spans="1:77">
      <c r="A12" s="971" t="s">
        <v>91</v>
      </c>
      <c r="B12" s="480">
        <f>SUM(B13:B26)</f>
        <v>0</v>
      </c>
      <c r="C12" s="481">
        <f>SUM(C13:C26)</f>
        <v>0</v>
      </c>
      <c r="D12" s="774">
        <f>SUM(D13:D26)</f>
        <v>0</v>
      </c>
      <c r="E12" s="993">
        <f>SUM(E13:E26)</f>
        <v>0</v>
      </c>
      <c r="F12" s="994">
        <f t="shared" ref="F12:AN12" si="0">SUM(F13:F26)</f>
        <v>0</v>
      </c>
      <c r="G12" s="995">
        <f>SUM(G13:G26)</f>
        <v>0</v>
      </c>
      <c r="H12" s="994">
        <f t="shared" si="0"/>
        <v>0</v>
      </c>
      <c r="I12" s="993">
        <f t="shared" si="0"/>
        <v>0</v>
      </c>
      <c r="J12" s="994">
        <f t="shared" si="0"/>
        <v>0</v>
      </c>
      <c r="K12" s="993">
        <f t="shared" si="0"/>
        <v>0</v>
      </c>
      <c r="L12" s="994">
        <f t="shared" si="0"/>
        <v>0</v>
      </c>
      <c r="M12" s="993">
        <f t="shared" si="0"/>
        <v>0</v>
      </c>
      <c r="N12" s="994">
        <f t="shared" si="0"/>
        <v>0</v>
      </c>
      <c r="O12" s="993">
        <f t="shared" si="0"/>
        <v>0</v>
      </c>
      <c r="P12" s="994">
        <f t="shared" si="0"/>
        <v>0</v>
      </c>
      <c r="Q12" s="993">
        <f t="shared" si="0"/>
        <v>0</v>
      </c>
      <c r="R12" s="994">
        <f t="shared" si="0"/>
        <v>0</v>
      </c>
      <c r="S12" s="993">
        <f t="shared" si="0"/>
        <v>0</v>
      </c>
      <c r="T12" s="994">
        <f t="shared" si="0"/>
        <v>0</v>
      </c>
      <c r="U12" s="993">
        <f>SUM(U13:U26)</f>
        <v>0</v>
      </c>
      <c r="V12" s="994">
        <f>SUM(V13:V26)</f>
        <v>0</v>
      </c>
      <c r="W12" s="993">
        <f t="shared" si="0"/>
        <v>0</v>
      </c>
      <c r="X12" s="994">
        <f t="shared" si="0"/>
        <v>0</v>
      </c>
      <c r="Y12" s="993">
        <f t="shared" si="0"/>
        <v>0</v>
      </c>
      <c r="Z12" s="994">
        <f t="shared" si="0"/>
        <v>0</v>
      </c>
      <c r="AA12" s="993">
        <f t="shared" si="0"/>
        <v>0</v>
      </c>
      <c r="AB12" s="994">
        <f t="shared" si="0"/>
        <v>0</v>
      </c>
      <c r="AC12" s="993">
        <f t="shared" si="0"/>
        <v>0</v>
      </c>
      <c r="AD12" s="994">
        <f t="shared" si="0"/>
        <v>0</v>
      </c>
      <c r="AE12" s="993">
        <f t="shared" si="0"/>
        <v>0</v>
      </c>
      <c r="AF12" s="994">
        <f t="shared" si="0"/>
        <v>0</v>
      </c>
      <c r="AG12" s="993">
        <f t="shared" si="0"/>
        <v>0</v>
      </c>
      <c r="AH12" s="994">
        <f t="shared" si="0"/>
        <v>0</v>
      </c>
      <c r="AI12" s="993">
        <f t="shared" si="0"/>
        <v>0</v>
      </c>
      <c r="AJ12" s="994">
        <f t="shared" si="0"/>
        <v>0</v>
      </c>
      <c r="AK12" s="993">
        <f t="shared" si="0"/>
        <v>0</v>
      </c>
      <c r="AL12" s="994">
        <f t="shared" si="0"/>
        <v>0</v>
      </c>
      <c r="AM12" s="993">
        <f t="shared" si="0"/>
        <v>0</v>
      </c>
      <c r="AN12" s="996">
        <f t="shared" si="0"/>
        <v>0</v>
      </c>
      <c r="AO12" s="997">
        <f>SUM(AO13:AO26)</f>
        <v>0</v>
      </c>
      <c r="AP12" s="998">
        <f>SUM(AP13:AP26)</f>
        <v>0</v>
      </c>
      <c r="AQ12" s="998">
        <f>SUM(AQ13:AQ26)</f>
        <v>0</v>
      </c>
      <c r="AR12" s="998">
        <f>SUM(AR13:AR26)</f>
        <v>0</v>
      </c>
      <c r="AS12" s="999">
        <f>SUM(AS13:AS26)</f>
        <v>0</v>
      </c>
    </row>
    <row r="13" spans="1:77" ht="15" customHeight="1">
      <c r="A13" s="1000" t="s">
        <v>498</v>
      </c>
      <c r="B13" s="1001">
        <f t="shared" ref="B13:B54" si="1">SUM(C13:D13)</f>
        <v>0</v>
      </c>
      <c r="C13" s="644">
        <f>SUM(E13+G13+I13+K13+M13+O13+Q13+S13+U13+W13+Y13+AA13+AC13+AE13+AG13+AI13+AK13+AM13)</f>
        <v>0</v>
      </c>
      <c r="D13" s="1002">
        <f>SUM(F13+H13+J13+L13+N13+P13+R13+T13+V13+X13+Z13+AB13+AD13+AF13+AH13+AJ13+AL13+AN13)</f>
        <v>0</v>
      </c>
      <c r="E13" s="1003"/>
      <c r="F13" s="1004"/>
      <c r="G13" s="1003"/>
      <c r="H13" s="1004"/>
      <c r="I13" s="1003"/>
      <c r="J13" s="1005"/>
      <c r="K13" s="1003"/>
      <c r="L13" s="1004"/>
      <c r="M13" s="1003"/>
      <c r="N13" s="1004"/>
      <c r="O13" s="1003"/>
      <c r="P13" s="1004"/>
      <c r="Q13" s="1003"/>
      <c r="R13" s="1004"/>
      <c r="S13" s="1003"/>
      <c r="T13" s="1004"/>
      <c r="U13" s="1003"/>
      <c r="V13" s="1004"/>
      <c r="W13" s="1003"/>
      <c r="X13" s="1004"/>
      <c r="Y13" s="1003"/>
      <c r="Z13" s="1004"/>
      <c r="AA13" s="1003"/>
      <c r="AB13" s="1004"/>
      <c r="AC13" s="1003"/>
      <c r="AD13" s="1004"/>
      <c r="AE13" s="1003"/>
      <c r="AF13" s="1004"/>
      <c r="AG13" s="1003"/>
      <c r="AH13" s="1004"/>
      <c r="AI13" s="1003"/>
      <c r="AJ13" s="1004"/>
      <c r="AK13" s="1003"/>
      <c r="AL13" s="1004"/>
      <c r="AM13" s="1003"/>
      <c r="AN13" s="1004"/>
      <c r="AO13" s="1006"/>
      <c r="AP13" s="1007"/>
      <c r="AQ13" s="1007"/>
      <c r="AR13" s="1007"/>
      <c r="AS13" s="1008"/>
      <c r="AT13" s="48" t="str">
        <f t="shared" ref="AT13:AT48" si="2">BO13&amp;BP13&amp;BQ13&amp;BR13&amp;BS13</f>
        <v/>
      </c>
      <c r="BO13" s="1009" t="str">
        <f t="shared" ref="BO13:BO26" si="3">IF(AND(B13&gt;0,AO13="")," * No olvide digitar la variable Pueblos originarios. Digite Cero si no tiene.",IF(AO13&gt;B13," *  La variable Pueblos originarios No puede ser mayor al Total Ambos Sexos.",""))</f>
        <v/>
      </c>
      <c r="BP13" s="1009" t="str">
        <f t="shared" ref="BP13:BP26" si="4">IF(AND(B13&gt;0,AP13="")," * No olvide digitar la variable Migrantes. Digite Cero si no tiene.",IF(AP13&gt;B13," *  La variable Migrantes No puede ser mayor al Total Ambos Sexos.",""))</f>
        <v/>
      </c>
      <c r="BQ13" s="1009" t="str">
        <f t="shared" ref="BQ13:BQ26" si="5">IF(AND(B13&gt;0,AQ13="")," * No olvide digitar la variable SENAME/ Servicio Nacional de Reinserción social Juvenil. Digite Cero si no tiene.",IF(AQ13&gt;B13," * La SENAME/ Servicio Nacional de Reinserción social Juvenil No puede ser mayor al Total Ambos Sexos.",""))</f>
        <v/>
      </c>
      <c r="BR13" s="1009" t="str">
        <f t="shared" ref="BR13:BR26" si="6">IF(AND(B13&gt;0,AR13="")," * No olvide digitar la variable Servicio Nacional Protección Especializada a la Niñez y Adolescencia. Digite Cero si no tiene.",IF(AR13&gt;B13," * La variable Servicio Nacional Protección Especializada a la Niñez y Adolescencia No puede ser mayor al Total Ambos Sexos.",""))</f>
        <v/>
      </c>
      <c r="BS13" s="1009" t="str">
        <f t="shared" ref="BS13:BS26" si="7">IF(AND(B13&gt;0,AS13="")," * No olvide digitar la variable Por campaña de invierno. Digite Cero si no tiene.",IF(AS13&gt;B13," * La variable Por campaña de invierno No puede ser mayor al Total Ambos Sexos.",""))</f>
        <v/>
      </c>
      <c r="BU13" s="1010">
        <f t="shared" ref="BU13:BU48" si="8">IF(AND(B13&gt;0,AO13=""),1,IF(AO13&gt;B13,1,0))</f>
        <v>0</v>
      </c>
      <c r="BV13" s="1010">
        <f t="shared" ref="BV13:BV48" si="9">IF(AND(B13&gt;0,AP13=""),1,IF(AP13&gt;B13,1,0))</f>
        <v>0</v>
      </c>
      <c r="BW13" s="1010">
        <f t="shared" ref="BW13:BW48" si="10">IF(AND(B13&gt;0,AQ13=""),1,IF(AQ13&gt;B13,1,0))</f>
        <v>0</v>
      </c>
      <c r="BX13" s="1010">
        <f t="shared" ref="BX13:BX48" si="11">IF(AND(B13&gt;0,AR13=""),1,IF(AR13&gt;B13,1,0))</f>
        <v>0</v>
      </c>
      <c r="BY13" s="1010">
        <f t="shared" ref="BY13:BY48" si="12">IF(AND(B13&gt;0,AS13=""),1,IF(AS13&gt;B13,1,0))</f>
        <v>0</v>
      </c>
    </row>
    <row r="14" spans="1:77" ht="15" customHeight="1">
      <c r="A14" s="746" t="s">
        <v>499</v>
      </c>
      <c r="B14" s="1011">
        <f t="shared" si="1"/>
        <v>0</v>
      </c>
      <c r="C14" s="650">
        <f>SUM(E14+G14+I14)</f>
        <v>0</v>
      </c>
      <c r="D14" s="1012">
        <f>SUM(F14+H14+J14)</f>
        <v>0</v>
      </c>
      <c r="E14" s="1013"/>
      <c r="F14" s="1014"/>
      <c r="G14" s="1013"/>
      <c r="H14" s="1014"/>
      <c r="I14" s="1013"/>
      <c r="J14" s="1015"/>
      <c r="K14" s="1016"/>
      <c r="L14" s="1017"/>
      <c r="M14" s="1016"/>
      <c r="N14" s="1017"/>
      <c r="O14" s="1016"/>
      <c r="P14" s="1017"/>
      <c r="Q14" s="1016"/>
      <c r="R14" s="1017"/>
      <c r="S14" s="1016"/>
      <c r="T14" s="1017"/>
      <c r="U14" s="1016"/>
      <c r="V14" s="1017"/>
      <c r="W14" s="1016"/>
      <c r="X14" s="1017"/>
      <c r="Y14" s="1016"/>
      <c r="Z14" s="1017"/>
      <c r="AA14" s="1016"/>
      <c r="AB14" s="1017"/>
      <c r="AC14" s="1016"/>
      <c r="AD14" s="1017"/>
      <c r="AE14" s="1016"/>
      <c r="AF14" s="1017"/>
      <c r="AG14" s="1016"/>
      <c r="AH14" s="1017"/>
      <c r="AI14" s="1016"/>
      <c r="AJ14" s="1017"/>
      <c r="AK14" s="1016"/>
      <c r="AL14" s="1017"/>
      <c r="AM14" s="1016"/>
      <c r="AN14" s="1018"/>
      <c r="AO14" s="1019"/>
      <c r="AP14" s="1020"/>
      <c r="AQ14" s="1020"/>
      <c r="AR14" s="1020"/>
      <c r="AS14" s="1021"/>
      <c r="AT14" s="48" t="str">
        <f t="shared" si="2"/>
        <v/>
      </c>
      <c r="BO14" s="1009" t="str">
        <f t="shared" si="3"/>
        <v/>
      </c>
      <c r="BP14" s="1009" t="str">
        <f t="shared" si="4"/>
        <v/>
      </c>
      <c r="BQ14" s="1009" t="str">
        <f t="shared" si="5"/>
        <v/>
      </c>
      <c r="BR14" s="1009" t="str">
        <f t="shared" si="6"/>
        <v/>
      </c>
      <c r="BS14" s="1009" t="str">
        <f t="shared" si="7"/>
        <v/>
      </c>
      <c r="BU14" s="1010">
        <f t="shared" si="8"/>
        <v>0</v>
      </c>
      <c r="BV14" s="1010">
        <f t="shared" si="9"/>
        <v>0</v>
      </c>
      <c r="BW14" s="1010">
        <f t="shared" si="10"/>
        <v>0</v>
      </c>
      <c r="BX14" s="1010">
        <f t="shared" si="11"/>
        <v>0</v>
      </c>
      <c r="BY14" s="1010">
        <f t="shared" si="12"/>
        <v>0</v>
      </c>
    </row>
    <row r="15" spans="1:77" ht="15" customHeight="1">
      <c r="A15" s="1022" t="s">
        <v>500</v>
      </c>
      <c r="B15" s="1011">
        <f t="shared" si="1"/>
        <v>0</v>
      </c>
      <c r="C15" s="650">
        <f>SUM(E15+G15+I15+K15+M15+O15+Q15+S15+U15+W15+Y15+AA15+AC15+AE15+AG15+AI15+AK15+AM15)</f>
        <v>0</v>
      </c>
      <c r="D15" s="1012">
        <f>SUM(F15+H15+J15+L15+N15+P15+R15+T15+V15+X15+Z15+AB15+AD15+AF15+AH15+AJ15+AL15+AN15)</f>
        <v>0</v>
      </c>
      <c r="E15" s="1013"/>
      <c r="F15" s="1014"/>
      <c r="G15" s="1013"/>
      <c r="H15" s="1014"/>
      <c r="I15" s="1013"/>
      <c r="J15" s="1015"/>
      <c r="K15" s="1013"/>
      <c r="L15" s="1015"/>
      <c r="M15" s="1013"/>
      <c r="N15" s="1015"/>
      <c r="O15" s="1013"/>
      <c r="P15" s="1015"/>
      <c r="Q15" s="1013"/>
      <c r="R15" s="1015"/>
      <c r="S15" s="1013"/>
      <c r="T15" s="1015"/>
      <c r="U15" s="1013"/>
      <c r="V15" s="1015"/>
      <c r="W15" s="1013"/>
      <c r="X15" s="1015"/>
      <c r="Y15" s="1013"/>
      <c r="Z15" s="1015"/>
      <c r="AA15" s="1013"/>
      <c r="AB15" s="1015"/>
      <c r="AC15" s="1013"/>
      <c r="AD15" s="1015"/>
      <c r="AE15" s="1013"/>
      <c r="AF15" s="1015"/>
      <c r="AG15" s="1013"/>
      <c r="AH15" s="1015"/>
      <c r="AI15" s="1013"/>
      <c r="AJ15" s="1015"/>
      <c r="AK15" s="1013"/>
      <c r="AL15" s="1015"/>
      <c r="AM15" s="1023"/>
      <c r="AN15" s="1024"/>
      <c r="AO15" s="1019"/>
      <c r="AP15" s="1020"/>
      <c r="AQ15" s="1020"/>
      <c r="AR15" s="1020"/>
      <c r="AS15" s="1021"/>
      <c r="AT15" s="48" t="str">
        <f t="shared" si="2"/>
        <v/>
      </c>
      <c r="BO15" s="1009" t="str">
        <f t="shared" si="3"/>
        <v/>
      </c>
      <c r="BP15" s="1009" t="str">
        <f t="shared" si="4"/>
        <v/>
      </c>
      <c r="BQ15" s="1009" t="str">
        <f t="shared" si="5"/>
        <v/>
      </c>
      <c r="BR15" s="1009" t="str">
        <f t="shared" si="6"/>
        <v/>
      </c>
      <c r="BS15" s="1009" t="str">
        <f t="shared" si="7"/>
        <v/>
      </c>
      <c r="BU15" s="1010">
        <f t="shared" si="8"/>
        <v>0</v>
      </c>
      <c r="BV15" s="1010">
        <f t="shared" si="9"/>
        <v>0</v>
      </c>
      <c r="BW15" s="1010">
        <f t="shared" si="10"/>
        <v>0</v>
      </c>
      <c r="BX15" s="1010">
        <f t="shared" si="11"/>
        <v>0</v>
      </c>
      <c r="BY15" s="1010">
        <f t="shared" si="12"/>
        <v>0</v>
      </c>
    </row>
    <row r="16" spans="1:77" ht="15" customHeight="1">
      <c r="A16" s="620" t="s">
        <v>501</v>
      </c>
      <c r="B16" s="518">
        <f t="shared" si="1"/>
        <v>0</v>
      </c>
      <c r="C16" s="769">
        <f>SUM(I16+K16+M16+O16+Q16+S16+U16+W16+Y16+AA16+AC16+AE16+AG16+AI16+AK16+AM16)</f>
        <v>0</v>
      </c>
      <c r="D16" s="1025">
        <f>SUM(J16+L16+N16+P16+R16+T16+V16+X16+Z16+AB16+AD16+AF16+AH16+AJ16+AL16+AN16)</f>
        <v>0</v>
      </c>
      <c r="E16" s="1016"/>
      <c r="F16" s="1017"/>
      <c r="G16" s="1026"/>
      <c r="H16" s="1027"/>
      <c r="I16" s="1013"/>
      <c r="J16" s="1015"/>
      <c r="K16" s="1013"/>
      <c r="L16" s="1015"/>
      <c r="M16" s="1013"/>
      <c r="N16" s="1015"/>
      <c r="O16" s="1013"/>
      <c r="P16" s="1015"/>
      <c r="Q16" s="1013"/>
      <c r="R16" s="1015"/>
      <c r="S16" s="1013"/>
      <c r="T16" s="1015"/>
      <c r="U16" s="1013"/>
      <c r="V16" s="1015"/>
      <c r="W16" s="1013"/>
      <c r="X16" s="1015"/>
      <c r="Y16" s="1013"/>
      <c r="Z16" s="1015"/>
      <c r="AA16" s="1013"/>
      <c r="AB16" s="1015"/>
      <c r="AC16" s="1013"/>
      <c r="AD16" s="1015"/>
      <c r="AE16" s="1013"/>
      <c r="AF16" s="1015"/>
      <c r="AG16" s="1013"/>
      <c r="AH16" s="1015"/>
      <c r="AI16" s="1013"/>
      <c r="AJ16" s="1015"/>
      <c r="AK16" s="1013"/>
      <c r="AL16" s="1015"/>
      <c r="AM16" s="1023"/>
      <c r="AN16" s="1024"/>
      <c r="AO16" s="1019"/>
      <c r="AP16" s="1020"/>
      <c r="AQ16" s="1020"/>
      <c r="AR16" s="1020"/>
      <c r="AS16" s="1021"/>
      <c r="AT16" s="48" t="str">
        <f t="shared" si="2"/>
        <v/>
      </c>
      <c r="BO16" s="1009" t="str">
        <f t="shared" si="3"/>
        <v/>
      </c>
      <c r="BP16" s="1009" t="str">
        <f t="shared" si="4"/>
        <v/>
      </c>
      <c r="BQ16" s="1009" t="str">
        <f t="shared" si="5"/>
        <v/>
      </c>
      <c r="BR16" s="1009" t="str">
        <f t="shared" si="6"/>
        <v/>
      </c>
      <c r="BS16" s="1009" t="str">
        <f t="shared" si="7"/>
        <v/>
      </c>
      <c r="BU16" s="1010">
        <f t="shared" si="8"/>
        <v>0</v>
      </c>
      <c r="BV16" s="1010">
        <f t="shared" si="9"/>
        <v>0</v>
      </c>
      <c r="BW16" s="1010">
        <f t="shared" si="10"/>
        <v>0</v>
      </c>
      <c r="BX16" s="1010">
        <f t="shared" si="11"/>
        <v>0</v>
      </c>
      <c r="BY16" s="1010">
        <f t="shared" si="12"/>
        <v>0</v>
      </c>
    </row>
    <row r="17" spans="1:77" ht="15" customHeight="1">
      <c r="A17" s="1028" t="s">
        <v>502</v>
      </c>
      <c r="B17" s="1011">
        <f t="shared" si="1"/>
        <v>0</v>
      </c>
      <c r="C17" s="650">
        <f>SUM(U17+W17+Y17+AA17+AC17+AE17+AG17+AI17+AK17+AM17)</f>
        <v>0</v>
      </c>
      <c r="D17" s="1012">
        <f>SUM(V17+X17+Z17+AB17+AD17+AF17+AH17+AJ17+AL17+AN17)</f>
        <v>0</v>
      </c>
      <c r="E17" s="1016"/>
      <c r="F17" s="1029"/>
      <c r="G17" s="1016"/>
      <c r="H17" s="1029"/>
      <c r="I17" s="1016"/>
      <c r="J17" s="1017"/>
      <c r="K17" s="1016"/>
      <c r="L17" s="1017"/>
      <c r="M17" s="1016"/>
      <c r="N17" s="1017"/>
      <c r="O17" s="1016"/>
      <c r="P17" s="1017"/>
      <c r="Q17" s="1016"/>
      <c r="R17" s="1017"/>
      <c r="S17" s="1016"/>
      <c r="T17" s="1017"/>
      <c r="U17" s="1013"/>
      <c r="V17" s="1015"/>
      <c r="W17" s="1013"/>
      <c r="X17" s="1015"/>
      <c r="Y17" s="1013"/>
      <c r="Z17" s="1015"/>
      <c r="AA17" s="1013"/>
      <c r="AB17" s="1015"/>
      <c r="AC17" s="1013"/>
      <c r="AD17" s="1015"/>
      <c r="AE17" s="1013"/>
      <c r="AF17" s="1015"/>
      <c r="AG17" s="1013"/>
      <c r="AH17" s="1015"/>
      <c r="AI17" s="1013"/>
      <c r="AJ17" s="1015"/>
      <c r="AK17" s="1013"/>
      <c r="AL17" s="1015"/>
      <c r="AM17" s="1023"/>
      <c r="AN17" s="1024"/>
      <c r="AO17" s="1019"/>
      <c r="AP17" s="1020"/>
      <c r="AQ17" s="1020"/>
      <c r="AR17" s="1020"/>
      <c r="AS17" s="1021"/>
      <c r="AT17" s="48" t="str">
        <f t="shared" si="2"/>
        <v/>
      </c>
      <c r="BO17" s="1009" t="str">
        <f t="shared" si="3"/>
        <v/>
      </c>
      <c r="BP17" s="1009" t="str">
        <f t="shared" si="4"/>
        <v/>
      </c>
      <c r="BQ17" s="1009" t="str">
        <f t="shared" si="5"/>
        <v/>
      </c>
      <c r="BR17" s="1009" t="str">
        <f t="shared" si="6"/>
        <v/>
      </c>
      <c r="BS17" s="1009" t="str">
        <f t="shared" si="7"/>
        <v/>
      </c>
      <c r="BU17" s="1010">
        <f t="shared" si="8"/>
        <v>0</v>
      </c>
      <c r="BV17" s="1010">
        <f t="shared" si="9"/>
        <v>0</v>
      </c>
      <c r="BW17" s="1010">
        <f t="shared" si="10"/>
        <v>0</v>
      </c>
      <c r="BX17" s="1010">
        <f t="shared" si="11"/>
        <v>0</v>
      </c>
      <c r="BY17" s="1010">
        <f t="shared" si="12"/>
        <v>0</v>
      </c>
    </row>
    <row r="18" spans="1:77" ht="15" customHeight="1">
      <c r="A18" s="760" t="s">
        <v>503</v>
      </c>
      <c r="B18" s="1011">
        <f t="shared" si="1"/>
        <v>0</v>
      </c>
      <c r="C18" s="650">
        <f>SUM(E18+G18+I18+K18+M18+O18+Q18+S18+U18+W18+Y18+AA18+AC18+AE18+AG18+AI18+AK18+AM18)</f>
        <v>0</v>
      </c>
      <c r="D18" s="1012">
        <f>SUM(F18+H18+J18+L18+N18+P18+R18+T18+V18+X18+Z18+AB18+AD18+AF18+AH18+AJ18+AL18+AN18)</f>
        <v>0</v>
      </c>
      <c r="E18" s="1013"/>
      <c r="F18" s="1014"/>
      <c r="G18" s="1013"/>
      <c r="H18" s="1014"/>
      <c r="I18" s="1013"/>
      <c r="J18" s="1015"/>
      <c r="K18" s="1030"/>
      <c r="L18" s="1015"/>
      <c r="M18" s="1013"/>
      <c r="N18" s="1015"/>
      <c r="O18" s="1013"/>
      <c r="P18" s="1015"/>
      <c r="Q18" s="1013"/>
      <c r="R18" s="1015"/>
      <c r="S18" s="1013"/>
      <c r="T18" s="1015"/>
      <c r="U18" s="1013"/>
      <c r="V18" s="1015"/>
      <c r="W18" s="1013"/>
      <c r="X18" s="1015"/>
      <c r="Y18" s="1013"/>
      <c r="Z18" s="1015"/>
      <c r="AA18" s="1013"/>
      <c r="AB18" s="1015"/>
      <c r="AC18" s="1013"/>
      <c r="AD18" s="1015"/>
      <c r="AE18" s="1013"/>
      <c r="AF18" s="1015"/>
      <c r="AG18" s="1013"/>
      <c r="AH18" s="1015"/>
      <c r="AI18" s="1013"/>
      <c r="AJ18" s="1015"/>
      <c r="AK18" s="1013"/>
      <c r="AL18" s="1015"/>
      <c r="AM18" s="1023"/>
      <c r="AN18" s="1024"/>
      <c r="AO18" s="1019"/>
      <c r="AP18" s="1020"/>
      <c r="AQ18" s="1020"/>
      <c r="AR18" s="1020"/>
      <c r="AS18" s="1021"/>
      <c r="AT18" s="48" t="str">
        <f t="shared" si="2"/>
        <v/>
      </c>
      <c r="BO18" s="1009" t="str">
        <f t="shared" si="3"/>
        <v/>
      </c>
      <c r="BP18" s="1009" t="str">
        <f t="shared" si="4"/>
        <v/>
      </c>
      <c r="BQ18" s="1009" t="str">
        <f t="shared" si="5"/>
        <v/>
      </c>
      <c r="BR18" s="1009" t="str">
        <f t="shared" si="6"/>
        <v/>
      </c>
      <c r="BS18" s="1009" t="str">
        <f t="shared" si="7"/>
        <v/>
      </c>
      <c r="BU18" s="1010">
        <f t="shared" si="8"/>
        <v>0</v>
      </c>
      <c r="BV18" s="1010">
        <f t="shared" si="9"/>
        <v>0</v>
      </c>
      <c r="BW18" s="1010">
        <f t="shared" si="10"/>
        <v>0</v>
      </c>
      <c r="BX18" s="1010">
        <f t="shared" si="11"/>
        <v>0</v>
      </c>
      <c r="BY18" s="1010">
        <f t="shared" si="12"/>
        <v>0</v>
      </c>
    </row>
    <row r="19" spans="1:77" ht="15" customHeight="1">
      <c r="A19" s="1031" t="s">
        <v>504</v>
      </c>
      <c r="B19" s="1011">
        <f t="shared" si="1"/>
        <v>0</v>
      </c>
      <c r="C19" s="138"/>
      <c r="D19" s="1032">
        <f>SUM(L19+N19+P19+R19+T19+V19+X19+Z19+AB19+AD19+AF19)</f>
        <v>0</v>
      </c>
      <c r="E19" s="1026"/>
      <c r="F19" s="1027"/>
      <c r="G19" s="1026"/>
      <c r="H19" s="1027"/>
      <c r="I19" s="1026"/>
      <c r="J19" s="1033"/>
      <c r="K19" s="1016"/>
      <c r="L19" s="1034"/>
      <c r="M19" s="1035"/>
      <c r="N19" s="1034"/>
      <c r="O19" s="1035"/>
      <c r="P19" s="1034"/>
      <c r="Q19" s="1035"/>
      <c r="R19" s="1034"/>
      <c r="S19" s="1035"/>
      <c r="T19" s="1034"/>
      <c r="U19" s="1035"/>
      <c r="V19" s="1034"/>
      <c r="W19" s="1035"/>
      <c r="X19" s="1034"/>
      <c r="Y19" s="1035"/>
      <c r="Z19" s="1034"/>
      <c r="AA19" s="1035"/>
      <c r="AB19" s="1034"/>
      <c r="AC19" s="1035"/>
      <c r="AD19" s="1034"/>
      <c r="AE19" s="1035"/>
      <c r="AF19" s="1034"/>
      <c r="AG19" s="1026"/>
      <c r="AH19" s="1033"/>
      <c r="AI19" s="1026"/>
      <c r="AJ19" s="1033"/>
      <c r="AK19" s="1026"/>
      <c r="AL19" s="1033"/>
      <c r="AM19" s="1036"/>
      <c r="AN19" s="1018"/>
      <c r="AO19" s="1037"/>
      <c r="AP19" s="1038"/>
      <c r="AQ19" s="1038"/>
      <c r="AR19" s="1038"/>
      <c r="AS19" s="1039"/>
      <c r="AT19" s="48" t="str">
        <f t="shared" ref="AT19:AT25" si="13">BO19&amp;BP19&amp;BQ19&amp;BR19</f>
        <v/>
      </c>
      <c r="BO19" s="1009" t="str">
        <f t="shared" si="3"/>
        <v/>
      </c>
      <c r="BP19" s="1009" t="str">
        <f t="shared" si="4"/>
        <v/>
      </c>
      <c r="BQ19" s="1009" t="str">
        <f t="shared" si="5"/>
        <v/>
      </c>
      <c r="BR19" s="1009" t="str">
        <f t="shared" si="6"/>
        <v/>
      </c>
      <c r="BS19" s="1040"/>
      <c r="BU19" s="1010">
        <f t="shared" si="8"/>
        <v>0</v>
      </c>
      <c r="BV19" s="1010">
        <f t="shared" si="9"/>
        <v>0</v>
      </c>
      <c r="BW19" s="1010">
        <f t="shared" si="10"/>
        <v>0</v>
      </c>
      <c r="BX19" s="1010">
        <f t="shared" si="11"/>
        <v>0</v>
      </c>
      <c r="BY19" s="1041"/>
    </row>
    <row r="20" spans="1:77" ht="15" customHeight="1">
      <c r="A20" s="1031" t="s">
        <v>505</v>
      </c>
      <c r="B20" s="1011">
        <f t="shared" si="1"/>
        <v>0</v>
      </c>
      <c r="C20" s="138"/>
      <c r="D20" s="1012">
        <f>SUM(F20+H20+J20+L20+N20+P20+R20+T20+V20+X20+Z20+AB20+AD20+AF20+AH20+AJ20+AL20+AN20)</f>
        <v>0</v>
      </c>
      <c r="E20" s="1026"/>
      <c r="F20" s="1014"/>
      <c r="G20" s="1026"/>
      <c r="H20" s="1014"/>
      <c r="I20" s="1026"/>
      <c r="J20" s="1034"/>
      <c r="K20" s="1026"/>
      <c r="L20" s="1034"/>
      <c r="M20" s="1035"/>
      <c r="N20" s="1034"/>
      <c r="O20" s="1035"/>
      <c r="P20" s="1034"/>
      <c r="Q20" s="1035"/>
      <c r="R20" s="1034"/>
      <c r="S20" s="1035"/>
      <c r="T20" s="1034"/>
      <c r="U20" s="1035"/>
      <c r="V20" s="1034"/>
      <c r="W20" s="1035"/>
      <c r="X20" s="1034"/>
      <c r="Y20" s="1035"/>
      <c r="Z20" s="1034"/>
      <c r="AA20" s="1035"/>
      <c r="AB20" s="1034"/>
      <c r="AC20" s="1035"/>
      <c r="AD20" s="1034"/>
      <c r="AE20" s="1035"/>
      <c r="AF20" s="1034"/>
      <c r="AG20" s="1035"/>
      <c r="AH20" s="1034"/>
      <c r="AI20" s="1035"/>
      <c r="AJ20" s="1034"/>
      <c r="AK20" s="1035"/>
      <c r="AL20" s="1034"/>
      <c r="AM20" s="1035"/>
      <c r="AN20" s="1042"/>
      <c r="AO20" s="1037"/>
      <c r="AP20" s="1038"/>
      <c r="AQ20" s="1038"/>
      <c r="AR20" s="1038"/>
      <c r="AS20" s="1039"/>
      <c r="AT20" s="48" t="str">
        <f t="shared" si="13"/>
        <v/>
      </c>
      <c r="BO20" s="1009" t="str">
        <f t="shared" si="3"/>
        <v/>
      </c>
      <c r="BP20" s="1009" t="str">
        <f t="shared" si="4"/>
        <v/>
      </c>
      <c r="BQ20" s="1009" t="str">
        <f t="shared" si="5"/>
        <v/>
      </c>
      <c r="BR20" s="1009" t="str">
        <f t="shared" si="6"/>
        <v/>
      </c>
      <c r="BS20" s="1040"/>
      <c r="BU20" s="1010">
        <f t="shared" si="8"/>
        <v>0</v>
      </c>
      <c r="BV20" s="1010">
        <f t="shared" si="9"/>
        <v>0</v>
      </c>
      <c r="BW20" s="1010">
        <f t="shared" si="10"/>
        <v>0</v>
      </c>
      <c r="BX20" s="1010">
        <f t="shared" si="11"/>
        <v>0</v>
      </c>
      <c r="BY20" s="1041"/>
    </row>
    <row r="21" spans="1:77" ht="15" customHeight="1">
      <c r="A21" s="1031" t="s">
        <v>506</v>
      </c>
      <c r="B21" s="1043">
        <f t="shared" si="1"/>
        <v>0</v>
      </c>
      <c r="C21" s="1044">
        <f>SUM(O21+Q21+S21+U21+W21+Y21+AA21)</f>
        <v>0</v>
      </c>
      <c r="D21" s="1012">
        <f>SUM(P21+R21+T21+V21+X21+Z21+AB21)</f>
        <v>0</v>
      </c>
      <c r="E21" s="1026"/>
      <c r="F21" s="1027"/>
      <c r="G21" s="1026"/>
      <c r="H21" s="1027"/>
      <c r="I21" s="1026"/>
      <c r="J21" s="1033"/>
      <c r="K21" s="1016"/>
      <c r="L21" s="1033"/>
      <c r="M21" s="1026"/>
      <c r="N21" s="1033"/>
      <c r="O21" s="1045"/>
      <c r="P21" s="1034"/>
      <c r="Q21" s="1045"/>
      <c r="R21" s="1034"/>
      <c r="S21" s="1045"/>
      <c r="T21" s="1034"/>
      <c r="U21" s="1045"/>
      <c r="V21" s="1034"/>
      <c r="W21" s="1045"/>
      <c r="X21" s="1034"/>
      <c r="Y21" s="1045"/>
      <c r="Z21" s="1034"/>
      <c r="AA21" s="1045"/>
      <c r="AB21" s="1034"/>
      <c r="AC21" s="1026"/>
      <c r="AD21" s="1033"/>
      <c r="AE21" s="1026"/>
      <c r="AF21" s="1033"/>
      <c r="AG21" s="1035"/>
      <c r="AH21" s="1033"/>
      <c r="AI21" s="1026"/>
      <c r="AJ21" s="1033"/>
      <c r="AK21" s="1026"/>
      <c r="AL21" s="1033"/>
      <c r="AM21" s="1036"/>
      <c r="AN21" s="1018"/>
      <c r="AO21" s="1037"/>
      <c r="AP21" s="1038"/>
      <c r="AQ21" s="1038"/>
      <c r="AR21" s="1038"/>
      <c r="AS21" s="1039"/>
      <c r="AT21" s="48" t="str">
        <f t="shared" si="13"/>
        <v/>
      </c>
      <c r="BO21" s="1009" t="str">
        <f t="shared" si="3"/>
        <v/>
      </c>
      <c r="BP21" s="1009" t="str">
        <f t="shared" si="4"/>
        <v/>
      </c>
      <c r="BQ21" s="1009" t="str">
        <f t="shared" si="5"/>
        <v/>
      </c>
      <c r="BR21" s="1009" t="str">
        <f t="shared" si="6"/>
        <v/>
      </c>
      <c r="BS21" s="1040"/>
      <c r="BU21" s="1010">
        <f t="shared" si="8"/>
        <v>0</v>
      </c>
      <c r="BV21" s="1010">
        <f t="shared" si="9"/>
        <v>0</v>
      </c>
      <c r="BW21" s="1010">
        <f t="shared" si="10"/>
        <v>0</v>
      </c>
      <c r="BX21" s="1010">
        <f t="shared" si="11"/>
        <v>0</v>
      </c>
      <c r="BY21" s="1041"/>
    </row>
    <row r="22" spans="1:77" ht="15" customHeight="1">
      <c r="A22" s="1031" t="s">
        <v>507</v>
      </c>
      <c r="B22" s="1043">
        <f t="shared" si="1"/>
        <v>0</v>
      </c>
      <c r="C22" s="1044">
        <f t="shared" ref="C22:C23" si="14">SUM(E22+G22+I22+K22+M22+O22+Q22+S22+U22+W22+Y22+AA22+AC22+AE22+AG22+AI22+AK22+AM22)</f>
        <v>0</v>
      </c>
      <c r="D22" s="1032">
        <f t="shared" ref="D22:D23" si="15">SUM(F22+H22+J22+L22+N22+P22+R22+T22+V22+X22+Z22+AB22+AD22+AF22+AH22+AJ22+AL22+AN22)</f>
        <v>0</v>
      </c>
      <c r="E22" s="1045"/>
      <c r="F22" s="1046"/>
      <c r="G22" s="1045"/>
      <c r="H22" s="1046"/>
      <c r="I22" s="1045"/>
      <c r="J22" s="1034"/>
      <c r="K22" s="1030"/>
      <c r="L22" s="1034"/>
      <c r="M22" s="1045"/>
      <c r="N22" s="1034"/>
      <c r="O22" s="1045"/>
      <c r="P22" s="1034"/>
      <c r="Q22" s="1045"/>
      <c r="R22" s="1034"/>
      <c r="S22" s="1045"/>
      <c r="T22" s="1034"/>
      <c r="U22" s="1045"/>
      <c r="V22" s="1034"/>
      <c r="W22" s="1045"/>
      <c r="X22" s="1034"/>
      <c r="Y22" s="1045"/>
      <c r="Z22" s="1034"/>
      <c r="AA22" s="1045"/>
      <c r="AB22" s="1034"/>
      <c r="AC22" s="1045"/>
      <c r="AD22" s="1034"/>
      <c r="AE22" s="1045"/>
      <c r="AF22" s="1034"/>
      <c r="AG22" s="1045"/>
      <c r="AH22" s="1034"/>
      <c r="AI22" s="1045"/>
      <c r="AJ22" s="1034"/>
      <c r="AK22" s="1045"/>
      <c r="AL22" s="1034"/>
      <c r="AM22" s="1047"/>
      <c r="AN22" s="1042"/>
      <c r="AO22" s="1037"/>
      <c r="AP22" s="1038"/>
      <c r="AQ22" s="1038"/>
      <c r="AR22" s="1038"/>
      <c r="AS22" s="1039"/>
      <c r="AT22" s="48" t="str">
        <f t="shared" si="13"/>
        <v/>
      </c>
      <c r="BO22" s="1009" t="str">
        <f t="shared" si="3"/>
        <v/>
      </c>
      <c r="BP22" s="1009" t="str">
        <f t="shared" si="4"/>
        <v/>
      </c>
      <c r="BQ22" s="1009" t="str">
        <f t="shared" si="5"/>
        <v/>
      </c>
      <c r="BR22" s="1009" t="str">
        <f t="shared" si="6"/>
        <v/>
      </c>
      <c r="BS22" s="1040"/>
      <c r="BU22" s="1010">
        <f t="shared" si="8"/>
        <v>0</v>
      </c>
      <c r="BV22" s="1010">
        <f t="shared" si="9"/>
        <v>0</v>
      </c>
      <c r="BW22" s="1010">
        <f t="shared" si="10"/>
        <v>0</v>
      </c>
      <c r="BX22" s="1010">
        <f t="shared" si="11"/>
        <v>0</v>
      </c>
      <c r="BY22" s="1041"/>
    </row>
    <row r="23" spans="1:77" ht="15" customHeight="1">
      <c r="A23" s="1028" t="s">
        <v>508</v>
      </c>
      <c r="B23" s="1043">
        <f t="shared" si="1"/>
        <v>0</v>
      </c>
      <c r="C23" s="1044">
        <f t="shared" si="14"/>
        <v>0</v>
      </c>
      <c r="D23" s="1032">
        <f t="shared" si="15"/>
        <v>0</v>
      </c>
      <c r="E23" s="1045"/>
      <c r="F23" s="1046"/>
      <c r="G23" s="1045"/>
      <c r="H23" s="1046"/>
      <c r="I23" s="1045"/>
      <c r="J23" s="1034"/>
      <c r="K23" s="1030"/>
      <c r="L23" s="1034"/>
      <c r="M23" s="1045"/>
      <c r="N23" s="1034"/>
      <c r="O23" s="1045"/>
      <c r="P23" s="1034"/>
      <c r="Q23" s="1045"/>
      <c r="R23" s="1034"/>
      <c r="S23" s="1045"/>
      <c r="T23" s="1034"/>
      <c r="U23" s="1045"/>
      <c r="V23" s="1034"/>
      <c r="W23" s="1045"/>
      <c r="X23" s="1034"/>
      <c r="Y23" s="1045"/>
      <c r="Z23" s="1034"/>
      <c r="AA23" s="1045"/>
      <c r="AB23" s="1034"/>
      <c r="AC23" s="1045"/>
      <c r="AD23" s="1034"/>
      <c r="AE23" s="1045"/>
      <c r="AF23" s="1034"/>
      <c r="AG23" s="1045"/>
      <c r="AH23" s="1034"/>
      <c r="AI23" s="1045"/>
      <c r="AJ23" s="1034"/>
      <c r="AK23" s="1045"/>
      <c r="AL23" s="1034"/>
      <c r="AM23" s="1047"/>
      <c r="AN23" s="1042"/>
      <c r="AO23" s="1037"/>
      <c r="AP23" s="1038"/>
      <c r="AQ23" s="1038"/>
      <c r="AR23" s="1038"/>
      <c r="AS23" s="1039"/>
      <c r="AT23" s="48" t="str">
        <f t="shared" si="13"/>
        <v/>
      </c>
      <c r="BO23" s="1009" t="str">
        <f t="shared" si="3"/>
        <v/>
      </c>
      <c r="BP23" s="1009" t="str">
        <f t="shared" si="4"/>
        <v/>
      </c>
      <c r="BQ23" s="1009" t="str">
        <f t="shared" si="5"/>
        <v/>
      </c>
      <c r="BR23" s="1009" t="str">
        <f t="shared" si="6"/>
        <v/>
      </c>
      <c r="BS23" s="1040"/>
      <c r="BU23" s="1010">
        <f t="shared" si="8"/>
        <v>0</v>
      </c>
      <c r="BV23" s="1010">
        <f t="shared" si="9"/>
        <v>0</v>
      </c>
      <c r="BW23" s="1010">
        <f t="shared" si="10"/>
        <v>0</v>
      </c>
      <c r="BX23" s="1010">
        <f t="shared" si="11"/>
        <v>0</v>
      </c>
      <c r="BY23" s="1041"/>
    </row>
    <row r="24" spans="1:77" ht="15" customHeight="1">
      <c r="A24" s="1028" t="s">
        <v>509</v>
      </c>
      <c r="B24" s="1011">
        <f t="shared" si="1"/>
        <v>0</v>
      </c>
      <c r="C24" s="650">
        <f>SUM(G24+I24+K24+M24+O24+Q24+S24+U24+W24+Y24+AA24+AC24+AE24+AG24+AI24+AK24+AM24)</f>
        <v>0</v>
      </c>
      <c r="D24" s="1012">
        <f>SUM(H24+J24+L24+N24+P24+R24+T24+V24+X24+Z24+AB24+AD24+AF24+AH24+AJ24+AL24+AN24)</f>
        <v>0</v>
      </c>
      <c r="E24" s="1016"/>
      <c r="F24" s="1017"/>
      <c r="G24" s="1045"/>
      <c r="H24" s="1046"/>
      <c r="I24" s="1045"/>
      <c r="J24" s="1034"/>
      <c r="K24" s="1030"/>
      <c r="L24" s="1034"/>
      <c r="M24" s="1045"/>
      <c r="N24" s="1034"/>
      <c r="O24" s="1045"/>
      <c r="P24" s="1034"/>
      <c r="Q24" s="1045"/>
      <c r="R24" s="1034"/>
      <c r="S24" s="1045"/>
      <c r="T24" s="1034"/>
      <c r="U24" s="1045"/>
      <c r="V24" s="1034"/>
      <c r="W24" s="1045"/>
      <c r="X24" s="1034"/>
      <c r="Y24" s="1045"/>
      <c r="Z24" s="1034"/>
      <c r="AA24" s="1045"/>
      <c r="AB24" s="1034"/>
      <c r="AC24" s="1045"/>
      <c r="AD24" s="1034"/>
      <c r="AE24" s="1045"/>
      <c r="AF24" s="1034"/>
      <c r="AG24" s="1045"/>
      <c r="AH24" s="1034"/>
      <c r="AI24" s="1045"/>
      <c r="AJ24" s="1034"/>
      <c r="AK24" s="1045"/>
      <c r="AL24" s="1034"/>
      <c r="AM24" s="1047"/>
      <c r="AN24" s="1042"/>
      <c r="AO24" s="1037"/>
      <c r="AP24" s="1038"/>
      <c r="AQ24" s="1038"/>
      <c r="AR24" s="1038"/>
      <c r="AS24" s="1039"/>
      <c r="AT24" s="48" t="str">
        <f t="shared" si="13"/>
        <v/>
      </c>
      <c r="BO24" s="1009" t="str">
        <f t="shared" si="3"/>
        <v/>
      </c>
      <c r="BP24" s="1009" t="str">
        <f t="shared" si="4"/>
        <v/>
      </c>
      <c r="BQ24" s="1009" t="str">
        <f t="shared" si="5"/>
        <v/>
      </c>
      <c r="BR24" s="1009" t="str">
        <f t="shared" si="6"/>
        <v/>
      </c>
      <c r="BS24" s="1040"/>
      <c r="BU24" s="1010">
        <f t="shared" si="8"/>
        <v>0</v>
      </c>
      <c r="BV24" s="1010">
        <f t="shared" si="9"/>
        <v>0</v>
      </c>
      <c r="BW24" s="1010">
        <f t="shared" si="10"/>
        <v>0</v>
      </c>
      <c r="BX24" s="1010">
        <f t="shared" si="11"/>
        <v>0</v>
      </c>
      <c r="BY24" s="1041"/>
    </row>
    <row r="25" spans="1:77" ht="15" customHeight="1">
      <c r="A25" s="1028" t="s">
        <v>510</v>
      </c>
      <c r="B25" s="1011">
        <f t="shared" si="1"/>
        <v>0</v>
      </c>
      <c r="C25" s="650">
        <f>SUM(M25+O25+Q25+S25+U25+W25+Y25+AA25+AC25+AE25+AG25+AI25+AK25+AM25)</f>
        <v>0</v>
      </c>
      <c r="D25" s="1012">
        <f>SUM(N25+P25+R25+T25+V25+X25+Z25+AB25+AD25+AF25+AH25+AJ25+AL25+AN25)</f>
        <v>0</v>
      </c>
      <c r="E25" s="1048"/>
      <c r="F25" s="1033"/>
      <c r="G25" s="1026"/>
      <c r="H25" s="1027"/>
      <c r="I25" s="1026"/>
      <c r="J25" s="1027"/>
      <c r="K25" s="1026"/>
      <c r="L25" s="1027"/>
      <c r="M25" s="1045"/>
      <c r="N25" s="1034"/>
      <c r="O25" s="1045"/>
      <c r="P25" s="1034"/>
      <c r="Q25" s="1045"/>
      <c r="R25" s="1034"/>
      <c r="S25" s="1045"/>
      <c r="T25" s="1034"/>
      <c r="U25" s="1045"/>
      <c r="V25" s="1034"/>
      <c r="W25" s="1045"/>
      <c r="X25" s="1034"/>
      <c r="Y25" s="1045"/>
      <c r="Z25" s="1034"/>
      <c r="AA25" s="1045"/>
      <c r="AB25" s="1034"/>
      <c r="AC25" s="1045"/>
      <c r="AD25" s="1034"/>
      <c r="AE25" s="1045"/>
      <c r="AF25" s="1034"/>
      <c r="AG25" s="1045"/>
      <c r="AH25" s="1034"/>
      <c r="AI25" s="1045"/>
      <c r="AJ25" s="1034"/>
      <c r="AK25" s="1045"/>
      <c r="AL25" s="1034"/>
      <c r="AM25" s="1047"/>
      <c r="AN25" s="1042"/>
      <c r="AO25" s="1037"/>
      <c r="AP25" s="1038"/>
      <c r="AQ25" s="1038"/>
      <c r="AR25" s="1038"/>
      <c r="AS25" s="1039"/>
      <c r="AT25" s="48" t="str">
        <f t="shared" si="13"/>
        <v/>
      </c>
      <c r="BO25" s="1009" t="str">
        <f t="shared" si="3"/>
        <v/>
      </c>
      <c r="BP25" s="1009" t="str">
        <f t="shared" si="4"/>
        <v/>
      </c>
      <c r="BQ25" s="1009" t="str">
        <f t="shared" si="5"/>
        <v/>
      </c>
      <c r="BR25" s="1009" t="str">
        <f t="shared" si="6"/>
        <v/>
      </c>
      <c r="BS25" s="1040"/>
      <c r="BU25" s="1010">
        <f t="shared" si="8"/>
        <v>0</v>
      </c>
      <c r="BV25" s="1010">
        <f t="shared" si="9"/>
        <v>0</v>
      </c>
      <c r="BW25" s="1010">
        <f t="shared" si="10"/>
        <v>0</v>
      </c>
      <c r="BX25" s="1010">
        <f t="shared" si="11"/>
        <v>0</v>
      </c>
      <c r="BY25" s="1041"/>
    </row>
    <row r="26" spans="1:77" ht="15" customHeight="1">
      <c r="A26" s="619" t="s">
        <v>511</v>
      </c>
      <c r="B26" s="593">
        <f t="shared" si="1"/>
        <v>0</v>
      </c>
      <c r="C26" s="1049">
        <f>SUM(E26+G26+I26+K26+M26+O26+Q26+S26+U26+W26+Y26+AA26+AC26+AE26+AG26+AI26+AK26+AM26)</f>
        <v>0</v>
      </c>
      <c r="D26" s="1050">
        <f>SUM(F26+H26+J26+L26+N26+P26+R26+T26+V26+X26+Z26+AB26+AD26+AF26+AH26+AJ26+AL26+AN26)</f>
        <v>0</v>
      </c>
      <c r="E26" s="1051"/>
      <c r="F26" s="1052"/>
      <c r="G26" s="1053"/>
      <c r="H26" s="1054"/>
      <c r="I26" s="1053"/>
      <c r="J26" s="1052"/>
      <c r="K26" s="1055"/>
      <c r="L26" s="1052"/>
      <c r="M26" s="1053"/>
      <c r="N26" s="1052"/>
      <c r="O26" s="1053"/>
      <c r="P26" s="1052"/>
      <c r="Q26" s="1053"/>
      <c r="R26" s="1052"/>
      <c r="S26" s="1053"/>
      <c r="T26" s="1052"/>
      <c r="U26" s="1053"/>
      <c r="V26" s="1052"/>
      <c r="W26" s="1053"/>
      <c r="X26" s="1052"/>
      <c r="Y26" s="1053"/>
      <c r="Z26" s="1052"/>
      <c r="AA26" s="1053"/>
      <c r="AB26" s="1052"/>
      <c r="AC26" s="1053"/>
      <c r="AD26" s="1052"/>
      <c r="AE26" s="1053"/>
      <c r="AF26" s="1052"/>
      <c r="AG26" s="1053"/>
      <c r="AH26" s="1052"/>
      <c r="AI26" s="1053"/>
      <c r="AJ26" s="1052"/>
      <c r="AK26" s="1053"/>
      <c r="AL26" s="1052"/>
      <c r="AM26" s="1056"/>
      <c r="AN26" s="1057"/>
      <c r="AO26" s="1058"/>
      <c r="AP26" s="1059"/>
      <c r="AQ26" s="1059"/>
      <c r="AR26" s="1059"/>
      <c r="AS26" s="1060"/>
      <c r="AT26" s="48" t="str">
        <f t="shared" si="2"/>
        <v/>
      </c>
      <c r="BO26" s="1009" t="str">
        <f t="shared" si="3"/>
        <v/>
      </c>
      <c r="BP26" s="1009" t="str">
        <f t="shared" si="4"/>
        <v/>
      </c>
      <c r="BQ26" s="1009" t="str">
        <f t="shared" si="5"/>
        <v/>
      </c>
      <c r="BR26" s="1009" t="str">
        <f t="shared" si="6"/>
        <v/>
      </c>
      <c r="BS26" s="1009" t="str">
        <f t="shared" si="7"/>
        <v/>
      </c>
      <c r="BU26" s="1010">
        <f t="shared" si="8"/>
        <v>0</v>
      </c>
      <c r="BV26" s="1010">
        <f t="shared" si="9"/>
        <v>0</v>
      </c>
      <c r="BW26" s="1010">
        <f t="shared" si="10"/>
        <v>0</v>
      </c>
      <c r="BX26" s="1010">
        <f t="shared" si="11"/>
        <v>0</v>
      </c>
      <c r="BY26" s="1010">
        <f t="shared" si="12"/>
        <v>0</v>
      </c>
    </row>
    <row r="27" spans="1:77" ht="18" customHeight="1">
      <c r="A27" s="763" t="s">
        <v>512</v>
      </c>
      <c r="B27" s="782"/>
      <c r="C27" s="782"/>
      <c r="D27" s="782"/>
      <c r="E27" s="782"/>
      <c r="F27" s="549"/>
      <c r="G27" s="549" t="s">
        <v>16</v>
      </c>
      <c r="H27" s="1061"/>
      <c r="I27" s="1061"/>
      <c r="J27" s="549"/>
      <c r="K27" s="549"/>
      <c r="L27" s="549"/>
      <c r="M27" s="549"/>
      <c r="N27" s="549"/>
      <c r="O27" s="549"/>
      <c r="P27" s="549"/>
      <c r="Q27" s="549"/>
      <c r="R27" s="549"/>
      <c r="S27" s="549"/>
      <c r="T27" s="549"/>
      <c r="U27" s="549"/>
      <c r="V27" s="549"/>
      <c r="W27" s="549"/>
      <c r="X27" s="549"/>
      <c r="Y27" s="1062"/>
      <c r="Z27" s="1062"/>
      <c r="AA27" s="1062"/>
      <c r="AB27" s="1062"/>
      <c r="AC27" s="1062"/>
      <c r="AD27" s="1062"/>
      <c r="AE27" s="1062"/>
      <c r="AF27" s="1062"/>
      <c r="AG27" s="1062"/>
      <c r="AH27" s="1062"/>
      <c r="AI27" s="1062"/>
      <c r="AJ27" s="1062"/>
      <c r="AK27" s="1062"/>
      <c r="AL27" s="1062"/>
      <c r="AM27" s="1062"/>
      <c r="AN27" s="1062"/>
      <c r="AO27" s="1062"/>
      <c r="AP27" s="624"/>
      <c r="AQ27" s="1063"/>
      <c r="AR27" s="624"/>
      <c r="AS27" s="992"/>
    </row>
    <row r="28" spans="1:77" ht="18.75" customHeight="1">
      <c r="A28" s="5611" t="s">
        <v>41</v>
      </c>
      <c r="B28" s="5642" t="s">
        <v>42</v>
      </c>
      <c r="C28" s="5627"/>
      <c r="D28" s="5624"/>
      <c r="E28" s="5647" t="s">
        <v>115</v>
      </c>
      <c r="F28" s="5649"/>
      <c r="G28" s="5649"/>
      <c r="H28" s="5649"/>
      <c r="I28" s="5649"/>
      <c r="J28" s="5649"/>
      <c r="K28" s="5649"/>
      <c r="L28" s="5649"/>
      <c r="M28" s="5649"/>
      <c r="N28" s="5649"/>
      <c r="O28" s="5649"/>
      <c r="P28" s="5649"/>
      <c r="Q28" s="5649"/>
      <c r="R28" s="5649"/>
      <c r="S28" s="5649"/>
      <c r="T28" s="5649"/>
      <c r="U28" s="5649"/>
      <c r="V28" s="5649"/>
      <c r="W28" s="5649"/>
      <c r="X28" s="5649"/>
      <c r="Y28" s="5649"/>
      <c r="Z28" s="5649"/>
      <c r="AA28" s="5649"/>
      <c r="AB28" s="5649"/>
      <c r="AC28" s="5649"/>
      <c r="AD28" s="5649"/>
      <c r="AE28" s="5649"/>
      <c r="AF28" s="5649"/>
      <c r="AG28" s="5649"/>
      <c r="AH28" s="5649"/>
      <c r="AI28" s="5649"/>
      <c r="AJ28" s="5649"/>
      <c r="AK28" s="5649"/>
      <c r="AL28" s="5649"/>
      <c r="AM28" s="5649"/>
      <c r="AN28" s="5686"/>
      <c r="AO28" s="5657" t="s">
        <v>50</v>
      </c>
      <c r="AP28" s="5613" t="s">
        <v>51</v>
      </c>
      <c r="AQ28" s="5627" t="s">
        <v>513</v>
      </c>
      <c r="AR28" s="5613" t="s">
        <v>514</v>
      </c>
      <c r="AS28" s="5624" t="s">
        <v>49</v>
      </c>
    </row>
    <row r="29" spans="1:77" ht="15.75" customHeight="1">
      <c r="A29" s="5641"/>
      <c r="B29" s="5659"/>
      <c r="C29" s="5731"/>
      <c r="D29" s="5625"/>
      <c r="E29" s="5615" t="s">
        <v>495</v>
      </c>
      <c r="F29" s="5648"/>
      <c r="G29" s="5615" t="s">
        <v>496</v>
      </c>
      <c r="H29" s="5652"/>
      <c r="I29" s="5615" t="s">
        <v>347</v>
      </c>
      <c r="J29" s="5652"/>
      <c r="K29" s="5615" t="s">
        <v>108</v>
      </c>
      <c r="L29" s="5652"/>
      <c r="M29" s="5615" t="s">
        <v>58</v>
      </c>
      <c r="N29" s="5652"/>
      <c r="O29" s="5615" t="s">
        <v>59</v>
      </c>
      <c r="P29" s="5652"/>
      <c r="Q29" s="5615" t="s">
        <v>60</v>
      </c>
      <c r="R29" s="5652"/>
      <c r="S29" s="5615" t="s">
        <v>61</v>
      </c>
      <c r="T29" s="5652"/>
      <c r="U29" s="5615" t="s">
        <v>62</v>
      </c>
      <c r="V29" s="5652"/>
      <c r="W29" s="5615" t="s">
        <v>63</v>
      </c>
      <c r="X29" s="5652"/>
      <c r="Y29" s="5615" t="s">
        <v>64</v>
      </c>
      <c r="Z29" s="5652"/>
      <c r="AA29" s="5615" t="s">
        <v>65</v>
      </c>
      <c r="AB29" s="5652"/>
      <c r="AC29" s="5615" t="s">
        <v>66</v>
      </c>
      <c r="AD29" s="5652"/>
      <c r="AE29" s="5615" t="s">
        <v>67</v>
      </c>
      <c r="AF29" s="5652"/>
      <c r="AG29" s="5615" t="s">
        <v>68</v>
      </c>
      <c r="AH29" s="5652"/>
      <c r="AI29" s="5615" t="s">
        <v>69</v>
      </c>
      <c r="AJ29" s="5652"/>
      <c r="AK29" s="5615" t="s">
        <v>70</v>
      </c>
      <c r="AL29" s="5652"/>
      <c r="AM29" s="5647" t="s">
        <v>497</v>
      </c>
      <c r="AN29" s="5686"/>
      <c r="AO29" s="5665"/>
      <c r="AP29" s="5671"/>
      <c r="AQ29" s="5644"/>
      <c r="AR29" s="5671"/>
      <c r="AS29" s="5645"/>
    </row>
    <row r="30" spans="1:77" ht="40.5" customHeight="1">
      <c r="A30" s="5612"/>
      <c r="B30" s="75" t="s">
        <v>93</v>
      </c>
      <c r="C30" s="196" t="s">
        <v>72</v>
      </c>
      <c r="D30" s="74" t="s">
        <v>73</v>
      </c>
      <c r="E30" s="75" t="s">
        <v>72</v>
      </c>
      <c r="F30" s="62" t="s">
        <v>73</v>
      </c>
      <c r="G30" s="75" t="s">
        <v>72</v>
      </c>
      <c r="H30" s="62" t="s">
        <v>73</v>
      </c>
      <c r="I30" s="75" t="s">
        <v>72</v>
      </c>
      <c r="J30" s="62" t="s">
        <v>73</v>
      </c>
      <c r="K30" s="75" t="s">
        <v>72</v>
      </c>
      <c r="L30" s="62" t="s">
        <v>73</v>
      </c>
      <c r="M30" s="75" t="s">
        <v>72</v>
      </c>
      <c r="N30" s="62" t="s">
        <v>73</v>
      </c>
      <c r="O30" s="75" t="s">
        <v>72</v>
      </c>
      <c r="P30" s="62" t="s">
        <v>73</v>
      </c>
      <c r="Q30" s="75" t="s">
        <v>72</v>
      </c>
      <c r="R30" s="62" t="s">
        <v>73</v>
      </c>
      <c r="S30" s="75" t="s">
        <v>72</v>
      </c>
      <c r="T30" s="62" t="s">
        <v>73</v>
      </c>
      <c r="U30" s="75" t="s">
        <v>72</v>
      </c>
      <c r="V30" s="62" t="s">
        <v>73</v>
      </c>
      <c r="W30" s="75" t="s">
        <v>72</v>
      </c>
      <c r="X30" s="62" t="s">
        <v>73</v>
      </c>
      <c r="Y30" s="75" t="s">
        <v>72</v>
      </c>
      <c r="Z30" s="62" t="s">
        <v>73</v>
      </c>
      <c r="AA30" s="75" t="s">
        <v>72</v>
      </c>
      <c r="AB30" s="62" t="s">
        <v>73</v>
      </c>
      <c r="AC30" s="75" t="s">
        <v>72</v>
      </c>
      <c r="AD30" s="62" t="s">
        <v>73</v>
      </c>
      <c r="AE30" s="75" t="s">
        <v>72</v>
      </c>
      <c r="AF30" s="62" t="s">
        <v>73</v>
      </c>
      <c r="AG30" s="75" t="s">
        <v>72</v>
      </c>
      <c r="AH30" s="62" t="s">
        <v>73</v>
      </c>
      <c r="AI30" s="75" t="s">
        <v>72</v>
      </c>
      <c r="AJ30" s="62" t="s">
        <v>73</v>
      </c>
      <c r="AK30" s="196" t="s">
        <v>72</v>
      </c>
      <c r="AL30" s="62" t="s">
        <v>73</v>
      </c>
      <c r="AM30" s="75" t="s">
        <v>72</v>
      </c>
      <c r="AN30" s="1064" t="s">
        <v>73</v>
      </c>
      <c r="AO30" s="5658"/>
      <c r="AP30" s="5614"/>
      <c r="AQ30" s="5731"/>
      <c r="AR30" s="5614"/>
      <c r="AS30" s="5625"/>
    </row>
    <row r="31" spans="1:77" ht="15" customHeight="1">
      <c r="A31" s="78" t="s">
        <v>112</v>
      </c>
      <c r="B31" s="1065">
        <f t="shared" si="1"/>
        <v>0</v>
      </c>
      <c r="C31" s="644">
        <f t="shared" ref="C31:D34" si="16">SUM(E31+G31+I31+K31+M31+O31+Q31+S31+U31+W31+Y31+AA31+AC31+AE31+AG31+AI31+AK31+AM31)</f>
        <v>0</v>
      </c>
      <c r="D31" s="1002">
        <f t="shared" si="16"/>
        <v>0</v>
      </c>
      <c r="E31" s="1003"/>
      <c r="F31" s="1004"/>
      <c r="G31" s="1003"/>
      <c r="H31" s="1005"/>
      <c r="I31" s="1003"/>
      <c r="J31" s="1005"/>
      <c r="K31" s="1003"/>
      <c r="L31" s="1005"/>
      <c r="M31" s="1003"/>
      <c r="N31" s="1005"/>
      <c r="O31" s="1003"/>
      <c r="P31" s="1005"/>
      <c r="Q31" s="1066"/>
      <c r="R31" s="1005"/>
      <c r="S31" s="1003"/>
      <c r="T31" s="1005"/>
      <c r="U31" s="1003"/>
      <c r="V31" s="1005"/>
      <c r="W31" s="1003"/>
      <c r="X31" s="1005"/>
      <c r="Y31" s="1003"/>
      <c r="Z31" s="1005"/>
      <c r="AA31" s="1003"/>
      <c r="AB31" s="1005"/>
      <c r="AC31" s="1066"/>
      <c r="AD31" s="1005"/>
      <c r="AE31" s="1003"/>
      <c r="AF31" s="1005"/>
      <c r="AG31" s="1066"/>
      <c r="AH31" s="1005"/>
      <c r="AI31" s="1003"/>
      <c r="AJ31" s="1005"/>
      <c r="AK31" s="1066"/>
      <c r="AL31" s="1005"/>
      <c r="AM31" s="1067"/>
      <c r="AN31" s="1068"/>
      <c r="AO31" s="1006"/>
      <c r="AP31" s="1007"/>
      <c r="AQ31" s="1069"/>
      <c r="AR31" s="1007"/>
      <c r="AS31" s="1008"/>
      <c r="AT31" s="48" t="str">
        <f t="shared" si="2"/>
        <v/>
      </c>
      <c r="BO31" s="1009" t="str">
        <f t="shared" ref="BO31:BO48" si="17">IF(AND(B31&gt;0,AO31="")," * No olvide digitar la variable Pueblos originarios. Digite Cero si no tiene.",IF(AO31&gt;B31," * La variable Pueblos originarios No puede ser mayor al Total Ambos Sexos.",""))</f>
        <v/>
      </c>
      <c r="BP31" s="1009" t="str">
        <f t="shared" ref="BP31:BP48" si="18">IF(AND(B31&gt;0,AP31="")," * No olvide digitar la variable Migrantes. Digite Cero si no tiene.",IF(AP31&gt;B31," * La variable Migrantes No puede ser mayor al Total Ambos Sexos.",""))</f>
        <v/>
      </c>
      <c r="BQ31" s="1009" t="str">
        <f t="shared" ref="BQ31:BQ48" si="19">IF(AND(B31&gt;0,AQ31="")," * No olvide digitar la variable Espacios Amigables. Digite Cero si no tiene.",IF(AQ31&gt;B31," * La variable Espacios Amigables No puede ser mayor al Total Ambos Sexos.",""))</f>
        <v/>
      </c>
      <c r="BR31" s="1009" t="str">
        <f t="shared" ref="BR31:BR48" si="20">IF(AND(B31&gt;0,AR31="")," * No olvide digitar la variable SENAME/ Servicio Nacional de Reinserción social Juvenil. Digite Cero si no tiene.",IF(AR31&gt;B31," * La variable SENAME/ Servicio Nacional de Reinserción social Juvenil No puede ser mayor al Total Ambos Sexos.",""))</f>
        <v/>
      </c>
      <c r="BS31" s="1009" t="str">
        <f t="shared" ref="BS31:BS48" si="21">IF(AND(B31&gt;0,AS31="")," * No olvide digitar la variable Servicio Nacional Protección Especializada a la Niñez y Adolescencia. Digite Cero si no tiene.",IF(AS31&gt;B31," * La variable Servicio Nacional Protección Especializada a la Niñez y Adolescencia No puede ser mayor al Total Ambos Sexos.",""))</f>
        <v/>
      </c>
      <c r="BU31" s="1010">
        <f t="shared" si="8"/>
        <v>0</v>
      </c>
      <c r="BV31" s="1010">
        <f t="shared" si="9"/>
        <v>0</v>
      </c>
      <c r="BW31" s="1010">
        <f t="shared" si="10"/>
        <v>0</v>
      </c>
      <c r="BX31" s="1010">
        <f t="shared" si="11"/>
        <v>0</v>
      </c>
      <c r="BY31" s="1010">
        <f t="shared" si="12"/>
        <v>0</v>
      </c>
    </row>
    <row r="32" spans="1:77" ht="15" customHeight="1">
      <c r="A32" s="206" t="s">
        <v>515</v>
      </c>
      <c r="B32" s="1011">
        <f t="shared" si="1"/>
        <v>0</v>
      </c>
      <c r="C32" s="863"/>
      <c r="D32" s="1012">
        <f t="shared" ref="D32:D33" si="22">SUM(F32+H32+J32+L32+N32+P32+R32+T32+V32+X32+Z32+AB32+AD32+AF32+AH32+AJ32+AL32+AN32)</f>
        <v>0</v>
      </c>
      <c r="E32" s="1070"/>
      <c r="F32" s="1014"/>
      <c r="G32" s="1070"/>
      <c r="H32" s="1015"/>
      <c r="I32" s="1070"/>
      <c r="J32" s="1015"/>
      <c r="K32" s="1070"/>
      <c r="L32" s="1015"/>
      <c r="M32" s="1070"/>
      <c r="N32" s="1015"/>
      <c r="O32" s="1070"/>
      <c r="P32" s="1015"/>
      <c r="Q32" s="1071"/>
      <c r="R32" s="1015"/>
      <c r="S32" s="1070"/>
      <c r="T32" s="1015"/>
      <c r="U32" s="1070"/>
      <c r="V32" s="1015"/>
      <c r="W32" s="1070"/>
      <c r="X32" s="1015"/>
      <c r="Y32" s="1070"/>
      <c r="Z32" s="1015"/>
      <c r="AA32" s="1070"/>
      <c r="AB32" s="1015"/>
      <c r="AC32" s="1071"/>
      <c r="AD32" s="1015"/>
      <c r="AE32" s="1070"/>
      <c r="AF32" s="1015"/>
      <c r="AG32" s="1071"/>
      <c r="AH32" s="1015"/>
      <c r="AI32" s="1070"/>
      <c r="AJ32" s="1015"/>
      <c r="AK32" s="1071"/>
      <c r="AL32" s="1015"/>
      <c r="AM32" s="1072"/>
      <c r="AN32" s="1024"/>
      <c r="AO32" s="1073"/>
      <c r="AP32" s="1074"/>
      <c r="AQ32" s="1075"/>
      <c r="AR32" s="1074"/>
      <c r="AS32" s="1076"/>
      <c r="AT32" s="48" t="str">
        <f t="shared" si="2"/>
        <v/>
      </c>
      <c r="BO32" s="1009" t="str">
        <f t="shared" si="17"/>
        <v/>
      </c>
      <c r="BP32" s="1009" t="str">
        <f t="shared" si="18"/>
        <v/>
      </c>
      <c r="BQ32" s="1009" t="str">
        <f t="shared" si="19"/>
        <v/>
      </c>
      <c r="BR32" s="1009" t="str">
        <f t="shared" si="20"/>
        <v/>
      </c>
      <c r="BS32" s="1009" t="str">
        <f t="shared" si="21"/>
        <v/>
      </c>
      <c r="BU32" s="1010">
        <f t="shared" si="8"/>
        <v>0</v>
      </c>
      <c r="BV32" s="1010">
        <f t="shared" si="9"/>
        <v>0</v>
      </c>
      <c r="BW32" s="1010">
        <f t="shared" si="10"/>
        <v>0</v>
      </c>
      <c r="BX32" s="1010">
        <f t="shared" si="11"/>
        <v>0</v>
      </c>
      <c r="BY32" s="1010">
        <f t="shared" si="12"/>
        <v>0</v>
      </c>
    </row>
    <row r="33" spans="1:77" ht="15" customHeight="1">
      <c r="A33" s="612" t="s">
        <v>516</v>
      </c>
      <c r="B33" s="1011">
        <f t="shared" si="1"/>
        <v>0</v>
      </c>
      <c r="C33" s="863"/>
      <c r="D33" s="1032">
        <f t="shared" si="22"/>
        <v>0</v>
      </c>
      <c r="E33" s="1070"/>
      <c r="F33" s="1014"/>
      <c r="G33" s="1070"/>
      <c r="H33" s="1015"/>
      <c r="I33" s="1070"/>
      <c r="J33" s="1015"/>
      <c r="K33" s="1070"/>
      <c r="L33" s="1015"/>
      <c r="M33" s="1070"/>
      <c r="N33" s="1015"/>
      <c r="O33" s="1070"/>
      <c r="P33" s="1015"/>
      <c r="Q33" s="1071"/>
      <c r="R33" s="1015"/>
      <c r="S33" s="1070"/>
      <c r="T33" s="1015"/>
      <c r="U33" s="1070"/>
      <c r="V33" s="1015"/>
      <c r="W33" s="1070"/>
      <c r="X33" s="1015"/>
      <c r="Y33" s="1070"/>
      <c r="Z33" s="1015"/>
      <c r="AA33" s="1070"/>
      <c r="AB33" s="1015"/>
      <c r="AC33" s="1071"/>
      <c r="AD33" s="1015"/>
      <c r="AE33" s="1070"/>
      <c r="AF33" s="1015"/>
      <c r="AG33" s="1071"/>
      <c r="AH33" s="1015"/>
      <c r="AI33" s="1070"/>
      <c r="AJ33" s="1015"/>
      <c r="AK33" s="1071"/>
      <c r="AL33" s="1015"/>
      <c r="AM33" s="1072"/>
      <c r="AN33" s="1024"/>
      <c r="AO33" s="1073"/>
      <c r="AP33" s="1074"/>
      <c r="AQ33" s="1075"/>
      <c r="AR33" s="1074"/>
      <c r="AS33" s="1076"/>
      <c r="AT33" s="48" t="str">
        <f t="shared" si="2"/>
        <v/>
      </c>
      <c r="BO33" s="1009" t="str">
        <f t="shared" si="17"/>
        <v/>
      </c>
      <c r="BP33" s="1009" t="str">
        <f t="shared" si="18"/>
        <v/>
      </c>
      <c r="BQ33" s="1009" t="str">
        <f t="shared" si="19"/>
        <v/>
      </c>
      <c r="BR33" s="1009" t="str">
        <f t="shared" si="20"/>
        <v/>
      </c>
      <c r="BS33" s="1009" t="str">
        <f t="shared" si="21"/>
        <v/>
      </c>
      <c r="BU33" s="1010">
        <f t="shared" si="8"/>
        <v>0</v>
      </c>
      <c r="BV33" s="1010">
        <f t="shared" si="9"/>
        <v>0</v>
      </c>
      <c r="BW33" s="1010">
        <f t="shared" si="10"/>
        <v>0</v>
      </c>
      <c r="BX33" s="1010">
        <f t="shared" si="11"/>
        <v>0</v>
      </c>
      <c r="BY33" s="1010">
        <f t="shared" si="12"/>
        <v>0</v>
      </c>
    </row>
    <row r="34" spans="1:77" ht="15" customHeight="1">
      <c r="A34" s="612" t="s">
        <v>517</v>
      </c>
      <c r="B34" s="1011">
        <f t="shared" si="1"/>
        <v>0</v>
      </c>
      <c r="C34" s="650">
        <f t="shared" si="16"/>
        <v>0</v>
      </c>
      <c r="D34" s="1032">
        <f t="shared" si="16"/>
        <v>0</v>
      </c>
      <c r="E34" s="1013"/>
      <c r="F34" s="1014"/>
      <c r="G34" s="1013"/>
      <c r="H34" s="1015"/>
      <c r="I34" s="1013"/>
      <c r="J34" s="1015"/>
      <c r="K34" s="1013"/>
      <c r="L34" s="1015"/>
      <c r="M34" s="1013"/>
      <c r="N34" s="1015"/>
      <c r="O34" s="1013"/>
      <c r="P34" s="1015"/>
      <c r="Q34" s="1077"/>
      <c r="R34" s="1015"/>
      <c r="S34" s="1013"/>
      <c r="T34" s="1015"/>
      <c r="U34" s="1013"/>
      <c r="V34" s="1015"/>
      <c r="W34" s="1013"/>
      <c r="X34" s="1015"/>
      <c r="Y34" s="1013"/>
      <c r="Z34" s="1015"/>
      <c r="AA34" s="1013"/>
      <c r="AB34" s="1015"/>
      <c r="AC34" s="1077"/>
      <c r="AD34" s="1015"/>
      <c r="AE34" s="1013"/>
      <c r="AF34" s="1015"/>
      <c r="AG34" s="1077"/>
      <c r="AH34" s="1015"/>
      <c r="AI34" s="1013"/>
      <c r="AJ34" s="1015"/>
      <c r="AK34" s="1077"/>
      <c r="AL34" s="1015"/>
      <c r="AM34" s="1078"/>
      <c r="AN34" s="1024"/>
      <c r="AO34" s="1019"/>
      <c r="AP34" s="1020"/>
      <c r="AQ34" s="1079"/>
      <c r="AR34" s="1020"/>
      <c r="AS34" s="1021"/>
      <c r="AT34" s="48" t="str">
        <f t="shared" si="2"/>
        <v/>
      </c>
      <c r="BO34" s="1009" t="str">
        <f t="shared" si="17"/>
        <v/>
      </c>
      <c r="BP34" s="1009" t="str">
        <f t="shared" si="18"/>
        <v/>
      </c>
      <c r="BQ34" s="1009" t="str">
        <f t="shared" si="19"/>
        <v/>
      </c>
      <c r="BR34" s="1009" t="str">
        <f t="shared" si="20"/>
        <v/>
      </c>
      <c r="BS34" s="1009" t="str">
        <f t="shared" si="21"/>
        <v/>
      </c>
      <c r="BU34" s="1010">
        <f t="shared" si="8"/>
        <v>0</v>
      </c>
      <c r="BV34" s="1010">
        <f t="shared" si="9"/>
        <v>0</v>
      </c>
      <c r="BW34" s="1010">
        <f t="shared" si="10"/>
        <v>0</v>
      </c>
      <c r="BX34" s="1010">
        <f t="shared" si="11"/>
        <v>0</v>
      </c>
      <c r="BY34" s="1010">
        <f t="shared" si="12"/>
        <v>0</v>
      </c>
    </row>
    <row r="35" spans="1:77" ht="15" customHeight="1">
      <c r="A35" s="612" t="s">
        <v>518</v>
      </c>
      <c r="B35" s="1011">
        <f t="shared" si="1"/>
        <v>0</v>
      </c>
      <c r="C35" s="650">
        <f>SUM(O35+Q35+S35+U35+W35+Y35+AA35)</f>
        <v>0</v>
      </c>
      <c r="D35" s="1032">
        <f>SUM(P35+R35+T35+V35+X35+Z35+AB35)</f>
        <v>0</v>
      </c>
      <c r="E35" s="1026"/>
      <c r="F35" s="1027"/>
      <c r="G35" s="1026"/>
      <c r="H35" s="1033"/>
      <c r="I35" s="1026"/>
      <c r="J35" s="1033"/>
      <c r="K35" s="1026"/>
      <c r="L35" s="1033"/>
      <c r="M35" s="1026"/>
      <c r="N35" s="1033"/>
      <c r="O35" s="1013"/>
      <c r="P35" s="1015"/>
      <c r="Q35" s="1077"/>
      <c r="R35" s="1015"/>
      <c r="S35" s="1013"/>
      <c r="T35" s="1015"/>
      <c r="U35" s="1013"/>
      <c r="V35" s="1015"/>
      <c r="W35" s="1013"/>
      <c r="X35" s="1015"/>
      <c r="Y35" s="1013"/>
      <c r="Z35" s="1015"/>
      <c r="AA35" s="1013"/>
      <c r="AB35" s="1034"/>
      <c r="AC35" s="1080"/>
      <c r="AD35" s="1033"/>
      <c r="AE35" s="1026"/>
      <c r="AF35" s="1033"/>
      <c r="AG35" s="1080"/>
      <c r="AH35" s="1033"/>
      <c r="AI35" s="1026"/>
      <c r="AJ35" s="1033"/>
      <c r="AK35" s="1080"/>
      <c r="AL35" s="1033"/>
      <c r="AM35" s="1081"/>
      <c r="AN35" s="1018"/>
      <c r="AO35" s="1019"/>
      <c r="AP35" s="1020"/>
      <c r="AQ35" s="1079"/>
      <c r="AR35" s="1020"/>
      <c r="AS35" s="1021"/>
      <c r="AT35" s="48" t="str">
        <f t="shared" si="2"/>
        <v/>
      </c>
      <c r="BO35" s="1009" t="str">
        <f t="shared" si="17"/>
        <v/>
      </c>
      <c r="BP35" s="1009" t="str">
        <f t="shared" si="18"/>
        <v/>
      </c>
      <c r="BQ35" s="1009" t="str">
        <f t="shared" si="19"/>
        <v/>
      </c>
      <c r="BR35" s="1009" t="str">
        <f t="shared" si="20"/>
        <v/>
      </c>
      <c r="BS35" s="1009" t="str">
        <f t="shared" si="21"/>
        <v/>
      </c>
      <c r="BU35" s="1010">
        <f t="shared" si="8"/>
        <v>0</v>
      </c>
      <c r="BV35" s="1010">
        <f t="shared" si="9"/>
        <v>0</v>
      </c>
      <c r="BW35" s="1010">
        <f t="shared" si="10"/>
        <v>0</v>
      </c>
      <c r="BX35" s="1010">
        <f t="shared" si="11"/>
        <v>0</v>
      </c>
      <c r="BY35" s="1010">
        <f t="shared" si="12"/>
        <v>0</v>
      </c>
    </row>
    <row r="36" spans="1:77" ht="15" customHeight="1">
      <c r="A36" s="612" t="s">
        <v>519</v>
      </c>
      <c r="B36" s="1011">
        <f t="shared" si="1"/>
        <v>0</v>
      </c>
      <c r="C36" s="650">
        <f>SUM(E36+G36+I36+K36+M36+O36+Q36+S36+U36+W36+Y36+AA36+AC36+AE36+AG36+AI36+AK36+AM36)</f>
        <v>0</v>
      </c>
      <c r="D36" s="1032">
        <f>SUM(F36+H36+J36+L36+N36+P36+R36+T36+V36+X36+Z36+AB36+AD36+AF36+AH36+AJ36+AL36+AN36)</f>
        <v>0</v>
      </c>
      <c r="E36" s="1013"/>
      <c r="F36" s="1014"/>
      <c r="G36" s="1013"/>
      <c r="H36" s="1015"/>
      <c r="I36" s="1013"/>
      <c r="J36" s="1015"/>
      <c r="K36" s="1013"/>
      <c r="L36" s="1015"/>
      <c r="M36" s="1013"/>
      <c r="N36" s="1015"/>
      <c r="O36" s="1013"/>
      <c r="P36" s="1015"/>
      <c r="Q36" s="1077"/>
      <c r="R36" s="1015"/>
      <c r="S36" s="1013"/>
      <c r="T36" s="1015"/>
      <c r="U36" s="1013"/>
      <c r="V36" s="1015"/>
      <c r="W36" s="1013"/>
      <c r="X36" s="1015"/>
      <c r="Y36" s="1013"/>
      <c r="Z36" s="1015"/>
      <c r="AA36" s="1013"/>
      <c r="AB36" s="1015"/>
      <c r="AC36" s="1077"/>
      <c r="AD36" s="1015"/>
      <c r="AE36" s="1013"/>
      <c r="AF36" s="1015"/>
      <c r="AG36" s="1077"/>
      <c r="AH36" s="1015"/>
      <c r="AI36" s="1013"/>
      <c r="AJ36" s="1015"/>
      <c r="AK36" s="1077"/>
      <c r="AL36" s="1015"/>
      <c r="AM36" s="1078"/>
      <c r="AN36" s="1024"/>
      <c r="AO36" s="1073"/>
      <c r="AP36" s="1074"/>
      <c r="AQ36" s="1075"/>
      <c r="AR36" s="1074"/>
      <c r="AS36" s="1076"/>
      <c r="AT36" s="48" t="str">
        <f t="shared" si="2"/>
        <v/>
      </c>
      <c r="BO36" s="1009" t="str">
        <f t="shared" si="17"/>
        <v/>
      </c>
      <c r="BP36" s="1009" t="str">
        <f t="shared" si="18"/>
        <v/>
      </c>
      <c r="BQ36" s="1009" t="str">
        <f t="shared" si="19"/>
        <v/>
      </c>
      <c r="BR36" s="1009" t="str">
        <f t="shared" si="20"/>
        <v/>
      </c>
      <c r="BS36" s="1009" t="str">
        <f t="shared" si="21"/>
        <v/>
      </c>
      <c r="BU36" s="1010">
        <f t="shared" si="8"/>
        <v>0</v>
      </c>
      <c r="BV36" s="1010">
        <f t="shared" si="9"/>
        <v>0</v>
      </c>
      <c r="BW36" s="1010">
        <f t="shared" si="10"/>
        <v>0</v>
      </c>
      <c r="BX36" s="1010">
        <f t="shared" si="11"/>
        <v>0</v>
      </c>
      <c r="BY36" s="1010">
        <f t="shared" si="12"/>
        <v>0</v>
      </c>
    </row>
    <row r="37" spans="1:77" ht="15" customHeight="1">
      <c r="A37" s="612" t="s">
        <v>520</v>
      </c>
      <c r="B37" s="1011">
        <f t="shared" si="1"/>
        <v>0</v>
      </c>
      <c r="C37" s="650">
        <f>SUM(K37+M37+O37+Q37+S37+U37+W37+Y37+AA37+AC37+AE37+AG37+AI37+AK37+AM37)</f>
        <v>0</v>
      </c>
      <c r="D37" s="1032">
        <f t="shared" ref="D37:D38" si="23">SUM(L37+N37+P37+R37+T37+V37+X37+Z37+AB37+AD37+AF37+AH37+AJ37+AL37+AN37)</f>
        <v>0</v>
      </c>
      <c r="E37" s="1070"/>
      <c r="F37" s="1082"/>
      <c r="G37" s="1070"/>
      <c r="H37" s="1083"/>
      <c r="I37" s="1070"/>
      <c r="J37" s="1083"/>
      <c r="K37" s="1013"/>
      <c r="L37" s="1015"/>
      <c r="M37" s="1013"/>
      <c r="N37" s="1015"/>
      <c r="O37" s="1013"/>
      <c r="P37" s="1015"/>
      <c r="Q37" s="1077"/>
      <c r="R37" s="1015"/>
      <c r="S37" s="1013"/>
      <c r="T37" s="1015"/>
      <c r="U37" s="1013"/>
      <c r="V37" s="1015"/>
      <c r="W37" s="1013"/>
      <c r="X37" s="1015"/>
      <c r="Y37" s="1013"/>
      <c r="Z37" s="1015"/>
      <c r="AA37" s="1013"/>
      <c r="AB37" s="1015"/>
      <c r="AC37" s="1077"/>
      <c r="AD37" s="1015"/>
      <c r="AE37" s="1013"/>
      <c r="AF37" s="1015"/>
      <c r="AG37" s="1077"/>
      <c r="AH37" s="1015"/>
      <c r="AI37" s="1013"/>
      <c r="AJ37" s="1015"/>
      <c r="AK37" s="1077"/>
      <c r="AL37" s="1015"/>
      <c r="AM37" s="1078"/>
      <c r="AN37" s="1024"/>
      <c r="AO37" s="1073"/>
      <c r="AP37" s="1074"/>
      <c r="AQ37" s="1075"/>
      <c r="AR37" s="1074"/>
      <c r="AS37" s="1076"/>
      <c r="AT37" s="48" t="str">
        <f t="shared" si="2"/>
        <v/>
      </c>
      <c r="BO37" s="1009" t="str">
        <f t="shared" si="17"/>
        <v/>
      </c>
      <c r="BP37" s="1009" t="str">
        <f t="shared" si="18"/>
        <v/>
      </c>
      <c r="BQ37" s="1009" t="str">
        <f t="shared" si="19"/>
        <v/>
      </c>
      <c r="BR37" s="1009" t="str">
        <f t="shared" si="20"/>
        <v/>
      </c>
      <c r="BS37" s="1009" t="str">
        <f t="shared" si="21"/>
        <v/>
      </c>
      <c r="BU37" s="1010">
        <f t="shared" si="8"/>
        <v>0</v>
      </c>
      <c r="BV37" s="1010">
        <f t="shared" si="9"/>
        <v>0</v>
      </c>
      <c r="BW37" s="1010">
        <f t="shared" si="10"/>
        <v>0</v>
      </c>
      <c r="BX37" s="1010">
        <f t="shared" si="11"/>
        <v>0</v>
      </c>
      <c r="BY37" s="1010">
        <f t="shared" si="12"/>
        <v>0</v>
      </c>
    </row>
    <row r="38" spans="1:77" ht="15" customHeight="1">
      <c r="A38" s="612" t="s">
        <v>521</v>
      </c>
      <c r="B38" s="1084">
        <f t="shared" si="1"/>
        <v>0</v>
      </c>
      <c r="C38" s="863"/>
      <c r="D38" s="1032">
        <f t="shared" si="23"/>
        <v>0</v>
      </c>
      <c r="E38" s="1070"/>
      <c r="F38" s="1082"/>
      <c r="G38" s="1070"/>
      <c r="H38" s="1083"/>
      <c r="I38" s="1070"/>
      <c r="J38" s="1083"/>
      <c r="K38" s="1070"/>
      <c r="L38" s="1015"/>
      <c r="M38" s="1070"/>
      <c r="N38" s="1015"/>
      <c r="O38" s="1070"/>
      <c r="P38" s="1015"/>
      <c r="Q38" s="1071"/>
      <c r="R38" s="1015"/>
      <c r="S38" s="1070"/>
      <c r="T38" s="1015"/>
      <c r="U38" s="1070"/>
      <c r="V38" s="1015"/>
      <c r="W38" s="1070"/>
      <c r="X38" s="1015"/>
      <c r="Y38" s="1070"/>
      <c r="Z38" s="1015"/>
      <c r="AA38" s="1070"/>
      <c r="AB38" s="1015"/>
      <c r="AC38" s="1071"/>
      <c r="AD38" s="1015"/>
      <c r="AE38" s="1070"/>
      <c r="AF38" s="1015"/>
      <c r="AG38" s="1071"/>
      <c r="AH38" s="1015"/>
      <c r="AI38" s="1070"/>
      <c r="AJ38" s="1015"/>
      <c r="AK38" s="1071"/>
      <c r="AL38" s="1015"/>
      <c r="AM38" s="1072"/>
      <c r="AN38" s="1024"/>
      <c r="AO38" s="1073"/>
      <c r="AP38" s="1074"/>
      <c r="AQ38" s="1075"/>
      <c r="AR38" s="1074"/>
      <c r="AS38" s="1076"/>
      <c r="AT38" s="48" t="str">
        <f t="shared" si="2"/>
        <v/>
      </c>
      <c r="BO38" s="1009" t="str">
        <f t="shared" si="17"/>
        <v/>
      </c>
      <c r="BP38" s="1009" t="str">
        <f t="shared" si="18"/>
        <v/>
      </c>
      <c r="BQ38" s="1009" t="str">
        <f t="shared" si="19"/>
        <v/>
      </c>
      <c r="BR38" s="1009" t="str">
        <f t="shared" si="20"/>
        <v/>
      </c>
      <c r="BS38" s="1009" t="str">
        <f t="shared" si="21"/>
        <v/>
      </c>
      <c r="BU38" s="1010">
        <f t="shared" si="8"/>
        <v>0</v>
      </c>
      <c r="BV38" s="1010">
        <f t="shared" si="9"/>
        <v>0</v>
      </c>
      <c r="BW38" s="1010">
        <f t="shared" si="10"/>
        <v>0</v>
      </c>
      <c r="BX38" s="1010">
        <f t="shared" si="11"/>
        <v>0</v>
      </c>
      <c r="BY38" s="1010">
        <f t="shared" si="12"/>
        <v>0</v>
      </c>
    </row>
    <row r="39" spans="1:77" ht="15" customHeight="1">
      <c r="A39" s="1028" t="s">
        <v>522</v>
      </c>
      <c r="B39" s="1011">
        <f t="shared" si="1"/>
        <v>0</v>
      </c>
      <c r="C39" s="650">
        <f t="shared" ref="C39:D46" si="24">SUM(E39+G39+I39+K39+M39+O39+Q39+S39+U39+W39+Y39+AA39+AC39+AE39+AG39+AI39+AK39+AM39)</f>
        <v>0</v>
      </c>
      <c r="D39" s="1012">
        <f t="shared" si="24"/>
        <v>0</v>
      </c>
      <c r="E39" s="1013"/>
      <c r="F39" s="1014"/>
      <c r="G39" s="1013"/>
      <c r="H39" s="1015"/>
      <c r="I39" s="1013"/>
      <c r="J39" s="1015"/>
      <c r="K39" s="1013"/>
      <c r="L39" s="1015"/>
      <c r="M39" s="1013"/>
      <c r="N39" s="1015"/>
      <c r="O39" s="1013"/>
      <c r="P39" s="1015"/>
      <c r="Q39" s="1077"/>
      <c r="R39" s="1015"/>
      <c r="S39" s="1013"/>
      <c r="T39" s="1015"/>
      <c r="U39" s="1013"/>
      <c r="V39" s="1015"/>
      <c r="W39" s="1013"/>
      <c r="X39" s="1015"/>
      <c r="Y39" s="1013"/>
      <c r="Z39" s="1015"/>
      <c r="AA39" s="1013"/>
      <c r="AB39" s="1015"/>
      <c r="AC39" s="1077"/>
      <c r="AD39" s="1015"/>
      <c r="AE39" s="1013"/>
      <c r="AF39" s="1015"/>
      <c r="AG39" s="1077"/>
      <c r="AH39" s="1015"/>
      <c r="AI39" s="1013"/>
      <c r="AJ39" s="1015"/>
      <c r="AK39" s="1077"/>
      <c r="AL39" s="1015"/>
      <c r="AM39" s="1078"/>
      <c r="AN39" s="1024"/>
      <c r="AO39" s="1019"/>
      <c r="AP39" s="1020"/>
      <c r="AQ39" s="1079"/>
      <c r="AR39" s="1020"/>
      <c r="AS39" s="1021"/>
      <c r="AT39" s="48" t="str">
        <f t="shared" si="2"/>
        <v/>
      </c>
      <c r="BO39" s="1009" t="str">
        <f t="shared" si="17"/>
        <v/>
      </c>
      <c r="BP39" s="1009" t="str">
        <f t="shared" si="18"/>
        <v/>
      </c>
      <c r="BQ39" s="1009" t="str">
        <f t="shared" si="19"/>
        <v/>
      </c>
      <c r="BR39" s="1009" t="str">
        <f t="shared" si="20"/>
        <v/>
      </c>
      <c r="BS39" s="1009" t="str">
        <f t="shared" si="21"/>
        <v/>
      </c>
      <c r="BU39" s="1010">
        <f t="shared" si="8"/>
        <v>0</v>
      </c>
      <c r="BV39" s="1010">
        <f t="shared" si="9"/>
        <v>0</v>
      </c>
      <c r="BW39" s="1010">
        <f t="shared" si="10"/>
        <v>0</v>
      </c>
      <c r="BX39" s="1010">
        <f t="shared" si="11"/>
        <v>0</v>
      </c>
      <c r="BY39" s="1010">
        <f t="shared" si="12"/>
        <v>0</v>
      </c>
    </row>
    <row r="40" spans="1:77" ht="15" customHeight="1">
      <c r="A40" s="1028" t="s">
        <v>523</v>
      </c>
      <c r="B40" s="1011">
        <f t="shared" si="1"/>
        <v>0</v>
      </c>
      <c r="C40" s="650">
        <f t="shared" si="24"/>
        <v>0</v>
      </c>
      <c r="D40" s="1012">
        <f t="shared" ref="D40:D41" si="25">SUM(F40+H40+J40+L40+N40+P40+R40+T40+V40+X40+Z40+AB40+AD40+AF40+AH40+AJ40+AL40+AN40)</f>
        <v>0</v>
      </c>
      <c r="E40" s="1013"/>
      <c r="F40" s="1014"/>
      <c r="G40" s="1013"/>
      <c r="H40" s="1015"/>
      <c r="I40" s="1013"/>
      <c r="J40" s="1015"/>
      <c r="K40" s="1013"/>
      <c r="L40" s="1015"/>
      <c r="M40" s="1013"/>
      <c r="N40" s="1015"/>
      <c r="O40" s="1013"/>
      <c r="P40" s="1015"/>
      <c r="Q40" s="1077"/>
      <c r="R40" s="1015"/>
      <c r="S40" s="1013"/>
      <c r="T40" s="1015"/>
      <c r="U40" s="1013"/>
      <c r="V40" s="1015"/>
      <c r="W40" s="1013"/>
      <c r="X40" s="1015"/>
      <c r="Y40" s="1013"/>
      <c r="Z40" s="1015"/>
      <c r="AA40" s="1013"/>
      <c r="AB40" s="1015"/>
      <c r="AC40" s="1077"/>
      <c r="AD40" s="1015"/>
      <c r="AE40" s="1013"/>
      <c r="AF40" s="1015"/>
      <c r="AG40" s="1077"/>
      <c r="AH40" s="1015"/>
      <c r="AI40" s="1013"/>
      <c r="AJ40" s="1015"/>
      <c r="AK40" s="1077"/>
      <c r="AL40" s="1015"/>
      <c r="AM40" s="1078"/>
      <c r="AN40" s="1024"/>
      <c r="AO40" s="1019"/>
      <c r="AP40" s="1020"/>
      <c r="AQ40" s="1079"/>
      <c r="AR40" s="1020"/>
      <c r="AS40" s="1021"/>
      <c r="AT40" s="48" t="str">
        <f t="shared" si="2"/>
        <v/>
      </c>
      <c r="BO40" s="1009" t="str">
        <f t="shared" si="17"/>
        <v/>
      </c>
      <c r="BP40" s="1009" t="str">
        <f t="shared" si="18"/>
        <v/>
      </c>
      <c r="BQ40" s="1009" t="str">
        <f t="shared" si="19"/>
        <v/>
      </c>
      <c r="BR40" s="1009" t="str">
        <f t="shared" si="20"/>
        <v/>
      </c>
      <c r="BS40" s="1009" t="str">
        <f t="shared" si="21"/>
        <v/>
      </c>
      <c r="BU40" s="1010">
        <f t="shared" si="8"/>
        <v>0</v>
      </c>
      <c r="BV40" s="1010">
        <f t="shared" si="9"/>
        <v>0</v>
      </c>
      <c r="BW40" s="1010">
        <f t="shared" si="10"/>
        <v>0</v>
      </c>
      <c r="BX40" s="1010">
        <f t="shared" si="11"/>
        <v>0</v>
      </c>
      <c r="BY40" s="1010">
        <f t="shared" si="12"/>
        <v>0</v>
      </c>
    </row>
    <row r="41" spans="1:77" ht="15" customHeight="1">
      <c r="A41" s="1028" t="s">
        <v>524</v>
      </c>
      <c r="B41" s="1011">
        <f t="shared" si="1"/>
        <v>0</v>
      </c>
      <c r="C41" s="650">
        <f t="shared" si="24"/>
        <v>0</v>
      </c>
      <c r="D41" s="1012">
        <f t="shared" si="25"/>
        <v>0</v>
      </c>
      <c r="E41" s="1013"/>
      <c r="F41" s="1014"/>
      <c r="G41" s="1013"/>
      <c r="H41" s="1015"/>
      <c r="I41" s="1013"/>
      <c r="J41" s="1015"/>
      <c r="K41" s="1013"/>
      <c r="L41" s="1015"/>
      <c r="M41" s="1013"/>
      <c r="N41" s="1015"/>
      <c r="O41" s="1013"/>
      <c r="P41" s="1015"/>
      <c r="Q41" s="1077"/>
      <c r="R41" s="1015"/>
      <c r="S41" s="1013"/>
      <c r="T41" s="1015"/>
      <c r="U41" s="1013"/>
      <c r="V41" s="1015"/>
      <c r="W41" s="1013"/>
      <c r="X41" s="1015"/>
      <c r="Y41" s="1013"/>
      <c r="Z41" s="1015"/>
      <c r="AA41" s="1013"/>
      <c r="AB41" s="1015"/>
      <c r="AC41" s="1077"/>
      <c r="AD41" s="1015"/>
      <c r="AE41" s="1013"/>
      <c r="AF41" s="1015"/>
      <c r="AG41" s="1077"/>
      <c r="AH41" s="1015"/>
      <c r="AI41" s="1013"/>
      <c r="AJ41" s="1015"/>
      <c r="AK41" s="1077"/>
      <c r="AL41" s="1015"/>
      <c r="AM41" s="1078"/>
      <c r="AN41" s="1024"/>
      <c r="AO41" s="1019"/>
      <c r="AP41" s="1020"/>
      <c r="AQ41" s="1079"/>
      <c r="AR41" s="1020"/>
      <c r="AS41" s="1021"/>
      <c r="AT41" s="48" t="str">
        <f t="shared" si="2"/>
        <v/>
      </c>
      <c r="BO41" s="1009" t="str">
        <f t="shared" si="17"/>
        <v/>
      </c>
      <c r="BP41" s="1009" t="str">
        <f t="shared" si="18"/>
        <v/>
      </c>
      <c r="BQ41" s="1009" t="str">
        <f t="shared" si="19"/>
        <v/>
      </c>
      <c r="BR41" s="1009" t="str">
        <f t="shared" si="20"/>
        <v/>
      </c>
      <c r="BS41" s="1009" t="str">
        <f t="shared" si="21"/>
        <v/>
      </c>
      <c r="BU41" s="1010">
        <f t="shared" si="8"/>
        <v>0</v>
      </c>
      <c r="BV41" s="1010">
        <f t="shared" si="9"/>
        <v>0</v>
      </c>
      <c r="BW41" s="1010">
        <f t="shared" si="10"/>
        <v>0</v>
      </c>
      <c r="BX41" s="1010">
        <f t="shared" si="11"/>
        <v>0</v>
      </c>
      <c r="BY41" s="1010">
        <f t="shared" si="12"/>
        <v>0</v>
      </c>
    </row>
    <row r="42" spans="1:77" ht="15" customHeight="1">
      <c r="A42" s="1028" t="s">
        <v>525</v>
      </c>
      <c r="B42" s="1011">
        <f t="shared" si="1"/>
        <v>0</v>
      </c>
      <c r="C42" s="650">
        <f t="shared" si="24"/>
        <v>0</v>
      </c>
      <c r="D42" s="1012">
        <f t="shared" si="24"/>
        <v>0</v>
      </c>
      <c r="E42" s="1013"/>
      <c r="F42" s="1014"/>
      <c r="G42" s="1013"/>
      <c r="H42" s="1015"/>
      <c r="I42" s="1013"/>
      <c r="J42" s="1015"/>
      <c r="K42" s="1013"/>
      <c r="L42" s="1015"/>
      <c r="M42" s="1013"/>
      <c r="N42" s="1015"/>
      <c r="O42" s="1013"/>
      <c r="P42" s="1015"/>
      <c r="Q42" s="1077"/>
      <c r="R42" s="1015"/>
      <c r="S42" s="1013"/>
      <c r="T42" s="1015"/>
      <c r="U42" s="1013"/>
      <c r="V42" s="1015"/>
      <c r="W42" s="1013"/>
      <c r="X42" s="1015"/>
      <c r="Y42" s="1013"/>
      <c r="Z42" s="1015"/>
      <c r="AA42" s="1013"/>
      <c r="AB42" s="1015"/>
      <c r="AC42" s="1077"/>
      <c r="AD42" s="1015"/>
      <c r="AE42" s="1013"/>
      <c r="AF42" s="1015"/>
      <c r="AG42" s="1077"/>
      <c r="AH42" s="1015"/>
      <c r="AI42" s="1013"/>
      <c r="AJ42" s="1015"/>
      <c r="AK42" s="1077"/>
      <c r="AL42" s="1015"/>
      <c r="AM42" s="1078"/>
      <c r="AN42" s="1024"/>
      <c r="AO42" s="1019"/>
      <c r="AP42" s="1020"/>
      <c r="AQ42" s="1079"/>
      <c r="AR42" s="1020"/>
      <c r="AS42" s="1021"/>
      <c r="AT42" s="48" t="str">
        <f t="shared" si="2"/>
        <v/>
      </c>
      <c r="BO42" s="1009" t="str">
        <f t="shared" si="17"/>
        <v/>
      </c>
      <c r="BP42" s="1009" t="str">
        <f t="shared" si="18"/>
        <v/>
      </c>
      <c r="BQ42" s="1009" t="str">
        <f t="shared" si="19"/>
        <v/>
      </c>
      <c r="BR42" s="1009" t="str">
        <f t="shared" si="20"/>
        <v/>
      </c>
      <c r="BS42" s="1009" t="str">
        <f t="shared" si="21"/>
        <v/>
      </c>
      <c r="BU42" s="1010">
        <f t="shared" si="8"/>
        <v>0</v>
      </c>
      <c r="BV42" s="1010">
        <f t="shared" si="9"/>
        <v>0</v>
      </c>
      <c r="BW42" s="1010">
        <f t="shared" si="10"/>
        <v>0</v>
      </c>
      <c r="BX42" s="1010">
        <f t="shared" si="11"/>
        <v>0</v>
      </c>
      <c r="BY42" s="1010">
        <f t="shared" si="12"/>
        <v>0</v>
      </c>
    </row>
    <row r="43" spans="1:77" ht="15" customHeight="1">
      <c r="A43" s="1028" t="s">
        <v>526</v>
      </c>
      <c r="B43" s="1011">
        <f t="shared" si="1"/>
        <v>0</v>
      </c>
      <c r="C43" s="650">
        <f t="shared" si="24"/>
        <v>0</v>
      </c>
      <c r="D43" s="1012">
        <f t="shared" si="24"/>
        <v>0</v>
      </c>
      <c r="E43" s="1013"/>
      <c r="F43" s="1014"/>
      <c r="G43" s="1013"/>
      <c r="H43" s="1015"/>
      <c r="I43" s="1013"/>
      <c r="J43" s="1015"/>
      <c r="K43" s="1013"/>
      <c r="L43" s="1015"/>
      <c r="M43" s="1013"/>
      <c r="N43" s="1015"/>
      <c r="O43" s="1013"/>
      <c r="P43" s="1015"/>
      <c r="Q43" s="1077"/>
      <c r="R43" s="1015"/>
      <c r="S43" s="1013"/>
      <c r="T43" s="1015"/>
      <c r="U43" s="1013"/>
      <c r="V43" s="1015"/>
      <c r="W43" s="1013"/>
      <c r="X43" s="1015"/>
      <c r="Y43" s="1013"/>
      <c r="Z43" s="1015"/>
      <c r="AA43" s="1013"/>
      <c r="AB43" s="1015"/>
      <c r="AC43" s="1077"/>
      <c r="AD43" s="1015"/>
      <c r="AE43" s="1013"/>
      <c r="AF43" s="1015"/>
      <c r="AG43" s="1077"/>
      <c r="AH43" s="1015"/>
      <c r="AI43" s="1013"/>
      <c r="AJ43" s="1015"/>
      <c r="AK43" s="1077"/>
      <c r="AL43" s="1015"/>
      <c r="AM43" s="1078"/>
      <c r="AN43" s="1024"/>
      <c r="AO43" s="1037"/>
      <c r="AP43" s="1038"/>
      <c r="AQ43" s="1085"/>
      <c r="AR43" s="1038"/>
      <c r="AS43" s="1086"/>
      <c r="AT43" s="48" t="str">
        <f t="shared" si="2"/>
        <v/>
      </c>
      <c r="BO43" s="1009" t="str">
        <f t="shared" si="17"/>
        <v/>
      </c>
      <c r="BP43" s="1009" t="str">
        <f t="shared" si="18"/>
        <v/>
      </c>
      <c r="BQ43" s="1009" t="str">
        <f t="shared" si="19"/>
        <v/>
      </c>
      <c r="BR43" s="1009" t="str">
        <f t="shared" si="20"/>
        <v/>
      </c>
      <c r="BS43" s="1009" t="str">
        <f t="shared" si="21"/>
        <v/>
      </c>
      <c r="BU43" s="1010">
        <f t="shared" si="8"/>
        <v>0</v>
      </c>
      <c r="BV43" s="1010">
        <f t="shared" si="9"/>
        <v>0</v>
      </c>
      <c r="BW43" s="1010">
        <f t="shared" si="10"/>
        <v>0</v>
      </c>
      <c r="BX43" s="1010">
        <f t="shared" si="11"/>
        <v>0</v>
      </c>
      <c r="BY43" s="1010">
        <f t="shared" si="12"/>
        <v>0</v>
      </c>
    </row>
    <row r="44" spans="1:77" ht="15" customHeight="1">
      <c r="A44" s="1028" t="s">
        <v>527</v>
      </c>
      <c r="B44" s="1011">
        <f t="shared" si="1"/>
        <v>0</v>
      </c>
      <c r="C44" s="650">
        <f t="shared" si="24"/>
        <v>0</v>
      </c>
      <c r="D44" s="1012">
        <f t="shared" si="24"/>
        <v>0</v>
      </c>
      <c r="E44" s="1013"/>
      <c r="F44" s="1014"/>
      <c r="G44" s="1013"/>
      <c r="H44" s="1015"/>
      <c r="I44" s="1013"/>
      <c r="J44" s="1015"/>
      <c r="K44" s="1013"/>
      <c r="L44" s="1015"/>
      <c r="M44" s="1013"/>
      <c r="N44" s="1015"/>
      <c r="O44" s="1013"/>
      <c r="P44" s="1015"/>
      <c r="Q44" s="1077"/>
      <c r="R44" s="1015"/>
      <c r="S44" s="1013"/>
      <c r="T44" s="1015"/>
      <c r="U44" s="1013"/>
      <c r="V44" s="1015"/>
      <c r="W44" s="1013"/>
      <c r="X44" s="1015"/>
      <c r="Y44" s="1013"/>
      <c r="Z44" s="1015"/>
      <c r="AA44" s="1013"/>
      <c r="AB44" s="1015"/>
      <c r="AC44" s="1077"/>
      <c r="AD44" s="1015"/>
      <c r="AE44" s="1013"/>
      <c r="AF44" s="1015"/>
      <c r="AG44" s="1077"/>
      <c r="AH44" s="1015"/>
      <c r="AI44" s="1013"/>
      <c r="AJ44" s="1015"/>
      <c r="AK44" s="1077"/>
      <c r="AL44" s="1015"/>
      <c r="AM44" s="1078"/>
      <c r="AN44" s="1024"/>
      <c r="AO44" s="1037"/>
      <c r="AP44" s="1038"/>
      <c r="AQ44" s="1085"/>
      <c r="AR44" s="1038"/>
      <c r="AS44" s="1086"/>
      <c r="AT44" s="48" t="str">
        <f t="shared" si="2"/>
        <v/>
      </c>
      <c r="BO44" s="1009" t="str">
        <f t="shared" si="17"/>
        <v/>
      </c>
      <c r="BP44" s="1009" t="str">
        <f t="shared" si="18"/>
        <v/>
      </c>
      <c r="BQ44" s="1009" t="str">
        <f t="shared" si="19"/>
        <v/>
      </c>
      <c r="BR44" s="1009" t="str">
        <f t="shared" si="20"/>
        <v/>
      </c>
      <c r="BS44" s="1009" t="str">
        <f t="shared" si="21"/>
        <v/>
      </c>
      <c r="BU44" s="1010">
        <f t="shared" si="8"/>
        <v>0</v>
      </c>
      <c r="BV44" s="1010">
        <f t="shared" si="9"/>
        <v>0</v>
      </c>
      <c r="BW44" s="1010">
        <f t="shared" si="10"/>
        <v>0</v>
      </c>
      <c r="BX44" s="1010">
        <f t="shared" si="11"/>
        <v>0</v>
      </c>
      <c r="BY44" s="1010">
        <f t="shared" si="12"/>
        <v>0</v>
      </c>
    </row>
    <row r="45" spans="1:77" ht="15" customHeight="1">
      <c r="A45" s="1028" t="s">
        <v>528</v>
      </c>
      <c r="B45" s="1011">
        <f t="shared" si="1"/>
        <v>0</v>
      </c>
      <c r="C45" s="650">
        <f t="shared" si="24"/>
        <v>0</v>
      </c>
      <c r="D45" s="1012">
        <f t="shared" si="24"/>
        <v>0</v>
      </c>
      <c r="E45" s="1013"/>
      <c r="F45" s="1014"/>
      <c r="G45" s="1013"/>
      <c r="H45" s="1015"/>
      <c r="I45" s="1013"/>
      <c r="J45" s="1015"/>
      <c r="K45" s="1013"/>
      <c r="L45" s="1015"/>
      <c r="M45" s="1013"/>
      <c r="N45" s="1015"/>
      <c r="O45" s="1013"/>
      <c r="P45" s="1015"/>
      <c r="Q45" s="1077"/>
      <c r="R45" s="1015"/>
      <c r="S45" s="1013"/>
      <c r="T45" s="1015"/>
      <c r="U45" s="1013"/>
      <c r="V45" s="1015"/>
      <c r="W45" s="1013"/>
      <c r="X45" s="1015"/>
      <c r="Y45" s="1013"/>
      <c r="Z45" s="1015"/>
      <c r="AA45" s="1013"/>
      <c r="AB45" s="1015"/>
      <c r="AC45" s="1077"/>
      <c r="AD45" s="1015"/>
      <c r="AE45" s="1013"/>
      <c r="AF45" s="1015"/>
      <c r="AG45" s="1077"/>
      <c r="AH45" s="1015"/>
      <c r="AI45" s="1013"/>
      <c r="AJ45" s="1015"/>
      <c r="AK45" s="1077"/>
      <c r="AL45" s="1015"/>
      <c r="AM45" s="1078"/>
      <c r="AN45" s="1024"/>
      <c r="AO45" s="1037"/>
      <c r="AP45" s="1038"/>
      <c r="AQ45" s="1085"/>
      <c r="AR45" s="1038"/>
      <c r="AS45" s="1086"/>
      <c r="AT45" s="48" t="str">
        <f t="shared" si="2"/>
        <v/>
      </c>
      <c r="BO45" s="1009" t="str">
        <f t="shared" si="17"/>
        <v/>
      </c>
      <c r="BP45" s="1009" t="str">
        <f t="shared" si="18"/>
        <v/>
      </c>
      <c r="BQ45" s="1009" t="str">
        <f t="shared" si="19"/>
        <v/>
      </c>
      <c r="BR45" s="1009" t="str">
        <f t="shared" si="20"/>
        <v/>
      </c>
      <c r="BS45" s="1009" t="str">
        <f t="shared" si="21"/>
        <v/>
      </c>
      <c r="BU45" s="1010">
        <f t="shared" si="8"/>
        <v>0</v>
      </c>
      <c r="BV45" s="1010">
        <f t="shared" si="9"/>
        <v>0</v>
      </c>
      <c r="BW45" s="1010">
        <f t="shared" si="10"/>
        <v>0</v>
      </c>
      <c r="BX45" s="1010">
        <f t="shared" si="11"/>
        <v>0</v>
      </c>
      <c r="BY45" s="1010">
        <f t="shared" si="12"/>
        <v>0</v>
      </c>
    </row>
    <row r="46" spans="1:77" ht="15" customHeight="1">
      <c r="A46" s="1031" t="s">
        <v>529</v>
      </c>
      <c r="B46" s="1011">
        <f t="shared" si="1"/>
        <v>0</v>
      </c>
      <c r="C46" s="650">
        <f t="shared" si="24"/>
        <v>0</v>
      </c>
      <c r="D46" s="1012">
        <f t="shared" si="24"/>
        <v>0</v>
      </c>
      <c r="E46" s="1045"/>
      <c r="F46" s="1046"/>
      <c r="G46" s="1045"/>
      <c r="H46" s="1034"/>
      <c r="I46" s="1045"/>
      <c r="J46" s="1034"/>
      <c r="K46" s="1045"/>
      <c r="L46" s="1034"/>
      <c r="M46" s="1045"/>
      <c r="N46" s="1034"/>
      <c r="O46" s="1045"/>
      <c r="P46" s="1034"/>
      <c r="Q46" s="1087"/>
      <c r="R46" s="1034"/>
      <c r="S46" s="1045"/>
      <c r="T46" s="1034"/>
      <c r="U46" s="1045"/>
      <c r="V46" s="1034"/>
      <c r="W46" s="1045"/>
      <c r="X46" s="1034"/>
      <c r="Y46" s="1045"/>
      <c r="Z46" s="1034"/>
      <c r="AA46" s="1045"/>
      <c r="AB46" s="1034"/>
      <c r="AC46" s="1087"/>
      <c r="AD46" s="1034"/>
      <c r="AE46" s="1013"/>
      <c r="AF46" s="1015"/>
      <c r="AG46" s="1077"/>
      <c r="AH46" s="1015"/>
      <c r="AI46" s="1013"/>
      <c r="AJ46" s="1015"/>
      <c r="AK46" s="1077"/>
      <c r="AL46" s="1015"/>
      <c r="AM46" s="1077"/>
      <c r="AN46" s="1042"/>
      <c r="AO46" s="1037"/>
      <c r="AP46" s="1038"/>
      <c r="AQ46" s="1085"/>
      <c r="AR46" s="1038"/>
      <c r="AS46" s="1086"/>
      <c r="AT46" s="48" t="str">
        <f t="shared" si="2"/>
        <v/>
      </c>
      <c r="BO46" s="1009" t="str">
        <f t="shared" si="17"/>
        <v/>
      </c>
      <c r="BP46" s="1009" t="str">
        <f t="shared" si="18"/>
        <v/>
      </c>
      <c r="BQ46" s="1009" t="str">
        <f t="shared" si="19"/>
        <v/>
      </c>
      <c r="BR46" s="1009" t="str">
        <f t="shared" si="20"/>
        <v/>
      </c>
      <c r="BS46" s="1009" t="str">
        <f t="shared" si="21"/>
        <v/>
      </c>
      <c r="BU46" s="1010">
        <f t="shared" si="8"/>
        <v>0</v>
      </c>
      <c r="BV46" s="1010">
        <f t="shared" si="9"/>
        <v>0</v>
      </c>
      <c r="BW46" s="1010">
        <f t="shared" si="10"/>
        <v>0</v>
      </c>
      <c r="BX46" s="1010">
        <f t="shared" si="11"/>
        <v>0</v>
      </c>
      <c r="BY46" s="1010">
        <f t="shared" si="12"/>
        <v>0</v>
      </c>
    </row>
    <row r="47" spans="1:77" ht="15" customHeight="1">
      <c r="A47" s="1028" t="s">
        <v>530</v>
      </c>
      <c r="B47" s="1011">
        <f t="shared" si="1"/>
        <v>0</v>
      </c>
      <c r="C47" s="650">
        <f>SUM(E47+G47+I47)</f>
        <v>0</v>
      </c>
      <c r="D47" s="1012">
        <f>SUM(F47+H47+J47)</f>
        <v>0</v>
      </c>
      <c r="E47" s="1013"/>
      <c r="F47" s="1014"/>
      <c r="G47" s="1013"/>
      <c r="H47" s="1015"/>
      <c r="I47" s="1013"/>
      <c r="J47" s="1015"/>
      <c r="K47" s="1070"/>
      <c r="L47" s="1083"/>
      <c r="M47" s="1070"/>
      <c r="N47" s="1083"/>
      <c r="O47" s="1070"/>
      <c r="P47" s="1083"/>
      <c r="Q47" s="1070"/>
      <c r="R47" s="1082"/>
      <c r="S47" s="1070"/>
      <c r="T47" s="1082"/>
      <c r="U47" s="1070"/>
      <c r="V47" s="1082"/>
      <c r="W47" s="1070"/>
      <c r="X47" s="1082"/>
      <c r="Y47" s="1070"/>
      <c r="Z47" s="1082"/>
      <c r="AA47" s="1070"/>
      <c r="AB47" s="1082"/>
      <c r="AC47" s="1070"/>
      <c r="AD47" s="1082"/>
      <c r="AE47" s="1088"/>
      <c r="AF47" s="1089"/>
      <c r="AG47" s="1088"/>
      <c r="AH47" s="1089"/>
      <c r="AI47" s="1088"/>
      <c r="AJ47" s="1089"/>
      <c r="AK47" s="1088"/>
      <c r="AL47" s="1089"/>
      <c r="AM47" s="1088"/>
      <c r="AN47" s="1090"/>
      <c r="AO47" s="1019"/>
      <c r="AP47" s="1020"/>
      <c r="AQ47" s="1079"/>
      <c r="AR47" s="1020"/>
      <c r="AS47" s="1021"/>
      <c r="AT47" s="48" t="str">
        <f t="shared" si="2"/>
        <v/>
      </c>
      <c r="BO47" s="1009" t="str">
        <f t="shared" si="17"/>
        <v/>
      </c>
      <c r="BP47" s="1009" t="str">
        <f t="shared" si="18"/>
        <v/>
      </c>
      <c r="BQ47" s="1009" t="str">
        <f t="shared" si="19"/>
        <v/>
      </c>
      <c r="BR47" s="1009" t="str">
        <f t="shared" si="20"/>
        <v/>
      </c>
      <c r="BS47" s="1009" t="str">
        <f t="shared" si="21"/>
        <v/>
      </c>
      <c r="BU47" s="1010">
        <f t="shared" si="8"/>
        <v>0</v>
      </c>
      <c r="BV47" s="1010">
        <f t="shared" si="9"/>
        <v>0</v>
      </c>
      <c r="BW47" s="1010">
        <f t="shared" si="10"/>
        <v>0</v>
      </c>
      <c r="BX47" s="1010">
        <f t="shared" si="11"/>
        <v>0</v>
      </c>
      <c r="BY47" s="1010">
        <f t="shared" si="12"/>
        <v>0</v>
      </c>
    </row>
    <row r="48" spans="1:77" ht="15" customHeight="1">
      <c r="A48" s="1091" t="s">
        <v>531</v>
      </c>
      <c r="B48" s="1092">
        <f t="shared" si="1"/>
        <v>0</v>
      </c>
      <c r="C48" s="492">
        <f>SUM(E48+G48+I48+K48+M48+O48+Q48+S48+U48+W48+Y48+AA48+AC48+AE48+AG48+AI48+AK48+AM48)</f>
        <v>0</v>
      </c>
      <c r="D48" s="1050">
        <f>SUM(F48+H48+J48+L48+N48+P48+R48+T48+V48+X48+Z48+AB48+AD48+AF48+AH48+AJ48+AL48+AN48)</f>
        <v>0</v>
      </c>
      <c r="E48" s="1055"/>
      <c r="F48" s="1093"/>
      <c r="G48" s="1055"/>
      <c r="H48" s="1093"/>
      <c r="I48" s="1055"/>
      <c r="J48" s="1093"/>
      <c r="K48" s="1055"/>
      <c r="L48" s="1093"/>
      <c r="M48" s="1055"/>
      <c r="N48" s="1093"/>
      <c r="O48" s="1055"/>
      <c r="P48" s="1093"/>
      <c r="Q48" s="1055"/>
      <c r="R48" s="1093"/>
      <c r="S48" s="1055"/>
      <c r="T48" s="1093"/>
      <c r="U48" s="1055"/>
      <c r="V48" s="1093"/>
      <c r="W48" s="1055"/>
      <c r="X48" s="1093"/>
      <c r="Y48" s="1055"/>
      <c r="Z48" s="1093"/>
      <c r="AA48" s="1055"/>
      <c r="AB48" s="1093"/>
      <c r="AC48" s="1055"/>
      <c r="AD48" s="1093"/>
      <c r="AE48" s="1055"/>
      <c r="AF48" s="1093"/>
      <c r="AG48" s="1055"/>
      <c r="AH48" s="1093"/>
      <c r="AI48" s="1055"/>
      <c r="AJ48" s="1093"/>
      <c r="AK48" s="1055"/>
      <c r="AL48" s="1093"/>
      <c r="AM48" s="1055"/>
      <c r="AN48" s="1094"/>
      <c r="AO48" s="1095"/>
      <c r="AP48" s="1096"/>
      <c r="AQ48" s="1097"/>
      <c r="AR48" s="1096"/>
      <c r="AS48" s="1098"/>
      <c r="AT48" s="48" t="str">
        <f t="shared" si="2"/>
        <v/>
      </c>
      <c r="BO48" s="1009" t="str">
        <f t="shared" si="17"/>
        <v/>
      </c>
      <c r="BP48" s="1009" t="str">
        <f t="shared" si="18"/>
        <v/>
      </c>
      <c r="BQ48" s="1009" t="str">
        <f t="shared" si="19"/>
        <v/>
      </c>
      <c r="BR48" s="1009" t="str">
        <f t="shared" si="20"/>
        <v/>
      </c>
      <c r="BS48" s="1009" t="str">
        <f t="shared" si="21"/>
        <v/>
      </c>
      <c r="BU48" s="1010">
        <f t="shared" si="8"/>
        <v>0</v>
      </c>
      <c r="BV48" s="1010">
        <f t="shared" si="9"/>
        <v>0</v>
      </c>
      <c r="BW48" s="1010">
        <f t="shared" si="10"/>
        <v>0</v>
      </c>
      <c r="BX48" s="1010">
        <f t="shared" si="11"/>
        <v>0</v>
      </c>
      <c r="BY48" s="1010">
        <f t="shared" si="12"/>
        <v>0</v>
      </c>
    </row>
    <row r="49" spans="1:75" ht="18" customHeight="1">
      <c r="A49" s="763" t="s">
        <v>532</v>
      </c>
      <c r="B49" s="782"/>
      <c r="C49" s="782"/>
      <c r="D49" s="782"/>
      <c r="E49" s="782"/>
      <c r="F49" s="782"/>
      <c r="G49" s="782"/>
      <c r="H49" s="782"/>
      <c r="I49" s="782"/>
      <c r="J49" s="782"/>
      <c r="K49" s="782"/>
      <c r="L49" s="782"/>
      <c r="M49" s="782"/>
    </row>
    <row r="50" spans="1:75" ht="18" customHeight="1">
      <c r="A50" s="5891" t="s">
        <v>41</v>
      </c>
      <c r="B50" s="5982" t="s">
        <v>410</v>
      </c>
      <c r="C50" s="5985" t="s">
        <v>482</v>
      </c>
      <c r="D50" s="5893" t="s">
        <v>73</v>
      </c>
      <c r="E50" s="5897" t="s">
        <v>533</v>
      </c>
      <c r="F50" s="5989"/>
      <c r="G50" s="5989"/>
      <c r="H50" s="5989"/>
      <c r="I50" s="5989"/>
      <c r="J50" s="5989"/>
      <c r="K50" s="5989"/>
      <c r="L50" s="5990"/>
      <c r="M50" s="5892" t="s">
        <v>410</v>
      </c>
      <c r="N50" s="5982" t="s">
        <v>482</v>
      </c>
      <c r="O50" s="5893" t="s">
        <v>73</v>
      </c>
      <c r="P50" s="5897" t="s">
        <v>534</v>
      </c>
      <c r="Q50" s="5989"/>
      <c r="R50" s="5989"/>
      <c r="S50" s="5989"/>
      <c r="T50" s="5989"/>
      <c r="U50" s="5989"/>
      <c r="V50" s="5989"/>
      <c r="W50" s="5898"/>
      <c r="X50" s="5992" t="s">
        <v>535</v>
      </c>
      <c r="Y50" s="5993"/>
      <c r="Z50" s="5982" t="s">
        <v>52</v>
      </c>
      <c r="AA50" s="5893" t="s">
        <v>47</v>
      </c>
      <c r="AB50" s="5892" t="s">
        <v>50</v>
      </c>
      <c r="AC50" s="5901" t="s">
        <v>51</v>
      </c>
    </row>
    <row r="51" spans="1:75" ht="14.45" customHeight="1">
      <c r="A51" s="5981"/>
      <c r="B51" s="5983"/>
      <c r="C51" s="5986"/>
      <c r="D51" s="5988"/>
      <c r="E51" s="5992" t="s">
        <v>108</v>
      </c>
      <c r="F51" s="5993"/>
      <c r="G51" s="5992" t="s">
        <v>58</v>
      </c>
      <c r="H51" s="5993"/>
      <c r="I51" s="5897" t="s">
        <v>59</v>
      </c>
      <c r="J51" s="5990"/>
      <c r="K51" s="5897" t="s">
        <v>536</v>
      </c>
      <c r="L51" s="5990"/>
      <c r="M51" s="5991"/>
      <c r="N51" s="5983"/>
      <c r="O51" s="5988"/>
      <c r="P51" s="5992" t="s">
        <v>108</v>
      </c>
      <c r="Q51" s="5993"/>
      <c r="R51" s="5992" t="s">
        <v>58</v>
      </c>
      <c r="S51" s="5993"/>
      <c r="T51" s="5897" t="s">
        <v>59</v>
      </c>
      <c r="U51" s="5990"/>
      <c r="V51" s="5897" t="s">
        <v>536</v>
      </c>
      <c r="W51" s="5898"/>
      <c r="X51" s="5982" t="s">
        <v>74</v>
      </c>
      <c r="Y51" s="5928" t="s">
        <v>76</v>
      </c>
      <c r="Z51" s="5983"/>
      <c r="AA51" s="5988"/>
      <c r="AB51" s="5991"/>
      <c r="AC51" s="6045"/>
    </row>
    <row r="52" spans="1:75" ht="21.6" customHeight="1">
      <c r="A52" s="5894"/>
      <c r="B52" s="5984"/>
      <c r="C52" s="5987"/>
      <c r="D52" s="5896"/>
      <c r="E52" s="851" t="s">
        <v>72</v>
      </c>
      <c r="F52" s="1099" t="s">
        <v>73</v>
      </c>
      <c r="G52" s="851" t="s">
        <v>72</v>
      </c>
      <c r="H52" s="1099" t="s">
        <v>73</v>
      </c>
      <c r="I52" s="851" t="s">
        <v>72</v>
      </c>
      <c r="J52" s="1099" t="s">
        <v>73</v>
      </c>
      <c r="K52" s="851" t="s">
        <v>72</v>
      </c>
      <c r="L52" s="1099" t="s">
        <v>73</v>
      </c>
      <c r="M52" s="5895"/>
      <c r="N52" s="5984"/>
      <c r="O52" s="5896"/>
      <c r="P52" s="851" t="s">
        <v>72</v>
      </c>
      <c r="Q52" s="1099" t="s">
        <v>73</v>
      </c>
      <c r="R52" s="851" t="s">
        <v>72</v>
      </c>
      <c r="S52" s="1099" t="s">
        <v>73</v>
      </c>
      <c r="T52" s="851" t="s">
        <v>72</v>
      </c>
      <c r="U52" s="1099" t="s">
        <v>73</v>
      </c>
      <c r="V52" s="851" t="s">
        <v>72</v>
      </c>
      <c r="W52" s="850" t="s">
        <v>73</v>
      </c>
      <c r="X52" s="5984"/>
      <c r="Y52" s="5929"/>
      <c r="Z52" s="5984"/>
      <c r="AA52" s="5896"/>
      <c r="AB52" s="5895"/>
      <c r="AC52" s="5902"/>
    </row>
    <row r="53" spans="1:75" ht="15" customHeight="1">
      <c r="A53" s="1101" t="s">
        <v>78</v>
      </c>
      <c r="B53" s="1102">
        <f t="shared" si="1"/>
        <v>0</v>
      </c>
      <c r="C53" s="1103">
        <f t="shared" ref="C53:C54" si="26">+E53+G53+I53+K53</f>
        <v>0</v>
      </c>
      <c r="D53" s="1104">
        <f t="shared" ref="D53:D54" si="27">+F53+H53+J53+L53</f>
        <v>0</v>
      </c>
      <c r="E53" s="1105"/>
      <c r="F53" s="1106"/>
      <c r="G53" s="1105"/>
      <c r="H53" s="1106"/>
      <c r="I53" s="1105"/>
      <c r="J53" s="1106"/>
      <c r="K53" s="1105"/>
      <c r="L53" s="1106"/>
      <c r="M53" s="1104">
        <f t="shared" ref="M53:M54" si="28">SUM(N53:O53)</f>
        <v>0</v>
      </c>
      <c r="N53" s="1102">
        <f t="shared" ref="N53:N54" si="29">+P53+R53+T53+V53</f>
        <v>0</v>
      </c>
      <c r="O53" s="1104">
        <f t="shared" ref="O53:O54" si="30">+Q53+S53+U53+W53</f>
        <v>0</v>
      </c>
      <c r="P53" s="1105"/>
      <c r="Q53" s="1106"/>
      <c r="R53" s="1105"/>
      <c r="S53" s="1106"/>
      <c r="T53" s="1105"/>
      <c r="U53" s="1106"/>
      <c r="V53" s="1105"/>
      <c r="W53" s="1107"/>
      <c r="X53" s="1108"/>
      <c r="Y53" s="1106"/>
      <c r="Z53" s="1108"/>
      <c r="AA53" s="1106"/>
      <c r="AB53" s="1109"/>
      <c r="AC53" s="1110"/>
      <c r="AD53" s="48" t="str">
        <f t="shared" ref="AD53:AD54" si="31">BO53&amp;BP53&amp;BQ53</f>
        <v/>
      </c>
      <c r="BO53" s="1009" t="str">
        <f t="shared" ref="BO53:BO54" si="32">IF(AND(B53&gt;0,AB53="")," * No olvide digitar la variable Pueblos originarios. Digite Cero si no tiene.",IF(AB53&gt;B53,"  * La variable Pueblos originarios No puede ser mayor al Total Ambos Sexos.",""))</f>
        <v/>
      </c>
      <c r="BP53" s="1009" t="str">
        <f t="shared" ref="BP53:BP54" si="33">IF(AND(B53&gt;0,AC53="")," * No olvide digitar la variable Migrantes. Digite Cero si no tiene.",IF(AC53&gt;B53,"  * La variable Migrantes No puede ser mayor al Total Ambos Sexos.",""))</f>
        <v/>
      </c>
      <c r="BQ53" s="1009" t="str">
        <f t="shared" ref="BQ53:BQ54" si="34">IF(AND((B53+M53)&gt;0,AA53=""),"  * No olvide digitar la variable Espacios Amigables/Adolescentes. Digite Cero si no tiene.",IF(AA53&gt;(B53+M53),"  * La variable Espacios Amigables/Adolescentes No puede ser mayor al Total Ambos Sexos.",""))</f>
        <v/>
      </c>
      <c r="BU53" s="1010">
        <f t="shared" ref="BU53:BU54" si="35">IF(AND(B53&gt;0,AB53=""),1,IF(AB53&gt;B53,1,0))</f>
        <v>0</v>
      </c>
      <c r="BV53" s="1010">
        <f t="shared" ref="BV53:BV54" si="36">IF(AND(B53&gt;0,AC53=""),1,IF(AC53&gt;B53,1,0))</f>
        <v>0</v>
      </c>
      <c r="BW53" s="1010">
        <f t="shared" ref="BW53:BW54" si="37">IF(AND(B53+M53&gt;0,AA53=""),1,IF(AA53&gt;B53+M53,1,0))</f>
        <v>0</v>
      </c>
    </row>
    <row r="54" spans="1:75" ht="15" customHeight="1">
      <c r="A54" s="1111" t="s">
        <v>79</v>
      </c>
      <c r="B54" s="1112">
        <f t="shared" si="1"/>
        <v>0</v>
      </c>
      <c r="C54" s="1113">
        <f t="shared" si="26"/>
        <v>0</v>
      </c>
      <c r="D54" s="1114">
        <f t="shared" si="27"/>
        <v>0</v>
      </c>
      <c r="E54" s="1115"/>
      <c r="F54" s="1116"/>
      <c r="G54" s="1115"/>
      <c r="H54" s="1116"/>
      <c r="I54" s="1115"/>
      <c r="J54" s="1116"/>
      <c r="K54" s="1115"/>
      <c r="L54" s="1116"/>
      <c r="M54" s="1114">
        <f t="shared" si="28"/>
        <v>0</v>
      </c>
      <c r="N54" s="1112">
        <f t="shared" si="29"/>
        <v>0</v>
      </c>
      <c r="O54" s="1114">
        <f t="shared" si="30"/>
        <v>0</v>
      </c>
      <c r="P54" s="1115"/>
      <c r="Q54" s="1116"/>
      <c r="R54" s="1115"/>
      <c r="S54" s="1116"/>
      <c r="T54" s="1115"/>
      <c r="U54" s="1116"/>
      <c r="V54" s="1115"/>
      <c r="W54" s="1117"/>
      <c r="X54" s="1115"/>
      <c r="Y54" s="1116"/>
      <c r="Z54" s="1115"/>
      <c r="AA54" s="1116"/>
      <c r="AB54" s="1118"/>
      <c r="AC54" s="1119"/>
      <c r="AD54" s="48" t="str">
        <f t="shared" si="31"/>
        <v/>
      </c>
      <c r="BO54" s="1009" t="str">
        <f t="shared" si="32"/>
        <v/>
      </c>
      <c r="BP54" s="1009" t="str">
        <f t="shared" si="33"/>
        <v/>
      </c>
      <c r="BQ54" s="1009" t="str">
        <f t="shared" si="34"/>
        <v/>
      </c>
      <c r="BU54" s="1010">
        <f t="shared" si="35"/>
        <v>0</v>
      </c>
      <c r="BV54" s="1010">
        <f t="shared" si="36"/>
        <v>0</v>
      </c>
      <c r="BW54" s="1010">
        <f t="shared" si="37"/>
        <v>0</v>
      </c>
    </row>
    <row r="55" spans="1:75" ht="18" customHeight="1">
      <c r="A55" s="470" t="s">
        <v>537</v>
      </c>
      <c r="B55" s="684"/>
      <c r="C55" s="684"/>
      <c r="D55" s="684"/>
      <c r="E55" s="684"/>
      <c r="F55" s="684"/>
      <c r="G55" s="1120"/>
      <c r="H55" s="1120"/>
      <c r="I55" s="1120"/>
      <c r="J55" s="1120"/>
      <c r="K55" s="1120"/>
      <c r="L55" s="1120"/>
      <c r="M55" s="1120"/>
      <c r="N55" s="1120"/>
      <c r="O55" s="1121"/>
      <c r="P55" s="684"/>
      <c r="Q55" s="1120"/>
      <c r="R55" s="1120"/>
      <c r="S55" s="1121"/>
      <c r="T55" s="684"/>
      <c r="U55" s="1120"/>
      <c r="V55" s="1121"/>
      <c r="W55" s="1122"/>
      <c r="X55" s="624"/>
    </row>
    <row r="56" spans="1:75">
      <c r="A56" s="5611" t="s">
        <v>538</v>
      </c>
      <c r="B56" s="5642" t="s">
        <v>91</v>
      </c>
      <c r="C56" s="5627"/>
      <c r="D56" s="5624"/>
      <c r="E56" s="5647" t="s">
        <v>43</v>
      </c>
      <c r="F56" s="5649"/>
      <c r="G56" s="5649"/>
      <c r="H56" s="5649"/>
      <c r="I56" s="5649"/>
      <c r="J56" s="5649"/>
      <c r="K56" s="5649"/>
      <c r="L56" s="5649"/>
      <c r="M56" s="5649"/>
      <c r="N56" s="5649"/>
      <c r="O56" s="5649"/>
      <c r="P56" s="5649"/>
      <c r="Q56" s="5649"/>
      <c r="R56" s="5649"/>
      <c r="S56" s="5649"/>
      <c r="T56" s="5649"/>
      <c r="U56" s="5649"/>
      <c r="V56" s="5686"/>
      <c r="W56" s="5657" t="s">
        <v>50</v>
      </c>
      <c r="X56" s="5613" t="s">
        <v>51</v>
      </c>
    </row>
    <row r="57" spans="1:75">
      <c r="A57" s="5641"/>
      <c r="B57" s="5659"/>
      <c r="C57" s="5731"/>
      <c r="D57" s="5625"/>
      <c r="E57" s="5613" t="s">
        <v>495</v>
      </c>
      <c r="F57" s="5613" t="s">
        <v>496</v>
      </c>
      <c r="G57" s="5624" t="s">
        <v>347</v>
      </c>
      <c r="H57" s="5611" t="s">
        <v>108</v>
      </c>
      <c r="I57" s="5611" t="s">
        <v>58</v>
      </c>
      <c r="J57" s="5624" t="s">
        <v>59</v>
      </c>
      <c r="K57" s="5624" t="s">
        <v>60</v>
      </c>
      <c r="L57" s="5624" t="s">
        <v>61</v>
      </c>
      <c r="M57" s="5624" t="s">
        <v>62</v>
      </c>
      <c r="N57" s="5624" t="s">
        <v>63</v>
      </c>
      <c r="O57" s="5624" t="s">
        <v>64</v>
      </c>
      <c r="P57" s="5624" t="s">
        <v>65</v>
      </c>
      <c r="Q57" s="5624" t="s">
        <v>66</v>
      </c>
      <c r="R57" s="5624" t="s">
        <v>67</v>
      </c>
      <c r="S57" s="5624" t="s">
        <v>68</v>
      </c>
      <c r="T57" s="5624" t="s">
        <v>69</v>
      </c>
      <c r="U57" s="5624" t="s">
        <v>70</v>
      </c>
      <c r="V57" s="6038" t="s">
        <v>497</v>
      </c>
      <c r="W57" s="5665"/>
      <c r="X57" s="5671"/>
    </row>
    <row r="58" spans="1:75">
      <c r="A58" s="5612"/>
      <c r="B58" s="75" t="s">
        <v>93</v>
      </c>
      <c r="C58" s="196" t="s">
        <v>72</v>
      </c>
      <c r="D58" s="76" t="s">
        <v>73</v>
      </c>
      <c r="E58" s="5614"/>
      <c r="F58" s="5614"/>
      <c r="G58" s="5625"/>
      <c r="H58" s="5612"/>
      <c r="I58" s="5612"/>
      <c r="J58" s="5625"/>
      <c r="K58" s="5625"/>
      <c r="L58" s="5625"/>
      <c r="M58" s="5625"/>
      <c r="N58" s="5625"/>
      <c r="O58" s="5625"/>
      <c r="P58" s="5625"/>
      <c r="Q58" s="5625"/>
      <c r="R58" s="5625"/>
      <c r="S58" s="5625"/>
      <c r="T58" s="5625"/>
      <c r="U58" s="5625"/>
      <c r="V58" s="6039"/>
      <c r="W58" s="5658"/>
      <c r="X58" s="5614"/>
    </row>
    <row r="59" spans="1:75" ht="15" customHeight="1">
      <c r="A59" s="1123" t="s">
        <v>539</v>
      </c>
      <c r="B59" s="480">
        <f>SUM(B60:B61)</f>
        <v>0</v>
      </c>
      <c r="C59" s="481">
        <f>SUM(C60:C61)</f>
        <v>0</v>
      </c>
      <c r="D59" s="482">
        <f t="shared" ref="D59:V62" si="38">SUM(D60:D61)</f>
        <v>0</v>
      </c>
      <c r="E59" s="287">
        <f t="shared" si="38"/>
        <v>0</v>
      </c>
      <c r="F59" s="287">
        <f t="shared" si="38"/>
        <v>0</v>
      </c>
      <c r="G59" s="289">
        <f t="shared" si="38"/>
        <v>0</v>
      </c>
      <c r="H59" s="287">
        <f t="shared" si="38"/>
        <v>0</v>
      </c>
      <c r="I59" s="287">
        <f t="shared" si="38"/>
        <v>0</v>
      </c>
      <c r="J59" s="1062">
        <f t="shared" si="38"/>
        <v>0</v>
      </c>
      <c r="K59" s="287">
        <f t="shared" si="38"/>
        <v>0</v>
      </c>
      <c r="L59" s="1062">
        <f t="shared" si="38"/>
        <v>0</v>
      </c>
      <c r="M59" s="287">
        <f t="shared" si="38"/>
        <v>0</v>
      </c>
      <c r="N59" s="1062">
        <f t="shared" si="38"/>
        <v>0</v>
      </c>
      <c r="O59" s="287">
        <f t="shared" si="38"/>
        <v>0</v>
      </c>
      <c r="P59" s="1062">
        <f t="shared" si="38"/>
        <v>0</v>
      </c>
      <c r="Q59" s="287">
        <f t="shared" si="38"/>
        <v>0</v>
      </c>
      <c r="R59" s="1062">
        <f t="shared" si="38"/>
        <v>0</v>
      </c>
      <c r="S59" s="287">
        <f t="shared" si="38"/>
        <v>0</v>
      </c>
      <c r="T59" s="1062">
        <f t="shared" si="38"/>
        <v>0</v>
      </c>
      <c r="U59" s="287">
        <f t="shared" si="38"/>
        <v>0</v>
      </c>
      <c r="V59" s="1124">
        <f t="shared" si="38"/>
        <v>0</v>
      </c>
      <c r="W59" s="573">
        <f>SUM(W60:W61)</f>
        <v>0</v>
      </c>
      <c r="X59" s="287">
        <f>SUM(X60:X61)</f>
        <v>0</v>
      </c>
    </row>
    <row r="60" spans="1:75" ht="15" customHeight="1">
      <c r="A60" s="618" t="s">
        <v>78</v>
      </c>
      <c r="B60" s="1001">
        <f t="shared" ref="B60:B61" si="39">SUM(C60:D60)</f>
        <v>0</v>
      </c>
      <c r="C60" s="1125"/>
      <c r="D60" s="1126"/>
      <c r="E60" s="1127"/>
      <c r="F60" s="1128"/>
      <c r="G60" s="1127"/>
      <c r="H60" s="1128"/>
      <c r="I60" s="1127"/>
      <c r="J60" s="1128"/>
      <c r="K60" s="1127"/>
      <c r="L60" s="1128"/>
      <c r="M60" s="1127"/>
      <c r="N60" s="1128"/>
      <c r="O60" s="1127"/>
      <c r="P60" s="1128"/>
      <c r="Q60" s="1127"/>
      <c r="R60" s="1128"/>
      <c r="S60" s="1127"/>
      <c r="T60" s="1128"/>
      <c r="U60" s="1127"/>
      <c r="V60" s="1129"/>
      <c r="W60" s="1130"/>
      <c r="X60" s="1127"/>
      <c r="Y60" s="48" t="str">
        <f t="shared" ref="Y60:Y64" si="40">BO60&amp;BP60&amp;BQ60</f>
        <v/>
      </c>
      <c r="BO60" s="1009" t="str">
        <f>IF(AND(B60&gt;0,W60="")," * No olvide digitar la variable Pueblos originarios. Digite Cero si no tiene.",IF(W60&gt;B60," * La variable Pueblos originarios No puede ser mayor al Total Ambos Sexos.",""))</f>
        <v/>
      </c>
      <c r="BP60" s="1009" t="str">
        <f>IF(AND(B60&gt;0,X60="")," * No olvide digitar la variable Migrantes. Digite Cero si no tiene.",IF(X60&gt;B60," * La variable Migrantes No puede ser mayor al Total Ambos Sexos.",""))</f>
        <v/>
      </c>
      <c r="BQ60" s="1131" t="str">
        <f t="shared" ref="BQ60:BQ64" si="41">IF((C60+D60)&lt;&gt;SUM(E60:V60)," * La suma de Rangos Etario debe ser igual a la suma de Hombres + Mujeres.","")</f>
        <v/>
      </c>
      <c r="BU60" s="1010">
        <f t="shared" ref="BU60:BU64" si="42">IF(AND(B60&gt;0,W60=""),1,IF(W60&gt;B60,1,0))</f>
        <v>0</v>
      </c>
      <c r="BV60" s="1010">
        <f t="shared" ref="BV60:BV64" si="43">IF(AND(B60&gt;0,X60=""),1,IF(X60&gt;B60,1,0))</f>
        <v>0</v>
      </c>
      <c r="BW60" s="1010">
        <f t="shared" ref="BW60:BW64" si="44">IF((C60+D60)&lt;&gt;SUM(E60:V60),1,0)</f>
        <v>0</v>
      </c>
    </row>
    <row r="61" spans="1:75" ht="15" customHeight="1">
      <c r="A61" s="1132" t="s">
        <v>540</v>
      </c>
      <c r="B61" s="1133">
        <f t="shared" si="39"/>
        <v>0</v>
      </c>
      <c r="C61" s="1134"/>
      <c r="D61" s="1135"/>
      <c r="E61" s="1136"/>
      <c r="F61" s="1137"/>
      <c r="G61" s="1136"/>
      <c r="H61" s="1137"/>
      <c r="I61" s="1136"/>
      <c r="J61" s="1137"/>
      <c r="K61" s="1136"/>
      <c r="L61" s="1137"/>
      <c r="M61" s="1136"/>
      <c r="N61" s="1137"/>
      <c r="O61" s="1136"/>
      <c r="P61" s="1137"/>
      <c r="Q61" s="1136"/>
      <c r="R61" s="1137"/>
      <c r="S61" s="1136"/>
      <c r="T61" s="1137"/>
      <c r="U61" s="1136"/>
      <c r="V61" s="1138"/>
      <c r="W61" s="1139"/>
      <c r="X61" s="1136"/>
      <c r="Y61" s="48" t="str">
        <f t="shared" si="40"/>
        <v/>
      </c>
      <c r="BO61" s="1009" t="str">
        <f>IF(AND(B61&gt;0,W61="")," * No olvide digitar la variable Pueblos originarios. Digite Cero si no tiene.",IF(W61&gt;B61,"  * La variable Pueblos originarios No puede ser mayor al Total.",""))</f>
        <v/>
      </c>
      <c r="BP61" s="1009" t="str">
        <f>IF(AND(B61&gt;0,X61="")," * No olvide digitar la variable Migrantes. Digite Cero si no tiene.",IF(X61&gt;B61,"  * La variable Migrantes No puede ser mayor al Total.",""))</f>
        <v/>
      </c>
      <c r="BQ61" s="1131" t="str">
        <f t="shared" si="41"/>
        <v/>
      </c>
      <c r="BU61" s="1010">
        <f t="shared" si="42"/>
        <v>0</v>
      </c>
      <c r="BV61" s="1010">
        <f t="shared" si="43"/>
        <v>0</v>
      </c>
      <c r="BW61" s="1010">
        <f t="shared" si="44"/>
        <v>0</v>
      </c>
    </row>
    <row r="62" spans="1:75" ht="15" customHeight="1">
      <c r="A62" s="1140" t="s">
        <v>541</v>
      </c>
      <c r="B62" s="1141">
        <f>SUM(B63:B64)</f>
        <v>0</v>
      </c>
      <c r="C62" s="569">
        <f>SUM(C63:C64)</f>
        <v>0</v>
      </c>
      <c r="D62" s="482">
        <f t="shared" si="38"/>
        <v>0</v>
      </c>
      <c r="E62" s="287">
        <f t="shared" si="38"/>
        <v>0</v>
      </c>
      <c r="F62" s="1062">
        <f t="shared" si="38"/>
        <v>0</v>
      </c>
      <c r="G62" s="287">
        <f t="shared" si="38"/>
        <v>0</v>
      </c>
      <c r="H62" s="1062">
        <f t="shared" si="38"/>
        <v>0</v>
      </c>
      <c r="I62" s="287">
        <f t="shared" si="38"/>
        <v>0</v>
      </c>
      <c r="J62" s="1062">
        <f t="shared" si="38"/>
        <v>0</v>
      </c>
      <c r="K62" s="287">
        <f t="shared" si="38"/>
        <v>0</v>
      </c>
      <c r="L62" s="1062">
        <f t="shared" si="38"/>
        <v>0</v>
      </c>
      <c r="M62" s="287">
        <f t="shared" si="38"/>
        <v>0</v>
      </c>
      <c r="N62" s="1062">
        <f t="shared" si="38"/>
        <v>0</v>
      </c>
      <c r="O62" s="287">
        <f t="shared" si="38"/>
        <v>0</v>
      </c>
      <c r="P62" s="1062">
        <f t="shared" si="38"/>
        <v>0</v>
      </c>
      <c r="Q62" s="287">
        <f t="shared" si="38"/>
        <v>0</v>
      </c>
      <c r="R62" s="1062">
        <f t="shared" si="38"/>
        <v>0</v>
      </c>
      <c r="S62" s="287">
        <f t="shared" si="38"/>
        <v>0</v>
      </c>
      <c r="T62" s="1062">
        <f t="shared" si="38"/>
        <v>0</v>
      </c>
      <c r="U62" s="287">
        <f t="shared" si="38"/>
        <v>0</v>
      </c>
      <c r="V62" s="1124">
        <f t="shared" si="38"/>
        <v>0</v>
      </c>
      <c r="W62" s="573">
        <f>SUM(W63:W64)</f>
        <v>0</v>
      </c>
      <c r="X62" s="287">
        <f>SUM(X63:X64)</f>
        <v>0</v>
      </c>
    </row>
    <row r="63" spans="1:75" ht="15" customHeight="1">
      <c r="A63" s="618" t="s">
        <v>78</v>
      </c>
      <c r="B63" s="1001">
        <f t="shared" ref="B63:B64" si="45">SUM(C63:D63)</f>
        <v>0</v>
      </c>
      <c r="C63" s="1125"/>
      <c r="D63" s="1126"/>
      <c r="E63" s="1127"/>
      <c r="F63" s="1128"/>
      <c r="G63" s="1127"/>
      <c r="H63" s="1128"/>
      <c r="I63" s="1127"/>
      <c r="J63" s="1128"/>
      <c r="K63" s="1127"/>
      <c r="L63" s="1128"/>
      <c r="M63" s="1127"/>
      <c r="N63" s="1128"/>
      <c r="O63" s="1127"/>
      <c r="P63" s="1128"/>
      <c r="Q63" s="1127"/>
      <c r="R63" s="1128"/>
      <c r="S63" s="1127"/>
      <c r="T63" s="1128"/>
      <c r="U63" s="1127"/>
      <c r="V63" s="1129"/>
      <c r="W63" s="1130"/>
      <c r="X63" s="1127"/>
      <c r="Y63" s="48" t="str">
        <f t="shared" si="40"/>
        <v/>
      </c>
      <c r="BO63" s="1009" t="str">
        <f t="shared" ref="BO63:BO64" si="46">IF(AND(B63&gt;0,W63="")," * No olvide digitar la variable Pueblos originarios. Digite Cero si no tiene.",IF(W63&gt;B63,"  * La variable Pueblos originarios No puede ser mayor al Total.",""))</f>
        <v/>
      </c>
      <c r="BP63" s="1009" t="str">
        <f t="shared" ref="BP63:BP64" si="47">IF(AND(B63&gt;0,X63="")," * No olvide digitar la variable Migrantes. Digite Cero si no tiene.",IF(X63&gt;B63,"  * La variable Migrantes No puede ser mayor al Total.",""))</f>
        <v/>
      </c>
      <c r="BQ63" s="1131" t="str">
        <f t="shared" si="41"/>
        <v/>
      </c>
      <c r="BU63" s="1010">
        <f t="shared" si="42"/>
        <v>0</v>
      </c>
      <c r="BV63" s="1010">
        <f t="shared" si="43"/>
        <v>0</v>
      </c>
      <c r="BW63" s="1010">
        <f t="shared" si="44"/>
        <v>0</v>
      </c>
    </row>
    <row r="64" spans="1:75" ht="15" customHeight="1">
      <c r="A64" s="1132" t="s">
        <v>540</v>
      </c>
      <c r="B64" s="1133">
        <f t="shared" si="45"/>
        <v>0</v>
      </c>
      <c r="C64" s="1134"/>
      <c r="D64" s="1135"/>
      <c r="E64" s="1136"/>
      <c r="F64" s="1137"/>
      <c r="G64" s="1136"/>
      <c r="H64" s="1137"/>
      <c r="I64" s="1136"/>
      <c r="J64" s="1137"/>
      <c r="K64" s="1136"/>
      <c r="L64" s="1137"/>
      <c r="M64" s="1136"/>
      <c r="N64" s="1137"/>
      <c r="O64" s="1136"/>
      <c r="P64" s="1137"/>
      <c r="Q64" s="1136"/>
      <c r="R64" s="1137"/>
      <c r="S64" s="1136"/>
      <c r="T64" s="1137"/>
      <c r="U64" s="1136"/>
      <c r="V64" s="1138"/>
      <c r="W64" s="1139"/>
      <c r="X64" s="1136"/>
      <c r="Y64" s="48" t="str">
        <f t="shared" si="40"/>
        <v/>
      </c>
      <c r="BO64" s="1009" t="str">
        <f t="shared" si="46"/>
        <v/>
      </c>
      <c r="BP64" s="1009" t="str">
        <f t="shared" si="47"/>
        <v/>
      </c>
      <c r="BQ64" s="1131" t="str">
        <f t="shared" si="41"/>
        <v/>
      </c>
      <c r="BU64" s="1010">
        <f t="shared" si="42"/>
        <v>0</v>
      </c>
      <c r="BV64" s="1010">
        <f t="shared" si="43"/>
        <v>0</v>
      </c>
      <c r="BW64" s="1010">
        <f t="shared" si="44"/>
        <v>0</v>
      </c>
    </row>
    <row r="65" spans="1:77" ht="18" customHeight="1">
      <c r="A65" s="470" t="s">
        <v>542</v>
      </c>
      <c r="B65" s="782"/>
    </row>
    <row r="66" spans="1:77" ht="15" customHeight="1">
      <c r="A66" s="1142" t="s">
        <v>41</v>
      </c>
      <c r="B66" s="1142" t="s">
        <v>91</v>
      </c>
    </row>
    <row r="67" spans="1:77" ht="15" customHeight="1">
      <c r="A67" s="618" t="s">
        <v>78</v>
      </c>
      <c r="B67" s="1007"/>
    </row>
    <row r="68" spans="1:77" ht="15" customHeight="1">
      <c r="A68" s="619" t="s">
        <v>79</v>
      </c>
      <c r="B68" s="1059"/>
    </row>
    <row r="69" spans="1:77" ht="18" customHeight="1">
      <c r="A69" s="763" t="s">
        <v>543</v>
      </c>
      <c r="B69" s="782"/>
      <c r="C69" s="1143"/>
      <c r="D69" s="1143"/>
      <c r="E69" s="624"/>
      <c r="F69" s="624"/>
      <c r="G69" s="624"/>
      <c r="H69" s="624"/>
      <c r="I69" s="624"/>
      <c r="J69" s="1144"/>
      <c r="K69" s="1144"/>
      <c r="L69" s="1144"/>
      <c r="M69" s="1144"/>
      <c r="N69" s="1144"/>
      <c r="O69" s="1144"/>
      <c r="P69" s="1144"/>
      <c r="Q69" s="1144"/>
      <c r="R69" s="1144"/>
      <c r="S69" s="1144"/>
      <c r="T69" s="1145"/>
      <c r="U69" s="1145"/>
    </row>
    <row r="70" spans="1:77" ht="15" customHeight="1">
      <c r="A70" s="6042" t="s">
        <v>322</v>
      </c>
      <c r="B70" s="5962"/>
      <c r="C70" s="5615" t="s">
        <v>91</v>
      </c>
      <c r="D70" s="5616"/>
      <c r="E70" s="5652"/>
      <c r="F70" s="5642" t="s">
        <v>115</v>
      </c>
      <c r="G70" s="5627"/>
      <c r="H70" s="5627"/>
      <c r="I70" s="5627"/>
      <c r="J70" s="5627"/>
      <c r="K70" s="5627"/>
      <c r="L70" s="5627"/>
      <c r="M70" s="5627"/>
      <c r="N70" s="5627"/>
      <c r="O70" s="5627"/>
      <c r="P70" s="5627"/>
      <c r="Q70" s="5627"/>
      <c r="R70" s="5627"/>
      <c r="S70" s="5627"/>
      <c r="T70" s="5627"/>
      <c r="U70" s="5627"/>
      <c r="V70" s="5627"/>
      <c r="W70" s="5627"/>
      <c r="X70" s="5627"/>
      <c r="Y70" s="5627"/>
      <c r="Z70" s="5627"/>
      <c r="AA70" s="5627"/>
      <c r="AB70" s="5627"/>
      <c r="AC70" s="5627"/>
      <c r="AD70" s="5627"/>
      <c r="AE70" s="5627"/>
      <c r="AF70" s="5627"/>
      <c r="AG70" s="5627"/>
      <c r="AH70" s="5627"/>
      <c r="AI70" s="5627"/>
      <c r="AJ70" s="5627"/>
      <c r="AK70" s="5627"/>
      <c r="AL70" s="5627"/>
      <c r="AM70" s="5624"/>
    </row>
    <row r="71" spans="1:77" ht="15" customHeight="1">
      <c r="A71" s="6043"/>
      <c r="B71" s="5758"/>
      <c r="C71" s="5956" t="s">
        <v>93</v>
      </c>
      <c r="D71" s="5966" t="s">
        <v>544</v>
      </c>
      <c r="E71" s="5645" t="s">
        <v>545</v>
      </c>
      <c r="F71" s="5615" t="s">
        <v>364</v>
      </c>
      <c r="G71" s="5652"/>
      <c r="H71" s="5616" t="s">
        <v>546</v>
      </c>
      <c r="I71" s="5616"/>
      <c r="J71" s="5615" t="s">
        <v>108</v>
      </c>
      <c r="K71" s="5652"/>
      <c r="L71" s="5616" t="s">
        <v>58</v>
      </c>
      <c r="M71" s="5616"/>
      <c r="N71" s="5615" t="s">
        <v>59</v>
      </c>
      <c r="O71" s="5652"/>
      <c r="P71" s="5616" t="s">
        <v>60</v>
      </c>
      <c r="Q71" s="5616"/>
      <c r="R71" s="5615" t="s">
        <v>61</v>
      </c>
      <c r="S71" s="5652"/>
      <c r="T71" s="5616" t="s">
        <v>62</v>
      </c>
      <c r="U71" s="5616"/>
      <c r="V71" s="5615" t="s">
        <v>63</v>
      </c>
      <c r="W71" s="5652"/>
      <c r="X71" s="5616" t="s">
        <v>64</v>
      </c>
      <c r="Y71" s="5616"/>
      <c r="Z71" s="5615" t="s">
        <v>65</v>
      </c>
      <c r="AA71" s="5652"/>
      <c r="AB71" s="5616" t="s">
        <v>66</v>
      </c>
      <c r="AC71" s="5616"/>
      <c r="AD71" s="5615" t="s">
        <v>67</v>
      </c>
      <c r="AE71" s="5652"/>
      <c r="AF71" s="5616" t="s">
        <v>68</v>
      </c>
      <c r="AG71" s="5616"/>
      <c r="AH71" s="5615" t="s">
        <v>69</v>
      </c>
      <c r="AI71" s="5652"/>
      <c r="AJ71" s="5615" t="s">
        <v>70</v>
      </c>
      <c r="AK71" s="5652"/>
      <c r="AL71" s="5615" t="s">
        <v>497</v>
      </c>
      <c r="AM71" s="5652"/>
    </row>
    <row r="72" spans="1:77" ht="15" customHeight="1">
      <c r="A72" s="6044"/>
      <c r="B72" s="5760"/>
      <c r="C72" s="5958"/>
      <c r="D72" s="5967"/>
      <c r="E72" s="5625"/>
      <c r="F72" s="75" t="s">
        <v>544</v>
      </c>
      <c r="G72" s="232" t="s">
        <v>545</v>
      </c>
      <c r="H72" s="196" t="s">
        <v>544</v>
      </c>
      <c r="I72" s="1146" t="s">
        <v>545</v>
      </c>
      <c r="J72" s="75" t="s">
        <v>544</v>
      </c>
      <c r="K72" s="232" t="s">
        <v>545</v>
      </c>
      <c r="L72" s="196" t="s">
        <v>544</v>
      </c>
      <c r="M72" s="1146" t="s">
        <v>545</v>
      </c>
      <c r="N72" s="75" t="s">
        <v>544</v>
      </c>
      <c r="O72" s="232" t="s">
        <v>545</v>
      </c>
      <c r="P72" s="196" t="s">
        <v>544</v>
      </c>
      <c r="Q72" s="1146" t="s">
        <v>545</v>
      </c>
      <c r="R72" s="75" t="s">
        <v>544</v>
      </c>
      <c r="S72" s="232" t="s">
        <v>545</v>
      </c>
      <c r="T72" s="196" t="s">
        <v>544</v>
      </c>
      <c r="U72" s="1146" t="s">
        <v>545</v>
      </c>
      <c r="V72" s="75" t="s">
        <v>544</v>
      </c>
      <c r="W72" s="232" t="s">
        <v>545</v>
      </c>
      <c r="X72" s="196" t="s">
        <v>544</v>
      </c>
      <c r="Y72" s="1146" t="s">
        <v>545</v>
      </c>
      <c r="Z72" s="75" t="s">
        <v>544</v>
      </c>
      <c r="AA72" s="232" t="s">
        <v>545</v>
      </c>
      <c r="AB72" s="196" t="s">
        <v>544</v>
      </c>
      <c r="AC72" s="1146" t="s">
        <v>545</v>
      </c>
      <c r="AD72" s="75" t="s">
        <v>544</v>
      </c>
      <c r="AE72" s="232" t="s">
        <v>545</v>
      </c>
      <c r="AF72" s="196" t="s">
        <v>544</v>
      </c>
      <c r="AG72" s="1146" t="s">
        <v>545</v>
      </c>
      <c r="AH72" s="75" t="s">
        <v>544</v>
      </c>
      <c r="AI72" s="232" t="s">
        <v>545</v>
      </c>
      <c r="AJ72" s="75" t="s">
        <v>544</v>
      </c>
      <c r="AK72" s="232" t="s">
        <v>545</v>
      </c>
      <c r="AL72" s="75" t="s">
        <v>544</v>
      </c>
      <c r="AM72" s="232" t="s">
        <v>545</v>
      </c>
    </row>
    <row r="73" spans="1:77" ht="15" customHeight="1">
      <c r="A73" s="5613" t="s">
        <v>547</v>
      </c>
      <c r="B73" s="1147" t="s">
        <v>343</v>
      </c>
      <c r="C73" s="1148">
        <f t="shared" ref="C73:C83" si="48">SUM(D73:E73)</f>
        <v>0</v>
      </c>
      <c r="D73" s="553">
        <f t="shared" ref="D73:D74" si="49">SUM(F73+H73+J73+L73+N73+P73+R73+T73+V73+X73+Z73+AB73+AD73+AF73+AH73+AJ73+AL73)</f>
        <v>0</v>
      </c>
      <c r="E73" s="1149">
        <f t="shared" ref="E73:E74" si="50">SUM(G73+I73+K73+M73+O73+Q73+S73+U73+W73+Y73+AA73+AC73+AE73+AG73+AI73+AK73+AM73)</f>
        <v>0</v>
      </c>
      <c r="F73" s="1150"/>
      <c r="G73" s="1151"/>
      <c r="H73" s="1150"/>
      <c r="I73" s="1152"/>
      <c r="J73" s="1150"/>
      <c r="K73" s="1152"/>
      <c r="L73" s="1150"/>
      <c r="M73" s="1152"/>
      <c r="N73" s="1153"/>
      <c r="O73" s="1154"/>
      <c r="P73" s="1150"/>
      <c r="Q73" s="1152"/>
      <c r="R73" s="1153"/>
      <c r="S73" s="1154"/>
      <c r="T73" s="1150"/>
      <c r="U73" s="1154"/>
      <c r="V73" s="1150"/>
      <c r="W73" s="1152"/>
      <c r="X73" s="1153"/>
      <c r="Y73" s="1154"/>
      <c r="Z73" s="1150"/>
      <c r="AA73" s="1152"/>
      <c r="AB73" s="1153"/>
      <c r="AC73" s="1154"/>
      <c r="AD73" s="1150"/>
      <c r="AE73" s="1152"/>
      <c r="AF73" s="1153"/>
      <c r="AG73" s="1154"/>
      <c r="AH73" s="1150"/>
      <c r="AI73" s="1152"/>
      <c r="AJ73" s="1150"/>
      <c r="AK73" s="1152"/>
      <c r="AL73" s="1150"/>
      <c r="AM73" s="1152"/>
    </row>
    <row r="74" spans="1:77" ht="15" customHeight="1">
      <c r="A74" s="5614"/>
      <c r="B74" s="74" t="s">
        <v>548</v>
      </c>
      <c r="C74" s="1155">
        <f t="shared" si="48"/>
        <v>0</v>
      </c>
      <c r="D74" s="562">
        <f t="shared" si="49"/>
        <v>0</v>
      </c>
      <c r="E74" s="1156">
        <f t="shared" si="50"/>
        <v>0</v>
      </c>
      <c r="F74" s="1157"/>
      <c r="G74" s="1158"/>
      <c r="H74" s="1157"/>
      <c r="I74" s="1159"/>
      <c r="J74" s="1157"/>
      <c r="K74" s="1159"/>
      <c r="L74" s="1157"/>
      <c r="M74" s="1159"/>
      <c r="N74" s="1160"/>
      <c r="O74" s="1161"/>
      <c r="P74" s="1157"/>
      <c r="Q74" s="1159"/>
      <c r="R74" s="1160"/>
      <c r="S74" s="1161"/>
      <c r="T74" s="1157"/>
      <c r="U74" s="1161"/>
      <c r="V74" s="1157"/>
      <c r="W74" s="1159"/>
      <c r="X74" s="1160"/>
      <c r="Y74" s="1161"/>
      <c r="Z74" s="1157"/>
      <c r="AA74" s="1159"/>
      <c r="AB74" s="1160"/>
      <c r="AC74" s="1161"/>
      <c r="AD74" s="1157"/>
      <c r="AE74" s="1159"/>
      <c r="AF74" s="1160"/>
      <c r="AG74" s="1161"/>
      <c r="AH74" s="1157"/>
      <c r="AI74" s="1159"/>
      <c r="AJ74" s="1157"/>
      <c r="AK74" s="1159"/>
      <c r="AL74" s="1157"/>
      <c r="AM74" s="1159"/>
    </row>
    <row r="75" spans="1:77" ht="15" customHeight="1">
      <c r="A75" s="5646" t="s">
        <v>91</v>
      </c>
      <c r="B75" s="5646"/>
      <c r="C75" s="1162">
        <f t="shared" si="48"/>
        <v>0</v>
      </c>
      <c r="D75" s="562">
        <f>SUM(F75,H75,J75,L75,N75,P75,R75,T75,V75,X75,Z75,AB75,AD75,AF75,AH75,AJ75,AL75)</f>
        <v>0</v>
      </c>
      <c r="E75" s="1156">
        <f>SUM(G75,I75,K75,M75,O75,Q75,S75,U75,W75,Y75,AA75,AC75,AE75,AG75,AI75,AK75,AM75)</f>
        <v>0</v>
      </c>
      <c r="F75" s="1163">
        <f t="shared" ref="F75:AM75" si="51">SUM(F73:F74)</f>
        <v>0</v>
      </c>
      <c r="G75" s="1164">
        <f t="shared" si="51"/>
        <v>0</v>
      </c>
      <c r="H75" s="1163">
        <f t="shared" si="51"/>
        <v>0</v>
      </c>
      <c r="I75" s="1164">
        <f t="shared" si="51"/>
        <v>0</v>
      </c>
      <c r="J75" s="1163">
        <f t="shared" si="51"/>
        <v>0</v>
      </c>
      <c r="K75" s="1164">
        <f t="shared" si="51"/>
        <v>0</v>
      </c>
      <c r="L75" s="1163">
        <f t="shared" si="51"/>
        <v>0</v>
      </c>
      <c r="M75" s="1164">
        <f t="shared" si="51"/>
        <v>0</v>
      </c>
      <c r="N75" s="1163">
        <f t="shared" si="51"/>
        <v>0</v>
      </c>
      <c r="O75" s="1164">
        <f t="shared" si="51"/>
        <v>0</v>
      </c>
      <c r="P75" s="1163">
        <f t="shared" si="51"/>
        <v>0</v>
      </c>
      <c r="Q75" s="1164">
        <f t="shared" si="51"/>
        <v>0</v>
      </c>
      <c r="R75" s="1163">
        <f t="shared" si="51"/>
        <v>0</v>
      </c>
      <c r="S75" s="1164">
        <f t="shared" si="51"/>
        <v>0</v>
      </c>
      <c r="T75" s="1163">
        <f t="shared" si="51"/>
        <v>0</v>
      </c>
      <c r="U75" s="1164">
        <f t="shared" si="51"/>
        <v>0</v>
      </c>
      <c r="V75" s="1163">
        <f t="shared" si="51"/>
        <v>0</v>
      </c>
      <c r="W75" s="1164">
        <f t="shared" si="51"/>
        <v>0</v>
      </c>
      <c r="X75" s="1163">
        <f t="shared" si="51"/>
        <v>0</v>
      </c>
      <c r="Y75" s="1164">
        <f t="shared" si="51"/>
        <v>0</v>
      </c>
      <c r="Z75" s="1163">
        <f t="shared" si="51"/>
        <v>0</v>
      </c>
      <c r="AA75" s="1164">
        <f t="shared" si="51"/>
        <v>0</v>
      </c>
      <c r="AB75" s="1163">
        <f t="shared" si="51"/>
        <v>0</v>
      </c>
      <c r="AC75" s="1164">
        <f t="shared" si="51"/>
        <v>0</v>
      </c>
      <c r="AD75" s="1163">
        <f t="shared" si="51"/>
        <v>0</v>
      </c>
      <c r="AE75" s="1164">
        <f t="shared" si="51"/>
        <v>0</v>
      </c>
      <c r="AF75" s="1163">
        <f t="shared" si="51"/>
        <v>0</v>
      </c>
      <c r="AG75" s="1164">
        <f t="shared" si="51"/>
        <v>0</v>
      </c>
      <c r="AH75" s="1163">
        <f t="shared" si="51"/>
        <v>0</v>
      </c>
      <c r="AI75" s="1164">
        <f t="shared" si="51"/>
        <v>0</v>
      </c>
      <c r="AJ75" s="1163">
        <f t="shared" si="51"/>
        <v>0</v>
      </c>
      <c r="AK75" s="1164">
        <f t="shared" si="51"/>
        <v>0</v>
      </c>
      <c r="AL75" s="1163">
        <f t="shared" si="51"/>
        <v>0</v>
      </c>
      <c r="AM75" s="1164">
        <f t="shared" si="51"/>
        <v>0</v>
      </c>
      <c r="BO75" s="1"/>
      <c r="BP75" s="1"/>
    </row>
    <row r="76" spans="1:77" ht="18" customHeight="1">
      <c r="A76" s="5691" t="s">
        <v>549</v>
      </c>
      <c r="B76" s="5691"/>
      <c r="C76" s="5691"/>
      <c r="D76" s="5691"/>
      <c r="E76" s="5691"/>
      <c r="F76" s="5691"/>
      <c r="G76" s="5691"/>
      <c r="H76" s="782"/>
      <c r="I76" s="782"/>
      <c r="J76" s="782"/>
      <c r="K76" s="782"/>
      <c r="L76" s="782"/>
      <c r="M76" s="782"/>
      <c r="N76" s="624"/>
      <c r="O76" s="624"/>
      <c r="P76" s="624"/>
      <c r="Q76" s="1165"/>
      <c r="R76" s="1165"/>
      <c r="S76" s="1165"/>
      <c r="T76" s="1165"/>
      <c r="U76" s="1165"/>
      <c r="V76" s="1165"/>
      <c r="W76" s="624"/>
      <c r="X76" s="1165"/>
      <c r="Y76" s="1165"/>
      <c r="Z76" s="1165"/>
      <c r="AA76" s="1166"/>
      <c r="AB76" s="1166"/>
      <c r="AC76" s="1166"/>
      <c r="AD76" s="1166"/>
      <c r="AE76" s="1167"/>
      <c r="AF76" s="1167"/>
      <c r="AG76" s="1167"/>
      <c r="AH76" s="1168"/>
      <c r="AI76" s="1169"/>
      <c r="AJ76" s="1169"/>
      <c r="AK76" s="1169"/>
      <c r="AL76" s="1169"/>
      <c r="AM76" s="1169"/>
      <c r="AN76" s="1169"/>
    </row>
    <row r="77" spans="1:77" ht="15" customHeight="1">
      <c r="A77" s="5611" t="s">
        <v>41</v>
      </c>
      <c r="B77" s="5642" t="s">
        <v>550</v>
      </c>
      <c r="C77" s="5642" t="s">
        <v>91</v>
      </c>
      <c r="D77" s="5627"/>
      <c r="E77" s="5624"/>
      <c r="F77" s="5647" t="s">
        <v>115</v>
      </c>
      <c r="G77" s="5649"/>
      <c r="H77" s="5649"/>
      <c r="I77" s="5649"/>
      <c r="J77" s="5649"/>
      <c r="K77" s="5649"/>
      <c r="L77" s="5649"/>
      <c r="M77" s="5649"/>
      <c r="N77" s="5649"/>
      <c r="O77" s="5649"/>
      <c r="P77" s="5649"/>
      <c r="Q77" s="5649"/>
      <c r="R77" s="5649"/>
      <c r="S77" s="5649"/>
      <c r="T77" s="5649"/>
      <c r="U77" s="5649"/>
      <c r="V77" s="5649"/>
      <c r="W77" s="5649"/>
      <c r="X77" s="5649"/>
      <c r="Y77" s="5649"/>
      <c r="Z77" s="5649"/>
      <c r="AA77" s="5649"/>
      <c r="AB77" s="5649"/>
      <c r="AC77" s="5649"/>
      <c r="AD77" s="5649"/>
      <c r="AE77" s="5649"/>
      <c r="AF77" s="5649"/>
      <c r="AG77" s="5649"/>
      <c r="AH77" s="5649"/>
      <c r="AI77" s="6040"/>
      <c r="AJ77" s="5627" t="s">
        <v>476</v>
      </c>
      <c r="AK77" s="5613" t="s">
        <v>81</v>
      </c>
      <c r="AL77" s="5627" t="s">
        <v>50</v>
      </c>
      <c r="AM77" s="5613" t="s">
        <v>51</v>
      </c>
      <c r="AN77" s="5613" t="s">
        <v>47</v>
      </c>
    </row>
    <row r="78" spans="1:77" ht="15" customHeight="1">
      <c r="A78" s="5641"/>
      <c r="B78" s="5643"/>
      <c r="C78" s="5659"/>
      <c r="D78" s="5731"/>
      <c r="E78" s="5625"/>
      <c r="F78" s="5647" t="s">
        <v>551</v>
      </c>
      <c r="G78" s="5648"/>
      <c r="H78" s="5647" t="s">
        <v>346</v>
      </c>
      <c r="I78" s="5648"/>
      <c r="J78" s="5615" t="s">
        <v>347</v>
      </c>
      <c r="K78" s="5652"/>
      <c r="L78" s="5615" t="s">
        <v>108</v>
      </c>
      <c r="M78" s="5652"/>
      <c r="N78" s="5647" t="s">
        <v>552</v>
      </c>
      <c r="O78" s="5648"/>
      <c r="P78" s="5647" t="s">
        <v>553</v>
      </c>
      <c r="Q78" s="5648"/>
      <c r="R78" s="5615" t="s">
        <v>59</v>
      </c>
      <c r="S78" s="5652"/>
      <c r="T78" s="5615" t="s">
        <v>60</v>
      </c>
      <c r="U78" s="5652"/>
      <c r="V78" s="5615" t="s">
        <v>61</v>
      </c>
      <c r="W78" s="5652"/>
      <c r="X78" s="5615" t="s">
        <v>62</v>
      </c>
      <c r="Y78" s="5652"/>
      <c r="Z78" s="5615" t="s">
        <v>63</v>
      </c>
      <c r="AA78" s="5652"/>
      <c r="AB78" s="5615" t="s">
        <v>64</v>
      </c>
      <c r="AC78" s="5652"/>
      <c r="AD78" s="5615" t="s">
        <v>65</v>
      </c>
      <c r="AE78" s="5652"/>
      <c r="AF78" s="5615" t="s">
        <v>66</v>
      </c>
      <c r="AG78" s="5652"/>
      <c r="AH78" s="5615" t="s">
        <v>67</v>
      </c>
      <c r="AI78" s="6041"/>
      <c r="AJ78" s="5644"/>
      <c r="AK78" s="5671"/>
      <c r="AL78" s="5644"/>
      <c r="AM78" s="5671"/>
      <c r="AN78" s="5671"/>
    </row>
    <row r="79" spans="1:77" ht="15" customHeight="1">
      <c r="A79" s="5612"/>
      <c r="B79" s="5659"/>
      <c r="C79" s="75" t="s">
        <v>93</v>
      </c>
      <c r="D79" s="196" t="s">
        <v>72</v>
      </c>
      <c r="E79" s="76" t="s">
        <v>73</v>
      </c>
      <c r="F79" s="75" t="s">
        <v>72</v>
      </c>
      <c r="G79" s="76" t="s">
        <v>73</v>
      </c>
      <c r="H79" s="196" t="s">
        <v>72</v>
      </c>
      <c r="I79" s="76" t="s">
        <v>73</v>
      </c>
      <c r="J79" s="75" t="s">
        <v>72</v>
      </c>
      <c r="K79" s="76" t="s">
        <v>73</v>
      </c>
      <c r="L79" s="75" t="s">
        <v>72</v>
      </c>
      <c r="M79" s="76" t="s">
        <v>73</v>
      </c>
      <c r="N79" s="75" t="s">
        <v>72</v>
      </c>
      <c r="O79" s="76" t="s">
        <v>73</v>
      </c>
      <c r="P79" s="75" t="s">
        <v>72</v>
      </c>
      <c r="Q79" s="76" t="s">
        <v>73</v>
      </c>
      <c r="R79" s="75" t="s">
        <v>72</v>
      </c>
      <c r="S79" s="76" t="s">
        <v>73</v>
      </c>
      <c r="T79" s="75" t="s">
        <v>72</v>
      </c>
      <c r="U79" s="76" t="s">
        <v>73</v>
      </c>
      <c r="V79" s="75" t="s">
        <v>72</v>
      </c>
      <c r="W79" s="76" t="s">
        <v>73</v>
      </c>
      <c r="X79" s="75" t="s">
        <v>72</v>
      </c>
      <c r="Y79" s="76" t="s">
        <v>73</v>
      </c>
      <c r="Z79" s="75" t="s">
        <v>72</v>
      </c>
      <c r="AA79" s="76" t="s">
        <v>73</v>
      </c>
      <c r="AB79" s="75" t="s">
        <v>72</v>
      </c>
      <c r="AC79" s="76" t="s">
        <v>73</v>
      </c>
      <c r="AD79" s="75" t="s">
        <v>72</v>
      </c>
      <c r="AE79" s="76" t="s">
        <v>73</v>
      </c>
      <c r="AF79" s="75" t="s">
        <v>72</v>
      </c>
      <c r="AG79" s="76" t="s">
        <v>73</v>
      </c>
      <c r="AH79" s="75" t="s">
        <v>72</v>
      </c>
      <c r="AI79" s="1170" t="s">
        <v>73</v>
      </c>
      <c r="AJ79" s="5731"/>
      <c r="AK79" s="5614"/>
      <c r="AL79" s="5731"/>
      <c r="AM79" s="5614"/>
      <c r="AN79" s="5614"/>
    </row>
    <row r="80" spans="1:77" ht="15" customHeight="1">
      <c r="A80" s="1171" t="s">
        <v>554</v>
      </c>
      <c r="B80" s="1172" t="s">
        <v>555</v>
      </c>
      <c r="C80" s="480">
        <f t="shared" si="48"/>
        <v>0</v>
      </c>
      <c r="D80" s="481">
        <f t="shared" ref="D80:E83" si="52">SUM(F80,H80,J80,L80,N80,P80,R80,T80,V80,X80,Z80,AB80,AD80,AF80,AH80)</f>
        <v>0</v>
      </c>
      <c r="E80" s="482">
        <f>SUM(G80,I80,K80,M80,O80,Q80,S80,U80,W80,Y80,AA80,AC80,AE80,AG80,AI80)</f>
        <v>0</v>
      </c>
      <c r="F80" s="157"/>
      <c r="G80" s="564"/>
      <c r="H80" s="303"/>
      <c r="I80" s="564"/>
      <c r="J80" s="157"/>
      <c r="K80" s="315"/>
      <c r="L80" s="157"/>
      <c r="M80" s="315"/>
      <c r="N80" s="157"/>
      <c r="O80" s="315"/>
      <c r="P80" s="157"/>
      <c r="Q80" s="315"/>
      <c r="R80" s="157"/>
      <c r="S80" s="315"/>
      <c r="T80" s="157"/>
      <c r="U80" s="315"/>
      <c r="V80" s="157"/>
      <c r="W80" s="315"/>
      <c r="X80" s="157"/>
      <c r="Y80" s="315"/>
      <c r="Z80" s="157"/>
      <c r="AA80" s="315"/>
      <c r="AB80" s="157"/>
      <c r="AC80" s="315"/>
      <c r="AD80" s="157"/>
      <c r="AE80" s="315"/>
      <c r="AF80" s="157"/>
      <c r="AG80" s="315"/>
      <c r="AH80" s="157"/>
      <c r="AI80" s="304"/>
      <c r="AJ80" s="321"/>
      <c r="AK80" s="322"/>
      <c r="AL80" s="596"/>
      <c r="AM80" s="322"/>
      <c r="AN80" s="322"/>
      <c r="AO80" s="48" t="str">
        <f t="shared" ref="AO80:AO83" si="53">BO80&amp;BP80&amp;BQ80&amp;BR80&amp;BS80</f>
        <v/>
      </c>
      <c r="BO80" s="1009" t="str">
        <f t="shared" ref="BO80:BO83" si="54">IF(AND(E80&gt;0,AJ80="")," *  No olvide digitar la variable Gestantes. Digite Cero si no tiene.",IF(AJ80&gt;E80,"  * La variable Gestantes No puede ser mayor al Total Mujeres.",""))</f>
        <v/>
      </c>
      <c r="BP80" s="1009" t="str">
        <f t="shared" ref="BP80:BP83" si="55">IF(AND(E80&gt;0,AK80="")," *  No olvide digitar la variable Postparto. Digite Cero si no tiene.",IF(AK80&gt;E80,"  * La variable Postparto No puede ser mayor al Total Mujeres.",""))</f>
        <v/>
      </c>
      <c r="BQ80" s="1009" t="str">
        <f t="shared" ref="BQ80:BQ83" si="56">IF(AND(C80&gt;0,AL80="")," *  No olvide digitar la variable Pueblos originarios. Digite Cero si no tiene.",IF(AL80&gt;C80,"  * La variable Pueblos originarios No puede ser mayor al Total.",""))</f>
        <v/>
      </c>
      <c r="BR80" s="1009" t="str">
        <f t="shared" ref="BR80:BR83" si="57">IF(AND(C80&gt;0,AM80="")," *  No olvide digitar la variable Migrantes. Digite Cero si no tiene.",IF(AM80&gt;C80,"  * La variable Migrantes No puede ser mayor al Total.",""))</f>
        <v/>
      </c>
      <c r="BS80" s="1009" t="str">
        <f t="shared" ref="BS80:BS83" si="58">IF(AND(C80&gt;0,AN80="")," *  No olvide digitar la variable Espacios Amigables/adolescentes. Digite Cero si no tiene.",IF(AN80&gt;C80,"  * La variable Espacios Amigables/adolescentes No puede ser mayor al Total.",""))</f>
        <v/>
      </c>
      <c r="BU80" s="1010">
        <f t="shared" ref="BU80:BU83" si="59">IF(AND(E80&gt;0,AJ80=""),1,IF(AJ80&gt;E80,1,0))</f>
        <v>0</v>
      </c>
      <c r="BV80" s="1010">
        <f t="shared" ref="BV80:BV83" si="60">IF(AND(E80&gt;0,AK80=""),1,IF(AK80&gt;E80,1,0))</f>
        <v>0</v>
      </c>
      <c r="BW80" s="1010">
        <f t="shared" ref="BW80:BW83" si="61">IF(AND(C80&gt;0,AL80=""),1,IF(AL80&gt;C80,1,0))</f>
        <v>0</v>
      </c>
      <c r="BX80" s="1010">
        <f t="shared" ref="BX80:BX83" si="62">IF(AND(C80&gt;0,AM80=""),1,IF(AM80&gt;C80,1,0))</f>
        <v>0</v>
      </c>
      <c r="BY80" s="1010">
        <f t="shared" ref="BY80:BY83" si="63">IF(AND(C80&gt;0,AN80=""),1,IF(AN80&gt;C80,1,0))</f>
        <v>0</v>
      </c>
    </row>
    <row r="81" spans="1:77" ht="15" customHeight="1">
      <c r="A81" s="6037" t="s">
        <v>556</v>
      </c>
      <c r="B81" s="485" t="s">
        <v>557</v>
      </c>
      <c r="C81" s="1001">
        <f t="shared" si="48"/>
        <v>0</v>
      </c>
      <c r="D81" s="577">
        <f t="shared" si="52"/>
        <v>0</v>
      </c>
      <c r="E81" s="1174">
        <f t="shared" si="52"/>
        <v>0</v>
      </c>
      <c r="F81" s="164"/>
      <c r="G81" s="94"/>
      <c r="H81" s="184"/>
      <c r="I81" s="94"/>
      <c r="J81" s="164"/>
      <c r="K81" s="515"/>
      <c r="L81" s="164"/>
      <c r="M81" s="515"/>
      <c r="N81" s="164"/>
      <c r="O81" s="515"/>
      <c r="P81" s="164"/>
      <c r="Q81" s="515"/>
      <c r="R81" s="164"/>
      <c r="S81" s="515"/>
      <c r="T81" s="164"/>
      <c r="U81" s="515"/>
      <c r="V81" s="164"/>
      <c r="W81" s="515"/>
      <c r="X81" s="164"/>
      <c r="Y81" s="515"/>
      <c r="Z81" s="164"/>
      <c r="AA81" s="515"/>
      <c r="AB81" s="164"/>
      <c r="AC81" s="515"/>
      <c r="AD81" s="164"/>
      <c r="AE81" s="515"/>
      <c r="AF81" s="164"/>
      <c r="AG81" s="515"/>
      <c r="AH81" s="164"/>
      <c r="AI81" s="778"/>
      <c r="AJ81" s="517"/>
      <c r="AK81" s="282"/>
      <c r="AL81" s="92"/>
      <c r="AM81" s="282"/>
      <c r="AN81" s="282"/>
      <c r="AO81" s="48" t="str">
        <f t="shared" si="53"/>
        <v/>
      </c>
      <c r="BO81" s="1009" t="str">
        <f t="shared" si="54"/>
        <v/>
      </c>
      <c r="BP81" s="1009" t="str">
        <f t="shared" si="55"/>
        <v/>
      </c>
      <c r="BQ81" s="1009" t="str">
        <f t="shared" si="56"/>
        <v/>
      </c>
      <c r="BR81" s="1009" t="str">
        <f t="shared" si="57"/>
        <v/>
      </c>
      <c r="BS81" s="1009" t="str">
        <f t="shared" si="58"/>
        <v/>
      </c>
      <c r="BU81" s="1010">
        <f t="shared" si="59"/>
        <v>0</v>
      </c>
      <c r="BV81" s="1010">
        <f t="shared" si="60"/>
        <v>0</v>
      </c>
      <c r="BW81" s="1010">
        <f t="shared" si="61"/>
        <v>0</v>
      </c>
      <c r="BX81" s="1010">
        <f t="shared" si="62"/>
        <v>0</v>
      </c>
      <c r="BY81" s="1010">
        <f t="shared" si="63"/>
        <v>0</v>
      </c>
    </row>
    <row r="82" spans="1:77" ht="15" customHeight="1">
      <c r="A82" s="6037"/>
      <c r="B82" s="284" t="s">
        <v>558</v>
      </c>
      <c r="C82" s="1043">
        <f t="shared" si="48"/>
        <v>0</v>
      </c>
      <c r="D82" s="577">
        <f t="shared" si="52"/>
        <v>0</v>
      </c>
      <c r="E82" s="1174">
        <f t="shared" si="52"/>
        <v>0</v>
      </c>
      <c r="F82" s="534"/>
      <c r="G82" s="634"/>
      <c r="H82" s="757"/>
      <c r="I82" s="634"/>
      <c r="J82" s="534"/>
      <c r="K82" s="535"/>
      <c r="L82" s="534"/>
      <c r="M82" s="535"/>
      <c r="N82" s="534"/>
      <c r="O82" s="535"/>
      <c r="P82" s="534"/>
      <c r="Q82" s="535"/>
      <c r="R82" s="534"/>
      <c r="S82" s="535"/>
      <c r="T82" s="534"/>
      <c r="U82" s="535"/>
      <c r="V82" s="534"/>
      <c r="W82" s="535"/>
      <c r="X82" s="534"/>
      <c r="Y82" s="535"/>
      <c r="Z82" s="534"/>
      <c r="AA82" s="535"/>
      <c r="AB82" s="534"/>
      <c r="AC82" s="535"/>
      <c r="AD82" s="534"/>
      <c r="AE82" s="535"/>
      <c r="AF82" s="534"/>
      <c r="AG82" s="535"/>
      <c r="AH82" s="534"/>
      <c r="AI82" s="704"/>
      <c r="AJ82" s="538"/>
      <c r="AK82" s="539"/>
      <c r="AL82" s="659"/>
      <c r="AM82" s="539"/>
      <c r="AN82" s="539"/>
      <c r="AO82" s="48" t="str">
        <f t="shared" si="53"/>
        <v/>
      </c>
      <c r="BO82" s="1009" t="str">
        <f t="shared" si="54"/>
        <v/>
      </c>
      <c r="BP82" s="1009" t="str">
        <f t="shared" si="55"/>
        <v/>
      </c>
      <c r="BQ82" s="1009" t="str">
        <f t="shared" si="56"/>
        <v/>
      </c>
      <c r="BR82" s="1009" t="str">
        <f t="shared" si="57"/>
        <v/>
      </c>
      <c r="BS82" s="1009" t="str">
        <f t="shared" si="58"/>
        <v/>
      </c>
      <c r="BU82" s="1010">
        <f t="shared" si="59"/>
        <v>0</v>
      </c>
      <c r="BV82" s="1010">
        <f t="shared" si="60"/>
        <v>0</v>
      </c>
      <c r="BW82" s="1010">
        <f t="shared" si="61"/>
        <v>0</v>
      </c>
      <c r="BX82" s="1010">
        <f t="shared" si="62"/>
        <v>0</v>
      </c>
      <c r="BY82" s="1010">
        <f t="shared" si="63"/>
        <v>0</v>
      </c>
    </row>
    <row r="83" spans="1:77" ht="15" customHeight="1">
      <c r="A83" s="1173" t="s">
        <v>525</v>
      </c>
      <c r="B83" s="1175" t="s">
        <v>559</v>
      </c>
      <c r="C83" s="480">
        <f t="shared" si="48"/>
        <v>0</v>
      </c>
      <c r="D83" s="481">
        <f t="shared" si="52"/>
        <v>0</v>
      </c>
      <c r="E83" s="482">
        <f t="shared" si="52"/>
        <v>0</v>
      </c>
      <c r="F83" s="483"/>
      <c r="G83" s="484"/>
      <c r="H83" s="1176"/>
      <c r="I83" s="484"/>
      <c r="J83" s="483"/>
      <c r="K83" s="503"/>
      <c r="L83" s="483"/>
      <c r="M83" s="503"/>
      <c r="N83" s="483"/>
      <c r="O83" s="503"/>
      <c r="P83" s="483"/>
      <c r="Q83" s="503"/>
      <c r="R83" s="483"/>
      <c r="S83" s="503"/>
      <c r="T83" s="483"/>
      <c r="U83" s="503"/>
      <c r="V83" s="483"/>
      <c r="W83" s="503"/>
      <c r="X83" s="483"/>
      <c r="Y83" s="503"/>
      <c r="Z83" s="483"/>
      <c r="AA83" s="503"/>
      <c r="AB83" s="483"/>
      <c r="AC83" s="503"/>
      <c r="AD83" s="483"/>
      <c r="AE83" s="503"/>
      <c r="AF83" s="483"/>
      <c r="AG83" s="503"/>
      <c r="AH83" s="483"/>
      <c r="AI83" s="1177"/>
      <c r="AJ83" s="505"/>
      <c r="AK83" s="506"/>
      <c r="AL83" s="1178"/>
      <c r="AM83" s="506"/>
      <c r="AN83" s="506"/>
      <c r="AO83" s="48" t="str">
        <f t="shared" si="53"/>
        <v/>
      </c>
      <c r="BO83" s="1009" t="str">
        <f t="shared" si="54"/>
        <v/>
      </c>
      <c r="BP83" s="1009" t="str">
        <f t="shared" si="55"/>
        <v/>
      </c>
      <c r="BQ83" s="1009" t="str">
        <f t="shared" si="56"/>
        <v/>
      </c>
      <c r="BR83" s="1009" t="str">
        <f t="shared" si="57"/>
        <v/>
      </c>
      <c r="BS83" s="1009" t="str">
        <f t="shared" si="58"/>
        <v/>
      </c>
      <c r="BU83" s="1010">
        <f t="shared" si="59"/>
        <v>0</v>
      </c>
      <c r="BV83" s="1010">
        <f t="shared" si="60"/>
        <v>0</v>
      </c>
      <c r="BW83" s="1010">
        <f t="shared" si="61"/>
        <v>0</v>
      </c>
      <c r="BX83" s="1010">
        <f t="shared" si="62"/>
        <v>0</v>
      </c>
      <c r="BY83" s="1010">
        <f t="shared" si="63"/>
        <v>0</v>
      </c>
    </row>
    <row r="84" spans="1:77" ht="18" customHeight="1">
      <c r="A84" s="763" t="s">
        <v>560</v>
      </c>
      <c r="B84" s="624"/>
      <c r="C84" s="624"/>
      <c r="D84" s="624"/>
      <c r="E84" s="624"/>
      <c r="F84" s="624"/>
    </row>
    <row r="85" spans="1:77" ht="31.15" customHeight="1">
      <c r="A85" s="6035" t="s">
        <v>322</v>
      </c>
      <c r="B85" s="6036"/>
      <c r="C85" s="5646" t="s">
        <v>561</v>
      </c>
      <c r="D85" s="5663" t="s">
        <v>562</v>
      </c>
      <c r="E85" s="5652" t="s">
        <v>563</v>
      </c>
      <c r="F85" s="5646" t="s">
        <v>564</v>
      </c>
    </row>
    <row r="86" spans="1:77" ht="24.6" customHeight="1">
      <c r="A86" s="6035"/>
      <c r="B86" s="6036"/>
      <c r="C86" s="5646"/>
      <c r="D86" s="5663"/>
      <c r="E86" s="5652"/>
      <c r="F86" s="5646"/>
    </row>
    <row r="87" spans="1:77" ht="15" customHeight="1">
      <c r="A87" s="6025" t="s">
        <v>565</v>
      </c>
      <c r="B87" s="6026"/>
      <c r="C87" s="6026"/>
      <c r="D87" s="6026"/>
      <c r="E87" s="6026"/>
      <c r="F87" s="6027"/>
    </row>
    <row r="88" spans="1:77" ht="15" customHeight="1">
      <c r="A88" s="485" t="s">
        <v>566</v>
      </c>
      <c r="B88" s="1179"/>
      <c r="C88" s="1180"/>
      <c r="D88" s="1181"/>
      <c r="E88" s="1004"/>
      <c r="F88" s="1180"/>
    </row>
    <row r="89" spans="1:77" ht="15" customHeight="1">
      <c r="A89" s="648" t="s">
        <v>567</v>
      </c>
      <c r="B89" s="1182"/>
      <c r="C89" s="1183"/>
      <c r="D89" s="1184"/>
      <c r="E89" s="1014"/>
      <c r="F89" s="1183"/>
    </row>
    <row r="90" spans="1:77" ht="15" customHeight="1">
      <c r="A90" s="648" t="s">
        <v>568</v>
      </c>
      <c r="B90" s="1182"/>
      <c r="C90" s="1183"/>
      <c r="D90" s="1184"/>
      <c r="E90" s="1014"/>
      <c r="F90" s="1183"/>
    </row>
    <row r="91" spans="1:77" ht="15" customHeight="1">
      <c r="A91" s="648" t="s">
        <v>569</v>
      </c>
      <c r="B91" s="1182"/>
      <c r="C91" s="1183"/>
      <c r="D91" s="1184"/>
      <c r="E91" s="1014"/>
      <c r="F91" s="1183"/>
    </row>
    <row r="92" spans="1:77" ht="15" customHeight="1">
      <c r="A92" s="169" t="s">
        <v>570</v>
      </c>
      <c r="B92" s="1185"/>
      <c r="C92" s="1127"/>
      <c r="D92" s="1186"/>
      <c r="E92" s="1187"/>
      <c r="F92" s="1127"/>
    </row>
    <row r="93" spans="1:77" ht="15" customHeight="1">
      <c r="A93" s="6025" t="s">
        <v>571</v>
      </c>
      <c r="B93" s="6026"/>
      <c r="C93" s="6026"/>
      <c r="D93" s="6026"/>
      <c r="E93" s="6026"/>
      <c r="F93" s="6027"/>
    </row>
    <row r="94" spans="1:77" ht="15" customHeight="1">
      <c r="A94" s="277" t="s">
        <v>572</v>
      </c>
      <c r="B94" s="1188"/>
      <c r="C94" s="1180"/>
      <c r="D94" s="1181"/>
      <c r="E94" s="1004"/>
      <c r="F94" s="1180"/>
    </row>
    <row r="95" spans="1:77" ht="15" customHeight="1">
      <c r="A95" s="284" t="s">
        <v>573</v>
      </c>
      <c r="B95" s="655"/>
      <c r="C95" s="1183"/>
      <c r="D95" s="1184"/>
      <c r="E95" s="1014"/>
      <c r="F95" s="1183"/>
    </row>
    <row r="96" spans="1:77" ht="21.6" customHeight="1">
      <c r="A96" s="146" t="s">
        <v>574</v>
      </c>
      <c r="B96" s="124"/>
      <c r="C96" s="1189"/>
      <c r="D96" s="1186"/>
      <c r="E96" s="1093"/>
      <c r="F96" s="1189"/>
    </row>
    <row r="97" spans="1:18" ht="21.6" customHeight="1">
      <c r="A97" s="763" t="s">
        <v>575</v>
      </c>
      <c r="B97" s="624"/>
      <c r="C97" s="624"/>
      <c r="D97" s="624"/>
      <c r="E97" s="624"/>
    </row>
    <row r="98" spans="1:18" ht="21.6" customHeight="1">
      <c r="A98" s="6035" t="s">
        <v>322</v>
      </c>
      <c r="B98" s="5646" t="s">
        <v>91</v>
      </c>
      <c r="C98" s="5646" t="s">
        <v>561</v>
      </c>
      <c r="D98" s="5646" t="s">
        <v>562</v>
      </c>
      <c r="E98" s="5652" t="s">
        <v>576</v>
      </c>
    </row>
    <row r="99" spans="1:18" ht="21.6" customHeight="1">
      <c r="A99" s="6035"/>
      <c r="B99" s="5646"/>
      <c r="C99" s="5646"/>
      <c r="D99" s="5646"/>
      <c r="E99" s="5652"/>
    </row>
    <row r="100" spans="1:18" ht="15" customHeight="1">
      <c r="A100" s="1190" t="s">
        <v>565</v>
      </c>
      <c r="B100" s="1191"/>
      <c r="C100" s="1191"/>
      <c r="D100" s="1191"/>
      <c r="E100" s="1192"/>
    </row>
    <row r="101" spans="1:18" ht="15" customHeight="1">
      <c r="A101" s="485" t="s">
        <v>566</v>
      </c>
      <c r="B101" s="1193">
        <f t="shared" ref="B101:B109" si="64">SUM(C101:E101)</f>
        <v>0</v>
      </c>
      <c r="C101" s="1180"/>
      <c r="D101" s="1180"/>
      <c r="E101" s="1004"/>
    </row>
    <row r="102" spans="1:18" ht="15" customHeight="1">
      <c r="A102" s="648" t="s">
        <v>567</v>
      </c>
      <c r="B102" s="1194">
        <f t="shared" si="64"/>
        <v>0</v>
      </c>
      <c r="C102" s="1183"/>
      <c r="D102" s="1183"/>
      <c r="E102" s="1014"/>
    </row>
    <row r="103" spans="1:18" ht="15" customHeight="1">
      <c r="A103" s="648" t="s">
        <v>568</v>
      </c>
      <c r="B103" s="1194">
        <f t="shared" si="64"/>
        <v>0</v>
      </c>
      <c r="C103" s="1183"/>
      <c r="D103" s="1183"/>
      <c r="E103" s="1014"/>
    </row>
    <row r="104" spans="1:18" ht="15" customHeight="1">
      <c r="A104" s="648" t="s">
        <v>569</v>
      </c>
      <c r="B104" s="1194">
        <f t="shared" si="64"/>
        <v>0</v>
      </c>
      <c r="C104" s="1183"/>
      <c r="D104" s="1183"/>
      <c r="E104" s="1014"/>
    </row>
    <row r="105" spans="1:18" ht="15" customHeight="1">
      <c r="A105" s="169" t="s">
        <v>570</v>
      </c>
      <c r="B105" s="1195">
        <f t="shared" si="64"/>
        <v>0</v>
      </c>
      <c r="C105" s="1127"/>
      <c r="D105" s="1189"/>
      <c r="E105" s="1187"/>
    </row>
    <row r="106" spans="1:18" ht="15" customHeight="1">
      <c r="A106" s="1190" t="s">
        <v>571</v>
      </c>
      <c r="B106" s="1191"/>
      <c r="C106" s="1191"/>
      <c r="D106" s="1191"/>
      <c r="E106" s="1192"/>
    </row>
    <row r="107" spans="1:18" ht="15" customHeight="1">
      <c r="A107" s="277" t="s">
        <v>572</v>
      </c>
      <c r="B107" s="1193">
        <f t="shared" si="64"/>
        <v>0</v>
      </c>
      <c r="C107" s="1180"/>
      <c r="D107" s="1180"/>
      <c r="E107" s="1004"/>
    </row>
    <row r="108" spans="1:18" ht="15" customHeight="1">
      <c r="A108" s="284" t="s">
        <v>573</v>
      </c>
      <c r="B108" s="1194">
        <f t="shared" si="64"/>
        <v>0</v>
      </c>
      <c r="C108" s="1183"/>
      <c r="D108" s="1183"/>
      <c r="E108" s="1014"/>
    </row>
    <row r="109" spans="1:18" ht="20.25" customHeight="1">
      <c r="A109" s="146" t="s">
        <v>574</v>
      </c>
      <c r="B109" s="1196">
        <f t="shared" si="64"/>
        <v>0</v>
      </c>
      <c r="C109" s="1189"/>
      <c r="D109" s="1189"/>
      <c r="E109" s="1093"/>
    </row>
    <row r="110" spans="1:18" ht="18" customHeight="1">
      <c r="A110" s="6028" t="s">
        <v>577</v>
      </c>
      <c r="B110" s="6028"/>
      <c r="C110" s="6028"/>
      <c r="D110" s="6028"/>
      <c r="E110" s="6028"/>
      <c r="F110" s="6029"/>
      <c r="G110" s="1197"/>
      <c r="H110" s="1197"/>
      <c r="I110" s="1197"/>
      <c r="J110" s="1197"/>
      <c r="K110" s="1197"/>
      <c r="L110" s="1197"/>
      <c r="M110" s="1197"/>
      <c r="N110" s="1197"/>
      <c r="O110" s="1197"/>
    </row>
    <row r="111" spans="1:18" ht="24" customHeight="1">
      <c r="A111" s="6005" t="s">
        <v>578</v>
      </c>
      <c r="B111" s="6010" t="s">
        <v>579</v>
      </c>
      <c r="C111" s="6031"/>
      <c r="D111" s="6032"/>
      <c r="E111" s="6010" t="s">
        <v>580</v>
      </c>
      <c r="F111" s="6032"/>
      <c r="G111" s="6010" t="s">
        <v>581</v>
      </c>
      <c r="H111" s="6011"/>
      <c r="I111" s="6014" t="s">
        <v>582</v>
      </c>
      <c r="J111" s="6015"/>
      <c r="K111" s="6018" t="s">
        <v>583</v>
      </c>
      <c r="L111" s="6021" t="s">
        <v>584</v>
      </c>
      <c r="M111" s="6022"/>
      <c r="N111" s="6018"/>
      <c r="O111" s="6021" t="s">
        <v>585</v>
      </c>
      <c r="P111" s="6018"/>
      <c r="Q111" s="6021" t="s">
        <v>586</v>
      </c>
      <c r="R111" s="6018"/>
    </row>
    <row r="112" spans="1:18" ht="21" customHeight="1">
      <c r="A112" s="6030"/>
      <c r="B112" s="6012"/>
      <c r="C112" s="6033"/>
      <c r="D112" s="6034"/>
      <c r="E112" s="6012"/>
      <c r="F112" s="6034"/>
      <c r="G112" s="6012"/>
      <c r="H112" s="6013"/>
      <c r="I112" s="6016"/>
      <c r="J112" s="6017"/>
      <c r="K112" s="6019"/>
      <c r="L112" s="6023"/>
      <c r="M112" s="6024"/>
      <c r="N112" s="6020"/>
      <c r="O112" s="6023"/>
      <c r="P112" s="6020"/>
      <c r="Q112" s="6023"/>
      <c r="R112" s="6020"/>
    </row>
    <row r="113" spans="1:20" ht="41.25" customHeight="1">
      <c r="A113" s="6006"/>
      <c r="B113" s="1198" t="s">
        <v>587</v>
      </c>
      <c r="C113" s="1198" t="s">
        <v>588</v>
      </c>
      <c r="D113" s="1199" t="s">
        <v>589</v>
      </c>
      <c r="E113" s="1198" t="s">
        <v>590</v>
      </c>
      <c r="F113" s="1199" t="s">
        <v>591</v>
      </c>
      <c r="G113" s="1198" t="s">
        <v>592</v>
      </c>
      <c r="H113" s="1200" t="s">
        <v>593</v>
      </c>
      <c r="I113" s="1201" t="s">
        <v>590</v>
      </c>
      <c r="J113" s="1202" t="s">
        <v>591</v>
      </c>
      <c r="K113" s="6020"/>
      <c r="L113" s="1198" t="s">
        <v>594</v>
      </c>
      <c r="M113" s="1203" t="s">
        <v>588</v>
      </c>
      <c r="N113" s="1204" t="s">
        <v>595</v>
      </c>
      <c r="O113" s="1198" t="s">
        <v>592</v>
      </c>
      <c r="P113" s="1205" t="s">
        <v>593</v>
      </c>
      <c r="Q113" s="1198" t="s">
        <v>596</v>
      </c>
      <c r="R113" s="1205" t="s">
        <v>597</v>
      </c>
    </row>
    <row r="114" spans="1:20" ht="15" customHeight="1">
      <c r="A114" s="1206" t="s">
        <v>598</v>
      </c>
      <c r="B114" s="1207">
        <f t="shared" ref="B114:B137" si="65">SUM(C114:D114)</f>
        <v>0</v>
      </c>
      <c r="C114" s="1208"/>
      <c r="D114" s="1209"/>
      <c r="E114" s="1208"/>
      <c r="F114" s="1209"/>
      <c r="G114" s="1208"/>
      <c r="H114" s="1210"/>
      <c r="I114" s="1211"/>
      <c r="J114" s="1212"/>
      <c r="K114" s="1209"/>
      <c r="L114" s="1208"/>
      <c r="M114" s="1213"/>
      <c r="N114" s="1214"/>
      <c r="O114" s="1208"/>
      <c r="P114" s="1214"/>
      <c r="Q114" s="1215"/>
      <c r="R114" s="1216"/>
    </row>
    <row r="115" spans="1:20" ht="15" customHeight="1">
      <c r="A115" s="1217" t="s">
        <v>599</v>
      </c>
      <c r="B115" s="1207">
        <f t="shared" si="65"/>
        <v>0</v>
      </c>
      <c r="C115" s="1218"/>
      <c r="D115" s="1219"/>
      <c r="E115" s="1218"/>
      <c r="F115" s="1219"/>
      <c r="G115" s="1218"/>
      <c r="H115" s="1220"/>
      <c r="I115" s="1221"/>
      <c r="J115" s="1222"/>
      <c r="K115" s="1219"/>
      <c r="L115" s="1215"/>
      <c r="M115" s="1223"/>
      <c r="N115" s="1216"/>
      <c r="O115" s="1215"/>
      <c r="P115" s="1216"/>
      <c r="Q115" s="1208"/>
      <c r="R115" s="1214"/>
    </row>
    <row r="116" spans="1:20" ht="15" customHeight="1">
      <c r="A116" s="1217" t="s">
        <v>600</v>
      </c>
      <c r="B116" s="1224">
        <f t="shared" si="65"/>
        <v>0</v>
      </c>
      <c r="C116" s="1225"/>
      <c r="D116" s="1226"/>
      <c r="E116" s="1227"/>
      <c r="F116" s="1226"/>
      <c r="G116" s="1225"/>
      <c r="H116" s="1228"/>
      <c r="I116" s="1229"/>
      <c r="J116" s="1230"/>
      <c r="K116" s="1226"/>
      <c r="L116" s="1231"/>
      <c r="M116" s="1232"/>
      <c r="N116" s="1233"/>
      <c r="O116" s="1234"/>
      <c r="P116" s="1233"/>
      <c r="Q116" s="1225"/>
      <c r="R116" s="1235"/>
    </row>
    <row r="117" spans="1:20" ht="15" customHeight="1">
      <c r="A117" s="1236" t="s">
        <v>91</v>
      </c>
      <c r="B117" s="1237">
        <f t="shared" si="65"/>
        <v>0</v>
      </c>
      <c r="C117" s="1237">
        <f t="shared" ref="C117:K117" si="66">SUM(C114:C116)</f>
        <v>0</v>
      </c>
      <c r="D117" s="1238">
        <f t="shared" si="66"/>
        <v>0</v>
      </c>
      <c r="E117" s="1237">
        <f t="shared" si="66"/>
        <v>0</v>
      </c>
      <c r="F117" s="1238">
        <f t="shared" si="66"/>
        <v>0</v>
      </c>
      <c r="G117" s="1237">
        <f t="shared" si="66"/>
        <v>0</v>
      </c>
      <c r="H117" s="1239">
        <f t="shared" si="66"/>
        <v>0</v>
      </c>
      <c r="I117" s="1240">
        <f t="shared" si="66"/>
        <v>0</v>
      </c>
      <c r="J117" s="1241">
        <f t="shared" si="66"/>
        <v>0</v>
      </c>
      <c r="K117" s="1238">
        <f t="shared" si="66"/>
        <v>0</v>
      </c>
      <c r="L117" s="1237">
        <f>SUM(L114)</f>
        <v>0</v>
      </c>
      <c r="M117" s="1242">
        <f t="shared" ref="M117:P117" si="67">SUM(M114)</f>
        <v>0</v>
      </c>
      <c r="N117" s="1243">
        <f>SUM(N114)</f>
        <v>0</v>
      </c>
      <c r="O117" s="1237">
        <f t="shared" si="67"/>
        <v>0</v>
      </c>
      <c r="P117" s="1243">
        <f t="shared" si="67"/>
        <v>0</v>
      </c>
      <c r="Q117" s="1237">
        <f>SUM(Q115:Q116)</f>
        <v>0</v>
      </c>
      <c r="R117" s="1242">
        <f>SUM(R115:R116)</f>
        <v>0</v>
      </c>
    </row>
    <row r="118" spans="1:20" ht="15" customHeight="1">
      <c r="A118" s="6046" t="s">
        <v>601</v>
      </c>
      <c r="B118" s="6046"/>
      <c r="C118" s="6046"/>
      <c r="D118" s="6046"/>
      <c r="E118" s="6046"/>
      <c r="F118" s="6047"/>
      <c r="G118" s="1197"/>
      <c r="H118" s="1197"/>
      <c r="I118" s="1197"/>
      <c r="J118" s="1197"/>
      <c r="K118" s="1197"/>
      <c r="L118" s="1244"/>
      <c r="M118" s="1244"/>
      <c r="N118" s="1244"/>
      <c r="O118" s="1244"/>
      <c r="P118" s="1244"/>
      <c r="Q118" s="1244"/>
      <c r="R118" s="1244"/>
    </row>
    <row r="119" spans="1:20" ht="15" customHeight="1">
      <c r="A119" s="6005" t="s">
        <v>578</v>
      </c>
      <c r="B119" s="6010" t="s">
        <v>579</v>
      </c>
      <c r="C119" s="6031"/>
      <c r="D119" s="6032"/>
      <c r="E119" s="6010" t="s">
        <v>580</v>
      </c>
      <c r="F119" s="6031"/>
      <c r="G119" s="6031"/>
      <c r="H119" s="6032"/>
      <c r="I119" s="6010" t="s">
        <v>581</v>
      </c>
      <c r="J119" s="6011"/>
      <c r="K119" s="6018" t="s">
        <v>602</v>
      </c>
      <c r="L119" s="6010" t="s">
        <v>603</v>
      </c>
      <c r="M119" s="6032"/>
      <c r="N119" s="1244"/>
      <c r="O119" s="1244"/>
      <c r="P119" s="1244"/>
      <c r="Q119" s="1244"/>
      <c r="R119" s="1244"/>
      <c r="S119" s="1244"/>
      <c r="T119" s="1244"/>
    </row>
    <row r="120" spans="1:20" ht="15" customHeight="1">
      <c r="A120" s="6030"/>
      <c r="B120" s="6012"/>
      <c r="C120" s="6033"/>
      <c r="D120" s="6034"/>
      <c r="E120" s="6012"/>
      <c r="F120" s="6033"/>
      <c r="G120" s="6033"/>
      <c r="H120" s="6034"/>
      <c r="I120" s="6012"/>
      <c r="J120" s="6013"/>
      <c r="K120" s="6019"/>
      <c r="L120" s="6012"/>
      <c r="M120" s="6034"/>
      <c r="N120" s="1244"/>
      <c r="O120" s="1244"/>
      <c r="P120" s="1244"/>
      <c r="Q120" s="1244"/>
      <c r="R120" s="1244"/>
      <c r="S120" s="1244"/>
      <c r="T120" s="1244"/>
    </row>
    <row r="121" spans="1:20" ht="63.75" customHeight="1">
      <c r="A121" s="6006"/>
      <c r="B121" s="1198" t="s">
        <v>587</v>
      </c>
      <c r="C121" s="1198" t="s">
        <v>588</v>
      </c>
      <c r="D121" s="1199" t="s">
        <v>589</v>
      </c>
      <c r="E121" s="1198" t="s">
        <v>590</v>
      </c>
      <c r="F121" s="1199" t="s">
        <v>591</v>
      </c>
      <c r="G121" s="1198" t="s">
        <v>604</v>
      </c>
      <c r="H121" s="1199" t="s">
        <v>605</v>
      </c>
      <c r="I121" s="1198" t="s">
        <v>592</v>
      </c>
      <c r="J121" s="1200" t="s">
        <v>593</v>
      </c>
      <c r="K121" s="6020"/>
      <c r="L121" s="1198" t="s">
        <v>606</v>
      </c>
      <c r="M121" s="1205" t="s">
        <v>607</v>
      </c>
      <c r="N121" s="1244"/>
      <c r="O121" s="1244"/>
      <c r="P121" s="1244"/>
      <c r="Q121" s="1244"/>
      <c r="R121" s="1244"/>
      <c r="S121" s="1244"/>
      <c r="T121" s="1244"/>
    </row>
    <row r="122" spans="1:20" ht="15" customHeight="1">
      <c r="A122" s="1206" t="s">
        <v>608</v>
      </c>
      <c r="B122" s="1207">
        <f t="shared" si="65"/>
        <v>0</v>
      </c>
      <c r="C122" s="1208"/>
      <c r="D122" s="1209"/>
      <c r="E122" s="1245"/>
      <c r="F122" s="1246"/>
      <c r="G122" s="1245"/>
      <c r="H122" s="1246"/>
      <c r="I122" s="1208"/>
      <c r="J122" s="1210"/>
      <c r="K122" s="1246"/>
      <c r="L122" s="1208"/>
      <c r="M122" s="1214"/>
      <c r="N122" s="1244"/>
      <c r="O122" s="1244"/>
      <c r="P122" s="1244"/>
      <c r="Q122" s="1244"/>
      <c r="R122" s="1244"/>
      <c r="S122" s="1244"/>
      <c r="T122" s="1244"/>
    </row>
    <row r="123" spans="1:20" ht="15" customHeight="1">
      <c r="A123" s="1217" t="s">
        <v>609</v>
      </c>
      <c r="B123" s="1207">
        <f t="shared" si="65"/>
        <v>0</v>
      </c>
      <c r="C123" s="1218"/>
      <c r="D123" s="1219"/>
      <c r="E123" s="1218"/>
      <c r="F123" s="1219"/>
      <c r="G123" s="1218"/>
      <c r="H123" s="1219"/>
      <c r="I123" s="1218"/>
      <c r="J123" s="1220"/>
      <c r="K123" s="1219"/>
      <c r="L123" s="1218"/>
      <c r="M123" s="1247"/>
      <c r="N123" s="1244"/>
      <c r="O123" s="1244"/>
      <c r="P123" s="1244"/>
      <c r="Q123" s="1244"/>
      <c r="R123" s="1244"/>
      <c r="S123" s="1244"/>
      <c r="T123" s="1244"/>
    </row>
    <row r="124" spans="1:20" ht="15" customHeight="1">
      <c r="A124" s="1248" t="s">
        <v>576</v>
      </c>
      <c r="B124" s="1224">
        <f t="shared" si="65"/>
        <v>0</v>
      </c>
      <c r="C124" s="1225"/>
      <c r="D124" s="1249"/>
      <c r="E124" s="1231"/>
      <c r="F124" s="1250"/>
      <c r="G124" s="1231"/>
      <c r="H124" s="1250"/>
      <c r="I124" s="1225"/>
      <c r="J124" s="1251"/>
      <c r="K124" s="1250"/>
      <c r="L124" s="1225"/>
      <c r="M124" s="1235"/>
      <c r="N124" s="1244"/>
      <c r="O124" s="1244"/>
      <c r="P124" s="1244"/>
      <c r="Q124" s="1244"/>
      <c r="R124" s="1244"/>
      <c r="S124" s="1244"/>
      <c r="T124" s="1244"/>
    </row>
    <row r="125" spans="1:20" ht="18" customHeight="1">
      <c r="A125" s="470" t="s">
        <v>610</v>
      </c>
      <c r="B125" s="1252"/>
      <c r="C125" s="1252"/>
      <c r="D125" s="1253"/>
      <c r="E125" s="1254"/>
      <c r="F125" s="1254"/>
      <c r="G125" s="1254"/>
      <c r="H125" s="1254"/>
      <c r="I125" s="1255"/>
      <c r="J125" s="992"/>
      <c r="K125" s="1255"/>
      <c r="L125" s="992"/>
      <c r="M125" s="1256"/>
    </row>
    <row r="126" spans="1:20" ht="15" customHeight="1">
      <c r="A126" s="6003" t="s">
        <v>611</v>
      </c>
      <c r="B126" s="6005" t="s">
        <v>612</v>
      </c>
      <c r="C126" s="6007" t="s">
        <v>613</v>
      </c>
      <c r="D126" s="6008"/>
      <c r="E126" s="6008"/>
      <c r="F126" s="6008"/>
      <c r="G126" s="6008"/>
      <c r="H126" s="6008"/>
      <c r="I126" s="6008"/>
      <c r="J126" s="6008"/>
      <c r="K126" s="6008"/>
      <c r="L126" s="6009"/>
      <c r="M126" s="6005" t="s">
        <v>614</v>
      </c>
    </row>
    <row r="127" spans="1:20" ht="38.450000000000003" customHeight="1">
      <c r="A127" s="6004"/>
      <c r="B127" s="6006"/>
      <c r="C127" s="194" t="s">
        <v>78</v>
      </c>
      <c r="D127" s="69" t="s">
        <v>615</v>
      </c>
      <c r="E127" s="69" t="s">
        <v>112</v>
      </c>
      <c r="F127" s="69" t="s">
        <v>79</v>
      </c>
      <c r="G127" s="69" t="s">
        <v>119</v>
      </c>
      <c r="H127" s="68" t="s">
        <v>211</v>
      </c>
      <c r="I127" s="68" t="s">
        <v>616</v>
      </c>
      <c r="J127" s="69" t="s">
        <v>617</v>
      </c>
      <c r="K127" s="68" t="s">
        <v>618</v>
      </c>
      <c r="L127" s="191" t="s">
        <v>619</v>
      </c>
      <c r="M127" s="6006"/>
    </row>
    <row r="128" spans="1:20" ht="15" customHeight="1">
      <c r="A128" s="78" t="s">
        <v>620</v>
      </c>
      <c r="B128" s="1209"/>
      <c r="C128" s="1208"/>
      <c r="D128" s="1257"/>
      <c r="E128" s="1257"/>
      <c r="F128" s="1257"/>
      <c r="G128" s="1257"/>
      <c r="H128" s="1257"/>
      <c r="I128" s="1257"/>
      <c r="J128" s="1257"/>
      <c r="K128" s="1257"/>
      <c r="L128" s="1209"/>
      <c r="M128" s="1258"/>
    </row>
    <row r="129" spans="1:76" ht="15" customHeight="1">
      <c r="A129" s="206" t="s">
        <v>621</v>
      </c>
      <c r="B129" s="1226"/>
      <c r="C129" s="1227"/>
      <c r="D129" s="1259"/>
      <c r="E129" s="1259"/>
      <c r="F129" s="1259"/>
      <c r="G129" s="1259"/>
      <c r="H129" s="1259"/>
      <c r="I129" s="1259"/>
      <c r="J129" s="1259"/>
      <c r="K129" s="1259"/>
      <c r="L129" s="1226"/>
      <c r="M129" s="1260"/>
    </row>
    <row r="130" spans="1:76" ht="15" customHeight="1">
      <c r="A130" s="106" t="s">
        <v>622</v>
      </c>
      <c r="B130" s="1249"/>
      <c r="C130" s="1225"/>
      <c r="D130" s="1261"/>
      <c r="E130" s="1261"/>
      <c r="F130" s="1261"/>
      <c r="G130" s="1261"/>
      <c r="H130" s="1261"/>
      <c r="I130" s="1261"/>
      <c r="J130" s="1261"/>
      <c r="K130" s="1261"/>
      <c r="L130" s="1249"/>
      <c r="M130" s="1262"/>
    </row>
    <row r="131" spans="1:76" ht="18" customHeight="1">
      <c r="A131" s="763" t="s">
        <v>623</v>
      </c>
      <c r="B131" s="1263"/>
      <c r="C131" s="1263"/>
      <c r="D131" s="1263"/>
      <c r="E131" s="1263"/>
      <c r="F131" s="1263"/>
      <c r="G131" s="1263"/>
      <c r="H131" s="1263"/>
      <c r="I131" s="1263"/>
      <c r="J131" s="1263"/>
      <c r="K131" s="1263"/>
      <c r="L131" s="1263"/>
      <c r="M131" s="1263"/>
      <c r="N131" s="1263"/>
      <c r="O131" s="1263"/>
      <c r="P131" s="1263"/>
      <c r="Q131" s="1263"/>
      <c r="R131" s="1263"/>
      <c r="S131" s="1263"/>
      <c r="T131" s="1263"/>
      <c r="U131" s="1263"/>
      <c r="V131" s="1263"/>
      <c r="W131" s="1263"/>
      <c r="X131" s="1263"/>
      <c r="Y131" s="1263"/>
      <c r="Z131" s="1263"/>
      <c r="AA131" s="1263"/>
      <c r="AB131" s="1263"/>
      <c r="AC131" s="1263"/>
      <c r="AD131" s="1263"/>
      <c r="AE131" s="1263"/>
      <c r="AF131" s="1263"/>
      <c r="AG131" s="1263"/>
      <c r="AH131" s="1263"/>
      <c r="AI131" s="1263"/>
      <c r="AJ131" s="1263"/>
      <c r="AK131" s="1263"/>
      <c r="AL131" s="1263"/>
      <c r="AM131" s="1263"/>
      <c r="AN131" s="1263"/>
      <c r="AO131" s="1264"/>
      <c r="AP131" s="1264"/>
      <c r="AQ131" s="1165"/>
      <c r="AR131" s="1165"/>
    </row>
    <row r="132" spans="1:76" ht="15" customHeight="1">
      <c r="A132" s="5611" t="s">
        <v>624</v>
      </c>
      <c r="B132" s="5642" t="s">
        <v>42</v>
      </c>
      <c r="C132" s="5627"/>
      <c r="D132" s="5624"/>
      <c r="E132" s="5647" t="s">
        <v>115</v>
      </c>
      <c r="F132" s="5649"/>
      <c r="G132" s="5649"/>
      <c r="H132" s="5649"/>
      <c r="I132" s="5649"/>
      <c r="J132" s="5649"/>
      <c r="K132" s="5649"/>
      <c r="L132" s="5649"/>
      <c r="M132" s="5649"/>
      <c r="N132" s="5649"/>
      <c r="O132" s="5649"/>
      <c r="P132" s="5649"/>
      <c r="Q132" s="5649"/>
      <c r="R132" s="5649"/>
      <c r="S132" s="5649"/>
      <c r="T132" s="5649"/>
      <c r="U132" s="5649"/>
      <c r="V132" s="5649"/>
      <c r="W132" s="5649"/>
      <c r="X132" s="5649"/>
      <c r="Y132" s="5649"/>
      <c r="Z132" s="5649"/>
      <c r="AA132" s="5649"/>
      <c r="AB132" s="5649"/>
      <c r="AC132" s="5649"/>
      <c r="AD132" s="5649"/>
      <c r="AE132" s="5649"/>
      <c r="AF132" s="5649"/>
      <c r="AG132" s="5649"/>
      <c r="AH132" s="5649"/>
      <c r="AI132" s="5649"/>
      <c r="AJ132" s="5649"/>
      <c r="AK132" s="5649"/>
      <c r="AL132" s="5649"/>
      <c r="AM132" s="5649"/>
      <c r="AN132" s="5686"/>
      <c r="AO132" s="5657" t="s">
        <v>625</v>
      </c>
      <c r="AP132" s="5613" t="s">
        <v>476</v>
      </c>
      <c r="AQ132" s="5997" t="s">
        <v>48</v>
      </c>
      <c r="AR132" s="6000" t="s">
        <v>49</v>
      </c>
    </row>
    <row r="133" spans="1:76" ht="21" customHeight="1">
      <c r="A133" s="5641"/>
      <c r="B133" s="5659"/>
      <c r="C133" s="5731"/>
      <c r="D133" s="5625"/>
      <c r="E133" s="5615" t="s">
        <v>495</v>
      </c>
      <c r="F133" s="5648"/>
      <c r="G133" s="5647" t="s">
        <v>496</v>
      </c>
      <c r="H133" s="5648"/>
      <c r="I133" s="5647" t="s">
        <v>347</v>
      </c>
      <c r="J133" s="5648"/>
      <c r="K133" s="5647" t="s">
        <v>108</v>
      </c>
      <c r="L133" s="5648"/>
      <c r="M133" s="5647" t="s">
        <v>58</v>
      </c>
      <c r="N133" s="5648"/>
      <c r="O133" s="5647" t="s">
        <v>59</v>
      </c>
      <c r="P133" s="5648"/>
      <c r="Q133" s="5649" t="s">
        <v>60</v>
      </c>
      <c r="R133" s="5648"/>
      <c r="S133" s="5647" t="s">
        <v>61</v>
      </c>
      <c r="T133" s="5648"/>
      <c r="U133" s="5647" t="s">
        <v>62</v>
      </c>
      <c r="V133" s="5648"/>
      <c r="W133" s="5647" t="s">
        <v>63</v>
      </c>
      <c r="X133" s="5648"/>
      <c r="Y133" s="5647" t="s">
        <v>64</v>
      </c>
      <c r="Z133" s="5648"/>
      <c r="AA133" s="5647" t="s">
        <v>65</v>
      </c>
      <c r="AB133" s="5648"/>
      <c r="AC133" s="5647" t="s">
        <v>66</v>
      </c>
      <c r="AD133" s="5648"/>
      <c r="AE133" s="5647" t="s">
        <v>67</v>
      </c>
      <c r="AF133" s="5648"/>
      <c r="AG133" s="5647" t="s">
        <v>68</v>
      </c>
      <c r="AH133" s="5648"/>
      <c r="AI133" s="5647" t="s">
        <v>69</v>
      </c>
      <c r="AJ133" s="5648"/>
      <c r="AK133" s="5647" t="s">
        <v>70</v>
      </c>
      <c r="AL133" s="5648"/>
      <c r="AM133" s="5649" t="s">
        <v>497</v>
      </c>
      <c r="AN133" s="5686"/>
      <c r="AO133" s="5665"/>
      <c r="AP133" s="5671"/>
      <c r="AQ133" s="5998"/>
      <c r="AR133" s="6001"/>
    </row>
    <row r="134" spans="1:76" ht="26.25" customHeight="1">
      <c r="A134" s="5612"/>
      <c r="B134" s="230" t="s">
        <v>93</v>
      </c>
      <c r="C134" s="196" t="s">
        <v>72</v>
      </c>
      <c r="D134" s="74" t="s">
        <v>73</v>
      </c>
      <c r="E134" s="75" t="s">
        <v>72</v>
      </c>
      <c r="F134" s="76" t="s">
        <v>73</v>
      </c>
      <c r="G134" s="75" t="s">
        <v>72</v>
      </c>
      <c r="H134" s="76" t="s">
        <v>73</v>
      </c>
      <c r="I134" s="75" t="s">
        <v>72</v>
      </c>
      <c r="J134" s="76" t="s">
        <v>73</v>
      </c>
      <c r="K134" s="75" t="s">
        <v>72</v>
      </c>
      <c r="L134" s="76" t="s">
        <v>73</v>
      </c>
      <c r="M134" s="75" t="s">
        <v>72</v>
      </c>
      <c r="N134" s="76" t="s">
        <v>73</v>
      </c>
      <c r="O134" s="75" t="s">
        <v>72</v>
      </c>
      <c r="P134" s="76" t="s">
        <v>73</v>
      </c>
      <c r="Q134" s="75" t="s">
        <v>72</v>
      </c>
      <c r="R134" s="76" t="s">
        <v>73</v>
      </c>
      <c r="S134" s="75" t="s">
        <v>72</v>
      </c>
      <c r="T134" s="76" t="s">
        <v>73</v>
      </c>
      <c r="U134" s="75" t="s">
        <v>72</v>
      </c>
      <c r="V134" s="76" t="s">
        <v>73</v>
      </c>
      <c r="W134" s="75" t="s">
        <v>72</v>
      </c>
      <c r="X134" s="76" t="s">
        <v>73</v>
      </c>
      <c r="Y134" s="75" t="s">
        <v>72</v>
      </c>
      <c r="Z134" s="76" t="s">
        <v>73</v>
      </c>
      <c r="AA134" s="75" t="s">
        <v>72</v>
      </c>
      <c r="AB134" s="76" t="s">
        <v>73</v>
      </c>
      <c r="AC134" s="75" t="s">
        <v>72</v>
      </c>
      <c r="AD134" s="76" t="s">
        <v>73</v>
      </c>
      <c r="AE134" s="75" t="s">
        <v>72</v>
      </c>
      <c r="AF134" s="76" t="s">
        <v>73</v>
      </c>
      <c r="AG134" s="75" t="s">
        <v>72</v>
      </c>
      <c r="AH134" s="76" t="s">
        <v>73</v>
      </c>
      <c r="AI134" s="75" t="s">
        <v>72</v>
      </c>
      <c r="AJ134" s="76" t="s">
        <v>73</v>
      </c>
      <c r="AK134" s="75" t="s">
        <v>72</v>
      </c>
      <c r="AL134" s="76" t="s">
        <v>73</v>
      </c>
      <c r="AM134" s="75" t="s">
        <v>72</v>
      </c>
      <c r="AN134" s="60" t="s">
        <v>73</v>
      </c>
      <c r="AO134" s="5658"/>
      <c r="AP134" s="5614"/>
      <c r="AQ134" s="5999"/>
      <c r="AR134" s="6002"/>
    </row>
    <row r="135" spans="1:76" ht="24.75" customHeight="1">
      <c r="A135" s="1265" t="s">
        <v>626</v>
      </c>
      <c r="B135" s="206">
        <f t="shared" si="65"/>
        <v>0</v>
      </c>
      <c r="C135" s="700">
        <f>SUM(E135+G135+I135+K135+M135+O135+Q135+S135+U135+W135+Y135+AA135+AC135+AE135+AG135+AI135+AK135+AM135)</f>
        <v>0</v>
      </c>
      <c r="D135" s="1266">
        <f t="shared" ref="C135:D137" si="68">SUM(F135+H135+J135+L135+N135+P135+R135+T135+V135+X135+Z135+AB135+AD135+AF135+AH135+AJ135+AL135+AN135)</f>
        <v>0</v>
      </c>
      <c r="E135" s="1030"/>
      <c r="F135" s="1187"/>
      <c r="G135" s="1030"/>
      <c r="H135" s="1267"/>
      <c r="I135" s="1030"/>
      <c r="J135" s="1267"/>
      <c r="K135" s="1030"/>
      <c r="L135" s="1267"/>
      <c r="M135" s="1030"/>
      <c r="N135" s="1267"/>
      <c r="O135" s="1030"/>
      <c r="P135" s="1267"/>
      <c r="Q135" s="1268"/>
      <c r="R135" s="1267"/>
      <c r="S135" s="1030"/>
      <c r="T135" s="1267"/>
      <c r="U135" s="1030"/>
      <c r="V135" s="1267"/>
      <c r="W135" s="1030"/>
      <c r="X135" s="1267"/>
      <c r="Y135" s="1030"/>
      <c r="Z135" s="1267"/>
      <c r="AA135" s="1030"/>
      <c r="AB135" s="1267"/>
      <c r="AC135" s="1030"/>
      <c r="AD135" s="1267"/>
      <c r="AE135" s="1030"/>
      <c r="AF135" s="1267"/>
      <c r="AG135" s="1030"/>
      <c r="AH135" s="1267"/>
      <c r="AI135" s="1030"/>
      <c r="AJ135" s="1267"/>
      <c r="AK135" s="1030"/>
      <c r="AL135" s="1267"/>
      <c r="AM135" s="1128"/>
      <c r="AN135" s="1269"/>
      <c r="AO135" s="1073"/>
      <c r="AP135" s="1074"/>
      <c r="AQ135" s="1069"/>
      <c r="AR135" s="1007"/>
      <c r="AS135" s="48" t="str">
        <f t="shared" ref="AS135:AS137" si="69">BO135&amp;BP135&amp;BQ135&amp;BR135&amp;BS135</f>
        <v/>
      </c>
      <c r="BO135" s="1009" t="str">
        <f t="shared" ref="BO135:BO137" si="70">IF(AND(B135&gt;0,AO135="")," * No olvide digitar la variable Beneficiarios. Digite Cero si no tiene.",IF(AO135&gt;B135,"  * La variable Beneficiarios No puede ser mayor al Total.",""))</f>
        <v/>
      </c>
      <c r="BP135" s="1009" t="str">
        <f t="shared" ref="BP135:BP137" si="71">IF(AND(D135&gt;0,AP135="")," * No olvide digitar la variable Gestantes. Digite Cero si no tiene.",IF(AP135&gt;D135,"  * La variable Gestantes No puede ser mayor al Total Mujeres.",""))</f>
        <v/>
      </c>
      <c r="BQ135" s="1009" t="str">
        <f t="shared" ref="BQ135:BQ137" si="72">IF(AND(B135&gt;0,AQ135="")," * No olvide digitar la variable SENAME/ Servicio Nacional de Reinserción social Juvenil . Digite Cero si no tiene.",IF(AQ135&gt;B135,"  * La variable SENAME/ Servicio Nacional de Reinserción social Juvenil  No puede ser mayor al Total.",""))</f>
        <v/>
      </c>
      <c r="BR135" s="1009" t="str">
        <f t="shared" ref="BR135:BR137" si="73">IF(AND(B135&gt;0,AR135="")," * No olvide digitar la variable Servicio Nacional Protección Especializada a la Niñez y Adolescencia. Digite Cero si no tiene.",IF(AR135&gt;B135,"  * La variable Servicio Nacional Protección Especializada a la Niñez y Adolescencia No puede ser mayor al Total.",""))</f>
        <v/>
      </c>
      <c r="BU135" s="1010">
        <f t="shared" ref="BU135:BU137" si="74">IF(AND(B135&gt;0,AO135=""),1,IF(AO135&gt;B135,1,0))</f>
        <v>0</v>
      </c>
      <c r="BV135" s="1010">
        <f t="shared" ref="BV135:BV137" si="75">IF(AND(D135&gt;0,AP135=""),1,IF(AP135&gt;D135,1,0))</f>
        <v>0</v>
      </c>
      <c r="BW135" s="1010">
        <f t="shared" ref="BW135:BW137" si="76">IF(AND(B135&gt;0,AQ135=""),1,IF(AQ135&gt;B135,1,0))</f>
        <v>0</v>
      </c>
      <c r="BX135" s="1010">
        <f t="shared" ref="BX135:BX137" si="77">IF(AND(B135&gt;0,AR135=""),1,IF(AR135&gt;B135,1,0))</f>
        <v>0</v>
      </c>
    </row>
    <row r="136" spans="1:76" ht="15" customHeight="1">
      <c r="A136" s="285" t="s">
        <v>627</v>
      </c>
      <c r="B136" s="206">
        <f t="shared" si="65"/>
        <v>0</v>
      </c>
      <c r="C136" s="700">
        <f t="shared" si="68"/>
        <v>0</v>
      </c>
      <c r="D136" s="1266">
        <f t="shared" si="68"/>
        <v>0</v>
      </c>
      <c r="E136" s="1013"/>
      <c r="F136" s="1014"/>
      <c r="G136" s="1013"/>
      <c r="H136" s="1015"/>
      <c r="I136" s="1013"/>
      <c r="J136" s="1015"/>
      <c r="K136" s="1013"/>
      <c r="L136" s="1015"/>
      <c r="M136" s="1013"/>
      <c r="N136" s="1015"/>
      <c r="O136" s="1013"/>
      <c r="P136" s="1015"/>
      <c r="Q136" s="1077"/>
      <c r="R136" s="1015"/>
      <c r="S136" s="1013"/>
      <c r="T136" s="1015"/>
      <c r="U136" s="1013"/>
      <c r="V136" s="1015"/>
      <c r="W136" s="1013"/>
      <c r="X136" s="1015"/>
      <c r="Y136" s="1013"/>
      <c r="Z136" s="1015"/>
      <c r="AA136" s="1013"/>
      <c r="AB136" s="1015"/>
      <c r="AC136" s="1013"/>
      <c r="AD136" s="1015"/>
      <c r="AE136" s="1013"/>
      <c r="AF136" s="1015"/>
      <c r="AG136" s="1013"/>
      <c r="AH136" s="1015"/>
      <c r="AI136" s="1013"/>
      <c r="AJ136" s="1015"/>
      <c r="AK136" s="1013"/>
      <c r="AL136" s="1015"/>
      <c r="AM136" s="1078"/>
      <c r="AN136" s="1024"/>
      <c r="AO136" s="1019"/>
      <c r="AP136" s="1020"/>
      <c r="AQ136" s="1075"/>
      <c r="AR136" s="1074"/>
      <c r="AS136" s="48" t="str">
        <f t="shared" si="69"/>
        <v/>
      </c>
      <c r="BO136" s="1009" t="str">
        <f t="shared" si="70"/>
        <v/>
      </c>
      <c r="BP136" s="1009" t="str">
        <f t="shared" si="71"/>
        <v/>
      </c>
      <c r="BQ136" s="1009" t="str">
        <f t="shared" si="72"/>
        <v/>
      </c>
      <c r="BR136" s="1009" t="str">
        <f t="shared" si="73"/>
        <v/>
      </c>
      <c r="BU136" s="1010">
        <f t="shared" si="74"/>
        <v>0</v>
      </c>
      <c r="BV136" s="1010">
        <f t="shared" si="75"/>
        <v>0</v>
      </c>
      <c r="BW136" s="1010">
        <f t="shared" si="76"/>
        <v>0</v>
      </c>
      <c r="BX136" s="1010">
        <f t="shared" si="77"/>
        <v>0</v>
      </c>
    </row>
    <row r="137" spans="1:76" ht="15" customHeight="1">
      <c r="A137" s="563" t="s">
        <v>628</v>
      </c>
      <c r="B137" s="106">
        <f t="shared" si="65"/>
        <v>0</v>
      </c>
      <c r="C137" s="636">
        <f t="shared" si="68"/>
        <v>0</v>
      </c>
      <c r="D137" s="1270">
        <f t="shared" si="68"/>
        <v>0</v>
      </c>
      <c r="E137" s="1053"/>
      <c r="F137" s="1054"/>
      <c r="G137" s="1053"/>
      <c r="H137" s="1052"/>
      <c r="I137" s="1053"/>
      <c r="J137" s="1052"/>
      <c r="K137" s="1053"/>
      <c r="L137" s="1052"/>
      <c r="M137" s="1053"/>
      <c r="N137" s="1052"/>
      <c r="O137" s="1053"/>
      <c r="P137" s="1052"/>
      <c r="Q137" s="1271"/>
      <c r="R137" s="1052"/>
      <c r="S137" s="1053"/>
      <c r="T137" s="1052"/>
      <c r="U137" s="1053"/>
      <c r="V137" s="1052"/>
      <c r="W137" s="1053"/>
      <c r="X137" s="1052"/>
      <c r="Y137" s="1053"/>
      <c r="Z137" s="1052"/>
      <c r="AA137" s="1053"/>
      <c r="AB137" s="1052"/>
      <c r="AC137" s="1053"/>
      <c r="AD137" s="1052"/>
      <c r="AE137" s="1053"/>
      <c r="AF137" s="1052"/>
      <c r="AG137" s="1053"/>
      <c r="AH137" s="1052"/>
      <c r="AI137" s="1053"/>
      <c r="AJ137" s="1052"/>
      <c r="AK137" s="1053"/>
      <c r="AL137" s="1052"/>
      <c r="AM137" s="1137"/>
      <c r="AN137" s="1057"/>
      <c r="AO137" s="1058"/>
      <c r="AP137" s="1059"/>
      <c r="AQ137" s="1272"/>
      <c r="AR137" s="1059"/>
      <c r="AS137" s="48" t="str">
        <f t="shared" si="69"/>
        <v/>
      </c>
      <c r="BO137" s="1009" t="str">
        <f t="shared" si="70"/>
        <v/>
      </c>
      <c r="BP137" s="1009" t="str">
        <f t="shared" si="71"/>
        <v/>
      </c>
      <c r="BQ137" s="1009" t="str">
        <f t="shared" si="72"/>
        <v/>
      </c>
      <c r="BR137" s="1009" t="str">
        <f t="shared" si="73"/>
        <v/>
      </c>
      <c r="BU137" s="1010">
        <f t="shared" si="74"/>
        <v>0</v>
      </c>
      <c r="BV137" s="1010">
        <f t="shared" si="75"/>
        <v>0</v>
      </c>
      <c r="BW137" s="1010">
        <f t="shared" si="76"/>
        <v>0</v>
      </c>
      <c r="BX137" s="1010">
        <f t="shared" si="77"/>
        <v>0</v>
      </c>
    </row>
    <row r="138" spans="1:76" ht="18" customHeight="1">
      <c r="A138" s="763" t="s">
        <v>629</v>
      </c>
      <c r="B138" s="1273"/>
      <c r="C138" s="1273"/>
      <c r="D138" s="624"/>
      <c r="E138" s="1273"/>
      <c r="F138" s="624"/>
      <c r="G138" s="624"/>
      <c r="H138" s="624"/>
      <c r="I138" s="624"/>
      <c r="J138" s="624"/>
      <c r="K138" s="624"/>
    </row>
    <row r="139" spans="1:76" ht="15" customHeight="1">
      <c r="A139" s="5776" t="s">
        <v>630</v>
      </c>
      <c r="B139" s="5962"/>
      <c r="C139" s="5611" t="s">
        <v>91</v>
      </c>
      <c r="D139" s="5647" t="s">
        <v>43</v>
      </c>
      <c r="E139" s="5649"/>
      <c r="F139" s="5649"/>
      <c r="G139" s="5649"/>
      <c r="H139" s="5648"/>
      <c r="I139" s="5776" t="s">
        <v>476</v>
      </c>
      <c r="J139" s="5657" t="s">
        <v>50</v>
      </c>
      <c r="K139" s="5611" t="s">
        <v>51</v>
      </c>
    </row>
    <row r="140" spans="1:76" ht="35.450000000000003" customHeight="1">
      <c r="A140" s="5963"/>
      <c r="B140" s="5760"/>
      <c r="C140" s="5612"/>
      <c r="D140" s="194" t="s">
        <v>631</v>
      </c>
      <c r="E140" s="68" t="s">
        <v>632</v>
      </c>
      <c r="F140" s="68" t="s">
        <v>633</v>
      </c>
      <c r="G140" s="68" t="s">
        <v>634</v>
      </c>
      <c r="H140" s="191" t="s">
        <v>635</v>
      </c>
      <c r="I140" s="5963"/>
      <c r="J140" s="5658"/>
      <c r="K140" s="5612"/>
    </row>
    <row r="141" spans="1:76" ht="15" customHeight="1">
      <c r="A141" s="5619" t="s">
        <v>636</v>
      </c>
      <c r="B141" s="1274" t="s">
        <v>637</v>
      </c>
      <c r="C141" s="626">
        <f t="shared" ref="C141:C143" si="78">SUM(D141:H141)</f>
        <v>0</v>
      </c>
      <c r="D141" s="1275"/>
      <c r="E141" s="1276"/>
      <c r="F141" s="1276"/>
      <c r="G141" s="1276"/>
      <c r="H141" s="1277"/>
      <c r="I141" s="1278"/>
      <c r="J141" s="1279"/>
      <c r="K141" s="1280"/>
      <c r="L141" s="48" t="str">
        <f t="shared" ref="L141:L149" si="79">BO141&amp;BP141&amp;BQ141</f>
        <v/>
      </c>
      <c r="BO141" s="1"/>
      <c r="BP141" s="1131" t="str">
        <f t="shared" ref="BP141:BP149" si="80">IF(AND(C141&gt;0,J141="")," * No olvide digitar la variable Pueblos originarios. Digite Cero si no tiene.",IF(J141&gt;C141," * La variable Pueblos originarios No puede ser mayor al Total.",""))</f>
        <v/>
      </c>
      <c r="BQ141" s="1131" t="str">
        <f t="shared" ref="BQ141:BQ149" si="81">IF(AND(C141&gt;0,K141="")," * No olvide digitar la variable Migrantes. Digite Cero si no tiene.",IF(K141&gt;C141," * La variable Migrantes No puede ser mayor al Total.",""))</f>
        <v/>
      </c>
      <c r="BV141" s="1010">
        <f t="shared" ref="BV141:BV149" si="82">IF(AND(C141&gt;0,J141=""),1,IF(J141&gt;C141,1,0))</f>
        <v>0</v>
      </c>
      <c r="BW141" s="1010">
        <f t="shared" ref="BW141:BW149" si="83">IF(AND(C141&gt;0,K141=""),1,IF(K141&gt;C141,1,0))</f>
        <v>0</v>
      </c>
    </row>
    <row r="142" spans="1:76" ht="24" customHeight="1">
      <c r="A142" s="5618"/>
      <c r="B142" s="586" t="s">
        <v>638</v>
      </c>
      <c r="C142" s="1281">
        <f t="shared" si="78"/>
        <v>0</v>
      </c>
      <c r="D142" s="1282"/>
      <c r="E142" s="1283"/>
      <c r="F142" s="1283"/>
      <c r="G142" s="1283"/>
      <c r="H142" s="1284"/>
      <c r="I142" s="1278"/>
      <c r="J142" s="1285"/>
      <c r="K142" s="1286"/>
      <c r="L142" s="48" t="str">
        <f t="shared" si="79"/>
        <v/>
      </c>
      <c r="BO142" s="1"/>
      <c r="BP142" s="1131" t="str">
        <f t="shared" si="80"/>
        <v/>
      </c>
      <c r="BQ142" s="1131" t="str">
        <f t="shared" si="81"/>
        <v/>
      </c>
      <c r="BV142" s="1010">
        <f t="shared" si="82"/>
        <v>0</v>
      </c>
      <c r="BW142" s="1010">
        <f t="shared" si="83"/>
        <v>0</v>
      </c>
    </row>
    <row r="143" spans="1:76" ht="15" customHeight="1">
      <c r="A143" s="5620"/>
      <c r="B143" s="263" t="s">
        <v>639</v>
      </c>
      <c r="C143" s="1287">
        <f t="shared" si="78"/>
        <v>0</v>
      </c>
      <c r="D143" s="1288"/>
      <c r="E143" s="1289"/>
      <c r="F143" s="1289"/>
      <c r="G143" s="1289"/>
      <c r="H143" s="1290"/>
      <c r="I143" s="1278"/>
      <c r="J143" s="1291"/>
      <c r="K143" s="1292"/>
      <c r="L143" s="48" t="str">
        <f t="shared" si="79"/>
        <v/>
      </c>
      <c r="BO143" s="1"/>
      <c r="BP143" s="1131" t="str">
        <f t="shared" si="80"/>
        <v/>
      </c>
      <c r="BQ143" s="1131" t="str">
        <f t="shared" si="81"/>
        <v/>
      </c>
      <c r="BV143" s="1010">
        <f t="shared" si="82"/>
        <v>0</v>
      </c>
      <c r="BW143" s="1010">
        <f t="shared" si="83"/>
        <v>0</v>
      </c>
    </row>
    <row r="144" spans="1:76" ht="23.25" customHeight="1">
      <c r="A144" s="5619" t="s">
        <v>640</v>
      </c>
      <c r="B144" s="1293" t="s">
        <v>641</v>
      </c>
      <c r="C144" s="626">
        <f>SUM(I144)</f>
        <v>0</v>
      </c>
      <c r="D144" s="1245"/>
      <c r="E144" s="1294"/>
      <c r="F144" s="1294"/>
      <c r="G144" s="1294"/>
      <c r="H144" s="1295"/>
      <c r="I144" s="1296"/>
      <c r="J144" s="1297"/>
      <c r="K144" s="1298"/>
      <c r="L144" s="48" t="str">
        <f t="shared" si="79"/>
        <v/>
      </c>
      <c r="BO144" s="1009" t="str">
        <f>IF(AND(C144&gt;0,I144="")," * No olvide digitar la variable Gestantes. Digite Cero si no tiene.",IF(I144&gt;C144,"  * La variable Pueblos Gestantes No puede ser mayor al Total.",""))</f>
        <v/>
      </c>
      <c r="BP144" s="1131" t="str">
        <f t="shared" si="80"/>
        <v/>
      </c>
      <c r="BQ144" s="1131" t="str">
        <f t="shared" si="81"/>
        <v/>
      </c>
      <c r="BU144" s="1010">
        <f>IF(AND(C144&gt;0,I144=""),1,IF(I144&gt;C144,1,0))</f>
        <v>0</v>
      </c>
      <c r="BV144" s="1010">
        <f t="shared" si="82"/>
        <v>0</v>
      </c>
      <c r="BW144" s="1010">
        <f t="shared" si="83"/>
        <v>0</v>
      </c>
    </row>
    <row r="145" spans="1:75" ht="25.5" customHeight="1">
      <c r="A145" s="5620"/>
      <c r="B145" s="1299" t="s">
        <v>642</v>
      </c>
      <c r="C145" s="1287">
        <f>SUM(D145:H145)</f>
        <v>0</v>
      </c>
      <c r="D145" s="1300"/>
      <c r="E145" s="1301"/>
      <c r="F145" s="1301"/>
      <c r="G145" s="1301"/>
      <c r="H145" s="1302"/>
      <c r="I145" s="1303"/>
      <c r="J145" s="1291"/>
      <c r="K145" s="1292"/>
      <c r="L145" s="48" t="str">
        <f t="shared" si="79"/>
        <v/>
      </c>
      <c r="BO145" s="1"/>
      <c r="BP145" s="1131" t="str">
        <f t="shared" si="80"/>
        <v/>
      </c>
      <c r="BQ145" s="1131" t="str">
        <f t="shared" si="81"/>
        <v/>
      </c>
      <c r="BV145" s="1010">
        <f t="shared" si="82"/>
        <v>0</v>
      </c>
      <c r="BW145" s="1010">
        <f t="shared" si="83"/>
        <v>0</v>
      </c>
    </row>
    <row r="146" spans="1:75" ht="15" customHeight="1">
      <c r="A146" s="5618" t="s">
        <v>643</v>
      </c>
      <c r="B146" s="1000" t="s">
        <v>78</v>
      </c>
      <c r="C146" s="628">
        <f t="shared" ref="C146:C149" si="84">SUM(D146:I146)</f>
        <v>0</v>
      </c>
      <c r="D146" s="1304"/>
      <c r="E146" s="1305"/>
      <c r="F146" s="1305"/>
      <c r="G146" s="1305"/>
      <c r="H146" s="1277"/>
      <c r="I146" s="1306"/>
      <c r="J146" s="1307"/>
      <c r="K146" s="1308"/>
      <c r="L146" s="48" t="str">
        <f t="shared" si="79"/>
        <v/>
      </c>
      <c r="BO146" s="1131" t="str">
        <f t="shared" ref="BO146:BO149" si="85">IF(AND(C146&gt;0,I146="")," * No olvide digitar la variable Gestantes. Digite Cero si no tiene.",IF(I146&gt;C146," * La variable Gestantes No puede ser mayor al Total.",""))</f>
        <v/>
      </c>
      <c r="BP146" s="1131" t="str">
        <f t="shared" si="80"/>
        <v/>
      </c>
      <c r="BQ146" s="1131" t="str">
        <f t="shared" si="81"/>
        <v/>
      </c>
      <c r="BR146" s="48" t="str">
        <f>IF(AND(C146&gt;0,I146="")," * No olvide digitar la variable Gestantes. Digite Cero si no tiene.",IF(I146&gt;C146," * La variable Gestantes No puede ser mayor al Total.",""))</f>
        <v/>
      </c>
      <c r="BU146" s="1010">
        <f t="shared" ref="BU146:BU149" si="86">IF(AND(C146&gt;0,I146=""),1,IF(I146&gt;C146,1,0))</f>
        <v>0</v>
      </c>
      <c r="BV146" s="1010">
        <f t="shared" si="82"/>
        <v>0</v>
      </c>
      <c r="BW146" s="1010">
        <f t="shared" si="83"/>
        <v>0</v>
      </c>
    </row>
    <row r="147" spans="1:75" ht="15" customHeight="1">
      <c r="A147" s="5618"/>
      <c r="B147" s="1000" t="s">
        <v>79</v>
      </c>
      <c r="C147" s="628">
        <f t="shared" si="84"/>
        <v>0</v>
      </c>
      <c r="D147" s="1304"/>
      <c r="E147" s="1305"/>
      <c r="F147" s="1305"/>
      <c r="G147" s="1305"/>
      <c r="H147" s="1309"/>
      <c r="I147" s="1306"/>
      <c r="J147" s="1307"/>
      <c r="K147" s="1308"/>
      <c r="L147" s="48" t="str">
        <f t="shared" si="79"/>
        <v/>
      </c>
      <c r="BO147" s="1131" t="str">
        <f t="shared" si="85"/>
        <v/>
      </c>
      <c r="BP147" s="1131" t="str">
        <f t="shared" si="80"/>
        <v/>
      </c>
      <c r="BQ147" s="1131" t="str">
        <f t="shared" si="81"/>
        <v/>
      </c>
      <c r="BU147" s="1010">
        <f t="shared" si="86"/>
        <v>0</v>
      </c>
      <c r="BV147" s="1010">
        <f t="shared" si="82"/>
        <v>0</v>
      </c>
      <c r="BW147" s="1010">
        <f t="shared" si="83"/>
        <v>0</v>
      </c>
    </row>
    <row r="148" spans="1:75" ht="15" customHeight="1">
      <c r="A148" s="5618"/>
      <c r="B148" s="746" t="s">
        <v>112</v>
      </c>
      <c r="C148" s="628">
        <f t="shared" si="84"/>
        <v>0</v>
      </c>
      <c r="D148" s="1282"/>
      <c r="E148" s="1283"/>
      <c r="F148" s="1283"/>
      <c r="G148" s="1283"/>
      <c r="H148" s="1284"/>
      <c r="I148" s="1310"/>
      <c r="J148" s="1285"/>
      <c r="K148" s="1286"/>
      <c r="L148" s="48" t="str">
        <f t="shared" si="79"/>
        <v/>
      </c>
      <c r="BO148" s="1131" t="str">
        <f t="shared" si="85"/>
        <v/>
      </c>
      <c r="BP148" s="1131" t="str">
        <f t="shared" si="80"/>
        <v/>
      </c>
      <c r="BQ148" s="1131" t="str">
        <f t="shared" si="81"/>
        <v/>
      </c>
      <c r="BU148" s="1010">
        <f t="shared" si="86"/>
        <v>0</v>
      </c>
      <c r="BV148" s="1010">
        <f t="shared" si="82"/>
        <v>0</v>
      </c>
      <c r="BW148" s="1010">
        <f t="shared" si="83"/>
        <v>0</v>
      </c>
    </row>
    <row r="149" spans="1:75" ht="15" customHeight="1">
      <c r="A149" s="5620"/>
      <c r="B149" s="1311" t="s">
        <v>556</v>
      </c>
      <c r="C149" s="106">
        <f t="shared" si="84"/>
        <v>0</v>
      </c>
      <c r="D149" s="1288"/>
      <c r="E149" s="1289"/>
      <c r="F149" s="1289"/>
      <c r="G149" s="1289"/>
      <c r="H149" s="1290"/>
      <c r="I149" s="1312"/>
      <c r="J149" s="1291"/>
      <c r="K149" s="1292"/>
      <c r="L149" s="48" t="str">
        <f t="shared" si="79"/>
        <v/>
      </c>
      <c r="BO149" s="1131" t="str">
        <f t="shared" si="85"/>
        <v/>
      </c>
      <c r="BP149" s="1131" t="str">
        <f t="shared" si="80"/>
        <v/>
      </c>
      <c r="BQ149" s="1131" t="str">
        <f t="shared" si="81"/>
        <v/>
      </c>
      <c r="BU149" s="1010">
        <f t="shared" si="86"/>
        <v>0</v>
      </c>
      <c r="BV149" s="1010">
        <f t="shared" si="82"/>
        <v>0</v>
      </c>
      <c r="BW149" s="1010">
        <f t="shared" si="83"/>
        <v>0</v>
      </c>
    </row>
    <row r="150" spans="1:75" ht="18" customHeight="1">
      <c r="A150" s="763" t="s">
        <v>644</v>
      </c>
      <c r="AN150" s="992"/>
      <c r="AO150" s="992"/>
    </row>
    <row r="151" spans="1:75" ht="15" customHeight="1">
      <c r="A151" s="5947" t="s">
        <v>41</v>
      </c>
      <c r="B151" s="5947" t="s">
        <v>645</v>
      </c>
      <c r="C151" s="5956" t="s">
        <v>93</v>
      </c>
      <c r="D151" s="5968" t="s">
        <v>72</v>
      </c>
      <c r="E151" s="5962" t="s">
        <v>73</v>
      </c>
      <c r="F151" s="5974" t="s">
        <v>115</v>
      </c>
      <c r="G151" s="5975"/>
      <c r="H151" s="5975"/>
      <c r="I151" s="5975"/>
      <c r="J151" s="5975"/>
      <c r="K151" s="5975"/>
      <c r="L151" s="5975"/>
      <c r="M151" s="5975"/>
      <c r="N151" s="5975"/>
      <c r="O151" s="5975"/>
      <c r="P151" s="5975"/>
      <c r="Q151" s="5975"/>
      <c r="R151" s="5975"/>
      <c r="S151" s="5975"/>
      <c r="T151" s="5975"/>
      <c r="U151" s="5975"/>
      <c r="V151" s="5975"/>
      <c r="W151" s="5975"/>
      <c r="X151" s="5975"/>
      <c r="Y151" s="5975"/>
      <c r="Z151" s="5975"/>
      <c r="AA151" s="5975"/>
      <c r="AB151" s="5975"/>
      <c r="AC151" s="5975"/>
      <c r="AD151" s="5975"/>
      <c r="AE151" s="5975"/>
      <c r="AF151" s="5975"/>
      <c r="AG151" s="5975"/>
      <c r="AH151" s="5975"/>
      <c r="AI151" s="5975"/>
      <c r="AJ151" s="5975"/>
      <c r="AK151" s="5975"/>
      <c r="AL151" s="5975"/>
      <c r="AM151" s="5977"/>
      <c r="AN151" s="5627" t="s">
        <v>50</v>
      </c>
      <c r="AO151" s="5611" t="s">
        <v>51</v>
      </c>
    </row>
    <row r="152" spans="1:75" ht="15" customHeight="1">
      <c r="A152" s="5949"/>
      <c r="B152" s="5949"/>
      <c r="C152" s="5957"/>
      <c r="D152" s="5803"/>
      <c r="E152" s="5758"/>
      <c r="F152" s="5615" t="s">
        <v>364</v>
      </c>
      <c r="G152" s="5652"/>
      <c r="H152" s="5615" t="s">
        <v>347</v>
      </c>
      <c r="I152" s="5652"/>
      <c r="J152" s="5615" t="s">
        <v>108</v>
      </c>
      <c r="K152" s="5652"/>
      <c r="L152" s="5615" t="s">
        <v>58</v>
      </c>
      <c r="M152" s="5652"/>
      <c r="N152" s="5615" t="s">
        <v>59</v>
      </c>
      <c r="O152" s="5652"/>
      <c r="P152" s="5616" t="s">
        <v>60</v>
      </c>
      <c r="Q152" s="5652"/>
      <c r="R152" s="5615" t="s">
        <v>61</v>
      </c>
      <c r="S152" s="5652"/>
      <c r="T152" s="5615" t="s">
        <v>62</v>
      </c>
      <c r="U152" s="5652"/>
      <c r="V152" s="5615" t="s">
        <v>63</v>
      </c>
      <c r="W152" s="5652"/>
      <c r="X152" s="5615" t="s">
        <v>64</v>
      </c>
      <c r="Y152" s="5652"/>
      <c r="Z152" s="5615" t="s">
        <v>65</v>
      </c>
      <c r="AA152" s="5652"/>
      <c r="AB152" s="5615" t="s">
        <v>66</v>
      </c>
      <c r="AC152" s="5652"/>
      <c r="AD152" s="5615" t="s">
        <v>67</v>
      </c>
      <c r="AE152" s="5652"/>
      <c r="AF152" s="5615" t="s">
        <v>68</v>
      </c>
      <c r="AG152" s="5652"/>
      <c r="AH152" s="5615" t="s">
        <v>69</v>
      </c>
      <c r="AI152" s="5652"/>
      <c r="AJ152" s="5615" t="s">
        <v>70</v>
      </c>
      <c r="AK152" s="5652"/>
      <c r="AL152" s="5615" t="s">
        <v>71</v>
      </c>
      <c r="AM152" s="5617"/>
      <c r="AN152" s="5644"/>
      <c r="AO152" s="5641"/>
    </row>
    <row r="153" spans="1:75" ht="15" customHeight="1">
      <c r="A153" s="5951"/>
      <c r="B153" s="5951"/>
      <c r="C153" s="5958"/>
      <c r="D153" s="5881"/>
      <c r="E153" s="5760"/>
      <c r="F153" s="75" t="s">
        <v>482</v>
      </c>
      <c r="G153" s="232" t="s">
        <v>73</v>
      </c>
      <c r="H153" s="75" t="s">
        <v>482</v>
      </c>
      <c r="I153" s="232" t="s">
        <v>73</v>
      </c>
      <c r="J153" s="75" t="s">
        <v>482</v>
      </c>
      <c r="K153" s="232" t="s">
        <v>73</v>
      </c>
      <c r="L153" s="75" t="s">
        <v>482</v>
      </c>
      <c r="M153" s="232" t="s">
        <v>73</v>
      </c>
      <c r="N153" s="75" t="s">
        <v>482</v>
      </c>
      <c r="O153" s="232" t="s">
        <v>73</v>
      </c>
      <c r="P153" s="75" t="s">
        <v>482</v>
      </c>
      <c r="Q153" s="232" t="s">
        <v>73</v>
      </c>
      <c r="R153" s="75" t="s">
        <v>482</v>
      </c>
      <c r="S153" s="232" t="s">
        <v>73</v>
      </c>
      <c r="T153" s="75" t="s">
        <v>482</v>
      </c>
      <c r="U153" s="232" t="s">
        <v>73</v>
      </c>
      <c r="V153" s="75" t="s">
        <v>482</v>
      </c>
      <c r="W153" s="232" t="s">
        <v>73</v>
      </c>
      <c r="X153" s="75" t="s">
        <v>482</v>
      </c>
      <c r="Y153" s="232" t="s">
        <v>73</v>
      </c>
      <c r="Z153" s="75" t="s">
        <v>482</v>
      </c>
      <c r="AA153" s="232" t="s">
        <v>73</v>
      </c>
      <c r="AB153" s="75" t="s">
        <v>482</v>
      </c>
      <c r="AC153" s="232" t="s">
        <v>73</v>
      </c>
      <c r="AD153" s="75" t="s">
        <v>482</v>
      </c>
      <c r="AE153" s="232" t="s">
        <v>73</v>
      </c>
      <c r="AF153" s="75" t="s">
        <v>482</v>
      </c>
      <c r="AG153" s="232" t="s">
        <v>73</v>
      </c>
      <c r="AH153" s="75" t="s">
        <v>482</v>
      </c>
      <c r="AI153" s="232" t="s">
        <v>73</v>
      </c>
      <c r="AJ153" s="75" t="s">
        <v>482</v>
      </c>
      <c r="AK153" s="232" t="s">
        <v>73</v>
      </c>
      <c r="AL153" s="75" t="s">
        <v>482</v>
      </c>
      <c r="AM153" s="70" t="s">
        <v>73</v>
      </c>
      <c r="AN153" s="5731"/>
      <c r="AO153" s="5612"/>
    </row>
    <row r="154" spans="1:75" ht="15" customHeight="1">
      <c r="A154" s="5619" t="s">
        <v>78</v>
      </c>
      <c r="B154" s="78" t="s">
        <v>646</v>
      </c>
      <c r="C154" s="626">
        <f t="shared" ref="C154:C183" si="87">SUM(D154:E154)</f>
        <v>0</v>
      </c>
      <c r="D154" s="627">
        <f t="shared" ref="D154:E167" si="88">+F154+H154+J154+L154+N154+P154+R154+T154+V154+X154+Z154+AB154+AD154+AF154+AH154+AJ154+AL154</f>
        <v>0</v>
      </c>
      <c r="E154" s="554">
        <f>+G154+I154+K154+M154+O154+Q154+S154+U154+W154+Y154+AA154+AC154+AE154+AG154+AI154+AK154+AM154</f>
        <v>0</v>
      </c>
      <c r="F154" s="1003"/>
      <c r="G154" s="1004"/>
      <c r="H154" s="1003"/>
      <c r="I154" s="1004"/>
      <c r="J154" s="1003"/>
      <c r="K154" s="1004"/>
      <c r="L154" s="1003"/>
      <c r="M154" s="1004"/>
      <c r="N154" s="1003"/>
      <c r="O154" s="1004"/>
      <c r="P154" s="1003"/>
      <c r="Q154" s="1004"/>
      <c r="R154" s="1003"/>
      <c r="S154" s="1004"/>
      <c r="T154" s="1003"/>
      <c r="U154" s="1004"/>
      <c r="V154" s="1003"/>
      <c r="W154" s="1004"/>
      <c r="X154" s="1003"/>
      <c r="Y154" s="1004"/>
      <c r="Z154" s="1003"/>
      <c r="AA154" s="1004"/>
      <c r="AB154" s="1003"/>
      <c r="AC154" s="1004"/>
      <c r="AD154" s="1003"/>
      <c r="AE154" s="1004"/>
      <c r="AF154" s="1003"/>
      <c r="AG154" s="1004"/>
      <c r="AH154" s="1003"/>
      <c r="AI154" s="1004"/>
      <c r="AJ154" s="1003"/>
      <c r="AK154" s="1004"/>
      <c r="AL154" s="1003"/>
      <c r="AM154" s="1316"/>
      <c r="AN154" s="1067"/>
      <c r="AO154" s="1180"/>
      <c r="AP154" s="48" t="str">
        <f t="shared" ref="AP154:AP167" si="89">BO154&amp;BP154</f>
        <v/>
      </c>
      <c r="BO154" s="1009" t="str">
        <f t="shared" ref="BO154:BO167" si="90">IF(AND(C154&gt;0,AN154=""),"  * No olvide digitar la variable Pueblos originarios. Digite Cero si no tiene.",IF(AN154&gt;C154,"  * La variable Pueblos originarios No puede ser mayor al Total.",""))</f>
        <v/>
      </c>
      <c r="BP154" s="1009" t="str">
        <f t="shared" ref="BP154:BP167" si="91">IF(AND(C154&gt;0,AO154=""),"  * No olvide digitar la variable Migrantes. Digite Cero si no tiene.",IF(AO154&gt;C154,"  * La variable Migrantes No puede ser mayor al Total.",""))</f>
        <v/>
      </c>
      <c r="BQ154" s="1131"/>
      <c r="BR154" s="1131"/>
      <c r="BS154" s="1131"/>
      <c r="BU154" s="1010">
        <f t="shared" ref="BU154:BU167" si="92">IF(AND(C154&gt;0,AN154=""),1,IF(AN154&gt;C154,1,0))</f>
        <v>0</v>
      </c>
      <c r="BV154" s="1010">
        <f t="shared" ref="BV154:BV167" si="93">IF(AND(C154&gt;0,AO154=""),1,IF(AO154&gt;C154,1,0))</f>
        <v>0</v>
      </c>
    </row>
    <row r="155" spans="1:75" ht="15" customHeight="1">
      <c r="A155" s="5618"/>
      <c r="B155" s="206" t="s">
        <v>647</v>
      </c>
      <c r="C155" s="1281">
        <f t="shared" si="87"/>
        <v>0</v>
      </c>
      <c r="D155" s="700">
        <f t="shared" si="88"/>
        <v>0</v>
      </c>
      <c r="E155" s="285">
        <f t="shared" si="88"/>
        <v>0</v>
      </c>
      <c r="F155" s="1030"/>
      <c r="G155" s="1187"/>
      <c r="H155" s="1030"/>
      <c r="I155" s="1187"/>
      <c r="J155" s="1030"/>
      <c r="K155" s="1187"/>
      <c r="L155" s="1030"/>
      <c r="M155" s="1187"/>
      <c r="N155" s="1030"/>
      <c r="O155" s="1187"/>
      <c r="P155" s="1030"/>
      <c r="Q155" s="1187"/>
      <c r="R155" s="1030"/>
      <c r="S155" s="1187"/>
      <c r="T155" s="1030"/>
      <c r="U155" s="1187"/>
      <c r="V155" s="1030"/>
      <c r="W155" s="1187"/>
      <c r="X155" s="1030"/>
      <c r="Y155" s="1187"/>
      <c r="Z155" s="1030"/>
      <c r="AA155" s="1187"/>
      <c r="AB155" s="1030"/>
      <c r="AC155" s="1187"/>
      <c r="AD155" s="1030"/>
      <c r="AE155" s="1187"/>
      <c r="AF155" s="1030"/>
      <c r="AG155" s="1187"/>
      <c r="AH155" s="1030"/>
      <c r="AI155" s="1187"/>
      <c r="AJ155" s="1030"/>
      <c r="AK155" s="1187"/>
      <c r="AL155" s="1030"/>
      <c r="AM155" s="1317"/>
      <c r="AN155" s="1128"/>
      <c r="AO155" s="1127"/>
      <c r="AP155" s="48" t="str">
        <f t="shared" si="89"/>
        <v/>
      </c>
      <c r="BO155" s="1009" t="str">
        <f t="shared" si="90"/>
        <v/>
      </c>
      <c r="BP155" s="1009" t="str">
        <f t="shared" si="91"/>
        <v/>
      </c>
      <c r="BQ155" s="1131"/>
      <c r="BR155" s="1131"/>
      <c r="BS155" s="1131"/>
      <c r="BU155" s="1010">
        <f t="shared" si="92"/>
        <v>0</v>
      </c>
      <c r="BV155" s="1010">
        <f t="shared" si="93"/>
        <v>0</v>
      </c>
    </row>
    <row r="156" spans="1:75" ht="15" customHeight="1">
      <c r="A156" s="5618"/>
      <c r="B156" s="206" t="s">
        <v>648</v>
      </c>
      <c r="C156" s="1281">
        <f t="shared" si="87"/>
        <v>0</v>
      </c>
      <c r="D156" s="700">
        <f t="shared" si="88"/>
        <v>0</v>
      </c>
      <c r="E156" s="285">
        <f t="shared" si="88"/>
        <v>0</v>
      </c>
      <c r="F156" s="1013"/>
      <c r="G156" s="1014"/>
      <c r="H156" s="1013"/>
      <c r="I156" s="1014"/>
      <c r="J156" s="1013"/>
      <c r="K156" s="1014"/>
      <c r="L156" s="1013"/>
      <c r="M156" s="1014"/>
      <c r="N156" s="1013"/>
      <c r="O156" s="1014"/>
      <c r="P156" s="1013"/>
      <c r="Q156" s="1014"/>
      <c r="R156" s="1013"/>
      <c r="S156" s="1014"/>
      <c r="T156" s="1013"/>
      <c r="U156" s="1014"/>
      <c r="V156" s="1013"/>
      <c r="W156" s="1014"/>
      <c r="X156" s="1013"/>
      <c r="Y156" s="1014"/>
      <c r="Z156" s="1013"/>
      <c r="AA156" s="1014"/>
      <c r="AB156" s="1013"/>
      <c r="AC156" s="1014"/>
      <c r="AD156" s="1013"/>
      <c r="AE156" s="1014"/>
      <c r="AF156" s="1013"/>
      <c r="AG156" s="1014"/>
      <c r="AH156" s="1013"/>
      <c r="AI156" s="1014"/>
      <c r="AJ156" s="1013"/>
      <c r="AK156" s="1014"/>
      <c r="AL156" s="1013"/>
      <c r="AM156" s="1318"/>
      <c r="AN156" s="1078"/>
      <c r="AO156" s="1183"/>
      <c r="AP156" s="48" t="str">
        <f t="shared" si="89"/>
        <v/>
      </c>
      <c r="BO156" s="1009" t="str">
        <f t="shared" si="90"/>
        <v/>
      </c>
      <c r="BP156" s="1009" t="str">
        <f t="shared" si="91"/>
        <v/>
      </c>
      <c r="BQ156" s="1131"/>
      <c r="BR156" s="1131"/>
      <c r="BS156" s="1131"/>
      <c r="BU156" s="1010">
        <f t="shared" si="92"/>
        <v>0</v>
      </c>
      <c r="BV156" s="1010">
        <f t="shared" si="93"/>
        <v>0</v>
      </c>
    </row>
    <row r="157" spans="1:75" ht="15" customHeight="1">
      <c r="A157" s="5618"/>
      <c r="B157" s="206" t="s">
        <v>649</v>
      </c>
      <c r="C157" s="1281">
        <f t="shared" si="87"/>
        <v>0</v>
      </c>
      <c r="D157" s="700">
        <f t="shared" si="88"/>
        <v>0</v>
      </c>
      <c r="E157" s="285">
        <f t="shared" si="88"/>
        <v>0</v>
      </c>
      <c r="F157" s="1013"/>
      <c r="G157" s="1014"/>
      <c r="H157" s="1013"/>
      <c r="I157" s="1014"/>
      <c r="J157" s="1013"/>
      <c r="K157" s="1014"/>
      <c r="L157" s="1013"/>
      <c r="M157" s="1014"/>
      <c r="N157" s="1013"/>
      <c r="O157" s="1014"/>
      <c r="P157" s="1013"/>
      <c r="Q157" s="1014"/>
      <c r="R157" s="1013"/>
      <c r="S157" s="1014"/>
      <c r="T157" s="1013"/>
      <c r="U157" s="1014"/>
      <c r="V157" s="1013"/>
      <c r="W157" s="1014"/>
      <c r="X157" s="1013"/>
      <c r="Y157" s="1014"/>
      <c r="Z157" s="1013"/>
      <c r="AA157" s="1014"/>
      <c r="AB157" s="1013"/>
      <c r="AC157" s="1014"/>
      <c r="AD157" s="1013"/>
      <c r="AE157" s="1014"/>
      <c r="AF157" s="1013"/>
      <c r="AG157" s="1014"/>
      <c r="AH157" s="1013"/>
      <c r="AI157" s="1014"/>
      <c r="AJ157" s="1013"/>
      <c r="AK157" s="1014"/>
      <c r="AL157" s="1013"/>
      <c r="AM157" s="1318"/>
      <c r="AN157" s="1078"/>
      <c r="AO157" s="1183"/>
      <c r="AP157" s="48" t="str">
        <f t="shared" si="89"/>
        <v/>
      </c>
      <c r="BO157" s="1009" t="str">
        <f t="shared" si="90"/>
        <v/>
      </c>
      <c r="BP157" s="1009" t="str">
        <f t="shared" si="91"/>
        <v/>
      </c>
      <c r="BQ157" s="1131"/>
      <c r="BR157" s="1131"/>
      <c r="BS157" s="1131"/>
      <c r="BU157" s="1010">
        <f t="shared" si="92"/>
        <v>0</v>
      </c>
      <c r="BV157" s="1010">
        <f t="shared" si="93"/>
        <v>0</v>
      </c>
    </row>
    <row r="158" spans="1:75" ht="15" customHeight="1">
      <c r="A158" s="5618"/>
      <c r="B158" s="206" t="s">
        <v>650</v>
      </c>
      <c r="C158" s="1281">
        <f t="shared" si="87"/>
        <v>0</v>
      </c>
      <c r="D158" s="700">
        <f t="shared" si="88"/>
        <v>0</v>
      </c>
      <c r="E158" s="285">
        <f t="shared" si="88"/>
        <v>0</v>
      </c>
      <c r="F158" s="1013"/>
      <c r="G158" s="1014"/>
      <c r="H158" s="1013"/>
      <c r="I158" s="1014"/>
      <c r="J158" s="1013"/>
      <c r="K158" s="1014"/>
      <c r="L158" s="1013"/>
      <c r="M158" s="1014"/>
      <c r="N158" s="1013"/>
      <c r="O158" s="1014"/>
      <c r="P158" s="1013"/>
      <c r="Q158" s="1014"/>
      <c r="R158" s="1013"/>
      <c r="S158" s="1014"/>
      <c r="T158" s="1013"/>
      <c r="U158" s="1014"/>
      <c r="V158" s="1013"/>
      <c r="W158" s="1014"/>
      <c r="X158" s="1013"/>
      <c r="Y158" s="1014"/>
      <c r="Z158" s="1013"/>
      <c r="AA158" s="1014"/>
      <c r="AB158" s="1013"/>
      <c r="AC158" s="1014"/>
      <c r="AD158" s="1013"/>
      <c r="AE158" s="1014"/>
      <c r="AF158" s="1013"/>
      <c r="AG158" s="1014"/>
      <c r="AH158" s="1013"/>
      <c r="AI158" s="1014"/>
      <c r="AJ158" s="1013"/>
      <c r="AK158" s="1014"/>
      <c r="AL158" s="1013"/>
      <c r="AM158" s="1318"/>
      <c r="AN158" s="1078"/>
      <c r="AO158" s="1183"/>
      <c r="AP158" s="48" t="str">
        <f t="shared" si="89"/>
        <v/>
      </c>
      <c r="BO158" s="1009" t="str">
        <f t="shared" si="90"/>
        <v/>
      </c>
      <c r="BP158" s="1009" t="str">
        <f t="shared" si="91"/>
        <v/>
      </c>
      <c r="BQ158" s="1131"/>
      <c r="BR158" s="1131"/>
      <c r="BS158" s="1131"/>
      <c r="BU158" s="1010">
        <f t="shared" si="92"/>
        <v>0</v>
      </c>
      <c r="BV158" s="1010">
        <f t="shared" si="93"/>
        <v>0</v>
      </c>
    </row>
    <row r="159" spans="1:75" ht="15" customHeight="1">
      <c r="A159" s="5618"/>
      <c r="B159" s="206" t="s">
        <v>651</v>
      </c>
      <c r="C159" s="1281">
        <f t="shared" si="87"/>
        <v>0</v>
      </c>
      <c r="D159" s="700">
        <f t="shared" si="88"/>
        <v>0</v>
      </c>
      <c r="E159" s="285">
        <f t="shared" si="88"/>
        <v>0</v>
      </c>
      <c r="F159" s="1045"/>
      <c r="G159" s="1046"/>
      <c r="H159" s="1045"/>
      <c r="I159" s="1046"/>
      <c r="J159" s="1045"/>
      <c r="K159" s="1046"/>
      <c r="L159" s="1045"/>
      <c r="M159" s="1046"/>
      <c r="N159" s="1045"/>
      <c r="O159" s="1046"/>
      <c r="P159" s="1045"/>
      <c r="Q159" s="1046"/>
      <c r="R159" s="1045"/>
      <c r="S159" s="1046"/>
      <c r="T159" s="1045"/>
      <c r="U159" s="1046"/>
      <c r="V159" s="1045"/>
      <c r="W159" s="1046"/>
      <c r="X159" s="1045"/>
      <c r="Y159" s="1046"/>
      <c r="Z159" s="1045"/>
      <c r="AA159" s="1046"/>
      <c r="AB159" s="1045"/>
      <c r="AC159" s="1046"/>
      <c r="AD159" s="1045"/>
      <c r="AE159" s="1046"/>
      <c r="AF159" s="1045"/>
      <c r="AG159" s="1046"/>
      <c r="AH159" s="1045"/>
      <c r="AI159" s="1046"/>
      <c r="AJ159" s="1045"/>
      <c r="AK159" s="1046"/>
      <c r="AL159" s="1045"/>
      <c r="AM159" s="1319"/>
      <c r="AN159" s="1320"/>
      <c r="AO159" s="1321"/>
      <c r="AP159" s="48" t="str">
        <f t="shared" si="89"/>
        <v/>
      </c>
      <c r="BO159" s="1009" t="str">
        <f t="shared" si="90"/>
        <v/>
      </c>
      <c r="BP159" s="1009" t="str">
        <f t="shared" si="91"/>
        <v/>
      </c>
      <c r="BQ159" s="1131"/>
      <c r="BR159" s="1131"/>
      <c r="BS159" s="1131"/>
      <c r="BU159" s="1010">
        <f t="shared" si="92"/>
        <v>0</v>
      </c>
      <c r="BV159" s="1010">
        <f t="shared" si="93"/>
        <v>0</v>
      </c>
    </row>
    <row r="160" spans="1:75" ht="15" customHeight="1">
      <c r="A160" s="5618"/>
      <c r="B160" s="206" t="s">
        <v>652</v>
      </c>
      <c r="C160" s="1281">
        <f t="shared" si="87"/>
        <v>0</v>
      </c>
      <c r="D160" s="700">
        <f t="shared" si="88"/>
        <v>0</v>
      </c>
      <c r="E160" s="285">
        <f t="shared" si="88"/>
        <v>0</v>
      </c>
      <c r="F160" s="1045"/>
      <c r="G160" s="1046"/>
      <c r="H160" s="1045"/>
      <c r="I160" s="1046"/>
      <c r="J160" s="1045"/>
      <c r="K160" s="1046"/>
      <c r="L160" s="1045"/>
      <c r="M160" s="1046"/>
      <c r="N160" s="1045"/>
      <c r="O160" s="1046"/>
      <c r="P160" s="1045"/>
      <c r="Q160" s="1046"/>
      <c r="R160" s="1045"/>
      <c r="S160" s="1046"/>
      <c r="T160" s="1045"/>
      <c r="U160" s="1046"/>
      <c r="V160" s="1045"/>
      <c r="W160" s="1046"/>
      <c r="X160" s="1045"/>
      <c r="Y160" s="1046"/>
      <c r="Z160" s="1045"/>
      <c r="AA160" s="1046"/>
      <c r="AB160" s="1045"/>
      <c r="AC160" s="1046"/>
      <c r="AD160" s="1045"/>
      <c r="AE160" s="1046"/>
      <c r="AF160" s="1045"/>
      <c r="AG160" s="1046"/>
      <c r="AH160" s="1045"/>
      <c r="AI160" s="1046"/>
      <c r="AJ160" s="1045"/>
      <c r="AK160" s="1046"/>
      <c r="AL160" s="1045"/>
      <c r="AM160" s="1319"/>
      <c r="AN160" s="1320"/>
      <c r="AO160" s="1321"/>
      <c r="AP160" s="48" t="str">
        <f t="shared" si="89"/>
        <v/>
      </c>
      <c r="BO160" s="1009" t="str">
        <f t="shared" si="90"/>
        <v/>
      </c>
      <c r="BP160" s="1009" t="str">
        <f t="shared" si="91"/>
        <v/>
      </c>
      <c r="BQ160" s="1131"/>
      <c r="BR160" s="1131"/>
      <c r="BS160" s="1131"/>
      <c r="BU160" s="1010">
        <f t="shared" si="92"/>
        <v>0</v>
      </c>
      <c r="BV160" s="1010">
        <f t="shared" si="93"/>
        <v>0</v>
      </c>
    </row>
    <row r="161" spans="1:74" ht="15" customHeight="1">
      <c r="A161" s="5620"/>
      <c r="B161" s="106" t="s">
        <v>653</v>
      </c>
      <c r="C161" s="635">
        <f t="shared" si="87"/>
        <v>0</v>
      </c>
      <c r="D161" s="636">
        <f t="shared" si="88"/>
        <v>0</v>
      </c>
      <c r="E161" s="286">
        <f t="shared" si="88"/>
        <v>0</v>
      </c>
      <c r="F161" s="1053"/>
      <c r="G161" s="1054"/>
      <c r="H161" s="1053"/>
      <c r="I161" s="1054"/>
      <c r="J161" s="1053"/>
      <c r="K161" s="1054"/>
      <c r="L161" s="1053"/>
      <c r="M161" s="1054"/>
      <c r="N161" s="1053"/>
      <c r="O161" s="1054"/>
      <c r="P161" s="1053"/>
      <c r="Q161" s="1054"/>
      <c r="R161" s="1053"/>
      <c r="S161" s="1054"/>
      <c r="T161" s="1053"/>
      <c r="U161" s="1054"/>
      <c r="V161" s="1053"/>
      <c r="W161" s="1054"/>
      <c r="X161" s="1053"/>
      <c r="Y161" s="1054"/>
      <c r="Z161" s="1053"/>
      <c r="AA161" s="1054"/>
      <c r="AB161" s="1053"/>
      <c r="AC161" s="1054"/>
      <c r="AD161" s="1053"/>
      <c r="AE161" s="1054"/>
      <c r="AF161" s="1053"/>
      <c r="AG161" s="1054"/>
      <c r="AH161" s="1053"/>
      <c r="AI161" s="1054"/>
      <c r="AJ161" s="1053"/>
      <c r="AK161" s="1054"/>
      <c r="AL161" s="1053"/>
      <c r="AM161" s="1322"/>
      <c r="AN161" s="1137"/>
      <c r="AO161" s="1136"/>
      <c r="AP161" s="48" t="str">
        <f t="shared" si="89"/>
        <v/>
      </c>
      <c r="BO161" s="1009" t="str">
        <f t="shared" si="90"/>
        <v/>
      </c>
      <c r="BP161" s="1009" t="str">
        <f t="shared" si="91"/>
        <v/>
      </c>
      <c r="BQ161" s="1131"/>
      <c r="BR161" s="1131"/>
      <c r="BS161" s="1131"/>
      <c r="BU161" s="1010">
        <f t="shared" si="92"/>
        <v>0</v>
      </c>
      <c r="BV161" s="1010">
        <f t="shared" si="93"/>
        <v>0</v>
      </c>
    </row>
    <row r="162" spans="1:74" ht="15" customHeight="1">
      <c r="A162" s="5619" t="s">
        <v>112</v>
      </c>
      <c r="B162" s="78" t="s">
        <v>646</v>
      </c>
      <c r="C162" s="626">
        <f t="shared" si="87"/>
        <v>0</v>
      </c>
      <c r="D162" s="627">
        <f t="shared" si="88"/>
        <v>0</v>
      </c>
      <c r="E162" s="554">
        <f t="shared" si="88"/>
        <v>0</v>
      </c>
      <c r="F162" s="1003"/>
      <c r="G162" s="1004"/>
      <c r="H162" s="1003"/>
      <c r="I162" s="1004"/>
      <c r="J162" s="1003"/>
      <c r="K162" s="1004"/>
      <c r="L162" s="1003"/>
      <c r="M162" s="1004"/>
      <c r="N162" s="1003"/>
      <c r="O162" s="1004"/>
      <c r="P162" s="1003"/>
      <c r="Q162" s="1004"/>
      <c r="R162" s="1003"/>
      <c r="S162" s="1004"/>
      <c r="T162" s="1003"/>
      <c r="U162" s="1004"/>
      <c r="V162" s="1003"/>
      <c r="W162" s="1004"/>
      <c r="X162" s="1003"/>
      <c r="Y162" s="1004"/>
      <c r="Z162" s="1003"/>
      <c r="AA162" s="1004"/>
      <c r="AB162" s="1003"/>
      <c r="AC162" s="1004"/>
      <c r="AD162" s="1003"/>
      <c r="AE162" s="1004"/>
      <c r="AF162" s="1003"/>
      <c r="AG162" s="1004"/>
      <c r="AH162" s="1003"/>
      <c r="AI162" s="1004"/>
      <c r="AJ162" s="1003"/>
      <c r="AK162" s="1004"/>
      <c r="AL162" s="1003"/>
      <c r="AM162" s="1316"/>
      <c r="AN162" s="1067"/>
      <c r="AO162" s="1180"/>
      <c r="AP162" s="48" t="str">
        <f t="shared" si="89"/>
        <v/>
      </c>
      <c r="BO162" s="1009" t="str">
        <f t="shared" si="90"/>
        <v/>
      </c>
      <c r="BP162" s="1009" t="str">
        <f t="shared" si="91"/>
        <v/>
      </c>
      <c r="BQ162" s="1131"/>
      <c r="BR162" s="1131"/>
      <c r="BS162" s="1131"/>
      <c r="BU162" s="1010">
        <f t="shared" si="92"/>
        <v>0</v>
      </c>
      <c r="BV162" s="1010">
        <f t="shared" si="93"/>
        <v>0</v>
      </c>
    </row>
    <row r="163" spans="1:74" ht="15" customHeight="1">
      <c r="A163" s="5618"/>
      <c r="B163" s="206" t="s">
        <v>648</v>
      </c>
      <c r="C163" s="1281">
        <f t="shared" si="87"/>
        <v>0</v>
      </c>
      <c r="D163" s="700">
        <f t="shared" si="88"/>
        <v>0</v>
      </c>
      <c r="E163" s="285">
        <f>+G163+I163+K163+M163+O163+Q163+S163+U163+W163+Y163+AA163+AC163+AE163+AG163+AI163+AK163+AM163</f>
        <v>0</v>
      </c>
      <c r="F163" s="1013"/>
      <c r="G163" s="1014"/>
      <c r="H163" s="1013"/>
      <c r="I163" s="1014"/>
      <c r="J163" s="1013"/>
      <c r="K163" s="1014"/>
      <c r="L163" s="1013"/>
      <c r="M163" s="1014"/>
      <c r="N163" s="1013"/>
      <c r="O163" s="1014"/>
      <c r="P163" s="1013"/>
      <c r="Q163" s="1014"/>
      <c r="R163" s="1013"/>
      <c r="S163" s="1014"/>
      <c r="T163" s="1013"/>
      <c r="U163" s="1014"/>
      <c r="V163" s="1013"/>
      <c r="W163" s="1014"/>
      <c r="X163" s="1013"/>
      <c r="Y163" s="1014"/>
      <c r="Z163" s="1013"/>
      <c r="AA163" s="1014"/>
      <c r="AB163" s="1013"/>
      <c r="AC163" s="1014"/>
      <c r="AD163" s="1013"/>
      <c r="AE163" s="1014"/>
      <c r="AF163" s="1013"/>
      <c r="AG163" s="1014"/>
      <c r="AH163" s="1013"/>
      <c r="AI163" s="1014"/>
      <c r="AJ163" s="1013"/>
      <c r="AK163" s="1014"/>
      <c r="AL163" s="1013"/>
      <c r="AM163" s="1318"/>
      <c r="AN163" s="1078"/>
      <c r="AO163" s="1183"/>
      <c r="AP163" s="48" t="str">
        <f t="shared" si="89"/>
        <v/>
      </c>
      <c r="BO163" s="1009" t="str">
        <f t="shared" si="90"/>
        <v/>
      </c>
      <c r="BP163" s="1009" t="str">
        <f t="shared" si="91"/>
        <v/>
      </c>
      <c r="BQ163" s="1131"/>
      <c r="BR163" s="1131"/>
      <c r="BS163" s="1131"/>
      <c r="BU163" s="1010">
        <f t="shared" si="92"/>
        <v>0</v>
      </c>
      <c r="BV163" s="1010">
        <f t="shared" si="93"/>
        <v>0</v>
      </c>
    </row>
    <row r="164" spans="1:74" ht="15" customHeight="1">
      <c r="A164" s="5618"/>
      <c r="B164" s="206" t="s">
        <v>649</v>
      </c>
      <c r="C164" s="1281">
        <f t="shared" si="87"/>
        <v>0</v>
      </c>
      <c r="D164" s="700">
        <f t="shared" si="88"/>
        <v>0</v>
      </c>
      <c r="E164" s="285">
        <f t="shared" si="88"/>
        <v>0</v>
      </c>
      <c r="F164" s="1013"/>
      <c r="G164" s="1014"/>
      <c r="H164" s="1013"/>
      <c r="I164" s="1014"/>
      <c r="J164" s="1013"/>
      <c r="K164" s="1014"/>
      <c r="L164" s="1013"/>
      <c r="M164" s="1014"/>
      <c r="N164" s="1013"/>
      <c r="O164" s="1014"/>
      <c r="P164" s="1013"/>
      <c r="Q164" s="1014"/>
      <c r="R164" s="1013"/>
      <c r="S164" s="1014"/>
      <c r="T164" s="1013"/>
      <c r="U164" s="1014"/>
      <c r="V164" s="1013"/>
      <c r="W164" s="1014"/>
      <c r="X164" s="1013"/>
      <c r="Y164" s="1014"/>
      <c r="Z164" s="1013"/>
      <c r="AA164" s="1014"/>
      <c r="AB164" s="1013"/>
      <c r="AC164" s="1014"/>
      <c r="AD164" s="1013"/>
      <c r="AE164" s="1014"/>
      <c r="AF164" s="1013"/>
      <c r="AG164" s="1014"/>
      <c r="AH164" s="1013"/>
      <c r="AI164" s="1014"/>
      <c r="AJ164" s="1013"/>
      <c r="AK164" s="1014"/>
      <c r="AL164" s="1013"/>
      <c r="AM164" s="1318"/>
      <c r="AN164" s="1078"/>
      <c r="AO164" s="1183"/>
      <c r="AP164" s="48" t="str">
        <f t="shared" si="89"/>
        <v/>
      </c>
      <c r="BO164" s="1009" t="str">
        <f t="shared" si="90"/>
        <v/>
      </c>
      <c r="BP164" s="1009" t="str">
        <f t="shared" si="91"/>
        <v/>
      </c>
      <c r="BQ164" s="1131"/>
      <c r="BR164" s="1131"/>
      <c r="BS164" s="1131"/>
      <c r="BU164" s="1010">
        <f t="shared" si="92"/>
        <v>0</v>
      </c>
      <c r="BV164" s="1010">
        <f t="shared" si="93"/>
        <v>0</v>
      </c>
    </row>
    <row r="165" spans="1:74" ht="15" customHeight="1">
      <c r="A165" s="5618"/>
      <c r="B165" s="206" t="s">
        <v>650</v>
      </c>
      <c r="C165" s="1281">
        <f t="shared" si="87"/>
        <v>0</v>
      </c>
      <c r="D165" s="700">
        <f t="shared" si="88"/>
        <v>0</v>
      </c>
      <c r="E165" s="285">
        <f t="shared" si="88"/>
        <v>0</v>
      </c>
      <c r="F165" s="1013"/>
      <c r="G165" s="1014"/>
      <c r="H165" s="1013"/>
      <c r="I165" s="1014"/>
      <c r="J165" s="1013"/>
      <c r="K165" s="1014"/>
      <c r="L165" s="1013"/>
      <c r="M165" s="1014"/>
      <c r="N165" s="1013"/>
      <c r="O165" s="1014"/>
      <c r="P165" s="1013"/>
      <c r="Q165" s="1014"/>
      <c r="R165" s="1013"/>
      <c r="S165" s="1014"/>
      <c r="T165" s="1013"/>
      <c r="U165" s="1014"/>
      <c r="V165" s="1013"/>
      <c r="W165" s="1014"/>
      <c r="X165" s="1013"/>
      <c r="Y165" s="1014"/>
      <c r="Z165" s="1013"/>
      <c r="AA165" s="1014"/>
      <c r="AB165" s="1013"/>
      <c r="AC165" s="1014"/>
      <c r="AD165" s="1013"/>
      <c r="AE165" s="1014"/>
      <c r="AF165" s="1013"/>
      <c r="AG165" s="1014"/>
      <c r="AH165" s="1013"/>
      <c r="AI165" s="1014"/>
      <c r="AJ165" s="1013"/>
      <c r="AK165" s="1014"/>
      <c r="AL165" s="1013"/>
      <c r="AM165" s="1318"/>
      <c r="AN165" s="1078"/>
      <c r="AO165" s="1183"/>
      <c r="AP165" s="48" t="str">
        <f t="shared" si="89"/>
        <v/>
      </c>
      <c r="BO165" s="1009" t="str">
        <f t="shared" si="90"/>
        <v/>
      </c>
      <c r="BP165" s="1009" t="str">
        <f t="shared" si="91"/>
        <v/>
      </c>
      <c r="BQ165" s="1131"/>
      <c r="BR165" s="1131"/>
      <c r="BS165" s="1131"/>
      <c r="BU165" s="1010">
        <f t="shared" si="92"/>
        <v>0</v>
      </c>
      <c r="BV165" s="1010">
        <f t="shared" si="93"/>
        <v>0</v>
      </c>
    </row>
    <row r="166" spans="1:74" ht="15" customHeight="1">
      <c r="A166" s="5618"/>
      <c r="B166" s="206" t="s">
        <v>651</v>
      </c>
      <c r="C166" s="631">
        <f t="shared" si="87"/>
        <v>0</v>
      </c>
      <c r="D166" s="632">
        <f t="shared" si="88"/>
        <v>0</v>
      </c>
      <c r="E166" s="633">
        <f t="shared" si="88"/>
        <v>0</v>
      </c>
      <c r="F166" s="1045"/>
      <c r="G166" s="1046"/>
      <c r="H166" s="1045"/>
      <c r="I166" s="1046"/>
      <c r="J166" s="1045"/>
      <c r="K166" s="1046"/>
      <c r="L166" s="1045"/>
      <c r="M166" s="1046"/>
      <c r="N166" s="1045"/>
      <c r="O166" s="1046"/>
      <c r="P166" s="1045"/>
      <c r="Q166" s="1046"/>
      <c r="R166" s="1045"/>
      <c r="S166" s="1046"/>
      <c r="T166" s="1045"/>
      <c r="U166" s="1046"/>
      <c r="V166" s="1045"/>
      <c r="W166" s="1046"/>
      <c r="X166" s="1045"/>
      <c r="Y166" s="1046"/>
      <c r="Z166" s="1045"/>
      <c r="AA166" s="1046"/>
      <c r="AB166" s="1045"/>
      <c r="AC166" s="1046"/>
      <c r="AD166" s="1045"/>
      <c r="AE166" s="1046"/>
      <c r="AF166" s="1045"/>
      <c r="AG166" s="1046"/>
      <c r="AH166" s="1045"/>
      <c r="AI166" s="1046"/>
      <c r="AJ166" s="1045"/>
      <c r="AK166" s="1046"/>
      <c r="AL166" s="1045"/>
      <c r="AM166" s="1319"/>
      <c r="AN166" s="1320"/>
      <c r="AO166" s="1321"/>
      <c r="AP166" s="48" t="str">
        <f t="shared" si="89"/>
        <v/>
      </c>
      <c r="BO166" s="1009" t="str">
        <f t="shared" si="90"/>
        <v/>
      </c>
      <c r="BP166" s="1009" t="str">
        <f t="shared" si="91"/>
        <v/>
      </c>
      <c r="BQ166" s="1131"/>
      <c r="BR166" s="1131"/>
      <c r="BS166" s="1131"/>
      <c r="BU166" s="1010">
        <f t="shared" si="92"/>
        <v>0</v>
      </c>
      <c r="BV166" s="1010">
        <f t="shared" si="93"/>
        <v>0</v>
      </c>
    </row>
    <row r="167" spans="1:74" ht="15" customHeight="1">
      <c r="A167" s="5620"/>
      <c r="B167" s="106" t="s">
        <v>653</v>
      </c>
      <c r="C167" s="635">
        <f t="shared" si="87"/>
        <v>0</v>
      </c>
      <c r="D167" s="636">
        <f t="shared" si="88"/>
        <v>0</v>
      </c>
      <c r="E167" s="286">
        <f t="shared" si="88"/>
        <v>0</v>
      </c>
      <c r="F167" s="1053"/>
      <c r="G167" s="1054"/>
      <c r="H167" s="1053"/>
      <c r="I167" s="1054"/>
      <c r="J167" s="1053"/>
      <c r="K167" s="1054"/>
      <c r="L167" s="1053"/>
      <c r="M167" s="1054"/>
      <c r="N167" s="1053"/>
      <c r="O167" s="1054"/>
      <c r="P167" s="1053"/>
      <c r="Q167" s="1054"/>
      <c r="R167" s="1053"/>
      <c r="S167" s="1054"/>
      <c r="T167" s="1053"/>
      <c r="U167" s="1054"/>
      <c r="V167" s="1053"/>
      <c r="W167" s="1054"/>
      <c r="X167" s="1053"/>
      <c r="Y167" s="1054"/>
      <c r="Z167" s="1053"/>
      <c r="AA167" s="1054"/>
      <c r="AB167" s="1053"/>
      <c r="AC167" s="1054"/>
      <c r="AD167" s="1053"/>
      <c r="AE167" s="1054"/>
      <c r="AF167" s="1053"/>
      <c r="AG167" s="1054"/>
      <c r="AH167" s="1053"/>
      <c r="AI167" s="1054"/>
      <c r="AJ167" s="1053"/>
      <c r="AK167" s="1054"/>
      <c r="AL167" s="1053"/>
      <c r="AM167" s="1322"/>
      <c r="AN167" s="1137"/>
      <c r="AO167" s="1136"/>
      <c r="AP167" s="48" t="str">
        <f t="shared" si="89"/>
        <v/>
      </c>
      <c r="BO167" s="1009" t="str">
        <f t="shared" si="90"/>
        <v/>
      </c>
      <c r="BP167" s="1009" t="str">
        <f t="shared" si="91"/>
        <v/>
      </c>
      <c r="BQ167" s="1131"/>
      <c r="BR167" s="1131"/>
      <c r="BS167" s="1131"/>
      <c r="BU167" s="1010">
        <f t="shared" si="92"/>
        <v>0</v>
      </c>
      <c r="BV167" s="1010">
        <f t="shared" si="93"/>
        <v>0</v>
      </c>
    </row>
    <row r="168" spans="1:74" ht="18" customHeight="1">
      <c r="A168" s="763" t="s">
        <v>654</v>
      </c>
      <c r="B168" s="240"/>
      <c r="C168" s="240"/>
      <c r="D168" s="240"/>
      <c r="E168" s="240"/>
      <c r="F168" s="240"/>
      <c r="G168" s="240"/>
      <c r="H168" s="240"/>
      <c r="I168" s="240"/>
      <c r="J168" s="240"/>
      <c r="K168" s="240"/>
      <c r="L168" s="240"/>
      <c r="M168" s="240"/>
      <c r="N168" s="240"/>
      <c r="O168" s="240"/>
      <c r="Q168" s="992"/>
      <c r="R168" s="992"/>
      <c r="S168" s="992"/>
      <c r="T168" s="992"/>
      <c r="U168" s="992"/>
    </row>
    <row r="169" spans="1:74" ht="15" customHeight="1">
      <c r="A169" s="5613" t="s">
        <v>655</v>
      </c>
      <c r="B169" s="5994" t="s">
        <v>91</v>
      </c>
      <c r="C169" s="5974" t="s">
        <v>43</v>
      </c>
      <c r="D169" s="5975"/>
      <c r="E169" s="5975"/>
      <c r="F169" s="5975"/>
      <c r="G169" s="5975"/>
      <c r="H169" s="5975"/>
      <c r="I169" s="5975"/>
      <c r="J169" s="5975"/>
      <c r="K169" s="5975"/>
      <c r="L169" s="5975"/>
      <c r="M169" s="5975"/>
      <c r="N169" s="5975"/>
      <c r="O169" s="5975"/>
      <c r="P169" s="5975"/>
      <c r="Q169" s="5975"/>
      <c r="R169" s="5975"/>
      <c r="S169" s="5977"/>
      <c r="T169" s="5996" t="s">
        <v>50</v>
      </c>
      <c r="U169" s="5839" t="s">
        <v>51</v>
      </c>
    </row>
    <row r="170" spans="1:74" ht="15" customHeight="1">
      <c r="A170" s="5614"/>
      <c r="B170" s="5995"/>
      <c r="C170" s="1323" t="s">
        <v>364</v>
      </c>
      <c r="D170" s="1324" t="s">
        <v>347</v>
      </c>
      <c r="E170" s="1324" t="s">
        <v>324</v>
      </c>
      <c r="F170" s="1324" t="s">
        <v>58</v>
      </c>
      <c r="G170" s="1324" t="s">
        <v>326</v>
      </c>
      <c r="H170" s="1324" t="s">
        <v>60</v>
      </c>
      <c r="I170" s="1324" t="s">
        <v>656</v>
      </c>
      <c r="J170" s="1324" t="s">
        <v>62</v>
      </c>
      <c r="K170" s="1324" t="s">
        <v>657</v>
      </c>
      <c r="L170" s="1324" t="s">
        <v>64</v>
      </c>
      <c r="M170" s="1324" t="s">
        <v>658</v>
      </c>
      <c r="N170" s="1324" t="s">
        <v>66</v>
      </c>
      <c r="O170" s="1324" t="s">
        <v>67</v>
      </c>
      <c r="P170" s="1324" t="s">
        <v>68</v>
      </c>
      <c r="Q170" s="1324" t="s">
        <v>69</v>
      </c>
      <c r="R170" s="1324" t="s">
        <v>70</v>
      </c>
      <c r="S170" s="1315" t="s">
        <v>71</v>
      </c>
      <c r="T170" s="5996"/>
      <c r="U170" s="5839"/>
    </row>
    <row r="171" spans="1:74" ht="22.5" customHeight="1">
      <c r="A171" s="1325" t="s">
        <v>659</v>
      </c>
      <c r="B171" s="1326"/>
      <c r="C171" s="1327"/>
      <c r="D171" s="1328"/>
      <c r="E171" s="1328"/>
      <c r="F171" s="1328"/>
      <c r="G171" s="1328"/>
      <c r="H171" s="1328"/>
      <c r="I171" s="1328"/>
      <c r="J171" s="1328"/>
      <c r="K171" s="1328"/>
      <c r="L171" s="1328"/>
      <c r="M171" s="1328"/>
      <c r="N171" s="1328"/>
      <c r="O171" s="1328"/>
      <c r="P171" s="1328"/>
      <c r="Q171" s="1328"/>
      <c r="R171" s="1328"/>
      <c r="S171" s="1329"/>
      <c r="T171" s="1330"/>
      <c r="U171" s="1331"/>
      <c r="V171" s="48" t="str">
        <f>BO171&amp;BP171</f>
        <v/>
      </c>
      <c r="BO171" s="1009" t="str">
        <f>IF(AND(B171&gt;0,T171=""),"  * No olvide digitar la variable Pueblos originarios. Digite Cero si no tiene.",IF(T171&gt;B171," * La variable Pueblos originarios No puede ser mayor al Total.",""))</f>
        <v/>
      </c>
      <c r="BP171" s="1009" t="str">
        <f>IF(AND(B171&gt;0,U171=""),"  * No olvide digitar la variable Migrantes. Digite Cero si no tiene.",IF(U171&gt;B171," * La variable Migrantes No puede ser mayor al Total.",""))</f>
        <v/>
      </c>
      <c r="BU171" s="1010">
        <f>IF(AND(B171&gt;0,T171=""),1,IF(T171&gt;B171,1,0))</f>
        <v>0</v>
      </c>
      <c r="BV171" s="1010">
        <f>IF(AND(B171&gt;0,U171=""),1,IF(U171&gt;B171,1,0))</f>
        <v>0</v>
      </c>
    </row>
    <row r="172" spans="1:74" ht="18" customHeight="1">
      <c r="A172" s="847" t="s">
        <v>660</v>
      </c>
      <c r="B172" s="1332"/>
      <c r="C172" s="1333"/>
      <c r="D172" s="1333"/>
      <c r="E172" s="1333"/>
      <c r="F172" s="1333"/>
      <c r="G172" s="1333"/>
      <c r="H172" s="1333"/>
      <c r="I172" s="1333"/>
      <c r="J172" s="1333"/>
      <c r="K172" s="1333"/>
      <c r="L172" s="1333"/>
    </row>
    <row r="173" spans="1:74">
      <c r="A173" s="5946" t="s">
        <v>236</v>
      </c>
      <c r="B173" s="5969" t="s">
        <v>661</v>
      </c>
      <c r="C173" s="5971" t="s">
        <v>662</v>
      </c>
      <c r="D173" s="5972"/>
      <c r="E173" s="5972"/>
      <c r="F173" s="5972"/>
      <c r="G173" s="5972"/>
      <c r="H173" s="5972"/>
      <c r="I173" s="5972"/>
      <c r="J173" s="5972"/>
      <c r="K173" s="5973"/>
      <c r="L173" s="5974" t="s">
        <v>663</v>
      </c>
      <c r="M173" s="5975"/>
      <c r="N173" s="5975"/>
      <c r="O173" s="5975"/>
      <c r="P173" s="5975"/>
      <c r="Q173" s="5975"/>
      <c r="R173" s="5975"/>
      <c r="S173" s="5975"/>
      <c r="T173" s="5976"/>
      <c r="U173" s="5974" t="s">
        <v>664</v>
      </c>
      <c r="V173" s="5975"/>
      <c r="W173" s="5975"/>
      <c r="X173" s="5975"/>
      <c r="Y173" s="5975"/>
      <c r="Z173" s="5975"/>
      <c r="AA173" s="5975"/>
      <c r="AB173" s="5975"/>
      <c r="AC173" s="5977"/>
      <c r="AD173" s="5616" t="s">
        <v>50</v>
      </c>
      <c r="AE173" s="5646" t="s">
        <v>51</v>
      </c>
    </row>
    <row r="174" spans="1:74" ht="18" customHeight="1">
      <c r="A174" s="5948"/>
      <c r="B174" s="5970"/>
      <c r="C174" s="5774" t="s">
        <v>91</v>
      </c>
      <c r="D174" s="5787"/>
      <c r="E174" s="5786"/>
      <c r="F174" s="5978" t="s">
        <v>665</v>
      </c>
      <c r="G174" s="5978"/>
      <c r="H174" s="5978" t="s">
        <v>666</v>
      </c>
      <c r="I174" s="5978"/>
      <c r="J174" s="5979" t="s">
        <v>667</v>
      </c>
      <c r="K174" s="5979"/>
      <c r="L174" s="5774" t="s">
        <v>91</v>
      </c>
      <c r="M174" s="5787"/>
      <c r="N174" s="5786"/>
      <c r="O174" s="5978" t="s">
        <v>665</v>
      </c>
      <c r="P174" s="5978"/>
      <c r="Q174" s="5978" t="s">
        <v>666</v>
      </c>
      <c r="R174" s="5978"/>
      <c r="S174" s="5979" t="s">
        <v>667</v>
      </c>
      <c r="T174" s="5979"/>
      <c r="U174" s="5774" t="s">
        <v>91</v>
      </c>
      <c r="V174" s="5787"/>
      <c r="W174" s="5786"/>
      <c r="X174" s="5978" t="s">
        <v>665</v>
      </c>
      <c r="Y174" s="5978"/>
      <c r="Z174" s="5978" t="s">
        <v>666</v>
      </c>
      <c r="AA174" s="5978"/>
      <c r="AB174" s="5979" t="s">
        <v>667</v>
      </c>
      <c r="AC174" s="5980"/>
      <c r="AD174" s="5616"/>
      <c r="AE174" s="5646"/>
    </row>
    <row r="175" spans="1:74" ht="25.9" customHeight="1">
      <c r="A175" s="5948"/>
      <c r="B175" s="5970"/>
      <c r="C175" s="1335" t="s">
        <v>668</v>
      </c>
      <c r="D175" s="1336" t="s">
        <v>72</v>
      </c>
      <c r="E175" s="1337" t="s">
        <v>73</v>
      </c>
      <c r="F175" s="66" t="s">
        <v>72</v>
      </c>
      <c r="G175" s="1338" t="s">
        <v>73</v>
      </c>
      <c r="H175" s="66" t="s">
        <v>72</v>
      </c>
      <c r="I175" s="1338" t="s">
        <v>73</v>
      </c>
      <c r="J175" s="66" t="s">
        <v>72</v>
      </c>
      <c r="K175" s="1338" t="s">
        <v>73</v>
      </c>
      <c r="L175" s="66" t="s">
        <v>668</v>
      </c>
      <c r="M175" s="745" t="s">
        <v>72</v>
      </c>
      <c r="N175" s="742" t="s">
        <v>73</v>
      </c>
      <c r="O175" s="66" t="s">
        <v>72</v>
      </c>
      <c r="P175" s="742" t="s">
        <v>73</v>
      </c>
      <c r="Q175" s="66" t="s">
        <v>72</v>
      </c>
      <c r="R175" s="742" t="s">
        <v>73</v>
      </c>
      <c r="S175" s="66" t="s">
        <v>72</v>
      </c>
      <c r="T175" s="742" t="s">
        <v>73</v>
      </c>
      <c r="U175" s="66" t="s">
        <v>668</v>
      </c>
      <c r="V175" s="1339" t="s">
        <v>72</v>
      </c>
      <c r="W175" s="1338" t="s">
        <v>73</v>
      </c>
      <c r="X175" s="66" t="s">
        <v>72</v>
      </c>
      <c r="Y175" s="1338" t="s">
        <v>73</v>
      </c>
      <c r="Z175" s="66" t="s">
        <v>72</v>
      </c>
      <c r="AA175" s="1338" t="s">
        <v>73</v>
      </c>
      <c r="AB175" s="66" t="s">
        <v>72</v>
      </c>
      <c r="AC175" s="1340" t="s">
        <v>73</v>
      </c>
      <c r="AD175" s="5616"/>
      <c r="AE175" s="5646"/>
    </row>
    <row r="176" spans="1:74" ht="25.15" customHeight="1">
      <c r="A176" s="759" t="s">
        <v>669</v>
      </c>
      <c r="B176" s="1341">
        <f>SUM(C176+L176+U176)</f>
        <v>0</v>
      </c>
      <c r="C176" s="1342">
        <f t="shared" si="87"/>
        <v>0</v>
      </c>
      <c r="D176" s="627">
        <f t="shared" ref="D176:E183" si="94">SUM(F176+H176+J176)</f>
        <v>0</v>
      </c>
      <c r="E176" s="697">
        <f>SUM(G176+I176+K176)</f>
        <v>0</v>
      </c>
      <c r="F176" s="1003"/>
      <c r="G176" s="1005"/>
      <c r="H176" s="1003"/>
      <c r="I176" s="1005"/>
      <c r="J176" s="1003"/>
      <c r="K176" s="1005"/>
      <c r="L176" s="1102">
        <f>SUM(M176:N176)</f>
        <v>0</v>
      </c>
      <c r="M176" s="627">
        <f>SUM(O176+Q176+S176)</f>
        <v>0</v>
      </c>
      <c r="N176" s="554">
        <f>SUM(P176+R176+T176)</f>
        <v>0</v>
      </c>
      <c r="O176" s="1003"/>
      <c r="P176" s="1004"/>
      <c r="Q176" s="1003"/>
      <c r="R176" s="1004"/>
      <c r="S176" s="1003"/>
      <c r="T176" s="1004"/>
      <c r="U176" s="626">
        <f t="shared" ref="U176:U183" si="95">SUM(V176:W176)</f>
        <v>0</v>
      </c>
      <c r="V176" s="627">
        <f t="shared" ref="V176:W183" si="96">SUM(X176+Z176+AB176)</f>
        <v>0</v>
      </c>
      <c r="W176" s="697">
        <f>SUM(Y176+AA176+AC176)</f>
        <v>0</v>
      </c>
      <c r="X176" s="1003"/>
      <c r="Y176" s="1005"/>
      <c r="Z176" s="1003"/>
      <c r="AA176" s="1005"/>
      <c r="AB176" s="1003"/>
      <c r="AC176" s="1068"/>
      <c r="AD176" s="1067"/>
      <c r="AE176" s="1180"/>
      <c r="AF176" s="48" t="str">
        <f t="shared" ref="AF176:AF183" si="97">BO176&amp;BP176</f>
        <v/>
      </c>
      <c r="BO176" s="1009" t="str">
        <f t="shared" ref="BO176:BO183" si="98">IF(AND(B176&gt;0,AD176=""),"  * No olvide digitar la variable Pueblos originarios. Digite Cero si no tiene.",IF(AD176&gt;B176," * La variable Pueblos originarios No puede ser mayor al Total.",""))</f>
        <v/>
      </c>
      <c r="BP176" s="1009" t="str">
        <f t="shared" ref="BP176:BP183" si="99">IF(AND(B176&gt;0,AE176=""),"  * No olvide digitar la variable Migrantes. Digite Cero si no tiene.",IF(AE176&gt;B176," * La variable Migrantes No puede ser mayor al Total.",""))</f>
        <v/>
      </c>
      <c r="BU176" s="1010">
        <f t="shared" ref="BU176:BU183" si="100">IF(AND(B176&gt;0,AD176=""),1,IF(AD176&gt;B176,1,0))</f>
        <v>0</v>
      </c>
      <c r="BV176" s="1010">
        <f t="shared" ref="BV176:BV183" si="101">IF(AND(B176&gt;0,AE176=""),1,IF(AE176&gt;B176,1,0))</f>
        <v>0</v>
      </c>
    </row>
    <row r="177" spans="1:74" ht="25.9" customHeight="1">
      <c r="A177" s="1343" t="s">
        <v>670</v>
      </c>
      <c r="B177" s="1344">
        <f>SUM(C177+U177)</f>
        <v>0</v>
      </c>
      <c r="C177" s="1345">
        <f t="shared" si="87"/>
        <v>0</v>
      </c>
      <c r="D177" s="1346">
        <f t="shared" si="94"/>
        <v>0</v>
      </c>
      <c r="E177" s="1347">
        <f t="shared" si="94"/>
        <v>0</v>
      </c>
      <c r="F177" s="1053"/>
      <c r="G177" s="1052"/>
      <c r="H177" s="1053"/>
      <c r="I177" s="1052"/>
      <c r="J177" s="1053"/>
      <c r="K177" s="1052"/>
      <c r="L177" s="1348"/>
      <c r="M177" s="1349"/>
      <c r="N177" s="1350"/>
      <c r="O177" s="1348"/>
      <c r="P177" s="1350"/>
      <c r="Q177" s="1348"/>
      <c r="R177" s="1350"/>
      <c r="S177" s="1348"/>
      <c r="T177" s="1350"/>
      <c r="U177" s="635">
        <f t="shared" si="95"/>
        <v>0</v>
      </c>
      <c r="V177" s="636">
        <f t="shared" si="96"/>
        <v>0</v>
      </c>
      <c r="W177" s="702">
        <f t="shared" si="96"/>
        <v>0</v>
      </c>
      <c r="X177" s="1053"/>
      <c r="Y177" s="1052"/>
      <c r="Z177" s="1053"/>
      <c r="AA177" s="1052"/>
      <c r="AB177" s="1053"/>
      <c r="AC177" s="1057"/>
      <c r="AD177" s="1137"/>
      <c r="AE177" s="1136"/>
      <c r="AF177" s="48" t="str">
        <f t="shared" si="97"/>
        <v/>
      </c>
      <c r="BO177" s="1009" t="str">
        <f t="shared" si="98"/>
        <v/>
      </c>
      <c r="BP177" s="1009" t="str">
        <f t="shared" si="99"/>
        <v/>
      </c>
      <c r="BU177" s="1010">
        <f t="shared" si="100"/>
        <v>0</v>
      </c>
      <c r="BV177" s="1010">
        <f t="shared" si="101"/>
        <v>0</v>
      </c>
    </row>
    <row r="178" spans="1:74" ht="25.15" customHeight="1">
      <c r="A178" s="759" t="s">
        <v>671</v>
      </c>
      <c r="B178" s="1341">
        <f t="shared" ref="B178:B182" si="102">SUM(C178+L178+U178)</f>
        <v>0</v>
      </c>
      <c r="C178" s="1342">
        <f t="shared" si="87"/>
        <v>0</v>
      </c>
      <c r="D178" s="1351">
        <f t="shared" si="94"/>
        <v>0</v>
      </c>
      <c r="E178" s="1352">
        <f t="shared" si="94"/>
        <v>0</v>
      </c>
      <c r="F178" s="1003"/>
      <c r="G178" s="1005"/>
      <c r="H178" s="1003"/>
      <c r="I178" s="1005"/>
      <c r="J178" s="1003"/>
      <c r="K178" s="1005"/>
      <c r="L178" s="1102">
        <f>SUM(M178:N178)</f>
        <v>0</v>
      </c>
      <c r="M178" s="627">
        <f>SUM(O178+Q178+S178)</f>
        <v>0</v>
      </c>
      <c r="N178" s="554">
        <f>SUM(P178+R178+T178)</f>
        <v>0</v>
      </c>
      <c r="O178" s="1003"/>
      <c r="P178" s="1004"/>
      <c r="Q178" s="1003"/>
      <c r="R178" s="1004"/>
      <c r="S178" s="1003"/>
      <c r="T178" s="1004"/>
      <c r="U178" s="626">
        <f t="shared" si="95"/>
        <v>0</v>
      </c>
      <c r="V178" s="627">
        <f t="shared" si="96"/>
        <v>0</v>
      </c>
      <c r="W178" s="697">
        <f t="shared" si="96"/>
        <v>0</v>
      </c>
      <c r="X178" s="1003"/>
      <c r="Y178" s="1005"/>
      <c r="Z178" s="1003"/>
      <c r="AA178" s="1005"/>
      <c r="AB178" s="1003"/>
      <c r="AC178" s="1068"/>
      <c r="AD178" s="1067"/>
      <c r="AE178" s="1180"/>
      <c r="AF178" s="48" t="str">
        <f t="shared" si="97"/>
        <v/>
      </c>
      <c r="BO178" s="1009" t="str">
        <f t="shared" si="98"/>
        <v/>
      </c>
      <c r="BP178" s="1009" t="str">
        <f t="shared" si="99"/>
        <v/>
      </c>
      <c r="BU178" s="1010">
        <f t="shared" si="100"/>
        <v>0</v>
      </c>
      <c r="BV178" s="1010">
        <f t="shared" si="101"/>
        <v>0</v>
      </c>
    </row>
    <row r="179" spans="1:74" ht="26.45" customHeight="1">
      <c r="A179" s="1343" t="s">
        <v>672</v>
      </c>
      <c r="B179" s="1344">
        <f>SUM(C179+U179)</f>
        <v>0</v>
      </c>
      <c r="C179" s="1345">
        <f t="shared" si="87"/>
        <v>0</v>
      </c>
      <c r="D179" s="1346">
        <f t="shared" si="94"/>
        <v>0</v>
      </c>
      <c r="E179" s="1347">
        <f t="shared" si="94"/>
        <v>0</v>
      </c>
      <c r="F179" s="1053"/>
      <c r="G179" s="1052"/>
      <c r="H179" s="1053"/>
      <c r="I179" s="1052"/>
      <c r="J179" s="1053"/>
      <c r="K179" s="1052"/>
      <c r="L179" s="1348"/>
      <c r="M179" s="1349"/>
      <c r="N179" s="1350"/>
      <c r="O179" s="1348"/>
      <c r="P179" s="1350"/>
      <c r="Q179" s="1348"/>
      <c r="R179" s="1350"/>
      <c r="S179" s="1348"/>
      <c r="T179" s="1350"/>
      <c r="U179" s="635">
        <f t="shared" si="95"/>
        <v>0</v>
      </c>
      <c r="V179" s="636">
        <f t="shared" si="96"/>
        <v>0</v>
      </c>
      <c r="W179" s="702">
        <f t="shared" si="96"/>
        <v>0</v>
      </c>
      <c r="X179" s="1053"/>
      <c r="Y179" s="1052"/>
      <c r="Z179" s="1053"/>
      <c r="AA179" s="1052"/>
      <c r="AB179" s="1053"/>
      <c r="AC179" s="1057"/>
      <c r="AD179" s="1137"/>
      <c r="AE179" s="1136"/>
      <c r="AF179" s="48" t="str">
        <f t="shared" si="97"/>
        <v/>
      </c>
      <c r="BO179" s="1009" t="str">
        <f t="shared" si="98"/>
        <v/>
      </c>
      <c r="BP179" s="1009" t="str">
        <f t="shared" si="99"/>
        <v/>
      </c>
      <c r="BU179" s="1010">
        <f t="shared" si="100"/>
        <v>0</v>
      </c>
      <c r="BV179" s="1010">
        <f t="shared" si="101"/>
        <v>0</v>
      </c>
    </row>
    <row r="180" spans="1:74" ht="21">
      <c r="A180" s="759" t="s">
        <v>673</v>
      </c>
      <c r="B180" s="1341">
        <f t="shared" si="102"/>
        <v>0</v>
      </c>
      <c r="C180" s="1342">
        <f t="shared" si="87"/>
        <v>0</v>
      </c>
      <c r="D180" s="1351">
        <f t="shared" si="94"/>
        <v>0</v>
      </c>
      <c r="E180" s="1352">
        <f t="shared" si="94"/>
        <v>0</v>
      </c>
      <c r="F180" s="1003"/>
      <c r="G180" s="1005"/>
      <c r="H180" s="1003"/>
      <c r="I180" s="1005"/>
      <c r="J180" s="1003"/>
      <c r="K180" s="1005"/>
      <c r="L180" s="1102">
        <f>SUM(M180:N180)</f>
        <v>0</v>
      </c>
      <c r="M180" s="627">
        <f>SUM(O180+Q180+S180)</f>
        <v>0</v>
      </c>
      <c r="N180" s="554">
        <f>SUM(P180+R180+T180)</f>
        <v>0</v>
      </c>
      <c r="O180" s="1003"/>
      <c r="P180" s="1004"/>
      <c r="Q180" s="1003"/>
      <c r="R180" s="1004"/>
      <c r="S180" s="1003"/>
      <c r="T180" s="1004"/>
      <c r="U180" s="626">
        <f t="shared" si="95"/>
        <v>0</v>
      </c>
      <c r="V180" s="627">
        <f t="shared" si="96"/>
        <v>0</v>
      </c>
      <c r="W180" s="697">
        <f t="shared" si="96"/>
        <v>0</v>
      </c>
      <c r="X180" s="1003"/>
      <c r="Y180" s="1005"/>
      <c r="Z180" s="1003"/>
      <c r="AA180" s="1005"/>
      <c r="AB180" s="1003"/>
      <c r="AC180" s="1068"/>
      <c r="AD180" s="1067"/>
      <c r="AE180" s="1180"/>
      <c r="AF180" s="48" t="str">
        <f t="shared" si="97"/>
        <v/>
      </c>
      <c r="BO180" s="1009" t="str">
        <f t="shared" si="98"/>
        <v/>
      </c>
      <c r="BP180" s="1009" t="str">
        <f t="shared" si="99"/>
        <v/>
      </c>
      <c r="BU180" s="1010">
        <f t="shared" si="100"/>
        <v>0</v>
      </c>
      <c r="BV180" s="1010">
        <f t="shared" si="101"/>
        <v>0</v>
      </c>
    </row>
    <row r="181" spans="1:74" ht="25.9" customHeight="1">
      <c r="A181" s="1343" t="s">
        <v>674</v>
      </c>
      <c r="B181" s="1344">
        <f>SUM(C181+U181)</f>
        <v>0</v>
      </c>
      <c r="C181" s="1345">
        <f t="shared" si="87"/>
        <v>0</v>
      </c>
      <c r="D181" s="1346">
        <f t="shared" si="94"/>
        <v>0</v>
      </c>
      <c r="E181" s="1347">
        <f t="shared" si="94"/>
        <v>0</v>
      </c>
      <c r="F181" s="1053"/>
      <c r="G181" s="1052"/>
      <c r="H181" s="1053"/>
      <c r="I181" s="1052"/>
      <c r="J181" s="1053"/>
      <c r="K181" s="1052"/>
      <c r="L181" s="1348"/>
      <c r="M181" s="1349"/>
      <c r="N181" s="1350"/>
      <c r="O181" s="1348"/>
      <c r="P181" s="1350"/>
      <c r="Q181" s="1348"/>
      <c r="R181" s="1350"/>
      <c r="S181" s="1348"/>
      <c r="T181" s="1350"/>
      <c r="U181" s="635">
        <f t="shared" si="95"/>
        <v>0</v>
      </c>
      <c r="V181" s="636">
        <f t="shared" si="96"/>
        <v>0</v>
      </c>
      <c r="W181" s="702">
        <f t="shared" si="96"/>
        <v>0</v>
      </c>
      <c r="X181" s="1053"/>
      <c r="Y181" s="1052"/>
      <c r="Z181" s="1053"/>
      <c r="AA181" s="1052"/>
      <c r="AB181" s="1053"/>
      <c r="AC181" s="1057"/>
      <c r="AD181" s="1137"/>
      <c r="AE181" s="1136"/>
      <c r="AF181" s="48" t="str">
        <f t="shared" si="97"/>
        <v/>
      </c>
      <c r="BO181" s="1009" t="str">
        <f t="shared" si="98"/>
        <v/>
      </c>
      <c r="BP181" s="1009" t="str">
        <f t="shared" si="99"/>
        <v/>
      </c>
      <c r="BU181" s="1010">
        <f t="shared" si="100"/>
        <v>0</v>
      </c>
      <c r="BV181" s="1010">
        <f t="shared" si="101"/>
        <v>0</v>
      </c>
    </row>
    <row r="182" spans="1:74" ht="26.45" customHeight="1">
      <c r="A182" s="529" t="s">
        <v>675</v>
      </c>
      <c r="B182" s="1353">
        <f t="shared" si="102"/>
        <v>0</v>
      </c>
      <c r="C182" s="531">
        <f t="shared" si="87"/>
        <v>0</v>
      </c>
      <c r="D182" s="1354">
        <f t="shared" si="94"/>
        <v>0</v>
      </c>
      <c r="E182" s="1355">
        <f t="shared" si="94"/>
        <v>0</v>
      </c>
      <c r="F182" s="1030"/>
      <c r="G182" s="1267"/>
      <c r="H182" s="1030"/>
      <c r="I182" s="1267"/>
      <c r="J182" s="1030"/>
      <c r="K182" s="1267"/>
      <c r="L182" s="628">
        <f>SUM(M182:N182)</f>
        <v>0</v>
      </c>
      <c r="M182" s="629">
        <f>SUM(O182+Q182+S182)</f>
        <v>0</v>
      </c>
      <c r="N182" s="280">
        <f>SUM(P182+R182+T182)</f>
        <v>0</v>
      </c>
      <c r="O182" s="1030"/>
      <c r="P182" s="1187"/>
      <c r="Q182" s="1030"/>
      <c r="R182" s="1187"/>
      <c r="S182" s="1030"/>
      <c r="T182" s="1187"/>
      <c r="U182" s="628">
        <f t="shared" si="95"/>
        <v>0</v>
      </c>
      <c r="V182" s="629">
        <f t="shared" si="96"/>
        <v>0</v>
      </c>
      <c r="W182" s="699">
        <f t="shared" si="96"/>
        <v>0</v>
      </c>
      <c r="X182" s="1030"/>
      <c r="Y182" s="1267"/>
      <c r="Z182" s="1030"/>
      <c r="AA182" s="1267"/>
      <c r="AB182" s="1030"/>
      <c r="AC182" s="1269"/>
      <c r="AD182" s="1128"/>
      <c r="AE182" s="1127"/>
      <c r="AF182" s="48" t="str">
        <f t="shared" si="97"/>
        <v/>
      </c>
      <c r="BO182" s="1009" t="str">
        <f t="shared" si="98"/>
        <v/>
      </c>
      <c r="BP182" s="1009" t="str">
        <f t="shared" si="99"/>
        <v/>
      </c>
      <c r="BU182" s="1010">
        <f t="shared" si="100"/>
        <v>0</v>
      </c>
      <c r="BV182" s="1010">
        <f t="shared" si="101"/>
        <v>0</v>
      </c>
    </row>
    <row r="183" spans="1:74" ht="31.15" customHeight="1">
      <c r="A183" s="1343" t="s">
        <v>676</v>
      </c>
      <c r="B183" s="1344">
        <f>SUM(C183+U183)</f>
        <v>0</v>
      </c>
      <c r="C183" s="1345">
        <f t="shared" si="87"/>
        <v>0</v>
      </c>
      <c r="D183" s="1346">
        <f t="shared" si="94"/>
        <v>0</v>
      </c>
      <c r="E183" s="1347">
        <f>SUM(G183+I183+K183)</f>
        <v>0</v>
      </c>
      <c r="F183" s="1053"/>
      <c r="G183" s="1052"/>
      <c r="H183" s="1053"/>
      <c r="I183" s="1052"/>
      <c r="J183" s="1053"/>
      <c r="K183" s="1052"/>
      <c r="L183" s="1356"/>
      <c r="M183" s="1357"/>
      <c r="N183" s="1358"/>
      <c r="O183" s="1356"/>
      <c r="P183" s="1358"/>
      <c r="Q183" s="1356"/>
      <c r="R183" s="1358"/>
      <c r="S183" s="1356"/>
      <c r="T183" s="1359"/>
      <c r="U183" s="635">
        <f t="shared" si="95"/>
        <v>0</v>
      </c>
      <c r="V183" s="636">
        <f t="shared" si="96"/>
        <v>0</v>
      </c>
      <c r="W183" s="702">
        <f t="shared" si="96"/>
        <v>0</v>
      </c>
      <c r="X183" s="1053"/>
      <c r="Y183" s="1052"/>
      <c r="Z183" s="1053"/>
      <c r="AA183" s="1052"/>
      <c r="AB183" s="1053"/>
      <c r="AC183" s="1057"/>
      <c r="AD183" s="1137"/>
      <c r="AE183" s="1136"/>
      <c r="AF183" s="48" t="str">
        <f t="shared" si="97"/>
        <v/>
      </c>
      <c r="BO183" s="1009" t="str">
        <f t="shared" si="98"/>
        <v/>
      </c>
      <c r="BP183" s="1009" t="str">
        <f t="shared" si="99"/>
        <v/>
      </c>
      <c r="BU183" s="1010">
        <f t="shared" si="100"/>
        <v>0</v>
      </c>
      <c r="BV183" s="1010">
        <f t="shared" si="101"/>
        <v>0</v>
      </c>
    </row>
    <row r="184" spans="1:74" ht="18" customHeight="1">
      <c r="A184" s="1360" t="s">
        <v>677</v>
      </c>
      <c r="B184" s="1361"/>
      <c r="C184" s="1361"/>
      <c r="D184" s="1361"/>
      <c r="E184" s="1361"/>
    </row>
    <row r="185" spans="1:74" ht="31.5">
      <c r="A185" s="189" t="s">
        <v>678</v>
      </c>
      <c r="B185" s="229" t="s">
        <v>91</v>
      </c>
      <c r="C185" s="58" t="s">
        <v>679</v>
      </c>
      <c r="D185" s="232" t="s">
        <v>680</v>
      </c>
    </row>
    <row r="186" spans="1:74">
      <c r="A186" s="551" t="s">
        <v>681</v>
      </c>
      <c r="B186" s="1362">
        <f t="shared" ref="B186:B189" si="103">SUM(C186:D186)</f>
        <v>0</v>
      </c>
      <c r="C186" s="1030"/>
      <c r="D186" s="1187"/>
    </row>
    <row r="187" spans="1:74">
      <c r="A187" s="555" t="s">
        <v>682</v>
      </c>
      <c r="B187" s="1363">
        <f t="shared" si="103"/>
        <v>0</v>
      </c>
      <c r="C187" s="1013"/>
      <c r="D187" s="1014"/>
    </row>
    <row r="188" spans="1:74">
      <c r="A188" s="555" t="s">
        <v>683</v>
      </c>
      <c r="B188" s="1194">
        <f t="shared" si="103"/>
        <v>0</v>
      </c>
      <c r="C188" s="1013"/>
      <c r="D188" s="1015"/>
    </row>
    <row r="189" spans="1:74">
      <c r="A189" s="580" t="s">
        <v>684</v>
      </c>
      <c r="B189" s="1195">
        <f t="shared" si="103"/>
        <v>0</v>
      </c>
      <c r="C189" s="1053"/>
      <c r="D189" s="1052"/>
    </row>
    <row r="190" spans="1:74" ht="18" customHeight="1">
      <c r="A190" s="1360" t="s">
        <v>685</v>
      </c>
      <c r="B190" s="1361"/>
      <c r="C190" s="1361"/>
      <c r="D190" s="1361"/>
      <c r="E190" s="1361"/>
    </row>
    <row r="191" spans="1:74" ht="30" customHeight="1">
      <c r="A191" s="5962" t="s">
        <v>678</v>
      </c>
      <c r="B191" s="5624" t="s">
        <v>91</v>
      </c>
      <c r="C191" s="5615" t="s">
        <v>43</v>
      </c>
      <c r="D191" s="5616"/>
      <c r="E191" s="5617"/>
      <c r="F191" s="5968" t="s">
        <v>686</v>
      </c>
      <c r="G191" s="5633" t="s">
        <v>687</v>
      </c>
      <c r="H191" s="5624" t="s">
        <v>688</v>
      </c>
    </row>
    <row r="192" spans="1:74" ht="38.25" customHeight="1">
      <c r="A192" s="5760"/>
      <c r="B192" s="5625"/>
      <c r="C192" s="229" t="s">
        <v>689</v>
      </c>
      <c r="D192" s="61" t="s">
        <v>690</v>
      </c>
      <c r="E192" s="70" t="s">
        <v>691</v>
      </c>
      <c r="F192" s="5881"/>
      <c r="G192" s="5634"/>
      <c r="H192" s="5625"/>
    </row>
    <row r="193" spans="1:75">
      <c r="A193" s="1149" t="s">
        <v>692</v>
      </c>
      <c r="B193" s="1364">
        <f t="shared" ref="B193:B219" si="104">SUM(C193:E193)</f>
        <v>0</v>
      </c>
      <c r="C193" s="1003"/>
      <c r="D193" s="1365"/>
      <c r="E193" s="1068"/>
      <c r="F193" s="1066"/>
      <c r="G193" s="1365"/>
      <c r="H193" s="1004"/>
      <c r="I193" s="48" t="str">
        <f t="shared" ref="I193:I198" si="105">BO193&amp;BP193&amp;BQ193</f>
        <v/>
      </c>
      <c r="BO193" s="1009" t="str">
        <f t="shared" ref="BO193:BO198" si="106">IF(AND($B193&gt;0,F193=""),"  * No olvide digitar la variable Lugar de trabajo. Digite Cero si no tiene.",IF(F193&gt;$B193," * La variable Lugar de trabajo No puede ser mayor al Total.",""))</f>
        <v/>
      </c>
      <c r="BP193" s="1009" t="str">
        <f t="shared" ref="BP193:BP198" si="107">IF(AND($B193&gt;0,G193=""),"  * No olvide digitar la variable Institución (ELEAM, cárceles,colegios, sala cuna y jardines infantiles). Digite Cero si no tiene.",IF(G193&gt;$B193," * La variable Institución (ELEAM, cárceles,colegios, sala cuna y jardines infantiles) No puede ser mayor al Total.",""))</f>
        <v/>
      </c>
      <c r="BQ193" s="1009" t="str">
        <f t="shared" ref="BQ193:BQ198" si="108">IF(AND($B193&gt;0,H193=""),"  * No olvide digitar la variable Grupos comunitarios. Digite Cero si no tiene.",IF(H193&gt;$B193," * La variable Grupos comunitarios No puede ser mayor al Total.",""))</f>
        <v/>
      </c>
      <c r="BU193" s="1010">
        <f t="shared" ref="BU193:BU198" si="109">IF(AND($B193&gt;0,F193=""),1,IF(F193&gt;$B193,1,0))</f>
        <v>0</v>
      </c>
      <c r="BV193" s="1010">
        <f t="shared" ref="BV193:BV198" si="110">IF(AND($B193&gt;0,G193=""),1,IF(G193&gt;$B193,1,0))</f>
        <v>0</v>
      </c>
      <c r="BW193" s="1010">
        <f t="shared" ref="BW193:BW198" si="111">IF(AND($B193&gt;0,H193=""),1,IF(H193&gt;$B193,1,0))</f>
        <v>0</v>
      </c>
    </row>
    <row r="194" spans="1:75">
      <c r="A194" s="1366" t="s">
        <v>693</v>
      </c>
      <c r="B194" s="1367">
        <f t="shared" si="104"/>
        <v>0</v>
      </c>
      <c r="C194" s="1013"/>
      <c r="D194" s="1368"/>
      <c r="E194" s="1024"/>
      <c r="F194" s="1077"/>
      <c r="G194" s="1368"/>
      <c r="H194" s="1014"/>
      <c r="I194" s="48" t="str">
        <f t="shared" si="105"/>
        <v/>
      </c>
      <c r="BO194" s="1009" t="str">
        <f t="shared" si="106"/>
        <v/>
      </c>
      <c r="BP194" s="1009" t="str">
        <f t="shared" si="107"/>
        <v/>
      </c>
      <c r="BQ194" s="1009" t="str">
        <f t="shared" si="108"/>
        <v/>
      </c>
      <c r="BU194" s="1010">
        <f t="shared" si="109"/>
        <v>0</v>
      </c>
      <c r="BV194" s="1010">
        <f t="shared" si="110"/>
        <v>0</v>
      </c>
      <c r="BW194" s="1010">
        <f t="shared" si="111"/>
        <v>0</v>
      </c>
    </row>
    <row r="195" spans="1:75">
      <c r="A195" s="1369" t="s">
        <v>694</v>
      </c>
      <c r="B195" s="1370">
        <f t="shared" si="104"/>
        <v>0</v>
      </c>
      <c r="C195" s="1030"/>
      <c r="D195" s="1371"/>
      <c r="E195" s="1269"/>
      <c r="F195" s="1268"/>
      <c r="G195" s="1371"/>
      <c r="H195" s="1187"/>
      <c r="I195" s="48" t="str">
        <f t="shared" si="105"/>
        <v/>
      </c>
      <c r="BO195" s="1009" t="str">
        <f t="shared" si="106"/>
        <v/>
      </c>
      <c r="BP195" s="1009" t="str">
        <f t="shared" si="107"/>
        <v/>
      </c>
      <c r="BQ195" s="1009" t="str">
        <f t="shared" si="108"/>
        <v/>
      </c>
      <c r="BU195" s="1010">
        <f t="shared" si="109"/>
        <v>0</v>
      </c>
      <c r="BV195" s="1010">
        <f t="shared" si="110"/>
        <v>0</v>
      </c>
      <c r="BW195" s="1010">
        <f t="shared" si="111"/>
        <v>0</v>
      </c>
    </row>
    <row r="196" spans="1:75">
      <c r="A196" s="1369" t="s">
        <v>695</v>
      </c>
      <c r="B196" s="1370">
        <f t="shared" si="104"/>
        <v>0</v>
      </c>
      <c r="C196" s="1030"/>
      <c r="D196" s="1371"/>
      <c r="E196" s="1269"/>
      <c r="F196" s="1268"/>
      <c r="G196" s="1371"/>
      <c r="H196" s="1187"/>
      <c r="I196" s="48" t="str">
        <f t="shared" si="105"/>
        <v/>
      </c>
      <c r="BO196" s="1009" t="str">
        <f t="shared" si="106"/>
        <v/>
      </c>
      <c r="BP196" s="1009" t="str">
        <f t="shared" si="107"/>
        <v/>
      </c>
      <c r="BQ196" s="1009" t="str">
        <f t="shared" si="108"/>
        <v/>
      </c>
      <c r="BU196" s="1010">
        <f t="shared" si="109"/>
        <v>0</v>
      </c>
      <c r="BV196" s="1010">
        <f t="shared" si="110"/>
        <v>0</v>
      </c>
      <c r="BW196" s="1010">
        <f t="shared" si="111"/>
        <v>0</v>
      </c>
    </row>
    <row r="197" spans="1:75">
      <c r="A197" s="1369" t="s">
        <v>696</v>
      </c>
      <c r="B197" s="1370">
        <f t="shared" si="104"/>
        <v>0</v>
      </c>
      <c r="C197" s="1030"/>
      <c r="D197" s="1371"/>
      <c r="E197" s="1269"/>
      <c r="F197" s="1268"/>
      <c r="G197" s="1371"/>
      <c r="H197" s="1187"/>
      <c r="I197" s="48" t="str">
        <f t="shared" si="105"/>
        <v/>
      </c>
      <c r="BO197" s="1009" t="str">
        <f t="shared" si="106"/>
        <v/>
      </c>
      <c r="BP197" s="1009" t="str">
        <f t="shared" si="107"/>
        <v/>
      </c>
      <c r="BQ197" s="1009" t="str">
        <f t="shared" si="108"/>
        <v/>
      </c>
      <c r="BU197" s="1010">
        <f t="shared" si="109"/>
        <v>0</v>
      </c>
      <c r="BV197" s="1010">
        <f t="shared" si="110"/>
        <v>0</v>
      </c>
      <c r="BW197" s="1010">
        <f t="shared" si="111"/>
        <v>0</v>
      </c>
    </row>
    <row r="198" spans="1:75">
      <c r="A198" s="1156" t="s">
        <v>697</v>
      </c>
      <c r="B198" s="1372">
        <f t="shared" si="104"/>
        <v>0</v>
      </c>
      <c r="C198" s="1055"/>
      <c r="D198" s="1373"/>
      <c r="E198" s="1374"/>
      <c r="F198" s="1375"/>
      <c r="G198" s="1373"/>
      <c r="H198" s="1093"/>
      <c r="I198" s="48" t="str">
        <f t="shared" si="105"/>
        <v/>
      </c>
      <c r="BO198" s="1009" t="str">
        <f t="shared" si="106"/>
        <v/>
      </c>
      <c r="BP198" s="1009" t="str">
        <f t="shared" si="107"/>
        <v/>
      </c>
      <c r="BQ198" s="1009" t="str">
        <f t="shared" si="108"/>
        <v/>
      </c>
      <c r="BU198" s="1010">
        <f t="shared" si="109"/>
        <v>0</v>
      </c>
      <c r="BV198" s="1010">
        <f t="shared" si="110"/>
        <v>0</v>
      </c>
      <c r="BW198" s="1010">
        <f t="shared" si="111"/>
        <v>0</v>
      </c>
    </row>
    <row r="199" spans="1:75" ht="18" customHeight="1">
      <c r="A199" s="1360" t="s">
        <v>698</v>
      </c>
      <c r="B199" s="1361"/>
      <c r="C199" s="1361"/>
      <c r="D199" s="1361"/>
      <c r="E199" s="1361"/>
    </row>
    <row r="200" spans="1:75">
      <c r="A200" s="5611" t="s">
        <v>678</v>
      </c>
      <c r="B200" s="5613" t="s">
        <v>91</v>
      </c>
      <c r="C200" s="5615" t="s">
        <v>43</v>
      </c>
      <c r="D200" s="5616"/>
      <c r="E200" s="5652"/>
    </row>
    <row r="201" spans="1:75" ht="21" customHeight="1">
      <c r="A201" s="5612"/>
      <c r="B201" s="5614"/>
      <c r="C201" s="229" t="s">
        <v>689</v>
      </c>
      <c r="D201" s="61" t="s">
        <v>690</v>
      </c>
      <c r="E201" s="232" t="s">
        <v>691</v>
      </c>
    </row>
    <row r="202" spans="1:75">
      <c r="A202" s="599" t="s">
        <v>699</v>
      </c>
      <c r="B202" s="1376">
        <f t="shared" si="104"/>
        <v>0</v>
      </c>
      <c r="C202" s="1003"/>
      <c r="D202" s="1365"/>
      <c r="E202" s="1005"/>
    </row>
    <row r="203" spans="1:75">
      <c r="A203" s="555" t="s">
        <v>700</v>
      </c>
      <c r="B203" s="1194">
        <f t="shared" si="104"/>
        <v>0</v>
      </c>
      <c r="C203" s="1013"/>
      <c r="D203" s="1368"/>
      <c r="E203" s="1015"/>
    </row>
    <row r="204" spans="1:75">
      <c r="A204" s="555" t="s">
        <v>701</v>
      </c>
      <c r="B204" s="1194">
        <f t="shared" si="104"/>
        <v>0</v>
      </c>
      <c r="C204" s="1030"/>
      <c r="D204" s="1371"/>
      <c r="E204" s="1267"/>
    </row>
    <row r="205" spans="1:75">
      <c r="A205" s="555" t="s">
        <v>702</v>
      </c>
      <c r="B205" s="1194">
        <f t="shared" si="104"/>
        <v>0</v>
      </c>
      <c r="C205" s="1030"/>
      <c r="D205" s="1371"/>
      <c r="E205" s="1267"/>
    </row>
    <row r="206" spans="1:75" ht="23.45" customHeight="1">
      <c r="A206" s="619" t="s">
        <v>703</v>
      </c>
      <c r="B206" s="1196">
        <f t="shared" si="104"/>
        <v>0</v>
      </c>
      <c r="C206" s="1053"/>
      <c r="D206" s="1377"/>
      <c r="E206" s="1052"/>
    </row>
    <row r="207" spans="1:75" ht="18" customHeight="1">
      <c r="A207" s="1378" t="s">
        <v>704</v>
      </c>
    </row>
    <row r="208" spans="1:75">
      <c r="A208" s="5776" t="s">
        <v>678</v>
      </c>
      <c r="B208" s="5962"/>
      <c r="C208" s="5624" t="s">
        <v>91</v>
      </c>
      <c r="D208" s="5615" t="s">
        <v>43</v>
      </c>
      <c r="E208" s="5616"/>
      <c r="F208" s="5652"/>
    </row>
    <row r="209" spans="1:6" ht="24" customHeight="1">
      <c r="A209" s="5963"/>
      <c r="B209" s="5760"/>
      <c r="C209" s="5625"/>
      <c r="D209" s="229" t="s">
        <v>689</v>
      </c>
      <c r="E209" s="61" t="s">
        <v>690</v>
      </c>
      <c r="F209" s="232" t="s">
        <v>691</v>
      </c>
    </row>
    <row r="210" spans="1:6">
      <c r="A210" s="5962" t="s">
        <v>705</v>
      </c>
      <c r="B210" s="618" t="s">
        <v>706</v>
      </c>
      <c r="C210" s="1379">
        <f t="shared" ref="C210:C213" si="112">SUM(D210:F210)</f>
        <v>0</v>
      </c>
      <c r="D210" s="1003"/>
      <c r="E210" s="1365"/>
      <c r="F210" s="1005"/>
    </row>
    <row r="211" spans="1:6" ht="16.899999999999999" customHeight="1">
      <c r="A211" s="5758"/>
      <c r="B211" s="619" t="s">
        <v>707</v>
      </c>
      <c r="C211" s="1379">
        <f t="shared" si="112"/>
        <v>0</v>
      </c>
      <c r="D211" s="1053"/>
      <c r="E211" s="1377"/>
      <c r="F211" s="1052"/>
    </row>
    <row r="212" spans="1:6" ht="16.899999999999999" customHeight="1">
      <c r="A212" s="5962" t="s">
        <v>708</v>
      </c>
      <c r="B212" s="620" t="s">
        <v>709</v>
      </c>
      <c r="C212" s="1370">
        <f t="shared" si="112"/>
        <v>0</v>
      </c>
      <c r="D212" s="1030"/>
      <c r="E212" s="1371"/>
      <c r="F212" s="1267"/>
    </row>
    <row r="213" spans="1:6" ht="21">
      <c r="A213" s="5760"/>
      <c r="B213" s="1380" t="s">
        <v>710</v>
      </c>
      <c r="C213" s="1381">
        <f t="shared" si="112"/>
        <v>0</v>
      </c>
      <c r="D213" s="1053"/>
      <c r="E213" s="1377"/>
      <c r="F213" s="1052"/>
    </row>
    <row r="214" spans="1:6" ht="18" customHeight="1">
      <c r="A214" s="226" t="s">
        <v>711</v>
      </c>
      <c r="B214" s="1382"/>
      <c r="C214" s="1361"/>
      <c r="D214" s="1361"/>
    </row>
    <row r="215" spans="1:6">
      <c r="A215" s="5962" t="s">
        <v>678</v>
      </c>
      <c r="B215" s="5624" t="s">
        <v>91</v>
      </c>
      <c r="C215" s="5616" t="s">
        <v>712</v>
      </c>
      <c r="D215" s="5616"/>
      <c r="E215" s="5616"/>
      <c r="F215" s="1383"/>
    </row>
    <row r="216" spans="1:6" ht="21">
      <c r="A216" s="5760"/>
      <c r="B216" s="5625"/>
      <c r="C216" s="63" t="s">
        <v>713</v>
      </c>
      <c r="D216" s="61" t="s">
        <v>714</v>
      </c>
      <c r="E216" s="232" t="s">
        <v>715</v>
      </c>
    </row>
    <row r="217" spans="1:6">
      <c r="A217" s="618" t="s">
        <v>716</v>
      </c>
      <c r="B217" s="1002">
        <f t="shared" si="104"/>
        <v>0</v>
      </c>
      <c r="C217" s="1066"/>
      <c r="D217" s="1365"/>
      <c r="E217" s="1005"/>
    </row>
    <row r="218" spans="1:6">
      <c r="A218" s="1384" t="s">
        <v>717</v>
      </c>
      <c r="B218" s="1012">
        <f t="shared" si="104"/>
        <v>0</v>
      </c>
      <c r="C218" s="1013"/>
      <c r="D218" s="1368"/>
      <c r="E218" s="1015"/>
    </row>
    <row r="219" spans="1:6">
      <c r="A219" s="619" t="s">
        <v>718</v>
      </c>
      <c r="B219" s="1385">
        <f t="shared" si="104"/>
        <v>0</v>
      </c>
      <c r="C219" s="1375"/>
      <c r="D219" s="1373"/>
      <c r="E219" s="1386"/>
    </row>
    <row r="220" spans="1:6" ht="18" customHeight="1">
      <c r="A220" s="226" t="s">
        <v>719</v>
      </c>
      <c r="B220" s="1382"/>
    </row>
    <row r="221" spans="1:6">
      <c r="A221" s="5962" t="s">
        <v>678</v>
      </c>
      <c r="B221" s="5613" t="s">
        <v>720</v>
      </c>
    </row>
    <row r="222" spans="1:6">
      <c r="A222" s="5760"/>
      <c r="B222" s="5614"/>
    </row>
    <row r="223" spans="1:6">
      <c r="A223" s="618" t="s">
        <v>721</v>
      </c>
      <c r="B223" s="1183"/>
    </row>
    <row r="224" spans="1:6">
      <c r="A224" s="619" t="s">
        <v>722</v>
      </c>
      <c r="B224" s="1136"/>
    </row>
    <row r="236" spans="1:1" hidden="1"/>
    <row r="237" spans="1:1" hidden="1"/>
    <row r="238" spans="1:1" ht="12.75" hidden="1" customHeight="1"/>
    <row r="239" spans="1:1" ht="20.100000000000001" hidden="1" customHeight="1">
      <c r="A239" s="1387">
        <f>SUM(B12:B26,B31:B47,B53:B54,M53:M54,B60:B61,B63:B64,B67:B68,C73:C74,C80:C83,B88:B92,B94:B96,B101:B105,B107:B109,B114:B116,B128:B130,B122:B124,B135:B137,C141:C149,C154:C167,B176:B183,B186:B189,B193:B198,B202:B206,C210:C213,B217:B219,B223:B224)</f>
        <v>0</v>
      </c>
    </row>
    <row r="240" spans="1:1" ht="20.100000000000001" hidden="1" customHeight="1">
      <c r="A240" s="1388">
        <f>SUM(BU13:BY198)</f>
        <v>0</v>
      </c>
    </row>
  </sheetData>
  <sheetProtection algorithmName="SHA-512" hashValue="fmyWdKNXIx2vCANXX8FUmt8rw/rzweGg1KTi+6BS5A0u/rVEYvkFut/b9zKDj1mwAeJ4G4SnB4+fOBwiG8q1Qg==" saltValue="z43OZC2wQBcT94eQFYlU7A==" spinCount="100000" sheet="1" objects="1" scenarios="1"/>
  <mergeCells count="289">
    <mergeCell ref="I119:J120"/>
    <mergeCell ref="K119:K121"/>
    <mergeCell ref="A118:F118"/>
    <mergeCell ref="A119:A121"/>
    <mergeCell ref="B119:D120"/>
    <mergeCell ref="E119:H120"/>
    <mergeCell ref="L119:M120"/>
    <mergeCell ref="A6:W6"/>
    <mergeCell ref="A9:A11"/>
    <mergeCell ref="B9:D10"/>
    <mergeCell ref="E9:AN9"/>
    <mergeCell ref="E10:F10"/>
    <mergeCell ref="G10:H10"/>
    <mergeCell ref="I10:J10"/>
    <mergeCell ref="K10:L10"/>
    <mergeCell ref="M10:N10"/>
    <mergeCell ref="O10:P10"/>
    <mergeCell ref="Q10:R10"/>
    <mergeCell ref="A28:A30"/>
    <mergeCell ref="B28:D29"/>
    <mergeCell ref="U57:U58"/>
    <mergeCell ref="J57:J58"/>
    <mergeCell ref="K57:K58"/>
    <mergeCell ref="L57:L58"/>
    <mergeCell ref="S10:T10"/>
    <mergeCell ref="U10:V10"/>
    <mergeCell ref="W10:X10"/>
    <mergeCell ref="Y10:Z10"/>
    <mergeCell ref="AQ9:AQ11"/>
    <mergeCell ref="AR9:AR11"/>
    <mergeCell ref="AB50:AB52"/>
    <mergeCell ref="AC50:AC52"/>
    <mergeCell ref="AA50:AA52"/>
    <mergeCell ref="X50:Y50"/>
    <mergeCell ref="Z50:Z52"/>
    <mergeCell ref="X51:X52"/>
    <mergeCell ref="Y51:Y52"/>
    <mergeCell ref="AS9:AS11"/>
    <mergeCell ref="AM10:AN10"/>
    <mergeCell ref="AA10:AB10"/>
    <mergeCell ref="AC10:AD10"/>
    <mergeCell ref="AE10:AF10"/>
    <mergeCell ref="AG10:AH10"/>
    <mergeCell ref="AI10:AJ10"/>
    <mergeCell ref="AK10:AL10"/>
    <mergeCell ref="AQ28:AQ30"/>
    <mergeCell ref="AR28:AR30"/>
    <mergeCell ref="AS28:AS30"/>
    <mergeCell ref="AP28:AP30"/>
    <mergeCell ref="AO9:AO11"/>
    <mergeCell ref="AP9:AP11"/>
    <mergeCell ref="E29:F29"/>
    <mergeCell ref="G29:H29"/>
    <mergeCell ref="I29:J29"/>
    <mergeCell ref="K29:L29"/>
    <mergeCell ref="M29:N29"/>
    <mergeCell ref="O29:P29"/>
    <mergeCell ref="Q29:R29"/>
    <mergeCell ref="E28:AN28"/>
    <mergeCell ref="AO28:AO30"/>
    <mergeCell ref="S29:T29"/>
    <mergeCell ref="U29:V29"/>
    <mergeCell ref="W29:X29"/>
    <mergeCell ref="Y29:Z29"/>
    <mergeCell ref="AM29:AN29"/>
    <mergeCell ref="AA29:AB29"/>
    <mergeCell ref="AC29:AD29"/>
    <mergeCell ref="AE29:AF29"/>
    <mergeCell ref="AG29:AH29"/>
    <mergeCell ref="AI29:AJ29"/>
    <mergeCell ref="AK29:AL29"/>
    <mergeCell ref="E56:V56"/>
    <mergeCell ref="A70:B72"/>
    <mergeCell ref="F70:AM70"/>
    <mergeCell ref="W56:W58"/>
    <mergeCell ref="X56:X58"/>
    <mergeCell ref="E57:E58"/>
    <mergeCell ref="AL71:AM71"/>
    <mergeCell ref="AH71:AI71"/>
    <mergeCell ref="AJ71:AK71"/>
    <mergeCell ref="F57:F58"/>
    <mergeCell ref="G57:G58"/>
    <mergeCell ref="H57:H58"/>
    <mergeCell ref="I57:I58"/>
    <mergeCell ref="P57:P58"/>
    <mergeCell ref="Q57:Q58"/>
    <mergeCell ref="R57:R58"/>
    <mergeCell ref="S57:S58"/>
    <mergeCell ref="T57:T58"/>
    <mergeCell ref="N57:N58"/>
    <mergeCell ref="O57:O58"/>
    <mergeCell ref="C70:E70"/>
    <mergeCell ref="M57:M58"/>
    <mergeCell ref="C71:C72"/>
    <mergeCell ref="AK77:AK79"/>
    <mergeCell ref="AL77:AL79"/>
    <mergeCell ref="AD71:AE71"/>
    <mergeCell ref="AF71:AG71"/>
    <mergeCell ref="V57:V58"/>
    <mergeCell ref="AM77:AM79"/>
    <mergeCell ref="AN77:AN79"/>
    <mergeCell ref="F78:G78"/>
    <mergeCell ref="H78:I78"/>
    <mergeCell ref="J78:K78"/>
    <mergeCell ref="L78:M78"/>
    <mergeCell ref="N78:O78"/>
    <mergeCell ref="P78:Q78"/>
    <mergeCell ref="F77:AI77"/>
    <mergeCell ref="AJ77:AJ79"/>
    <mergeCell ref="R78:S78"/>
    <mergeCell ref="T78:U78"/>
    <mergeCell ref="V78:W78"/>
    <mergeCell ref="X78:Y78"/>
    <mergeCell ref="AF78:AG78"/>
    <mergeCell ref="AH78:AI78"/>
    <mergeCell ref="A76:G76"/>
    <mergeCell ref="A56:A58"/>
    <mergeCell ref="B56:D57"/>
    <mergeCell ref="A85:A86"/>
    <mergeCell ref="B85:B86"/>
    <mergeCell ref="C85:C86"/>
    <mergeCell ref="D85:D86"/>
    <mergeCell ref="E85:E86"/>
    <mergeCell ref="F85:F86"/>
    <mergeCell ref="Z78:AA78"/>
    <mergeCell ref="AB78:AC78"/>
    <mergeCell ref="AD78:AE78"/>
    <mergeCell ref="A81:A82"/>
    <mergeCell ref="A77:A79"/>
    <mergeCell ref="B77:B79"/>
    <mergeCell ref="C77:E78"/>
    <mergeCell ref="G111:H112"/>
    <mergeCell ref="I111:J112"/>
    <mergeCell ref="K111:K113"/>
    <mergeCell ref="L111:N112"/>
    <mergeCell ref="O111:P112"/>
    <mergeCell ref="Q111:R112"/>
    <mergeCell ref="A87:F87"/>
    <mergeCell ref="A93:F93"/>
    <mergeCell ref="A110:F110"/>
    <mergeCell ref="A111:A113"/>
    <mergeCell ref="B111:D112"/>
    <mergeCell ref="E111:F112"/>
    <mergeCell ref="A98:A99"/>
    <mergeCell ref="B98:B99"/>
    <mergeCell ref="C98:C99"/>
    <mergeCell ref="D98:D99"/>
    <mergeCell ref="E98:E99"/>
    <mergeCell ref="A126:A127"/>
    <mergeCell ref="B126:B127"/>
    <mergeCell ref="C126:L126"/>
    <mergeCell ref="M126:M127"/>
    <mergeCell ref="A132:A134"/>
    <mergeCell ref="B132:D133"/>
    <mergeCell ref="E132:AN132"/>
    <mergeCell ref="Q133:R133"/>
    <mergeCell ref="S133:T133"/>
    <mergeCell ref="U133:V133"/>
    <mergeCell ref="AO132:AO134"/>
    <mergeCell ref="AP132:AP134"/>
    <mergeCell ref="AQ132:AQ134"/>
    <mergeCell ref="AR132:AR134"/>
    <mergeCell ref="E133:F133"/>
    <mergeCell ref="G133:H133"/>
    <mergeCell ref="I133:J133"/>
    <mergeCell ref="K133:L133"/>
    <mergeCell ref="M133:N133"/>
    <mergeCell ref="O133:P133"/>
    <mergeCell ref="AI133:AJ133"/>
    <mergeCell ref="AK133:AL133"/>
    <mergeCell ref="AM133:AN133"/>
    <mergeCell ref="AC133:AD133"/>
    <mergeCell ref="AE133:AF133"/>
    <mergeCell ref="AG133:AH133"/>
    <mergeCell ref="A139:B140"/>
    <mergeCell ref="C139:C140"/>
    <mergeCell ref="D139:H139"/>
    <mergeCell ref="I139:I140"/>
    <mergeCell ref="J139:J140"/>
    <mergeCell ref="K139:K140"/>
    <mergeCell ref="W133:X133"/>
    <mergeCell ref="Y133:Z133"/>
    <mergeCell ref="AA133:AB133"/>
    <mergeCell ref="AN151:AN153"/>
    <mergeCell ref="AO151:AO153"/>
    <mergeCell ref="F152:G152"/>
    <mergeCell ref="H152:I152"/>
    <mergeCell ref="J152:K152"/>
    <mergeCell ref="L152:M152"/>
    <mergeCell ref="N152:O152"/>
    <mergeCell ref="A141:A143"/>
    <mergeCell ref="A144:A145"/>
    <mergeCell ref="A146:A149"/>
    <mergeCell ref="A151:A153"/>
    <mergeCell ref="B151:B153"/>
    <mergeCell ref="C151:C153"/>
    <mergeCell ref="AF152:AG152"/>
    <mergeCell ref="AH152:AI152"/>
    <mergeCell ref="AJ152:AK152"/>
    <mergeCell ref="AL152:AM152"/>
    <mergeCell ref="P152:Q152"/>
    <mergeCell ref="R152:S152"/>
    <mergeCell ref="T152:U152"/>
    <mergeCell ref="V152:W152"/>
    <mergeCell ref="X152:Y152"/>
    <mergeCell ref="Z152:AA152"/>
    <mergeCell ref="U169:U170"/>
    <mergeCell ref="A154:A161"/>
    <mergeCell ref="A162:A167"/>
    <mergeCell ref="A169:A170"/>
    <mergeCell ref="B169:B170"/>
    <mergeCell ref="C169:S169"/>
    <mergeCell ref="T169:T170"/>
    <mergeCell ref="AB152:AC152"/>
    <mergeCell ref="AD152:AE152"/>
    <mergeCell ref="D151:D153"/>
    <mergeCell ref="E151:E153"/>
    <mergeCell ref="F151:AM151"/>
    <mergeCell ref="A50:A52"/>
    <mergeCell ref="B50:B52"/>
    <mergeCell ref="C50:C52"/>
    <mergeCell ref="D50:D52"/>
    <mergeCell ref="E50:L50"/>
    <mergeCell ref="M50:M52"/>
    <mergeCell ref="N50:N52"/>
    <mergeCell ref="O50:O52"/>
    <mergeCell ref="P50:W50"/>
    <mergeCell ref="E51:F51"/>
    <mergeCell ref="G51:H51"/>
    <mergeCell ref="I51:J51"/>
    <mergeCell ref="K51:L51"/>
    <mergeCell ref="P51:Q51"/>
    <mergeCell ref="R51:S51"/>
    <mergeCell ref="T51:U51"/>
    <mergeCell ref="V51:W51"/>
    <mergeCell ref="AE173:AE175"/>
    <mergeCell ref="C174:E174"/>
    <mergeCell ref="F174:G174"/>
    <mergeCell ref="H174:I174"/>
    <mergeCell ref="J174:K174"/>
    <mergeCell ref="L174:N174"/>
    <mergeCell ref="O174:P174"/>
    <mergeCell ref="Q174:R174"/>
    <mergeCell ref="S174:T174"/>
    <mergeCell ref="U174:W174"/>
    <mergeCell ref="X174:Y174"/>
    <mergeCell ref="Z174:AA174"/>
    <mergeCell ref="AB174:AC174"/>
    <mergeCell ref="G191:G192"/>
    <mergeCell ref="H191:H192"/>
    <mergeCell ref="C191:E191"/>
    <mergeCell ref="A173:A175"/>
    <mergeCell ref="B173:B175"/>
    <mergeCell ref="C173:K173"/>
    <mergeCell ref="L173:T173"/>
    <mergeCell ref="U173:AC173"/>
    <mergeCell ref="AD173:AD175"/>
    <mergeCell ref="B221:B222"/>
    <mergeCell ref="A221:A222"/>
    <mergeCell ref="A210:A211"/>
    <mergeCell ref="A212:A213"/>
    <mergeCell ref="B215:B216"/>
    <mergeCell ref="C215:E215"/>
    <mergeCell ref="A215:A216"/>
    <mergeCell ref="A191:A192"/>
    <mergeCell ref="A200:A201"/>
    <mergeCell ref="B200:B201"/>
    <mergeCell ref="C200:E200"/>
    <mergeCell ref="A208:B209"/>
    <mergeCell ref="C208:C209"/>
    <mergeCell ref="D208:F208"/>
    <mergeCell ref="B191:B192"/>
    <mergeCell ref="F191:F192"/>
    <mergeCell ref="A73:A74"/>
    <mergeCell ref="A75:B75"/>
    <mergeCell ref="T71:U71"/>
    <mergeCell ref="V71:W71"/>
    <mergeCell ref="X71:Y71"/>
    <mergeCell ref="Z71:AA71"/>
    <mergeCell ref="AB71:AC71"/>
    <mergeCell ref="D71:D72"/>
    <mergeCell ref="E71:E72"/>
    <mergeCell ref="F71:G71"/>
    <mergeCell ref="H71:I71"/>
    <mergeCell ref="J71:K71"/>
    <mergeCell ref="L71:M71"/>
    <mergeCell ref="N71:O71"/>
    <mergeCell ref="P71:Q71"/>
    <mergeCell ref="R71:S71"/>
  </mergeCells>
  <dataValidations count="11">
    <dataValidation type="whole" operator="equal" allowBlank="1" showInputMessage="1" showErrorMessage="1" sqref="C19:C20 K124 I145 AC35:AN35 Q114:R114 E37:J38 E35:J35 L183:T183 M35:N35 L115:P116 K122 D144:H144 I141:I143 L177:T177 L179:T179 L181:T181 AS19:AS25 E124:H124 E122:H122" xr:uid="{005600AD-0000-457A-88E2-0074006500A8}">
      <formula1>0</formula1>
    </dataValidation>
    <dataValidation type="whole" allowBlank="1" showInputMessage="1" showErrorMessage="1" sqref="C186:D189 C101:E105 C107:E109 E13:AR26 AS13:AS18 AS26 B171" xr:uid="{00300083-0012-4381-BFB1-00A2002100FB}">
      <formula1>0</formula1>
      <formula2>9.99999999999999E+37</formula2>
    </dataValidation>
    <dataValidation type="whole" allowBlank="1" showInputMessage="1" showErrorMessage="1" sqref="E53:L54 P53:AC54" xr:uid="{008E0024-00C7-4F3D-8A9F-00A800BC00DA}">
      <formula1>0</formula1>
      <formula2>9.99999999999999E+31</formula2>
    </dataValidation>
    <dataValidation type="whole" allowBlank="1" showInputMessage="1" showErrorMessage="1" sqref="C60:X61 B67:B68 F73:AM74 C193:H198 B94:B96 D88:D92 D94:D96" xr:uid="{0090005A-0007-4B8D-88E3-009C00030081}">
      <formula1>0</formula1>
      <formula2>9.99999999999999E+38</formula2>
    </dataValidation>
    <dataValidation type="whole" allowBlank="1" showInputMessage="1" showErrorMessage="1" sqref="C63:X64 F80:AN83 E94:F96 O32:O33 D210:F213 C217:E219 B223:B224 E32:E33 G32:G33 I32:I33 E88:F92 M32:M33 C94:C96 C88:C92" xr:uid="{008B0033-004C-4E72-B8A6-009D00180010}">
      <formula1>0</formula1>
      <formula2>9.99999999999999E+40</formula2>
    </dataValidation>
    <dataValidation type="whole" allowBlank="1" showInputMessage="1" showErrorMessage="1" sqref="B128:M130 F176:K183 C38" xr:uid="{00850084-0025-4B91-A387-004A00EE000A}">
      <formula1>0</formula1>
      <formula2>9.99999999999999E+41</formula2>
    </dataValidation>
    <dataValidation type="whole" allowBlank="1" showInputMessage="1" showErrorMessage="1" sqref="E135:AR137" xr:uid="{00BD0061-00B6-4EB4-9B19-004900D100D6}">
      <formula1>0</formula1>
      <formula2>9.99999999999999E+34</formula2>
    </dataValidation>
    <dataValidation type="whole" allowBlank="1" showInputMessage="1" showErrorMessage="1" sqref="F154:AO167 X176:AE183" xr:uid="{002100A6-0035-4649-8561-00C200DC0041}">
      <formula1>0</formula1>
      <formula2>9.99999999999999E+36</formula2>
    </dataValidation>
    <dataValidation type="whole" allowBlank="1" showInputMessage="1" showErrorMessage="1" sqref="B88:B92 C32:C33 C171 D171:U171" xr:uid="{00D50072-006F-4DE1-B958-00E1008100FB}">
      <formula1>0</formula1>
      <formula2>9.99999999999999E+42</formula2>
    </dataValidation>
    <dataValidation type="whole" allowBlank="1" showInputMessage="1" showErrorMessage="1" sqref="C202:E206" xr:uid="{00B300A7-0041-48B3-AB6D-005800050016}">
      <formula1>0</formula1>
      <formula2>9.99999999999999E+35</formula2>
    </dataValidation>
    <dataValidation type="whole" operator="greaterThanOrEqual" allowBlank="1" showInputMessage="1" showErrorMessage="1" sqref="O182:T182 I34 AO35:AS48 O34:O35 M34 C114:K116 L114:P114 Q115:R116 C122:D124 D141:H143 I144 J141:K149 D145:H145 D146:I149 O176:T176 O178:T178 O180:T180 E34 E31 F31:F34 G34 G31 H31:H34 J31:J34 I31 N31:N34 M31 O31 P31:AB35 AC31:AS34 M36:AN48 E39:J48 E36:J36 K31:L48 E123:H123 I122:M124" xr:uid="{00C6006B-0020-4C17-AA04-00DA0001008A}">
      <formula1>0</formula1>
    </dataValidation>
  </dataValidations>
  <pageMargins left="0.7" right="0.7" top="0.75" bottom="0.75" header="0.3" footer="0.3"/>
  <pageSetup paperSize="9" orientation="portrait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6"/>
  <dimension ref="A1:DB437"/>
  <sheetViews>
    <sheetView showGridLines="0" workbookViewId="0"/>
  </sheetViews>
  <sheetFormatPr baseColWidth="10" defaultColWidth="11.42578125" defaultRowHeight="15"/>
  <cols>
    <col min="1" max="1" width="41.7109375" customWidth="1"/>
    <col min="2" max="2" width="37.42578125" customWidth="1"/>
    <col min="3" max="3" width="12.140625" customWidth="1"/>
    <col min="14" max="14" width="12.7109375" customWidth="1"/>
    <col min="15" max="15" width="13.7109375" customWidth="1"/>
    <col min="16" max="16" width="15.85546875" customWidth="1"/>
    <col min="17" max="17" width="12.5703125" customWidth="1"/>
    <col min="18" max="18" width="12.85546875" customWidth="1"/>
    <col min="20" max="20" width="11.85546875" customWidth="1"/>
    <col min="21" max="21" width="11.5703125" customWidth="1"/>
    <col min="22" max="22" width="12.28515625" customWidth="1"/>
    <col min="23" max="23" width="13.140625" customWidth="1"/>
    <col min="24" max="24" width="13.5703125" customWidth="1"/>
    <col min="35" max="35" width="10.7109375" customWidth="1"/>
    <col min="36" max="36" width="11.5703125" customWidth="1"/>
    <col min="37" max="37" width="10.42578125" customWidth="1"/>
    <col min="39" max="39" width="12.28515625" customWidth="1"/>
    <col min="40" max="40" width="15" customWidth="1"/>
    <col min="41" max="41" width="13.7109375" customWidth="1"/>
    <col min="42" max="42" width="12.5703125" customWidth="1"/>
    <col min="45" max="45" width="13.140625" customWidth="1"/>
    <col min="46" max="46" width="11.140625" customWidth="1"/>
    <col min="49" max="50" width="12.5703125" customWidth="1"/>
    <col min="66" max="67" width="11.42578125" customWidth="1"/>
    <col min="74" max="75" width="11.42578125" customWidth="1"/>
    <col min="76" max="76" width="13.42578125" hidden="1" customWidth="1"/>
    <col min="77" max="106" width="11.42578125" hidden="1" customWidth="1"/>
    <col min="107" max="112" width="11.42578125" customWidth="1"/>
  </cols>
  <sheetData>
    <row r="1" spans="1:102">
      <c r="A1" s="378" t="s">
        <v>37</v>
      </c>
    </row>
    <row r="2" spans="1:102">
      <c r="A2" s="378" t="str">
        <f>CONCATENATE("COMUNA: ",NOMBRE!B2," (",NOMBRE!C2,NOMBRE!D2,NOMBRE!E2,NOMBRE!F2,NOMBRE!G2,")")</f>
        <v>COMUNA: MAIPU (13119)</v>
      </c>
    </row>
    <row r="3" spans="1:102">
      <c r="A3" s="378" t="str">
        <f>CONCATENATE("ESTABLECIMIENTO/ESTRATEGIA: ", NOMBRE!B3," (",NOMBRE!C3,NOMBRE!D3,NOMBRE!E3,NOMBRE!F3,NOMBRE!G3,NOMBRE!H3,")")</f>
        <v>ESTABLECIMIENTO/ESTRATEGIA: CESFAM DR. CARLOS GODOY (111380)</v>
      </c>
    </row>
    <row r="4" spans="1:102">
      <c r="A4" s="378" t="str">
        <f>CONCATENATE("MES: ",NOMBRE!B6," (",NOMBRE!C6,NOMBRE!D6,")")</f>
        <v>MES: MARZO (03)</v>
      </c>
    </row>
    <row r="5" spans="1:102">
      <c r="A5" s="378" t="str">
        <f>CONCATENATE("AÑO: ",NOMBRE!B7)</f>
        <v>AÑO: 2026</v>
      </c>
    </row>
    <row r="6" spans="1:102" ht="18" customHeight="1">
      <c r="A6" s="6227" t="s">
        <v>723</v>
      </c>
      <c r="B6" s="6227"/>
      <c r="C6" s="6227"/>
      <c r="D6" s="6227"/>
      <c r="E6" s="6227"/>
      <c r="F6" s="6227"/>
      <c r="G6" s="6227"/>
      <c r="H6" s="6227"/>
      <c r="I6" s="6227"/>
      <c r="J6" s="6227"/>
      <c r="K6" s="6227"/>
      <c r="L6" s="6227"/>
      <c r="M6" s="6227"/>
      <c r="N6" s="6227"/>
      <c r="O6" s="6227"/>
      <c r="P6" s="6227"/>
    </row>
    <row r="8" spans="1:102" ht="18" customHeight="1">
      <c r="A8" s="1389" t="s">
        <v>724</v>
      </c>
    </row>
    <row r="9" spans="1:102" ht="21.6" customHeight="1">
      <c r="A9" s="6140" t="s">
        <v>725</v>
      </c>
      <c r="B9" s="6119"/>
      <c r="C9" s="5718" t="s">
        <v>42</v>
      </c>
      <c r="D9" s="5707" t="s">
        <v>43</v>
      </c>
      <c r="E9" s="5708"/>
      <c r="F9" s="5708"/>
      <c r="G9" s="5708"/>
      <c r="H9" s="5708"/>
      <c r="I9" s="5708"/>
      <c r="J9" s="5708"/>
      <c r="K9" s="5708"/>
      <c r="L9" s="5708"/>
      <c r="M9" s="5708"/>
      <c r="N9" s="6147"/>
      <c r="O9" s="5714" t="s">
        <v>726</v>
      </c>
      <c r="P9" s="5718" t="s">
        <v>727</v>
      </c>
      <c r="Q9" s="6139" t="s">
        <v>728</v>
      </c>
      <c r="R9" s="6250" t="s">
        <v>729</v>
      </c>
      <c r="S9" s="6252" t="s">
        <v>535</v>
      </c>
      <c r="T9" s="6253"/>
      <c r="U9" s="6232" t="s">
        <v>52</v>
      </c>
      <c r="V9" s="6119" t="s">
        <v>50</v>
      </c>
      <c r="W9" s="5710" t="s">
        <v>51</v>
      </c>
      <c r="X9" s="5712"/>
    </row>
    <row r="10" spans="1:102" ht="27" customHeight="1">
      <c r="A10" s="6141"/>
      <c r="B10" s="6120"/>
      <c r="C10" s="5719"/>
      <c r="D10" s="1395" t="s">
        <v>730</v>
      </c>
      <c r="E10" s="1396" t="s">
        <v>731</v>
      </c>
      <c r="F10" s="1397" t="s">
        <v>58</v>
      </c>
      <c r="G10" s="1397" t="s">
        <v>59</v>
      </c>
      <c r="H10" s="1397" t="s">
        <v>60</v>
      </c>
      <c r="I10" s="1397" t="s">
        <v>61</v>
      </c>
      <c r="J10" s="1397" t="s">
        <v>62</v>
      </c>
      <c r="K10" s="1397" t="s">
        <v>63</v>
      </c>
      <c r="L10" s="1397" t="s">
        <v>64</v>
      </c>
      <c r="M10" s="1397" t="s">
        <v>65</v>
      </c>
      <c r="N10" s="1398" t="s">
        <v>732</v>
      </c>
      <c r="O10" s="5715"/>
      <c r="P10" s="5719"/>
      <c r="Q10" s="6115"/>
      <c r="R10" s="6251"/>
      <c r="S10" s="1400" t="s">
        <v>74</v>
      </c>
      <c r="T10" s="1401" t="s">
        <v>76</v>
      </c>
      <c r="U10" s="6234"/>
      <c r="V10" s="6116"/>
      <c r="W10" s="1395" t="s">
        <v>733</v>
      </c>
      <c r="X10" s="1402" t="s">
        <v>734</v>
      </c>
    </row>
    <row r="11" spans="1:102" ht="15" customHeight="1">
      <c r="A11" s="6242" t="s">
        <v>735</v>
      </c>
      <c r="B11" s="6242"/>
      <c r="C11" s="1404">
        <f t="shared" ref="C11:C14" si="0">SUM(D11:N11)</f>
        <v>0</v>
      </c>
      <c r="D11" s="1405"/>
      <c r="E11" s="1406"/>
      <c r="F11" s="1407"/>
      <c r="G11" s="1407"/>
      <c r="H11" s="1407"/>
      <c r="I11" s="1407"/>
      <c r="J11" s="1407"/>
      <c r="K11" s="1407"/>
      <c r="L11" s="1407"/>
      <c r="M11" s="1408"/>
      <c r="N11" s="1409"/>
      <c r="O11" s="1410"/>
      <c r="P11" s="1411"/>
      <c r="Q11" s="1412"/>
      <c r="R11" s="1413"/>
      <c r="S11" s="1414"/>
      <c r="T11" s="1415"/>
      <c r="U11" s="1416"/>
      <c r="V11" s="1417"/>
      <c r="W11" s="1405"/>
      <c r="X11" s="1417"/>
      <c r="Y11" t="str">
        <f t="shared" ref="Y11:Y12" si="1">CA11&amp;CB11&amp;CD11&amp;CE11&amp;CF11&amp;CG11&amp;CH11&amp;CI11&amp;CJ11</f>
        <v/>
      </c>
      <c r="CA11" s="1418" t="str">
        <f t="shared" ref="CA11:CA14" si="2">IF(AND($C11&gt;0,O11="")," * No olvide digitar la variable Víctima de Violencia de Género. Digite Cero si no tiene.",IF(O11&gt;$C11," *La variable Víctima de Violencia de Género No puede ser mayor al Total.",""))</f>
        <v/>
      </c>
      <c r="CB11" s="1418" t="str">
        <f t="shared" ref="CB11:CB14" si="3">IF(AND(C11&gt;0,P11=""),"  * No olvide digitar la variable Ingresos por Traslados. Digite Cero si no tiene.",IF(P11&gt;C11,"  *La variable Ingresos por Traslados No puede ser mayor al Total.",""))</f>
        <v/>
      </c>
      <c r="CC11" s="1419"/>
      <c r="CD11" s="1418" t="str">
        <f t="shared" ref="CD11:CD14" si="4">IF(AND($C11&gt;0,R11="")," * No olvide digitar la variable Derivación por IVE causal 3 &lt;14 años. Digite Cero si no tiene.",IF(R11&gt;$C11," *La variable Derivación por IVE causal 3 &lt;14 años No puede ser mayor al Total.",""))</f>
        <v/>
      </c>
      <c r="CE11" s="1418" t="str">
        <f t="shared" ref="CE11:CE14" si="5">IF(AND($C11&gt;0,S11=""),"  * No olvide digitar la variable Trans masculino. Digite Cero si no tiene.",IF(S11&gt;$C11,"  *La variable Trans masculino No puede ser mayor al Total.",""))</f>
        <v/>
      </c>
      <c r="CF11" s="1418" t="str">
        <f t="shared" ref="CF11:CF14" si="6">IF(AND($C11&gt;0,T11=""),"  * No olvide digitar la variable No binarie. Digite Cero si no tiene.",IF(T11&gt;$C11," *La variable No binarie No puede ser mayor al Total.",""))</f>
        <v/>
      </c>
      <c r="CG11" s="1418" t="str">
        <f t="shared" ref="CG11:CG14" si="7">IF(AND($C11&gt;0,U11="")," * No olvide digitar la variable Personas con discapacidad. Digite Cero si no tiene.",IF(U11&gt;$C11," *La variable Personas con discapacidad No puede ser mayor al Total.",""))</f>
        <v/>
      </c>
      <c r="CH11" s="1418" t="str">
        <f t="shared" ref="CH11:CH14" si="8">IF(AND($C11&gt;0,V11="")," * No olvide digitar la variable Pueblos Originarios. Digite Cero si no tiene.",IF(V11&gt;$C11," *La variable Pueblos Originarios No puede ser mayor al Total.",""))</f>
        <v/>
      </c>
      <c r="CI11" s="1418" t="str">
        <f t="shared" ref="CI11:CI14" si="9">IF(AND($D11+E11+F11&gt;0,W11="")," * No olvide digitar la variable Migrantes Menor de 20 años. Digite Cero si no tiene.",IF(W11&gt;$D11+E11+F11," * La variable Migrantes Menor de 20 años No puede ser mayor a la suma del grupo Rango Etario menor de 20 años.",""))</f>
        <v/>
      </c>
      <c r="CJ11" s="1418" t="str">
        <f t="shared" ref="CJ11:CJ14" si="10">IF(AND($G11+$H11+$I11+$J11+$K11+$L11+$M11+$N11&gt;0,$X11="")," * No olvide digitar la variable Migrantes 20 y más años. Digite Cero si no tiene.",IF($G11+$H11+$I11+$J11+$K11+$L11+$M11+$N11&lt;$X11," * La variable Migrantes 20 y más años No puede ser mayor a la suma del grupo Rango Etario 20 y más años.",""))</f>
        <v/>
      </c>
      <c r="CO11" s="1420">
        <f t="shared" ref="CO11:CQ14" si="11">IF(AND($C11&gt;0,O11=""),1,IF(O11&gt;$C11,1,0))</f>
        <v>0</v>
      </c>
      <c r="CP11" s="1420">
        <f t="shared" si="11"/>
        <v>0</v>
      </c>
      <c r="CQ11" s="1419"/>
      <c r="CR11" s="1421">
        <f t="shared" ref="CR11:CR14" si="12">IF(R11&gt;$E11+D11,1,0)</f>
        <v>0</v>
      </c>
      <c r="CS11" s="1420">
        <f t="shared" ref="CS11:CV14" si="13">IF(AND($C11&gt;0,S11=""),1,IF(S11&gt;$C11,1,0))</f>
        <v>0</v>
      </c>
      <c r="CT11" s="1420">
        <f t="shared" si="13"/>
        <v>0</v>
      </c>
      <c r="CU11" s="1420">
        <f t="shared" si="13"/>
        <v>0</v>
      </c>
      <c r="CV11" s="1420">
        <f t="shared" si="13"/>
        <v>0</v>
      </c>
      <c r="CW11" s="1420">
        <f t="shared" ref="CW11:CW14" si="14">IF(AND(D11+E11+F11&gt;0,W11=""),1,IF(W11&gt;D11+E11+F11,1,0))</f>
        <v>0</v>
      </c>
      <c r="CX11" s="1420">
        <f t="shared" ref="CX11:CX14" si="15">IF(AND($G11+$H11+$I11+$J11+$K11+$L11+$M11+$N11&gt;0,$X11=""),1,IF($G11+$H11+$I11+$J11+$K11+$L11+$M11+$N11&lt;$X11,1,0))</f>
        <v>0</v>
      </c>
    </row>
    <row r="12" spans="1:102" ht="15" customHeight="1">
      <c r="A12" s="6243" t="s">
        <v>736</v>
      </c>
      <c r="B12" s="6243"/>
      <c r="C12" s="1423">
        <f t="shared" si="0"/>
        <v>0</v>
      </c>
      <c r="D12" s="1424"/>
      <c r="E12" s="1425"/>
      <c r="F12" s="1426"/>
      <c r="G12" s="1426"/>
      <c r="H12" s="1426"/>
      <c r="I12" s="1426"/>
      <c r="J12" s="1426"/>
      <c r="K12" s="1426"/>
      <c r="L12" s="1426"/>
      <c r="M12" s="1427"/>
      <c r="N12" s="1428"/>
      <c r="O12" s="1429"/>
      <c r="P12" s="1430"/>
      <c r="Q12" s="1431"/>
      <c r="R12" s="1432"/>
      <c r="S12" s="1433"/>
      <c r="T12" s="1434"/>
      <c r="U12" s="1435"/>
      <c r="V12" s="1436"/>
      <c r="W12" s="1424"/>
      <c r="X12" s="1436"/>
      <c r="Y12" t="str">
        <f t="shared" si="1"/>
        <v/>
      </c>
      <c r="CA12" s="1418" t="str">
        <f t="shared" si="2"/>
        <v/>
      </c>
      <c r="CB12" s="1418" t="str">
        <f t="shared" si="3"/>
        <v/>
      </c>
      <c r="CC12" s="1419"/>
      <c r="CD12" s="1418" t="str">
        <f t="shared" si="4"/>
        <v/>
      </c>
      <c r="CE12" s="1418" t="str">
        <f t="shared" si="5"/>
        <v/>
      </c>
      <c r="CF12" s="1418" t="str">
        <f t="shared" si="6"/>
        <v/>
      </c>
      <c r="CG12" s="1418" t="str">
        <f t="shared" si="7"/>
        <v/>
      </c>
      <c r="CH12" s="1418" t="str">
        <f t="shared" si="8"/>
        <v/>
      </c>
      <c r="CI12" s="1418" t="str">
        <f t="shared" si="9"/>
        <v/>
      </c>
      <c r="CJ12" s="1418" t="str">
        <f t="shared" si="10"/>
        <v/>
      </c>
      <c r="CO12" s="1420">
        <f t="shared" si="11"/>
        <v>0</v>
      </c>
      <c r="CP12" s="1420">
        <f t="shared" si="11"/>
        <v>0</v>
      </c>
      <c r="CQ12" s="1419"/>
      <c r="CR12" s="1421">
        <f t="shared" si="12"/>
        <v>0</v>
      </c>
      <c r="CS12" s="1420">
        <f t="shared" si="13"/>
        <v>0</v>
      </c>
      <c r="CT12" s="1420">
        <f t="shared" si="13"/>
        <v>0</v>
      </c>
      <c r="CU12" s="1420">
        <f t="shared" si="13"/>
        <v>0</v>
      </c>
      <c r="CV12" s="1420">
        <f t="shared" si="13"/>
        <v>0</v>
      </c>
      <c r="CW12" s="1420">
        <f t="shared" si="14"/>
        <v>0</v>
      </c>
      <c r="CX12" s="1420">
        <f t="shared" si="15"/>
        <v>0</v>
      </c>
    </row>
    <row r="13" spans="1:102" ht="15" customHeight="1">
      <c r="A13" s="6208" t="s">
        <v>737</v>
      </c>
      <c r="B13" s="6209"/>
      <c r="C13" s="1439">
        <f t="shared" si="0"/>
        <v>0</v>
      </c>
      <c r="D13" s="1440"/>
      <c r="E13" s="1441"/>
      <c r="F13" s="1442"/>
      <c r="G13" s="1442"/>
      <c r="H13" s="1442"/>
      <c r="I13" s="1442"/>
      <c r="J13" s="1442"/>
      <c r="K13" s="1442"/>
      <c r="L13" s="1442"/>
      <c r="M13" s="1443"/>
      <c r="N13" s="1444"/>
      <c r="O13" s="1445"/>
      <c r="P13" s="1446"/>
      <c r="Q13" s="1447"/>
      <c r="R13" s="1448"/>
      <c r="S13" s="1449"/>
      <c r="T13" s="1450"/>
      <c r="U13" s="1451"/>
      <c r="V13" s="1452"/>
      <c r="W13" s="1440"/>
      <c r="X13" s="1452"/>
      <c r="Y13" t="str">
        <f>CA13&amp;CB13&amp;CC13&amp;CD13&amp;CE13&amp;CF13&amp;CG13&amp;CH13&amp;CI13&amp;CJ13</f>
        <v/>
      </c>
      <c r="CA13" s="1418" t="str">
        <f t="shared" si="2"/>
        <v/>
      </c>
      <c r="CB13" s="1418" t="str">
        <f t="shared" si="3"/>
        <v/>
      </c>
      <c r="CC13" s="1418" t="str">
        <f>IF(AND($C13&gt;0,Q13="")," * No olvide digitar la variable Ingresos con Control Precoz Extrasistema. Digite Cero si no tiene.",IF(Q13&gt;$C13," *La variable Ingresos con Control Precoz Extrasistema No puede ser mayor al Total.",""))</f>
        <v/>
      </c>
      <c r="CD13" s="1418" t="str">
        <f t="shared" si="4"/>
        <v/>
      </c>
      <c r="CE13" s="1418" t="str">
        <f t="shared" si="5"/>
        <v/>
      </c>
      <c r="CF13" s="1418" t="str">
        <f t="shared" si="6"/>
        <v/>
      </c>
      <c r="CG13" s="1418" t="str">
        <f t="shared" si="7"/>
        <v/>
      </c>
      <c r="CH13" s="1418" t="str">
        <f t="shared" si="8"/>
        <v/>
      </c>
      <c r="CI13" s="1418" t="str">
        <f t="shared" si="9"/>
        <v/>
      </c>
      <c r="CJ13" s="1418" t="str">
        <f t="shared" si="10"/>
        <v/>
      </c>
      <c r="CO13" s="1420">
        <f t="shared" si="11"/>
        <v>0</v>
      </c>
      <c r="CP13" s="1420">
        <f t="shared" si="11"/>
        <v>0</v>
      </c>
      <c r="CQ13" s="1420">
        <f t="shared" si="11"/>
        <v>0</v>
      </c>
      <c r="CR13" s="1421">
        <f t="shared" si="12"/>
        <v>0</v>
      </c>
      <c r="CS13" s="1420">
        <f t="shared" si="13"/>
        <v>0</v>
      </c>
      <c r="CT13" s="1420">
        <f t="shared" si="13"/>
        <v>0</v>
      </c>
      <c r="CU13" s="1420">
        <f t="shared" si="13"/>
        <v>0</v>
      </c>
      <c r="CV13" s="1420">
        <f t="shared" si="13"/>
        <v>0</v>
      </c>
      <c r="CW13" s="1420">
        <f t="shared" si="14"/>
        <v>0</v>
      </c>
      <c r="CX13" s="1420">
        <f t="shared" si="15"/>
        <v>0</v>
      </c>
    </row>
    <row r="14" spans="1:102" ht="15" customHeight="1">
      <c r="A14" s="6171" t="s">
        <v>738</v>
      </c>
      <c r="B14" s="6172"/>
      <c r="C14" s="1454">
        <f t="shared" si="0"/>
        <v>0</v>
      </c>
      <c r="D14" s="1455"/>
      <c r="E14" s="1456"/>
      <c r="F14" s="1457"/>
      <c r="G14" s="1457"/>
      <c r="H14" s="1457"/>
      <c r="I14" s="1457"/>
      <c r="J14" s="1457"/>
      <c r="K14" s="1457"/>
      <c r="L14" s="1457"/>
      <c r="M14" s="1458"/>
      <c r="N14" s="1459"/>
      <c r="O14" s="1460"/>
      <c r="P14" s="1461"/>
      <c r="Q14" s="1462"/>
      <c r="R14" s="1463"/>
      <c r="S14" s="1464"/>
      <c r="T14" s="1465"/>
      <c r="U14" s="1466"/>
      <c r="V14" s="1467"/>
      <c r="W14" s="1455"/>
      <c r="X14" s="1467"/>
      <c r="Y14" t="str">
        <f>CA14&amp;CB14&amp;CD14&amp;CE14&amp;CF14&amp;CG14&amp;CH14&amp;CI14&amp;CJ14</f>
        <v/>
      </c>
      <c r="CA14" s="1418" t="str">
        <f t="shared" si="2"/>
        <v/>
      </c>
      <c r="CB14" s="1418" t="str">
        <f t="shared" si="3"/>
        <v/>
      </c>
      <c r="CC14" s="1419"/>
      <c r="CD14" s="1418" t="str">
        <f t="shared" si="4"/>
        <v/>
      </c>
      <c r="CE14" s="1418" t="str">
        <f t="shared" si="5"/>
        <v/>
      </c>
      <c r="CF14" s="1418" t="str">
        <f t="shared" si="6"/>
        <v/>
      </c>
      <c r="CG14" s="1418" t="str">
        <f t="shared" si="7"/>
        <v/>
      </c>
      <c r="CH14" s="1418" t="str">
        <f t="shared" si="8"/>
        <v/>
      </c>
      <c r="CI14" s="1418" t="str">
        <f t="shared" si="9"/>
        <v/>
      </c>
      <c r="CJ14" s="1418" t="str">
        <f t="shared" si="10"/>
        <v/>
      </c>
      <c r="CO14" s="1420">
        <f t="shared" si="11"/>
        <v>0</v>
      </c>
      <c r="CP14" s="1420">
        <f t="shared" si="11"/>
        <v>0</v>
      </c>
      <c r="CQ14" s="1419"/>
      <c r="CR14" s="1421">
        <f t="shared" si="12"/>
        <v>0</v>
      </c>
      <c r="CS14" s="1420">
        <f t="shared" si="13"/>
        <v>0</v>
      </c>
      <c r="CT14" s="1420">
        <f t="shared" si="13"/>
        <v>0</v>
      </c>
      <c r="CU14" s="1420">
        <f t="shared" si="13"/>
        <v>0</v>
      </c>
      <c r="CV14" s="1420">
        <f t="shared" si="13"/>
        <v>0</v>
      </c>
      <c r="CW14" s="1420">
        <f t="shared" si="14"/>
        <v>0</v>
      </c>
      <c r="CX14" s="1420">
        <f t="shared" si="15"/>
        <v>0</v>
      </c>
    </row>
    <row r="15" spans="1:102" ht="18" customHeight="1">
      <c r="A15" s="1468" t="s">
        <v>739</v>
      </c>
      <c r="B15" s="1469"/>
      <c r="C15" s="1469"/>
      <c r="D15" s="1469"/>
      <c r="E15" s="1469"/>
      <c r="F15" s="1469"/>
      <c r="G15" s="1469"/>
      <c r="H15" s="1469"/>
      <c r="I15" s="1469"/>
      <c r="J15" s="1469"/>
      <c r="CN15" s="1470"/>
      <c r="CO15" s="1470"/>
      <c r="CP15" s="1470"/>
      <c r="CQ15" s="1470"/>
      <c r="CR15" s="1470"/>
      <c r="CS15" s="1470"/>
      <c r="CT15" s="1470"/>
      <c r="CU15" s="1470"/>
      <c r="CV15" s="1470"/>
      <c r="CW15" s="1470"/>
    </row>
    <row r="16" spans="1:102" ht="15" customHeight="1">
      <c r="A16" s="6140" t="s">
        <v>740</v>
      </c>
      <c r="B16" s="6119"/>
      <c r="C16" s="6187" t="s">
        <v>741</v>
      </c>
      <c r="D16" s="6228" t="s">
        <v>742</v>
      </c>
      <c r="E16" s="6139" t="s">
        <v>50</v>
      </c>
      <c r="F16" s="5718" t="s">
        <v>51</v>
      </c>
      <c r="CN16" s="1470"/>
      <c r="CO16" s="1470"/>
      <c r="CP16" s="1470"/>
      <c r="CQ16" s="1470"/>
      <c r="CR16" s="1470"/>
      <c r="CS16" s="1470"/>
      <c r="CT16" s="1470"/>
      <c r="CU16" s="1470"/>
      <c r="CV16" s="1470"/>
      <c r="CW16" s="1470"/>
    </row>
    <row r="17" spans="1:101" ht="18.75" customHeight="1">
      <c r="A17" s="6141"/>
      <c r="B17" s="6120"/>
      <c r="C17" s="6188"/>
      <c r="D17" s="6229"/>
      <c r="E17" s="6115"/>
      <c r="F17" s="5719"/>
      <c r="CN17" s="1470"/>
      <c r="CO17" s="1470"/>
      <c r="CP17" s="1470"/>
      <c r="CQ17" s="1470"/>
      <c r="CR17" s="1470"/>
      <c r="CS17" s="1470"/>
      <c r="CT17" s="1470"/>
      <c r="CU17" s="1470"/>
      <c r="CV17" s="1470"/>
      <c r="CW17" s="1470"/>
    </row>
    <row r="18" spans="1:101" ht="15" customHeight="1">
      <c r="A18" s="6244" t="s">
        <v>743</v>
      </c>
      <c r="B18" s="6245"/>
      <c r="C18" s="1475"/>
      <c r="D18" s="1476"/>
      <c r="E18" s="1477"/>
      <c r="F18" s="1478"/>
      <c r="G18" t="str">
        <f t="shared" ref="G18:G31" si="16">CA18&amp;CB18&amp;CC18</f>
        <v/>
      </c>
      <c r="CA18" s="1418" t="str">
        <f t="shared" ref="CA18:CA31" si="17">IF(AND($C18&gt;0,$D18="")," *No olvide digitar la variable "&amp;$D$16&amp;""&amp;". Digite Cero si no tiene.",IF(D18&gt;C18,"  *La variable Víctima de violencia de género No puede ser mayor al "&amp;$C$16&amp;""&amp;" .",""))</f>
        <v/>
      </c>
      <c r="CB18" s="1418" t="str">
        <f t="shared" ref="CB18:CB31" si="18">IF(AND(C18&gt;0,E18="")," *No olvide digitar la "&amp;$E$16&amp;""&amp;" . Digite Cero si no tiene.",IF(E18&gt;C18,"  *La variable Pueblos originarios No puede ser mayor al  "&amp;$C$16&amp;""&amp;" .",""))</f>
        <v/>
      </c>
      <c r="CC18" s="1418" t="str">
        <f t="shared" ref="CC18:CC31" si="19">IF(AND(C18&gt;0,F18="")," *No olvide digitar la "&amp;$F$16&amp;""&amp;" . Digite Cero si no tiene.",IF(F18&gt;C18,"  *La variable Migrantes No puede ser mayor al  "&amp;$C$16&amp;""&amp;" .",""))</f>
        <v/>
      </c>
      <c r="CN18" s="1470"/>
      <c r="CO18" s="1420">
        <f t="shared" ref="CO18:CO31" si="20">IF(AND(C18&gt;0,D18=""),1,IF(D18&gt;C18,1,0))</f>
        <v>0</v>
      </c>
      <c r="CP18" s="1420">
        <f t="shared" ref="CP18:CP31" si="21">IF(AND(C18&gt;0,E18=""),1,IF(E18&gt;C18,1,0))</f>
        <v>0</v>
      </c>
      <c r="CQ18" s="1420">
        <f t="shared" ref="CQ18:CQ31" si="22">IF(AND(C18&gt;0,F18=""),1,IF(F18&gt;C18,1,0))</f>
        <v>0</v>
      </c>
      <c r="CR18" s="1470"/>
      <c r="CS18" s="1470"/>
      <c r="CT18" s="1470"/>
      <c r="CU18" s="1470"/>
      <c r="CV18" s="1470"/>
      <c r="CW18" s="1470"/>
    </row>
    <row r="19" spans="1:101" ht="15" customHeight="1">
      <c r="A19" s="6179" t="s">
        <v>744</v>
      </c>
      <c r="B19" s="6180"/>
      <c r="C19" s="1480"/>
      <c r="D19" s="1481"/>
      <c r="E19" s="1482"/>
      <c r="F19" s="1483"/>
      <c r="G19" t="str">
        <f t="shared" si="16"/>
        <v/>
      </c>
      <c r="CA19" s="1418" t="str">
        <f t="shared" si="17"/>
        <v/>
      </c>
      <c r="CB19" s="1418" t="str">
        <f t="shared" si="18"/>
        <v/>
      </c>
      <c r="CC19" s="1418" t="str">
        <f t="shared" si="19"/>
        <v/>
      </c>
      <c r="CN19" s="1470"/>
      <c r="CO19" s="1420">
        <f t="shared" si="20"/>
        <v>0</v>
      </c>
      <c r="CP19" s="1420">
        <f t="shared" si="21"/>
        <v>0</v>
      </c>
      <c r="CQ19" s="1420">
        <f t="shared" si="22"/>
        <v>0</v>
      </c>
      <c r="CR19" s="1470"/>
      <c r="CS19" s="1470"/>
      <c r="CT19" s="1470"/>
      <c r="CU19" s="1470"/>
      <c r="CV19" s="1470"/>
      <c r="CW19" s="1470"/>
    </row>
    <row r="20" spans="1:101" ht="15" customHeight="1">
      <c r="A20" s="6167" t="s">
        <v>745</v>
      </c>
      <c r="B20" s="6168"/>
      <c r="C20" s="1440"/>
      <c r="D20" s="1444"/>
      <c r="E20" s="1447"/>
      <c r="F20" s="1446"/>
      <c r="G20" t="str">
        <f t="shared" si="16"/>
        <v/>
      </c>
      <c r="P20" t="s">
        <v>16</v>
      </c>
      <c r="CA20" s="1418" t="str">
        <f t="shared" si="17"/>
        <v/>
      </c>
      <c r="CB20" s="1418" t="str">
        <f t="shared" si="18"/>
        <v/>
      </c>
      <c r="CC20" s="1418" t="str">
        <f t="shared" si="19"/>
        <v/>
      </c>
      <c r="CN20" s="1470"/>
      <c r="CO20" s="1420">
        <f t="shared" si="20"/>
        <v>0</v>
      </c>
      <c r="CP20" s="1420">
        <f t="shared" si="21"/>
        <v>0</v>
      </c>
      <c r="CQ20" s="1420">
        <f t="shared" si="22"/>
        <v>0</v>
      </c>
      <c r="CR20" s="1470"/>
      <c r="CS20" s="1470"/>
      <c r="CT20" s="1470"/>
      <c r="CU20" s="1470"/>
      <c r="CV20" s="1470"/>
      <c r="CW20" s="1470"/>
    </row>
    <row r="21" spans="1:101" ht="15" customHeight="1">
      <c r="A21" s="6167" t="s">
        <v>746</v>
      </c>
      <c r="B21" s="6168"/>
      <c r="C21" s="1440"/>
      <c r="D21" s="1444"/>
      <c r="E21" s="1447"/>
      <c r="F21" s="1446"/>
      <c r="G21" t="str">
        <f t="shared" si="16"/>
        <v/>
      </c>
      <c r="CA21" s="1418" t="str">
        <f t="shared" si="17"/>
        <v/>
      </c>
      <c r="CB21" s="1418" t="str">
        <f t="shared" si="18"/>
        <v/>
      </c>
      <c r="CC21" s="1418" t="str">
        <f t="shared" si="19"/>
        <v/>
      </c>
      <c r="CN21" s="1470"/>
      <c r="CO21" s="1420">
        <f t="shared" si="20"/>
        <v>0</v>
      </c>
      <c r="CP21" s="1420">
        <f t="shared" si="21"/>
        <v>0</v>
      </c>
      <c r="CQ21" s="1420">
        <f t="shared" si="22"/>
        <v>0</v>
      </c>
      <c r="CR21" s="1470"/>
      <c r="CS21" s="1470"/>
      <c r="CT21" s="1470"/>
      <c r="CU21" s="1470"/>
      <c r="CV21" s="1470"/>
      <c r="CW21" s="1470"/>
    </row>
    <row r="22" spans="1:101" ht="15" customHeight="1">
      <c r="A22" s="6167" t="s">
        <v>747</v>
      </c>
      <c r="B22" s="6168"/>
      <c r="C22" s="1440"/>
      <c r="D22" s="1444"/>
      <c r="E22" s="1447"/>
      <c r="F22" s="1446"/>
      <c r="G22" t="str">
        <f t="shared" si="16"/>
        <v/>
      </c>
      <c r="CA22" s="1418" t="str">
        <f t="shared" si="17"/>
        <v/>
      </c>
      <c r="CB22" s="1418" t="str">
        <f t="shared" si="18"/>
        <v/>
      </c>
      <c r="CC22" s="1418" t="str">
        <f t="shared" si="19"/>
        <v/>
      </c>
      <c r="CN22" s="1470"/>
      <c r="CO22" s="1420">
        <f t="shared" si="20"/>
        <v>0</v>
      </c>
      <c r="CP22" s="1420">
        <f t="shared" si="21"/>
        <v>0</v>
      </c>
      <c r="CQ22" s="1420">
        <f t="shared" si="22"/>
        <v>0</v>
      </c>
      <c r="CR22" s="1470"/>
      <c r="CS22" s="1470"/>
      <c r="CT22" s="1470"/>
      <c r="CU22" s="1470"/>
      <c r="CV22" s="1470"/>
      <c r="CW22" s="1470"/>
    </row>
    <row r="23" spans="1:101" ht="15" customHeight="1">
      <c r="A23" s="6167" t="s">
        <v>748</v>
      </c>
      <c r="B23" s="6168"/>
      <c r="C23" s="1440"/>
      <c r="D23" s="1444"/>
      <c r="E23" s="1447"/>
      <c r="F23" s="1446"/>
      <c r="G23" t="str">
        <f t="shared" si="16"/>
        <v/>
      </c>
      <c r="CA23" s="1418" t="str">
        <f t="shared" si="17"/>
        <v/>
      </c>
      <c r="CB23" s="1418" t="str">
        <f t="shared" si="18"/>
        <v/>
      </c>
      <c r="CC23" s="1418" t="str">
        <f t="shared" si="19"/>
        <v/>
      </c>
      <c r="CN23" s="1470"/>
      <c r="CO23" s="1420">
        <f t="shared" si="20"/>
        <v>0</v>
      </c>
      <c r="CP23" s="1420">
        <f t="shared" si="21"/>
        <v>0</v>
      </c>
      <c r="CQ23" s="1420">
        <f t="shared" si="22"/>
        <v>0</v>
      </c>
      <c r="CR23" s="1470"/>
      <c r="CS23" s="1470"/>
      <c r="CT23" s="1470"/>
      <c r="CU23" s="1470"/>
      <c r="CV23" s="1470"/>
      <c r="CW23" s="1470"/>
    </row>
    <row r="24" spans="1:101" ht="15" customHeight="1">
      <c r="A24" s="6167" t="s">
        <v>749</v>
      </c>
      <c r="B24" s="6168"/>
      <c r="C24" s="1440"/>
      <c r="D24" s="1444"/>
      <c r="E24" s="1447"/>
      <c r="F24" s="1446"/>
      <c r="G24" t="str">
        <f t="shared" si="16"/>
        <v/>
      </c>
      <c r="CA24" s="1418" t="str">
        <f t="shared" si="17"/>
        <v/>
      </c>
      <c r="CB24" s="1418" t="str">
        <f t="shared" si="18"/>
        <v/>
      </c>
      <c r="CC24" s="1418" t="str">
        <f t="shared" si="19"/>
        <v/>
      </c>
      <c r="CN24" s="1470"/>
      <c r="CO24" s="1420">
        <f t="shared" si="20"/>
        <v>0</v>
      </c>
      <c r="CP24" s="1420">
        <f t="shared" si="21"/>
        <v>0</v>
      </c>
      <c r="CQ24" s="1420">
        <f t="shared" si="22"/>
        <v>0</v>
      </c>
      <c r="CR24" s="1470"/>
      <c r="CS24" s="1470"/>
      <c r="CT24" s="1470"/>
      <c r="CU24" s="1470"/>
      <c r="CV24" s="1470"/>
      <c r="CW24" s="1470"/>
    </row>
    <row r="25" spans="1:101" ht="15" customHeight="1">
      <c r="A25" s="6167" t="s">
        <v>750</v>
      </c>
      <c r="B25" s="6168"/>
      <c r="C25" s="1440"/>
      <c r="D25" s="1444"/>
      <c r="E25" s="1447"/>
      <c r="F25" s="1446"/>
      <c r="G25" t="str">
        <f t="shared" si="16"/>
        <v/>
      </c>
      <c r="CA25" s="1418" t="str">
        <f t="shared" si="17"/>
        <v/>
      </c>
      <c r="CB25" s="1418" t="str">
        <f t="shared" si="18"/>
        <v/>
      </c>
      <c r="CC25" s="1418" t="str">
        <f t="shared" si="19"/>
        <v/>
      </c>
      <c r="CN25" s="1470"/>
      <c r="CO25" s="1420">
        <f t="shared" si="20"/>
        <v>0</v>
      </c>
      <c r="CP25" s="1420">
        <f t="shared" si="21"/>
        <v>0</v>
      </c>
      <c r="CQ25" s="1420">
        <f t="shared" si="22"/>
        <v>0</v>
      </c>
      <c r="CR25" s="1470"/>
      <c r="CS25" s="1470"/>
      <c r="CT25" s="1470"/>
      <c r="CU25" s="1470"/>
      <c r="CV25" s="1470"/>
      <c r="CW25" s="1470"/>
    </row>
    <row r="26" spans="1:101" ht="15" customHeight="1">
      <c r="A26" s="6167" t="s">
        <v>751</v>
      </c>
      <c r="B26" s="6168"/>
      <c r="C26" s="1440"/>
      <c r="D26" s="1444"/>
      <c r="E26" s="1447"/>
      <c r="F26" s="1446"/>
      <c r="G26" t="str">
        <f t="shared" si="16"/>
        <v/>
      </c>
      <c r="CA26" s="1418" t="str">
        <f t="shared" si="17"/>
        <v/>
      </c>
      <c r="CB26" s="1418" t="str">
        <f t="shared" si="18"/>
        <v/>
      </c>
      <c r="CC26" s="1418" t="str">
        <f t="shared" si="19"/>
        <v/>
      </c>
      <c r="CN26" s="1470"/>
      <c r="CO26" s="1420">
        <f t="shared" si="20"/>
        <v>0</v>
      </c>
      <c r="CP26" s="1420">
        <f t="shared" si="21"/>
        <v>0</v>
      </c>
      <c r="CQ26" s="1420">
        <f t="shared" si="22"/>
        <v>0</v>
      </c>
      <c r="CR26" s="1470"/>
      <c r="CS26" s="1470"/>
      <c r="CT26" s="1470"/>
      <c r="CU26" s="1470"/>
      <c r="CV26" s="1470"/>
      <c r="CW26" s="1470"/>
    </row>
    <row r="27" spans="1:101" ht="15" customHeight="1">
      <c r="A27" s="6167" t="s">
        <v>752</v>
      </c>
      <c r="B27" s="6168"/>
      <c r="C27" s="1440"/>
      <c r="D27" s="1444"/>
      <c r="E27" s="1447"/>
      <c r="F27" s="1446"/>
      <c r="G27" t="str">
        <f t="shared" si="16"/>
        <v/>
      </c>
      <c r="CA27" s="1418" t="str">
        <f t="shared" si="17"/>
        <v/>
      </c>
      <c r="CB27" s="1418" t="str">
        <f t="shared" si="18"/>
        <v/>
      </c>
      <c r="CC27" s="1418" t="str">
        <f t="shared" si="19"/>
        <v/>
      </c>
      <c r="CN27" s="1470"/>
      <c r="CO27" s="1420">
        <f t="shared" si="20"/>
        <v>0</v>
      </c>
      <c r="CP27" s="1420">
        <f t="shared" si="21"/>
        <v>0</v>
      </c>
      <c r="CQ27" s="1420">
        <f t="shared" si="22"/>
        <v>0</v>
      </c>
      <c r="CR27" s="1470"/>
      <c r="CS27" s="1470"/>
      <c r="CT27" s="1470"/>
      <c r="CU27" s="1470"/>
      <c r="CV27" s="1470"/>
      <c r="CW27" s="1470"/>
    </row>
    <row r="28" spans="1:101" ht="15" customHeight="1">
      <c r="A28" s="6167" t="s">
        <v>753</v>
      </c>
      <c r="B28" s="6168"/>
      <c r="C28" s="1485"/>
      <c r="D28" s="1486"/>
      <c r="E28" s="1487"/>
      <c r="F28" s="1488"/>
      <c r="G28" t="str">
        <f t="shared" si="16"/>
        <v/>
      </c>
      <c r="CA28" s="1418" t="str">
        <f t="shared" si="17"/>
        <v/>
      </c>
      <c r="CB28" s="1418" t="str">
        <f t="shared" si="18"/>
        <v/>
      </c>
      <c r="CC28" s="1418" t="str">
        <f t="shared" si="19"/>
        <v/>
      </c>
      <c r="CN28" s="1470"/>
      <c r="CO28" s="1420">
        <f t="shared" si="20"/>
        <v>0</v>
      </c>
      <c r="CP28" s="1420">
        <f t="shared" si="21"/>
        <v>0</v>
      </c>
      <c r="CQ28" s="1420">
        <f t="shared" si="22"/>
        <v>0</v>
      </c>
      <c r="CR28" s="1470"/>
      <c r="CS28" s="1470"/>
      <c r="CT28" s="1470"/>
      <c r="CU28" s="1470"/>
      <c r="CV28" s="1470"/>
      <c r="CW28" s="1470"/>
    </row>
    <row r="29" spans="1:101" ht="15" customHeight="1">
      <c r="A29" s="6167" t="s">
        <v>754</v>
      </c>
      <c r="B29" s="6168"/>
      <c r="C29" s="1485"/>
      <c r="D29" s="1486"/>
      <c r="E29" s="1487"/>
      <c r="F29" s="1488"/>
      <c r="G29" t="str">
        <f t="shared" si="16"/>
        <v/>
      </c>
      <c r="CA29" s="1418" t="str">
        <f t="shared" si="17"/>
        <v/>
      </c>
      <c r="CB29" s="1418" t="str">
        <f t="shared" si="18"/>
        <v/>
      </c>
      <c r="CC29" s="1418" t="str">
        <f t="shared" si="19"/>
        <v/>
      </c>
      <c r="CN29" s="1470"/>
      <c r="CO29" s="1420">
        <f t="shared" si="20"/>
        <v>0</v>
      </c>
      <c r="CP29" s="1420">
        <f t="shared" si="21"/>
        <v>0</v>
      </c>
      <c r="CQ29" s="1420">
        <f t="shared" si="22"/>
        <v>0</v>
      </c>
      <c r="CR29" s="1470"/>
      <c r="CS29" s="1470"/>
      <c r="CT29" s="1470"/>
      <c r="CU29" s="1470"/>
      <c r="CV29" s="1470"/>
      <c r="CW29" s="1470"/>
    </row>
    <row r="30" spans="1:101" ht="15" customHeight="1">
      <c r="A30" s="6167" t="s">
        <v>755</v>
      </c>
      <c r="B30" s="6168"/>
      <c r="C30" s="1485"/>
      <c r="D30" s="1486"/>
      <c r="E30" s="1487"/>
      <c r="F30" s="1488"/>
      <c r="G30" t="str">
        <f t="shared" si="16"/>
        <v/>
      </c>
      <c r="CA30" s="1418" t="str">
        <f t="shared" si="17"/>
        <v/>
      </c>
      <c r="CB30" s="1418" t="str">
        <f t="shared" si="18"/>
        <v/>
      </c>
      <c r="CC30" s="1418" t="str">
        <f t="shared" si="19"/>
        <v/>
      </c>
      <c r="CN30" s="1470"/>
      <c r="CO30" s="1420">
        <f t="shared" si="20"/>
        <v>0</v>
      </c>
      <c r="CP30" s="1420">
        <f t="shared" si="21"/>
        <v>0</v>
      </c>
      <c r="CQ30" s="1420">
        <f t="shared" si="22"/>
        <v>0</v>
      </c>
      <c r="CR30" s="1470"/>
      <c r="CS30" s="1470"/>
      <c r="CT30" s="1470"/>
      <c r="CU30" s="1470"/>
      <c r="CV30" s="1470"/>
      <c r="CW30" s="1470"/>
    </row>
    <row r="31" spans="1:101" ht="15" customHeight="1">
      <c r="A31" s="6169" t="s">
        <v>756</v>
      </c>
      <c r="B31" s="6170"/>
      <c r="C31" s="1455"/>
      <c r="D31" s="1459"/>
      <c r="E31" s="1490"/>
      <c r="F31" s="1461"/>
      <c r="G31" t="str">
        <f t="shared" si="16"/>
        <v/>
      </c>
      <c r="CA31" s="1418" t="str">
        <f t="shared" si="17"/>
        <v/>
      </c>
      <c r="CB31" s="1418" t="str">
        <f t="shared" si="18"/>
        <v/>
      </c>
      <c r="CC31" s="1418" t="str">
        <f t="shared" si="19"/>
        <v/>
      </c>
      <c r="CN31" s="1470"/>
      <c r="CO31" s="1420">
        <f t="shared" si="20"/>
        <v>0</v>
      </c>
      <c r="CP31" s="1420">
        <f t="shared" si="21"/>
        <v>0</v>
      </c>
      <c r="CQ31" s="1420">
        <f t="shared" si="22"/>
        <v>0</v>
      </c>
      <c r="CR31" s="1470"/>
      <c r="CS31" s="1470"/>
      <c r="CT31" s="1470"/>
      <c r="CU31" s="1470"/>
      <c r="CV31" s="1470"/>
      <c r="CW31" s="1470"/>
    </row>
    <row r="32" spans="1:101" s="385" customFormat="1" ht="18" customHeight="1">
      <c r="A32" s="1468" t="s">
        <v>757</v>
      </c>
      <c r="B32" s="1491"/>
      <c r="C32" s="1492"/>
      <c r="D32" s="1493"/>
      <c r="E32" s="1493"/>
      <c r="F32" s="1468"/>
      <c r="G32" s="1493"/>
      <c r="H32" s="1493"/>
      <c r="I32" s="1493"/>
      <c r="J32" s="1493"/>
      <c r="K32" s="1493"/>
      <c r="L32" s="1493"/>
      <c r="M32" s="1493"/>
      <c r="N32" s="1493"/>
      <c r="O32" s="1493"/>
      <c r="P32" s="1493"/>
      <c r="Q32" s="1493"/>
      <c r="R32" s="1493"/>
      <c r="S32" s="1493"/>
      <c r="T32" s="1493"/>
      <c r="U32" s="1493"/>
    </row>
    <row r="33" spans="1:103" ht="22.15" customHeight="1">
      <c r="A33" s="6140" t="s">
        <v>758</v>
      </c>
      <c r="B33" s="6119"/>
      <c r="C33" s="5718" t="s">
        <v>42</v>
      </c>
      <c r="D33" s="5707" t="s">
        <v>43</v>
      </c>
      <c r="E33" s="5708"/>
      <c r="F33" s="5708"/>
      <c r="G33" s="5708"/>
      <c r="H33" s="5708"/>
      <c r="I33" s="5708"/>
      <c r="J33" s="5708"/>
      <c r="K33" s="5708"/>
      <c r="L33" s="5708"/>
      <c r="M33" s="5708"/>
      <c r="N33" s="5708"/>
      <c r="O33" s="5708"/>
      <c r="P33" s="6147"/>
      <c r="Q33" s="5714" t="s">
        <v>47</v>
      </c>
      <c r="R33" s="5718" t="s">
        <v>759</v>
      </c>
      <c r="S33" s="6119" t="s">
        <v>50</v>
      </c>
      <c r="T33" s="5710" t="s">
        <v>51</v>
      </c>
      <c r="U33" s="5712"/>
      <c r="V33" s="6254" t="s">
        <v>760</v>
      </c>
      <c r="W33" s="6259" t="s">
        <v>761</v>
      </c>
      <c r="X33" s="5710" t="s">
        <v>762</v>
      </c>
      <c r="Y33" s="6106"/>
      <c r="Z33" s="5712"/>
      <c r="AA33" s="6248" t="s">
        <v>763</v>
      </c>
    </row>
    <row r="34" spans="1:103" ht="27.75" customHeight="1">
      <c r="A34" s="6141"/>
      <c r="B34" s="6120"/>
      <c r="C34" s="5719"/>
      <c r="D34" s="1395" t="s">
        <v>764</v>
      </c>
      <c r="E34" s="1397" t="s">
        <v>58</v>
      </c>
      <c r="F34" s="1397" t="s">
        <v>59</v>
      </c>
      <c r="G34" s="1397" t="s">
        <v>60</v>
      </c>
      <c r="H34" s="1397" t="s">
        <v>61</v>
      </c>
      <c r="I34" s="1397" t="s">
        <v>62</v>
      </c>
      <c r="J34" s="1397" t="s">
        <v>63</v>
      </c>
      <c r="K34" s="1397" t="s">
        <v>64</v>
      </c>
      <c r="L34" s="1397" t="s">
        <v>65</v>
      </c>
      <c r="M34" s="1397" t="s">
        <v>66</v>
      </c>
      <c r="N34" s="397" t="s">
        <v>67</v>
      </c>
      <c r="O34" s="1397" t="s">
        <v>68</v>
      </c>
      <c r="P34" s="1398" t="s">
        <v>765</v>
      </c>
      <c r="Q34" s="5715"/>
      <c r="R34" s="5719"/>
      <c r="S34" s="6116"/>
      <c r="T34" s="1395" t="s">
        <v>733</v>
      </c>
      <c r="U34" s="1402" t="s">
        <v>734</v>
      </c>
      <c r="V34" s="6255"/>
      <c r="W34" s="6259"/>
      <c r="X34" s="1497" t="s">
        <v>74</v>
      </c>
      <c r="Y34" s="1498" t="s">
        <v>766</v>
      </c>
      <c r="Z34" s="1499" t="s">
        <v>76</v>
      </c>
      <c r="AA34" s="6249"/>
    </row>
    <row r="35" spans="1:103" ht="15" customHeight="1">
      <c r="A35" s="6105" t="s">
        <v>767</v>
      </c>
      <c r="B35" s="6105"/>
      <c r="C35" s="406">
        <f>SUM(D35:P35)</f>
        <v>0</v>
      </c>
      <c r="D35" s="401">
        <f>SUM(D36:D49)</f>
        <v>0</v>
      </c>
      <c r="E35" s="1501">
        <f>SUM(E36:E49)</f>
        <v>0</v>
      </c>
      <c r="F35" s="1501">
        <f t="shared" ref="F35:M35" si="23">SUM(F36:F49)</f>
        <v>0</v>
      </c>
      <c r="G35" s="1501">
        <f t="shared" si="23"/>
        <v>0</v>
      </c>
      <c r="H35" s="1501">
        <f t="shared" si="23"/>
        <v>0</v>
      </c>
      <c r="I35" s="1501">
        <f t="shared" si="23"/>
        <v>0</v>
      </c>
      <c r="J35" s="1501">
        <f t="shared" si="23"/>
        <v>0</v>
      </c>
      <c r="K35" s="1501">
        <f t="shared" si="23"/>
        <v>0</v>
      </c>
      <c r="L35" s="1501">
        <f t="shared" si="23"/>
        <v>0</v>
      </c>
      <c r="M35" s="1501">
        <f t="shared" si="23"/>
        <v>0</v>
      </c>
      <c r="N35" s="1501">
        <f>SUM(N36:N48)</f>
        <v>0</v>
      </c>
      <c r="O35" s="1501">
        <f t="shared" ref="O35:P35" si="24">SUM(O36:O48)</f>
        <v>0</v>
      </c>
      <c r="P35" s="1501">
        <f t="shared" si="24"/>
        <v>0</v>
      </c>
      <c r="Q35" s="405">
        <f t="shared" ref="Q35:AA35" si="25">SUM(Q36:Q49)</f>
        <v>0</v>
      </c>
      <c r="R35" s="406">
        <f t="shared" si="25"/>
        <v>0</v>
      </c>
      <c r="S35" s="392">
        <f t="shared" si="25"/>
        <v>0</v>
      </c>
      <c r="T35" s="401">
        <f t="shared" si="25"/>
        <v>0</v>
      </c>
      <c r="U35" s="392">
        <f t="shared" si="25"/>
        <v>0</v>
      </c>
      <c r="V35" s="401">
        <f t="shared" si="25"/>
        <v>0</v>
      </c>
      <c r="W35" s="392">
        <f t="shared" si="25"/>
        <v>0</v>
      </c>
      <c r="X35" s="401">
        <f t="shared" si="25"/>
        <v>0</v>
      </c>
      <c r="Y35" s="1501">
        <f t="shared" si="25"/>
        <v>0</v>
      </c>
      <c r="Z35" s="392">
        <f t="shared" si="25"/>
        <v>0</v>
      </c>
      <c r="AA35" s="392">
        <f t="shared" si="25"/>
        <v>0</v>
      </c>
    </row>
    <row r="36" spans="1:103" ht="15" customHeight="1">
      <c r="A36" s="6236" t="s">
        <v>768</v>
      </c>
      <c r="B36" s="6237"/>
      <c r="C36" s="1422">
        <f t="shared" ref="C36:C51" si="26">SUM(D36:M36)</f>
        <v>0</v>
      </c>
      <c r="D36" s="1424"/>
      <c r="E36" s="1426"/>
      <c r="F36" s="1426"/>
      <c r="G36" s="1426"/>
      <c r="H36" s="1426"/>
      <c r="I36" s="1426"/>
      <c r="J36" s="1426"/>
      <c r="K36" s="1426"/>
      <c r="L36" s="1426"/>
      <c r="M36" s="1426"/>
      <c r="N36" s="1503"/>
      <c r="O36" s="1503"/>
      <c r="P36" s="1504"/>
      <c r="Q36" s="1429"/>
      <c r="R36" s="1430"/>
      <c r="S36" s="1436"/>
      <c r="T36" s="1424"/>
      <c r="U36" s="1436"/>
      <c r="V36" s="1424"/>
      <c r="W36" s="1436"/>
      <c r="X36" s="1424"/>
      <c r="Y36" s="1426"/>
      <c r="Z36" s="1436"/>
      <c r="AA36" s="1436"/>
      <c r="AB36" t="str">
        <f t="shared" ref="AB36:AB51" si="27">CA36&amp;CB36&amp;CC36&amp;CD36&amp;CE36&amp;CF36&amp;CG36&amp;CH36&amp;CI36&amp;CJ36&amp;CK36</f>
        <v/>
      </c>
      <c r="CA36" s="1418" t="str">
        <f t="shared" ref="CA36:CA51" si="28">IF(AND($C36&gt;0,Q36="")," * No olvide digitar la variable "&amp;$Q$33&amp;""&amp;". Digite Cero si no tiene.",IF(Q36&gt;$C36," * La variable "&amp;$Q$33&amp;""&amp;" no  puede ser mayor al Total.",""))</f>
        <v/>
      </c>
      <c r="CB36" s="1418" t="str">
        <f t="shared" ref="CB36:CB51" si="29">IF(AND($C36&gt;0,R36="")," * No olvide digitar la variable "&amp;$R$33&amp;""&amp;". Digite Cero si no tiene.", "")</f>
        <v/>
      </c>
      <c r="CC36" s="1418" t="str">
        <f t="shared" ref="CC36:CC51" si="30">IF(AND($C36&gt;0,S36="")," * No olvide digitar la variable "&amp;$S$33&amp;""&amp;". Digite Cero si no tiene.",IF(S36&gt;C36," * La variable "&amp;$S$33&amp;""&amp;" no  puede ser mayor al Total.",""))</f>
        <v/>
      </c>
      <c r="CD36" s="1418" t="str">
        <f t="shared" ref="CD36:CD51" si="31">IF(AND($D36+E36&gt;0,T36="")," * No olvide digitar la variable Migrantes "&amp;$T$34&amp;""&amp;". Digite Cero si no tiene.",IF(T36&gt;$D36+E36," * La variable Migrantes "&amp;$T$34&amp;""&amp;" no  puede ser mayor al Total.",""))</f>
        <v/>
      </c>
      <c r="CE36" s="1418" t="str">
        <f t="shared" ref="CE36:CE51" si="32">IF(AND($F36+$G36+$H36+$I36+$J36+$K36+$L36+$M36&gt;0,$U36="")," * No olvide digitar la variable Migrantes "&amp;$U$34&amp;""&amp;". Digite Cero si no tiene.",IF($U36&gt;$F36+$G36+$H36+$I36+$J36+$K36+$L36+$M36," * La variable Migrantes "&amp;$U$34&amp;""&amp;" no  puede ser mayor al Total.",""))</f>
        <v/>
      </c>
      <c r="CF36" s="1418" t="str">
        <f t="shared" ref="CF36:CF51" si="33">IF(AND($C36&gt;0,V36="")," * No olvide digitar la variable "&amp;$V$33&amp;""&amp;". Digite Cero si no tiene.","")</f>
        <v/>
      </c>
      <c r="CG36" s="1418" t="str">
        <f t="shared" ref="CG36:CG51" si="34">IF(AND($C36&gt;0,W36="")," * No olvide digitar la variable "&amp;$W$33&amp;""&amp;". Digite Cero si no tiene.",IF(W36&gt;$C36," * La variable "&amp;$W$33&amp;""&amp;" no  puede ser mayor al Total.",""))</f>
        <v/>
      </c>
      <c r="CH36" s="1418" t="str">
        <f t="shared" ref="CH36:CH51" si="35">IF(AND($C36&gt;0,X36="")," * No olvide digitar la variable "&amp;$X$34&amp;""&amp;". Digite Cero si no tiene.",IF(X36&gt;$C36," * La variable "&amp;$X$34&amp;""&amp;" no  puede ser mayor al Total.",""))</f>
        <v/>
      </c>
      <c r="CI36" s="1418" t="str">
        <f t="shared" ref="CI36:CI51" si="36">IF(AND($C36&gt;0,Y36="")," * No olvide digitar la variable "&amp;$Y$34&amp;""&amp;". Digite Cero si no tiene.",IF(Y36&gt;$C36," * La variable "&amp;$Y$34&amp;""&amp;" no  puede ser mayor al Total.",""))</f>
        <v/>
      </c>
      <c r="CJ36" s="1418" t="str">
        <f t="shared" ref="CJ36:CJ51" si="37">IF(AND($C36&gt;0,Z36="")," * No olvide digitar la variable "&amp;$Z$34&amp;""&amp;". Digite Cero si no tiene.",IF(Z36&gt;$C36," * La variable "&amp;$Z$34&amp;""&amp;" no  puede ser mayor al Total.",""))</f>
        <v/>
      </c>
      <c r="CK36" s="1418" t="str">
        <f t="shared" ref="CK36:CK51" si="38">IF(AND($C36&gt;0,AA36="")," * No olvide digitar la variable "&amp;$AA$33&amp;""&amp;". Digite Cero si no tiene.",IF(AA36&gt;$C36," * La variable "&amp;$AA$33&amp;""&amp;" no  puede ser mayor al Total.",""))</f>
        <v/>
      </c>
      <c r="CO36" s="419">
        <f t="shared" ref="CO36:CY64" si="39">IF(AND($C36&gt;0,Q36=""),1,IF(Q36&gt;$C36,1,0))</f>
        <v>0</v>
      </c>
      <c r="CP36" s="419"/>
      <c r="CQ36" s="419">
        <f t="shared" si="39"/>
        <v>0</v>
      </c>
      <c r="CR36" s="419">
        <f t="shared" ref="CR36:CR51" si="40">IF(AND($D36+$E36&gt;0,$T36=""),1,IF(T36&gt;$D36+$E36,1,0))</f>
        <v>0</v>
      </c>
      <c r="CS36" s="419">
        <f t="shared" ref="CS36:CS51" si="41">IF(AND($F36+$G36+$H36+$I36+$J36+$K36+$L36+$M36&gt;0,$U36=""),1,IF($U36&gt;$F36+$G36+$H36+$I36+$J36+$K36+$L36+$M36,1,0))</f>
        <v>0</v>
      </c>
      <c r="CT36" s="419">
        <f t="shared" ref="CT36:CT51" si="42">IF(AND($C36&gt;0,V36=""),1,0)</f>
        <v>0</v>
      </c>
      <c r="CU36" s="419">
        <f t="shared" ref="CU36:CU59" si="43">IF(AND($C36&gt;0,W36=""),1,IF(W36&gt;$C36,1,0))</f>
        <v>0</v>
      </c>
      <c r="CV36" s="419">
        <f t="shared" ref="CV36:CV59" si="44">IF(AND($C36&gt;0,X36=""),1,IF(X36&gt;$C36,1,0))</f>
        <v>0</v>
      </c>
      <c r="CW36" s="419">
        <f t="shared" ref="CW36:CW51" si="45">IF(AND($C36&gt;0,Y36=""),1,IF(Y36&gt;$C36,1,0))</f>
        <v>0</v>
      </c>
      <c r="CX36" s="419">
        <f t="shared" ref="CX36:CX51" si="46">IF(AND($C36&gt;0,Z36=""),1,IF(Z36&gt;$C36,1,0))</f>
        <v>0</v>
      </c>
      <c r="CY36" s="419">
        <f t="shared" si="39"/>
        <v>0</v>
      </c>
    </row>
    <row r="37" spans="1:103" ht="15" customHeight="1">
      <c r="A37" s="6238" t="s">
        <v>769</v>
      </c>
      <c r="B37" s="6239"/>
      <c r="C37" s="1506">
        <f t="shared" si="26"/>
        <v>0</v>
      </c>
      <c r="D37" s="1455"/>
      <c r="E37" s="1457"/>
      <c r="F37" s="1457"/>
      <c r="G37" s="1457"/>
      <c r="H37" s="1457"/>
      <c r="I37" s="1457"/>
      <c r="J37" s="1457"/>
      <c r="K37" s="1457"/>
      <c r="L37" s="1457"/>
      <c r="M37" s="1457"/>
      <c r="N37" s="1507"/>
      <c r="O37" s="1507"/>
      <c r="P37" s="1508"/>
      <c r="Q37" s="1460"/>
      <c r="R37" s="1461"/>
      <c r="S37" s="1467"/>
      <c r="T37" s="1455"/>
      <c r="U37" s="1467"/>
      <c r="V37" s="1455"/>
      <c r="W37" s="1467"/>
      <c r="X37" s="1455"/>
      <c r="Y37" s="1457"/>
      <c r="Z37" s="1467"/>
      <c r="AA37" s="1467"/>
      <c r="AB37" t="str">
        <f t="shared" si="27"/>
        <v/>
      </c>
      <c r="CA37" s="1418" t="str">
        <f t="shared" si="28"/>
        <v/>
      </c>
      <c r="CB37" s="1418" t="str">
        <f t="shared" si="29"/>
        <v/>
      </c>
      <c r="CC37" s="1418" t="str">
        <f t="shared" si="30"/>
        <v/>
      </c>
      <c r="CD37" s="1418" t="str">
        <f t="shared" si="31"/>
        <v/>
      </c>
      <c r="CE37" s="1418" t="str">
        <f t="shared" si="32"/>
        <v/>
      </c>
      <c r="CF37" s="1418" t="str">
        <f t="shared" si="33"/>
        <v/>
      </c>
      <c r="CG37" s="1418" t="str">
        <f t="shared" si="34"/>
        <v/>
      </c>
      <c r="CH37" s="1418" t="str">
        <f t="shared" si="35"/>
        <v/>
      </c>
      <c r="CI37" s="1418" t="str">
        <f t="shared" si="36"/>
        <v/>
      </c>
      <c r="CJ37" s="1418" t="str">
        <f t="shared" si="37"/>
        <v/>
      </c>
      <c r="CK37" s="1418" t="str">
        <f t="shared" si="38"/>
        <v/>
      </c>
      <c r="CO37" s="419">
        <f t="shared" si="39"/>
        <v>0</v>
      </c>
      <c r="CP37" s="419"/>
      <c r="CQ37" s="419">
        <f t="shared" ref="CQ37:CQ51" si="47">IF(AND($C37&gt;0,S37=""),1,IF(S37&gt;$C37,1,0))</f>
        <v>0</v>
      </c>
      <c r="CR37" s="419">
        <f t="shared" si="40"/>
        <v>0</v>
      </c>
      <c r="CS37" s="419">
        <f t="shared" si="41"/>
        <v>0</v>
      </c>
      <c r="CT37" s="419">
        <f t="shared" si="42"/>
        <v>0</v>
      </c>
      <c r="CU37" s="419">
        <f t="shared" si="43"/>
        <v>0</v>
      </c>
      <c r="CV37" s="419">
        <f t="shared" si="44"/>
        <v>0</v>
      </c>
      <c r="CW37" s="419">
        <f t="shared" si="45"/>
        <v>0</v>
      </c>
      <c r="CX37" s="419">
        <f t="shared" si="46"/>
        <v>0</v>
      </c>
      <c r="CY37" s="419">
        <f t="shared" ref="CY37:CY51" si="48">IF(AND($C37&gt;0,AA37=""),1,IF(AA37&gt;$C37,1,0))</f>
        <v>0</v>
      </c>
    </row>
    <row r="38" spans="1:103" ht="15" customHeight="1">
      <c r="A38" s="6205" t="s">
        <v>770</v>
      </c>
      <c r="B38" s="1510" t="s">
        <v>771</v>
      </c>
      <c r="C38" s="1422">
        <f t="shared" si="26"/>
        <v>0</v>
      </c>
      <c r="D38" s="1424"/>
      <c r="E38" s="1426"/>
      <c r="F38" s="1426"/>
      <c r="G38" s="1426"/>
      <c r="H38" s="1426"/>
      <c r="I38" s="1426"/>
      <c r="J38" s="1426"/>
      <c r="K38" s="1426"/>
      <c r="L38" s="1426"/>
      <c r="M38" s="1426"/>
      <c r="N38" s="1503"/>
      <c r="O38" s="1503"/>
      <c r="P38" s="1504"/>
      <c r="Q38" s="1429"/>
      <c r="R38" s="1430"/>
      <c r="S38" s="1436"/>
      <c r="T38" s="1424"/>
      <c r="U38" s="1436"/>
      <c r="V38" s="1424"/>
      <c r="W38" s="1436"/>
      <c r="X38" s="1424"/>
      <c r="Y38" s="1426"/>
      <c r="Z38" s="1436"/>
      <c r="AA38" s="1436"/>
      <c r="AB38" t="str">
        <f t="shared" si="27"/>
        <v/>
      </c>
      <c r="CA38" s="1418" t="str">
        <f t="shared" si="28"/>
        <v/>
      </c>
      <c r="CB38" s="1418" t="str">
        <f t="shared" si="29"/>
        <v/>
      </c>
      <c r="CC38" s="1418" t="str">
        <f t="shared" si="30"/>
        <v/>
      </c>
      <c r="CD38" s="1418" t="str">
        <f t="shared" si="31"/>
        <v/>
      </c>
      <c r="CE38" s="1418" t="str">
        <f t="shared" si="32"/>
        <v/>
      </c>
      <c r="CF38" s="1418" t="str">
        <f t="shared" si="33"/>
        <v/>
      </c>
      <c r="CG38" s="1418" t="str">
        <f t="shared" si="34"/>
        <v/>
      </c>
      <c r="CH38" s="1418" t="str">
        <f t="shared" si="35"/>
        <v/>
      </c>
      <c r="CI38" s="1418" t="str">
        <f t="shared" si="36"/>
        <v/>
      </c>
      <c r="CJ38" s="1418" t="str">
        <f t="shared" si="37"/>
        <v/>
      </c>
      <c r="CK38" s="1418" t="str">
        <f t="shared" si="38"/>
        <v/>
      </c>
      <c r="CO38" s="419">
        <f t="shared" si="39"/>
        <v>0</v>
      </c>
      <c r="CP38" s="419"/>
      <c r="CQ38" s="419">
        <f t="shared" si="47"/>
        <v>0</v>
      </c>
      <c r="CR38" s="419">
        <f t="shared" si="40"/>
        <v>0</v>
      </c>
      <c r="CS38" s="419">
        <f t="shared" si="41"/>
        <v>0</v>
      </c>
      <c r="CT38" s="419">
        <f t="shared" si="42"/>
        <v>0</v>
      </c>
      <c r="CU38" s="419">
        <f t="shared" si="43"/>
        <v>0</v>
      </c>
      <c r="CV38" s="419">
        <f t="shared" si="44"/>
        <v>0</v>
      </c>
      <c r="CW38" s="419">
        <f t="shared" si="45"/>
        <v>0</v>
      </c>
      <c r="CX38" s="419">
        <f t="shared" si="46"/>
        <v>0</v>
      </c>
      <c r="CY38" s="419">
        <f t="shared" si="48"/>
        <v>0</v>
      </c>
    </row>
    <row r="39" spans="1:103" ht="15" customHeight="1">
      <c r="A39" s="6205"/>
      <c r="B39" s="1511" t="s">
        <v>772</v>
      </c>
      <c r="C39" s="1512">
        <f t="shared" si="26"/>
        <v>0</v>
      </c>
      <c r="D39" s="1440"/>
      <c r="E39" s="1442"/>
      <c r="F39" s="1442"/>
      <c r="G39" s="1442"/>
      <c r="H39" s="1442"/>
      <c r="I39" s="1442"/>
      <c r="J39" s="1442"/>
      <c r="K39" s="1442"/>
      <c r="L39" s="1442"/>
      <c r="M39" s="1442"/>
      <c r="N39" s="1513"/>
      <c r="O39" s="1513"/>
      <c r="P39" s="1514"/>
      <c r="Q39" s="1445"/>
      <c r="R39" s="1446"/>
      <c r="S39" s="1452"/>
      <c r="T39" s="1440"/>
      <c r="U39" s="1452"/>
      <c r="V39" s="1440"/>
      <c r="W39" s="1452"/>
      <c r="X39" s="1440"/>
      <c r="Y39" s="1442"/>
      <c r="Z39" s="1452"/>
      <c r="AA39" s="1452"/>
      <c r="AB39" t="str">
        <f t="shared" si="27"/>
        <v/>
      </c>
      <c r="CA39" s="1418" t="str">
        <f t="shared" si="28"/>
        <v/>
      </c>
      <c r="CB39" s="1418" t="str">
        <f t="shared" si="29"/>
        <v/>
      </c>
      <c r="CC39" s="1418" t="str">
        <f t="shared" si="30"/>
        <v/>
      </c>
      <c r="CD39" s="1418" t="str">
        <f t="shared" si="31"/>
        <v/>
      </c>
      <c r="CE39" s="1418" t="str">
        <f t="shared" si="32"/>
        <v/>
      </c>
      <c r="CF39" s="1418" t="str">
        <f t="shared" si="33"/>
        <v/>
      </c>
      <c r="CG39" s="1418" t="str">
        <f t="shared" si="34"/>
        <v/>
      </c>
      <c r="CH39" s="1418" t="str">
        <f t="shared" si="35"/>
        <v/>
      </c>
      <c r="CI39" s="1418" t="str">
        <f t="shared" si="36"/>
        <v/>
      </c>
      <c r="CJ39" s="1418" t="str">
        <f t="shared" si="37"/>
        <v/>
      </c>
      <c r="CK39" s="1418" t="str">
        <f t="shared" si="38"/>
        <v/>
      </c>
      <c r="CO39" s="419">
        <f t="shared" si="39"/>
        <v>0</v>
      </c>
      <c r="CP39" s="419"/>
      <c r="CQ39" s="419">
        <f t="shared" si="47"/>
        <v>0</v>
      </c>
      <c r="CR39" s="419">
        <f t="shared" si="40"/>
        <v>0</v>
      </c>
      <c r="CS39" s="419">
        <f t="shared" si="41"/>
        <v>0</v>
      </c>
      <c r="CT39" s="419">
        <f t="shared" si="42"/>
        <v>0</v>
      </c>
      <c r="CU39" s="419">
        <f t="shared" si="43"/>
        <v>0</v>
      </c>
      <c r="CV39" s="419">
        <f t="shared" si="44"/>
        <v>0</v>
      </c>
      <c r="CW39" s="419">
        <f t="shared" si="45"/>
        <v>0</v>
      </c>
      <c r="CX39" s="419">
        <f t="shared" si="46"/>
        <v>0</v>
      </c>
      <c r="CY39" s="419">
        <f t="shared" si="48"/>
        <v>0</v>
      </c>
    </row>
    <row r="40" spans="1:103" ht="15" customHeight="1">
      <c r="A40" s="6205"/>
      <c r="B40" s="1511" t="s">
        <v>773</v>
      </c>
      <c r="C40" s="1512">
        <f t="shared" si="26"/>
        <v>0</v>
      </c>
      <c r="D40" s="1440"/>
      <c r="E40" s="1442"/>
      <c r="F40" s="1442"/>
      <c r="G40" s="1442"/>
      <c r="H40" s="1442"/>
      <c r="I40" s="1442"/>
      <c r="J40" s="1442"/>
      <c r="K40" s="1442"/>
      <c r="L40" s="1442"/>
      <c r="M40" s="1442"/>
      <c r="N40" s="1513"/>
      <c r="O40" s="1513"/>
      <c r="P40" s="1514"/>
      <c r="Q40" s="1445"/>
      <c r="R40" s="1446"/>
      <c r="S40" s="1452"/>
      <c r="T40" s="1440"/>
      <c r="U40" s="1452"/>
      <c r="V40" s="1440"/>
      <c r="W40" s="1452"/>
      <c r="X40" s="1440"/>
      <c r="Y40" s="1442"/>
      <c r="Z40" s="1452"/>
      <c r="AA40" s="1452"/>
      <c r="AB40" t="str">
        <f t="shared" si="27"/>
        <v/>
      </c>
      <c r="CA40" s="1418" t="str">
        <f t="shared" si="28"/>
        <v/>
      </c>
      <c r="CB40" s="1418" t="str">
        <f t="shared" si="29"/>
        <v/>
      </c>
      <c r="CC40" s="1418" t="str">
        <f t="shared" si="30"/>
        <v/>
      </c>
      <c r="CD40" s="1418" t="str">
        <f t="shared" si="31"/>
        <v/>
      </c>
      <c r="CE40" s="1418" t="str">
        <f t="shared" si="32"/>
        <v/>
      </c>
      <c r="CF40" s="1418" t="str">
        <f t="shared" si="33"/>
        <v/>
      </c>
      <c r="CG40" s="1418" t="str">
        <f t="shared" si="34"/>
        <v/>
      </c>
      <c r="CH40" s="1418" t="str">
        <f t="shared" si="35"/>
        <v/>
      </c>
      <c r="CI40" s="1418" t="str">
        <f t="shared" si="36"/>
        <v/>
      </c>
      <c r="CJ40" s="1418" t="str">
        <f t="shared" si="37"/>
        <v/>
      </c>
      <c r="CK40" s="1418" t="str">
        <f t="shared" si="38"/>
        <v/>
      </c>
      <c r="CO40" s="419">
        <f t="shared" si="39"/>
        <v>0</v>
      </c>
      <c r="CP40" s="419"/>
      <c r="CQ40" s="419">
        <f t="shared" si="47"/>
        <v>0</v>
      </c>
      <c r="CR40" s="419">
        <f t="shared" si="40"/>
        <v>0</v>
      </c>
      <c r="CS40" s="419">
        <f t="shared" si="41"/>
        <v>0</v>
      </c>
      <c r="CT40" s="419">
        <f t="shared" si="42"/>
        <v>0</v>
      </c>
      <c r="CU40" s="419">
        <f t="shared" si="43"/>
        <v>0</v>
      </c>
      <c r="CV40" s="419">
        <f t="shared" si="44"/>
        <v>0</v>
      </c>
      <c r="CW40" s="419">
        <f t="shared" si="45"/>
        <v>0</v>
      </c>
      <c r="CX40" s="419">
        <f t="shared" si="46"/>
        <v>0</v>
      </c>
      <c r="CY40" s="419">
        <f t="shared" si="48"/>
        <v>0</v>
      </c>
    </row>
    <row r="41" spans="1:103" ht="15" customHeight="1">
      <c r="A41" s="6205"/>
      <c r="B41" s="1511" t="s">
        <v>774</v>
      </c>
      <c r="C41" s="1512">
        <f t="shared" si="26"/>
        <v>0</v>
      </c>
      <c r="D41" s="1440"/>
      <c r="E41" s="1442"/>
      <c r="F41" s="1442"/>
      <c r="G41" s="1442"/>
      <c r="H41" s="1442"/>
      <c r="I41" s="1442"/>
      <c r="J41" s="1442"/>
      <c r="K41" s="1442"/>
      <c r="L41" s="1442"/>
      <c r="M41" s="1442"/>
      <c r="N41" s="1513"/>
      <c r="O41" s="1513"/>
      <c r="P41" s="1514"/>
      <c r="Q41" s="1445"/>
      <c r="R41" s="1446"/>
      <c r="S41" s="1452"/>
      <c r="T41" s="1440"/>
      <c r="U41" s="1452"/>
      <c r="V41" s="1440"/>
      <c r="W41" s="1452"/>
      <c r="X41" s="1440"/>
      <c r="Y41" s="1442"/>
      <c r="Z41" s="1452"/>
      <c r="AA41" s="1452"/>
      <c r="AB41" t="str">
        <f t="shared" si="27"/>
        <v/>
      </c>
      <c r="CA41" s="1418" t="str">
        <f t="shared" si="28"/>
        <v/>
      </c>
      <c r="CB41" s="1418" t="str">
        <f t="shared" si="29"/>
        <v/>
      </c>
      <c r="CC41" s="1418" t="str">
        <f t="shared" si="30"/>
        <v/>
      </c>
      <c r="CD41" s="1418" t="str">
        <f t="shared" si="31"/>
        <v/>
      </c>
      <c r="CE41" s="1418" t="str">
        <f t="shared" si="32"/>
        <v/>
      </c>
      <c r="CF41" s="1418" t="str">
        <f t="shared" si="33"/>
        <v/>
      </c>
      <c r="CG41" s="1418" t="str">
        <f t="shared" si="34"/>
        <v/>
      </c>
      <c r="CH41" s="1418" t="str">
        <f t="shared" si="35"/>
        <v/>
      </c>
      <c r="CI41" s="1418" t="str">
        <f t="shared" si="36"/>
        <v/>
      </c>
      <c r="CJ41" s="1418" t="str">
        <f t="shared" si="37"/>
        <v/>
      </c>
      <c r="CK41" s="1418" t="str">
        <f t="shared" si="38"/>
        <v/>
      </c>
      <c r="CO41" s="419">
        <f t="shared" si="39"/>
        <v>0</v>
      </c>
      <c r="CP41" s="419"/>
      <c r="CQ41" s="419">
        <f t="shared" si="47"/>
        <v>0</v>
      </c>
      <c r="CR41" s="419">
        <f t="shared" si="40"/>
        <v>0</v>
      </c>
      <c r="CS41" s="419">
        <f t="shared" si="41"/>
        <v>0</v>
      </c>
      <c r="CT41" s="419">
        <f t="shared" si="42"/>
        <v>0</v>
      </c>
      <c r="CU41" s="419">
        <f t="shared" si="43"/>
        <v>0</v>
      </c>
      <c r="CV41" s="419">
        <f t="shared" si="44"/>
        <v>0</v>
      </c>
      <c r="CW41" s="419">
        <f t="shared" si="45"/>
        <v>0</v>
      </c>
      <c r="CX41" s="419">
        <f t="shared" si="46"/>
        <v>0</v>
      </c>
      <c r="CY41" s="419">
        <f t="shared" si="48"/>
        <v>0</v>
      </c>
    </row>
    <row r="42" spans="1:103" ht="15" customHeight="1">
      <c r="A42" s="6205"/>
      <c r="B42" s="1511" t="s">
        <v>775</v>
      </c>
      <c r="C42" s="1512">
        <f t="shared" si="26"/>
        <v>0</v>
      </c>
      <c r="D42" s="1440"/>
      <c r="E42" s="1442"/>
      <c r="F42" s="1442"/>
      <c r="G42" s="1442"/>
      <c r="H42" s="1442"/>
      <c r="I42" s="1442"/>
      <c r="J42" s="1442"/>
      <c r="K42" s="1442"/>
      <c r="L42" s="1442"/>
      <c r="M42" s="1442"/>
      <c r="N42" s="1513"/>
      <c r="O42" s="1513"/>
      <c r="P42" s="1514"/>
      <c r="Q42" s="1445"/>
      <c r="R42" s="1446"/>
      <c r="S42" s="1452"/>
      <c r="T42" s="1440"/>
      <c r="U42" s="1452"/>
      <c r="V42" s="1440"/>
      <c r="W42" s="1452"/>
      <c r="X42" s="1440"/>
      <c r="Y42" s="1442"/>
      <c r="Z42" s="1452"/>
      <c r="AA42" s="1452"/>
      <c r="AB42" t="str">
        <f t="shared" si="27"/>
        <v/>
      </c>
      <c r="CA42" s="1418" t="str">
        <f t="shared" si="28"/>
        <v/>
      </c>
      <c r="CB42" s="1418" t="str">
        <f t="shared" si="29"/>
        <v/>
      </c>
      <c r="CC42" s="1418" t="str">
        <f t="shared" si="30"/>
        <v/>
      </c>
      <c r="CD42" s="1418" t="str">
        <f t="shared" si="31"/>
        <v/>
      </c>
      <c r="CE42" s="1418" t="str">
        <f t="shared" si="32"/>
        <v/>
      </c>
      <c r="CF42" s="1418" t="str">
        <f t="shared" si="33"/>
        <v/>
      </c>
      <c r="CG42" s="1418" t="str">
        <f t="shared" si="34"/>
        <v/>
      </c>
      <c r="CH42" s="1418" t="str">
        <f t="shared" si="35"/>
        <v/>
      </c>
      <c r="CI42" s="1418" t="str">
        <f t="shared" si="36"/>
        <v/>
      </c>
      <c r="CJ42" s="1418" t="str">
        <f t="shared" si="37"/>
        <v/>
      </c>
      <c r="CK42" s="1418" t="str">
        <f t="shared" si="38"/>
        <v/>
      </c>
      <c r="CO42" s="419">
        <f t="shared" si="39"/>
        <v>0</v>
      </c>
      <c r="CP42" s="419"/>
      <c r="CQ42" s="419">
        <f t="shared" si="47"/>
        <v>0</v>
      </c>
      <c r="CR42" s="419">
        <f t="shared" si="40"/>
        <v>0</v>
      </c>
      <c r="CS42" s="419">
        <f t="shared" si="41"/>
        <v>0</v>
      </c>
      <c r="CT42" s="419">
        <f t="shared" si="42"/>
        <v>0</v>
      </c>
      <c r="CU42" s="419">
        <f t="shared" si="43"/>
        <v>0</v>
      </c>
      <c r="CV42" s="419">
        <f t="shared" si="44"/>
        <v>0</v>
      </c>
      <c r="CW42" s="419">
        <f t="shared" si="45"/>
        <v>0</v>
      </c>
      <c r="CX42" s="419">
        <f t="shared" si="46"/>
        <v>0</v>
      </c>
      <c r="CY42" s="419">
        <f t="shared" si="48"/>
        <v>0</v>
      </c>
    </row>
    <row r="43" spans="1:103" ht="15" customHeight="1">
      <c r="A43" s="6205"/>
      <c r="B43" s="1515" t="s">
        <v>776</v>
      </c>
      <c r="C43" s="1516">
        <f t="shared" si="26"/>
        <v>0</v>
      </c>
      <c r="D43" s="1517"/>
      <c r="E43" s="1518"/>
      <c r="F43" s="1518"/>
      <c r="G43" s="1518"/>
      <c r="H43" s="1518"/>
      <c r="I43" s="1518"/>
      <c r="J43" s="1518"/>
      <c r="K43" s="1518"/>
      <c r="L43" s="1518"/>
      <c r="M43" s="1518"/>
      <c r="N43" s="1519"/>
      <c r="O43" s="1519"/>
      <c r="P43" s="1520"/>
      <c r="Q43" s="1521"/>
      <c r="R43" s="1522"/>
      <c r="S43" s="1523"/>
      <c r="T43" s="1517"/>
      <c r="U43" s="1523"/>
      <c r="V43" s="1517"/>
      <c r="W43" s="1523"/>
      <c r="X43" s="1517"/>
      <c r="Y43" s="1518"/>
      <c r="Z43" s="1523"/>
      <c r="AA43" s="1523"/>
      <c r="AB43" t="str">
        <f t="shared" si="27"/>
        <v/>
      </c>
      <c r="CA43" s="1418" t="str">
        <f t="shared" si="28"/>
        <v/>
      </c>
      <c r="CB43" s="1418" t="str">
        <f t="shared" si="29"/>
        <v/>
      </c>
      <c r="CC43" s="1418" t="str">
        <f t="shared" si="30"/>
        <v/>
      </c>
      <c r="CD43" s="1418" t="str">
        <f t="shared" si="31"/>
        <v/>
      </c>
      <c r="CE43" s="1418" t="str">
        <f t="shared" si="32"/>
        <v/>
      </c>
      <c r="CF43" s="1418" t="str">
        <f t="shared" si="33"/>
        <v/>
      </c>
      <c r="CG43" s="1418" t="str">
        <f t="shared" si="34"/>
        <v/>
      </c>
      <c r="CH43" s="1418" t="str">
        <f t="shared" si="35"/>
        <v/>
      </c>
      <c r="CI43" s="1418" t="str">
        <f t="shared" si="36"/>
        <v/>
      </c>
      <c r="CJ43" s="1418" t="str">
        <f t="shared" si="37"/>
        <v/>
      </c>
      <c r="CK43" s="1418" t="str">
        <f t="shared" si="38"/>
        <v/>
      </c>
      <c r="CO43" s="419">
        <f t="shared" si="39"/>
        <v>0</v>
      </c>
      <c r="CP43" s="419"/>
      <c r="CQ43" s="419">
        <f t="shared" si="47"/>
        <v>0</v>
      </c>
      <c r="CR43" s="419">
        <f t="shared" si="40"/>
        <v>0</v>
      </c>
      <c r="CS43" s="419">
        <f t="shared" si="41"/>
        <v>0</v>
      </c>
      <c r="CT43" s="419">
        <f t="shared" si="42"/>
        <v>0</v>
      </c>
      <c r="CU43" s="419">
        <f t="shared" si="43"/>
        <v>0</v>
      </c>
      <c r="CV43" s="419">
        <f t="shared" si="44"/>
        <v>0</v>
      </c>
      <c r="CW43" s="419">
        <f t="shared" si="45"/>
        <v>0</v>
      </c>
      <c r="CX43" s="419">
        <f t="shared" si="46"/>
        <v>0</v>
      </c>
      <c r="CY43" s="419">
        <f t="shared" si="48"/>
        <v>0</v>
      </c>
    </row>
    <row r="44" spans="1:103" ht="15" customHeight="1">
      <c r="A44" s="6205"/>
      <c r="B44" s="453" t="s">
        <v>777</v>
      </c>
      <c r="C44" s="1506">
        <f t="shared" si="26"/>
        <v>0</v>
      </c>
      <c r="D44" s="1455"/>
      <c r="E44" s="1457"/>
      <c r="F44" s="1457"/>
      <c r="G44" s="1457"/>
      <c r="H44" s="1457"/>
      <c r="I44" s="1457"/>
      <c r="J44" s="1457"/>
      <c r="K44" s="1457"/>
      <c r="L44" s="1457"/>
      <c r="M44" s="1457"/>
      <c r="N44" s="1507"/>
      <c r="O44" s="1507"/>
      <c r="P44" s="1508"/>
      <c r="Q44" s="1460"/>
      <c r="R44" s="1461"/>
      <c r="S44" s="1467"/>
      <c r="T44" s="1455"/>
      <c r="U44" s="1467"/>
      <c r="V44" s="1455"/>
      <c r="W44" s="1467"/>
      <c r="X44" s="1455"/>
      <c r="Y44" s="1457"/>
      <c r="Z44" s="1467"/>
      <c r="AA44" s="1467"/>
      <c r="AB44" t="str">
        <f t="shared" si="27"/>
        <v/>
      </c>
      <c r="CA44" s="1418" t="str">
        <f t="shared" si="28"/>
        <v/>
      </c>
      <c r="CB44" s="1418" t="str">
        <f t="shared" si="29"/>
        <v/>
      </c>
      <c r="CC44" s="1418" t="str">
        <f t="shared" si="30"/>
        <v/>
      </c>
      <c r="CD44" s="1418" t="str">
        <f t="shared" si="31"/>
        <v/>
      </c>
      <c r="CE44" s="1418" t="str">
        <f t="shared" si="32"/>
        <v/>
      </c>
      <c r="CF44" s="1418" t="str">
        <f t="shared" si="33"/>
        <v/>
      </c>
      <c r="CG44" s="1418" t="str">
        <f t="shared" si="34"/>
        <v/>
      </c>
      <c r="CH44" s="1418" t="str">
        <f t="shared" si="35"/>
        <v/>
      </c>
      <c r="CI44" s="1418" t="str">
        <f t="shared" si="36"/>
        <v/>
      </c>
      <c r="CJ44" s="1418" t="str">
        <f t="shared" si="37"/>
        <v/>
      </c>
      <c r="CK44" s="1418" t="str">
        <f t="shared" si="38"/>
        <v/>
      </c>
      <c r="CO44" s="419">
        <f t="shared" si="39"/>
        <v>0</v>
      </c>
      <c r="CP44" s="419"/>
      <c r="CQ44" s="419">
        <f t="shared" si="47"/>
        <v>0</v>
      </c>
      <c r="CR44" s="419">
        <f t="shared" si="40"/>
        <v>0</v>
      </c>
      <c r="CS44" s="419">
        <f t="shared" si="41"/>
        <v>0</v>
      </c>
      <c r="CT44" s="419">
        <f t="shared" si="42"/>
        <v>0</v>
      </c>
      <c r="CU44" s="419">
        <f t="shared" si="43"/>
        <v>0</v>
      </c>
      <c r="CV44" s="419">
        <f t="shared" si="44"/>
        <v>0</v>
      </c>
      <c r="CW44" s="419">
        <f t="shared" si="45"/>
        <v>0</v>
      </c>
      <c r="CX44" s="419">
        <f t="shared" si="46"/>
        <v>0</v>
      </c>
      <c r="CY44" s="419">
        <f t="shared" si="48"/>
        <v>0</v>
      </c>
    </row>
    <row r="45" spans="1:103" ht="15" customHeight="1">
      <c r="A45" s="6127" t="s">
        <v>778</v>
      </c>
      <c r="B45" s="1510" t="s">
        <v>779</v>
      </c>
      <c r="C45" s="1422">
        <f t="shared" ref="C45:C46" si="49">SUM(D45:P45)</f>
        <v>0</v>
      </c>
      <c r="D45" s="1424"/>
      <c r="E45" s="1426"/>
      <c r="F45" s="1426"/>
      <c r="G45" s="1426"/>
      <c r="H45" s="1426"/>
      <c r="I45" s="1426"/>
      <c r="J45" s="1426"/>
      <c r="K45" s="1426"/>
      <c r="L45" s="1426"/>
      <c r="M45" s="1426"/>
      <c r="N45" s="1524"/>
      <c r="O45" s="1524"/>
      <c r="P45" s="1524"/>
      <c r="Q45" s="1429"/>
      <c r="R45" s="1430"/>
      <c r="S45" s="1436"/>
      <c r="T45" s="1424"/>
      <c r="U45" s="1436"/>
      <c r="V45" s="1424"/>
      <c r="W45" s="1436"/>
      <c r="X45" s="1424"/>
      <c r="Y45" s="1426"/>
      <c r="Z45" s="1436"/>
      <c r="AA45" s="1436"/>
      <c r="AB45" t="str">
        <f t="shared" si="27"/>
        <v/>
      </c>
      <c r="CA45" s="1418" t="str">
        <f t="shared" si="28"/>
        <v/>
      </c>
      <c r="CB45" s="1418" t="str">
        <f t="shared" si="29"/>
        <v/>
      </c>
      <c r="CC45" s="1418" t="str">
        <f t="shared" si="30"/>
        <v/>
      </c>
      <c r="CD45" s="1418" t="str">
        <f t="shared" si="31"/>
        <v/>
      </c>
      <c r="CE45" s="1418" t="str">
        <f t="shared" si="32"/>
        <v/>
      </c>
      <c r="CF45" s="1418" t="str">
        <f t="shared" si="33"/>
        <v/>
      </c>
      <c r="CG45" s="1418" t="str">
        <f t="shared" si="34"/>
        <v/>
      </c>
      <c r="CH45" s="1418" t="str">
        <f t="shared" si="35"/>
        <v/>
      </c>
      <c r="CI45" s="1418" t="str">
        <f t="shared" si="36"/>
        <v/>
      </c>
      <c r="CJ45" s="1418" t="str">
        <f t="shared" si="37"/>
        <v/>
      </c>
      <c r="CK45" s="1418" t="str">
        <f t="shared" si="38"/>
        <v/>
      </c>
      <c r="CO45" s="419">
        <f t="shared" si="39"/>
        <v>0</v>
      </c>
      <c r="CP45" s="419"/>
      <c r="CQ45" s="419">
        <f t="shared" si="47"/>
        <v>0</v>
      </c>
      <c r="CR45" s="419">
        <f t="shared" si="40"/>
        <v>0</v>
      </c>
      <c r="CS45" s="419">
        <f t="shared" si="41"/>
        <v>0</v>
      </c>
      <c r="CT45" s="419">
        <f t="shared" si="42"/>
        <v>0</v>
      </c>
      <c r="CU45" s="419">
        <f t="shared" si="43"/>
        <v>0</v>
      </c>
      <c r="CV45" s="419">
        <f t="shared" si="44"/>
        <v>0</v>
      </c>
      <c r="CW45" s="419">
        <f t="shared" si="45"/>
        <v>0</v>
      </c>
      <c r="CX45" s="419">
        <f t="shared" si="46"/>
        <v>0</v>
      </c>
      <c r="CY45" s="419">
        <f t="shared" si="48"/>
        <v>0</v>
      </c>
    </row>
    <row r="46" spans="1:103" ht="15" customHeight="1">
      <c r="A46" s="6129"/>
      <c r="B46" s="1525" t="s">
        <v>544</v>
      </c>
      <c r="C46" s="1506">
        <f t="shared" si="49"/>
        <v>0</v>
      </c>
      <c r="D46" s="1455"/>
      <c r="E46" s="1457"/>
      <c r="F46" s="1457"/>
      <c r="G46" s="1457"/>
      <c r="H46" s="1457"/>
      <c r="I46" s="1457"/>
      <c r="J46" s="1457"/>
      <c r="K46" s="1457"/>
      <c r="L46" s="1457"/>
      <c r="M46" s="1457"/>
      <c r="N46" s="1457"/>
      <c r="O46" s="1457"/>
      <c r="P46" s="1457"/>
      <c r="Q46" s="1460"/>
      <c r="R46" s="1461"/>
      <c r="S46" s="1467"/>
      <c r="T46" s="1455"/>
      <c r="U46" s="1467"/>
      <c r="V46" s="1455"/>
      <c r="W46" s="1467"/>
      <c r="X46" s="1455"/>
      <c r="Y46" s="1457"/>
      <c r="Z46" s="1467"/>
      <c r="AA46" s="1467"/>
      <c r="AB46" t="str">
        <f t="shared" si="27"/>
        <v/>
      </c>
      <c r="CA46" s="1418" t="str">
        <f t="shared" si="28"/>
        <v/>
      </c>
      <c r="CB46" s="1418" t="str">
        <f t="shared" si="29"/>
        <v/>
      </c>
      <c r="CC46" s="1418" t="str">
        <f t="shared" si="30"/>
        <v/>
      </c>
      <c r="CD46" s="1418" t="str">
        <f t="shared" si="31"/>
        <v/>
      </c>
      <c r="CE46" s="1418" t="str">
        <f t="shared" si="32"/>
        <v/>
      </c>
      <c r="CF46" s="1418" t="str">
        <f t="shared" si="33"/>
        <v/>
      </c>
      <c r="CG46" s="1418" t="str">
        <f t="shared" si="34"/>
        <v/>
      </c>
      <c r="CH46" s="1418" t="str">
        <f t="shared" si="35"/>
        <v/>
      </c>
      <c r="CI46" s="1418" t="str">
        <f t="shared" si="36"/>
        <v/>
      </c>
      <c r="CJ46" s="1418" t="str">
        <f t="shared" si="37"/>
        <v/>
      </c>
      <c r="CK46" s="1418" t="str">
        <f t="shared" si="38"/>
        <v/>
      </c>
      <c r="CO46" s="419">
        <f t="shared" si="39"/>
        <v>0</v>
      </c>
      <c r="CP46" s="419"/>
      <c r="CQ46" s="419">
        <f t="shared" si="47"/>
        <v>0</v>
      </c>
      <c r="CR46" s="419">
        <f t="shared" si="40"/>
        <v>0</v>
      </c>
      <c r="CS46" s="419">
        <f t="shared" si="41"/>
        <v>0</v>
      </c>
      <c r="CT46" s="419">
        <f t="shared" si="42"/>
        <v>0</v>
      </c>
      <c r="CU46" s="419">
        <f t="shared" si="43"/>
        <v>0</v>
      </c>
      <c r="CV46" s="419">
        <f t="shared" si="44"/>
        <v>0</v>
      </c>
      <c r="CW46" s="419">
        <f t="shared" si="45"/>
        <v>0</v>
      </c>
      <c r="CX46" s="419">
        <f t="shared" si="46"/>
        <v>0</v>
      </c>
      <c r="CY46" s="419">
        <f t="shared" si="48"/>
        <v>0</v>
      </c>
    </row>
    <row r="47" spans="1:103" ht="15" customHeight="1">
      <c r="A47" s="6127" t="s">
        <v>780</v>
      </c>
      <c r="B47" s="1510" t="s">
        <v>779</v>
      </c>
      <c r="C47" s="1422">
        <f t="shared" ref="C47:C49" si="50">SUM(D47:M47)</f>
        <v>0</v>
      </c>
      <c r="D47" s="1424"/>
      <c r="E47" s="1426"/>
      <c r="F47" s="1426"/>
      <c r="G47" s="1426"/>
      <c r="H47" s="1426"/>
      <c r="I47" s="1426"/>
      <c r="J47" s="1426"/>
      <c r="K47" s="1426"/>
      <c r="L47" s="1426"/>
      <c r="M47" s="1426"/>
      <c r="N47" s="1503"/>
      <c r="O47" s="1503"/>
      <c r="P47" s="1504"/>
      <c r="Q47" s="1429"/>
      <c r="R47" s="1430"/>
      <c r="S47" s="1436"/>
      <c r="T47" s="1424"/>
      <c r="U47" s="1436"/>
      <c r="V47" s="1424"/>
      <c r="W47" s="1436"/>
      <c r="X47" s="1424"/>
      <c r="Y47" s="1426"/>
      <c r="Z47" s="1436"/>
      <c r="AA47" s="1436"/>
      <c r="AB47" t="str">
        <f t="shared" si="27"/>
        <v/>
      </c>
      <c r="CA47" s="1418" t="str">
        <f t="shared" si="28"/>
        <v/>
      </c>
      <c r="CB47" s="1418" t="str">
        <f t="shared" si="29"/>
        <v/>
      </c>
      <c r="CC47" s="1418" t="str">
        <f t="shared" si="30"/>
        <v/>
      </c>
      <c r="CD47" s="1418" t="str">
        <f t="shared" si="31"/>
        <v/>
      </c>
      <c r="CE47" s="1418" t="str">
        <f t="shared" si="32"/>
        <v/>
      </c>
      <c r="CF47" s="1418" t="str">
        <f t="shared" si="33"/>
        <v/>
      </c>
      <c r="CG47" s="1418" t="str">
        <f t="shared" si="34"/>
        <v/>
      </c>
      <c r="CH47" s="1418" t="str">
        <f t="shared" si="35"/>
        <v/>
      </c>
      <c r="CI47" s="1418" t="str">
        <f t="shared" si="36"/>
        <v/>
      </c>
      <c r="CJ47" s="1418" t="str">
        <f t="shared" si="37"/>
        <v/>
      </c>
      <c r="CK47" s="1418" t="str">
        <f t="shared" si="38"/>
        <v/>
      </c>
      <c r="CO47" s="419">
        <f t="shared" si="39"/>
        <v>0</v>
      </c>
      <c r="CP47" s="419"/>
      <c r="CQ47" s="419">
        <f t="shared" si="47"/>
        <v>0</v>
      </c>
      <c r="CR47" s="419">
        <f t="shared" si="40"/>
        <v>0</v>
      </c>
      <c r="CS47" s="419">
        <f t="shared" si="41"/>
        <v>0</v>
      </c>
      <c r="CT47" s="419">
        <f t="shared" si="42"/>
        <v>0</v>
      </c>
      <c r="CU47" s="419">
        <f t="shared" si="43"/>
        <v>0</v>
      </c>
      <c r="CV47" s="419">
        <f t="shared" si="44"/>
        <v>0</v>
      </c>
      <c r="CW47" s="419">
        <f t="shared" si="45"/>
        <v>0</v>
      </c>
      <c r="CX47" s="419">
        <f t="shared" si="46"/>
        <v>0</v>
      </c>
      <c r="CY47" s="419">
        <f t="shared" si="48"/>
        <v>0</v>
      </c>
    </row>
    <row r="48" spans="1:103" ht="15" customHeight="1">
      <c r="A48" s="6129"/>
      <c r="B48" s="1526" t="s">
        <v>544</v>
      </c>
      <c r="C48" s="1527">
        <f t="shared" si="50"/>
        <v>0</v>
      </c>
      <c r="D48" s="1528"/>
      <c r="E48" s="1529"/>
      <c r="F48" s="1529"/>
      <c r="G48" s="1529"/>
      <c r="H48" s="1529"/>
      <c r="I48" s="1529"/>
      <c r="J48" s="1529"/>
      <c r="K48" s="1529"/>
      <c r="L48" s="1529"/>
      <c r="M48" s="1529"/>
      <c r="N48" s="1530"/>
      <c r="O48" s="1530"/>
      <c r="P48" s="1531"/>
      <c r="Q48" s="1532"/>
      <c r="R48" s="1533"/>
      <c r="S48" s="1534"/>
      <c r="T48" s="1528"/>
      <c r="U48" s="1534"/>
      <c r="V48" s="1528"/>
      <c r="W48" s="1534"/>
      <c r="X48" s="1528"/>
      <c r="Y48" s="1529"/>
      <c r="Z48" s="1534"/>
      <c r="AA48" s="1534"/>
      <c r="AB48" t="str">
        <f t="shared" si="27"/>
        <v/>
      </c>
      <c r="CA48" s="1418" t="str">
        <f t="shared" si="28"/>
        <v/>
      </c>
      <c r="CB48" s="1418" t="str">
        <f t="shared" si="29"/>
        <v/>
      </c>
      <c r="CC48" s="1418" t="str">
        <f t="shared" si="30"/>
        <v/>
      </c>
      <c r="CD48" s="1418" t="str">
        <f t="shared" si="31"/>
        <v/>
      </c>
      <c r="CE48" s="1418" t="str">
        <f t="shared" si="32"/>
        <v/>
      </c>
      <c r="CF48" s="1418" t="str">
        <f t="shared" si="33"/>
        <v/>
      </c>
      <c r="CG48" s="1418" t="str">
        <f t="shared" si="34"/>
        <v/>
      </c>
      <c r="CH48" s="1418" t="str">
        <f t="shared" si="35"/>
        <v/>
      </c>
      <c r="CI48" s="1418" t="str">
        <f t="shared" si="36"/>
        <v/>
      </c>
      <c r="CJ48" s="1418" t="str">
        <f t="shared" si="37"/>
        <v/>
      </c>
      <c r="CK48" s="1418" t="str">
        <f t="shared" si="38"/>
        <v/>
      </c>
      <c r="CO48" s="419">
        <f t="shared" si="39"/>
        <v>0</v>
      </c>
      <c r="CP48" s="419"/>
      <c r="CQ48" s="419">
        <f t="shared" si="47"/>
        <v>0</v>
      </c>
      <c r="CR48" s="419">
        <f t="shared" si="40"/>
        <v>0</v>
      </c>
      <c r="CS48" s="419">
        <f t="shared" si="41"/>
        <v>0</v>
      </c>
      <c r="CT48" s="419">
        <f t="shared" si="42"/>
        <v>0</v>
      </c>
      <c r="CU48" s="419">
        <f t="shared" si="43"/>
        <v>0</v>
      </c>
      <c r="CV48" s="419">
        <f t="shared" si="44"/>
        <v>0</v>
      </c>
      <c r="CW48" s="419">
        <f t="shared" si="45"/>
        <v>0</v>
      </c>
      <c r="CX48" s="419">
        <f t="shared" si="46"/>
        <v>0</v>
      </c>
      <c r="CY48" s="419">
        <f t="shared" si="48"/>
        <v>0</v>
      </c>
    </row>
    <row r="49" spans="1:103" ht="15" customHeight="1">
      <c r="A49" s="6214" t="s">
        <v>619</v>
      </c>
      <c r="B49" s="6215"/>
      <c r="C49" s="406">
        <f t="shared" si="50"/>
        <v>0</v>
      </c>
      <c r="D49" s="1475"/>
      <c r="E49" s="1535"/>
      <c r="F49" s="1535"/>
      <c r="G49" s="1535"/>
      <c r="H49" s="1535"/>
      <c r="I49" s="1535"/>
      <c r="J49" s="1535"/>
      <c r="K49" s="1535"/>
      <c r="L49" s="1535"/>
      <c r="M49" s="1535"/>
      <c r="N49" s="1536"/>
      <c r="O49" s="1536"/>
      <c r="P49" s="1537"/>
      <c r="Q49" s="1538"/>
      <c r="R49" s="1478"/>
      <c r="S49" s="1539"/>
      <c r="T49" s="1475"/>
      <c r="U49" s="1539"/>
      <c r="V49" s="1475"/>
      <c r="W49" s="1539"/>
      <c r="X49" s="1475"/>
      <c r="Y49" s="1535"/>
      <c r="Z49" s="1539"/>
      <c r="AA49" s="1539"/>
      <c r="AB49" t="str">
        <f t="shared" si="27"/>
        <v/>
      </c>
      <c r="CA49" s="1418" t="str">
        <f t="shared" si="28"/>
        <v/>
      </c>
      <c r="CB49" s="1418" t="str">
        <f t="shared" si="29"/>
        <v/>
      </c>
      <c r="CC49" s="1418" t="str">
        <f t="shared" si="30"/>
        <v/>
      </c>
      <c r="CD49" s="1418" t="str">
        <f t="shared" si="31"/>
        <v/>
      </c>
      <c r="CE49" s="1418" t="str">
        <f t="shared" si="32"/>
        <v/>
      </c>
      <c r="CF49" s="1418" t="str">
        <f t="shared" si="33"/>
        <v/>
      </c>
      <c r="CG49" s="1418" t="str">
        <f t="shared" si="34"/>
        <v/>
      </c>
      <c r="CH49" s="1418" t="str">
        <f t="shared" si="35"/>
        <v/>
      </c>
      <c r="CI49" s="1418" t="str">
        <f t="shared" si="36"/>
        <v/>
      </c>
      <c r="CJ49" s="1418" t="str">
        <f t="shared" si="37"/>
        <v/>
      </c>
      <c r="CK49" s="1418" t="str">
        <f t="shared" si="38"/>
        <v/>
      </c>
      <c r="CO49" s="419">
        <f t="shared" si="39"/>
        <v>0</v>
      </c>
      <c r="CP49" s="419"/>
      <c r="CQ49" s="419">
        <f t="shared" si="47"/>
        <v>0</v>
      </c>
      <c r="CR49" s="419">
        <f t="shared" si="40"/>
        <v>0</v>
      </c>
      <c r="CS49" s="419">
        <f t="shared" si="41"/>
        <v>0</v>
      </c>
      <c r="CT49" s="419">
        <f t="shared" si="42"/>
        <v>0</v>
      </c>
      <c r="CU49" s="419">
        <f t="shared" si="43"/>
        <v>0</v>
      </c>
      <c r="CV49" s="419">
        <f t="shared" si="44"/>
        <v>0</v>
      </c>
      <c r="CW49" s="419">
        <f t="shared" si="45"/>
        <v>0</v>
      </c>
      <c r="CX49" s="419">
        <f t="shared" si="46"/>
        <v>0</v>
      </c>
      <c r="CY49" s="419">
        <f t="shared" si="48"/>
        <v>0</v>
      </c>
    </row>
    <row r="50" spans="1:103" ht="15" customHeight="1">
      <c r="A50" s="6210" t="s">
        <v>781</v>
      </c>
      <c r="B50" s="6211"/>
      <c r="C50" s="1540">
        <f t="shared" si="26"/>
        <v>0</v>
      </c>
      <c r="D50" s="1480"/>
      <c r="E50" s="1541"/>
      <c r="F50" s="1541"/>
      <c r="G50" s="1541"/>
      <c r="H50" s="1541"/>
      <c r="I50" s="1541"/>
      <c r="J50" s="1541"/>
      <c r="K50" s="1541"/>
      <c r="L50" s="1541"/>
      <c r="M50" s="1541"/>
      <c r="N50" s="1542"/>
      <c r="O50" s="1542"/>
      <c r="P50" s="1543"/>
      <c r="Q50" s="1544"/>
      <c r="R50" s="1483"/>
      <c r="S50" s="1545"/>
      <c r="T50" s="1480"/>
      <c r="U50" s="1545"/>
      <c r="V50" s="1480"/>
      <c r="W50" s="1545"/>
      <c r="X50" s="1480"/>
      <c r="Y50" s="1541"/>
      <c r="Z50" s="1545"/>
      <c r="AA50" s="1545"/>
      <c r="AB50" t="str">
        <f t="shared" si="27"/>
        <v/>
      </c>
      <c r="CA50" s="1418" t="str">
        <f t="shared" si="28"/>
        <v/>
      </c>
      <c r="CB50" s="1418" t="str">
        <f t="shared" si="29"/>
        <v/>
      </c>
      <c r="CC50" s="1418" t="str">
        <f t="shared" si="30"/>
        <v/>
      </c>
      <c r="CD50" s="1418" t="str">
        <f t="shared" si="31"/>
        <v/>
      </c>
      <c r="CE50" s="1418" t="str">
        <f t="shared" si="32"/>
        <v/>
      </c>
      <c r="CF50" s="1418" t="str">
        <f t="shared" si="33"/>
        <v/>
      </c>
      <c r="CG50" s="1418" t="str">
        <f t="shared" si="34"/>
        <v/>
      </c>
      <c r="CH50" s="1418" t="str">
        <f t="shared" si="35"/>
        <v/>
      </c>
      <c r="CI50" s="1418" t="str">
        <f t="shared" si="36"/>
        <v/>
      </c>
      <c r="CJ50" s="1418" t="str">
        <f t="shared" si="37"/>
        <v/>
      </c>
      <c r="CK50" s="1418" t="str">
        <f t="shared" si="38"/>
        <v/>
      </c>
      <c r="CO50" s="419">
        <f t="shared" si="39"/>
        <v>0</v>
      </c>
      <c r="CP50" s="419"/>
      <c r="CQ50" s="419">
        <f t="shared" si="47"/>
        <v>0</v>
      </c>
      <c r="CR50" s="419">
        <f t="shared" si="40"/>
        <v>0</v>
      </c>
      <c r="CS50" s="419">
        <f t="shared" si="41"/>
        <v>0</v>
      </c>
      <c r="CT50" s="419">
        <f t="shared" si="42"/>
        <v>0</v>
      </c>
      <c r="CU50" s="419">
        <f t="shared" si="43"/>
        <v>0</v>
      </c>
      <c r="CV50" s="419">
        <f t="shared" si="44"/>
        <v>0</v>
      </c>
      <c r="CW50" s="419">
        <f t="shared" si="45"/>
        <v>0</v>
      </c>
      <c r="CX50" s="419">
        <f t="shared" si="46"/>
        <v>0</v>
      </c>
      <c r="CY50" s="419">
        <f t="shared" si="48"/>
        <v>0</v>
      </c>
    </row>
    <row r="51" spans="1:103" ht="15" customHeight="1">
      <c r="A51" s="6212" t="s">
        <v>782</v>
      </c>
      <c r="B51" s="6213"/>
      <c r="C51" s="1527">
        <f t="shared" si="26"/>
        <v>0</v>
      </c>
      <c r="D51" s="1528"/>
      <c r="E51" s="1529"/>
      <c r="F51" s="1529"/>
      <c r="G51" s="1529"/>
      <c r="H51" s="1529"/>
      <c r="I51" s="1529"/>
      <c r="J51" s="1529"/>
      <c r="K51" s="1529"/>
      <c r="L51" s="1529"/>
      <c r="M51" s="1529"/>
      <c r="N51" s="1530"/>
      <c r="O51" s="1530"/>
      <c r="P51" s="1531"/>
      <c r="Q51" s="1532"/>
      <c r="R51" s="1533"/>
      <c r="S51" s="1534"/>
      <c r="T51" s="1528"/>
      <c r="U51" s="1534"/>
      <c r="V51" s="1528"/>
      <c r="W51" s="1534"/>
      <c r="X51" s="1528"/>
      <c r="Y51" s="1529"/>
      <c r="Z51" s="1534"/>
      <c r="AA51" s="1534"/>
      <c r="AB51" t="str">
        <f t="shared" si="27"/>
        <v/>
      </c>
      <c r="CA51" s="1418" t="str">
        <f t="shared" si="28"/>
        <v/>
      </c>
      <c r="CB51" s="1418" t="str">
        <f t="shared" si="29"/>
        <v/>
      </c>
      <c r="CC51" s="1418" t="str">
        <f t="shared" si="30"/>
        <v/>
      </c>
      <c r="CD51" s="1418" t="str">
        <f t="shared" si="31"/>
        <v/>
      </c>
      <c r="CE51" s="1418" t="str">
        <f t="shared" si="32"/>
        <v/>
      </c>
      <c r="CF51" s="1418" t="str">
        <f t="shared" si="33"/>
        <v/>
      </c>
      <c r="CG51" s="1418" t="str">
        <f t="shared" si="34"/>
        <v/>
      </c>
      <c r="CH51" s="1418" t="str">
        <f t="shared" si="35"/>
        <v/>
      </c>
      <c r="CI51" s="1418" t="str">
        <f t="shared" si="36"/>
        <v/>
      </c>
      <c r="CJ51" s="1418" t="str">
        <f t="shared" si="37"/>
        <v/>
      </c>
      <c r="CK51" s="1418" t="str">
        <f t="shared" si="38"/>
        <v/>
      </c>
      <c r="CO51" s="419">
        <f t="shared" si="39"/>
        <v>0</v>
      </c>
      <c r="CP51" s="419"/>
      <c r="CQ51" s="419">
        <f t="shared" si="47"/>
        <v>0</v>
      </c>
      <c r="CR51" s="419">
        <f t="shared" si="40"/>
        <v>0</v>
      </c>
      <c r="CS51" s="419">
        <f t="shared" si="41"/>
        <v>0</v>
      </c>
      <c r="CT51" s="419">
        <f t="shared" si="42"/>
        <v>0</v>
      </c>
      <c r="CU51" s="419">
        <f t="shared" si="43"/>
        <v>0</v>
      </c>
      <c r="CV51" s="419">
        <f t="shared" si="44"/>
        <v>0</v>
      </c>
      <c r="CW51" s="419">
        <f t="shared" si="45"/>
        <v>0</v>
      </c>
      <c r="CX51" s="419">
        <f t="shared" si="46"/>
        <v>0</v>
      </c>
      <c r="CY51" s="419">
        <f t="shared" si="48"/>
        <v>0</v>
      </c>
    </row>
    <row r="52" spans="1:103" ht="24.75" customHeight="1">
      <c r="A52" s="1468" t="s">
        <v>783</v>
      </c>
      <c r="CB52" s="1470"/>
      <c r="CC52" s="1470"/>
      <c r="CD52" s="1470"/>
      <c r="CE52" s="1470"/>
      <c r="CF52" s="1470"/>
      <c r="CO52" s="1546"/>
    </row>
    <row r="53" spans="1:103" ht="22.9" customHeight="1">
      <c r="A53" s="6140" t="s">
        <v>758</v>
      </c>
      <c r="B53" s="6119"/>
      <c r="C53" s="5718" t="s">
        <v>42</v>
      </c>
      <c r="D53" s="5707" t="s">
        <v>43</v>
      </c>
      <c r="E53" s="5708"/>
      <c r="F53" s="5708"/>
      <c r="G53" s="5708"/>
      <c r="H53" s="5708"/>
      <c r="I53" s="5708"/>
      <c r="J53" s="5708"/>
      <c r="K53" s="5708"/>
      <c r="L53" s="5708"/>
      <c r="M53" s="5708"/>
      <c r="N53" s="5708"/>
      <c r="O53" s="5708"/>
      <c r="P53" s="6147"/>
      <c r="Q53" s="5714" t="s">
        <v>47</v>
      </c>
      <c r="R53" s="5718" t="s">
        <v>50</v>
      </c>
      <c r="S53" s="5710" t="s">
        <v>51</v>
      </c>
      <c r="T53" s="5712"/>
      <c r="U53" s="5710" t="s">
        <v>762</v>
      </c>
      <c r="V53" s="6106"/>
      <c r="W53" s="5712"/>
      <c r="X53" s="6119" t="s">
        <v>763</v>
      </c>
      <c r="CA53" s="1470"/>
      <c r="CB53" s="1470"/>
      <c r="CC53" s="1470"/>
      <c r="CD53" s="1470"/>
      <c r="CE53" s="1470"/>
      <c r="CQ53" s="1546"/>
    </row>
    <row r="54" spans="1:103" ht="28.5" customHeight="1">
      <c r="A54" s="6141"/>
      <c r="B54" s="6120"/>
      <c r="C54" s="5719"/>
      <c r="D54" s="1395" t="s">
        <v>764</v>
      </c>
      <c r="E54" s="1397" t="s">
        <v>58</v>
      </c>
      <c r="F54" s="1397" t="s">
        <v>59</v>
      </c>
      <c r="G54" s="1397" t="s">
        <v>60</v>
      </c>
      <c r="H54" s="1397" t="s">
        <v>61</v>
      </c>
      <c r="I54" s="1397" t="s">
        <v>62</v>
      </c>
      <c r="J54" s="1397" t="s">
        <v>63</v>
      </c>
      <c r="K54" s="1397" t="s">
        <v>64</v>
      </c>
      <c r="L54" s="1397" t="s">
        <v>65</v>
      </c>
      <c r="M54" s="1397" t="s">
        <v>66</v>
      </c>
      <c r="N54" s="397" t="s">
        <v>67</v>
      </c>
      <c r="O54" s="1397" t="s">
        <v>68</v>
      </c>
      <c r="P54" s="1398" t="s">
        <v>765</v>
      </c>
      <c r="Q54" s="5715"/>
      <c r="R54" s="5719"/>
      <c r="S54" s="1395" t="s">
        <v>733</v>
      </c>
      <c r="T54" s="1402" t="s">
        <v>734</v>
      </c>
      <c r="U54" s="1497" t="s">
        <v>74</v>
      </c>
      <c r="V54" s="1498" t="s">
        <v>766</v>
      </c>
      <c r="W54" s="1547" t="s">
        <v>76</v>
      </c>
      <c r="X54" s="6116"/>
      <c r="CA54" s="1470"/>
      <c r="CB54" s="1470"/>
      <c r="CC54" s="1470"/>
      <c r="CD54" s="1470"/>
      <c r="CE54" s="1470"/>
      <c r="CQ54" s="1546"/>
    </row>
    <row r="55" spans="1:103" ht="15" customHeight="1">
      <c r="A55" s="6127" t="s">
        <v>784</v>
      </c>
      <c r="B55" s="1548" t="s">
        <v>779</v>
      </c>
      <c r="C55" s="1422">
        <f t="shared" ref="C55:C63" si="51">SUM(D55:P55)</f>
        <v>0</v>
      </c>
      <c r="D55" s="1424"/>
      <c r="E55" s="1426"/>
      <c r="F55" s="1426"/>
      <c r="G55" s="1426"/>
      <c r="H55" s="1426"/>
      <c r="I55" s="1426"/>
      <c r="J55" s="1426"/>
      <c r="K55" s="1426"/>
      <c r="L55" s="1426"/>
      <c r="M55" s="1426"/>
      <c r="N55" s="1425"/>
      <c r="O55" s="1426"/>
      <c r="P55" s="1428"/>
      <c r="Q55" s="1429"/>
      <c r="R55" s="1430"/>
      <c r="S55" s="1424"/>
      <c r="T55" s="1436"/>
      <c r="U55" s="1424"/>
      <c r="V55" s="1426"/>
      <c r="W55" s="1436"/>
      <c r="X55" s="1436"/>
      <c r="Y55" t="str">
        <f t="shared" ref="Y55:Y59" si="52">CA55&amp;CB55&amp;CC55&amp;CD55&amp;CE55&amp;CF55&amp;CG55&amp;CH55</f>
        <v/>
      </c>
      <c r="CA55" s="1418" t="str">
        <f t="shared" ref="CA55:CA59" si="53">IF(AND($C55&gt;0,Q55="")," * No olvide digitar la variable "&amp;Q$53&amp;""&amp;". Digite Cero si no tiene.",IF(Q55&gt;$C55," * La variable "&amp;Q$53&amp;""&amp;" no  puede ser mayor al Total.",""))</f>
        <v/>
      </c>
      <c r="CB55" s="1418" t="str">
        <f t="shared" ref="CB55:CB59" si="54">IF(AND($C55&gt;0,R55="")," * No olvide digitar la variable "&amp;R$53&amp;""&amp;". Digite Cero si no tiene.",IF(R55&gt;$C55," * La variable "&amp;R$53&amp;""&amp;" no  puede ser mayor al Total.",""))</f>
        <v/>
      </c>
      <c r="CC55" s="1418" t="str">
        <f t="shared" ref="CC55:CC59" si="55">IF(AND($D55+$E55&gt;0,$S55="")," * No olvide digitar la variable Migrantes "&amp;S$54&amp;""&amp;". Digite Cero si no tiene.",IF($S55&gt;$D55+$E55," * La variable Migrantes "&amp;S$54&amp;""&amp;" no  puede ser mayor al Total.",""))</f>
        <v/>
      </c>
      <c r="CD55" s="1418" t="str">
        <f t="shared" ref="CD55:CD59" si="56">IF(AND($F55+$G55+$H55+$I55+$J55+$K55+$L55+$M55+$N55+$O55+$P55&gt;0,$T55="")," * No olvide digitar la variable Migrantes "&amp;T$54&amp;""&amp;". Digite Cero si no tiene.",IF(T55&gt;$F55+$G55+$H55+$I55+$J55+$K55+$L55+$M55+$N55+$O55+$P55," * La variable Migrantes "&amp;T$54&amp;""&amp;" no  puede ser mayor al Total.",""))</f>
        <v/>
      </c>
      <c r="CE55" s="1418" t="str">
        <f t="shared" ref="CE55:CE59" si="57">IF(AND($C55&gt;0,U55="")," * No olvide digitar la variable "&amp;U$54&amp;""&amp;". Digite Cero si no tiene.",IF(U55&gt;$C55," * La variable "&amp;U$54&amp;""&amp;" no  puede ser mayor al Total.",""))</f>
        <v/>
      </c>
      <c r="CF55" s="1418" t="str">
        <f t="shared" ref="CF55:CF59" si="58">IF(AND($C55&gt;0,V55="")," * No olvide digitar la variable "&amp;V$54&amp;""&amp;". Digite Cero si no tiene.",IF(V55&gt;$C55," * La variable "&amp;V$54&amp;""&amp;" no  puede ser mayor al Total.",""))</f>
        <v/>
      </c>
      <c r="CG55" s="1418" t="str">
        <f t="shared" ref="CG55:CG59" si="59">IF(AND($C55&gt;0,W55="")," * No olvide digitar la variable "&amp;W$54&amp;""&amp;". Digite Cero si no tiene.",IF(W55&gt;$C55," * La variable "&amp;W$54&amp;""&amp;" no  puede ser mayor al Total.",""))</f>
        <v/>
      </c>
      <c r="CH55" s="1418" t="str">
        <f t="shared" ref="CH55:CH59" si="60">IF(AND($C55&gt;0,X55="")," * No olvide digitar la variable "&amp;X$53&amp;""&amp;". Digite Cero si no tiene.",IF(X55&gt;$C55," * La variable "&amp;X$53&amp;""&amp;" no  puede ser mayor al Total.",""))</f>
        <v/>
      </c>
      <c r="CI55" s="1470"/>
      <c r="CO55" s="1549">
        <f t="shared" si="39"/>
        <v>0</v>
      </c>
      <c r="CP55" s="1549">
        <f t="shared" si="39"/>
        <v>0</v>
      </c>
      <c r="CQ55" s="1549">
        <f t="shared" ref="CQ55:CQ59" si="61">IF(AND($D55+$E55&gt;0,S55=""),1,IF(S55&gt;$D55+$E55,1,0))</f>
        <v>0</v>
      </c>
      <c r="CR55" s="1549">
        <f t="shared" ref="CR55:CR59" si="62">IF(AND($F55+$G55+$H55+$I55+$J55+$K55+$L55+$M55+$N55+$O55+$P55&gt;0,$T55=""),1,IF($T55&gt;$F55+$G55+$H55+$I55+$J55+$K55+$L55+$M55+$N55+$O55+$P55,1,0))</f>
        <v>0</v>
      </c>
      <c r="CS55" s="1549">
        <f t="shared" ref="CS55:CS59" si="63">IF(AND($C55&gt;0,U55=""),1,IF(U55&gt;$C55,1,0))</f>
        <v>0</v>
      </c>
      <c r="CT55" s="1549">
        <f t="shared" ref="CT55:CT59" si="64">IF(AND($C55&gt;0,V55=""),1,IF(V55&gt;$C55,1,0))</f>
        <v>0</v>
      </c>
      <c r="CU55" s="1549">
        <f t="shared" si="43"/>
        <v>0</v>
      </c>
      <c r="CV55" s="1549">
        <f t="shared" si="44"/>
        <v>0</v>
      </c>
      <c r="CW55" s="1550"/>
    </row>
    <row r="56" spans="1:103" ht="15" customHeight="1">
      <c r="A56" s="6129"/>
      <c r="B56" s="1551" t="s">
        <v>72</v>
      </c>
      <c r="C56" s="1527">
        <f t="shared" si="51"/>
        <v>0</v>
      </c>
      <c r="D56" s="1528"/>
      <c r="E56" s="1529"/>
      <c r="F56" s="1529"/>
      <c r="G56" s="1529"/>
      <c r="H56" s="1529"/>
      <c r="I56" s="1529"/>
      <c r="J56" s="1529"/>
      <c r="K56" s="1529"/>
      <c r="L56" s="1529"/>
      <c r="M56" s="1529"/>
      <c r="N56" s="1552"/>
      <c r="O56" s="1529"/>
      <c r="P56" s="1553"/>
      <c r="Q56" s="1532"/>
      <c r="R56" s="1533"/>
      <c r="S56" s="1528"/>
      <c r="T56" s="1534"/>
      <c r="U56" s="1528"/>
      <c r="V56" s="1529"/>
      <c r="W56" s="1534"/>
      <c r="X56" s="1534"/>
      <c r="Y56" t="str">
        <f t="shared" si="52"/>
        <v/>
      </c>
      <c r="CA56" s="1418" t="str">
        <f t="shared" si="53"/>
        <v/>
      </c>
      <c r="CB56" s="1418" t="str">
        <f t="shared" si="54"/>
        <v/>
      </c>
      <c r="CC56" s="1418" t="str">
        <f t="shared" si="55"/>
        <v/>
      </c>
      <c r="CD56" s="1418" t="str">
        <f t="shared" si="56"/>
        <v/>
      </c>
      <c r="CE56" s="1418" t="str">
        <f t="shared" si="57"/>
        <v/>
      </c>
      <c r="CF56" s="1418" t="str">
        <f t="shared" si="58"/>
        <v/>
      </c>
      <c r="CG56" s="1418" t="str">
        <f t="shared" si="59"/>
        <v/>
      </c>
      <c r="CH56" s="1418" t="str">
        <f t="shared" si="60"/>
        <v/>
      </c>
      <c r="CO56" s="1549">
        <f t="shared" si="39"/>
        <v>0</v>
      </c>
      <c r="CP56" s="1549">
        <f t="shared" ref="CP56:CP59" si="65">IF(AND($C56&gt;0,R56=""),1,IF(R56&gt;$C56,1,0))</f>
        <v>0</v>
      </c>
      <c r="CQ56" s="1549">
        <f t="shared" si="61"/>
        <v>0</v>
      </c>
      <c r="CR56" s="1549">
        <f t="shared" si="62"/>
        <v>0</v>
      </c>
      <c r="CS56" s="1549">
        <f t="shared" si="63"/>
        <v>0</v>
      </c>
      <c r="CT56" s="1549">
        <f t="shared" si="64"/>
        <v>0</v>
      </c>
      <c r="CU56" s="1549">
        <f t="shared" si="43"/>
        <v>0</v>
      </c>
      <c r="CV56" s="1549">
        <f t="shared" si="44"/>
        <v>0</v>
      </c>
    </row>
    <row r="57" spans="1:103" ht="15" customHeight="1">
      <c r="A57" s="6127" t="s">
        <v>785</v>
      </c>
      <c r="B57" s="1548" t="s">
        <v>779</v>
      </c>
      <c r="C57" s="1422">
        <f t="shared" si="51"/>
        <v>0</v>
      </c>
      <c r="D57" s="1424"/>
      <c r="E57" s="1426"/>
      <c r="F57" s="1426"/>
      <c r="G57" s="1426"/>
      <c r="H57" s="1426"/>
      <c r="I57" s="1426"/>
      <c r="J57" s="1426"/>
      <c r="K57" s="1426"/>
      <c r="L57" s="1426"/>
      <c r="M57" s="1426"/>
      <c r="N57" s="1425"/>
      <c r="O57" s="1426"/>
      <c r="P57" s="1428"/>
      <c r="Q57" s="1429"/>
      <c r="R57" s="1430"/>
      <c r="S57" s="1424"/>
      <c r="T57" s="1436"/>
      <c r="U57" s="1424"/>
      <c r="V57" s="1426"/>
      <c r="W57" s="1436"/>
      <c r="X57" s="1436"/>
      <c r="Y57" t="str">
        <f t="shared" si="52"/>
        <v/>
      </c>
      <c r="CA57" s="1418" t="str">
        <f t="shared" si="53"/>
        <v/>
      </c>
      <c r="CB57" s="1418" t="str">
        <f t="shared" si="54"/>
        <v/>
      </c>
      <c r="CC57" s="1418" t="str">
        <f t="shared" si="55"/>
        <v/>
      </c>
      <c r="CD57" s="1418" t="str">
        <f t="shared" si="56"/>
        <v/>
      </c>
      <c r="CE57" s="1418" t="str">
        <f t="shared" si="57"/>
        <v/>
      </c>
      <c r="CF57" s="1418" t="str">
        <f t="shared" si="58"/>
        <v/>
      </c>
      <c r="CG57" s="1418" t="str">
        <f t="shared" si="59"/>
        <v/>
      </c>
      <c r="CH57" s="1418" t="str">
        <f t="shared" si="60"/>
        <v/>
      </c>
      <c r="CO57" s="1549">
        <f t="shared" si="39"/>
        <v>0</v>
      </c>
      <c r="CP57" s="1549">
        <f t="shared" si="65"/>
        <v>0</v>
      </c>
      <c r="CQ57" s="1549">
        <f t="shared" si="61"/>
        <v>0</v>
      </c>
      <c r="CR57" s="1549">
        <f t="shared" si="62"/>
        <v>0</v>
      </c>
      <c r="CS57" s="1549">
        <f t="shared" si="63"/>
        <v>0</v>
      </c>
      <c r="CT57" s="1549">
        <f t="shared" si="64"/>
        <v>0</v>
      </c>
      <c r="CU57" s="1549">
        <f t="shared" si="43"/>
        <v>0</v>
      </c>
      <c r="CV57" s="1549">
        <f t="shared" si="44"/>
        <v>0</v>
      </c>
    </row>
    <row r="58" spans="1:103" ht="15" customHeight="1">
      <c r="A58" s="6129"/>
      <c r="B58" s="1554" t="s">
        <v>72</v>
      </c>
      <c r="C58" s="1527">
        <f t="shared" si="51"/>
        <v>0</v>
      </c>
      <c r="D58" s="1528"/>
      <c r="E58" s="1529"/>
      <c r="F58" s="1529"/>
      <c r="G58" s="1529"/>
      <c r="H58" s="1529"/>
      <c r="I58" s="1529"/>
      <c r="J58" s="1529"/>
      <c r="K58" s="1529"/>
      <c r="L58" s="1529"/>
      <c r="M58" s="1529"/>
      <c r="N58" s="1552"/>
      <c r="O58" s="1529"/>
      <c r="P58" s="1553"/>
      <c r="Q58" s="1532"/>
      <c r="R58" s="1533"/>
      <c r="S58" s="1528"/>
      <c r="T58" s="1534"/>
      <c r="U58" s="1528"/>
      <c r="V58" s="1529"/>
      <c r="W58" s="1534"/>
      <c r="X58" s="1534"/>
      <c r="Y58" t="str">
        <f t="shared" si="52"/>
        <v/>
      </c>
      <c r="CA58" s="1418" t="str">
        <f t="shared" si="53"/>
        <v/>
      </c>
      <c r="CB58" s="1418" t="str">
        <f t="shared" si="54"/>
        <v/>
      </c>
      <c r="CC58" s="1418" t="str">
        <f t="shared" si="55"/>
        <v/>
      </c>
      <c r="CD58" s="1418" t="str">
        <f t="shared" si="56"/>
        <v/>
      </c>
      <c r="CE58" s="1418" t="str">
        <f t="shared" si="57"/>
        <v/>
      </c>
      <c r="CF58" s="1418" t="str">
        <f t="shared" si="58"/>
        <v/>
      </c>
      <c r="CG58" s="1418" t="str">
        <f t="shared" si="59"/>
        <v/>
      </c>
      <c r="CH58" s="1418" t="str">
        <f t="shared" si="60"/>
        <v/>
      </c>
      <c r="CO58" s="1549">
        <f t="shared" si="39"/>
        <v>0</v>
      </c>
      <c r="CP58" s="1549">
        <f t="shared" si="65"/>
        <v>0</v>
      </c>
      <c r="CQ58" s="1549">
        <f t="shared" si="61"/>
        <v>0</v>
      </c>
      <c r="CR58" s="1549">
        <f t="shared" si="62"/>
        <v>0</v>
      </c>
      <c r="CS58" s="1549">
        <f t="shared" si="63"/>
        <v>0</v>
      </c>
      <c r="CT58" s="1549">
        <f t="shared" si="64"/>
        <v>0</v>
      </c>
      <c r="CU58" s="1549">
        <f t="shared" si="43"/>
        <v>0</v>
      </c>
      <c r="CV58" s="1549">
        <f t="shared" si="44"/>
        <v>0</v>
      </c>
    </row>
    <row r="59" spans="1:103" ht="15" customHeight="1">
      <c r="A59" s="6240" t="s">
        <v>786</v>
      </c>
      <c r="B59" s="6241"/>
      <c r="C59" s="1527">
        <f t="shared" si="51"/>
        <v>0</v>
      </c>
      <c r="D59" s="1528"/>
      <c r="E59" s="1529"/>
      <c r="F59" s="1529"/>
      <c r="G59" s="1529"/>
      <c r="H59" s="1529"/>
      <c r="I59" s="1529"/>
      <c r="J59" s="1529"/>
      <c r="K59" s="1529"/>
      <c r="L59" s="1529"/>
      <c r="M59" s="1529"/>
      <c r="N59" s="1552"/>
      <c r="O59" s="1529"/>
      <c r="P59" s="1553"/>
      <c r="Q59" s="1532"/>
      <c r="R59" s="1533"/>
      <c r="S59" s="1528"/>
      <c r="T59" s="1534"/>
      <c r="U59" s="1528"/>
      <c r="V59" s="1529"/>
      <c r="W59" s="1534"/>
      <c r="X59" s="1534"/>
      <c r="Y59" t="str">
        <f t="shared" si="52"/>
        <v/>
      </c>
      <c r="CA59" s="1418" t="str">
        <f t="shared" si="53"/>
        <v/>
      </c>
      <c r="CB59" s="1418" t="str">
        <f t="shared" si="54"/>
        <v/>
      </c>
      <c r="CC59" s="1418" t="str">
        <f t="shared" si="55"/>
        <v/>
      </c>
      <c r="CD59" s="1418" t="str">
        <f t="shared" si="56"/>
        <v/>
      </c>
      <c r="CE59" s="1418" t="str">
        <f t="shared" si="57"/>
        <v/>
      </c>
      <c r="CF59" s="1418" t="str">
        <f t="shared" si="58"/>
        <v/>
      </c>
      <c r="CG59" s="1418" t="str">
        <f t="shared" si="59"/>
        <v/>
      </c>
      <c r="CH59" s="1418" t="str">
        <f t="shared" si="60"/>
        <v/>
      </c>
      <c r="CO59" s="1549">
        <f t="shared" si="39"/>
        <v>0</v>
      </c>
      <c r="CP59" s="1549">
        <f t="shared" si="65"/>
        <v>0</v>
      </c>
      <c r="CQ59" s="1549">
        <f t="shared" si="61"/>
        <v>0</v>
      </c>
      <c r="CR59" s="1549">
        <f t="shared" si="62"/>
        <v>0</v>
      </c>
      <c r="CS59" s="1549">
        <f t="shared" si="63"/>
        <v>0</v>
      </c>
      <c r="CT59" s="1549">
        <f t="shared" si="64"/>
        <v>0</v>
      </c>
      <c r="CU59" s="1549">
        <f t="shared" si="43"/>
        <v>0</v>
      </c>
      <c r="CV59" s="1549">
        <f t="shared" si="44"/>
        <v>0</v>
      </c>
    </row>
    <row r="60" spans="1:103" s="385" customFormat="1" ht="18" customHeight="1">
      <c r="A60" s="1468" t="s">
        <v>787</v>
      </c>
      <c r="B60" s="1491"/>
      <c r="C60" s="1492"/>
      <c r="D60" s="1493"/>
      <c r="E60" s="1493"/>
      <c r="F60" s="1468"/>
      <c r="G60" s="1493"/>
      <c r="H60" s="1493"/>
      <c r="I60" s="1493"/>
      <c r="J60" s="1493"/>
      <c r="K60" s="1493"/>
      <c r="L60" s="1493"/>
      <c r="M60" s="1493"/>
      <c r="N60" s="1493"/>
      <c r="O60" s="1493"/>
      <c r="P60" s="1493"/>
      <c r="Q60" s="1493"/>
      <c r="R60" s="1493"/>
    </row>
    <row r="61" spans="1:103">
      <c r="A61" s="6140" t="s">
        <v>758</v>
      </c>
      <c r="B61" s="6119"/>
      <c r="C61" s="5718" t="s">
        <v>42</v>
      </c>
      <c r="D61" s="5707" t="s">
        <v>43</v>
      </c>
      <c r="E61" s="5708"/>
      <c r="F61" s="5708"/>
      <c r="G61" s="5708"/>
      <c r="H61" s="5708"/>
      <c r="I61" s="5708"/>
      <c r="J61" s="5708"/>
      <c r="K61" s="5708"/>
      <c r="L61" s="5708"/>
      <c r="M61" s="5708"/>
      <c r="N61" s="5708"/>
      <c r="O61" s="5708"/>
      <c r="P61" s="6147"/>
      <c r="Q61" s="5714" t="s">
        <v>50</v>
      </c>
      <c r="R61" s="5718" t="s">
        <v>51</v>
      </c>
    </row>
    <row r="62" spans="1:103" ht="21">
      <c r="A62" s="6114"/>
      <c r="B62" s="6116"/>
      <c r="C62" s="5719"/>
      <c r="D62" s="1395" t="s">
        <v>764</v>
      </c>
      <c r="E62" s="1397" t="s">
        <v>58</v>
      </c>
      <c r="F62" s="1397" t="s">
        <v>59</v>
      </c>
      <c r="G62" s="1397" t="s">
        <v>60</v>
      </c>
      <c r="H62" s="1397" t="s">
        <v>61</v>
      </c>
      <c r="I62" s="1397" t="s">
        <v>62</v>
      </c>
      <c r="J62" s="1397" t="s">
        <v>63</v>
      </c>
      <c r="K62" s="1397" t="s">
        <v>64</v>
      </c>
      <c r="L62" s="1397" t="s">
        <v>65</v>
      </c>
      <c r="M62" s="1397" t="s">
        <v>66</v>
      </c>
      <c r="N62" s="397" t="s">
        <v>67</v>
      </c>
      <c r="O62" s="1397" t="s">
        <v>68</v>
      </c>
      <c r="P62" s="1398" t="s">
        <v>765</v>
      </c>
      <c r="Q62" s="5715"/>
      <c r="R62" s="5719"/>
    </row>
    <row r="63" spans="1:103" ht="15" customHeight="1">
      <c r="A63" s="6202" t="s">
        <v>767</v>
      </c>
      <c r="B63" s="5711"/>
      <c r="C63" s="406">
        <f t="shared" si="51"/>
        <v>0</v>
      </c>
      <c r="D63" s="401">
        <f>SUM(D64:D76)</f>
        <v>0</v>
      </c>
      <c r="E63" s="1501">
        <f t="shared" ref="E63:M63" si="66">SUM(E64:E76)</f>
        <v>0</v>
      </c>
      <c r="F63" s="1501">
        <f>SUM(F64:F76)</f>
        <v>0</v>
      </c>
      <c r="G63" s="1501">
        <f t="shared" si="66"/>
        <v>0</v>
      </c>
      <c r="H63" s="1501">
        <f t="shared" si="66"/>
        <v>0</v>
      </c>
      <c r="I63" s="1501">
        <f t="shared" si="66"/>
        <v>0</v>
      </c>
      <c r="J63" s="1501">
        <f t="shared" si="66"/>
        <v>0</v>
      </c>
      <c r="K63" s="1501">
        <f t="shared" si="66"/>
        <v>0</v>
      </c>
      <c r="L63" s="1501">
        <f t="shared" si="66"/>
        <v>0</v>
      </c>
      <c r="M63" s="1501">
        <f t="shared" si="66"/>
        <v>0</v>
      </c>
      <c r="N63" s="1501">
        <f>SUM(N79:N83)</f>
        <v>0</v>
      </c>
      <c r="O63" s="1501">
        <f t="shared" ref="O63:P63" si="67">SUM(O79:O83)</f>
        <v>0</v>
      </c>
      <c r="P63" s="1556">
        <f t="shared" si="67"/>
        <v>0</v>
      </c>
      <c r="Q63" s="405">
        <f>SUM(Q64:Q76)</f>
        <v>0</v>
      </c>
      <c r="R63" s="406">
        <f>SUM(R64:R76)</f>
        <v>0</v>
      </c>
    </row>
    <row r="64" spans="1:103" ht="15" customHeight="1">
      <c r="A64" s="6236" t="s">
        <v>768</v>
      </c>
      <c r="B64" s="6237"/>
      <c r="C64" s="1422">
        <f t="shared" ref="C64:C78" si="68">SUM(D64:M64)</f>
        <v>0</v>
      </c>
      <c r="D64" s="1424"/>
      <c r="E64" s="1426"/>
      <c r="F64" s="1426"/>
      <c r="G64" s="1426"/>
      <c r="H64" s="1426"/>
      <c r="I64" s="1426"/>
      <c r="J64" s="1426"/>
      <c r="K64" s="1426"/>
      <c r="L64" s="1426"/>
      <c r="M64" s="1426"/>
      <c r="N64" s="1557"/>
      <c r="O64" s="1503"/>
      <c r="P64" s="1504"/>
      <c r="Q64" s="1429"/>
      <c r="R64" s="1430"/>
      <c r="S64" t="str">
        <f t="shared" ref="S64:S83" si="69">CA64&amp;CB64</f>
        <v/>
      </c>
      <c r="CA64" s="1418" t="str">
        <f t="shared" ref="CA64:CA83" si="70">IF(AND($C64&gt;0,Q64="")," * No olvide digitar la variable "&amp;$Q$61&amp;""&amp;". Digite Cero si no tiene.",IF(Q64&gt;$C64," * La variable  "&amp;$Q$61&amp;""&amp;" No puede ser mayor al Total.",""))</f>
        <v/>
      </c>
      <c r="CB64" s="1418" t="str">
        <f t="shared" ref="CB64:CB83" si="71">IF(AND($C64&gt;0,R64="")," * No olvide digitar la variable  "&amp;$R$61&amp;""&amp;". Digite Cero si no tiene.",IF(R64&gt;$C64,"  * La variable  "&amp;$R$61&amp;""&amp;" No puede ser mayor al Total.",""))</f>
        <v/>
      </c>
      <c r="CO64" s="419">
        <f t="shared" si="39"/>
        <v>0</v>
      </c>
      <c r="CP64" s="419">
        <f t="shared" ref="CP64:CP83" si="72">IF(AND(C64&gt;0,R64=""),1,IF(R64&gt;C64,1,0))</f>
        <v>0</v>
      </c>
    </row>
    <row r="65" spans="1:94" ht="15" customHeight="1">
      <c r="A65" s="6238" t="s">
        <v>769</v>
      </c>
      <c r="B65" s="6239"/>
      <c r="C65" s="1506">
        <f t="shared" si="68"/>
        <v>0</v>
      </c>
      <c r="D65" s="1455"/>
      <c r="E65" s="1457"/>
      <c r="F65" s="1457"/>
      <c r="G65" s="1457"/>
      <c r="H65" s="1457"/>
      <c r="I65" s="1457"/>
      <c r="J65" s="1457"/>
      <c r="K65" s="1457"/>
      <c r="L65" s="1457"/>
      <c r="M65" s="1457"/>
      <c r="N65" s="1558"/>
      <c r="O65" s="1507"/>
      <c r="P65" s="1508"/>
      <c r="Q65" s="1544"/>
      <c r="R65" s="1483"/>
      <c r="S65" t="str">
        <f t="shared" si="69"/>
        <v/>
      </c>
      <c r="CA65" s="1418" t="str">
        <f t="shared" si="70"/>
        <v/>
      </c>
      <c r="CB65" s="1418" t="str">
        <f t="shared" si="71"/>
        <v/>
      </c>
      <c r="CO65" s="419">
        <f t="shared" ref="CO65:CO83" si="73">IF(AND(C65&gt;0,Q65=""),1,IF(Q65&gt;C65,1,0))</f>
        <v>0</v>
      </c>
      <c r="CP65" s="419">
        <f t="shared" si="72"/>
        <v>0</v>
      </c>
    </row>
    <row r="66" spans="1:94" ht="15" customHeight="1">
      <c r="A66" s="6127" t="s">
        <v>770</v>
      </c>
      <c r="B66" s="1510" t="s">
        <v>771</v>
      </c>
      <c r="C66" s="1422">
        <f t="shared" si="68"/>
        <v>0</v>
      </c>
      <c r="D66" s="1424"/>
      <c r="E66" s="1426"/>
      <c r="F66" s="1426"/>
      <c r="G66" s="1426"/>
      <c r="H66" s="1426"/>
      <c r="I66" s="1426"/>
      <c r="J66" s="1426"/>
      <c r="K66" s="1426"/>
      <c r="L66" s="1426"/>
      <c r="M66" s="1426"/>
      <c r="N66" s="1557"/>
      <c r="O66" s="1503"/>
      <c r="P66" s="1504"/>
      <c r="Q66" s="1429"/>
      <c r="R66" s="1430"/>
      <c r="S66" t="str">
        <f t="shared" si="69"/>
        <v/>
      </c>
      <c r="CA66" s="1418" t="str">
        <f t="shared" si="70"/>
        <v/>
      </c>
      <c r="CB66" s="1418" t="str">
        <f t="shared" si="71"/>
        <v/>
      </c>
      <c r="CO66" s="419">
        <f t="shared" si="73"/>
        <v>0</v>
      </c>
      <c r="CP66" s="419">
        <f t="shared" si="72"/>
        <v>0</v>
      </c>
    </row>
    <row r="67" spans="1:94" ht="15" customHeight="1">
      <c r="A67" s="6128"/>
      <c r="B67" s="1511" t="s">
        <v>772</v>
      </c>
      <c r="C67" s="1512">
        <f t="shared" si="68"/>
        <v>0</v>
      </c>
      <c r="D67" s="1440"/>
      <c r="E67" s="1442"/>
      <c r="F67" s="1442"/>
      <c r="G67" s="1442"/>
      <c r="H67" s="1442"/>
      <c r="I67" s="1442"/>
      <c r="J67" s="1442"/>
      <c r="K67" s="1442"/>
      <c r="L67" s="1442"/>
      <c r="M67" s="1442"/>
      <c r="N67" s="1560"/>
      <c r="O67" s="1513"/>
      <c r="P67" s="1514"/>
      <c r="Q67" s="1445"/>
      <c r="R67" s="1446"/>
      <c r="S67" t="str">
        <f t="shared" si="69"/>
        <v/>
      </c>
      <c r="CA67" s="1418" t="str">
        <f t="shared" si="70"/>
        <v/>
      </c>
      <c r="CB67" s="1418" t="str">
        <f t="shared" si="71"/>
        <v/>
      </c>
      <c r="CO67" s="419">
        <f t="shared" si="73"/>
        <v>0</v>
      </c>
      <c r="CP67" s="419">
        <f t="shared" si="72"/>
        <v>0</v>
      </c>
    </row>
    <row r="68" spans="1:94" ht="15" customHeight="1">
      <c r="A68" s="6128"/>
      <c r="B68" s="1511" t="s">
        <v>773</v>
      </c>
      <c r="C68" s="1512">
        <f t="shared" si="68"/>
        <v>0</v>
      </c>
      <c r="D68" s="1440"/>
      <c r="E68" s="1442"/>
      <c r="F68" s="1442"/>
      <c r="G68" s="1442"/>
      <c r="H68" s="1442"/>
      <c r="I68" s="1442"/>
      <c r="J68" s="1442"/>
      <c r="K68" s="1442"/>
      <c r="L68" s="1442"/>
      <c r="M68" s="1442"/>
      <c r="N68" s="1560"/>
      <c r="O68" s="1513"/>
      <c r="P68" s="1514"/>
      <c r="Q68" s="1445"/>
      <c r="R68" s="1446"/>
      <c r="S68" t="str">
        <f t="shared" si="69"/>
        <v/>
      </c>
      <c r="CA68" s="1418" t="str">
        <f t="shared" si="70"/>
        <v/>
      </c>
      <c r="CB68" s="1418" t="str">
        <f t="shared" si="71"/>
        <v/>
      </c>
      <c r="CO68" s="419">
        <f t="shared" si="73"/>
        <v>0</v>
      </c>
      <c r="CP68" s="419">
        <f t="shared" si="72"/>
        <v>0</v>
      </c>
    </row>
    <row r="69" spans="1:94" ht="15" customHeight="1">
      <c r="A69" s="6128"/>
      <c r="B69" s="1511" t="s">
        <v>774</v>
      </c>
      <c r="C69" s="1512">
        <f t="shared" si="68"/>
        <v>0</v>
      </c>
      <c r="D69" s="1440"/>
      <c r="E69" s="1442"/>
      <c r="F69" s="1442"/>
      <c r="G69" s="1442"/>
      <c r="H69" s="1442"/>
      <c r="I69" s="1442"/>
      <c r="J69" s="1442"/>
      <c r="K69" s="1442"/>
      <c r="L69" s="1442"/>
      <c r="M69" s="1442"/>
      <c r="N69" s="1560"/>
      <c r="O69" s="1513"/>
      <c r="P69" s="1514"/>
      <c r="Q69" s="1445"/>
      <c r="R69" s="1446"/>
      <c r="S69" t="str">
        <f t="shared" si="69"/>
        <v/>
      </c>
      <c r="CA69" s="1418" t="str">
        <f t="shared" si="70"/>
        <v/>
      </c>
      <c r="CB69" s="1418" t="str">
        <f t="shared" si="71"/>
        <v/>
      </c>
      <c r="CO69" s="419">
        <f t="shared" si="73"/>
        <v>0</v>
      </c>
      <c r="CP69" s="419">
        <f t="shared" si="72"/>
        <v>0</v>
      </c>
    </row>
    <row r="70" spans="1:94" ht="15" customHeight="1">
      <c r="A70" s="6128"/>
      <c r="B70" s="1511" t="s">
        <v>775</v>
      </c>
      <c r="C70" s="1512">
        <f t="shared" si="68"/>
        <v>0</v>
      </c>
      <c r="D70" s="1440"/>
      <c r="E70" s="1442"/>
      <c r="F70" s="1442"/>
      <c r="G70" s="1442"/>
      <c r="H70" s="1442"/>
      <c r="I70" s="1442"/>
      <c r="J70" s="1442"/>
      <c r="K70" s="1442"/>
      <c r="L70" s="1442"/>
      <c r="M70" s="1442"/>
      <c r="N70" s="1560"/>
      <c r="O70" s="1513"/>
      <c r="P70" s="1514"/>
      <c r="Q70" s="1445"/>
      <c r="R70" s="1446"/>
      <c r="S70" t="str">
        <f t="shared" si="69"/>
        <v/>
      </c>
      <c r="CA70" s="1418" t="str">
        <f t="shared" si="70"/>
        <v/>
      </c>
      <c r="CB70" s="1418" t="str">
        <f t="shared" si="71"/>
        <v/>
      </c>
      <c r="CO70" s="419">
        <f t="shared" si="73"/>
        <v>0</v>
      </c>
      <c r="CP70" s="419">
        <f t="shared" si="72"/>
        <v>0</v>
      </c>
    </row>
    <row r="71" spans="1:94" ht="15" customHeight="1">
      <c r="A71" s="6128"/>
      <c r="B71" s="1515" t="s">
        <v>776</v>
      </c>
      <c r="C71" s="1516">
        <f t="shared" si="68"/>
        <v>0</v>
      </c>
      <c r="D71" s="1517"/>
      <c r="E71" s="1518"/>
      <c r="F71" s="1518"/>
      <c r="G71" s="1518"/>
      <c r="H71" s="1518"/>
      <c r="I71" s="1518"/>
      <c r="J71" s="1518"/>
      <c r="K71" s="1518"/>
      <c r="L71" s="1518"/>
      <c r="M71" s="1518"/>
      <c r="N71" s="1561"/>
      <c r="O71" s="1519"/>
      <c r="P71" s="1520"/>
      <c r="Q71" s="1521"/>
      <c r="R71" s="1522"/>
      <c r="S71" t="str">
        <f t="shared" si="69"/>
        <v/>
      </c>
      <c r="CA71" s="1418" t="str">
        <f t="shared" si="70"/>
        <v/>
      </c>
      <c r="CB71" s="1418" t="str">
        <f t="shared" si="71"/>
        <v/>
      </c>
      <c r="CO71" s="419">
        <f t="shared" si="73"/>
        <v>0</v>
      </c>
      <c r="CP71" s="419">
        <f t="shared" si="72"/>
        <v>0</v>
      </c>
    </row>
    <row r="72" spans="1:94" ht="15" customHeight="1">
      <c r="A72" s="6129"/>
      <c r="B72" s="453" t="s">
        <v>777</v>
      </c>
      <c r="C72" s="1506">
        <f t="shared" si="68"/>
        <v>0</v>
      </c>
      <c r="D72" s="1455"/>
      <c r="E72" s="1457"/>
      <c r="F72" s="1457"/>
      <c r="G72" s="1457"/>
      <c r="H72" s="1457"/>
      <c r="I72" s="1457"/>
      <c r="J72" s="1457"/>
      <c r="K72" s="1457"/>
      <c r="L72" s="1457"/>
      <c r="M72" s="1457"/>
      <c r="N72" s="1558"/>
      <c r="O72" s="1507"/>
      <c r="P72" s="1508"/>
      <c r="Q72" s="1460"/>
      <c r="R72" s="1461"/>
      <c r="S72" t="str">
        <f t="shared" si="69"/>
        <v/>
      </c>
      <c r="CA72" s="1418" t="str">
        <f t="shared" si="70"/>
        <v/>
      </c>
      <c r="CB72" s="1418" t="str">
        <f t="shared" si="71"/>
        <v/>
      </c>
      <c r="CO72" s="419">
        <f t="shared" si="73"/>
        <v>0</v>
      </c>
      <c r="CP72" s="419">
        <f t="shared" si="72"/>
        <v>0</v>
      </c>
    </row>
    <row r="73" spans="1:94" ht="15" customHeight="1">
      <c r="A73" s="6127" t="s">
        <v>778</v>
      </c>
      <c r="B73" s="1510" t="s">
        <v>779</v>
      </c>
      <c r="C73" s="1422">
        <f t="shared" ref="C73:C74" si="74">SUM(D73:P73)</f>
        <v>0</v>
      </c>
      <c r="D73" s="1424"/>
      <c r="E73" s="1426"/>
      <c r="F73" s="1426"/>
      <c r="G73" s="1426"/>
      <c r="H73" s="1426"/>
      <c r="I73" s="1426"/>
      <c r="J73" s="1426"/>
      <c r="K73" s="1426"/>
      <c r="L73" s="1426"/>
      <c r="M73" s="1426"/>
      <c r="N73" s="1524"/>
      <c r="O73" s="1524"/>
      <c r="P73" s="1524"/>
      <c r="Q73" s="1429"/>
      <c r="R73" s="1430"/>
      <c r="S73" t="str">
        <f t="shared" si="69"/>
        <v/>
      </c>
      <c r="CA73" s="1418" t="str">
        <f t="shared" si="70"/>
        <v/>
      </c>
      <c r="CB73" s="1418" t="str">
        <f t="shared" si="71"/>
        <v/>
      </c>
      <c r="CO73" s="419">
        <f t="shared" si="73"/>
        <v>0</v>
      </c>
      <c r="CP73" s="419">
        <f t="shared" si="72"/>
        <v>0</v>
      </c>
    </row>
    <row r="74" spans="1:94" ht="15" customHeight="1">
      <c r="A74" s="6129"/>
      <c r="B74" s="1525" t="s">
        <v>72</v>
      </c>
      <c r="C74" s="1506">
        <f t="shared" si="74"/>
        <v>0</v>
      </c>
      <c r="D74" s="1455"/>
      <c r="E74" s="1457"/>
      <c r="F74" s="1457"/>
      <c r="G74" s="1457"/>
      <c r="H74" s="1457"/>
      <c r="I74" s="1457"/>
      <c r="J74" s="1457"/>
      <c r="K74" s="1457"/>
      <c r="L74" s="1457"/>
      <c r="M74" s="1457"/>
      <c r="N74" s="1457"/>
      <c r="O74" s="1457"/>
      <c r="P74" s="1457"/>
      <c r="Q74" s="1460"/>
      <c r="R74" s="1461"/>
      <c r="S74" t="str">
        <f t="shared" si="69"/>
        <v/>
      </c>
      <c r="CA74" s="1418" t="str">
        <f t="shared" si="70"/>
        <v/>
      </c>
      <c r="CB74" s="1418" t="str">
        <f t="shared" si="71"/>
        <v/>
      </c>
      <c r="CO74" s="419">
        <f t="shared" si="73"/>
        <v>0</v>
      </c>
      <c r="CP74" s="419">
        <f t="shared" si="72"/>
        <v>0</v>
      </c>
    </row>
    <row r="75" spans="1:94" ht="15" customHeight="1">
      <c r="A75" s="6127" t="s">
        <v>780</v>
      </c>
      <c r="B75" s="1510" t="s">
        <v>779</v>
      </c>
      <c r="C75" s="1422">
        <f>SUM(D75:M75)</f>
        <v>0</v>
      </c>
      <c r="D75" s="1426"/>
      <c r="E75" s="1426"/>
      <c r="F75" s="1426"/>
      <c r="G75" s="1426"/>
      <c r="H75" s="1426"/>
      <c r="I75" s="1426"/>
      <c r="J75" s="1426"/>
      <c r="K75" s="1426"/>
      <c r="L75" s="1426"/>
      <c r="M75" s="1426"/>
      <c r="N75" s="1557"/>
      <c r="O75" s="1503"/>
      <c r="P75" s="1504"/>
      <c r="Q75" s="1429"/>
      <c r="R75" s="1430"/>
      <c r="S75" t="str">
        <f t="shared" si="69"/>
        <v/>
      </c>
      <c r="CA75" s="1418" t="str">
        <f t="shared" si="70"/>
        <v/>
      </c>
      <c r="CB75" s="1418" t="str">
        <f t="shared" si="71"/>
        <v/>
      </c>
      <c r="CO75" s="419">
        <f t="shared" si="73"/>
        <v>0</v>
      </c>
      <c r="CP75" s="419">
        <f t="shared" si="72"/>
        <v>0</v>
      </c>
    </row>
    <row r="76" spans="1:94" ht="15" customHeight="1">
      <c r="A76" s="6267"/>
      <c r="B76" s="1562" t="s">
        <v>72</v>
      </c>
      <c r="C76" s="1563">
        <f t="shared" si="68"/>
        <v>0</v>
      </c>
      <c r="D76" s="1564"/>
      <c r="E76" s="1564"/>
      <c r="F76" s="1564"/>
      <c r="G76" s="1564"/>
      <c r="H76" s="1564"/>
      <c r="I76" s="1564"/>
      <c r="J76" s="1564"/>
      <c r="K76" s="1564"/>
      <c r="L76" s="1564"/>
      <c r="M76" s="1564"/>
      <c r="N76" s="1565"/>
      <c r="O76" s="1566"/>
      <c r="P76" s="1567"/>
      <c r="Q76" s="1568"/>
      <c r="R76" s="1569"/>
      <c r="S76" t="str">
        <f t="shared" si="69"/>
        <v/>
      </c>
      <c r="CA76" s="1418" t="str">
        <f t="shared" si="70"/>
        <v/>
      </c>
      <c r="CB76" s="1418" t="str">
        <f t="shared" si="71"/>
        <v/>
      </c>
      <c r="CO76" s="419">
        <f t="shared" si="73"/>
        <v>0</v>
      </c>
      <c r="CP76" s="419">
        <f t="shared" si="72"/>
        <v>0</v>
      </c>
    </row>
    <row r="77" spans="1:94" ht="15" customHeight="1">
      <c r="A77" s="6265" t="s">
        <v>781</v>
      </c>
      <c r="B77" s="6266"/>
      <c r="C77" s="1540">
        <f t="shared" si="68"/>
        <v>0</v>
      </c>
      <c r="D77" s="1541"/>
      <c r="E77" s="1541"/>
      <c r="F77" s="1541"/>
      <c r="G77" s="1541"/>
      <c r="H77" s="1541"/>
      <c r="I77" s="1541"/>
      <c r="J77" s="1541"/>
      <c r="K77" s="1541"/>
      <c r="L77" s="1541"/>
      <c r="M77" s="1541"/>
      <c r="N77" s="1570"/>
      <c r="O77" s="1542"/>
      <c r="P77" s="1543"/>
      <c r="Q77" s="1544"/>
      <c r="R77" s="1483"/>
      <c r="S77" t="str">
        <f t="shared" si="69"/>
        <v/>
      </c>
      <c r="CA77" s="1418" t="str">
        <f t="shared" si="70"/>
        <v/>
      </c>
      <c r="CB77" s="1418" t="str">
        <f t="shared" si="71"/>
        <v/>
      </c>
      <c r="CO77" s="419">
        <f t="shared" si="73"/>
        <v>0</v>
      </c>
      <c r="CP77" s="419">
        <f t="shared" si="72"/>
        <v>0</v>
      </c>
    </row>
    <row r="78" spans="1:94" ht="15" customHeight="1">
      <c r="A78" s="6263" t="s">
        <v>782</v>
      </c>
      <c r="B78" s="6264"/>
      <c r="C78" s="1527">
        <f t="shared" si="68"/>
        <v>0</v>
      </c>
      <c r="D78" s="1529"/>
      <c r="E78" s="1529"/>
      <c r="F78" s="1529"/>
      <c r="G78" s="1529"/>
      <c r="H78" s="1529"/>
      <c r="I78" s="1529"/>
      <c r="J78" s="1529"/>
      <c r="K78" s="1529"/>
      <c r="L78" s="1529"/>
      <c r="M78" s="1529"/>
      <c r="N78" s="1572"/>
      <c r="O78" s="1530"/>
      <c r="P78" s="1531"/>
      <c r="Q78" s="1460"/>
      <c r="R78" s="1461"/>
      <c r="S78" t="str">
        <f t="shared" si="69"/>
        <v/>
      </c>
      <c r="CA78" s="1418" t="str">
        <f t="shared" si="70"/>
        <v/>
      </c>
      <c r="CB78" s="1418" t="str">
        <f t="shared" si="71"/>
        <v/>
      </c>
      <c r="CO78" s="419">
        <f t="shared" si="73"/>
        <v>0</v>
      </c>
      <c r="CP78" s="419">
        <f t="shared" si="72"/>
        <v>0</v>
      </c>
    </row>
    <row r="79" spans="1:94" ht="15" customHeight="1">
      <c r="A79" s="6127" t="s">
        <v>784</v>
      </c>
      <c r="B79" s="1548" t="s">
        <v>779</v>
      </c>
      <c r="C79" s="1422">
        <f t="shared" ref="C79:C83" si="75">SUM(D79:P79)</f>
        <v>0</v>
      </c>
      <c r="D79" s="1424"/>
      <c r="E79" s="1426"/>
      <c r="F79" s="1426"/>
      <c r="G79" s="1426"/>
      <c r="H79" s="1426"/>
      <c r="I79" s="1426"/>
      <c r="J79" s="1426"/>
      <c r="K79" s="1426"/>
      <c r="L79" s="1426"/>
      <c r="M79" s="1426"/>
      <c r="N79" s="1425"/>
      <c r="O79" s="1426"/>
      <c r="P79" s="1428"/>
      <c r="Q79" s="1429"/>
      <c r="R79" s="1430"/>
      <c r="S79" t="str">
        <f t="shared" si="69"/>
        <v/>
      </c>
      <c r="CA79" s="1418" t="str">
        <f t="shared" si="70"/>
        <v/>
      </c>
      <c r="CB79" s="1418" t="str">
        <f t="shared" si="71"/>
        <v/>
      </c>
      <c r="CO79" s="419">
        <f t="shared" si="73"/>
        <v>0</v>
      </c>
      <c r="CP79" s="419">
        <f t="shared" si="72"/>
        <v>0</v>
      </c>
    </row>
    <row r="80" spans="1:94" ht="15" customHeight="1">
      <c r="A80" s="6129"/>
      <c r="B80" s="1551" t="s">
        <v>72</v>
      </c>
      <c r="C80" s="1527">
        <f t="shared" si="75"/>
        <v>0</v>
      </c>
      <c r="D80" s="1528"/>
      <c r="E80" s="1529"/>
      <c r="F80" s="1529"/>
      <c r="G80" s="1529"/>
      <c r="H80" s="1529"/>
      <c r="I80" s="1529"/>
      <c r="J80" s="1529"/>
      <c r="K80" s="1529"/>
      <c r="L80" s="1529"/>
      <c r="M80" s="1529"/>
      <c r="N80" s="1552"/>
      <c r="O80" s="1529"/>
      <c r="P80" s="1553"/>
      <c r="Q80" s="1532"/>
      <c r="R80" s="1533"/>
      <c r="S80" t="str">
        <f t="shared" si="69"/>
        <v/>
      </c>
      <c r="CA80" s="1418" t="str">
        <f t="shared" si="70"/>
        <v/>
      </c>
      <c r="CB80" s="1418" t="str">
        <f t="shared" si="71"/>
        <v/>
      </c>
      <c r="CO80" s="419">
        <f t="shared" si="73"/>
        <v>0</v>
      </c>
      <c r="CP80" s="419">
        <f t="shared" si="72"/>
        <v>0</v>
      </c>
    </row>
    <row r="81" spans="1:95" ht="15" customHeight="1">
      <c r="A81" s="6127" t="s">
        <v>785</v>
      </c>
      <c r="B81" s="1548" t="s">
        <v>779</v>
      </c>
      <c r="C81" s="1422">
        <f t="shared" si="75"/>
        <v>0</v>
      </c>
      <c r="D81" s="1426"/>
      <c r="E81" s="1426"/>
      <c r="F81" s="1426"/>
      <c r="G81" s="1426"/>
      <c r="H81" s="1426"/>
      <c r="I81" s="1426"/>
      <c r="J81" s="1426"/>
      <c r="K81" s="1426"/>
      <c r="L81" s="1426"/>
      <c r="M81" s="1426"/>
      <c r="N81" s="1425"/>
      <c r="O81" s="1426"/>
      <c r="P81" s="1428"/>
      <c r="Q81" s="1544"/>
      <c r="R81" s="1483"/>
      <c r="S81" t="str">
        <f t="shared" si="69"/>
        <v/>
      </c>
      <c r="CA81" s="1418" t="str">
        <f t="shared" si="70"/>
        <v/>
      </c>
      <c r="CB81" s="1418" t="str">
        <f t="shared" si="71"/>
        <v/>
      </c>
      <c r="CO81" s="419">
        <f t="shared" si="73"/>
        <v>0</v>
      </c>
      <c r="CP81" s="419">
        <f t="shared" si="72"/>
        <v>0</v>
      </c>
    </row>
    <row r="82" spans="1:95" ht="15" customHeight="1">
      <c r="A82" s="6129"/>
      <c r="B82" s="1554" t="s">
        <v>72</v>
      </c>
      <c r="C82" s="1527">
        <f t="shared" si="75"/>
        <v>0</v>
      </c>
      <c r="D82" s="1529"/>
      <c r="E82" s="1529"/>
      <c r="F82" s="1529"/>
      <c r="G82" s="1529"/>
      <c r="H82" s="1529"/>
      <c r="I82" s="1529"/>
      <c r="J82" s="1529"/>
      <c r="K82" s="1529"/>
      <c r="L82" s="1529"/>
      <c r="M82" s="1529"/>
      <c r="N82" s="1552"/>
      <c r="O82" s="1529"/>
      <c r="P82" s="1553"/>
      <c r="Q82" s="1532"/>
      <c r="R82" s="1533"/>
      <c r="S82" t="str">
        <f t="shared" si="69"/>
        <v/>
      </c>
      <c r="CA82" s="1418" t="str">
        <f t="shared" si="70"/>
        <v/>
      </c>
      <c r="CB82" s="1418" t="str">
        <f t="shared" si="71"/>
        <v/>
      </c>
      <c r="CO82" s="419">
        <f t="shared" si="73"/>
        <v>0</v>
      </c>
      <c r="CP82" s="419">
        <f t="shared" si="72"/>
        <v>0</v>
      </c>
    </row>
    <row r="83" spans="1:95" ht="15" customHeight="1">
      <c r="A83" s="6216" t="s">
        <v>786</v>
      </c>
      <c r="B83" s="6217"/>
      <c r="C83" s="1527">
        <f t="shared" si="75"/>
        <v>0</v>
      </c>
      <c r="D83" s="1528"/>
      <c r="E83" s="1529"/>
      <c r="F83" s="1529"/>
      <c r="G83" s="1529"/>
      <c r="H83" s="1529"/>
      <c r="I83" s="1529"/>
      <c r="J83" s="1529"/>
      <c r="K83" s="1529"/>
      <c r="L83" s="1529"/>
      <c r="M83" s="1529"/>
      <c r="N83" s="1552"/>
      <c r="O83" s="1529"/>
      <c r="P83" s="1553"/>
      <c r="Q83" s="1532"/>
      <c r="R83" s="1533"/>
      <c r="S83" t="str">
        <f t="shared" si="69"/>
        <v/>
      </c>
      <c r="CA83" s="1418" t="str">
        <f t="shared" si="70"/>
        <v/>
      </c>
      <c r="CB83" s="1418" t="str">
        <f t="shared" si="71"/>
        <v/>
      </c>
      <c r="CO83" s="419">
        <f t="shared" si="73"/>
        <v>0</v>
      </c>
      <c r="CP83" s="419">
        <f t="shared" si="72"/>
        <v>0</v>
      </c>
    </row>
    <row r="84" spans="1:95" ht="18" customHeight="1">
      <c r="A84" s="1468" t="s">
        <v>788</v>
      </c>
      <c r="B84" s="1493"/>
      <c r="C84" s="1573"/>
    </row>
    <row r="85" spans="1:95" ht="33.6" customHeight="1">
      <c r="A85" s="1574" t="s">
        <v>305</v>
      </c>
      <c r="B85" s="1575" t="s">
        <v>91</v>
      </c>
      <c r="C85" s="1576" t="s">
        <v>74</v>
      </c>
      <c r="D85" s="1577" t="s">
        <v>52</v>
      </c>
    </row>
    <row r="86" spans="1:95" ht="18" customHeight="1">
      <c r="A86" s="1555" t="s">
        <v>789</v>
      </c>
      <c r="B86" s="1578"/>
      <c r="C86" s="1579"/>
      <c r="D86" s="1580"/>
      <c r="E86" t="str">
        <f>CA86&amp;CB86</f>
        <v/>
      </c>
      <c r="CA86" s="1418" t="str">
        <f>IF(AND($B86&gt;0,C86="")," * No olvide digitar la variable "&amp;$C$85&amp;""&amp;". Digite Cero si no tiene.",IF(C86&gt;$B86," * La variable "&amp;$C$85&amp;""&amp;" No puede ser mayor al Total.",""))</f>
        <v/>
      </c>
      <c r="CB86" s="1418" t="str">
        <f>IF(AND($B86&gt;0,D86="")," * No olvide digitar la variable "&amp;$D$85&amp;""&amp;". Digite Cero si no tiene.",IF(D86&gt;$B86," * La variable "&amp;$D$85&amp;""&amp;" No puede ser mayor al Total.",""))</f>
        <v/>
      </c>
      <c r="CO86" s="419">
        <f>IF(AND(B86&gt;0,C86=""),1,IF(C86&gt;B86,1,0))</f>
        <v>0</v>
      </c>
      <c r="CP86" s="419">
        <f>IF(AND(B86&gt;0,D86=""),1,IF(D86&gt;B86,1,0))</f>
        <v>0</v>
      </c>
    </row>
    <row r="87" spans="1:95" ht="18" customHeight="1">
      <c r="A87" s="1581" t="s">
        <v>790</v>
      </c>
      <c r="B87" s="1493"/>
      <c r="C87" s="1582"/>
      <c r="D87" s="1582"/>
      <c r="E87" s="1583"/>
    </row>
    <row r="88" spans="1:95">
      <c r="A88" s="6140" t="s">
        <v>791</v>
      </c>
      <c r="B88" s="6119"/>
      <c r="C88" s="1395" t="s">
        <v>91</v>
      </c>
      <c r="D88" s="1396" t="s">
        <v>792</v>
      </c>
      <c r="E88" s="1584" t="s">
        <v>793</v>
      </c>
    </row>
    <row r="89" spans="1:95" ht="18" customHeight="1">
      <c r="A89" s="6202" t="s">
        <v>794</v>
      </c>
      <c r="B89" s="5711"/>
      <c r="C89" s="401">
        <f>SUM(D89:E89)</f>
        <v>0</v>
      </c>
      <c r="D89" s="1585"/>
      <c r="E89" s="1539"/>
      <c r="CA89" s="1418" t="str">
        <f>IF(AND($C89&gt;0,D89="")," * No olvide digitar la variable "&amp;$D$88&amp;""&amp;". Digite Cero si no tiene.",IF(D89&gt;$C89," * La variable  "&amp;$D$88&amp;""&amp;" No puede ser mayor al Total.",""))</f>
        <v/>
      </c>
      <c r="CB89" s="1418" t="str">
        <f>IF(AND($C89&gt;0,E89="")," * No olvide digitar la variable "&amp;$E$88&amp;""&amp;". Digite Cero si no tiene.",IF(E89&gt;$C89," * La variable  "&amp;$E$88&amp;""&amp;" No puede ser mayor al Total.",""))</f>
        <v/>
      </c>
      <c r="CO89" s="419">
        <f>IF(AND(C89&gt;0,D89=""),1,IF(D89&gt;C89,1,0))</f>
        <v>0</v>
      </c>
      <c r="CP89" s="419">
        <f>IF(AND(C89&gt;0,E89=""),1,IF(E89&gt;C89,1,0))</f>
        <v>0</v>
      </c>
    </row>
    <row r="90" spans="1:95" s="385" customFormat="1" ht="18" customHeight="1">
      <c r="A90" s="1586" t="s">
        <v>795</v>
      </c>
      <c r="B90" s="1587"/>
      <c r="C90" s="1587"/>
      <c r="D90" s="1587"/>
      <c r="E90" s="1587"/>
      <c r="F90" s="1587"/>
      <c r="G90" s="1587"/>
      <c r="H90" s="1587"/>
      <c r="I90" s="1587"/>
      <c r="J90" s="1587"/>
      <c r="K90" s="1587"/>
      <c r="L90" s="1587"/>
      <c r="M90" s="1587"/>
      <c r="N90" s="1587"/>
      <c r="O90" s="1587"/>
      <c r="P90" s="1587"/>
      <c r="Q90" s="1587"/>
      <c r="R90" s="1587"/>
      <c r="S90" s="1587"/>
      <c r="T90" s="1587"/>
      <c r="U90" s="1587"/>
      <c r="V90" s="1587"/>
      <c r="W90" s="1587"/>
      <c r="X90" s="1587"/>
      <c r="Y90" s="1587"/>
      <c r="Z90" s="1587"/>
      <c r="AA90" s="1587"/>
      <c r="AB90" s="1587"/>
      <c r="AC90" s="1587"/>
      <c r="AD90" s="1587"/>
      <c r="AE90" s="1587"/>
      <c r="AF90" s="1587"/>
      <c r="AG90" s="1587"/>
      <c r="AH90" s="1587"/>
      <c r="AI90" s="1587"/>
      <c r="AJ90" s="1587"/>
      <c r="AK90" s="1587"/>
      <c r="AL90" s="1587"/>
      <c r="AM90" s="1587"/>
      <c r="AN90" s="1587"/>
      <c r="AO90" s="1587"/>
      <c r="AP90" s="1587"/>
      <c r="AQ90" s="1587"/>
      <c r="AR90" s="1587"/>
      <c r="AS90" s="1587"/>
      <c r="AT90" s="1587"/>
      <c r="AU90" s="1587"/>
      <c r="AV90" s="1587"/>
      <c r="AW90" s="1587"/>
    </row>
    <row r="91" spans="1:95" s="385" customFormat="1" ht="18" customHeight="1">
      <c r="A91" s="6068" t="s">
        <v>796</v>
      </c>
      <c r="B91" s="6070"/>
      <c r="C91" s="6068" t="s">
        <v>238</v>
      </c>
      <c r="D91" s="6069"/>
      <c r="E91" s="6070"/>
      <c r="F91" s="6077" t="s">
        <v>797</v>
      </c>
      <c r="G91" s="6078"/>
      <c r="H91" s="6078"/>
      <c r="I91" s="6078"/>
      <c r="J91" s="6078"/>
      <c r="K91" s="6078"/>
      <c r="L91" s="6078"/>
      <c r="M91" s="6078"/>
      <c r="N91" s="6078"/>
      <c r="O91" s="6078"/>
      <c r="P91" s="6078"/>
      <c r="Q91" s="6078"/>
      <c r="R91" s="6078"/>
      <c r="S91" s="6078"/>
      <c r="T91" s="6078"/>
      <c r="U91" s="6078"/>
      <c r="V91" s="6078"/>
      <c r="W91" s="6078"/>
      <c r="X91" s="6078"/>
      <c r="Y91" s="6078"/>
      <c r="Z91" s="6078"/>
      <c r="AA91" s="6078"/>
      <c r="AB91" s="6078"/>
      <c r="AC91" s="6079"/>
      <c r="AD91" s="6057" t="s">
        <v>798</v>
      </c>
      <c r="AE91" s="6057"/>
      <c r="AF91" s="6057"/>
      <c r="AG91" s="6057"/>
      <c r="AH91" s="6057"/>
      <c r="AI91" s="6057"/>
      <c r="AJ91" s="6057"/>
      <c r="AK91" s="6057"/>
      <c r="AL91" s="6057"/>
      <c r="AM91" s="6057"/>
      <c r="AN91" s="6057"/>
      <c r="AO91" s="6057"/>
      <c r="AP91" s="6057"/>
      <c r="AQ91" s="6057"/>
      <c r="AR91" s="6057"/>
      <c r="AS91" s="6057"/>
      <c r="AT91" s="6058"/>
      <c r="AU91" s="6061" t="s">
        <v>50</v>
      </c>
      <c r="AV91" s="6081" t="s">
        <v>51</v>
      </c>
      <c r="AW91" s="6084" t="s">
        <v>49</v>
      </c>
    </row>
    <row r="92" spans="1:95" s="385" customFormat="1" ht="18" customHeight="1">
      <c r="A92" s="6071"/>
      <c r="B92" s="6073"/>
      <c r="C92" s="6071"/>
      <c r="D92" s="6072"/>
      <c r="E92" s="6073"/>
      <c r="F92" s="6087" t="s">
        <v>799</v>
      </c>
      <c r="G92" s="6088"/>
      <c r="H92" s="6088"/>
      <c r="I92" s="6088"/>
      <c r="J92" s="6088"/>
      <c r="K92" s="6088"/>
      <c r="L92" s="6088"/>
      <c r="M92" s="6088"/>
      <c r="N92" s="6088"/>
      <c r="O92" s="6088"/>
      <c r="P92" s="6088"/>
      <c r="Q92" s="6089"/>
      <c r="R92" s="6090" t="s">
        <v>800</v>
      </c>
      <c r="S92" s="6091"/>
      <c r="T92" s="6091"/>
      <c r="U92" s="6091"/>
      <c r="V92" s="6091"/>
      <c r="W92" s="6092"/>
      <c r="X92" s="6093" t="s">
        <v>663</v>
      </c>
      <c r="Y92" s="6093"/>
      <c r="Z92" s="6093"/>
      <c r="AA92" s="6093"/>
      <c r="AB92" s="6093"/>
      <c r="AC92" s="6094"/>
      <c r="AD92" s="6057" t="s">
        <v>801</v>
      </c>
      <c r="AE92" s="6057"/>
      <c r="AF92" s="6057"/>
      <c r="AG92" s="6057"/>
      <c r="AH92" s="6057"/>
      <c r="AI92" s="6057"/>
      <c r="AJ92" s="6057"/>
      <c r="AK92" s="6057"/>
      <c r="AL92" s="6057"/>
      <c r="AM92" s="6057"/>
      <c r="AN92" s="6057"/>
      <c r="AO92" s="6095"/>
      <c r="AP92" s="6096" t="s">
        <v>664</v>
      </c>
      <c r="AQ92" s="6099" t="s">
        <v>663</v>
      </c>
      <c r="AR92" s="6099" t="s">
        <v>802</v>
      </c>
      <c r="AS92" s="6099" t="s">
        <v>619</v>
      </c>
      <c r="AT92" s="6102" t="s">
        <v>803</v>
      </c>
      <c r="AU92" s="6062"/>
      <c r="AV92" s="6082"/>
      <c r="AW92" s="6085"/>
    </row>
    <row r="93" spans="1:95" s="385" customFormat="1" ht="15" customHeight="1">
      <c r="A93" s="6071"/>
      <c r="B93" s="6073"/>
      <c r="C93" s="6074"/>
      <c r="D93" s="6075"/>
      <c r="E93" s="6076"/>
      <c r="F93" s="6049" t="s">
        <v>239</v>
      </c>
      <c r="G93" s="6050"/>
      <c r="H93" s="6051" t="s">
        <v>240</v>
      </c>
      <c r="I93" s="6050"/>
      <c r="J93" s="6051" t="s">
        <v>102</v>
      </c>
      <c r="K93" s="6050"/>
      <c r="L93" s="6051" t="s">
        <v>241</v>
      </c>
      <c r="M93" s="6050"/>
      <c r="N93" s="6051" t="s">
        <v>242</v>
      </c>
      <c r="O93" s="6050"/>
      <c r="P93" s="6051" t="s">
        <v>243</v>
      </c>
      <c r="Q93" s="6059"/>
      <c r="R93" s="6049" t="s">
        <v>665</v>
      </c>
      <c r="S93" s="6050"/>
      <c r="T93" s="6051" t="s">
        <v>666</v>
      </c>
      <c r="U93" s="6050"/>
      <c r="V93" s="6051" t="s">
        <v>667</v>
      </c>
      <c r="W93" s="6059"/>
      <c r="X93" s="6060" t="s">
        <v>665</v>
      </c>
      <c r="Y93" s="6050"/>
      <c r="Z93" s="6051" t="s">
        <v>666</v>
      </c>
      <c r="AA93" s="6050"/>
      <c r="AB93" s="6051" t="s">
        <v>667</v>
      </c>
      <c r="AC93" s="6080"/>
      <c r="AD93" s="6060" t="s">
        <v>239</v>
      </c>
      <c r="AE93" s="6050"/>
      <c r="AF93" s="6051" t="s">
        <v>240</v>
      </c>
      <c r="AG93" s="6050"/>
      <c r="AH93" s="6051" t="s">
        <v>102</v>
      </c>
      <c r="AI93" s="6050"/>
      <c r="AJ93" s="6051" t="s">
        <v>241</v>
      </c>
      <c r="AK93" s="6050"/>
      <c r="AL93" s="6051" t="s">
        <v>242</v>
      </c>
      <c r="AM93" s="6050"/>
      <c r="AN93" s="6051" t="s">
        <v>243</v>
      </c>
      <c r="AO93" s="6050"/>
      <c r="AP93" s="6097"/>
      <c r="AQ93" s="6100"/>
      <c r="AR93" s="6100"/>
      <c r="AS93" s="6100"/>
      <c r="AT93" s="6103"/>
      <c r="AU93" s="6062"/>
      <c r="AV93" s="6082"/>
      <c r="AW93" s="6085"/>
    </row>
    <row r="94" spans="1:95" s="385" customFormat="1" ht="18" customHeight="1">
      <c r="A94" s="6074"/>
      <c r="B94" s="6076"/>
      <c r="C94" s="1597" t="s">
        <v>93</v>
      </c>
      <c r="D94" s="1598" t="s">
        <v>72</v>
      </c>
      <c r="E94" s="1599" t="s">
        <v>73</v>
      </c>
      <c r="F94" s="1494" t="s">
        <v>72</v>
      </c>
      <c r="G94" s="1600" t="s">
        <v>73</v>
      </c>
      <c r="H94" s="1494" t="s">
        <v>72</v>
      </c>
      <c r="I94" s="1600" t="s">
        <v>73</v>
      </c>
      <c r="J94" s="1494" t="s">
        <v>72</v>
      </c>
      <c r="K94" s="1600" t="s">
        <v>73</v>
      </c>
      <c r="L94" s="1494" t="s">
        <v>72</v>
      </c>
      <c r="M94" s="1600" t="s">
        <v>73</v>
      </c>
      <c r="N94" s="1494" t="s">
        <v>72</v>
      </c>
      <c r="O94" s="1600" t="s">
        <v>73</v>
      </c>
      <c r="P94" s="1494" t="s">
        <v>72</v>
      </c>
      <c r="Q94" s="1601" t="s">
        <v>73</v>
      </c>
      <c r="R94" s="1494" t="s">
        <v>72</v>
      </c>
      <c r="S94" s="1600" t="s">
        <v>73</v>
      </c>
      <c r="T94" s="1494" t="s">
        <v>72</v>
      </c>
      <c r="U94" s="1600" t="s">
        <v>73</v>
      </c>
      <c r="V94" s="1602" t="s">
        <v>72</v>
      </c>
      <c r="W94" s="1599" t="s">
        <v>73</v>
      </c>
      <c r="X94" s="1603" t="s">
        <v>72</v>
      </c>
      <c r="Y94" s="1600" t="s">
        <v>73</v>
      </c>
      <c r="Z94" s="1494" t="s">
        <v>72</v>
      </c>
      <c r="AA94" s="1600" t="s">
        <v>73</v>
      </c>
      <c r="AB94" s="1494" t="s">
        <v>72</v>
      </c>
      <c r="AC94" s="1604" t="s">
        <v>73</v>
      </c>
      <c r="AD94" s="1603" t="s">
        <v>72</v>
      </c>
      <c r="AE94" s="1600" t="s">
        <v>73</v>
      </c>
      <c r="AF94" s="1494" t="s">
        <v>72</v>
      </c>
      <c r="AG94" s="1600" t="s">
        <v>73</v>
      </c>
      <c r="AH94" s="1494" t="s">
        <v>72</v>
      </c>
      <c r="AI94" s="1600" t="s">
        <v>73</v>
      </c>
      <c r="AJ94" s="1494" t="s">
        <v>72</v>
      </c>
      <c r="AK94" s="1600" t="s">
        <v>73</v>
      </c>
      <c r="AL94" s="1494" t="s">
        <v>72</v>
      </c>
      <c r="AM94" s="1600" t="s">
        <v>73</v>
      </c>
      <c r="AN94" s="1494" t="s">
        <v>72</v>
      </c>
      <c r="AO94" s="1600" t="s">
        <v>73</v>
      </c>
      <c r="AP94" s="6098"/>
      <c r="AQ94" s="6101"/>
      <c r="AR94" s="6101"/>
      <c r="AS94" s="6101"/>
      <c r="AT94" s="6104"/>
      <c r="AU94" s="6063"/>
      <c r="AV94" s="6083"/>
      <c r="AW94" s="6086"/>
      <c r="CA94" s="1470"/>
      <c r="CB94" s="1470"/>
    </row>
    <row r="95" spans="1:95" s="385" customFormat="1" ht="15" customHeight="1">
      <c r="A95" s="6064" t="s">
        <v>246</v>
      </c>
      <c r="B95" s="6065"/>
      <c r="C95" s="1605">
        <f t="shared" ref="C95:C98" si="76">SUM(D95:E95)</f>
        <v>0</v>
      </c>
      <c r="D95" s="1606">
        <f t="shared" ref="D95:E98" si="77">+F95+H95+J95+L95+N95+P95+R95+T95+V95+X95+Z95+AB95</f>
        <v>0</v>
      </c>
      <c r="E95" s="1607">
        <f>+G95+I95+K95+M95+O95+Q95+S95+U95+W95+Y95+AA95+AC95</f>
        <v>0</v>
      </c>
      <c r="F95" s="1608"/>
      <c r="G95" s="1451"/>
      <c r="H95" s="1609"/>
      <c r="I95" s="1451"/>
      <c r="J95" s="1609"/>
      <c r="K95" s="1451"/>
      <c r="L95" s="1609"/>
      <c r="M95" s="1451"/>
      <c r="N95" s="1609"/>
      <c r="O95" s="1451"/>
      <c r="P95" s="1609"/>
      <c r="Q95" s="1610"/>
      <c r="R95" s="1608"/>
      <c r="S95" s="1451"/>
      <c r="T95" s="1609"/>
      <c r="U95" s="1451"/>
      <c r="V95" s="1609"/>
      <c r="W95" s="1610"/>
      <c r="X95" s="1433"/>
      <c r="Y95" s="1451"/>
      <c r="Z95" s="1609"/>
      <c r="AA95" s="1435"/>
      <c r="AB95" s="1433"/>
      <c r="AC95" s="1611"/>
      <c r="AD95" s="1433"/>
      <c r="AE95" s="1435"/>
      <c r="AF95" s="1609"/>
      <c r="AG95" s="1451"/>
      <c r="AH95" s="1609"/>
      <c r="AI95" s="1435"/>
      <c r="AJ95" s="1609"/>
      <c r="AK95" s="1451"/>
      <c r="AL95" s="1609"/>
      <c r="AM95" s="1435"/>
      <c r="AN95" s="1433"/>
      <c r="AO95" s="1451"/>
      <c r="AP95" s="1612"/>
      <c r="AQ95" s="1613"/>
      <c r="AR95" s="1614"/>
      <c r="AS95" s="1614"/>
      <c r="AT95" s="1611"/>
      <c r="AU95" s="1615"/>
      <c r="AV95" s="1448"/>
      <c r="AW95" s="1451"/>
      <c r="AX95" t="str">
        <f t="shared" ref="AX95:AX98" si="78">CA95&amp;CB95&amp;CC95</f>
        <v/>
      </c>
      <c r="AZ95" t="str">
        <f t="shared" ref="AZ95:AZ97" si="79">CA95&amp;CB95</f>
        <v/>
      </c>
      <c r="CA95" s="1418" t="str">
        <f t="shared" ref="CA95:CA98" si="80">IF(AND($C95&gt;0,AU95="")," *No olvide digitar la variable Pueblos originarios. Digite Cero si no tiene.",IF(AU95&gt;$C95," *La variable Pueblos originarios No puede ser mayor al Total Ambos Sexos.",""))</f>
        <v/>
      </c>
      <c r="CB95" s="1418" t="str">
        <f t="shared" ref="CB95:CB98" si="81">IF(AND($C95&gt;0,AV95=""),"  *No olvide digitar la variable Migrantes. Digite Cero si no tiene.",IF(AV95&gt;$C95,"  *La variable Migrantes No puede ser mayor al Total Ambos Sexos.",""))</f>
        <v/>
      </c>
      <c r="CC95" s="1418" t="str">
        <f t="shared" ref="CC95:CC98" si="82">IF(AND($C95&gt;0,AW95="")," *No olvide digitar la variable Servicio Nacional Protección Especializada a la Niñez y Adolescencia. Digite Cero si no tiene.",IF(AW95&gt;$C95," *La variable Servicio Nacional Protección Especializada a la Niñez y Adolescencia No puede ser mayor al Total Ambos Sexos.",""))</f>
        <v/>
      </c>
      <c r="CO95" s="1616">
        <f t="shared" ref="CO95:CO98" si="83">IF(AND($C95&gt;0,AU95=""),1,IF(AU95&gt;$C95,1,0))</f>
        <v>0</v>
      </c>
      <c r="CP95" s="1616">
        <f t="shared" ref="CP95:CP98" si="84">IF(AND($C95&gt;0,AV95=""),1,IF(AV95&gt;$C95,1,0))</f>
        <v>0</v>
      </c>
      <c r="CQ95" s="1616">
        <f t="shared" ref="CQ95:CQ98" si="85">IF(AND($C95&gt;0,AW95=""),1,IF(AW95&gt;$C95,1,0))</f>
        <v>0</v>
      </c>
    </row>
    <row r="96" spans="1:95" s="385" customFormat="1" ht="15" customHeight="1">
      <c r="A96" s="6066" t="s">
        <v>247</v>
      </c>
      <c r="B96" s="6067"/>
      <c r="C96" s="1617">
        <f t="shared" si="76"/>
        <v>0</v>
      </c>
      <c r="D96" s="1618">
        <f t="shared" si="77"/>
        <v>0</v>
      </c>
      <c r="E96" s="1619">
        <f t="shared" si="77"/>
        <v>0</v>
      </c>
      <c r="F96" s="1620"/>
      <c r="G96" s="1621"/>
      <c r="H96" s="1622"/>
      <c r="I96" s="1621"/>
      <c r="J96" s="1622"/>
      <c r="K96" s="1621"/>
      <c r="L96" s="1622"/>
      <c r="M96" s="1621"/>
      <c r="N96" s="1622"/>
      <c r="O96" s="1621"/>
      <c r="P96" s="1622"/>
      <c r="Q96" s="1623"/>
      <c r="R96" s="1620"/>
      <c r="S96" s="1621"/>
      <c r="T96" s="1622"/>
      <c r="U96" s="1621"/>
      <c r="V96" s="1622"/>
      <c r="W96" s="1623"/>
      <c r="X96" s="1449"/>
      <c r="Y96" s="1621"/>
      <c r="Z96" s="1622"/>
      <c r="AA96" s="1451"/>
      <c r="AB96" s="1449"/>
      <c r="AC96" s="1611"/>
      <c r="AD96" s="1449"/>
      <c r="AE96" s="1451"/>
      <c r="AF96" s="1622"/>
      <c r="AG96" s="1451"/>
      <c r="AH96" s="1622"/>
      <c r="AI96" s="1451"/>
      <c r="AJ96" s="1622"/>
      <c r="AK96" s="1451"/>
      <c r="AL96" s="1622"/>
      <c r="AM96" s="1451"/>
      <c r="AN96" s="1449"/>
      <c r="AO96" s="1451"/>
      <c r="AP96" s="1624"/>
      <c r="AQ96" s="1614"/>
      <c r="AR96" s="1614"/>
      <c r="AS96" s="1614"/>
      <c r="AT96" s="1611"/>
      <c r="AU96" s="1615"/>
      <c r="AV96" s="1448"/>
      <c r="AW96" s="1451"/>
      <c r="AX96" t="str">
        <f t="shared" si="78"/>
        <v/>
      </c>
      <c r="AZ96" t="str">
        <f t="shared" si="79"/>
        <v/>
      </c>
      <c r="CA96" s="1418" t="str">
        <f t="shared" si="80"/>
        <v/>
      </c>
      <c r="CB96" s="1418" t="str">
        <f t="shared" si="81"/>
        <v/>
      </c>
      <c r="CC96" s="1418" t="str">
        <f t="shared" si="82"/>
        <v/>
      </c>
      <c r="CO96" s="1616">
        <f t="shared" si="83"/>
        <v>0</v>
      </c>
      <c r="CP96" s="1616">
        <f t="shared" si="84"/>
        <v>0</v>
      </c>
      <c r="CQ96" s="1616">
        <f t="shared" si="85"/>
        <v>0</v>
      </c>
    </row>
    <row r="97" spans="1:95" s="385" customFormat="1" ht="15" customHeight="1">
      <c r="A97" s="6066" t="s">
        <v>248</v>
      </c>
      <c r="B97" s="6067"/>
      <c r="C97" s="1625">
        <f t="shared" si="76"/>
        <v>0</v>
      </c>
      <c r="D97" s="1618">
        <f t="shared" si="77"/>
        <v>0</v>
      </c>
      <c r="E97" s="1619">
        <f t="shared" si="77"/>
        <v>0</v>
      </c>
      <c r="F97" s="1620"/>
      <c r="G97" s="1451"/>
      <c r="H97" s="1622"/>
      <c r="I97" s="1451"/>
      <c r="J97" s="1622"/>
      <c r="K97" s="1451"/>
      <c r="L97" s="1622"/>
      <c r="M97" s="1451"/>
      <c r="N97" s="1622"/>
      <c r="O97" s="1451"/>
      <c r="P97" s="1622"/>
      <c r="Q97" s="1610"/>
      <c r="R97" s="1620"/>
      <c r="S97" s="1451"/>
      <c r="T97" s="1622"/>
      <c r="U97" s="1451"/>
      <c r="V97" s="1622"/>
      <c r="W97" s="1610"/>
      <c r="X97" s="1449"/>
      <c r="Y97" s="1451"/>
      <c r="Z97" s="1622"/>
      <c r="AA97" s="1451"/>
      <c r="AB97" s="1449"/>
      <c r="AC97" s="1611"/>
      <c r="AD97" s="1449"/>
      <c r="AE97" s="1451"/>
      <c r="AF97" s="1622"/>
      <c r="AG97" s="1451"/>
      <c r="AH97" s="1622"/>
      <c r="AI97" s="1451"/>
      <c r="AJ97" s="1622"/>
      <c r="AK97" s="1451"/>
      <c r="AL97" s="1622"/>
      <c r="AM97" s="1451"/>
      <c r="AN97" s="1449"/>
      <c r="AO97" s="1451"/>
      <c r="AP97" s="1624"/>
      <c r="AQ97" s="1614"/>
      <c r="AR97" s="1614"/>
      <c r="AS97" s="1614"/>
      <c r="AT97" s="1611"/>
      <c r="AU97" s="1615"/>
      <c r="AV97" s="1448"/>
      <c r="AW97" s="1451"/>
      <c r="AX97" t="str">
        <f t="shared" si="78"/>
        <v/>
      </c>
      <c r="AZ97" t="str">
        <f t="shared" si="79"/>
        <v/>
      </c>
      <c r="CA97" s="1418" t="str">
        <f t="shared" si="80"/>
        <v/>
      </c>
      <c r="CB97" s="1418" t="str">
        <f t="shared" si="81"/>
        <v/>
      </c>
      <c r="CC97" s="1418" t="str">
        <f t="shared" si="82"/>
        <v/>
      </c>
      <c r="CO97" s="1616">
        <f t="shared" si="83"/>
        <v>0</v>
      </c>
      <c r="CP97" s="1616">
        <f t="shared" si="84"/>
        <v>0</v>
      </c>
      <c r="CQ97" s="1616">
        <f t="shared" si="85"/>
        <v>0</v>
      </c>
    </row>
    <row r="98" spans="1:95" s="385" customFormat="1" ht="15" customHeight="1">
      <c r="A98" s="6055" t="s">
        <v>266</v>
      </c>
      <c r="B98" s="6056"/>
      <c r="C98" s="1626">
        <f t="shared" si="76"/>
        <v>0</v>
      </c>
      <c r="D98" s="1627">
        <f t="shared" si="77"/>
        <v>0</v>
      </c>
      <c r="E98" s="1628">
        <f t="shared" si="77"/>
        <v>0</v>
      </c>
      <c r="F98" s="1629"/>
      <c r="G98" s="1466"/>
      <c r="H98" s="1630"/>
      <c r="I98" s="1466"/>
      <c r="J98" s="1630"/>
      <c r="K98" s="1466"/>
      <c r="L98" s="1630"/>
      <c r="M98" s="1466"/>
      <c r="N98" s="1630"/>
      <c r="O98" s="1466"/>
      <c r="P98" s="1630"/>
      <c r="Q98" s="1631"/>
      <c r="R98" s="1629"/>
      <c r="S98" s="1466"/>
      <c r="T98" s="1630"/>
      <c r="U98" s="1466"/>
      <c r="V98" s="1630"/>
      <c r="W98" s="1631"/>
      <c r="X98" s="1632"/>
      <c r="Y98" s="1633"/>
      <c r="Z98" s="1634"/>
      <c r="AA98" s="1633"/>
      <c r="AB98" s="1632"/>
      <c r="AC98" s="1635"/>
      <c r="AD98" s="1464"/>
      <c r="AE98" s="1466"/>
      <c r="AF98" s="1630"/>
      <c r="AG98" s="1466"/>
      <c r="AH98" s="1630"/>
      <c r="AI98" s="1466"/>
      <c r="AJ98" s="1630"/>
      <c r="AK98" s="1466"/>
      <c r="AL98" s="1630"/>
      <c r="AM98" s="1466"/>
      <c r="AN98" s="1464"/>
      <c r="AO98" s="1466"/>
      <c r="AP98" s="1636"/>
      <c r="AQ98" s="1637"/>
      <c r="AR98" s="1637"/>
      <c r="AS98" s="1637"/>
      <c r="AT98" s="1638"/>
      <c r="AU98" s="1639"/>
      <c r="AV98" s="1463"/>
      <c r="AW98" s="1466"/>
      <c r="AX98" t="str">
        <f t="shared" si="78"/>
        <v/>
      </c>
      <c r="AZ98"/>
      <c r="CA98" s="1418" t="str">
        <f t="shared" si="80"/>
        <v/>
      </c>
      <c r="CB98" s="1418" t="str">
        <f t="shared" si="81"/>
        <v/>
      </c>
      <c r="CC98" s="1418" t="str">
        <f t="shared" si="82"/>
        <v/>
      </c>
      <c r="CO98" s="1616">
        <f t="shared" si="83"/>
        <v>0</v>
      </c>
      <c r="CP98" s="1616">
        <f t="shared" si="84"/>
        <v>0</v>
      </c>
      <c r="CQ98" s="1616">
        <f t="shared" si="85"/>
        <v>0</v>
      </c>
    </row>
    <row r="99" spans="1:95" s="385" customFormat="1" ht="18" customHeight="1">
      <c r="A99" s="1581" t="s">
        <v>804</v>
      </c>
      <c r="B99" s="1493"/>
      <c r="C99" s="1493"/>
      <c r="D99" s="1493"/>
      <c r="E99" s="1493"/>
      <c r="F99" s="1493"/>
      <c r="G99" s="1493"/>
      <c r="H99" s="1493"/>
      <c r="I99" s="1493"/>
      <c r="J99" s="1493"/>
      <c r="K99" s="1493"/>
      <c r="L99" s="1493"/>
      <c r="M99" s="1493"/>
      <c r="N99" s="1493"/>
      <c r="O99" s="1493"/>
      <c r="P99" s="1493"/>
      <c r="Q99" s="1493"/>
      <c r="R99" s="1493"/>
      <c r="S99" s="1493"/>
      <c r="T99" s="1493"/>
      <c r="U99" s="1493"/>
      <c r="V99" s="1493"/>
    </row>
    <row r="100" spans="1:95" s="385" customFormat="1" ht="18" customHeight="1">
      <c r="A100" s="6140" t="s">
        <v>796</v>
      </c>
      <c r="B100" s="6119"/>
      <c r="C100" s="6140" t="s">
        <v>238</v>
      </c>
      <c r="D100" s="6139"/>
      <c r="E100" s="6119"/>
      <c r="F100" s="6052" t="s">
        <v>805</v>
      </c>
      <c r="G100" s="6053"/>
      <c r="H100" s="6053"/>
      <c r="I100" s="6053"/>
      <c r="J100" s="6053"/>
      <c r="K100" s="6053"/>
      <c r="L100" s="6053"/>
      <c r="M100" s="6053"/>
      <c r="N100" s="6053"/>
      <c r="O100" s="6053"/>
      <c r="P100" s="6053"/>
      <c r="Q100" s="6054"/>
      <c r="R100" s="6053" t="s">
        <v>806</v>
      </c>
      <c r="S100" s="6053"/>
      <c r="T100" s="6053"/>
      <c r="U100" s="6053"/>
      <c r="V100" s="6053"/>
      <c r="W100" s="6054"/>
      <c r="X100" s="6054" t="s">
        <v>807</v>
      </c>
      <c r="Y100" s="6223"/>
      <c r="Z100" s="6223"/>
      <c r="AA100" s="6223"/>
      <c r="AB100" s="6223"/>
      <c r="AC100" s="6224"/>
      <c r="AD100" s="6230" t="s">
        <v>808</v>
      </c>
      <c r="AE100" s="6230"/>
      <c r="AF100" s="6230"/>
      <c r="AG100" s="6230"/>
      <c r="AH100" s="6230"/>
      <c r="AI100" s="6231"/>
      <c r="AJ100" s="6139" t="s">
        <v>50</v>
      </c>
      <c r="AK100" s="5718" t="s">
        <v>51</v>
      </c>
      <c r="AL100" s="6119" t="s">
        <v>49</v>
      </c>
    </row>
    <row r="101" spans="1:95" s="385" customFormat="1" ht="21.95" customHeight="1">
      <c r="A101" s="6141"/>
      <c r="B101" s="6120"/>
      <c r="C101" s="6114"/>
      <c r="D101" s="6115"/>
      <c r="E101" s="6116"/>
      <c r="F101" s="6049" t="s">
        <v>239</v>
      </c>
      <c r="G101" s="6050"/>
      <c r="H101" s="6051" t="s">
        <v>240</v>
      </c>
      <c r="I101" s="6050"/>
      <c r="J101" s="6051" t="s">
        <v>102</v>
      </c>
      <c r="K101" s="6050"/>
      <c r="L101" s="6051" t="s">
        <v>241</v>
      </c>
      <c r="M101" s="6050"/>
      <c r="N101" s="6051" t="s">
        <v>242</v>
      </c>
      <c r="O101" s="6050"/>
      <c r="P101" s="6051" t="s">
        <v>243</v>
      </c>
      <c r="Q101" s="6059"/>
      <c r="R101" s="5710" t="s">
        <v>665</v>
      </c>
      <c r="S101" s="5712"/>
      <c r="T101" s="5710" t="s">
        <v>666</v>
      </c>
      <c r="U101" s="5712"/>
      <c r="V101" s="5710" t="s">
        <v>809</v>
      </c>
      <c r="W101" s="5712"/>
      <c r="X101" s="6106" t="s">
        <v>665</v>
      </c>
      <c r="Y101" s="5712"/>
      <c r="Z101" s="5710" t="s">
        <v>666</v>
      </c>
      <c r="AA101" s="5712"/>
      <c r="AB101" s="6137" t="s">
        <v>809</v>
      </c>
      <c r="AC101" s="6148"/>
      <c r="AD101" s="6106" t="s">
        <v>810</v>
      </c>
      <c r="AE101" s="6106"/>
      <c r="AF101" s="6106"/>
      <c r="AG101" s="5712"/>
      <c r="AH101" s="5710" t="s">
        <v>811</v>
      </c>
      <c r="AI101" s="5712"/>
      <c r="AJ101" s="6166"/>
      <c r="AK101" s="6110"/>
      <c r="AL101" s="6120"/>
    </row>
    <row r="102" spans="1:95" s="385" customFormat="1" ht="35.25" customHeight="1">
      <c r="A102" s="6114"/>
      <c r="B102" s="6116"/>
      <c r="C102" s="1395" t="s">
        <v>93</v>
      </c>
      <c r="D102" s="1646" t="s">
        <v>72</v>
      </c>
      <c r="E102" s="1402" t="s">
        <v>73</v>
      </c>
      <c r="F102" s="1471" t="s">
        <v>72</v>
      </c>
      <c r="G102" s="393" t="s">
        <v>73</v>
      </c>
      <c r="H102" s="1471" t="s">
        <v>72</v>
      </c>
      <c r="I102" s="393" t="s">
        <v>73</v>
      </c>
      <c r="J102" s="1471" t="s">
        <v>72</v>
      </c>
      <c r="K102" s="393" t="s">
        <v>73</v>
      </c>
      <c r="L102" s="1471" t="s">
        <v>72</v>
      </c>
      <c r="M102" s="393" t="s">
        <v>73</v>
      </c>
      <c r="N102" s="1471" t="s">
        <v>72</v>
      </c>
      <c r="O102" s="393" t="s">
        <v>73</v>
      </c>
      <c r="P102" s="1471" t="s">
        <v>72</v>
      </c>
      <c r="Q102" s="393" t="s">
        <v>73</v>
      </c>
      <c r="R102" s="1471" t="s">
        <v>72</v>
      </c>
      <c r="S102" s="393" t="s">
        <v>73</v>
      </c>
      <c r="T102" s="1471" t="s">
        <v>72</v>
      </c>
      <c r="U102" s="393" t="s">
        <v>73</v>
      </c>
      <c r="V102" s="1471" t="s">
        <v>72</v>
      </c>
      <c r="W102" s="393" t="s">
        <v>73</v>
      </c>
      <c r="X102" s="1647" t="s">
        <v>72</v>
      </c>
      <c r="Y102" s="393" t="s">
        <v>73</v>
      </c>
      <c r="Z102" s="1471" t="s">
        <v>72</v>
      </c>
      <c r="AA102" s="393" t="s">
        <v>73</v>
      </c>
      <c r="AB102" s="1395" t="s">
        <v>72</v>
      </c>
      <c r="AC102" s="394" t="s">
        <v>73</v>
      </c>
      <c r="AD102" s="1648" t="s">
        <v>812</v>
      </c>
      <c r="AE102" s="1574" t="s">
        <v>802</v>
      </c>
      <c r="AF102" s="387" t="s">
        <v>619</v>
      </c>
      <c r="AG102" s="1391" t="s">
        <v>803</v>
      </c>
      <c r="AH102" s="1395" t="s">
        <v>813</v>
      </c>
      <c r="AI102" s="393" t="s">
        <v>814</v>
      </c>
      <c r="AJ102" s="6115"/>
      <c r="AK102" s="5719"/>
      <c r="AL102" s="6116"/>
    </row>
    <row r="103" spans="1:95" s="385" customFormat="1" ht="15" customHeight="1">
      <c r="A103" s="6179" t="s">
        <v>246</v>
      </c>
      <c r="B103" s="6180"/>
      <c r="C103" s="447">
        <f t="shared" ref="C103:C156" si="86">SUM(D103:E103)</f>
        <v>0</v>
      </c>
      <c r="D103" s="409">
        <f t="shared" ref="D103:E106" si="87">SUM(F103+H103+J103+L103+N103+P103+R103+T103+V103+X103+Z103+AB103)</f>
        <v>0</v>
      </c>
      <c r="E103" s="1649">
        <f>SUM(G103+I103+K103+M103+O103+Q103+S103+U103+W103+Y103+AA103+AC103)</f>
        <v>0</v>
      </c>
      <c r="F103" s="1424"/>
      <c r="G103" s="1436"/>
      <c r="H103" s="1424"/>
      <c r="I103" s="1436"/>
      <c r="J103" s="1424"/>
      <c r="K103" s="1436"/>
      <c r="L103" s="1424"/>
      <c r="M103" s="1436"/>
      <c r="N103" s="1424"/>
      <c r="O103" s="1436"/>
      <c r="P103" s="1424"/>
      <c r="Q103" s="1436"/>
      <c r="R103" s="1424"/>
      <c r="S103" s="1436"/>
      <c r="T103" s="1424"/>
      <c r="U103" s="1436"/>
      <c r="V103" s="1424"/>
      <c r="W103" s="1436"/>
      <c r="X103" s="1425"/>
      <c r="Y103" s="1436"/>
      <c r="Z103" s="1424"/>
      <c r="AA103" s="1436"/>
      <c r="AB103" s="1424"/>
      <c r="AC103" s="1650"/>
      <c r="AD103" s="1651"/>
      <c r="AE103" s="1430"/>
      <c r="AF103" s="1430"/>
      <c r="AG103" s="1652"/>
      <c r="AH103" s="1424"/>
      <c r="AI103" s="1436"/>
      <c r="AJ103" s="1653"/>
      <c r="AK103" s="1430"/>
      <c r="AL103" s="1436"/>
      <c r="AM103" t="str">
        <f t="shared" ref="AM103:AM106" si="88">CA103&amp;CB103</f>
        <v/>
      </c>
      <c r="CA103" s="1418" t="str">
        <f t="shared" ref="CA103:CA106" si="89">IF(AND($C103&gt;0,AJ103="")," *No olvide digitar la variable Pueblos Originarios. Digite Cero si no tiene.",IF(AJ103&gt;$C103," *La variable Pueblos Originarios No puede ser mayor al Total Ambos Sexos.",""))</f>
        <v/>
      </c>
      <c r="CB103" s="1418" t="str">
        <f t="shared" ref="CB103:CB106" si="90">IF(AND($C103&gt;0,AK103="")," *No olvide digitar la variable Migrantes. Digite Cero si no tiene.",IF(AK103&gt;$C103," *La variable Migrantes No puede ser mayor al Total Ambos Sexos.",""))</f>
        <v/>
      </c>
      <c r="CC103" s="1418" t="str">
        <f t="shared" ref="CC103:CC106" si="91">IF(AND($C103&gt;0,AL103="")," *No olvide digitar la variable Servicio Nacional Protección Especializada a la Niñez y Adolescencia. Digite Cero si no tiene.",IF(AL103&gt;$C103," *La variable Servicio Nacional Protección Especializada a la Niñez y Adolescencia No puede ser mayor al Total Ambos Sexos.",""))</f>
        <v/>
      </c>
      <c r="CO103" s="1616">
        <f t="shared" ref="CO103:CO106" si="92">IF(AND($C103&gt;0,AJ103=""),1,IF(AJ103&gt;$C103,1,0))</f>
        <v>0</v>
      </c>
      <c r="CP103" s="1616">
        <f t="shared" ref="CP103:CP106" si="93">IF(AND($C103&gt;0,AK103=""),1,IF(AK103&gt;$C103,1,0))</f>
        <v>0</v>
      </c>
      <c r="CQ103" s="1616">
        <f t="shared" ref="CQ103:CQ106" si="94">IF(AND($C103&gt;0,AL103=""),1,IF(AL103&gt;$C103,1,0))</f>
        <v>0</v>
      </c>
    </row>
    <row r="104" spans="1:95" s="385" customFormat="1" ht="15" customHeight="1">
      <c r="A104" s="6167" t="s">
        <v>247</v>
      </c>
      <c r="B104" s="6168"/>
      <c r="C104" s="408">
        <f t="shared" si="86"/>
        <v>0</v>
      </c>
      <c r="D104" s="421">
        <f t="shared" si="87"/>
        <v>0</v>
      </c>
      <c r="E104" s="1654">
        <f t="shared" si="87"/>
        <v>0</v>
      </c>
      <c r="F104" s="1440"/>
      <c r="G104" s="1452"/>
      <c r="H104" s="1440"/>
      <c r="I104" s="1452"/>
      <c r="J104" s="1440"/>
      <c r="K104" s="1452"/>
      <c r="L104" s="1440"/>
      <c r="M104" s="1452"/>
      <c r="N104" s="1440"/>
      <c r="O104" s="1452"/>
      <c r="P104" s="1440"/>
      <c r="Q104" s="1452"/>
      <c r="R104" s="1440"/>
      <c r="S104" s="1452"/>
      <c r="T104" s="1440"/>
      <c r="U104" s="1452"/>
      <c r="V104" s="1440"/>
      <c r="W104" s="1452"/>
      <c r="X104" s="1441"/>
      <c r="Y104" s="1452"/>
      <c r="Z104" s="1440"/>
      <c r="AA104" s="1452"/>
      <c r="AB104" s="1440"/>
      <c r="AC104" s="1655"/>
      <c r="AD104" s="1656"/>
      <c r="AE104" s="1446"/>
      <c r="AF104" s="1446"/>
      <c r="AG104" s="1447"/>
      <c r="AH104" s="1440"/>
      <c r="AI104" s="1452"/>
      <c r="AJ104" s="1657"/>
      <c r="AK104" s="1446"/>
      <c r="AL104" s="1452"/>
      <c r="AM104" t="str">
        <f t="shared" si="88"/>
        <v/>
      </c>
      <c r="CA104" s="1418" t="str">
        <f t="shared" si="89"/>
        <v/>
      </c>
      <c r="CB104" s="1418" t="str">
        <f t="shared" si="90"/>
        <v/>
      </c>
      <c r="CC104" s="1418" t="str">
        <f t="shared" si="91"/>
        <v/>
      </c>
      <c r="CO104" s="1616">
        <f t="shared" si="92"/>
        <v>0</v>
      </c>
      <c r="CP104" s="1616">
        <f t="shared" si="93"/>
        <v>0</v>
      </c>
      <c r="CQ104" s="1616">
        <f t="shared" si="94"/>
        <v>0</v>
      </c>
    </row>
    <row r="105" spans="1:95" s="385" customFormat="1" ht="15" customHeight="1">
      <c r="A105" s="6167" t="s">
        <v>248</v>
      </c>
      <c r="B105" s="6168"/>
      <c r="C105" s="408">
        <f t="shared" si="86"/>
        <v>0</v>
      </c>
      <c r="D105" s="421">
        <f t="shared" si="87"/>
        <v>0</v>
      </c>
      <c r="E105" s="1654">
        <f t="shared" si="87"/>
        <v>0</v>
      </c>
      <c r="F105" s="1440"/>
      <c r="G105" s="1452"/>
      <c r="H105" s="1440"/>
      <c r="I105" s="1452"/>
      <c r="J105" s="1440"/>
      <c r="K105" s="1452"/>
      <c r="L105" s="1440"/>
      <c r="M105" s="1452"/>
      <c r="N105" s="1440"/>
      <c r="O105" s="1452"/>
      <c r="P105" s="1440"/>
      <c r="Q105" s="1452"/>
      <c r="R105" s="1440"/>
      <c r="S105" s="1452"/>
      <c r="T105" s="1440"/>
      <c r="U105" s="1452"/>
      <c r="V105" s="1440"/>
      <c r="W105" s="1452"/>
      <c r="X105" s="1441"/>
      <c r="Y105" s="1452"/>
      <c r="Z105" s="1440"/>
      <c r="AA105" s="1452"/>
      <c r="AB105" s="1440"/>
      <c r="AC105" s="1655"/>
      <c r="AD105" s="1656"/>
      <c r="AE105" s="1446"/>
      <c r="AF105" s="1446"/>
      <c r="AG105" s="1447"/>
      <c r="AH105" s="1440"/>
      <c r="AI105" s="1452"/>
      <c r="AJ105" s="1657"/>
      <c r="AK105" s="1446"/>
      <c r="AL105" s="1452"/>
      <c r="AM105" t="str">
        <f t="shared" si="88"/>
        <v/>
      </c>
      <c r="CA105" s="1418" t="str">
        <f t="shared" si="89"/>
        <v/>
      </c>
      <c r="CB105" s="1418" t="str">
        <f t="shared" si="90"/>
        <v/>
      </c>
      <c r="CC105" s="1418" t="str">
        <f t="shared" si="91"/>
        <v/>
      </c>
      <c r="CO105" s="1616">
        <f t="shared" si="92"/>
        <v>0</v>
      </c>
      <c r="CP105" s="1616">
        <f t="shared" si="93"/>
        <v>0</v>
      </c>
      <c r="CQ105" s="1616">
        <f t="shared" si="94"/>
        <v>0</v>
      </c>
    </row>
    <row r="106" spans="1:95" s="385" customFormat="1" ht="15" customHeight="1">
      <c r="A106" s="6169" t="s">
        <v>266</v>
      </c>
      <c r="B106" s="6170"/>
      <c r="C106" s="1658">
        <f t="shared" si="86"/>
        <v>0</v>
      </c>
      <c r="D106" s="430">
        <f t="shared" si="87"/>
        <v>0</v>
      </c>
      <c r="E106" s="1659">
        <f t="shared" si="87"/>
        <v>0</v>
      </c>
      <c r="F106" s="1455"/>
      <c r="G106" s="1467"/>
      <c r="H106" s="1455"/>
      <c r="I106" s="1467"/>
      <c r="J106" s="1455"/>
      <c r="K106" s="1467"/>
      <c r="L106" s="1455"/>
      <c r="M106" s="1467"/>
      <c r="N106" s="1455"/>
      <c r="O106" s="1467"/>
      <c r="P106" s="1455"/>
      <c r="Q106" s="1467"/>
      <c r="R106" s="1455"/>
      <c r="S106" s="1467"/>
      <c r="T106" s="1455"/>
      <c r="U106" s="1467"/>
      <c r="V106" s="1455"/>
      <c r="W106" s="1467"/>
      <c r="X106" s="1456"/>
      <c r="Y106" s="1467"/>
      <c r="Z106" s="1455"/>
      <c r="AA106" s="1467"/>
      <c r="AB106" s="1455"/>
      <c r="AC106" s="1660"/>
      <c r="AD106" s="1661"/>
      <c r="AE106" s="1461"/>
      <c r="AF106" s="1461"/>
      <c r="AG106" s="1490"/>
      <c r="AH106" s="1662"/>
      <c r="AI106" s="1663"/>
      <c r="AJ106" s="1664"/>
      <c r="AK106" s="1461"/>
      <c r="AL106" s="1467"/>
      <c r="AM106" t="str">
        <f t="shared" si="88"/>
        <v/>
      </c>
      <c r="CA106" s="1418" t="str">
        <f t="shared" si="89"/>
        <v/>
      </c>
      <c r="CB106" s="1418" t="str">
        <f t="shared" si="90"/>
        <v/>
      </c>
      <c r="CC106" s="1418" t="str">
        <f t="shared" si="91"/>
        <v/>
      </c>
      <c r="CO106" s="1616">
        <f t="shared" si="92"/>
        <v>0</v>
      </c>
      <c r="CP106" s="1616">
        <f t="shared" si="93"/>
        <v>0</v>
      </c>
      <c r="CQ106" s="1616">
        <f t="shared" si="94"/>
        <v>0</v>
      </c>
    </row>
    <row r="107" spans="1:95" s="385" customFormat="1" ht="18" customHeight="1">
      <c r="A107" s="1581" t="s">
        <v>815</v>
      </c>
      <c r="B107" s="1665"/>
      <c r="C107" s="1493"/>
      <c r="D107" s="1493"/>
      <c r="E107" s="1493"/>
      <c r="F107" s="1493"/>
      <c r="G107" s="1493"/>
      <c r="H107" s="1493"/>
      <c r="I107" s="1493"/>
      <c r="J107" s="1493"/>
      <c r="K107" s="1493"/>
      <c r="L107" s="1493"/>
      <c r="M107" s="1493"/>
    </row>
    <row r="108" spans="1:95">
      <c r="A108" s="6140" t="s">
        <v>816</v>
      </c>
      <c r="B108" s="6119"/>
      <c r="C108" s="6140" t="s">
        <v>91</v>
      </c>
      <c r="D108" s="6139"/>
      <c r="E108" s="6119"/>
      <c r="F108" s="5710" t="s">
        <v>115</v>
      </c>
      <c r="G108" s="6106"/>
      <c r="H108" s="6106"/>
      <c r="I108" s="6106"/>
      <c r="J108" s="6106"/>
      <c r="K108" s="6106"/>
      <c r="L108" s="6106"/>
      <c r="M108" s="5712"/>
    </row>
    <row r="109" spans="1:95">
      <c r="A109" s="6141"/>
      <c r="B109" s="6120"/>
      <c r="C109" s="6141"/>
      <c r="D109" s="6166"/>
      <c r="E109" s="6120"/>
      <c r="F109" s="5710" t="s">
        <v>817</v>
      </c>
      <c r="G109" s="5712"/>
      <c r="H109" s="5710" t="s">
        <v>818</v>
      </c>
      <c r="I109" s="5712"/>
      <c r="J109" s="5710" t="s">
        <v>819</v>
      </c>
      <c r="K109" s="5712"/>
      <c r="L109" s="5710" t="s">
        <v>58</v>
      </c>
      <c r="M109" s="5712"/>
    </row>
    <row r="110" spans="1:95">
      <c r="A110" s="6114"/>
      <c r="B110" s="6116"/>
      <c r="C110" s="1666" t="s">
        <v>93</v>
      </c>
      <c r="D110" s="1646" t="s">
        <v>72</v>
      </c>
      <c r="E110" s="393" t="s">
        <v>73</v>
      </c>
      <c r="F110" s="1395" t="s">
        <v>72</v>
      </c>
      <c r="G110" s="393" t="s">
        <v>73</v>
      </c>
      <c r="H110" s="1395" t="s">
        <v>72</v>
      </c>
      <c r="I110" s="393" t="s">
        <v>73</v>
      </c>
      <c r="J110" s="1395" t="s">
        <v>72</v>
      </c>
      <c r="K110" s="393" t="s">
        <v>73</v>
      </c>
      <c r="L110" s="1395" t="s">
        <v>72</v>
      </c>
      <c r="M110" s="393" t="s">
        <v>73</v>
      </c>
    </row>
    <row r="111" spans="1:95" ht="15" customHeight="1">
      <c r="A111" s="6206" t="s">
        <v>820</v>
      </c>
      <c r="B111" s="6207"/>
      <c r="C111" s="1668">
        <f t="shared" si="86"/>
        <v>0</v>
      </c>
      <c r="D111" s="1669">
        <f t="shared" ref="D111:E114" si="95">+F111+H111+J111+L111</f>
        <v>0</v>
      </c>
      <c r="E111" s="1670">
        <f t="shared" ref="E111:E112" si="96">+G111+I111+K111+M111</f>
        <v>0</v>
      </c>
      <c r="F111" s="401">
        <f>SUM(F112:F114)</f>
        <v>0</v>
      </c>
      <c r="G111" s="402">
        <f t="shared" ref="G111:M111" si="97">SUM(G112:G114)</f>
        <v>0</v>
      </c>
      <c r="H111" s="401">
        <f t="shared" si="97"/>
        <v>0</v>
      </c>
      <c r="I111" s="402">
        <f t="shared" si="97"/>
        <v>0</v>
      </c>
      <c r="J111" s="401">
        <f t="shared" si="97"/>
        <v>0</v>
      </c>
      <c r="K111" s="402">
        <f t="shared" si="97"/>
        <v>0</v>
      </c>
      <c r="L111" s="401">
        <f t="shared" si="97"/>
        <v>0</v>
      </c>
      <c r="M111" s="392">
        <f t="shared" si="97"/>
        <v>0</v>
      </c>
    </row>
    <row r="112" spans="1:95" ht="15" customHeight="1">
      <c r="A112" s="6225" t="s">
        <v>821</v>
      </c>
      <c r="B112" s="6226"/>
      <c r="C112" s="1673">
        <f t="shared" si="86"/>
        <v>0</v>
      </c>
      <c r="D112" s="1674">
        <f t="shared" si="95"/>
        <v>0</v>
      </c>
      <c r="E112" s="1675">
        <f t="shared" si="96"/>
        <v>0</v>
      </c>
      <c r="F112" s="1424"/>
      <c r="G112" s="1436"/>
      <c r="H112" s="1424"/>
      <c r="I112" s="1436"/>
      <c r="J112" s="1424"/>
      <c r="K112" s="1676"/>
      <c r="L112" s="1424"/>
      <c r="M112" s="1676"/>
    </row>
    <row r="113" spans="1:94" ht="15" customHeight="1">
      <c r="A113" s="6208" t="s">
        <v>822</v>
      </c>
      <c r="B113" s="6209"/>
      <c r="C113" s="1677">
        <f t="shared" si="86"/>
        <v>0</v>
      </c>
      <c r="D113" s="1678">
        <f t="shared" si="95"/>
        <v>0</v>
      </c>
      <c r="E113" s="1679">
        <f t="shared" si="95"/>
        <v>0</v>
      </c>
      <c r="F113" s="1440"/>
      <c r="G113" s="1452"/>
      <c r="H113" s="1440"/>
      <c r="I113" s="1452"/>
      <c r="J113" s="1440"/>
      <c r="K113" s="1680"/>
      <c r="L113" s="1440"/>
      <c r="M113" s="1680"/>
    </row>
    <row r="114" spans="1:94" ht="15" customHeight="1">
      <c r="A114" s="6171" t="s">
        <v>823</v>
      </c>
      <c r="B114" s="6172"/>
      <c r="C114" s="1681">
        <f t="shared" si="86"/>
        <v>0</v>
      </c>
      <c r="D114" s="1682">
        <f t="shared" si="95"/>
        <v>0</v>
      </c>
      <c r="E114" s="1683">
        <f t="shared" si="95"/>
        <v>0</v>
      </c>
      <c r="F114" s="1455"/>
      <c r="G114" s="1467"/>
      <c r="H114" s="1455"/>
      <c r="I114" s="1467"/>
      <c r="J114" s="1455"/>
      <c r="K114" s="1684"/>
      <c r="L114" s="1455"/>
      <c r="M114" s="1684"/>
    </row>
    <row r="115" spans="1:94" s="385" customFormat="1" ht="18" customHeight="1">
      <c r="A115" s="1685" t="s">
        <v>824</v>
      </c>
      <c r="B115" s="1686"/>
      <c r="C115" s="1582"/>
      <c r="D115" s="1582"/>
      <c r="E115" s="1582"/>
      <c r="F115" s="1582"/>
      <c r="G115" s="1582"/>
      <c r="H115" s="1582"/>
      <c r="I115" s="1582"/>
      <c r="J115" s="1582"/>
      <c r="K115" s="1582"/>
      <c r="L115" s="1582"/>
      <c r="M115" s="1582"/>
      <c r="N115" s="1582"/>
      <c r="O115" s="1582"/>
      <c r="P115" s="1582"/>
      <c r="Q115" s="1582"/>
      <c r="R115" s="1582"/>
      <c r="S115" s="1582"/>
      <c r="T115" s="1582"/>
      <c r="U115" s="1582"/>
      <c r="V115" s="1582"/>
      <c r="W115" s="1582"/>
      <c r="X115" s="1582"/>
      <c r="Y115" s="1582"/>
      <c r="Z115" s="1582"/>
      <c r="AA115" s="1582"/>
      <c r="AB115" s="1582"/>
      <c r="AC115" s="1582"/>
      <c r="AD115" s="1582"/>
      <c r="AE115" s="1582"/>
      <c r="AF115" s="1582"/>
      <c r="AG115" s="1582"/>
      <c r="AH115" s="1582"/>
      <c r="AI115" s="1582"/>
    </row>
    <row r="116" spans="1:94">
      <c r="A116" s="6140" t="s">
        <v>305</v>
      </c>
      <c r="B116" s="6119"/>
      <c r="C116" s="6140" t="s">
        <v>91</v>
      </c>
      <c r="D116" s="6139"/>
      <c r="E116" s="6119"/>
      <c r="F116" s="5710" t="s">
        <v>115</v>
      </c>
      <c r="G116" s="6106"/>
      <c r="H116" s="6106"/>
      <c r="I116" s="6106"/>
      <c r="J116" s="6106"/>
      <c r="K116" s="6106"/>
      <c r="L116" s="6106"/>
      <c r="M116" s="6106"/>
      <c r="N116" s="6106"/>
      <c r="O116" s="6106"/>
      <c r="P116" s="6106"/>
      <c r="Q116" s="6106"/>
      <c r="R116" s="6106"/>
      <c r="S116" s="6106"/>
      <c r="T116" s="6106"/>
      <c r="U116" s="6106"/>
      <c r="V116" s="6106"/>
      <c r="W116" s="6106"/>
      <c r="X116" s="6106"/>
      <c r="Y116" s="6106"/>
      <c r="Z116" s="6106"/>
      <c r="AA116" s="6106"/>
      <c r="AB116" s="6106"/>
      <c r="AC116" s="6106"/>
      <c r="AD116" s="6106"/>
      <c r="AE116" s="6106"/>
      <c r="AF116" s="6106"/>
      <c r="AG116" s="5716"/>
      <c r="AH116" s="5714" t="s">
        <v>50</v>
      </c>
      <c r="AI116" s="5718" t="s">
        <v>51</v>
      </c>
    </row>
    <row r="117" spans="1:94">
      <c r="A117" s="6141"/>
      <c r="B117" s="6120"/>
      <c r="C117" s="6141"/>
      <c r="D117" s="6166"/>
      <c r="E117" s="6120"/>
      <c r="F117" s="5707" t="s">
        <v>58</v>
      </c>
      <c r="G117" s="5709"/>
      <c r="H117" s="6142" t="s">
        <v>59</v>
      </c>
      <c r="I117" s="6142"/>
      <c r="J117" s="6142" t="s">
        <v>60</v>
      </c>
      <c r="K117" s="6142"/>
      <c r="L117" s="6142" t="s">
        <v>61</v>
      </c>
      <c r="M117" s="6142"/>
      <c r="N117" s="6142" t="s">
        <v>62</v>
      </c>
      <c r="O117" s="6142"/>
      <c r="P117" s="6142" t="s">
        <v>63</v>
      </c>
      <c r="Q117" s="6142"/>
      <c r="R117" s="6142" t="s">
        <v>64</v>
      </c>
      <c r="S117" s="6142"/>
      <c r="T117" s="6142" t="s">
        <v>65</v>
      </c>
      <c r="U117" s="6142"/>
      <c r="V117" s="6142" t="s">
        <v>66</v>
      </c>
      <c r="W117" s="6142"/>
      <c r="X117" s="6142" t="s">
        <v>67</v>
      </c>
      <c r="Y117" s="6142"/>
      <c r="Z117" s="5710" t="s">
        <v>68</v>
      </c>
      <c r="AA117" s="5712"/>
      <c r="AB117" s="5710" t="s">
        <v>69</v>
      </c>
      <c r="AC117" s="5712"/>
      <c r="AD117" s="5710" t="s">
        <v>70</v>
      </c>
      <c r="AE117" s="5712"/>
      <c r="AF117" s="5710" t="s">
        <v>71</v>
      </c>
      <c r="AG117" s="5716"/>
      <c r="AH117" s="6138"/>
      <c r="AI117" s="6110"/>
    </row>
    <row r="118" spans="1:94">
      <c r="A118" s="6114"/>
      <c r="B118" s="6116"/>
      <c r="C118" s="1395" t="s">
        <v>93</v>
      </c>
      <c r="D118" s="1646" t="s">
        <v>72</v>
      </c>
      <c r="E118" s="393" t="s">
        <v>73</v>
      </c>
      <c r="F118" s="1471" t="s">
        <v>72</v>
      </c>
      <c r="G118" s="1496" t="s">
        <v>73</v>
      </c>
      <c r="H118" s="1471" t="s">
        <v>72</v>
      </c>
      <c r="I118" s="1496" t="s">
        <v>73</v>
      </c>
      <c r="J118" s="1471" t="s">
        <v>72</v>
      </c>
      <c r="K118" s="1496" t="s">
        <v>73</v>
      </c>
      <c r="L118" s="1471" t="s">
        <v>72</v>
      </c>
      <c r="M118" s="1496" t="s">
        <v>73</v>
      </c>
      <c r="N118" s="1471" t="s">
        <v>72</v>
      </c>
      <c r="O118" s="1496" t="s">
        <v>73</v>
      </c>
      <c r="P118" s="1471" t="s">
        <v>72</v>
      </c>
      <c r="Q118" s="1496" t="s">
        <v>73</v>
      </c>
      <c r="R118" s="1471" t="s">
        <v>72</v>
      </c>
      <c r="S118" s="1496" t="s">
        <v>73</v>
      </c>
      <c r="T118" s="1471" t="s">
        <v>72</v>
      </c>
      <c r="U118" s="1496" t="s">
        <v>73</v>
      </c>
      <c r="V118" s="1471" t="s">
        <v>72</v>
      </c>
      <c r="W118" s="1496" t="s">
        <v>73</v>
      </c>
      <c r="X118" s="1471" t="s">
        <v>72</v>
      </c>
      <c r="Y118" s="1496" t="s">
        <v>73</v>
      </c>
      <c r="Z118" s="1471" t="s">
        <v>72</v>
      </c>
      <c r="AA118" s="1496" t="s">
        <v>73</v>
      </c>
      <c r="AB118" s="1471" t="s">
        <v>72</v>
      </c>
      <c r="AC118" s="1496" t="s">
        <v>73</v>
      </c>
      <c r="AD118" s="1471" t="s">
        <v>72</v>
      </c>
      <c r="AE118" s="1496" t="s">
        <v>73</v>
      </c>
      <c r="AF118" s="1471" t="s">
        <v>72</v>
      </c>
      <c r="AG118" s="1472" t="s">
        <v>73</v>
      </c>
      <c r="AH118" s="5715"/>
      <c r="AI118" s="5719"/>
    </row>
    <row r="119" spans="1:94" ht="15" customHeight="1">
      <c r="A119" s="6202" t="s">
        <v>825</v>
      </c>
      <c r="B119" s="5711"/>
      <c r="C119" s="401">
        <f t="shared" si="86"/>
        <v>0</v>
      </c>
      <c r="D119" s="1501">
        <f t="shared" ref="D119:E140" si="98">SUM(F119+H119+J119+L119+N119+P119+R119+T119+V119+X119+Z119+AB119+AD119+AF119)</f>
        <v>0</v>
      </c>
      <c r="E119" s="403">
        <f t="shared" ref="E119:E128" si="99">SUM(+G119+I119+K119+M119+O119+Q119+S119+U119+W119+Y119+AA119+AC119+AE119+AG119)</f>
        <v>0</v>
      </c>
      <c r="F119" s="1424"/>
      <c r="G119" s="1425"/>
      <c r="H119" s="1424"/>
      <c r="I119" s="1425"/>
      <c r="J119" s="1424"/>
      <c r="K119" s="1425"/>
      <c r="L119" s="1424"/>
      <c r="M119" s="1425"/>
      <c r="N119" s="1424"/>
      <c r="O119" s="1425"/>
      <c r="P119" s="1424"/>
      <c r="Q119" s="1425"/>
      <c r="R119" s="1424"/>
      <c r="S119" s="1425"/>
      <c r="T119" s="1424"/>
      <c r="U119" s="1425"/>
      <c r="V119" s="1424"/>
      <c r="W119" s="1425"/>
      <c r="X119" s="1424"/>
      <c r="Y119" s="1425"/>
      <c r="Z119" s="1424"/>
      <c r="AA119" s="1425"/>
      <c r="AB119" s="1424"/>
      <c r="AC119" s="1425"/>
      <c r="AD119" s="1424"/>
      <c r="AE119" s="1425"/>
      <c r="AF119" s="1424"/>
      <c r="AG119" s="1428"/>
      <c r="AH119" s="1429"/>
      <c r="AI119" s="1430"/>
      <c r="AJ119" t="str">
        <f t="shared" ref="AJ119:AJ128" si="100">CA119&amp;CB119</f>
        <v/>
      </c>
      <c r="CA119" s="1418" t="str">
        <f t="shared" ref="CA119:CA128" si="101">IF(AND(C119&gt;0,AH119="")," * No olvide digitar la variable Pueblos originarios. Digite Cero si no tiene.",IF(AH119&gt;C119,"* La variable Pueblos originarios No puede ser mayor al Total.",""))</f>
        <v/>
      </c>
      <c r="CB119" s="1418" t="str">
        <f t="shared" ref="CB119:CB128" si="102">IF(AND(C119&gt;0,AI119="")," * No olvide digitar la variable Migrantes. Digite Cero si no tiene.",IF(AI119&gt;C119,"* La variable Migrantes No puede ser mayor al Total.",""))</f>
        <v/>
      </c>
      <c r="CO119" s="419">
        <f t="shared" ref="CO119:CO128" si="103">IF(AND($C119&gt;0,AH119=""),1,IF(AH119&gt;$C119,1,0))</f>
        <v>0</v>
      </c>
      <c r="CP119" s="419">
        <f t="shared" ref="CP119:CP128" si="104">IF(AND($C119&gt;0,AI119=""),1,IF(AI119&gt;$C119,1,0))</f>
        <v>0</v>
      </c>
    </row>
    <row r="120" spans="1:94" ht="15" customHeight="1">
      <c r="A120" s="6127" t="s">
        <v>826</v>
      </c>
      <c r="B120" s="1422" t="s">
        <v>827</v>
      </c>
      <c r="C120" s="1687">
        <f t="shared" si="86"/>
        <v>0</v>
      </c>
      <c r="D120" s="1688">
        <f t="shared" si="98"/>
        <v>0</v>
      </c>
      <c r="E120" s="1689">
        <f t="shared" si="99"/>
        <v>0</v>
      </c>
      <c r="F120" s="1424"/>
      <c r="G120" s="1436"/>
      <c r="H120" s="1424"/>
      <c r="I120" s="1436"/>
      <c r="J120" s="1424"/>
      <c r="K120" s="1436"/>
      <c r="L120" s="1424"/>
      <c r="M120" s="1436"/>
      <c r="N120" s="1424"/>
      <c r="O120" s="1436"/>
      <c r="P120" s="1424"/>
      <c r="Q120" s="1436"/>
      <c r="R120" s="1424"/>
      <c r="S120" s="1436"/>
      <c r="T120" s="1424"/>
      <c r="U120" s="1436"/>
      <c r="V120" s="1424"/>
      <c r="W120" s="1436"/>
      <c r="X120" s="1424"/>
      <c r="Y120" s="1436"/>
      <c r="Z120" s="1424"/>
      <c r="AA120" s="1436"/>
      <c r="AB120" s="1424"/>
      <c r="AC120" s="1436"/>
      <c r="AD120" s="1424"/>
      <c r="AE120" s="1436"/>
      <c r="AF120" s="1424"/>
      <c r="AG120" s="1428"/>
      <c r="AH120" s="1429"/>
      <c r="AI120" s="1430"/>
      <c r="AJ120" t="str">
        <f t="shared" si="100"/>
        <v/>
      </c>
      <c r="CA120" s="1418" t="str">
        <f t="shared" si="101"/>
        <v/>
      </c>
      <c r="CB120" s="1418" t="str">
        <f t="shared" si="102"/>
        <v/>
      </c>
      <c r="CO120" s="419">
        <f t="shared" si="103"/>
        <v>0</v>
      </c>
      <c r="CP120" s="419">
        <f t="shared" si="104"/>
        <v>0</v>
      </c>
    </row>
    <row r="121" spans="1:94" ht="15" customHeight="1">
      <c r="A121" s="6128"/>
      <c r="B121" s="1512" t="s">
        <v>828</v>
      </c>
      <c r="C121" s="408">
        <f t="shared" si="86"/>
        <v>0</v>
      </c>
      <c r="D121" s="1690">
        <f t="shared" si="98"/>
        <v>0</v>
      </c>
      <c r="E121" s="1654">
        <f t="shared" si="99"/>
        <v>0</v>
      </c>
      <c r="F121" s="1440"/>
      <c r="G121" s="1452"/>
      <c r="H121" s="1440"/>
      <c r="I121" s="1452"/>
      <c r="J121" s="1440"/>
      <c r="K121" s="1452"/>
      <c r="L121" s="1440"/>
      <c r="M121" s="1452"/>
      <c r="N121" s="1440"/>
      <c r="O121" s="1452"/>
      <c r="P121" s="1440"/>
      <c r="Q121" s="1452"/>
      <c r="R121" s="1440"/>
      <c r="S121" s="1452"/>
      <c r="T121" s="1440"/>
      <c r="U121" s="1452"/>
      <c r="V121" s="1440"/>
      <c r="W121" s="1452"/>
      <c r="X121" s="1440"/>
      <c r="Y121" s="1452"/>
      <c r="Z121" s="1440"/>
      <c r="AA121" s="1452"/>
      <c r="AB121" s="1440"/>
      <c r="AC121" s="1452"/>
      <c r="AD121" s="1440"/>
      <c r="AE121" s="1452"/>
      <c r="AF121" s="1440"/>
      <c r="AG121" s="1444"/>
      <c r="AH121" s="1445"/>
      <c r="AI121" s="1446"/>
      <c r="AJ121" t="str">
        <f t="shared" si="100"/>
        <v/>
      </c>
      <c r="CA121" s="1418" t="str">
        <f t="shared" si="101"/>
        <v/>
      </c>
      <c r="CB121" s="1418" t="str">
        <f t="shared" si="102"/>
        <v/>
      </c>
      <c r="CO121" s="419">
        <f t="shared" si="103"/>
        <v>0</v>
      </c>
      <c r="CP121" s="419">
        <f t="shared" si="104"/>
        <v>0</v>
      </c>
    </row>
    <row r="122" spans="1:94" ht="15" customHeight="1">
      <c r="A122" s="6128"/>
      <c r="B122" s="1512" t="s">
        <v>829</v>
      </c>
      <c r="C122" s="408">
        <f t="shared" si="86"/>
        <v>0</v>
      </c>
      <c r="D122" s="1690">
        <f t="shared" si="98"/>
        <v>0</v>
      </c>
      <c r="E122" s="1654">
        <f t="shared" si="99"/>
        <v>0</v>
      </c>
      <c r="F122" s="1440"/>
      <c r="G122" s="1452"/>
      <c r="H122" s="1440"/>
      <c r="I122" s="1452"/>
      <c r="J122" s="1440"/>
      <c r="K122" s="1452"/>
      <c r="L122" s="1440"/>
      <c r="M122" s="1452"/>
      <c r="N122" s="1440"/>
      <c r="O122" s="1452"/>
      <c r="P122" s="1440"/>
      <c r="Q122" s="1452"/>
      <c r="R122" s="1440"/>
      <c r="S122" s="1452"/>
      <c r="T122" s="1440"/>
      <c r="U122" s="1452"/>
      <c r="V122" s="1440"/>
      <c r="W122" s="1452"/>
      <c r="X122" s="1440"/>
      <c r="Y122" s="1452"/>
      <c r="Z122" s="1440"/>
      <c r="AA122" s="1452"/>
      <c r="AB122" s="1440"/>
      <c r="AC122" s="1452"/>
      <c r="AD122" s="1440"/>
      <c r="AE122" s="1452"/>
      <c r="AF122" s="1440"/>
      <c r="AG122" s="1444"/>
      <c r="AH122" s="1445"/>
      <c r="AI122" s="1446"/>
      <c r="AJ122" t="str">
        <f t="shared" si="100"/>
        <v/>
      </c>
      <c r="CA122" s="1418" t="str">
        <f t="shared" si="101"/>
        <v/>
      </c>
      <c r="CB122" s="1418" t="str">
        <f t="shared" si="102"/>
        <v/>
      </c>
      <c r="CO122" s="419">
        <f t="shared" si="103"/>
        <v>0</v>
      </c>
      <c r="CP122" s="419">
        <f t="shared" si="104"/>
        <v>0</v>
      </c>
    </row>
    <row r="123" spans="1:94" ht="22.5" customHeight="1">
      <c r="A123" s="6128"/>
      <c r="B123" s="1691" t="s">
        <v>830</v>
      </c>
      <c r="C123" s="408">
        <f t="shared" si="86"/>
        <v>0</v>
      </c>
      <c r="D123" s="1690">
        <f t="shared" si="98"/>
        <v>0</v>
      </c>
      <c r="E123" s="1654">
        <f t="shared" si="99"/>
        <v>0</v>
      </c>
      <c r="F123" s="1440"/>
      <c r="G123" s="1452"/>
      <c r="H123" s="1440"/>
      <c r="I123" s="1452"/>
      <c r="J123" s="1440"/>
      <c r="K123" s="1452"/>
      <c r="L123" s="1440"/>
      <c r="M123" s="1452"/>
      <c r="N123" s="1440"/>
      <c r="O123" s="1452"/>
      <c r="P123" s="1440"/>
      <c r="Q123" s="1452"/>
      <c r="R123" s="1440"/>
      <c r="S123" s="1452"/>
      <c r="T123" s="1440"/>
      <c r="U123" s="1452"/>
      <c r="V123" s="1440"/>
      <c r="W123" s="1452"/>
      <c r="X123" s="1440"/>
      <c r="Y123" s="1452"/>
      <c r="Z123" s="1440"/>
      <c r="AA123" s="1452"/>
      <c r="AB123" s="1440"/>
      <c r="AC123" s="1452"/>
      <c r="AD123" s="1440"/>
      <c r="AE123" s="1452"/>
      <c r="AF123" s="1440"/>
      <c r="AG123" s="1444"/>
      <c r="AH123" s="1445"/>
      <c r="AI123" s="1446"/>
      <c r="AJ123" t="str">
        <f t="shared" si="100"/>
        <v/>
      </c>
      <c r="CA123" s="1418" t="str">
        <f t="shared" si="101"/>
        <v/>
      </c>
      <c r="CB123" s="1418" t="str">
        <f t="shared" si="102"/>
        <v/>
      </c>
      <c r="CO123" s="419">
        <f t="shared" si="103"/>
        <v>0</v>
      </c>
      <c r="CP123" s="419">
        <f t="shared" si="104"/>
        <v>0</v>
      </c>
    </row>
    <row r="124" spans="1:94" ht="26.25" customHeight="1">
      <c r="A124" s="6128"/>
      <c r="B124" s="1691" t="s">
        <v>831</v>
      </c>
      <c r="C124" s="408">
        <f t="shared" si="86"/>
        <v>0</v>
      </c>
      <c r="D124" s="1690">
        <f t="shared" si="98"/>
        <v>0</v>
      </c>
      <c r="E124" s="1654">
        <f t="shared" si="99"/>
        <v>0</v>
      </c>
      <c r="F124" s="1485"/>
      <c r="G124" s="1692"/>
      <c r="H124" s="1485"/>
      <c r="I124" s="1692"/>
      <c r="J124" s="1485"/>
      <c r="K124" s="1692"/>
      <c r="L124" s="1485"/>
      <c r="M124" s="1692"/>
      <c r="N124" s="1485"/>
      <c r="O124" s="1692"/>
      <c r="P124" s="1485"/>
      <c r="Q124" s="1692"/>
      <c r="R124" s="1485"/>
      <c r="S124" s="1692"/>
      <c r="T124" s="1485"/>
      <c r="U124" s="1692"/>
      <c r="V124" s="1485"/>
      <c r="W124" s="1692"/>
      <c r="X124" s="1485"/>
      <c r="Y124" s="1692"/>
      <c r="Z124" s="1485"/>
      <c r="AA124" s="1692"/>
      <c r="AB124" s="1485"/>
      <c r="AC124" s="1692"/>
      <c r="AD124" s="1485"/>
      <c r="AE124" s="1692"/>
      <c r="AF124" s="1485"/>
      <c r="AG124" s="1486"/>
      <c r="AH124" s="1693"/>
      <c r="AI124" s="1488"/>
      <c r="AJ124" t="str">
        <f t="shared" si="100"/>
        <v/>
      </c>
      <c r="CA124" s="1418" t="str">
        <f t="shared" si="101"/>
        <v/>
      </c>
      <c r="CB124" s="1418" t="str">
        <f t="shared" si="102"/>
        <v/>
      </c>
      <c r="CO124" s="419">
        <f t="shared" si="103"/>
        <v>0</v>
      </c>
      <c r="CP124" s="419">
        <f t="shared" si="104"/>
        <v>0</v>
      </c>
    </row>
    <row r="125" spans="1:94" ht="15" customHeight="1">
      <c r="A125" s="6128"/>
      <c r="B125" s="1691" t="s">
        <v>832</v>
      </c>
      <c r="C125" s="408">
        <f t="shared" si="86"/>
        <v>0</v>
      </c>
      <c r="D125" s="1690">
        <f t="shared" si="98"/>
        <v>0</v>
      </c>
      <c r="E125" s="1654">
        <f t="shared" si="99"/>
        <v>0</v>
      </c>
      <c r="F125" s="1485"/>
      <c r="G125" s="1692"/>
      <c r="H125" s="1485"/>
      <c r="I125" s="1692"/>
      <c r="J125" s="1485"/>
      <c r="K125" s="1692"/>
      <c r="L125" s="1485"/>
      <c r="M125" s="1692"/>
      <c r="N125" s="1485"/>
      <c r="O125" s="1692"/>
      <c r="P125" s="1485"/>
      <c r="Q125" s="1692"/>
      <c r="R125" s="1485"/>
      <c r="S125" s="1692"/>
      <c r="T125" s="1485"/>
      <c r="U125" s="1692"/>
      <c r="V125" s="1485"/>
      <c r="W125" s="1692"/>
      <c r="X125" s="1485"/>
      <c r="Y125" s="1692"/>
      <c r="Z125" s="1485"/>
      <c r="AA125" s="1692"/>
      <c r="AB125" s="1485"/>
      <c r="AC125" s="1692"/>
      <c r="AD125" s="1485"/>
      <c r="AE125" s="1692"/>
      <c r="AF125" s="1485"/>
      <c r="AG125" s="1486"/>
      <c r="AH125" s="1693"/>
      <c r="AI125" s="1488"/>
      <c r="AJ125" t="str">
        <f t="shared" si="100"/>
        <v/>
      </c>
      <c r="CA125" s="1418" t="str">
        <f t="shared" si="101"/>
        <v/>
      </c>
      <c r="CB125" s="1418" t="str">
        <f t="shared" si="102"/>
        <v/>
      </c>
      <c r="CO125" s="419">
        <f t="shared" si="103"/>
        <v>0</v>
      </c>
      <c r="CP125" s="419">
        <f t="shared" si="104"/>
        <v>0</v>
      </c>
    </row>
    <row r="126" spans="1:94" ht="15" customHeight="1">
      <c r="A126" s="6128"/>
      <c r="B126" s="1694" t="s">
        <v>833</v>
      </c>
      <c r="C126" s="408">
        <f t="shared" si="86"/>
        <v>0</v>
      </c>
      <c r="D126" s="1690">
        <f t="shared" si="98"/>
        <v>0</v>
      </c>
      <c r="E126" s="1654">
        <f t="shared" si="99"/>
        <v>0</v>
      </c>
      <c r="F126" s="1485"/>
      <c r="G126" s="1692"/>
      <c r="H126" s="1485"/>
      <c r="I126" s="1692"/>
      <c r="J126" s="1485"/>
      <c r="K126" s="1692"/>
      <c r="L126" s="1485"/>
      <c r="M126" s="1692"/>
      <c r="N126" s="1485"/>
      <c r="O126" s="1692"/>
      <c r="P126" s="1485"/>
      <c r="Q126" s="1692"/>
      <c r="R126" s="1485"/>
      <c r="S126" s="1692"/>
      <c r="T126" s="1485"/>
      <c r="U126" s="1692"/>
      <c r="V126" s="1485"/>
      <c r="W126" s="1692"/>
      <c r="X126" s="1485"/>
      <c r="Y126" s="1692"/>
      <c r="Z126" s="1485"/>
      <c r="AA126" s="1692"/>
      <c r="AB126" s="1485"/>
      <c r="AC126" s="1692"/>
      <c r="AD126" s="1485"/>
      <c r="AE126" s="1692"/>
      <c r="AF126" s="1485"/>
      <c r="AG126" s="1486"/>
      <c r="AH126" s="1693"/>
      <c r="AI126" s="1488"/>
      <c r="AJ126" t="str">
        <f t="shared" si="100"/>
        <v/>
      </c>
      <c r="CA126" s="1418" t="str">
        <f t="shared" si="101"/>
        <v/>
      </c>
      <c r="CB126" s="1418" t="str">
        <f t="shared" si="102"/>
        <v/>
      </c>
      <c r="CO126" s="419">
        <f t="shared" si="103"/>
        <v>0</v>
      </c>
      <c r="CP126" s="419">
        <f t="shared" si="104"/>
        <v>0</v>
      </c>
    </row>
    <row r="127" spans="1:94" ht="15" customHeight="1">
      <c r="A127" s="6129"/>
      <c r="B127" s="1506" t="s">
        <v>834</v>
      </c>
      <c r="C127" s="1695">
        <f t="shared" si="86"/>
        <v>0</v>
      </c>
      <c r="D127" s="1696">
        <f>SUM(V127+X127+Z127+AB127+AD127+AF127)</f>
        <v>0</v>
      </c>
      <c r="E127" s="1697">
        <f>SUM(W127+Y127+AA127+AC127+AE127+AG127)</f>
        <v>0</v>
      </c>
      <c r="F127" s="1698"/>
      <c r="G127" s="1699"/>
      <c r="H127" s="1698"/>
      <c r="I127" s="1699"/>
      <c r="J127" s="1698"/>
      <c r="K127" s="1699"/>
      <c r="L127" s="1698"/>
      <c r="M127" s="1699"/>
      <c r="N127" s="1698"/>
      <c r="O127" s="1699"/>
      <c r="P127" s="1698"/>
      <c r="Q127" s="1699"/>
      <c r="R127" s="1698"/>
      <c r="S127" s="1699"/>
      <c r="T127" s="1698"/>
      <c r="U127" s="1699"/>
      <c r="V127" s="1455"/>
      <c r="W127" s="1467"/>
      <c r="X127" s="1455"/>
      <c r="Y127" s="1467"/>
      <c r="Z127" s="1455"/>
      <c r="AA127" s="1467"/>
      <c r="AB127" s="1455"/>
      <c r="AC127" s="1467"/>
      <c r="AD127" s="1455"/>
      <c r="AE127" s="1467"/>
      <c r="AF127" s="1455"/>
      <c r="AG127" s="1459"/>
      <c r="AH127" s="1460"/>
      <c r="AI127" s="1461"/>
      <c r="AJ127" t="str">
        <f t="shared" si="100"/>
        <v/>
      </c>
      <c r="CA127" s="1418" t="str">
        <f t="shared" si="101"/>
        <v/>
      </c>
      <c r="CB127" s="1418" t="str">
        <f t="shared" si="102"/>
        <v/>
      </c>
      <c r="CO127" s="419">
        <f t="shared" si="103"/>
        <v>0</v>
      </c>
      <c r="CP127" s="419">
        <f t="shared" si="104"/>
        <v>0</v>
      </c>
    </row>
    <row r="128" spans="1:94" ht="15" customHeight="1">
      <c r="A128" s="6205" t="s">
        <v>835</v>
      </c>
      <c r="B128" s="6205"/>
      <c r="C128" s="401">
        <f t="shared" si="86"/>
        <v>0</v>
      </c>
      <c r="D128" s="1501">
        <f t="shared" si="98"/>
        <v>0</v>
      </c>
      <c r="E128" s="403">
        <f t="shared" si="99"/>
        <v>0</v>
      </c>
      <c r="F128" s="1475"/>
      <c r="G128" s="1539"/>
      <c r="H128" s="1475"/>
      <c r="I128" s="1539"/>
      <c r="J128" s="1475"/>
      <c r="K128" s="1539"/>
      <c r="L128" s="1475"/>
      <c r="M128" s="1539"/>
      <c r="N128" s="1475"/>
      <c r="O128" s="1539"/>
      <c r="P128" s="1475"/>
      <c r="Q128" s="1539"/>
      <c r="R128" s="1475"/>
      <c r="S128" s="1539"/>
      <c r="T128" s="1475"/>
      <c r="U128" s="1539"/>
      <c r="V128" s="1475"/>
      <c r="W128" s="1539"/>
      <c r="X128" s="1475"/>
      <c r="Y128" s="1539"/>
      <c r="Z128" s="1475"/>
      <c r="AA128" s="1539"/>
      <c r="AB128" s="1475"/>
      <c r="AC128" s="1539"/>
      <c r="AD128" s="1475"/>
      <c r="AE128" s="1539"/>
      <c r="AF128" s="1475"/>
      <c r="AG128" s="1476"/>
      <c r="AH128" s="1538"/>
      <c r="AI128" s="1478"/>
      <c r="AJ128" t="str">
        <f t="shared" si="100"/>
        <v/>
      </c>
      <c r="CA128" s="1418" t="str">
        <f t="shared" si="101"/>
        <v/>
      </c>
      <c r="CB128" s="1418" t="str">
        <f t="shared" si="102"/>
        <v/>
      </c>
      <c r="CO128" s="419">
        <f t="shared" si="103"/>
        <v>0</v>
      </c>
      <c r="CP128" s="419">
        <f t="shared" si="104"/>
        <v>0</v>
      </c>
    </row>
    <row r="129" spans="1:95" s="385" customFormat="1" ht="18" customHeight="1">
      <c r="A129" s="1581" t="s">
        <v>836</v>
      </c>
      <c r="B129" s="1581"/>
      <c r="C129" s="1493"/>
      <c r="D129" s="1493"/>
      <c r="E129" s="1493"/>
      <c r="F129" s="1493"/>
      <c r="G129" s="1493"/>
      <c r="H129" s="1493"/>
      <c r="I129" s="1493"/>
      <c r="J129" s="1493"/>
      <c r="K129" s="1493"/>
      <c r="L129" s="1493"/>
      <c r="M129" s="1493"/>
      <c r="N129" s="1493"/>
      <c r="O129" s="1493"/>
      <c r="P129" s="1493"/>
      <c r="Q129" s="1493"/>
      <c r="R129" s="1493"/>
      <c r="S129" s="1493"/>
      <c r="T129" s="1493"/>
      <c r="U129" s="1493"/>
      <c r="V129" s="1493"/>
      <c r="W129" s="1493"/>
      <c r="X129" s="1493"/>
      <c r="Y129" s="1493"/>
      <c r="Z129" s="1493"/>
      <c r="AA129" s="1493"/>
      <c r="AB129" s="1493"/>
      <c r="AC129" s="1493"/>
      <c r="AD129" s="1493"/>
      <c r="AE129" s="1493"/>
      <c r="AF129" s="1493"/>
      <c r="AG129" s="1493"/>
      <c r="AH129" s="1493"/>
      <c r="AI129" s="1493"/>
      <c r="AJ129" s="1493"/>
      <c r="AK129" s="1493"/>
      <c r="AL129" s="1700"/>
      <c r="AM129" s="1700"/>
    </row>
    <row r="130" spans="1:95">
      <c r="A130" s="6140" t="s">
        <v>305</v>
      </c>
      <c r="B130" s="6119"/>
      <c r="C130" s="5718" t="s">
        <v>91</v>
      </c>
      <c r="D130" s="5718"/>
      <c r="E130" s="5718"/>
      <c r="F130" s="5710" t="s">
        <v>115</v>
      </c>
      <c r="G130" s="6106"/>
      <c r="H130" s="6106"/>
      <c r="I130" s="6106"/>
      <c r="J130" s="6106"/>
      <c r="K130" s="6106"/>
      <c r="L130" s="6106"/>
      <c r="M130" s="6106"/>
      <c r="N130" s="6106"/>
      <c r="O130" s="6106"/>
      <c r="P130" s="6106"/>
      <c r="Q130" s="6106"/>
      <c r="R130" s="6106"/>
      <c r="S130" s="6106"/>
      <c r="T130" s="6106"/>
      <c r="U130" s="6106"/>
      <c r="V130" s="6106"/>
      <c r="W130" s="6106"/>
      <c r="X130" s="6106"/>
      <c r="Y130" s="6106"/>
      <c r="Z130" s="6106"/>
      <c r="AA130" s="6106"/>
      <c r="AB130" s="6106"/>
      <c r="AC130" s="6106"/>
      <c r="AD130" s="6106"/>
      <c r="AE130" s="6106"/>
      <c r="AF130" s="6106"/>
      <c r="AG130" s="5716"/>
      <c r="AH130" s="6218" t="s">
        <v>837</v>
      </c>
      <c r="AI130" s="6219"/>
      <c r="AJ130" s="6219"/>
      <c r="AK130" s="6220"/>
      <c r="AL130" s="5714" t="s">
        <v>50</v>
      </c>
      <c r="AM130" s="5718" t="s">
        <v>51</v>
      </c>
    </row>
    <row r="131" spans="1:95">
      <c r="A131" s="6141"/>
      <c r="B131" s="6120"/>
      <c r="C131" s="6110"/>
      <c r="D131" s="6110"/>
      <c r="E131" s="6110"/>
      <c r="F131" s="6142" t="s">
        <v>58</v>
      </c>
      <c r="G131" s="6142"/>
      <c r="H131" s="6142" t="s">
        <v>59</v>
      </c>
      <c r="I131" s="6142"/>
      <c r="J131" s="6142" t="s">
        <v>60</v>
      </c>
      <c r="K131" s="6142"/>
      <c r="L131" s="6142" t="s">
        <v>61</v>
      </c>
      <c r="M131" s="6142"/>
      <c r="N131" s="6142" t="s">
        <v>62</v>
      </c>
      <c r="O131" s="6142"/>
      <c r="P131" s="6142" t="s">
        <v>63</v>
      </c>
      <c r="Q131" s="6142"/>
      <c r="R131" s="6142" t="s">
        <v>64</v>
      </c>
      <c r="S131" s="6142"/>
      <c r="T131" s="6142" t="s">
        <v>65</v>
      </c>
      <c r="U131" s="6142"/>
      <c r="V131" s="6142" t="s">
        <v>66</v>
      </c>
      <c r="W131" s="6142"/>
      <c r="X131" s="6142" t="s">
        <v>67</v>
      </c>
      <c r="Y131" s="6142"/>
      <c r="Z131" s="5710" t="s">
        <v>68</v>
      </c>
      <c r="AA131" s="5712"/>
      <c r="AB131" s="5710" t="s">
        <v>69</v>
      </c>
      <c r="AC131" s="5712"/>
      <c r="AD131" s="5710" t="s">
        <v>70</v>
      </c>
      <c r="AE131" s="5712"/>
      <c r="AF131" s="5710" t="s">
        <v>71</v>
      </c>
      <c r="AG131" s="5716"/>
      <c r="AH131" s="6203" t="s">
        <v>838</v>
      </c>
      <c r="AI131" s="6135" t="s">
        <v>839</v>
      </c>
      <c r="AJ131" s="6135" t="s">
        <v>840</v>
      </c>
      <c r="AK131" s="6221" t="s">
        <v>841</v>
      </c>
      <c r="AL131" s="6138"/>
      <c r="AM131" s="6110"/>
    </row>
    <row r="132" spans="1:95" ht="18.75" customHeight="1">
      <c r="A132" s="6114"/>
      <c r="B132" s="6116"/>
      <c r="C132" s="1395" t="s">
        <v>93</v>
      </c>
      <c r="D132" s="1646" t="s">
        <v>72</v>
      </c>
      <c r="E132" s="393" t="s">
        <v>73</v>
      </c>
      <c r="F132" s="1471" t="s">
        <v>72</v>
      </c>
      <c r="G132" s="1391" t="s">
        <v>73</v>
      </c>
      <c r="H132" s="1471" t="s">
        <v>72</v>
      </c>
      <c r="I132" s="1391" t="s">
        <v>73</v>
      </c>
      <c r="J132" s="1471" t="s">
        <v>72</v>
      </c>
      <c r="K132" s="1391" t="s">
        <v>73</v>
      </c>
      <c r="L132" s="1471" t="s">
        <v>72</v>
      </c>
      <c r="M132" s="1391" t="s">
        <v>73</v>
      </c>
      <c r="N132" s="1471" t="s">
        <v>72</v>
      </c>
      <c r="O132" s="1391" t="s">
        <v>73</v>
      </c>
      <c r="P132" s="1471" t="s">
        <v>72</v>
      </c>
      <c r="Q132" s="1391" t="s">
        <v>73</v>
      </c>
      <c r="R132" s="1471" t="s">
        <v>72</v>
      </c>
      <c r="S132" s="1391" t="s">
        <v>73</v>
      </c>
      <c r="T132" s="1471" t="s">
        <v>72</v>
      </c>
      <c r="U132" s="1391" t="s">
        <v>73</v>
      </c>
      <c r="V132" s="1471" t="s">
        <v>72</v>
      </c>
      <c r="W132" s="1391" t="s">
        <v>73</v>
      </c>
      <c r="X132" s="1471" t="s">
        <v>72</v>
      </c>
      <c r="Y132" s="1391" t="s">
        <v>73</v>
      </c>
      <c r="Z132" s="1471" t="s">
        <v>72</v>
      </c>
      <c r="AA132" s="1391" t="s">
        <v>73</v>
      </c>
      <c r="AB132" s="1471" t="s">
        <v>72</v>
      </c>
      <c r="AC132" s="1391" t="s">
        <v>73</v>
      </c>
      <c r="AD132" s="1471" t="s">
        <v>72</v>
      </c>
      <c r="AE132" s="1391" t="s">
        <v>73</v>
      </c>
      <c r="AF132" s="1471" t="s">
        <v>72</v>
      </c>
      <c r="AG132" s="1703" t="s">
        <v>73</v>
      </c>
      <c r="AH132" s="6204"/>
      <c r="AI132" s="6136"/>
      <c r="AJ132" s="6136"/>
      <c r="AK132" s="6222"/>
      <c r="AL132" s="5715"/>
      <c r="AM132" s="5719"/>
    </row>
    <row r="133" spans="1:95">
      <c r="A133" s="6202" t="s">
        <v>842</v>
      </c>
      <c r="B133" s="5711"/>
      <c r="C133" s="401">
        <f t="shared" si="86"/>
        <v>0</v>
      </c>
      <c r="D133" s="1501">
        <f t="shared" si="98"/>
        <v>0</v>
      </c>
      <c r="E133" s="403">
        <f>SUM(G133+I133+K133+M133+O133+Q133+S133+U133+W133+Y133+AA133+AC133+AE133+AG133)</f>
        <v>0</v>
      </c>
      <c r="F133" s="1424"/>
      <c r="G133" s="1436"/>
      <c r="H133" s="1424"/>
      <c r="I133" s="1436"/>
      <c r="J133" s="1424"/>
      <c r="K133" s="1436"/>
      <c r="L133" s="1424"/>
      <c r="M133" s="1436"/>
      <c r="N133" s="1424"/>
      <c r="O133" s="1436"/>
      <c r="P133" s="1424"/>
      <c r="Q133" s="1436"/>
      <c r="R133" s="1424"/>
      <c r="S133" s="1436"/>
      <c r="T133" s="1424"/>
      <c r="U133" s="1436"/>
      <c r="V133" s="1424"/>
      <c r="W133" s="1436"/>
      <c r="X133" s="1424"/>
      <c r="Y133" s="1436"/>
      <c r="Z133" s="1424"/>
      <c r="AA133" s="1436"/>
      <c r="AB133" s="1424"/>
      <c r="AC133" s="1436"/>
      <c r="AD133" s="1424"/>
      <c r="AE133" s="1436"/>
      <c r="AF133" s="1424"/>
      <c r="AG133" s="1650"/>
      <c r="AH133" s="1707"/>
      <c r="AI133" s="1426"/>
      <c r="AJ133" s="1426"/>
      <c r="AK133" s="1650"/>
      <c r="AL133" s="1429"/>
      <c r="AM133" s="1430"/>
      <c r="AN133" t="str">
        <f t="shared" ref="AN133:AN141" si="105">CB133&amp;CC133&amp;CA133</f>
        <v/>
      </c>
      <c r="CA133" s="1708" t="str">
        <f t="shared" ref="CA133:CA141" si="106">IF(OR(AH133+AI133+AJ133+AK133&gt;C133,)," ** La suma de Causal de Egresos no deben ser mayor que el Total Ambos Sexos","")</f>
        <v/>
      </c>
      <c r="CB133" s="1418" t="str">
        <f t="shared" ref="CB133:CB141" si="107">IF(AND($C133&gt;0,AL133=""),"  * No olvide digitar la variable Pueblos originarios. Digite Cero si no tiene.",IF(AL133&gt;$C133,"  * La variable Pueblos originarios No puede ser mayor al Total.",""))</f>
        <v/>
      </c>
      <c r="CC133" s="1418" t="str">
        <f t="shared" ref="CC133:CC141" si="108">IF(AND($C133&gt;0,AM133="")," * No olvide digitar la variable Migrantes. Digite Cero si no tiene.",IF(AM133&gt;$C133," * La variable Migrantes No puede ser mayor al Total.",""))</f>
        <v/>
      </c>
      <c r="CO133" s="419">
        <f t="shared" ref="CO133:CO141" si="109">IF((AH133+AI133+AJ133+AK133)&gt;$C133,1,0)</f>
        <v>0</v>
      </c>
      <c r="CP133" s="419">
        <f t="shared" ref="CP133:CP141" si="110">IF(AND($C133&gt;0,AL133=""),1,IF(AL133&gt;$C133,1,0))</f>
        <v>0</v>
      </c>
      <c r="CQ133" s="419">
        <f t="shared" ref="CQ133:CQ141" si="111">IF(AND($C133&gt;0,AM133=""),1,IF(AM133&gt;$C133,1,0))</f>
        <v>0</v>
      </c>
    </row>
    <row r="134" spans="1:95">
      <c r="A134" s="6127" t="s">
        <v>826</v>
      </c>
      <c r="B134" s="1422" t="s">
        <v>827</v>
      </c>
      <c r="C134" s="1687">
        <f t="shared" si="86"/>
        <v>0</v>
      </c>
      <c r="D134" s="1688">
        <f t="shared" si="98"/>
        <v>0</v>
      </c>
      <c r="E134" s="1689">
        <f t="shared" si="98"/>
        <v>0</v>
      </c>
      <c r="F134" s="1424"/>
      <c r="G134" s="1436"/>
      <c r="H134" s="1424"/>
      <c r="I134" s="1436"/>
      <c r="J134" s="1424"/>
      <c r="K134" s="1436"/>
      <c r="L134" s="1424"/>
      <c r="M134" s="1436"/>
      <c r="N134" s="1424"/>
      <c r="O134" s="1436"/>
      <c r="P134" s="1424"/>
      <c r="Q134" s="1436"/>
      <c r="R134" s="1424"/>
      <c r="S134" s="1436"/>
      <c r="T134" s="1424"/>
      <c r="U134" s="1436"/>
      <c r="V134" s="1424"/>
      <c r="W134" s="1436"/>
      <c r="X134" s="1424"/>
      <c r="Y134" s="1436"/>
      <c r="Z134" s="1424"/>
      <c r="AA134" s="1436"/>
      <c r="AB134" s="1424"/>
      <c r="AC134" s="1436"/>
      <c r="AD134" s="1424"/>
      <c r="AE134" s="1436"/>
      <c r="AF134" s="1424"/>
      <c r="AG134" s="1650"/>
      <c r="AH134" s="1707"/>
      <c r="AI134" s="1426"/>
      <c r="AJ134" s="1426"/>
      <c r="AK134" s="1650"/>
      <c r="AL134" s="1429"/>
      <c r="AM134" s="1430"/>
      <c r="AN134" t="str">
        <f t="shared" si="105"/>
        <v/>
      </c>
      <c r="CA134" s="1708" t="str">
        <f t="shared" si="106"/>
        <v/>
      </c>
      <c r="CB134" s="1418" t="str">
        <f t="shared" si="107"/>
        <v/>
      </c>
      <c r="CC134" s="1418" t="str">
        <f t="shared" si="108"/>
        <v/>
      </c>
      <c r="CO134" s="419">
        <f t="shared" si="109"/>
        <v>0</v>
      </c>
      <c r="CP134" s="419">
        <f t="shared" si="110"/>
        <v>0</v>
      </c>
      <c r="CQ134" s="419">
        <f t="shared" si="111"/>
        <v>0</v>
      </c>
    </row>
    <row r="135" spans="1:95">
      <c r="A135" s="6128"/>
      <c r="B135" s="1512" t="s">
        <v>828</v>
      </c>
      <c r="C135" s="408">
        <f t="shared" si="86"/>
        <v>0</v>
      </c>
      <c r="D135" s="1690">
        <f t="shared" si="98"/>
        <v>0</v>
      </c>
      <c r="E135" s="1654">
        <f t="shared" si="98"/>
        <v>0</v>
      </c>
      <c r="F135" s="1440"/>
      <c r="G135" s="1452"/>
      <c r="H135" s="1440"/>
      <c r="I135" s="1452"/>
      <c r="J135" s="1440"/>
      <c r="K135" s="1452"/>
      <c r="L135" s="1440"/>
      <c r="M135" s="1452"/>
      <c r="N135" s="1440"/>
      <c r="O135" s="1452"/>
      <c r="P135" s="1440"/>
      <c r="Q135" s="1452"/>
      <c r="R135" s="1440"/>
      <c r="S135" s="1452"/>
      <c r="T135" s="1440"/>
      <c r="U135" s="1452"/>
      <c r="V135" s="1440"/>
      <c r="W135" s="1452"/>
      <c r="X135" s="1440"/>
      <c r="Y135" s="1452"/>
      <c r="Z135" s="1440"/>
      <c r="AA135" s="1452"/>
      <c r="AB135" s="1440"/>
      <c r="AC135" s="1452"/>
      <c r="AD135" s="1440"/>
      <c r="AE135" s="1452"/>
      <c r="AF135" s="1440"/>
      <c r="AG135" s="1655"/>
      <c r="AH135" s="1709"/>
      <c r="AI135" s="1442"/>
      <c r="AJ135" s="1442"/>
      <c r="AK135" s="1655"/>
      <c r="AL135" s="1445"/>
      <c r="AM135" s="1446"/>
      <c r="AN135" t="str">
        <f t="shared" si="105"/>
        <v/>
      </c>
      <c r="CA135" s="1708" t="str">
        <f t="shared" si="106"/>
        <v/>
      </c>
      <c r="CB135" s="1418" t="str">
        <f t="shared" si="107"/>
        <v/>
      </c>
      <c r="CC135" s="1418" t="str">
        <f t="shared" si="108"/>
        <v/>
      </c>
      <c r="CO135" s="419">
        <f t="shared" si="109"/>
        <v>0</v>
      </c>
      <c r="CP135" s="419">
        <f t="shared" si="110"/>
        <v>0</v>
      </c>
      <c r="CQ135" s="419">
        <f t="shared" si="111"/>
        <v>0</v>
      </c>
    </row>
    <row r="136" spans="1:95">
      <c r="A136" s="6128"/>
      <c r="B136" s="1512" t="s">
        <v>829</v>
      </c>
      <c r="C136" s="408">
        <f t="shared" si="86"/>
        <v>0</v>
      </c>
      <c r="D136" s="1690">
        <f t="shared" si="98"/>
        <v>0</v>
      </c>
      <c r="E136" s="1654">
        <f t="shared" si="98"/>
        <v>0</v>
      </c>
      <c r="F136" s="1440"/>
      <c r="G136" s="1452"/>
      <c r="H136" s="1440"/>
      <c r="I136" s="1452"/>
      <c r="J136" s="1440"/>
      <c r="K136" s="1452"/>
      <c r="L136" s="1440"/>
      <c r="M136" s="1452"/>
      <c r="N136" s="1440"/>
      <c r="O136" s="1452"/>
      <c r="P136" s="1440"/>
      <c r="Q136" s="1452"/>
      <c r="R136" s="1440"/>
      <c r="S136" s="1452"/>
      <c r="T136" s="1440"/>
      <c r="U136" s="1452"/>
      <c r="V136" s="1440"/>
      <c r="W136" s="1452"/>
      <c r="X136" s="1440"/>
      <c r="Y136" s="1452"/>
      <c r="Z136" s="1440"/>
      <c r="AA136" s="1452"/>
      <c r="AB136" s="1440"/>
      <c r="AC136" s="1452"/>
      <c r="AD136" s="1440"/>
      <c r="AE136" s="1452"/>
      <c r="AF136" s="1440"/>
      <c r="AG136" s="1655"/>
      <c r="AH136" s="1709"/>
      <c r="AI136" s="1442"/>
      <c r="AJ136" s="1442"/>
      <c r="AK136" s="1655"/>
      <c r="AL136" s="1445"/>
      <c r="AM136" s="1446"/>
      <c r="AN136" t="str">
        <f t="shared" si="105"/>
        <v/>
      </c>
      <c r="CA136" s="1708" t="str">
        <f t="shared" si="106"/>
        <v/>
      </c>
      <c r="CB136" s="1418" t="str">
        <f t="shared" si="107"/>
        <v/>
      </c>
      <c r="CC136" s="1418" t="str">
        <f t="shared" si="108"/>
        <v/>
      </c>
      <c r="CO136" s="419">
        <f t="shared" si="109"/>
        <v>0</v>
      </c>
      <c r="CP136" s="419">
        <f t="shared" si="110"/>
        <v>0</v>
      </c>
      <c r="CQ136" s="419">
        <f t="shared" si="111"/>
        <v>0</v>
      </c>
    </row>
    <row r="137" spans="1:95" ht="22.5" customHeight="1">
      <c r="A137" s="6128"/>
      <c r="B137" s="1691" t="s">
        <v>843</v>
      </c>
      <c r="C137" s="408">
        <f t="shared" si="86"/>
        <v>0</v>
      </c>
      <c r="D137" s="1690">
        <f t="shared" si="98"/>
        <v>0</v>
      </c>
      <c r="E137" s="1654">
        <f t="shared" si="98"/>
        <v>0</v>
      </c>
      <c r="F137" s="1440"/>
      <c r="G137" s="1452"/>
      <c r="H137" s="1440"/>
      <c r="I137" s="1452"/>
      <c r="J137" s="1440"/>
      <c r="K137" s="1452"/>
      <c r="L137" s="1440"/>
      <c r="M137" s="1452"/>
      <c r="N137" s="1440"/>
      <c r="O137" s="1452"/>
      <c r="P137" s="1440"/>
      <c r="Q137" s="1452"/>
      <c r="R137" s="1440"/>
      <c r="S137" s="1452"/>
      <c r="T137" s="1440"/>
      <c r="U137" s="1452"/>
      <c r="V137" s="1440"/>
      <c r="W137" s="1452"/>
      <c r="X137" s="1440"/>
      <c r="Y137" s="1452"/>
      <c r="Z137" s="1440"/>
      <c r="AA137" s="1452"/>
      <c r="AB137" s="1440"/>
      <c r="AC137" s="1452"/>
      <c r="AD137" s="1440"/>
      <c r="AE137" s="1452"/>
      <c r="AF137" s="1440"/>
      <c r="AG137" s="1655"/>
      <c r="AH137" s="1709"/>
      <c r="AI137" s="1442"/>
      <c r="AJ137" s="1442"/>
      <c r="AK137" s="1655"/>
      <c r="AL137" s="1445"/>
      <c r="AM137" s="1446"/>
      <c r="AN137" t="str">
        <f t="shared" si="105"/>
        <v/>
      </c>
      <c r="CA137" s="1708" t="str">
        <f t="shared" si="106"/>
        <v/>
      </c>
      <c r="CB137" s="1418" t="str">
        <f t="shared" si="107"/>
        <v/>
      </c>
      <c r="CC137" s="1418" t="str">
        <f t="shared" si="108"/>
        <v/>
      </c>
      <c r="CO137" s="419">
        <f t="shared" si="109"/>
        <v>0</v>
      </c>
      <c r="CP137" s="419">
        <f t="shared" si="110"/>
        <v>0</v>
      </c>
      <c r="CQ137" s="419">
        <f t="shared" si="111"/>
        <v>0</v>
      </c>
    </row>
    <row r="138" spans="1:95" ht="24.6" customHeight="1">
      <c r="A138" s="6128"/>
      <c r="B138" s="1691" t="s">
        <v>831</v>
      </c>
      <c r="C138" s="408">
        <f t="shared" si="86"/>
        <v>0</v>
      </c>
      <c r="D138" s="1690">
        <f t="shared" si="98"/>
        <v>0</v>
      </c>
      <c r="E138" s="1654">
        <f>SUM(G138+I138+K138+M138+O138+Q138+S138+U138+W138+Y138+AA138+AC138+AE138+AG138)</f>
        <v>0</v>
      </c>
      <c r="F138" s="1485"/>
      <c r="G138" s="1692"/>
      <c r="H138" s="1485"/>
      <c r="I138" s="1692"/>
      <c r="J138" s="1485"/>
      <c r="K138" s="1692"/>
      <c r="L138" s="1485"/>
      <c r="M138" s="1692"/>
      <c r="N138" s="1485"/>
      <c r="O138" s="1692"/>
      <c r="P138" s="1485"/>
      <c r="Q138" s="1692"/>
      <c r="R138" s="1485"/>
      <c r="S138" s="1692"/>
      <c r="T138" s="1485"/>
      <c r="U138" s="1692"/>
      <c r="V138" s="1485"/>
      <c r="W138" s="1692"/>
      <c r="X138" s="1485"/>
      <c r="Y138" s="1692"/>
      <c r="Z138" s="1485"/>
      <c r="AA138" s="1692"/>
      <c r="AB138" s="1485"/>
      <c r="AC138" s="1692"/>
      <c r="AD138" s="1485"/>
      <c r="AE138" s="1692"/>
      <c r="AF138" s="1485"/>
      <c r="AG138" s="1710"/>
      <c r="AH138" s="1711"/>
      <c r="AI138" s="1712"/>
      <c r="AJ138" s="1712"/>
      <c r="AK138" s="1710"/>
      <c r="AL138" s="1693"/>
      <c r="AM138" s="1488"/>
      <c r="CA138" s="1708" t="str">
        <f t="shared" si="106"/>
        <v/>
      </c>
      <c r="CB138" s="1418" t="str">
        <f t="shared" si="107"/>
        <v/>
      </c>
      <c r="CC138" s="1418" t="str">
        <f t="shared" si="108"/>
        <v/>
      </c>
      <c r="CO138" s="419">
        <f t="shared" si="109"/>
        <v>0</v>
      </c>
      <c r="CP138" s="419">
        <f t="shared" si="110"/>
        <v>0</v>
      </c>
      <c r="CQ138" s="419">
        <f t="shared" si="111"/>
        <v>0</v>
      </c>
    </row>
    <row r="139" spans="1:95">
      <c r="A139" s="6128"/>
      <c r="B139" s="1691" t="s">
        <v>832</v>
      </c>
      <c r="C139" s="408">
        <f t="shared" si="86"/>
        <v>0</v>
      </c>
      <c r="D139" s="1690">
        <f t="shared" si="98"/>
        <v>0</v>
      </c>
      <c r="E139" s="1654">
        <f t="shared" si="98"/>
        <v>0</v>
      </c>
      <c r="F139" s="1485"/>
      <c r="G139" s="1692"/>
      <c r="H139" s="1485"/>
      <c r="I139" s="1692"/>
      <c r="J139" s="1485"/>
      <c r="K139" s="1692"/>
      <c r="L139" s="1485"/>
      <c r="M139" s="1692"/>
      <c r="N139" s="1485"/>
      <c r="O139" s="1692"/>
      <c r="P139" s="1485"/>
      <c r="Q139" s="1692"/>
      <c r="R139" s="1485"/>
      <c r="S139" s="1692"/>
      <c r="T139" s="1485"/>
      <c r="U139" s="1692"/>
      <c r="V139" s="1485"/>
      <c r="W139" s="1692"/>
      <c r="X139" s="1485"/>
      <c r="Y139" s="1692"/>
      <c r="Z139" s="1485"/>
      <c r="AA139" s="1692"/>
      <c r="AB139" s="1485"/>
      <c r="AC139" s="1692"/>
      <c r="AD139" s="1485"/>
      <c r="AE139" s="1692"/>
      <c r="AF139" s="1485"/>
      <c r="AG139" s="1710"/>
      <c r="AH139" s="1711"/>
      <c r="AI139" s="1712"/>
      <c r="AJ139" s="1712"/>
      <c r="AK139" s="1710"/>
      <c r="AL139" s="1693"/>
      <c r="AM139" s="1488"/>
      <c r="AN139" t="str">
        <f t="shared" si="105"/>
        <v/>
      </c>
      <c r="CA139" s="1708" t="str">
        <f t="shared" si="106"/>
        <v/>
      </c>
      <c r="CB139" s="1418" t="str">
        <f t="shared" si="107"/>
        <v/>
      </c>
      <c r="CC139" s="1418" t="str">
        <f t="shared" si="108"/>
        <v/>
      </c>
      <c r="CO139" s="419">
        <f t="shared" si="109"/>
        <v>0</v>
      </c>
      <c r="CP139" s="419">
        <f t="shared" si="110"/>
        <v>0</v>
      </c>
      <c r="CQ139" s="419">
        <f t="shared" si="111"/>
        <v>0</v>
      </c>
    </row>
    <row r="140" spans="1:95">
      <c r="A140" s="6128"/>
      <c r="B140" s="1694" t="s">
        <v>833</v>
      </c>
      <c r="C140" s="408">
        <f t="shared" si="86"/>
        <v>0</v>
      </c>
      <c r="D140" s="1690">
        <f t="shared" si="98"/>
        <v>0</v>
      </c>
      <c r="E140" s="1654">
        <f t="shared" si="98"/>
        <v>0</v>
      </c>
      <c r="F140" s="1485"/>
      <c r="G140" s="1692"/>
      <c r="H140" s="1485"/>
      <c r="I140" s="1692"/>
      <c r="J140" s="1485"/>
      <c r="K140" s="1692"/>
      <c r="L140" s="1485"/>
      <c r="M140" s="1692"/>
      <c r="N140" s="1485"/>
      <c r="O140" s="1692"/>
      <c r="P140" s="1485"/>
      <c r="Q140" s="1692"/>
      <c r="R140" s="1485"/>
      <c r="S140" s="1692"/>
      <c r="T140" s="1485"/>
      <c r="U140" s="1692"/>
      <c r="V140" s="1485"/>
      <c r="W140" s="1692"/>
      <c r="X140" s="1485"/>
      <c r="Y140" s="1692"/>
      <c r="Z140" s="1485"/>
      <c r="AA140" s="1692"/>
      <c r="AB140" s="1485"/>
      <c r="AC140" s="1692"/>
      <c r="AD140" s="1485"/>
      <c r="AE140" s="1692"/>
      <c r="AF140" s="1485"/>
      <c r="AG140" s="1710"/>
      <c r="AH140" s="1711"/>
      <c r="AI140" s="1712"/>
      <c r="AJ140" s="1712"/>
      <c r="AK140" s="1710"/>
      <c r="AL140" s="1693"/>
      <c r="AM140" s="1488"/>
      <c r="AN140" t="str">
        <f t="shared" si="105"/>
        <v/>
      </c>
      <c r="CA140" s="1708" t="str">
        <f t="shared" si="106"/>
        <v/>
      </c>
      <c r="CB140" s="1418" t="str">
        <f t="shared" si="107"/>
        <v/>
      </c>
      <c r="CC140" s="1418" t="str">
        <f t="shared" si="108"/>
        <v/>
      </c>
      <c r="CO140" s="419">
        <f t="shared" si="109"/>
        <v>0</v>
      </c>
      <c r="CP140" s="419">
        <f t="shared" si="110"/>
        <v>0</v>
      </c>
      <c r="CQ140" s="419">
        <f t="shared" si="111"/>
        <v>0</v>
      </c>
    </row>
    <row r="141" spans="1:95">
      <c r="A141" s="6129"/>
      <c r="B141" s="1506" t="s">
        <v>834</v>
      </c>
      <c r="C141" s="429">
        <f t="shared" si="86"/>
        <v>0</v>
      </c>
      <c r="D141" s="1713">
        <f>SUM(V141+X141+Z141+AB141+AD141+AF141)</f>
        <v>0</v>
      </c>
      <c r="E141" s="1659">
        <f>SUM(W141+Y141+AA141+AC141+AE141+AG141)</f>
        <v>0</v>
      </c>
      <c r="F141" s="1698"/>
      <c r="G141" s="1699"/>
      <c r="H141" s="1698"/>
      <c r="I141" s="1699"/>
      <c r="J141" s="1698"/>
      <c r="K141" s="1699"/>
      <c r="L141" s="1698"/>
      <c r="M141" s="1699"/>
      <c r="N141" s="1698"/>
      <c r="O141" s="1699"/>
      <c r="P141" s="1698"/>
      <c r="Q141" s="1699"/>
      <c r="R141" s="1698"/>
      <c r="S141" s="1699"/>
      <c r="T141" s="1698"/>
      <c r="U141" s="1699"/>
      <c r="V141" s="1455"/>
      <c r="W141" s="1467"/>
      <c r="X141" s="1455"/>
      <c r="Y141" s="1467"/>
      <c r="Z141" s="1455"/>
      <c r="AA141" s="1467"/>
      <c r="AB141" s="1455"/>
      <c r="AC141" s="1467"/>
      <c r="AD141" s="1455"/>
      <c r="AE141" s="1467"/>
      <c r="AF141" s="1455"/>
      <c r="AG141" s="1660"/>
      <c r="AH141" s="1714"/>
      <c r="AI141" s="1457"/>
      <c r="AJ141" s="1457"/>
      <c r="AK141" s="1660"/>
      <c r="AL141" s="1460"/>
      <c r="AM141" s="1461"/>
      <c r="AN141" t="str">
        <f t="shared" si="105"/>
        <v/>
      </c>
      <c r="CA141" s="1708" t="str">
        <f t="shared" si="106"/>
        <v/>
      </c>
      <c r="CB141" s="1418" t="str">
        <f t="shared" si="107"/>
        <v/>
      </c>
      <c r="CC141" s="1418" t="str">
        <f t="shared" si="108"/>
        <v/>
      </c>
      <c r="CO141" s="419">
        <f t="shared" si="109"/>
        <v>0</v>
      </c>
      <c r="CP141" s="419">
        <f t="shared" si="110"/>
        <v>0</v>
      </c>
      <c r="CQ141" s="419">
        <f t="shared" si="111"/>
        <v>0</v>
      </c>
    </row>
    <row r="142" spans="1:95" s="385" customFormat="1" ht="18" customHeight="1">
      <c r="A142" s="1581" t="s">
        <v>844</v>
      </c>
      <c r="B142" s="1581"/>
      <c r="C142" s="1493"/>
      <c r="D142" s="1493"/>
      <c r="E142" s="1493"/>
      <c r="F142" s="1493"/>
      <c r="G142" s="1493"/>
      <c r="H142" s="1493"/>
      <c r="I142" s="1493"/>
      <c r="J142" s="1493"/>
      <c r="K142" s="1493"/>
      <c r="L142" s="1493"/>
      <c r="M142" s="1493"/>
      <c r="N142" s="1493"/>
      <c r="O142" s="1493"/>
      <c r="P142" s="1493"/>
      <c r="Q142" s="1493"/>
      <c r="R142" s="1493"/>
      <c r="S142" s="1493"/>
      <c r="T142" s="1493"/>
      <c r="U142" s="1493"/>
      <c r="V142" s="1493"/>
      <c r="W142" s="1493"/>
      <c r="X142" s="1493"/>
      <c r="Y142" s="1493"/>
      <c r="Z142" s="1493"/>
      <c r="AA142" s="1493"/>
      <c r="AB142" s="1493"/>
      <c r="AC142" s="1493"/>
      <c r="AD142" s="1493"/>
      <c r="AE142" s="1493"/>
      <c r="AF142" s="1493"/>
      <c r="AG142" s="1493"/>
      <c r="AH142" s="1493"/>
      <c r="AI142" s="1493"/>
      <c r="AJ142" s="1493"/>
      <c r="AK142" s="1493"/>
      <c r="AL142" s="1493"/>
      <c r="AM142" s="1493"/>
      <c r="AN142" s="1493"/>
      <c r="AO142" s="1493"/>
      <c r="AP142" s="1493"/>
      <c r="AQ142" s="1493"/>
      <c r="AR142" s="1493"/>
    </row>
    <row r="143" spans="1:95" ht="15" customHeight="1">
      <c r="A143" s="6140" t="s">
        <v>305</v>
      </c>
      <c r="B143" s="6119"/>
      <c r="C143" s="6140" t="s">
        <v>845</v>
      </c>
      <c r="D143" s="6139"/>
      <c r="E143" s="6119"/>
      <c r="F143" s="5710" t="s">
        <v>115</v>
      </c>
      <c r="G143" s="6106"/>
      <c r="H143" s="6106"/>
      <c r="I143" s="6106"/>
      <c r="J143" s="6106"/>
      <c r="K143" s="6106"/>
      <c r="L143" s="6106"/>
      <c r="M143" s="6106"/>
      <c r="N143" s="6106"/>
      <c r="O143" s="6106"/>
      <c r="P143" s="6106"/>
      <c r="Q143" s="6106"/>
      <c r="R143" s="6106"/>
      <c r="S143" s="6106"/>
      <c r="T143" s="6106"/>
      <c r="U143" s="6106"/>
      <c r="V143" s="6106"/>
      <c r="W143" s="6106"/>
      <c r="X143" s="6106"/>
      <c r="Y143" s="6106"/>
      <c r="Z143" s="6106"/>
      <c r="AA143" s="6106"/>
      <c r="AB143" s="6106"/>
      <c r="AC143" s="6106"/>
      <c r="AD143" s="6106"/>
      <c r="AE143" s="6106"/>
      <c r="AF143" s="6106"/>
      <c r="AG143" s="6106"/>
      <c r="AH143" s="6106"/>
      <c r="AI143" s="6106"/>
      <c r="AJ143" s="6106"/>
      <c r="AK143" s="6106"/>
      <c r="AL143" s="6106"/>
      <c r="AM143" s="5716"/>
      <c r="AN143" s="6246" t="s">
        <v>837</v>
      </c>
      <c r="AO143" s="6199"/>
      <c r="AP143" s="6247"/>
      <c r="AQ143" s="5714" t="s">
        <v>50</v>
      </c>
      <c r="AR143" s="5718" t="s">
        <v>51</v>
      </c>
    </row>
    <row r="144" spans="1:95" ht="15" customHeight="1">
      <c r="A144" s="6141"/>
      <c r="B144" s="6120"/>
      <c r="C144" s="6141"/>
      <c r="D144" s="6166"/>
      <c r="E144" s="6120"/>
      <c r="F144" s="5710" t="s">
        <v>817</v>
      </c>
      <c r="G144" s="5712"/>
      <c r="H144" s="5710" t="s">
        <v>818</v>
      </c>
      <c r="I144" s="5712"/>
      <c r="J144" s="5710" t="s">
        <v>57</v>
      </c>
      <c r="K144" s="5712"/>
      <c r="L144" s="5710" t="s">
        <v>58</v>
      </c>
      <c r="M144" s="5712"/>
      <c r="N144" s="6142" t="s">
        <v>59</v>
      </c>
      <c r="O144" s="6142"/>
      <c r="P144" s="6142" t="s">
        <v>60</v>
      </c>
      <c r="Q144" s="6142"/>
      <c r="R144" s="6142" t="s">
        <v>61</v>
      </c>
      <c r="S144" s="6142"/>
      <c r="T144" s="6142" t="s">
        <v>62</v>
      </c>
      <c r="U144" s="6142"/>
      <c r="V144" s="6142" t="s">
        <v>63</v>
      </c>
      <c r="W144" s="6142"/>
      <c r="X144" s="6142" t="s">
        <v>64</v>
      </c>
      <c r="Y144" s="6142"/>
      <c r="Z144" s="6142" t="s">
        <v>65</v>
      </c>
      <c r="AA144" s="6142"/>
      <c r="AB144" s="6142" t="s">
        <v>66</v>
      </c>
      <c r="AC144" s="6142"/>
      <c r="AD144" s="6142" t="s">
        <v>67</v>
      </c>
      <c r="AE144" s="6142"/>
      <c r="AF144" s="5710" t="s">
        <v>68</v>
      </c>
      <c r="AG144" s="5712"/>
      <c r="AH144" s="5710" t="s">
        <v>69</v>
      </c>
      <c r="AI144" s="5712"/>
      <c r="AJ144" s="5710" t="s">
        <v>70</v>
      </c>
      <c r="AK144" s="5712"/>
      <c r="AL144" s="5710" t="s">
        <v>71</v>
      </c>
      <c r="AM144" s="5716"/>
      <c r="AN144" s="6203" t="s">
        <v>846</v>
      </c>
      <c r="AO144" s="6135" t="s">
        <v>847</v>
      </c>
      <c r="AP144" s="6221" t="s">
        <v>840</v>
      </c>
      <c r="AQ144" s="6138"/>
      <c r="AR144" s="6110"/>
    </row>
    <row r="145" spans="1:95" ht="15" customHeight="1">
      <c r="A145" s="6114"/>
      <c r="B145" s="6116"/>
      <c r="C145" s="1395" t="s">
        <v>93</v>
      </c>
      <c r="D145" s="1646" t="s">
        <v>72</v>
      </c>
      <c r="E145" s="393" t="s">
        <v>73</v>
      </c>
      <c r="F145" s="1471" t="s">
        <v>72</v>
      </c>
      <c r="G145" s="1391" t="s">
        <v>73</v>
      </c>
      <c r="H145" s="1471" t="s">
        <v>72</v>
      </c>
      <c r="I145" s="1391" t="s">
        <v>73</v>
      </c>
      <c r="J145" s="1471" t="s">
        <v>72</v>
      </c>
      <c r="K145" s="1391" t="s">
        <v>73</v>
      </c>
      <c r="L145" s="1471" t="s">
        <v>72</v>
      </c>
      <c r="M145" s="1391" t="s">
        <v>73</v>
      </c>
      <c r="N145" s="1471" t="s">
        <v>72</v>
      </c>
      <c r="O145" s="1391" t="s">
        <v>73</v>
      </c>
      <c r="P145" s="1471" t="s">
        <v>72</v>
      </c>
      <c r="Q145" s="1391" t="s">
        <v>73</v>
      </c>
      <c r="R145" s="1471" t="s">
        <v>72</v>
      </c>
      <c r="S145" s="1391" t="s">
        <v>73</v>
      </c>
      <c r="T145" s="1471" t="s">
        <v>72</v>
      </c>
      <c r="U145" s="1391" t="s">
        <v>73</v>
      </c>
      <c r="V145" s="1471" t="s">
        <v>72</v>
      </c>
      <c r="W145" s="1391" t="s">
        <v>73</v>
      </c>
      <c r="X145" s="1471" t="s">
        <v>72</v>
      </c>
      <c r="Y145" s="1391" t="s">
        <v>73</v>
      </c>
      <c r="Z145" s="1471" t="s">
        <v>72</v>
      </c>
      <c r="AA145" s="1391" t="s">
        <v>73</v>
      </c>
      <c r="AB145" s="1471" t="s">
        <v>72</v>
      </c>
      <c r="AC145" s="1391" t="s">
        <v>73</v>
      </c>
      <c r="AD145" s="1471" t="s">
        <v>72</v>
      </c>
      <c r="AE145" s="1391" t="s">
        <v>73</v>
      </c>
      <c r="AF145" s="1471" t="s">
        <v>72</v>
      </c>
      <c r="AG145" s="1391" t="s">
        <v>73</v>
      </c>
      <c r="AH145" s="1471" t="s">
        <v>72</v>
      </c>
      <c r="AI145" s="1391" t="s">
        <v>73</v>
      </c>
      <c r="AJ145" s="1471" t="s">
        <v>72</v>
      </c>
      <c r="AK145" s="1391" t="s">
        <v>73</v>
      </c>
      <c r="AL145" s="1471" t="s">
        <v>72</v>
      </c>
      <c r="AM145" s="1703" t="s">
        <v>73</v>
      </c>
      <c r="AN145" s="6204"/>
      <c r="AO145" s="6136"/>
      <c r="AP145" s="6222"/>
      <c r="AQ145" s="5715"/>
      <c r="AR145" s="5719"/>
    </row>
    <row r="146" spans="1:95" ht="15" customHeight="1">
      <c r="A146" s="6179" t="s">
        <v>848</v>
      </c>
      <c r="B146" s="6180"/>
      <c r="C146" s="447">
        <f t="shared" si="86"/>
        <v>0</v>
      </c>
      <c r="D146" s="1716">
        <f t="shared" ref="D146:E150" si="112">SUM(F146+H146+J146+L146+N146+P146+R146+T146+V146+X146+Z146+AB146+AD146+AF146+AH146+AJ146+AL146)</f>
        <v>0</v>
      </c>
      <c r="E146" s="410">
        <f t="shared" ref="E146:E147" si="113">SUM(G146+I146+K146+M146+O146+Q146+S146+U146+W146+Y146+AA146+AC146+AE146+AG146+AI146+AK146+AM146)</f>
        <v>0</v>
      </c>
      <c r="F146" s="1424"/>
      <c r="G146" s="1436"/>
      <c r="H146" s="1424"/>
      <c r="I146" s="1436"/>
      <c r="J146" s="1424"/>
      <c r="K146" s="1436"/>
      <c r="L146" s="1424"/>
      <c r="M146" s="1436"/>
      <c r="N146" s="1424"/>
      <c r="O146" s="1436"/>
      <c r="P146" s="1424"/>
      <c r="Q146" s="1436"/>
      <c r="R146" s="1424"/>
      <c r="S146" s="1436"/>
      <c r="T146" s="1424"/>
      <c r="U146" s="1436"/>
      <c r="V146" s="1424"/>
      <c r="W146" s="1436"/>
      <c r="X146" s="1424"/>
      <c r="Y146" s="1436"/>
      <c r="Z146" s="1424"/>
      <c r="AA146" s="1436"/>
      <c r="AB146" s="1424"/>
      <c r="AC146" s="1436"/>
      <c r="AD146" s="1424"/>
      <c r="AE146" s="1436"/>
      <c r="AF146" s="1424"/>
      <c r="AG146" s="1436"/>
      <c r="AH146" s="1424"/>
      <c r="AI146" s="1436"/>
      <c r="AJ146" s="1424"/>
      <c r="AK146" s="1436"/>
      <c r="AL146" s="1424"/>
      <c r="AM146" s="1650"/>
      <c r="AN146" s="1707"/>
      <c r="AO146" s="1426"/>
      <c r="AP146" s="1650"/>
      <c r="AQ146" s="1429"/>
      <c r="AR146" s="1430"/>
      <c r="AS146" t="str">
        <f t="shared" ref="AS146:AS150" si="114">CA146&amp;CB146&amp;CC146</f>
        <v/>
      </c>
      <c r="CA146" s="1708"/>
      <c r="CB146" s="1418" t="str">
        <f t="shared" ref="CB146:CB150" si="115">IF(AND($C146&gt;0,AQ146="")," * No olvide digitar la variable Pueblos originarios. Digite Cero si no tiene.",IF(AQ146&gt;$C146," * La variable Pueblos originarios No puede ser mayor al Total.",""))</f>
        <v/>
      </c>
      <c r="CC146" s="1418" t="str">
        <f t="shared" ref="CC146:CC150" si="116">IF(AND($C146&gt;0,AR146="")," * No olvide digitar la variable Migrantes. Digite Cero si no tiene.",IF(AR146&gt;$C146," * La variable Migrantes No puede ser mayor al Total.",""))</f>
        <v/>
      </c>
      <c r="CO146" s="419"/>
      <c r="CP146" s="419">
        <f t="shared" ref="CP146:CP150" si="117">IF(AND($C146&gt;0,AQ146=""),1,IF(AQ146&gt;$C146,1,0))</f>
        <v>0</v>
      </c>
      <c r="CQ146" s="419">
        <f t="shared" ref="CQ146:CQ150" si="118">IF(AND($C146&gt;0,AR146=""),1,IF(AR146&gt;$C146,1,0))</f>
        <v>0</v>
      </c>
    </row>
    <row r="147" spans="1:95" ht="15" customHeight="1">
      <c r="A147" s="6169" t="s">
        <v>849</v>
      </c>
      <c r="B147" s="6170"/>
      <c r="C147" s="1695">
        <f t="shared" si="86"/>
        <v>0</v>
      </c>
      <c r="D147" s="1696">
        <f t="shared" si="112"/>
        <v>0</v>
      </c>
      <c r="E147" s="1717">
        <f t="shared" si="113"/>
        <v>0</v>
      </c>
      <c r="F147" s="1485"/>
      <c r="G147" s="1692"/>
      <c r="H147" s="1485"/>
      <c r="I147" s="1692"/>
      <c r="J147" s="1485"/>
      <c r="K147" s="1692"/>
      <c r="L147" s="1485"/>
      <c r="M147" s="1692"/>
      <c r="N147" s="1485"/>
      <c r="O147" s="1692"/>
      <c r="P147" s="1485"/>
      <c r="Q147" s="1692"/>
      <c r="R147" s="1485"/>
      <c r="S147" s="1692"/>
      <c r="T147" s="1485"/>
      <c r="U147" s="1692"/>
      <c r="V147" s="1485"/>
      <c r="W147" s="1692"/>
      <c r="X147" s="1485"/>
      <c r="Y147" s="1692"/>
      <c r="Z147" s="1485"/>
      <c r="AA147" s="1692"/>
      <c r="AB147" s="1485"/>
      <c r="AC147" s="1692"/>
      <c r="AD147" s="1485"/>
      <c r="AE147" s="1692"/>
      <c r="AF147" s="1485"/>
      <c r="AG147" s="1692"/>
      <c r="AH147" s="1485"/>
      <c r="AI147" s="1692"/>
      <c r="AJ147" s="1485"/>
      <c r="AK147" s="1692"/>
      <c r="AL147" s="1485"/>
      <c r="AM147" s="1710"/>
      <c r="AN147" s="1711"/>
      <c r="AO147" s="1712"/>
      <c r="AP147" s="1710"/>
      <c r="AQ147" s="1693"/>
      <c r="AR147" s="1488"/>
      <c r="AS147" t="str">
        <f t="shared" si="114"/>
        <v/>
      </c>
      <c r="CA147" s="1708"/>
      <c r="CB147" s="1418" t="str">
        <f t="shared" si="115"/>
        <v/>
      </c>
      <c r="CC147" s="1418" t="str">
        <f t="shared" si="116"/>
        <v/>
      </c>
      <c r="CO147" s="419"/>
      <c r="CP147" s="419">
        <f t="shared" si="117"/>
        <v>0</v>
      </c>
      <c r="CQ147" s="419">
        <f t="shared" si="118"/>
        <v>0</v>
      </c>
    </row>
    <row r="148" spans="1:95" ht="15" customHeight="1">
      <c r="A148" s="6127" t="s">
        <v>850</v>
      </c>
      <c r="B148" s="1422" t="s">
        <v>851</v>
      </c>
      <c r="C148" s="447">
        <f t="shared" si="86"/>
        <v>0</v>
      </c>
      <c r="D148" s="1716">
        <f t="shared" si="112"/>
        <v>0</v>
      </c>
      <c r="E148" s="410">
        <f t="shared" si="112"/>
        <v>0</v>
      </c>
      <c r="F148" s="1424"/>
      <c r="G148" s="1436"/>
      <c r="H148" s="1424"/>
      <c r="I148" s="1436"/>
      <c r="J148" s="1424"/>
      <c r="K148" s="1436"/>
      <c r="L148" s="1424"/>
      <c r="M148" s="1436"/>
      <c r="N148" s="1424"/>
      <c r="O148" s="1436"/>
      <c r="P148" s="1424"/>
      <c r="Q148" s="1436"/>
      <c r="R148" s="1424"/>
      <c r="S148" s="1436"/>
      <c r="T148" s="1424"/>
      <c r="U148" s="1436"/>
      <c r="V148" s="1424"/>
      <c r="W148" s="1436"/>
      <c r="X148" s="1424"/>
      <c r="Y148" s="1436"/>
      <c r="Z148" s="1424"/>
      <c r="AA148" s="1436"/>
      <c r="AB148" s="1424"/>
      <c r="AC148" s="1436"/>
      <c r="AD148" s="1424"/>
      <c r="AE148" s="1436"/>
      <c r="AF148" s="1424"/>
      <c r="AG148" s="1436"/>
      <c r="AH148" s="1424"/>
      <c r="AI148" s="1436"/>
      <c r="AJ148" s="1424"/>
      <c r="AK148" s="1436"/>
      <c r="AL148" s="1424"/>
      <c r="AM148" s="1650"/>
      <c r="AN148" s="1707"/>
      <c r="AO148" s="1426"/>
      <c r="AP148" s="1650"/>
      <c r="AQ148" s="1429"/>
      <c r="AR148" s="1430"/>
      <c r="AS148" t="str">
        <f t="shared" si="114"/>
        <v/>
      </c>
      <c r="CA148" s="1708"/>
      <c r="CB148" s="1418" t="str">
        <f t="shared" si="115"/>
        <v/>
      </c>
      <c r="CC148" s="1418" t="str">
        <f t="shared" si="116"/>
        <v/>
      </c>
      <c r="CO148" s="419"/>
      <c r="CP148" s="419">
        <f t="shared" si="117"/>
        <v>0</v>
      </c>
      <c r="CQ148" s="419">
        <f t="shared" si="118"/>
        <v>0</v>
      </c>
    </row>
    <row r="149" spans="1:95" ht="15" customHeight="1">
      <c r="A149" s="6129"/>
      <c r="B149" s="1506" t="s">
        <v>852</v>
      </c>
      <c r="C149" s="429">
        <f t="shared" si="86"/>
        <v>0</v>
      </c>
      <c r="D149" s="1713">
        <f t="shared" si="112"/>
        <v>0</v>
      </c>
      <c r="E149" s="431">
        <f t="shared" si="112"/>
        <v>0</v>
      </c>
      <c r="F149" s="1455"/>
      <c r="G149" s="1467"/>
      <c r="H149" s="1455"/>
      <c r="I149" s="1467"/>
      <c r="J149" s="1455"/>
      <c r="K149" s="1467"/>
      <c r="L149" s="1455"/>
      <c r="M149" s="1467"/>
      <c r="N149" s="1455"/>
      <c r="O149" s="1467"/>
      <c r="P149" s="1455"/>
      <c r="Q149" s="1467"/>
      <c r="R149" s="1455"/>
      <c r="S149" s="1467"/>
      <c r="T149" s="1455"/>
      <c r="U149" s="1467"/>
      <c r="V149" s="1455"/>
      <c r="W149" s="1467"/>
      <c r="X149" s="1455"/>
      <c r="Y149" s="1467"/>
      <c r="Z149" s="1455"/>
      <c r="AA149" s="1467"/>
      <c r="AB149" s="1455"/>
      <c r="AC149" s="1467"/>
      <c r="AD149" s="1455"/>
      <c r="AE149" s="1467"/>
      <c r="AF149" s="1455"/>
      <c r="AG149" s="1467"/>
      <c r="AH149" s="1455"/>
      <c r="AI149" s="1467"/>
      <c r="AJ149" s="1455"/>
      <c r="AK149" s="1467"/>
      <c r="AL149" s="1455"/>
      <c r="AM149" s="1660"/>
      <c r="AN149" s="1714"/>
      <c r="AO149" s="1457"/>
      <c r="AP149" s="1660"/>
      <c r="AQ149" s="1460"/>
      <c r="AR149" s="1461"/>
      <c r="AS149" t="str">
        <f t="shared" si="114"/>
        <v/>
      </c>
      <c r="CA149" s="1708"/>
      <c r="CB149" s="1418" t="str">
        <f t="shared" si="115"/>
        <v/>
      </c>
      <c r="CC149" s="1418" t="str">
        <f t="shared" si="116"/>
        <v/>
      </c>
      <c r="CO149" s="419"/>
      <c r="CP149" s="419">
        <f t="shared" si="117"/>
        <v>0</v>
      </c>
      <c r="CQ149" s="419">
        <f t="shared" si="118"/>
        <v>0</v>
      </c>
    </row>
    <row r="150" spans="1:95" ht="15" customHeight="1">
      <c r="A150" s="6200" t="s">
        <v>853</v>
      </c>
      <c r="B150" s="6201"/>
      <c r="C150" s="1658">
        <f t="shared" si="86"/>
        <v>0</v>
      </c>
      <c r="D150" s="1720">
        <f t="shared" si="112"/>
        <v>0</v>
      </c>
      <c r="E150" s="1719">
        <f>SUM(G150+I150+K150+M150+O150+Q150+S150+U150+W150+Y150+AA150+AC150+AE150+AG150+AI150+AK150+AM150)</f>
        <v>0</v>
      </c>
      <c r="F150" s="1528"/>
      <c r="G150" s="1534"/>
      <c r="H150" s="1528"/>
      <c r="I150" s="1534"/>
      <c r="J150" s="1528"/>
      <c r="K150" s="1534"/>
      <c r="L150" s="1528"/>
      <c r="M150" s="1534"/>
      <c r="N150" s="1528"/>
      <c r="O150" s="1534"/>
      <c r="P150" s="1528"/>
      <c r="Q150" s="1534"/>
      <c r="R150" s="1528"/>
      <c r="S150" s="1534"/>
      <c r="T150" s="1528"/>
      <c r="U150" s="1534"/>
      <c r="V150" s="1528"/>
      <c r="W150" s="1534"/>
      <c r="X150" s="1528"/>
      <c r="Y150" s="1534"/>
      <c r="Z150" s="1528"/>
      <c r="AA150" s="1534"/>
      <c r="AB150" s="1528"/>
      <c r="AC150" s="1534"/>
      <c r="AD150" s="1528"/>
      <c r="AE150" s="1534"/>
      <c r="AF150" s="1528"/>
      <c r="AG150" s="1534"/>
      <c r="AH150" s="1528"/>
      <c r="AI150" s="1534"/>
      <c r="AJ150" s="1528"/>
      <c r="AK150" s="1534"/>
      <c r="AL150" s="1528"/>
      <c r="AM150" s="1721"/>
      <c r="AN150" s="1722"/>
      <c r="AO150" s="1529"/>
      <c r="AP150" s="1721"/>
      <c r="AQ150" s="1532"/>
      <c r="AR150" s="1533"/>
      <c r="AS150" t="str">
        <f t="shared" si="114"/>
        <v/>
      </c>
      <c r="CA150" s="1708"/>
      <c r="CB150" s="1418" t="str">
        <f t="shared" si="115"/>
        <v/>
      </c>
      <c r="CC150" s="1418" t="str">
        <f t="shared" si="116"/>
        <v/>
      </c>
      <c r="CO150" s="419"/>
      <c r="CP150" s="419">
        <f t="shared" si="117"/>
        <v>0</v>
      </c>
      <c r="CQ150" s="419">
        <f t="shared" si="118"/>
        <v>0</v>
      </c>
    </row>
    <row r="151" spans="1:95" s="385" customFormat="1" ht="18" customHeight="1">
      <c r="A151" s="1581" t="s">
        <v>854</v>
      </c>
      <c r="B151" s="1581"/>
      <c r="C151" s="1493"/>
      <c r="D151" s="1493"/>
      <c r="E151" s="1493"/>
      <c r="F151" s="1493"/>
      <c r="G151" s="1493"/>
      <c r="H151" s="1493"/>
      <c r="I151" s="1493"/>
      <c r="J151" s="1493"/>
      <c r="K151" s="1493"/>
      <c r="L151" s="1493"/>
      <c r="M151" s="1723"/>
      <c r="N151" s="1724"/>
      <c r="O151" s="1700"/>
    </row>
    <row r="152" spans="1:95" ht="15" customHeight="1">
      <c r="A152" s="6140" t="s">
        <v>725</v>
      </c>
      <c r="B152" s="6119"/>
      <c r="C152" s="5710" t="s">
        <v>91</v>
      </c>
      <c r="D152" s="6106"/>
      <c r="E152" s="5712"/>
      <c r="F152" s="5710" t="s">
        <v>68</v>
      </c>
      <c r="G152" s="5712"/>
      <c r="H152" s="5710" t="s">
        <v>69</v>
      </c>
      <c r="I152" s="5712"/>
      <c r="J152" s="5710" t="s">
        <v>70</v>
      </c>
      <c r="K152" s="5712"/>
      <c r="L152" s="5710" t="s">
        <v>71</v>
      </c>
      <c r="M152" s="5716"/>
      <c r="N152" s="5714" t="s">
        <v>50</v>
      </c>
      <c r="O152" s="5718" t="s">
        <v>51</v>
      </c>
    </row>
    <row r="153" spans="1:95" ht="15" customHeight="1">
      <c r="A153" s="6114"/>
      <c r="B153" s="6116"/>
      <c r="C153" s="1395" t="s">
        <v>93</v>
      </c>
      <c r="D153" s="1646" t="s">
        <v>72</v>
      </c>
      <c r="E153" s="393" t="s">
        <v>73</v>
      </c>
      <c r="F153" s="1395" t="s">
        <v>72</v>
      </c>
      <c r="G153" s="393" t="s">
        <v>73</v>
      </c>
      <c r="H153" s="1395" t="s">
        <v>72</v>
      </c>
      <c r="I153" s="393" t="s">
        <v>73</v>
      </c>
      <c r="J153" s="1395" t="s">
        <v>72</v>
      </c>
      <c r="K153" s="393" t="s">
        <v>73</v>
      </c>
      <c r="L153" s="1395" t="s">
        <v>72</v>
      </c>
      <c r="M153" s="394" t="s">
        <v>73</v>
      </c>
      <c r="N153" s="5715"/>
      <c r="O153" s="5719"/>
    </row>
    <row r="154" spans="1:95" ht="15" customHeight="1">
      <c r="A154" s="6127" t="s">
        <v>855</v>
      </c>
      <c r="B154" s="1422" t="s">
        <v>856</v>
      </c>
      <c r="C154" s="447">
        <f t="shared" si="86"/>
        <v>0</v>
      </c>
      <c r="D154" s="1716">
        <f t="shared" ref="D154:E156" si="119">SUM(F154+H154+J154+L154)</f>
        <v>0</v>
      </c>
      <c r="E154" s="410">
        <f>SUM(G154+I154+K154+M154)</f>
        <v>0</v>
      </c>
      <c r="F154" s="1480"/>
      <c r="G154" s="1545"/>
      <c r="H154" s="1480"/>
      <c r="I154" s="1545"/>
      <c r="J154" s="1480"/>
      <c r="K154" s="1545"/>
      <c r="L154" s="1480"/>
      <c r="M154" s="1725"/>
      <c r="N154" s="1544"/>
      <c r="O154" s="1483"/>
      <c r="P154" t="str">
        <f t="shared" ref="P154:P161" si="120">CA154&amp;CB154</f>
        <v/>
      </c>
      <c r="CA154" s="1418" t="str">
        <f t="shared" ref="CA154:CA158" si="121">IF(AND(C154&gt;0,N154="")," * No olvide digitar la variable Pueblos originarios. Digite Cero si no tiene.",IF(N154&gt;C154," * La variable Pueblos originarios No puede ser mayor al Total.",""))</f>
        <v/>
      </c>
      <c r="CB154" s="1418" t="str">
        <f t="shared" ref="CB154:CB156" si="122">IF(AND(C154&gt;0,O154="")," * No olvide digitar la variable Migrantes. Digite Cero si no tiene.",IF(O154&gt;C154," * La variable Pueblos Migrantes No puede ser mayor al Total.",""))</f>
        <v/>
      </c>
      <c r="CO154" s="419">
        <f t="shared" ref="CO154:CO161" si="123">IF(AND($C154&gt;0,N154=""),1,IF(N154&gt;$C154,1,0))</f>
        <v>0</v>
      </c>
      <c r="CP154" s="419">
        <f t="shared" ref="CP154:CP161" si="124">IF(AND($C154&gt;0,O154=""),1,IF(O154&gt;$C154,1,0))</f>
        <v>0</v>
      </c>
    </row>
    <row r="155" spans="1:95" ht="15" customHeight="1">
      <c r="A155" s="6128"/>
      <c r="B155" s="1512" t="s">
        <v>857</v>
      </c>
      <c r="C155" s="408">
        <f t="shared" si="86"/>
        <v>0</v>
      </c>
      <c r="D155" s="1690">
        <f t="shared" si="119"/>
        <v>0</v>
      </c>
      <c r="E155" s="422">
        <f t="shared" si="119"/>
        <v>0</v>
      </c>
      <c r="F155" s="1480"/>
      <c r="G155" s="1545"/>
      <c r="H155" s="1480"/>
      <c r="I155" s="1545"/>
      <c r="J155" s="1480"/>
      <c r="K155" s="1545"/>
      <c r="L155" s="1480"/>
      <c r="M155" s="1725"/>
      <c r="N155" s="1544"/>
      <c r="O155" s="1483"/>
      <c r="P155" t="str">
        <f t="shared" si="120"/>
        <v/>
      </c>
      <c r="CA155" s="1418" t="str">
        <f t="shared" si="121"/>
        <v/>
      </c>
      <c r="CB155" s="1418" t="str">
        <f t="shared" si="122"/>
        <v/>
      </c>
      <c r="CO155" s="419">
        <f t="shared" si="123"/>
        <v>0</v>
      </c>
      <c r="CP155" s="419">
        <f t="shared" si="124"/>
        <v>0</v>
      </c>
    </row>
    <row r="156" spans="1:95" ht="15" customHeight="1">
      <c r="A156" s="6128"/>
      <c r="B156" s="1726" t="s">
        <v>858</v>
      </c>
      <c r="C156" s="1695">
        <f t="shared" si="86"/>
        <v>0</v>
      </c>
      <c r="D156" s="1696">
        <f t="shared" si="119"/>
        <v>0</v>
      </c>
      <c r="E156" s="1717">
        <f t="shared" si="119"/>
        <v>0</v>
      </c>
      <c r="F156" s="1480"/>
      <c r="G156" s="1545"/>
      <c r="H156" s="1480"/>
      <c r="I156" s="1545"/>
      <c r="J156" s="1480"/>
      <c r="K156" s="1545"/>
      <c r="L156" s="1480"/>
      <c r="M156" s="1725"/>
      <c r="N156" s="1544"/>
      <c r="O156" s="1483"/>
      <c r="P156" t="str">
        <f t="shared" si="120"/>
        <v/>
      </c>
      <c r="CA156" s="1418" t="str">
        <f t="shared" si="121"/>
        <v/>
      </c>
      <c r="CB156" s="1418" t="str">
        <f t="shared" si="122"/>
        <v/>
      </c>
      <c r="CO156" s="419">
        <f t="shared" si="123"/>
        <v>0</v>
      </c>
      <c r="CP156" s="419">
        <f t="shared" si="124"/>
        <v>0</v>
      </c>
    </row>
    <row r="157" spans="1:95" s="1727" customFormat="1" ht="15" customHeight="1">
      <c r="A157" s="6199" t="s">
        <v>859</v>
      </c>
      <c r="B157" s="6199"/>
      <c r="C157" s="401">
        <f>SUM(C154:C156)</f>
        <v>0</v>
      </c>
      <c r="D157" s="1501">
        <f>SUM(D154:D156)</f>
        <v>0</v>
      </c>
      <c r="E157" s="392">
        <f>SUM(E154:E156)</f>
        <v>0</v>
      </c>
      <c r="F157" s="401">
        <f>SUM(F154:F156)</f>
        <v>0</v>
      </c>
      <c r="G157" s="392">
        <f t="shared" ref="G157:M157" si="125">SUM(G154:G156)</f>
        <v>0</v>
      </c>
      <c r="H157" s="401">
        <f t="shared" si="125"/>
        <v>0</v>
      </c>
      <c r="I157" s="392">
        <f t="shared" si="125"/>
        <v>0</v>
      </c>
      <c r="J157" s="401">
        <f t="shared" si="125"/>
        <v>0</v>
      </c>
      <c r="K157" s="392">
        <f t="shared" si="125"/>
        <v>0</v>
      </c>
      <c r="L157" s="401">
        <f t="shared" si="125"/>
        <v>0</v>
      </c>
      <c r="M157" s="1556">
        <f t="shared" si="125"/>
        <v>0</v>
      </c>
      <c r="N157" s="405">
        <f>SUM(N154:N156)</f>
        <v>0</v>
      </c>
      <c r="O157" s="406">
        <f>SUM(O154:O156)</f>
        <v>0</v>
      </c>
    </row>
    <row r="158" spans="1:95">
      <c r="A158" s="6127" t="s">
        <v>860</v>
      </c>
      <c r="B158" s="1540" t="s">
        <v>861</v>
      </c>
      <c r="C158" s="1687">
        <f t="shared" ref="C158:C161" si="126">SUM(D158:E158)</f>
        <v>0</v>
      </c>
      <c r="D158" s="1688">
        <f t="shared" ref="D158:E161" si="127">SUM(F158+H158+J158+L158)</f>
        <v>0</v>
      </c>
      <c r="E158" s="1728">
        <f t="shared" si="127"/>
        <v>0</v>
      </c>
      <c r="F158" s="1480"/>
      <c r="G158" s="1545"/>
      <c r="H158" s="1480"/>
      <c r="I158" s="1545"/>
      <c r="J158" s="1480"/>
      <c r="K158" s="1545"/>
      <c r="L158" s="1480"/>
      <c r="M158" s="1725"/>
      <c r="N158" s="1544"/>
      <c r="O158" s="1483"/>
      <c r="P158" t="str">
        <f t="shared" si="120"/>
        <v/>
      </c>
      <c r="CA158" s="1418" t="str">
        <f t="shared" si="121"/>
        <v/>
      </c>
      <c r="CB158" s="1418" t="str">
        <f t="shared" ref="CB158:CB161" si="128">IF(AND(C158&gt;0,O158=""),"  * No olvide digitar la variable Migrantes. Digite Cero si no tiene.",IF(O158&gt;C158,"  * La variable Pueblos Migrantes No puede ser mayor al Total.",""))</f>
        <v/>
      </c>
      <c r="CO158" s="419">
        <f t="shared" si="123"/>
        <v>0</v>
      </c>
      <c r="CP158" s="419">
        <f t="shared" si="124"/>
        <v>0</v>
      </c>
    </row>
    <row r="159" spans="1:95">
      <c r="A159" s="6128"/>
      <c r="B159" s="1512" t="s">
        <v>862</v>
      </c>
      <c r="C159" s="408">
        <f t="shared" si="126"/>
        <v>0</v>
      </c>
      <c r="D159" s="1690">
        <f t="shared" si="127"/>
        <v>0</v>
      </c>
      <c r="E159" s="422">
        <f t="shared" si="127"/>
        <v>0</v>
      </c>
      <c r="F159" s="1440"/>
      <c r="G159" s="1452"/>
      <c r="H159" s="1440"/>
      <c r="I159" s="1452"/>
      <c r="J159" s="1440"/>
      <c r="K159" s="1452"/>
      <c r="L159" s="1440"/>
      <c r="M159" s="1655"/>
      <c r="N159" s="1445"/>
      <c r="O159" s="1446"/>
      <c r="P159" t="str">
        <f t="shared" si="120"/>
        <v/>
      </c>
      <c r="CA159" s="1418" t="str">
        <f t="shared" ref="CA159:CA161" si="129">IF(AND(C159&gt;0,N159=""),"  * No olvide digitar la variable Pueblos originarios. Digite Cero si no tiene.",IF(N159&gt;C159,"  * La variable Pueblos originarios No puede ser mayor al Total.",""))</f>
        <v/>
      </c>
      <c r="CB159" s="1418" t="str">
        <f t="shared" si="128"/>
        <v/>
      </c>
      <c r="CO159" s="419">
        <f t="shared" si="123"/>
        <v>0</v>
      </c>
      <c r="CP159" s="419">
        <f t="shared" si="124"/>
        <v>0</v>
      </c>
    </row>
    <row r="160" spans="1:95">
      <c r="A160" s="6128"/>
      <c r="B160" s="1512" t="s">
        <v>863</v>
      </c>
      <c r="C160" s="408">
        <f t="shared" si="126"/>
        <v>0</v>
      </c>
      <c r="D160" s="1690">
        <f t="shared" si="127"/>
        <v>0</v>
      </c>
      <c r="E160" s="422">
        <f t="shared" si="127"/>
        <v>0</v>
      </c>
      <c r="F160" s="1440"/>
      <c r="G160" s="1452"/>
      <c r="H160" s="1440"/>
      <c r="I160" s="1452"/>
      <c r="J160" s="1440"/>
      <c r="K160" s="1452"/>
      <c r="L160" s="1440"/>
      <c r="M160" s="1655"/>
      <c r="N160" s="1445"/>
      <c r="O160" s="1446"/>
      <c r="P160" t="str">
        <f t="shared" si="120"/>
        <v/>
      </c>
      <c r="CA160" s="1418" t="str">
        <f t="shared" si="129"/>
        <v/>
      </c>
      <c r="CB160" s="1418" t="str">
        <f t="shared" si="128"/>
        <v/>
      </c>
      <c r="CO160" s="419">
        <f t="shared" si="123"/>
        <v>0</v>
      </c>
      <c r="CP160" s="419">
        <f t="shared" si="124"/>
        <v>0</v>
      </c>
    </row>
    <row r="161" spans="1:94">
      <c r="A161" s="6129"/>
      <c r="B161" s="1729" t="s">
        <v>864</v>
      </c>
      <c r="C161" s="1695">
        <f t="shared" si="126"/>
        <v>0</v>
      </c>
      <c r="D161" s="1696">
        <f t="shared" si="127"/>
        <v>0</v>
      </c>
      <c r="E161" s="1717">
        <f t="shared" si="127"/>
        <v>0</v>
      </c>
      <c r="F161" s="1485"/>
      <c r="G161" s="1692"/>
      <c r="H161" s="1485"/>
      <c r="I161" s="1692"/>
      <c r="J161" s="1485"/>
      <c r="K161" s="1692"/>
      <c r="L161" s="1485"/>
      <c r="M161" s="1710"/>
      <c r="N161" s="1693"/>
      <c r="O161" s="1488"/>
      <c r="P161" t="str">
        <f t="shared" si="120"/>
        <v/>
      </c>
      <c r="CA161" s="1418" t="str">
        <f t="shared" si="129"/>
        <v/>
      </c>
      <c r="CB161" s="1418" t="str">
        <f t="shared" si="128"/>
        <v/>
      </c>
      <c r="CO161" s="419">
        <f t="shared" si="123"/>
        <v>0</v>
      </c>
      <c r="CP161" s="419">
        <f t="shared" si="124"/>
        <v>0</v>
      </c>
    </row>
    <row r="162" spans="1:94" s="1727" customFormat="1" ht="15" customHeight="1">
      <c r="A162" s="6198" t="s">
        <v>859</v>
      </c>
      <c r="B162" s="6199"/>
      <c r="C162" s="401">
        <f>SUM(C158:C161)</f>
        <v>0</v>
      </c>
      <c r="D162" s="1501">
        <f>SUM(D158:D161)</f>
        <v>0</v>
      </c>
      <c r="E162" s="392">
        <f>SUM(E158:E161)</f>
        <v>0</v>
      </c>
      <c r="F162" s="401">
        <f>SUM(F158:F161)</f>
        <v>0</v>
      </c>
      <c r="G162" s="392">
        <f t="shared" ref="G162:M162" si="130">SUM(G158:G161)</f>
        <v>0</v>
      </c>
      <c r="H162" s="401">
        <f t="shared" si="130"/>
        <v>0</v>
      </c>
      <c r="I162" s="392">
        <f t="shared" si="130"/>
        <v>0</v>
      </c>
      <c r="J162" s="401">
        <f t="shared" si="130"/>
        <v>0</v>
      </c>
      <c r="K162" s="392">
        <f t="shared" si="130"/>
        <v>0</v>
      </c>
      <c r="L162" s="401">
        <f t="shared" si="130"/>
        <v>0</v>
      </c>
      <c r="M162" s="1556">
        <f t="shared" si="130"/>
        <v>0</v>
      </c>
      <c r="N162" s="405">
        <f>SUM(N158:N161)</f>
        <v>0</v>
      </c>
      <c r="O162" s="406">
        <f>SUM(O158:O161)</f>
        <v>0</v>
      </c>
    </row>
    <row r="163" spans="1:94">
      <c r="A163" s="6198" t="s">
        <v>229</v>
      </c>
      <c r="B163" s="6198"/>
      <c r="C163" s="1658">
        <f>SUM(C157+C162)</f>
        <v>0</v>
      </c>
      <c r="D163" s="1720">
        <f>SUM(D157+D162)</f>
        <v>0</v>
      </c>
      <c r="E163" s="1719">
        <f>SUM(E157+E162)</f>
        <v>0</v>
      </c>
      <c r="F163" s="1658">
        <f>SUM(F157+F162)</f>
        <v>0</v>
      </c>
      <c r="G163" s="1719">
        <f>SUM(G157+G162)</f>
        <v>0</v>
      </c>
      <c r="H163" s="1658">
        <f t="shared" ref="H163:M163" si="131">SUM(H157+H162)</f>
        <v>0</v>
      </c>
      <c r="I163" s="1719">
        <f t="shared" si="131"/>
        <v>0</v>
      </c>
      <c r="J163" s="1658">
        <f t="shared" si="131"/>
        <v>0</v>
      </c>
      <c r="K163" s="1719">
        <f t="shared" si="131"/>
        <v>0</v>
      </c>
      <c r="L163" s="1658">
        <f t="shared" si="131"/>
        <v>0</v>
      </c>
      <c r="M163" s="1730">
        <f t="shared" si="131"/>
        <v>0</v>
      </c>
      <c r="N163" s="1731">
        <f>SUM(N157+N162)</f>
        <v>0</v>
      </c>
      <c r="O163" s="1527">
        <f>SUM(O157+O162)</f>
        <v>0</v>
      </c>
    </row>
    <row r="164" spans="1:94" s="385" customFormat="1" ht="18" customHeight="1">
      <c r="A164" s="1581" t="s">
        <v>865</v>
      </c>
      <c r="B164" s="1581"/>
      <c r="C164" s="1493"/>
      <c r="D164" s="1493"/>
      <c r="E164" s="1493"/>
      <c r="F164" s="1493"/>
      <c r="G164" s="1493"/>
      <c r="H164" s="1493"/>
      <c r="I164" s="1493"/>
      <c r="J164" s="1493"/>
      <c r="K164" s="1493"/>
      <c r="L164" s="1493"/>
      <c r="M164" s="1493"/>
      <c r="N164" s="1493"/>
      <c r="O164" s="1493"/>
      <c r="P164" s="1493"/>
      <c r="Q164" s="1724"/>
      <c r="R164" s="1700"/>
    </row>
    <row r="165" spans="1:94">
      <c r="A165" s="6140" t="s">
        <v>725</v>
      </c>
      <c r="B165" s="6119"/>
      <c r="C165" s="5710" t="s">
        <v>91</v>
      </c>
      <c r="D165" s="6106"/>
      <c r="E165" s="5712"/>
      <c r="F165" s="5710" t="s">
        <v>68</v>
      </c>
      <c r="G165" s="5712"/>
      <c r="H165" s="5710" t="s">
        <v>69</v>
      </c>
      <c r="I165" s="5712"/>
      <c r="J165" s="5710" t="s">
        <v>70</v>
      </c>
      <c r="K165" s="5712"/>
      <c r="L165" s="5710" t="s">
        <v>71</v>
      </c>
      <c r="M165" s="5716"/>
      <c r="N165" s="6191" t="s">
        <v>837</v>
      </c>
      <c r="O165" s="6106"/>
      <c r="P165" s="5716"/>
      <c r="Q165" s="5714" t="s">
        <v>50</v>
      </c>
      <c r="R165" s="5718" t="s">
        <v>51</v>
      </c>
    </row>
    <row r="166" spans="1:94">
      <c r="A166" s="6114"/>
      <c r="B166" s="6116"/>
      <c r="C166" s="1395" t="s">
        <v>93</v>
      </c>
      <c r="D166" s="1646" t="s">
        <v>72</v>
      </c>
      <c r="E166" s="393" t="s">
        <v>73</v>
      </c>
      <c r="F166" s="1395" t="s">
        <v>72</v>
      </c>
      <c r="G166" s="393" t="s">
        <v>73</v>
      </c>
      <c r="H166" s="1395" t="s">
        <v>72</v>
      </c>
      <c r="I166" s="393" t="s">
        <v>73</v>
      </c>
      <c r="J166" s="1395" t="s">
        <v>72</v>
      </c>
      <c r="K166" s="393" t="s">
        <v>73</v>
      </c>
      <c r="L166" s="1395" t="s">
        <v>72</v>
      </c>
      <c r="M166" s="1495" t="s">
        <v>73</v>
      </c>
      <c r="N166" s="1733" t="s">
        <v>838</v>
      </c>
      <c r="O166" s="1646" t="s">
        <v>839</v>
      </c>
      <c r="P166" s="394" t="s">
        <v>840</v>
      </c>
      <c r="Q166" s="5715"/>
      <c r="R166" s="5719"/>
    </row>
    <row r="167" spans="1:94">
      <c r="A167" s="6127" t="s">
        <v>855</v>
      </c>
      <c r="B167" s="1422" t="s">
        <v>856</v>
      </c>
      <c r="C167" s="1734">
        <f t="shared" ref="C167:C169" si="132">SUM(D167:E167)</f>
        <v>0</v>
      </c>
      <c r="D167" s="1735">
        <f t="shared" ref="D167:E169" si="133">SUM(F167+H167+J167+L167)</f>
        <v>0</v>
      </c>
      <c r="E167" s="1736">
        <f t="shared" si="133"/>
        <v>0</v>
      </c>
      <c r="F167" s="1424"/>
      <c r="G167" s="1436"/>
      <c r="H167" s="1424"/>
      <c r="I167" s="1436"/>
      <c r="J167" s="1424"/>
      <c r="K167" s="1436"/>
      <c r="L167" s="1424"/>
      <c r="M167" s="1652"/>
      <c r="N167" s="1707"/>
      <c r="O167" s="1426"/>
      <c r="P167" s="1650"/>
      <c r="Q167" s="1429"/>
      <c r="R167" s="1430"/>
      <c r="S167" t="str">
        <f t="shared" ref="S167:S174" si="134">CA167&amp;CB167&amp;CC167</f>
        <v/>
      </c>
      <c r="CA167" s="1418" t="str">
        <f>IF(AND(C167&gt;0,Q167=""),"  * No olvide digitar la variable Pueblos originarios. Digite Cero si no tiene.",IF(Q167&gt;C167," * La variable Pueblos originarios No puede ser mayor al Total.",""))</f>
        <v/>
      </c>
      <c r="CB167" s="1418" t="str">
        <f t="shared" ref="CB167:CB174" si="135">IF(AND(C167&gt;0,R167=""),"   * No olvide digitar la variable Migrantes. Digite Cero si no tiene.",IF(R167&gt;C167," *  La variable Migrantes No puede ser mayor al Total.",""))</f>
        <v/>
      </c>
      <c r="CO167" s="419">
        <f t="shared" ref="CO167:CO174" si="136">IF(AND(C167&gt;0,Q167=""),1,IF(Q167&gt;C167,1,0))</f>
        <v>0</v>
      </c>
      <c r="CP167" s="419">
        <f t="shared" ref="CP167:CP174" si="137">IF(AND(C167&gt;0,R167=""),1,IF(R167&gt;C167,1,0))</f>
        <v>0</v>
      </c>
    </row>
    <row r="168" spans="1:94">
      <c r="A168" s="6128"/>
      <c r="B168" s="1512" t="s">
        <v>857</v>
      </c>
      <c r="C168" s="1737">
        <f t="shared" si="132"/>
        <v>0</v>
      </c>
      <c r="D168" s="1738">
        <f t="shared" si="133"/>
        <v>0</v>
      </c>
      <c r="E168" s="1739">
        <f t="shared" si="133"/>
        <v>0</v>
      </c>
      <c r="F168" s="1440"/>
      <c r="G168" s="1452"/>
      <c r="H168" s="1440"/>
      <c r="I168" s="1452"/>
      <c r="J168" s="1440"/>
      <c r="K168" s="1452"/>
      <c r="L168" s="1440"/>
      <c r="M168" s="1447"/>
      <c r="N168" s="1709"/>
      <c r="O168" s="1442"/>
      <c r="P168" s="1655"/>
      <c r="Q168" s="1445"/>
      <c r="R168" s="1446"/>
      <c r="S168" t="str">
        <f t="shared" si="134"/>
        <v/>
      </c>
      <c r="CA168" s="1418" t="str">
        <f t="shared" ref="CA168:CA174" si="138">IF(AND(C168&gt;0,Q168=""),"   * No olvide digitar la variable Pueblos originarios. Digite Cero si no tiene.",IF(Q168&gt;C168," *  La variable Pueblos originarios No puede ser mayor al Total.",""))</f>
        <v/>
      </c>
      <c r="CB168" s="1418" t="str">
        <f t="shared" si="135"/>
        <v/>
      </c>
      <c r="CO168" s="419">
        <f t="shared" si="136"/>
        <v>0</v>
      </c>
      <c r="CP168" s="419">
        <f t="shared" si="137"/>
        <v>0</v>
      </c>
    </row>
    <row r="169" spans="1:94">
      <c r="A169" s="6128"/>
      <c r="B169" s="1726" t="s">
        <v>858</v>
      </c>
      <c r="C169" s="1740">
        <f t="shared" si="132"/>
        <v>0</v>
      </c>
      <c r="D169" s="1741">
        <f t="shared" si="133"/>
        <v>0</v>
      </c>
      <c r="E169" s="1742">
        <f t="shared" si="133"/>
        <v>0</v>
      </c>
      <c r="F169" s="1485"/>
      <c r="G169" s="1692"/>
      <c r="H169" s="1485"/>
      <c r="I169" s="1692"/>
      <c r="J169" s="1485"/>
      <c r="K169" s="1692"/>
      <c r="L169" s="1485"/>
      <c r="M169" s="1487"/>
      <c r="N169" s="1711"/>
      <c r="O169" s="1712"/>
      <c r="P169" s="1710"/>
      <c r="Q169" s="1693"/>
      <c r="R169" s="1488"/>
      <c r="S169" t="str">
        <f t="shared" si="134"/>
        <v/>
      </c>
      <c r="CA169" s="1418" t="str">
        <f t="shared" si="138"/>
        <v/>
      </c>
      <c r="CB169" s="1418" t="str">
        <f t="shared" si="135"/>
        <v/>
      </c>
      <c r="CO169" s="419">
        <f t="shared" si="136"/>
        <v>0</v>
      </c>
      <c r="CP169" s="419">
        <f t="shared" si="137"/>
        <v>0</v>
      </c>
    </row>
    <row r="170" spans="1:94" ht="15" customHeight="1">
      <c r="A170" s="6199" t="s">
        <v>859</v>
      </c>
      <c r="B170" s="6199"/>
      <c r="C170" s="1743">
        <f>SUM(C167:C169)</f>
        <v>0</v>
      </c>
      <c r="D170" s="1744">
        <f>SUM(D167:D169)</f>
        <v>0</v>
      </c>
      <c r="E170" s="1745">
        <f>SUM(E167:E169)</f>
        <v>0</v>
      </c>
      <c r="F170" s="1743">
        <f>SUM(F167:F169)</f>
        <v>0</v>
      </c>
      <c r="G170" s="1745">
        <f t="shared" ref="G170:P170" si="139">SUM(G167:G169)</f>
        <v>0</v>
      </c>
      <c r="H170" s="1743">
        <f t="shared" si="139"/>
        <v>0</v>
      </c>
      <c r="I170" s="1745">
        <f t="shared" si="139"/>
        <v>0</v>
      </c>
      <c r="J170" s="1743">
        <f t="shared" si="139"/>
        <v>0</v>
      </c>
      <c r="K170" s="1745">
        <f t="shared" si="139"/>
        <v>0</v>
      </c>
      <c r="L170" s="1743">
        <f t="shared" si="139"/>
        <v>0</v>
      </c>
      <c r="M170" s="1746">
        <f t="shared" si="139"/>
        <v>0</v>
      </c>
      <c r="N170" s="1747">
        <f t="shared" si="139"/>
        <v>0</v>
      </c>
      <c r="O170" s="1744">
        <f t="shared" si="139"/>
        <v>0</v>
      </c>
      <c r="P170" s="1748">
        <f t="shared" si="139"/>
        <v>0</v>
      </c>
      <c r="Q170" s="1749">
        <f>SUM(Q167:Q169)</f>
        <v>0</v>
      </c>
      <c r="R170" s="1750">
        <f>SUM(R167:R169)</f>
        <v>0</v>
      </c>
    </row>
    <row r="171" spans="1:94">
      <c r="A171" s="6127" t="s">
        <v>860</v>
      </c>
      <c r="B171" s="1540" t="s">
        <v>861</v>
      </c>
      <c r="C171" s="1751">
        <f t="shared" ref="C171:C174" si="140">SUM(D171:E171)</f>
        <v>0</v>
      </c>
      <c r="D171" s="1752">
        <f t="shared" ref="D171:E174" si="141">SUM(F171+H171+J171+L171)</f>
        <v>0</v>
      </c>
      <c r="E171" s="1753">
        <f>SUM(G171+I171+K171+M171)</f>
        <v>0</v>
      </c>
      <c r="F171" s="1480"/>
      <c r="G171" s="1545"/>
      <c r="H171" s="1480"/>
      <c r="I171" s="1545"/>
      <c r="J171" s="1480"/>
      <c r="K171" s="1545"/>
      <c r="L171" s="1480"/>
      <c r="M171" s="1482"/>
      <c r="N171" s="1754"/>
      <c r="O171" s="1541"/>
      <c r="P171" s="1725"/>
      <c r="Q171" s="1544"/>
      <c r="R171" s="1483"/>
      <c r="S171" t="str">
        <f t="shared" si="134"/>
        <v/>
      </c>
      <c r="CA171" s="1418" t="str">
        <f t="shared" si="138"/>
        <v/>
      </c>
      <c r="CB171" s="1418" t="str">
        <f t="shared" si="135"/>
        <v/>
      </c>
      <c r="CO171" s="419">
        <f t="shared" si="136"/>
        <v>0</v>
      </c>
      <c r="CP171" s="419">
        <f t="shared" si="137"/>
        <v>0</v>
      </c>
    </row>
    <row r="172" spans="1:94">
      <c r="A172" s="6128"/>
      <c r="B172" s="1512" t="s">
        <v>862</v>
      </c>
      <c r="C172" s="1737">
        <f t="shared" si="140"/>
        <v>0</v>
      </c>
      <c r="D172" s="1738">
        <f t="shared" si="141"/>
        <v>0</v>
      </c>
      <c r="E172" s="1739">
        <f t="shared" si="141"/>
        <v>0</v>
      </c>
      <c r="F172" s="1440"/>
      <c r="G172" s="1452"/>
      <c r="H172" s="1440"/>
      <c r="I172" s="1452"/>
      <c r="J172" s="1440"/>
      <c r="K172" s="1452"/>
      <c r="L172" s="1440"/>
      <c r="M172" s="1447"/>
      <c r="N172" s="1709"/>
      <c r="O172" s="1442"/>
      <c r="P172" s="1655"/>
      <c r="Q172" s="1445"/>
      <c r="R172" s="1446"/>
      <c r="S172" t="str">
        <f t="shared" si="134"/>
        <v/>
      </c>
      <c r="CA172" s="1418" t="str">
        <f t="shared" si="138"/>
        <v/>
      </c>
      <c r="CB172" s="1418" t="str">
        <f t="shared" si="135"/>
        <v/>
      </c>
      <c r="CO172" s="419">
        <f t="shared" si="136"/>
        <v>0</v>
      </c>
      <c r="CP172" s="419">
        <f t="shared" si="137"/>
        <v>0</v>
      </c>
    </row>
    <row r="173" spans="1:94">
      <c r="A173" s="6128"/>
      <c r="B173" s="1512" t="s">
        <v>863</v>
      </c>
      <c r="C173" s="1737">
        <f t="shared" si="140"/>
        <v>0</v>
      </c>
      <c r="D173" s="1738">
        <f t="shared" si="141"/>
        <v>0</v>
      </c>
      <c r="E173" s="1739">
        <f t="shared" si="141"/>
        <v>0</v>
      </c>
      <c r="F173" s="1440"/>
      <c r="G173" s="1452"/>
      <c r="H173" s="1440"/>
      <c r="I173" s="1452"/>
      <c r="J173" s="1440"/>
      <c r="K173" s="1452"/>
      <c r="L173" s="1440"/>
      <c r="M173" s="1447"/>
      <c r="N173" s="1709"/>
      <c r="O173" s="1442"/>
      <c r="P173" s="1655"/>
      <c r="Q173" s="1445"/>
      <c r="R173" s="1446"/>
      <c r="S173" t="str">
        <f t="shared" si="134"/>
        <v/>
      </c>
      <c r="CA173" s="1418" t="str">
        <f t="shared" si="138"/>
        <v/>
      </c>
      <c r="CB173" s="1418" t="str">
        <f t="shared" si="135"/>
        <v/>
      </c>
      <c r="CO173" s="419">
        <f t="shared" si="136"/>
        <v>0</v>
      </c>
      <c r="CP173" s="419">
        <f t="shared" si="137"/>
        <v>0</v>
      </c>
    </row>
    <row r="174" spans="1:94">
      <c r="A174" s="6129"/>
      <c r="B174" s="1729" t="s">
        <v>864</v>
      </c>
      <c r="C174" s="1740">
        <f t="shared" si="140"/>
        <v>0</v>
      </c>
      <c r="D174" s="1741">
        <f t="shared" si="141"/>
        <v>0</v>
      </c>
      <c r="E174" s="1742">
        <f t="shared" si="141"/>
        <v>0</v>
      </c>
      <c r="F174" s="1485"/>
      <c r="G174" s="1692"/>
      <c r="H174" s="1485"/>
      <c r="I174" s="1692"/>
      <c r="J174" s="1485"/>
      <c r="K174" s="1692"/>
      <c r="L174" s="1485"/>
      <c r="M174" s="1487"/>
      <c r="N174" s="1711"/>
      <c r="O174" s="1712"/>
      <c r="P174" s="1710"/>
      <c r="Q174" s="1693"/>
      <c r="R174" s="1488"/>
      <c r="S174" t="str">
        <f t="shared" si="134"/>
        <v/>
      </c>
      <c r="CA174" s="1418" t="str">
        <f t="shared" si="138"/>
        <v/>
      </c>
      <c r="CB174" s="1418" t="str">
        <f t="shared" si="135"/>
        <v/>
      </c>
      <c r="CO174" s="419">
        <f t="shared" si="136"/>
        <v>0</v>
      </c>
      <c r="CP174" s="419">
        <f t="shared" si="137"/>
        <v>0</v>
      </c>
    </row>
    <row r="175" spans="1:94" ht="15" customHeight="1">
      <c r="A175" s="6198" t="s">
        <v>859</v>
      </c>
      <c r="B175" s="6199"/>
      <c r="C175" s="1743">
        <f>SUM(C171:C174)</f>
        <v>0</v>
      </c>
      <c r="D175" s="1744">
        <f>SUM(D171:D174)</f>
        <v>0</v>
      </c>
      <c r="E175" s="1745">
        <f>SUM(E171:E174)</f>
        <v>0</v>
      </c>
      <c r="F175" s="1743">
        <f>SUM(F171:F174)</f>
        <v>0</v>
      </c>
      <c r="G175" s="1745">
        <f t="shared" ref="G175:P175" si="142">SUM(G171:G174)</f>
        <v>0</v>
      </c>
      <c r="H175" s="1743">
        <f t="shared" si="142"/>
        <v>0</v>
      </c>
      <c r="I175" s="1745">
        <f t="shared" si="142"/>
        <v>0</v>
      </c>
      <c r="J175" s="1743">
        <f t="shared" si="142"/>
        <v>0</v>
      </c>
      <c r="K175" s="1745">
        <f t="shared" si="142"/>
        <v>0</v>
      </c>
      <c r="L175" s="1743">
        <f t="shared" si="142"/>
        <v>0</v>
      </c>
      <c r="M175" s="1746">
        <f t="shared" si="142"/>
        <v>0</v>
      </c>
      <c r="N175" s="1747">
        <f t="shared" si="142"/>
        <v>0</v>
      </c>
      <c r="O175" s="1744">
        <f t="shared" si="142"/>
        <v>0</v>
      </c>
      <c r="P175" s="1748">
        <f t="shared" si="142"/>
        <v>0</v>
      </c>
      <c r="Q175" s="1749">
        <f>SUM(Q171:Q174)</f>
        <v>0</v>
      </c>
      <c r="R175" s="1750">
        <f>SUM(R171:R174)</f>
        <v>0</v>
      </c>
    </row>
    <row r="176" spans="1:94">
      <c r="A176" s="6198" t="s">
        <v>229</v>
      </c>
      <c r="B176" s="6198"/>
      <c r="C176" s="1755">
        <f>SUM(C170+C175)</f>
        <v>0</v>
      </c>
      <c r="D176" s="1756">
        <f t="shared" ref="D176:P176" si="143">SUM(D170+D175)</f>
        <v>0</v>
      </c>
      <c r="E176" s="1757">
        <f t="shared" si="143"/>
        <v>0</v>
      </c>
      <c r="F176" s="1755">
        <f t="shared" si="143"/>
        <v>0</v>
      </c>
      <c r="G176" s="1757">
        <f t="shared" si="143"/>
        <v>0</v>
      </c>
      <c r="H176" s="1755">
        <f t="shared" si="143"/>
        <v>0</v>
      </c>
      <c r="I176" s="1757">
        <f t="shared" si="143"/>
        <v>0</v>
      </c>
      <c r="J176" s="1755">
        <f t="shared" si="143"/>
        <v>0</v>
      </c>
      <c r="K176" s="1757">
        <f t="shared" si="143"/>
        <v>0</v>
      </c>
      <c r="L176" s="1755">
        <f t="shared" si="143"/>
        <v>0</v>
      </c>
      <c r="M176" s="1758">
        <f t="shared" si="143"/>
        <v>0</v>
      </c>
      <c r="N176" s="1759">
        <f t="shared" si="143"/>
        <v>0</v>
      </c>
      <c r="O176" s="1756">
        <f t="shared" si="143"/>
        <v>0</v>
      </c>
      <c r="P176" s="1760">
        <f t="shared" si="143"/>
        <v>0</v>
      </c>
      <c r="Q176" s="1761">
        <f>SUM(Q170+Q175)</f>
        <v>0</v>
      </c>
      <c r="R176" s="1762">
        <f>SUM(R170+R175)</f>
        <v>0</v>
      </c>
    </row>
    <row r="177" spans="1:94" s="385" customFormat="1" ht="18" customHeight="1">
      <c r="A177" s="1581" t="s">
        <v>866</v>
      </c>
      <c r="B177" s="1581"/>
      <c r="C177" s="1493"/>
      <c r="D177" s="1493"/>
      <c r="E177" s="1493"/>
      <c r="F177" s="1493"/>
      <c r="G177" s="1493"/>
      <c r="H177" s="1493"/>
      <c r="I177" s="1493"/>
      <c r="J177" s="1493"/>
      <c r="K177" s="1493"/>
      <c r="L177" s="1493"/>
      <c r="M177" s="1493"/>
      <c r="N177" s="1493"/>
      <c r="O177" s="1493"/>
      <c r="P177" s="1493"/>
      <c r="Q177" s="1493"/>
    </row>
    <row r="178" spans="1:94" ht="15" customHeight="1">
      <c r="A178" s="6140" t="s">
        <v>725</v>
      </c>
      <c r="B178" s="6119"/>
      <c r="C178" s="6106" t="s">
        <v>91</v>
      </c>
      <c r="D178" s="6106"/>
      <c r="E178" s="5712"/>
      <c r="F178" s="5710" t="s">
        <v>67</v>
      </c>
      <c r="G178" s="5712"/>
      <c r="H178" s="5710" t="s">
        <v>68</v>
      </c>
      <c r="I178" s="5712"/>
      <c r="J178" s="5710" t="s">
        <v>69</v>
      </c>
      <c r="K178" s="5712"/>
      <c r="L178" s="5710" t="s">
        <v>70</v>
      </c>
      <c r="M178" s="5712"/>
      <c r="N178" s="5710" t="s">
        <v>71</v>
      </c>
      <c r="O178" s="5716"/>
      <c r="P178" s="5714" t="s">
        <v>50</v>
      </c>
      <c r="Q178" s="5718" t="s">
        <v>51</v>
      </c>
    </row>
    <row r="179" spans="1:94" ht="15" customHeight="1">
      <c r="A179" s="6114"/>
      <c r="B179" s="6116"/>
      <c r="C179" s="1395" t="s">
        <v>93</v>
      </c>
      <c r="D179" s="1646" t="s">
        <v>72</v>
      </c>
      <c r="E179" s="393" t="s">
        <v>73</v>
      </c>
      <c r="F179" s="1395" t="s">
        <v>72</v>
      </c>
      <c r="G179" s="393" t="s">
        <v>73</v>
      </c>
      <c r="H179" s="1395" t="s">
        <v>72</v>
      </c>
      <c r="I179" s="393" t="s">
        <v>73</v>
      </c>
      <c r="J179" s="1395" t="s">
        <v>72</v>
      </c>
      <c r="K179" s="393" t="s">
        <v>73</v>
      </c>
      <c r="L179" s="1395" t="s">
        <v>72</v>
      </c>
      <c r="M179" s="393" t="s">
        <v>73</v>
      </c>
      <c r="N179" s="1395" t="s">
        <v>72</v>
      </c>
      <c r="O179" s="1398" t="s">
        <v>73</v>
      </c>
      <c r="P179" s="5715"/>
      <c r="Q179" s="5719"/>
    </row>
    <row r="180" spans="1:94" ht="15" customHeight="1">
      <c r="A180" s="6127" t="s">
        <v>867</v>
      </c>
      <c r="B180" s="1422" t="s">
        <v>856</v>
      </c>
      <c r="C180" s="447">
        <f t="shared" ref="C180:C182" si="144">SUM(D180+E180)</f>
        <v>0</v>
      </c>
      <c r="D180" s="1716">
        <f>SUM(F180+H180+J180+L180+N180)</f>
        <v>0</v>
      </c>
      <c r="E180" s="410">
        <f>SUM(G180+I180+K180+M180+O180)</f>
        <v>0</v>
      </c>
      <c r="F180" s="1424"/>
      <c r="G180" s="1436"/>
      <c r="H180" s="1424"/>
      <c r="I180" s="1436"/>
      <c r="J180" s="1424"/>
      <c r="K180" s="1436"/>
      <c r="L180" s="1424"/>
      <c r="M180" s="1436"/>
      <c r="N180" s="1424"/>
      <c r="O180" s="1428"/>
      <c r="P180" s="1429"/>
      <c r="Q180" s="1430"/>
      <c r="R180" t="str">
        <f t="shared" ref="R180:R187" si="145">CA180&amp;CB180</f>
        <v/>
      </c>
      <c r="CA180" s="1418" t="str">
        <f>IF(AND(C180&gt;0,P180="")," * No olvide digitar la variable Pueblos originarios. Digite Cero si no tiene.",IF(P180&gt;C180," * La variable Pueblos originarios No puede ser mayor al Total.",""))</f>
        <v/>
      </c>
      <c r="CB180" s="1418" t="str">
        <f t="shared" ref="CB180:CB182" si="146">IF(AND(C180&gt;0,Q180="")," * No olvide digitar la variable Migrantes. Digite Cero si no tiene.",IF(Q180&gt;C180," * La variable Migrantes No puede ser mayor al Total.",""))</f>
        <v/>
      </c>
      <c r="CO180" s="419">
        <f t="shared" ref="CO180:CO187" si="147">IF(AND(C180&gt;0,P180=""),1,IF(P180&gt;C180,1,0))</f>
        <v>0</v>
      </c>
      <c r="CP180" s="419">
        <f t="shared" ref="CP180:CP187" si="148">IF(AND(C180&gt;0,Q180=""),1,IF(Q180&gt;C180,1,0))</f>
        <v>0</v>
      </c>
    </row>
    <row r="181" spans="1:94" ht="15" customHeight="1">
      <c r="A181" s="6128"/>
      <c r="B181" s="1512" t="s">
        <v>857</v>
      </c>
      <c r="C181" s="408">
        <f t="shared" si="144"/>
        <v>0</v>
      </c>
      <c r="D181" s="1690">
        <f t="shared" ref="D181:D182" si="149">SUM(H181+J181+L181+N181)</f>
        <v>0</v>
      </c>
      <c r="E181" s="422">
        <f t="shared" ref="E181:E182" si="150">SUM(I181+K181+M181+O181)</f>
        <v>0</v>
      </c>
      <c r="F181" s="1763"/>
      <c r="G181" s="1764"/>
      <c r="H181" s="1480"/>
      <c r="I181" s="1545"/>
      <c r="J181" s="1480"/>
      <c r="K181" s="1545"/>
      <c r="L181" s="1480"/>
      <c r="M181" s="1545"/>
      <c r="N181" s="1480"/>
      <c r="O181" s="1481"/>
      <c r="P181" s="1544"/>
      <c r="Q181" s="1483"/>
      <c r="R181" t="str">
        <f t="shared" si="145"/>
        <v/>
      </c>
      <c r="CA181" s="1418" t="str">
        <f t="shared" ref="CA181:CA182" si="151">IF(AND(C181&gt;0,P181=""),"   * No olvide digitar la variable Pueblos originarios. Digite Cero si no tiene.",IF(P181&gt;C181," *  La variable Pueblos originarios No puede ser mayor al Total.",""))</f>
        <v/>
      </c>
      <c r="CB181" s="1418" t="str">
        <f t="shared" si="146"/>
        <v/>
      </c>
      <c r="CO181" s="419">
        <f t="shared" si="147"/>
        <v>0</v>
      </c>
      <c r="CP181" s="419">
        <f t="shared" si="148"/>
        <v>0</v>
      </c>
    </row>
    <row r="182" spans="1:94" ht="15" customHeight="1">
      <c r="A182" s="6128"/>
      <c r="B182" s="1729" t="s">
        <v>858</v>
      </c>
      <c r="C182" s="429">
        <f t="shared" si="144"/>
        <v>0</v>
      </c>
      <c r="D182" s="1713">
        <f t="shared" si="149"/>
        <v>0</v>
      </c>
      <c r="E182" s="431">
        <f t="shared" si="150"/>
        <v>0</v>
      </c>
      <c r="F182" s="1765"/>
      <c r="G182" s="1766"/>
      <c r="H182" s="1455"/>
      <c r="I182" s="1467"/>
      <c r="J182" s="1455"/>
      <c r="K182" s="1467"/>
      <c r="L182" s="1455"/>
      <c r="M182" s="1467"/>
      <c r="N182" s="1455"/>
      <c r="O182" s="1459"/>
      <c r="P182" s="1460"/>
      <c r="Q182" s="1461"/>
      <c r="R182" t="str">
        <f t="shared" si="145"/>
        <v/>
      </c>
      <c r="CA182" s="1418" t="str">
        <f t="shared" si="151"/>
        <v/>
      </c>
      <c r="CB182" s="1418" t="str">
        <f t="shared" si="146"/>
        <v/>
      </c>
      <c r="CO182" s="419">
        <f t="shared" si="147"/>
        <v>0</v>
      </c>
      <c r="CP182" s="419">
        <f t="shared" si="148"/>
        <v>0</v>
      </c>
    </row>
    <row r="183" spans="1:94" ht="15" customHeight="1">
      <c r="A183" s="6129"/>
      <c r="B183" s="1715" t="s">
        <v>845</v>
      </c>
      <c r="C183" s="1658">
        <f>SUM(C180:C182)</f>
        <v>0</v>
      </c>
      <c r="D183" s="1720">
        <f>SUM(D180:D182)</f>
        <v>0</v>
      </c>
      <c r="E183" s="1719">
        <f>SUM(E180:E182)</f>
        <v>0</v>
      </c>
      <c r="F183" s="1658">
        <f>SUM(F180:F182)</f>
        <v>0</v>
      </c>
      <c r="G183" s="1719">
        <f t="shared" ref="G183:O183" si="152">SUM(G180:G182)</f>
        <v>0</v>
      </c>
      <c r="H183" s="1658">
        <f t="shared" si="152"/>
        <v>0</v>
      </c>
      <c r="I183" s="1719">
        <f t="shared" si="152"/>
        <v>0</v>
      </c>
      <c r="J183" s="1658">
        <f t="shared" si="152"/>
        <v>0</v>
      </c>
      <c r="K183" s="1719">
        <f t="shared" si="152"/>
        <v>0</v>
      </c>
      <c r="L183" s="1658">
        <f t="shared" si="152"/>
        <v>0</v>
      </c>
      <c r="M183" s="1719">
        <f t="shared" si="152"/>
        <v>0</v>
      </c>
      <c r="N183" s="1658">
        <f t="shared" si="152"/>
        <v>0</v>
      </c>
      <c r="O183" s="1767">
        <f t="shared" si="152"/>
        <v>0</v>
      </c>
      <c r="P183" s="1731">
        <f>SUM(P180:P182)</f>
        <v>0</v>
      </c>
      <c r="Q183" s="1527">
        <f>SUM(Q180:Q182)</f>
        <v>0</v>
      </c>
    </row>
    <row r="184" spans="1:94" ht="15" customHeight="1">
      <c r="A184" s="6128" t="s">
        <v>868</v>
      </c>
      <c r="B184" s="1540" t="s">
        <v>869</v>
      </c>
      <c r="C184" s="1687">
        <f t="shared" ref="C184:C247" si="153">SUM(D184+E184)</f>
        <v>0</v>
      </c>
      <c r="D184" s="1688">
        <f t="shared" ref="D184:E187" si="154">SUM(F184+H184+J184+L184+N184)</f>
        <v>0</v>
      </c>
      <c r="E184" s="1728">
        <f>SUM(G184+I184+K184+M184+O184)</f>
        <v>0</v>
      </c>
      <c r="F184" s="1768"/>
      <c r="G184" s="1769"/>
      <c r="H184" s="1770"/>
      <c r="I184" s="1769"/>
      <c r="J184" s="1480"/>
      <c r="K184" s="1545"/>
      <c r="L184" s="1480"/>
      <c r="M184" s="1545"/>
      <c r="N184" s="1771"/>
      <c r="O184" s="1481"/>
      <c r="P184" s="1521"/>
      <c r="Q184" s="1483"/>
      <c r="R184" t="str">
        <f t="shared" si="145"/>
        <v/>
      </c>
      <c r="CA184" s="1418" t="str">
        <f t="shared" ref="CA184:CA187" si="155">IF(AND(C184&gt;0,P184="")," * No olvide digitar la variable Pueblos originarios. Digite Cero si no tiene.",IF(P184&gt;C184," * La variable Pueblos originarios No puede ser mayor al Total.",""))</f>
        <v/>
      </c>
      <c r="CB184" s="1418" t="str">
        <f t="shared" ref="CB184:CB187" si="156">IF(AND(C184&gt;0,Q184=""),"   No olvide digitar la variable Migrantes. Digite Cero si no tiene.",IF(Q184&gt;C184," * La variable Migrantes No puede ser mayor al Total.",""))</f>
        <v/>
      </c>
      <c r="CO184" s="419">
        <f t="shared" si="147"/>
        <v>0</v>
      </c>
      <c r="CP184" s="419">
        <f t="shared" si="148"/>
        <v>0</v>
      </c>
    </row>
    <row r="185" spans="1:94" ht="15" customHeight="1">
      <c r="A185" s="6128"/>
      <c r="B185" s="1512" t="s">
        <v>838</v>
      </c>
      <c r="C185" s="1772">
        <f t="shared" si="153"/>
        <v>0</v>
      </c>
      <c r="D185" s="1752">
        <f t="shared" si="154"/>
        <v>0</v>
      </c>
      <c r="E185" s="1753">
        <f t="shared" si="154"/>
        <v>0</v>
      </c>
      <c r="F185" s="1480"/>
      <c r="G185" s="1545"/>
      <c r="H185" s="1440"/>
      <c r="I185" s="1545"/>
      <c r="J185" s="1440"/>
      <c r="K185" s="1545"/>
      <c r="L185" s="1480"/>
      <c r="M185" s="1545"/>
      <c r="N185" s="1440"/>
      <c r="O185" s="1481"/>
      <c r="P185" s="1445"/>
      <c r="Q185" s="1483"/>
      <c r="R185" t="str">
        <f t="shared" si="145"/>
        <v/>
      </c>
      <c r="CA185" s="1418" t="str">
        <f t="shared" si="155"/>
        <v/>
      </c>
      <c r="CB185" s="1418" t="str">
        <f t="shared" si="156"/>
        <v/>
      </c>
      <c r="CO185" s="419">
        <f t="shared" si="147"/>
        <v>0</v>
      </c>
      <c r="CP185" s="419">
        <f t="shared" si="148"/>
        <v>0</v>
      </c>
    </row>
    <row r="186" spans="1:94" ht="15" customHeight="1">
      <c r="A186" s="6128"/>
      <c r="B186" s="1512" t="s">
        <v>839</v>
      </c>
      <c r="C186" s="1737">
        <f t="shared" si="153"/>
        <v>0</v>
      </c>
      <c r="D186" s="1738">
        <f t="shared" si="154"/>
        <v>0</v>
      </c>
      <c r="E186" s="1739">
        <f t="shared" si="154"/>
        <v>0</v>
      </c>
      <c r="F186" s="1440"/>
      <c r="G186" s="1452"/>
      <c r="H186" s="1440"/>
      <c r="I186" s="1452"/>
      <c r="J186" s="1440"/>
      <c r="K186" s="1452"/>
      <c r="L186" s="1440"/>
      <c r="M186" s="1452"/>
      <c r="N186" s="1440"/>
      <c r="O186" s="1444"/>
      <c r="P186" s="1445"/>
      <c r="Q186" s="1446"/>
      <c r="R186" t="str">
        <f t="shared" si="145"/>
        <v/>
      </c>
      <c r="CA186" s="1418" t="str">
        <f t="shared" si="155"/>
        <v/>
      </c>
      <c r="CB186" s="1418" t="str">
        <f t="shared" si="156"/>
        <v/>
      </c>
      <c r="CO186" s="419">
        <f t="shared" si="147"/>
        <v>0</v>
      </c>
      <c r="CP186" s="419">
        <f t="shared" si="148"/>
        <v>0</v>
      </c>
    </row>
    <row r="187" spans="1:94" ht="15" customHeight="1">
      <c r="A187" s="6129"/>
      <c r="B187" s="1506" t="s">
        <v>840</v>
      </c>
      <c r="C187" s="1773">
        <f t="shared" si="153"/>
        <v>0</v>
      </c>
      <c r="D187" s="1774">
        <f t="shared" si="154"/>
        <v>0</v>
      </c>
      <c r="E187" s="1775">
        <f t="shared" si="154"/>
        <v>0</v>
      </c>
      <c r="F187" s="1455"/>
      <c r="G187" s="1467"/>
      <c r="H187" s="1455"/>
      <c r="I187" s="1467"/>
      <c r="J187" s="1455"/>
      <c r="K187" s="1467"/>
      <c r="L187" s="1455"/>
      <c r="M187" s="1467"/>
      <c r="N187" s="1455"/>
      <c r="O187" s="1459"/>
      <c r="P187" s="1460"/>
      <c r="Q187" s="1461"/>
      <c r="R187" t="str">
        <f t="shared" si="145"/>
        <v/>
      </c>
      <c r="CA187" s="1418" t="str">
        <f t="shared" si="155"/>
        <v/>
      </c>
      <c r="CB187" s="1418" t="str">
        <f t="shared" si="156"/>
        <v/>
      </c>
      <c r="CO187" s="419">
        <f t="shared" si="147"/>
        <v>0</v>
      </c>
      <c r="CP187" s="419">
        <f t="shared" si="148"/>
        <v>0</v>
      </c>
    </row>
    <row r="188" spans="1:94">
      <c r="A188" s="441" t="s">
        <v>870</v>
      </c>
      <c r="B188" s="441"/>
      <c r="C188" s="379"/>
      <c r="D188" s="379"/>
      <c r="E188" s="379"/>
      <c r="F188" s="379"/>
      <c r="G188" s="379"/>
      <c r="H188" s="379"/>
    </row>
    <row r="189" spans="1:94">
      <c r="A189" s="441" t="s">
        <v>871</v>
      </c>
      <c r="B189" s="441"/>
      <c r="C189" s="379"/>
      <c r="D189" s="379"/>
      <c r="E189" s="379"/>
      <c r="F189" s="379"/>
      <c r="G189" s="379"/>
      <c r="H189" s="379"/>
    </row>
    <row r="190" spans="1:94" s="385" customFormat="1" ht="18" customHeight="1">
      <c r="A190" s="1581" t="s">
        <v>872</v>
      </c>
      <c r="B190" s="1581"/>
      <c r="C190" s="1493"/>
      <c r="D190" s="1493"/>
      <c r="E190" s="1493"/>
      <c r="F190" s="1493"/>
      <c r="G190" s="1493"/>
      <c r="H190" s="1493"/>
      <c r="I190" s="1493"/>
      <c r="J190" s="1493"/>
      <c r="K190" s="1493"/>
      <c r="L190" s="1493"/>
      <c r="M190" s="1493"/>
      <c r="N190" s="1493"/>
      <c r="O190" s="1493"/>
      <c r="P190" s="1493"/>
      <c r="Q190" s="1493"/>
      <c r="R190" s="1493"/>
      <c r="S190" s="1493"/>
      <c r="T190" s="1493"/>
      <c r="U190" s="1493"/>
      <c r="V190" s="1493"/>
      <c r="W190" s="1493"/>
      <c r="X190" s="1493"/>
      <c r="Y190" s="1493"/>
      <c r="Z190" s="1493"/>
      <c r="AA190" s="1493"/>
      <c r="AB190" s="1493"/>
      <c r="AC190" s="1493"/>
      <c r="AD190" s="1493"/>
      <c r="AE190" s="1493"/>
      <c r="AF190" s="1493"/>
      <c r="AG190" s="1493"/>
      <c r="AH190" s="1493"/>
      <c r="AI190" s="1493"/>
      <c r="AJ190" s="1493"/>
      <c r="AK190" s="1493"/>
      <c r="AL190" s="1493"/>
      <c r="AM190" s="1493"/>
      <c r="AN190" s="1493"/>
      <c r="AO190" s="1493"/>
      <c r="AP190" s="1493"/>
      <c r="AQ190" s="1493"/>
      <c r="AR190" s="1493"/>
      <c r="AS190" s="1493"/>
      <c r="AT190" s="1493"/>
      <c r="AU190" s="1776"/>
      <c r="AV190" s="1776"/>
      <c r="AW190" s="1776"/>
    </row>
    <row r="191" spans="1:94" ht="30" customHeight="1">
      <c r="A191" s="6140" t="s">
        <v>873</v>
      </c>
      <c r="B191" s="6119"/>
      <c r="C191" s="6142" t="s">
        <v>91</v>
      </c>
      <c r="D191" s="6142"/>
      <c r="E191" s="6142"/>
      <c r="F191" s="6142" t="s">
        <v>364</v>
      </c>
      <c r="G191" s="6142"/>
      <c r="H191" s="6142" t="s">
        <v>347</v>
      </c>
      <c r="I191" s="6142"/>
      <c r="J191" s="6142" t="s">
        <v>108</v>
      </c>
      <c r="K191" s="6142"/>
      <c r="L191" s="6142" t="s">
        <v>58</v>
      </c>
      <c r="M191" s="6142"/>
      <c r="N191" s="5707" t="s">
        <v>59</v>
      </c>
      <c r="O191" s="5709"/>
      <c r="P191" s="6137" t="s">
        <v>60</v>
      </c>
      <c r="Q191" s="6137"/>
      <c r="R191" s="6137" t="s">
        <v>61</v>
      </c>
      <c r="S191" s="6137"/>
      <c r="T191" s="6137" t="s">
        <v>62</v>
      </c>
      <c r="U191" s="6137"/>
      <c r="V191" s="6137" t="s">
        <v>63</v>
      </c>
      <c r="W191" s="6137"/>
      <c r="X191" s="6137" t="s">
        <v>64</v>
      </c>
      <c r="Y191" s="6137"/>
      <c r="Z191" s="6137" t="s">
        <v>65</v>
      </c>
      <c r="AA191" s="6137"/>
      <c r="AB191" s="6137" t="s">
        <v>66</v>
      </c>
      <c r="AC191" s="6137"/>
      <c r="AD191" s="6137" t="s">
        <v>67</v>
      </c>
      <c r="AE191" s="6137"/>
      <c r="AF191" s="6137" t="s">
        <v>68</v>
      </c>
      <c r="AG191" s="6137"/>
      <c r="AH191" s="6137" t="s">
        <v>69</v>
      </c>
      <c r="AI191" s="6137"/>
      <c r="AJ191" s="6137" t="s">
        <v>70</v>
      </c>
      <c r="AK191" s="6137"/>
      <c r="AL191" s="6137" t="s">
        <v>71</v>
      </c>
      <c r="AM191" s="6197"/>
      <c r="AN191" s="6192" t="s">
        <v>476</v>
      </c>
      <c r="AO191" s="6194" t="s">
        <v>477</v>
      </c>
      <c r="AP191" s="6106" t="s">
        <v>50</v>
      </c>
      <c r="AQ191" s="5712"/>
      <c r="AR191" s="6187" t="s">
        <v>48</v>
      </c>
      <c r="AS191" s="6119" t="s">
        <v>49</v>
      </c>
      <c r="AT191" s="5710" t="s">
        <v>51</v>
      </c>
      <c r="AU191" s="5712"/>
      <c r="AV191" s="5707" t="s">
        <v>478</v>
      </c>
      <c r="AW191" s="5709" t="s">
        <v>874</v>
      </c>
      <c r="AX191" s="5718" t="s">
        <v>875</v>
      </c>
    </row>
    <row r="192" spans="1:94" ht="39" customHeight="1">
      <c r="A192" s="6114"/>
      <c r="B192" s="6116"/>
      <c r="C192" s="396" t="s">
        <v>93</v>
      </c>
      <c r="D192" s="1397" t="s">
        <v>72</v>
      </c>
      <c r="E192" s="1778" t="s">
        <v>73</v>
      </c>
      <c r="F192" s="396" t="s">
        <v>72</v>
      </c>
      <c r="G192" s="1778" t="s">
        <v>73</v>
      </c>
      <c r="H192" s="396" t="s">
        <v>72</v>
      </c>
      <c r="I192" s="1778" t="s">
        <v>73</v>
      </c>
      <c r="J192" s="396" t="s">
        <v>72</v>
      </c>
      <c r="K192" s="1778" t="s">
        <v>73</v>
      </c>
      <c r="L192" s="396" t="s">
        <v>72</v>
      </c>
      <c r="M192" s="1778" t="s">
        <v>73</v>
      </c>
      <c r="N192" s="396" t="s">
        <v>72</v>
      </c>
      <c r="O192" s="1778" t="s">
        <v>73</v>
      </c>
      <c r="P192" s="396" t="s">
        <v>72</v>
      </c>
      <c r="Q192" s="1778" t="s">
        <v>73</v>
      </c>
      <c r="R192" s="396" t="s">
        <v>72</v>
      </c>
      <c r="S192" s="1778" t="s">
        <v>73</v>
      </c>
      <c r="T192" s="396" t="s">
        <v>72</v>
      </c>
      <c r="U192" s="1778" t="s">
        <v>73</v>
      </c>
      <c r="V192" s="396" t="s">
        <v>72</v>
      </c>
      <c r="W192" s="1778" t="s">
        <v>73</v>
      </c>
      <c r="X192" s="396" t="s">
        <v>72</v>
      </c>
      <c r="Y192" s="1778" t="s">
        <v>73</v>
      </c>
      <c r="Z192" s="396" t="s">
        <v>72</v>
      </c>
      <c r="AA192" s="1778" t="s">
        <v>73</v>
      </c>
      <c r="AB192" s="396" t="s">
        <v>72</v>
      </c>
      <c r="AC192" s="1778" t="s">
        <v>73</v>
      </c>
      <c r="AD192" s="396" t="s">
        <v>72</v>
      </c>
      <c r="AE192" s="1778" t="s">
        <v>73</v>
      </c>
      <c r="AF192" s="396" t="s">
        <v>72</v>
      </c>
      <c r="AG192" s="1778" t="s">
        <v>73</v>
      </c>
      <c r="AH192" s="396" t="s">
        <v>72</v>
      </c>
      <c r="AI192" s="1778" t="s">
        <v>73</v>
      </c>
      <c r="AJ192" s="396" t="s">
        <v>72</v>
      </c>
      <c r="AK192" s="1778" t="s">
        <v>73</v>
      </c>
      <c r="AL192" s="396" t="s">
        <v>72</v>
      </c>
      <c r="AM192" s="1779" t="s">
        <v>73</v>
      </c>
      <c r="AN192" s="6193"/>
      <c r="AO192" s="6195"/>
      <c r="AP192" s="397" t="s">
        <v>72</v>
      </c>
      <c r="AQ192" s="1778" t="s">
        <v>73</v>
      </c>
      <c r="AR192" s="6188"/>
      <c r="AS192" s="6116"/>
      <c r="AT192" s="396" t="s">
        <v>72</v>
      </c>
      <c r="AU192" s="1778" t="s">
        <v>73</v>
      </c>
      <c r="AV192" s="1781" t="s">
        <v>483</v>
      </c>
      <c r="AW192" s="1402" t="s">
        <v>484</v>
      </c>
      <c r="AX192" s="5719"/>
    </row>
    <row r="193" spans="1:103" s="385" customFormat="1" ht="18" customHeight="1">
      <c r="A193" s="6196" t="s">
        <v>876</v>
      </c>
      <c r="B193" s="6190"/>
      <c r="C193" s="1783">
        <f t="shared" si="153"/>
        <v>0</v>
      </c>
      <c r="D193" s="1784">
        <f>SUM(F193+H193+J193+L193+N193+P193+R193+T193+V193+X193+Z193+AB193+AD193+AF193+AH193+AJ193+AL193)</f>
        <v>0</v>
      </c>
      <c r="E193" s="1785">
        <f>SUM(G193+I193+K193+M193+O193+Q193+S193+U193+W193+Y193+AA193+AC193+AE193+AG193+AI193+AK193+AM193)</f>
        <v>0</v>
      </c>
      <c r="F193" s="1475"/>
      <c r="G193" s="1523"/>
      <c r="H193" s="1475"/>
      <c r="I193" s="1523"/>
      <c r="J193" s="1475"/>
      <c r="K193" s="1523"/>
      <c r="L193" s="1475"/>
      <c r="M193" s="1523"/>
      <c r="N193" s="1475"/>
      <c r="O193" s="1523"/>
      <c r="P193" s="1475"/>
      <c r="Q193" s="1523"/>
      <c r="R193" s="1475"/>
      <c r="S193" s="1523"/>
      <c r="T193" s="1475"/>
      <c r="U193" s="1523"/>
      <c r="V193" s="1475"/>
      <c r="W193" s="1523"/>
      <c r="X193" s="1475"/>
      <c r="Y193" s="1523"/>
      <c r="Z193" s="1475"/>
      <c r="AA193" s="1523"/>
      <c r="AB193" s="1475"/>
      <c r="AC193" s="1523"/>
      <c r="AD193" s="1528"/>
      <c r="AE193" s="1523"/>
      <c r="AF193" s="1528"/>
      <c r="AG193" s="1523"/>
      <c r="AH193" s="1528"/>
      <c r="AI193" s="1523"/>
      <c r="AJ193" s="1528"/>
      <c r="AK193" s="1523"/>
      <c r="AL193" s="1528"/>
      <c r="AM193" s="1770"/>
      <c r="AN193" s="1538"/>
      <c r="AO193" s="1522"/>
      <c r="AP193" s="1552"/>
      <c r="AQ193" s="1523"/>
      <c r="AR193" s="1475"/>
      <c r="AS193" s="1539"/>
      <c r="AT193" s="1477"/>
      <c r="AU193" s="1786"/>
      <c r="AV193" s="1477"/>
      <c r="AW193" s="1786"/>
      <c r="AX193" s="1478"/>
      <c r="AY193" s="385" t="str">
        <f>CA193&amp;CB193&amp;CC193&amp;CD193&amp;CE193&amp;CF193&amp;CG193&amp;CH193&amp;CI193&amp;CJ193&amp;CK193</f>
        <v/>
      </c>
      <c r="CA193" s="1418" t="str">
        <f>IF(AND(E193&gt;0,AN193=""), "* No olvide digitar la variable Gestantes. Digite Cero si no tiene.",IF(AN193&gt;E193,"  * La variable Gestantes No puede ser mayor al Total Mujeres.",""))</f>
        <v/>
      </c>
      <c r="CB193" s="1418" t="str">
        <f>IF(AND(E193&gt;0,AO193=""), "* No olvide digitar la variable Madre de hijo menor de 5 años. Digite Cero si no tiene.",IF(AO193&gt;E193,"  * La variable Madre de hijo menor de 5 años No puede ser mayor al Total de Mujeres.",""))</f>
        <v/>
      </c>
      <c r="CC193" s="1418" t="str">
        <f>IF(AND(D193&gt;0,OR(AP193="")), "* No olvide digitar la variable Pueblos originarios - Hombres. Digite Cero si no tiene.",IF((AP193)&gt;D193,"  * La variable Pueblos originarios - Hombres No puede ser mayor al Total Hombres.",""))</f>
        <v/>
      </c>
      <c r="CD193" s="1418" t="str">
        <f>IF(AND(E193&gt;0,OR(AQ193="")), "* No olvide digitar la variable Pueblos originarios - Mujeres. Digite Cero si no tiene.",IF((AQ193)&gt;E193,"  * La variable Pueblos originarios - Mujeres No puede ser mayor al Total Mujeres.",""))</f>
        <v/>
      </c>
      <c r="CE193" s="1418" t="str">
        <f>IF(AND($C193&gt;0,AR193=""), "* No olvide digitar la variable SENAME/ Servicio Nacional de Reinserción social Juvenil . Digite Cero si no tiene.",IF(AR193&gt;$C193,"  * La variable SENAME/ Servicio Nacional de Reinserción social Juvenil  No puede ser mayor al Total.",""))</f>
        <v/>
      </c>
      <c r="CF193" s="1418" t="str">
        <f>IF(AND(C193&gt;0,AS193=""), "* No olvide digitar la variable Servicio Nacional Protección Especializada a la Niñez y Adolescencia. Digite Cero si no tiene.",IF(AS193&gt;C193,"  * La variable Servicio Nacional Protección Especializada a la Niñez y Adolescencia No puede ser mayor al Total.",""))</f>
        <v/>
      </c>
      <c r="CG193" s="1418" t="str">
        <f>IF(AND(D193&gt;0,OR(AT193="")), "* No olvide digitar la variable Migrantes - Hombres. Digite Cero si no tiene.",IF((AT193)&gt;D193,"  * La variable Migrantes - Hombres No puede ser mayor al Total Hombres.",""))</f>
        <v/>
      </c>
      <c r="CH193" s="1418" t="str">
        <f>IF(AND(E193&gt;0,OR(AU193="")), "* No olvide digitar la variable Migrantes - Mujeres. Digite Cero si no tiene.",IF((AU193)&gt;E193,"  * La variable Migrantes - Mujeres No puede ser mayor al Total Mujeres.",""))</f>
        <v/>
      </c>
      <c r="CI193" s="1418" t="str">
        <f>IF(AND(E193&gt;0,OR(AV193="")), "* No olvide digitar la variable Trans Masculino. Digite Cero si no tiene.",IF((AV193)&gt;E193,"  * La variable Trans Masculino No puede ser mayor al Total Mujeres.",""))</f>
        <v/>
      </c>
      <c r="CJ193" s="1418" t="str">
        <f>IF(AND(D193&gt;0,OR(AW193="")), "* No olvide digitar la variable Trans Femenino. Digite Cero si no tiene.",IF((AW193)&gt;D193,"  * La variable Trans Femenino No puede ser mayor al Total Mujeres.",""))</f>
        <v/>
      </c>
      <c r="CK193" s="1418" t="str">
        <f>IF(AND($C193&gt;0,AX193=""), "* No olvide digitar la variable Adolescentes derivados de Espacios Amigables. Digite Cero si no tiene.",IF(AX193&gt;$C193,"  * La variable Adolescentes derivados de Espacios Amigables No puede ser mayor al Total.",""))</f>
        <v/>
      </c>
      <c r="CO193" s="513">
        <f>IF(AND(E193&gt;0,AN193=""),1,IF(AN193&gt;E193,1,0))</f>
        <v>0</v>
      </c>
      <c r="CP193" s="513">
        <f>IF(AND(E193&gt;0,AO193=""),1,IF(AO193&gt;E193,1,0))</f>
        <v>0</v>
      </c>
      <c r="CQ193" s="513">
        <f>IF(AND(D193&gt;0,OR(AP193="")),1,IF((AP193)&gt;D193,1,0))</f>
        <v>0</v>
      </c>
      <c r="CR193" s="513">
        <f>IF(AND(E193&gt;0,OR(AQ193="")),1,IF((AQ193)&gt;E193,1,0))</f>
        <v>0</v>
      </c>
      <c r="CS193" s="513">
        <f>IF(AND(C193&gt;0,AR193=""),1,IF(AR193&gt;C193,1,0))</f>
        <v>0</v>
      </c>
      <c r="CT193" s="513">
        <f>IF(AND(C193&gt;0,AS193=""),1,IF(AS193&gt;C193,1,0))</f>
        <v>0</v>
      </c>
      <c r="CU193" s="513">
        <f>IF(AND(D193&gt;0,OR(AT193="")),1,IF((AT193)&gt;D193,1,0))</f>
        <v>0</v>
      </c>
      <c r="CV193" s="513">
        <f>IF(AND(E193&gt;0,OR(AU193="")),1,IF((AU193)&gt;E193,1,0))</f>
        <v>0</v>
      </c>
      <c r="CW193" s="513">
        <f>IF(AND(E193&gt;0,OR(AV193="")),1,IF((AV193)&gt;E193,1,0))</f>
        <v>0</v>
      </c>
      <c r="CX193" s="513">
        <f>IF(AND(D193&gt;0,OR(AW193="")),1,IF((AW193)&gt;D193,1,0))</f>
        <v>0</v>
      </c>
      <c r="CY193" s="513">
        <f>IF(AND(C193&gt;0,AX193=""),1,IF(AX193&gt;C193,1,0))</f>
        <v>0</v>
      </c>
    </row>
    <row r="194" spans="1:103" s="385" customFormat="1" ht="18" customHeight="1">
      <c r="A194" s="6183" t="s">
        <v>877</v>
      </c>
      <c r="B194" s="6184"/>
      <c r="C194" s="1787"/>
      <c r="D194" s="1788"/>
      <c r="E194" s="1788"/>
      <c r="F194" s="1788"/>
      <c r="G194" s="1788"/>
      <c r="H194" s="1788"/>
      <c r="I194" s="1788"/>
      <c r="J194" s="1788"/>
      <c r="K194" s="1788"/>
      <c r="L194" s="1788"/>
      <c r="M194" s="1788"/>
      <c r="N194" s="1788"/>
      <c r="O194" s="1788"/>
      <c r="P194" s="1788"/>
      <c r="Q194" s="1788"/>
      <c r="R194" s="1788"/>
      <c r="S194" s="1788"/>
      <c r="T194" s="1788"/>
      <c r="U194" s="1788"/>
      <c r="V194" s="1788"/>
      <c r="W194" s="1788"/>
      <c r="X194" s="1788"/>
      <c r="Y194" s="1788"/>
      <c r="Z194" s="1788"/>
      <c r="AA194" s="1788"/>
      <c r="AB194" s="1788"/>
      <c r="AC194" s="1788"/>
      <c r="AD194" s="1788"/>
      <c r="AE194" s="1788"/>
      <c r="AF194" s="1788"/>
      <c r="AG194" s="1788"/>
      <c r="AH194" s="1788"/>
      <c r="AI194" s="1788"/>
      <c r="AJ194" s="1788"/>
      <c r="AK194" s="1788"/>
      <c r="AL194" s="1788"/>
      <c r="AM194" s="1788"/>
      <c r="AN194" s="1788"/>
      <c r="AO194" s="1789"/>
      <c r="AP194" s="1788"/>
      <c r="AQ194" s="1788"/>
      <c r="AR194" s="1788"/>
      <c r="AS194" s="1788"/>
      <c r="AT194" s="1788"/>
      <c r="AU194" s="1788"/>
      <c r="AV194" s="1788"/>
      <c r="AW194" s="1790"/>
      <c r="AX194" s="1789"/>
    </row>
    <row r="195" spans="1:103" s="385" customFormat="1" ht="15" customHeight="1">
      <c r="A195" s="6127" t="s">
        <v>878</v>
      </c>
      <c r="B195" s="1672" t="s">
        <v>879</v>
      </c>
      <c r="C195" s="1791">
        <f t="shared" si="153"/>
        <v>0</v>
      </c>
      <c r="D195" s="1792">
        <f t="shared" ref="D195:E217" si="157">SUM(F195+H195+J195+L195+N195+P195+R195+T195+V195+X195+Z195+AB195+AD195+AF195+AH195+AJ195+AL195)</f>
        <v>0</v>
      </c>
      <c r="E195" s="1672">
        <f t="shared" ref="E195:E198" si="158">SUM(G195+I195+K195+M195+O195+Q195+S195+U195+W195+Y195+AA195+AC195+AE195+AG195+AI195+AK195+AM195)</f>
        <v>0</v>
      </c>
      <c r="F195" s="1424"/>
      <c r="G195" s="1436"/>
      <c r="H195" s="1424"/>
      <c r="I195" s="1436"/>
      <c r="J195" s="1424"/>
      <c r="K195" s="1436"/>
      <c r="L195" s="1424"/>
      <c r="M195" s="1436"/>
      <c r="N195" s="1424"/>
      <c r="O195" s="1436"/>
      <c r="P195" s="1424"/>
      <c r="Q195" s="1436"/>
      <c r="R195" s="1424"/>
      <c r="S195" s="1436"/>
      <c r="T195" s="1424"/>
      <c r="U195" s="1436"/>
      <c r="V195" s="1424"/>
      <c r="W195" s="1436"/>
      <c r="X195" s="1424"/>
      <c r="Y195" s="1436"/>
      <c r="Z195" s="1424"/>
      <c r="AA195" s="1436"/>
      <c r="AB195" s="1424"/>
      <c r="AC195" s="1436"/>
      <c r="AD195" s="1424"/>
      <c r="AE195" s="1436"/>
      <c r="AF195" s="1424"/>
      <c r="AG195" s="1436"/>
      <c r="AH195" s="1424"/>
      <c r="AI195" s="1436"/>
      <c r="AJ195" s="1424"/>
      <c r="AK195" s="1436"/>
      <c r="AL195" s="1424"/>
      <c r="AM195" s="1652"/>
      <c r="AN195" s="1429"/>
      <c r="AO195" s="1430"/>
      <c r="AP195" s="1425"/>
      <c r="AQ195" s="1436"/>
      <c r="AR195" s="1424"/>
      <c r="AS195" s="1436"/>
      <c r="AT195" s="1652"/>
      <c r="AU195" s="1676"/>
      <c r="AV195" s="1652"/>
      <c r="AW195" s="1676"/>
      <c r="AX195" s="1436"/>
      <c r="AY195" s="385" t="str">
        <f t="shared" ref="AY195:AY241" si="159">CA195&amp;CB195&amp;CC195&amp;CD195&amp;CE195&amp;CF195&amp;CG195&amp;CH195&amp;CI195&amp;CJ195&amp;CK195</f>
        <v/>
      </c>
      <c r="CA195" s="1418" t="str">
        <f t="shared" ref="CA195:CA217" si="160">IF(AND(E195&gt;0,AN195=""), "* No olvide digitar la variable Gestantes. Digite Cero si no tiene.",IF(AN195&gt;E195,"  * La variable Gestantes No puede ser mayor al Total Mujeres.",""))</f>
        <v/>
      </c>
      <c r="CB195" s="1418" t="str">
        <f t="shared" ref="CB195:CB207" si="161">IF(AND(E195&gt;0,AO195=""), "* No olvide digitar la variable Madre de hijo menor de 5 años. Digite Cero si no tiene.",IF(AO195&gt;E195,"  * La variable Madre de hijo menor de 5 años No puede ser mayor al Total de Mujeres.",""))</f>
        <v/>
      </c>
      <c r="CC195" s="1418" t="str">
        <f t="shared" ref="CC195:CC217" si="162">IF(AND(D195&gt;0,OR(AP195="")), "* No olvide digitar la variable Pueblos originarios - Hombres. Digite Cero si no tiene.",IF((AP195)&gt;D195,"  * La variable Pueblos originarios - Hombres No puede ser mayor al Total Hombres.",""))</f>
        <v/>
      </c>
      <c r="CD195" s="1418" t="str">
        <f t="shared" ref="CD195:CD207" si="163">IF(AND(E195&gt;0,OR(AQ195="")), "* No olvide digitar la variable Pueblos originarios - Mujeres. Digite Cero si no tiene.",IF((AQ195)&gt;E195,"  * La variable Pueblos originarios - Mujeres No puede ser mayor al Total Mujeres.",""))</f>
        <v/>
      </c>
      <c r="CE195" s="1418" t="str">
        <f t="shared" ref="CE195:CE207" si="164">IF(AND($C195&gt;0,AR195=""), "* No olvide digitar la variable Niños, niñas, adolescentes y jóvenes SENAME. Digite Cero si no tiene.",IF(AR195&gt;$C195,"  * La variable Niños, niñas, adolescentes y jóvenes SENAME No puede ser mayor al Total.",""))</f>
        <v/>
      </c>
      <c r="CF195" s="1418" t="str">
        <f t="shared" ref="CF195:CF241" si="165">IF(AND(C195&gt;0,AS195=""), "* No olvide digitar la variable Servicio Nacional Protección Especializada a la Niñez y Adolescencia. Digite Cero si no tiene.",IF(AS195&gt;C195,"  * La variable Servicio Nacional Protección Especializada a la Niñez y Adolescencia No puede ser mayor al Total.",""))</f>
        <v/>
      </c>
      <c r="CG195" s="1418" t="str">
        <f t="shared" ref="CG195:CG241" si="166">IF(AND(D195&gt;0,OR(AT195="")), "* No olvide digitar la variable Migrantes - Hombres. Digite Cero si no tiene.",IF((AT195)&gt;D195,"  * La variable Migrantes - Hombres No puede ser mayor al Total Hombres.",""))</f>
        <v/>
      </c>
      <c r="CH195" s="1418" t="str">
        <f t="shared" ref="CH195:CH207" si="167">IF(AND(E195&gt;0,OR(AU195="")), "* No olvide digitar la variable Migrantes - Mujeres. Digite Cero si no tiene.",IF((AU195)&gt;E195,"  * La variable Migrantes - Mujeres No puede ser mayor al Total Mujeres.",""))</f>
        <v/>
      </c>
      <c r="CI195" s="1418" t="str">
        <f t="shared" ref="CI195:CI241" si="168">IF(AND(E195&gt;0,OR(AV195="")), "* No olvide digitar la variable Trans Masculino. Digite Cero si no tiene.",IF((AV195)&gt;E195,"  * La variable Trans Masculino No puede ser mayor al Total Mujeres.",""))</f>
        <v/>
      </c>
      <c r="CJ195" s="1418" t="str">
        <f t="shared" ref="CJ195:CJ241" si="169">IF(AND(D195&gt;0,OR(AW195="")), "* No olvide digitar la variable Trans Femenino. Digite Cero si no tiene.",IF((AW195)&gt;D195,"  * La variable Trans Femenino No puede ser mayor al Total Hombres.",""))</f>
        <v/>
      </c>
      <c r="CK195" s="1418" t="str">
        <f t="shared" ref="CK195:CK241" si="170">IF(AND($C195&gt;0,AX195=""), "* No olvide digitar la variable Adolescentes derivados de Espacios Amigables. Digite Cero si no tiene.",IF(AX195&gt;$C195,"  * La variable Adolescentes derivados de Espacios Amigables No puede ser mayor al Total.",""))</f>
        <v/>
      </c>
      <c r="CO195" s="513">
        <f t="shared" ref="CO195:CO241" si="171">IF(AND(E195&gt;0,AN195=""),1,IF(AN195&gt;E195,1,0))</f>
        <v>0</v>
      </c>
      <c r="CP195" s="513">
        <f t="shared" ref="CP195:CP241" si="172">IF(AND(E195&gt;0,AO195=""),1,IF(AO195&gt;E195,1,0))</f>
        <v>0</v>
      </c>
      <c r="CQ195" s="513">
        <f t="shared" ref="CQ195:CQ241" si="173">IF(AND(D195&gt;0,OR(AP195="")),1,IF((AP195)&gt;D195,1,0))</f>
        <v>0</v>
      </c>
      <c r="CR195" s="513">
        <f t="shared" ref="CR195:CR241" si="174">IF(AND(E195&gt;0,OR(AQ195="")),1,IF((AQ195)&gt;E195,1,0))</f>
        <v>0</v>
      </c>
      <c r="CS195" s="513">
        <f t="shared" ref="CS195:CS241" si="175">IF(AND(C195&gt;0,AR195=""),1,IF(AR195&gt;C195,1,0))</f>
        <v>0</v>
      </c>
      <c r="CT195" s="513">
        <f t="shared" ref="CT195:CT241" si="176">IF(AND(C195&gt;0,AS195=""),1,IF(AS195&gt;C195,1,0))</f>
        <v>0</v>
      </c>
      <c r="CU195" s="513">
        <f t="shared" ref="CU195:CU241" si="177">IF(AND(D195&gt;0,OR(AT195="")),1,IF((AT195)&gt;D195,1,0))</f>
        <v>0</v>
      </c>
      <c r="CV195" s="513">
        <f t="shared" ref="CV195:CV241" si="178">IF(AND(E195&gt;0,OR(AU195="")),1,IF((AU195)&gt;E195,1,0))</f>
        <v>0</v>
      </c>
      <c r="CW195" s="513">
        <f t="shared" ref="CW195:CW241" si="179">IF(AND(E195&gt;0,OR(AV195="")),1,IF((AV195)&gt;E195,1,0))</f>
        <v>0</v>
      </c>
      <c r="CX195" s="513">
        <f t="shared" ref="CX195:CX241" si="180">IF(AND(D195&gt;0,OR(AW195="")),1,IF((AW195)&gt;D195,1,0))</f>
        <v>0</v>
      </c>
      <c r="CY195" s="513">
        <f t="shared" ref="CY195:CY241" si="181">IF(AND(C195&gt;0,AX195=""),1,IF(AX195&gt;C195,1,0))</f>
        <v>0</v>
      </c>
    </row>
    <row r="196" spans="1:103" s="385" customFormat="1" ht="15" customHeight="1">
      <c r="A196" s="6129"/>
      <c r="B196" s="1453" t="s">
        <v>880</v>
      </c>
      <c r="C196" s="1793">
        <f t="shared" si="153"/>
        <v>0</v>
      </c>
      <c r="D196" s="1794">
        <f t="shared" si="157"/>
        <v>0</v>
      </c>
      <c r="E196" s="1795">
        <f t="shared" si="158"/>
        <v>0</v>
      </c>
      <c r="F196" s="1480"/>
      <c r="G196" s="1545"/>
      <c r="H196" s="1480"/>
      <c r="I196" s="1545"/>
      <c r="J196" s="1480"/>
      <c r="K196" s="1545"/>
      <c r="L196" s="1480"/>
      <c r="M196" s="1545"/>
      <c r="N196" s="1480"/>
      <c r="O196" s="1545"/>
      <c r="P196" s="1480"/>
      <c r="Q196" s="1545"/>
      <c r="R196" s="1480"/>
      <c r="S196" s="1545"/>
      <c r="T196" s="1480"/>
      <c r="U196" s="1545"/>
      <c r="V196" s="1480"/>
      <c r="W196" s="1545"/>
      <c r="X196" s="1480"/>
      <c r="Y196" s="1545"/>
      <c r="Z196" s="1480"/>
      <c r="AA196" s="1545"/>
      <c r="AB196" s="1480"/>
      <c r="AC196" s="1545"/>
      <c r="AD196" s="1480"/>
      <c r="AE196" s="1545"/>
      <c r="AF196" s="1480"/>
      <c r="AG196" s="1545"/>
      <c r="AH196" s="1480"/>
      <c r="AI196" s="1545"/>
      <c r="AJ196" s="1480"/>
      <c r="AK196" s="1545"/>
      <c r="AL196" s="1480"/>
      <c r="AM196" s="1482"/>
      <c r="AN196" s="1544"/>
      <c r="AO196" s="1483"/>
      <c r="AP196" s="1796"/>
      <c r="AQ196" s="1545"/>
      <c r="AR196" s="1480"/>
      <c r="AS196" s="1545"/>
      <c r="AT196" s="1482"/>
      <c r="AU196" s="1769"/>
      <c r="AV196" s="1482"/>
      <c r="AW196" s="1769"/>
      <c r="AX196" s="1545"/>
      <c r="AY196" s="385" t="str">
        <f t="shared" si="159"/>
        <v/>
      </c>
      <c r="CA196" s="1418" t="str">
        <f t="shared" si="160"/>
        <v/>
      </c>
      <c r="CB196" s="1418" t="str">
        <f t="shared" si="161"/>
        <v/>
      </c>
      <c r="CC196" s="1418" t="str">
        <f t="shared" si="162"/>
        <v/>
      </c>
      <c r="CD196" s="1418" t="str">
        <f t="shared" si="163"/>
        <v/>
      </c>
      <c r="CE196" s="1418" t="str">
        <f t="shared" si="164"/>
        <v/>
      </c>
      <c r="CF196" s="1418" t="str">
        <f t="shared" si="165"/>
        <v/>
      </c>
      <c r="CG196" s="1418" t="str">
        <f t="shared" si="166"/>
        <v/>
      </c>
      <c r="CH196" s="1418" t="str">
        <f t="shared" si="167"/>
        <v/>
      </c>
      <c r="CI196" s="1418" t="str">
        <f t="shared" si="168"/>
        <v/>
      </c>
      <c r="CJ196" s="1418" t="str">
        <f t="shared" si="169"/>
        <v/>
      </c>
      <c r="CK196" s="1418" t="str">
        <f t="shared" si="170"/>
        <v/>
      </c>
      <c r="CO196" s="513">
        <f t="shared" si="171"/>
        <v>0</v>
      </c>
      <c r="CP196" s="513">
        <f t="shared" si="172"/>
        <v>0</v>
      </c>
      <c r="CQ196" s="513">
        <f t="shared" si="173"/>
        <v>0</v>
      </c>
      <c r="CR196" s="513">
        <f t="shared" si="174"/>
        <v>0</v>
      </c>
      <c r="CS196" s="513">
        <f t="shared" si="175"/>
        <v>0</v>
      </c>
      <c r="CT196" s="513">
        <f t="shared" si="176"/>
        <v>0</v>
      </c>
      <c r="CU196" s="513">
        <f t="shared" si="177"/>
        <v>0</v>
      </c>
      <c r="CV196" s="513">
        <f t="shared" si="178"/>
        <v>0</v>
      </c>
      <c r="CW196" s="513">
        <f t="shared" si="179"/>
        <v>0</v>
      </c>
      <c r="CX196" s="513">
        <f t="shared" si="180"/>
        <v>0</v>
      </c>
      <c r="CY196" s="513">
        <f t="shared" si="181"/>
        <v>0</v>
      </c>
    </row>
    <row r="197" spans="1:103" s="385" customFormat="1" ht="15" customHeight="1">
      <c r="A197" s="6127" t="s">
        <v>881</v>
      </c>
      <c r="B197" s="1672" t="s">
        <v>879</v>
      </c>
      <c r="C197" s="1791">
        <f t="shared" si="153"/>
        <v>0</v>
      </c>
      <c r="D197" s="1792">
        <f t="shared" si="157"/>
        <v>0</v>
      </c>
      <c r="E197" s="1672">
        <f t="shared" si="158"/>
        <v>0</v>
      </c>
      <c r="F197" s="1424"/>
      <c r="G197" s="1436"/>
      <c r="H197" s="1424"/>
      <c r="I197" s="1436"/>
      <c r="J197" s="1424"/>
      <c r="K197" s="1436"/>
      <c r="L197" s="1424"/>
      <c r="M197" s="1436"/>
      <c r="N197" s="1424"/>
      <c r="O197" s="1436"/>
      <c r="P197" s="1424"/>
      <c r="Q197" s="1436"/>
      <c r="R197" s="1424"/>
      <c r="S197" s="1436"/>
      <c r="T197" s="1424"/>
      <c r="U197" s="1436"/>
      <c r="V197" s="1424"/>
      <c r="W197" s="1436"/>
      <c r="X197" s="1424"/>
      <c r="Y197" s="1436"/>
      <c r="Z197" s="1424"/>
      <c r="AA197" s="1436"/>
      <c r="AB197" s="1424"/>
      <c r="AC197" s="1436"/>
      <c r="AD197" s="1424"/>
      <c r="AE197" s="1436"/>
      <c r="AF197" s="1424"/>
      <c r="AG197" s="1436"/>
      <c r="AH197" s="1424"/>
      <c r="AI197" s="1436"/>
      <c r="AJ197" s="1424"/>
      <c r="AK197" s="1436"/>
      <c r="AL197" s="1424"/>
      <c r="AM197" s="1652"/>
      <c r="AN197" s="1429"/>
      <c r="AO197" s="1430"/>
      <c r="AP197" s="1425"/>
      <c r="AQ197" s="1436"/>
      <c r="AR197" s="1424"/>
      <c r="AS197" s="1436"/>
      <c r="AT197" s="1652"/>
      <c r="AU197" s="1676"/>
      <c r="AV197" s="1652"/>
      <c r="AW197" s="1676"/>
      <c r="AX197" s="1436"/>
      <c r="AY197" s="385" t="str">
        <f t="shared" si="159"/>
        <v/>
      </c>
      <c r="CA197" s="1418" t="str">
        <f t="shared" si="160"/>
        <v/>
      </c>
      <c r="CB197" s="1418" t="str">
        <f t="shared" si="161"/>
        <v/>
      </c>
      <c r="CC197" s="1418" t="str">
        <f t="shared" si="162"/>
        <v/>
      </c>
      <c r="CD197" s="1418" t="str">
        <f t="shared" si="163"/>
        <v/>
      </c>
      <c r="CE197" s="1418" t="str">
        <f t="shared" si="164"/>
        <v/>
      </c>
      <c r="CF197" s="1418" t="str">
        <f t="shared" si="165"/>
        <v/>
      </c>
      <c r="CG197" s="1418" t="str">
        <f t="shared" si="166"/>
        <v/>
      </c>
      <c r="CH197" s="1418" t="str">
        <f t="shared" si="167"/>
        <v/>
      </c>
      <c r="CI197" s="1418" t="str">
        <f t="shared" si="168"/>
        <v/>
      </c>
      <c r="CJ197" s="1418" t="str">
        <f t="shared" si="169"/>
        <v/>
      </c>
      <c r="CK197" s="1418" t="str">
        <f t="shared" si="170"/>
        <v/>
      </c>
      <c r="CO197" s="513">
        <f t="shared" si="171"/>
        <v>0</v>
      </c>
      <c r="CP197" s="513">
        <f t="shared" si="172"/>
        <v>0</v>
      </c>
      <c r="CQ197" s="513">
        <f t="shared" si="173"/>
        <v>0</v>
      </c>
      <c r="CR197" s="513">
        <f t="shared" si="174"/>
        <v>0</v>
      </c>
      <c r="CS197" s="513">
        <f t="shared" si="175"/>
        <v>0</v>
      </c>
      <c r="CT197" s="513">
        <f t="shared" si="176"/>
        <v>0</v>
      </c>
      <c r="CU197" s="513">
        <f t="shared" si="177"/>
        <v>0</v>
      </c>
      <c r="CV197" s="513">
        <f t="shared" si="178"/>
        <v>0</v>
      </c>
      <c r="CW197" s="513">
        <f t="shared" si="179"/>
        <v>0</v>
      </c>
      <c r="CX197" s="513">
        <f t="shared" si="180"/>
        <v>0</v>
      </c>
      <c r="CY197" s="513">
        <f t="shared" si="181"/>
        <v>0</v>
      </c>
    </row>
    <row r="198" spans="1:103" s="385" customFormat="1" ht="15" customHeight="1">
      <c r="A198" s="6129"/>
      <c r="B198" s="1453" t="s">
        <v>880</v>
      </c>
      <c r="C198" s="1793">
        <f t="shared" si="153"/>
        <v>0</v>
      </c>
      <c r="D198" s="1794">
        <f t="shared" si="157"/>
        <v>0</v>
      </c>
      <c r="E198" s="1795">
        <f t="shared" si="158"/>
        <v>0</v>
      </c>
      <c r="F198" s="1480"/>
      <c r="G198" s="1545"/>
      <c r="H198" s="1480"/>
      <c r="I198" s="1545"/>
      <c r="J198" s="1480"/>
      <c r="K198" s="1545"/>
      <c r="L198" s="1480"/>
      <c r="M198" s="1545"/>
      <c r="N198" s="1480"/>
      <c r="O198" s="1545"/>
      <c r="P198" s="1480"/>
      <c r="Q198" s="1545"/>
      <c r="R198" s="1480"/>
      <c r="S198" s="1545"/>
      <c r="T198" s="1480"/>
      <c r="U198" s="1545"/>
      <c r="V198" s="1480"/>
      <c r="W198" s="1545"/>
      <c r="X198" s="1480"/>
      <c r="Y198" s="1545"/>
      <c r="Z198" s="1480"/>
      <c r="AA198" s="1545"/>
      <c r="AB198" s="1480"/>
      <c r="AC198" s="1545"/>
      <c r="AD198" s="1480"/>
      <c r="AE198" s="1545"/>
      <c r="AF198" s="1480"/>
      <c r="AG198" s="1545"/>
      <c r="AH198" s="1480"/>
      <c r="AI198" s="1545"/>
      <c r="AJ198" s="1480"/>
      <c r="AK198" s="1545"/>
      <c r="AL198" s="1480"/>
      <c r="AM198" s="1482"/>
      <c r="AN198" s="1544"/>
      <c r="AO198" s="1483"/>
      <c r="AP198" s="1796"/>
      <c r="AQ198" s="1545"/>
      <c r="AR198" s="1480"/>
      <c r="AS198" s="1545"/>
      <c r="AT198" s="1482"/>
      <c r="AU198" s="1769"/>
      <c r="AV198" s="1482"/>
      <c r="AW198" s="1769"/>
      <c r="AX198" s="1545"/>
      <c r="AY198" s="385" t="str">
        <f t="shared" si="159"/>
        <v/>
      </c>
      <c r="CA198" s="1418" t="str">
        <f t="shared" si="160"/>
        <v/>
      </c>
      <c r="CB198" s="1418" t="str">
        <f t="shared" si="161"/>
        <v/>
      </c>
      <c r="CC198" s="1418" t="str">
        <f t="shared" si="162"/>
        <v/>
      </c>
      <c r="CD198" s="1418" t="str">
        <f t="shared" si="163"/>
        <v/>
      </c>
      <c r="CE198" s="1418" t="str">
        <f t="shared" si="164"/>
        <v/>
      </c>
      <c r="CF198" s="1418" t="str">
        <f t="shared" si="165"/>
        <v/>
      </c>
      <c r="CG198" s="1418" t="str">
        <f t="shared" si="166"/>
        <v/>
      </c>
      <c r="CH198" s="1418" t="str">
        <f t="shared" si="167"/>
        <v/>
      </c>
      <c r="CI198" s="1418" t="str">
        <f t="shared" si="168"/>
        <v/>
      </c>
      <c r="CJ198" s="1418" t="str">
        <f t="shared" si="169"/>
        <v/>
      </c>
      <c r="CK198" s="1418" t="str">
        <f t="shared" si="170"/>
        <v/>
      </c>
      <c r="CO198" s="513">
        <f t="shared" si="171"/>
        <v>0</v>
      </c>
      <c r="CP198" s="513">
        <f t="shared" si="172"/>
        <v>0</v>
      </c>
      <c r="CQ198" s="513">
        <f t="shared" si="173"/>
        <v>0</v>
      </c>
      <c r="CR198" s="513">
        <f t="shared" si="174"/>
        <v>0</v>
      </c>
      <c r="CS198" s="513">
        <f t="shared" si="175"/>
        <v>0</v>
      </c>
      <c r="CT198" s="513">
        <f t="shared" si="176"/>
        <v>0</v>
      </c>
      <c r="CU198" s="513">
        <f t="shared" si="177"/>
        <v>0</v>
      </c>
      <c r="CV198" s="513">
        <f t="shared" si="178"/>
        <v>0</v>
      </c>
      <c r="CW198" s="513">
        <f t="shared" si="179"/>
        <v>0</v>
      </c>
      <c r="CX198" s="513">
        <f t="shared" si="180"/>
        <v>0</v>
      </c>
      <c r="CY198" s="513">
        <f t="shared" si="181"/>
        <v>0</v>
      </c>
    </row>
    <row r="199" spans="1:103" ht="15" customHeight="1">
      <c r="A199" s="6127" t="s">
        <v>882</v>
      </c>
      <c r="B199" s="1672" t="s">
        <v>879</v>
      </c>
      <c r="C199" s="1791">
        <f t="shared" si="153"/>
        <v>0</v>
      </c>
      <c r="D199" s="1792">
        <f t="shared" si="157"/>
        <v>0</v>
      </c>
      <c r="E199" s="1672">
        <f t="shared" si="157"/>
        <v>0</v>
      </c>
      <c r="F199" s="1424"/>
      <c r="G199" s="1436"/>
      <c r="H199" s="1424"/>
      <c r="I199" s="1436"/>
      <c r="J199" s="1424"/>
      <c r="K199" s="1436"/>
      <c r="L199" s="1424"/>
      <c r="M199" s="1436"/>
      <c r="N199" s="1424"/>
      <c r="O199" s="1436"/>
      <c r="P199" s="1424"/>
      <c r="Q199" s="1436"/>
      <c r="R199" s="1424"/>
      <c r="S199" s="1436"/>
      <c r="T199" s="1424"/>
      <c r="U199" s="1436"/>
      <c r="V199" s="1424"/>
      <c r="W199" s="1436"/>
      <c r="X199" s="1424"/>
      <c r="Y199" s="1436"/>
      <c r="Z199" s="1424"/>
      <c r="AA199" s="1436"/>
      <c r="AB199" s="1424"/>
      <c r="AC199" s="1436"/>
      <c r="AD199" s="1424"/>
      <c r="AE199" s="1436"/>
      <c r="AF199" s="1424"/>
      <c r="AG199" s="1436"/>
      <c r="AH199" s="1424"/>
      <c r="AI199" s="1436"/>
      <c r="AJ199" s="1424"/>
      <c r="AK199" s="1436"/>
      <c r="AL199" s="1424"/>
      <c r="AM199" s="1652"/>
      <c r="AN199" s="1429"/>
      <c r="AO199" s="1430"/>
      <c r="AP199" s="1425"/>
      <c r="AQ199" s="1436"/>
      <c r="AR199" s="1424"/>
      <c r="AS199" s="1436"/>
      <c r="AT199" s="1652"/>
      <c r="AU199" s="1676"/>
      <c r="AV199" s="1652"/>
      <c r="AW199" s="1676"/>
      <c r="AX199" s="1436"/>
      <c r="AY199" s="385" t="str">
        <f t="shared" si="159"/>
        <v/>
      </c>
      <c r="CA199" s="1418" t="str">
        <f t="shared" si="160"/>
        <v/>
      </c>
      <c r="CB199" s="1418" t="str">
        <f t="shared" si="161"/>
        <v/>
      </c>
      <c r="CC199" s="1418" t="str">
        <f t="shared" si="162"/>
        <v/>
      </c>
      <c r="CD199" s="1418" t="str">
        <f t="shared" si="163"/>
        <v/>
      </c>
      <c r="CE199" s="1418" t="str">
        <f t="shared" si="164"/>
        <v/>
      </c>
      <c r="CF199" s="1418" t="str">
        <f t="shared" si="165"/>
        <v/>
      </c>
      <c r="CG199" s="1418" t="str">
        <f t="shared" si="166"/>
        <v/>
      </c>
      <c r="CH199" s="1418" t="str">
        <f t="shared" si="167"/>
        <v/>
      </c>
      <c r="CI199" s="1418" t="str">
        <f t="shared" si="168"/>
        <v/>
      </c>
      <c r="CJ199" s="1418" t="str">
        <f t="shared" si="169"/>
        <v/>
      </c>
      <c r="CK199" s="1418" t="str">
        <f t="shared" si="170"/>
        <v/>
      </c>
      <c r="CL199" s="385"/>
      <c r="CM199" s="385"/>
      <c r="CN199" s="385"/>
      <c r="CO199" s="513">
        <f t="shared" si="171"/>
        <v>0</v>
      </c>
      <c r="CP199" s="513">
        <f t="shared" si="172"/>
        <v>0</v>
      </c>
      <c r="CQ199" s="513">
        <f t="shared" si="173"/>
        <v>0</v>
      </c>
      <c r="CR199" s="513">
        <f t="shared" si="174"/>
        <v>0</v>
      </c>
      <c r="CS199" s="513">
        <f t="shared" si="175"/>
        <v>0</v>
      </c>
      <c r="CT199" s="513">
        <f t="shared" si="176"/>
        <v>0</v>
      </c>
      <c r="CU199" s="513">
        <f t="shared" si="177"/>
        <v>0</v>
      </c>
      <c r="CV199" s="513">
        <f t="shared" si="178"/>
        <v>0</v>
      </c>
      <c r="CW199" s="513">
        <f t="shared" si="179"/>
        <v>0</v>
      </c>
      <c r="CX199" s="513">
        <f t="shared" si="180"/>
        <v>0</v>
      </c>
      <c r="CY199" s="513">
        <f t="shared" si="181"/>
        <v>0</v>
      </c>
    </row>
    <row r="200" spans="1:103" ht="15" customHeight="1">
      <c r="A200" s="6129"/>
      <c r="B200" s="1453" t="s">
        <v>880</v>
      </c>
      <c r="C200" s="1797">
        <f t="shared" si="153"/>
        <v>0</v>
      </c>
      <c r="D200" s="1798">
        <f t="shared" si="157"/>
        <v>0</v>
      </c>
      <c r="E200" s="1799">
        <f t="shared" si="157"/>
        <v>0</v>
      </c>
      <c r="F200" s="1528"/>
      <c r="G200" s="1534"/>
      <c r="H200" s="1528"/>
      <c r="I200" s="1534"/>
      <c r="J200" s="1528"/>
      <c r="K200" s="1534"/>
      <c r="L200" s="1528"/>
      <c r="M200" s="1534"/>
      <c r="N200" s="1528"/>
      <c r="O200" s="1534"/>
      <c r="P200" s="1528"/>
      <c r="Q200" s="1534"/>
      <c r="R200" s="1528"/>
      <c r="S200" s="1534"/>
      <c r="T200" s="1528"/>
      <c r="U200" s="1534"/>
      <c r="V200" s="1528"/>
      <c r="W200" s="1534"/>
      <c r="X200" s="1528"/>
      <c r="Y200" s="1534"/>
      <c r="Z200" s="1528"/>
      <c r="AA200" s="1534"/>
      <c r="AB200" s="1528"/>
      <c r="AC200" s="1534"/>
      <c r="AD200" s="1528"/>
      <c r="AE200" s="1534"/>
      <c r="AF200" s="1528"/>
      <c r="AG200" s="1534"/>
      <c r="AH200" s="1528"/>
      <c r="AI200" s="1534"/>
      <c r="AJ200" s="1528"/>
      <c r="AK200" s="1534"/>
      <c r="AL200" s="1528"/>
      <c r="AM200" s="1800"/>
      <c r="AN200" s="1532"/>
      <c r="AO200" s="1533"/>
      <c r="AP200" s="1552"/>
      <c r="AQ200" s="1534"/>
      <c r="AR200" s="1528"/>
      <c r="AS200" s="1534"/>
      <c r="AT200" s="1800"/>
      <c r="AU200" s="1801"/>
      <c r="AV200" s="1800"/>
      <c r="AW200" s="1801"/>
      <c r="AX200" s="1534"/>
      <c r="AY200" s="385" t="str">
        <f t="shared" si="159"/>
        <v/>
      </c>
      <c r="CA200" s="1418" t="str">
        <f t="shared" si="160"/>
        <v/>
      </c>
      <c r="CB200" s="1418" t="str">
        <f t="shared" si="161"/>
        <v/>
      </c>
      <c r="CC200" s="1418" t="str">
        <f t="shared" si="162"/>
        <v/>
      </c>
      <c r="CD200" s="1418" t="str">
        <f t="shared" si="163"/>
        <v/>
      </c>
      <c r="CE200" s="1418" t="str">
        <f t="shared" si="164"/>
        <v/>
      </c>
      <c r="CF200" s="1418" t="str">
        <f t="shared" si="165"/>
        <v/>
      </c>
      <c r="CG200" s="1418" t="str">
        <f t="shared" si="166"/>
        <v/>
      </c>
      <c r="CH200" s="1418" t="str">
        <f t="shared" si="167"/>
        <v/>
      </c>
      <c r="CI200" s="1418" t="str">
        <f t="shared" si="168"/>
        <v/>
      </c>
      <c r="CJ200" s="1418" t="str">
        <f t="shared" si="169"/>
        <v/>
      </c>
      <c r="CK200" s="1418" t="str">
        <f t="shared" si="170"/>
        <v/>
      </c>
      <c r="CL200" s="385"/>
      <c r="CM200" s="385"/>
      <c r="CN200" s="385"/>
      <c r="CO200" s="513">
        <f t="shared" si="171"/>
        <v>0</v>
      </c>
      <c r="CP200" s="513">
        <f t="shared" si="172"/>
        <v>0</v>
      </c>
      <c r="CQ200" s="513">
        <f t="shared" si="173"/>
        <v>0</v>
      </c>
      <c r="CR200" s="513">
        <f t="shared" si="174"/>
        <v>0</v>
      </c>
      <c r="CS200" s="513">
        <f t="shared" si="175"/>
        <v>0</v>
      </c>
      <c r="CT200" s="513">
        <f t="shared" si="176"/>
        <v>0</v>
      </c>
      <c r="CU200" s="513">
        <f t="shared" si="177"/>
        <v>0</v>
      </c>
      <c r="CV200" s="513">
        <f t="shared" si="178"/>
        <v>0</v>
      </c>
      <c r="CW200" s="513">
        <f t="shared" si="179"/>
        <v>0</v>
      </c>
      <c r="CX200" s="513">
        <f t="shared" si="180"/>
        <v>0</v>
      </c>
      <c r="CY200" s="513">
        <f t="shared" si="181"/>
        <v>0</v>
      </c>
    </row>
    <row r="201" spans="1:103">
      <c r="A201" s="6185" t="s">
        <v>883</v>
      </c>
      <c r="B201" s="6186"/>
      <c r="C201" s="1803"/>
      <c r="D201" s="1804"/>
      <c r="E201" s="1802"/>
      <c r="F201" s="1805"/>
      <c r="G201" s="1806"/>
      <c r="H201" s="1805"/>
      <c r="I201" s="1806"/>
      <c r="J201" s="1805"/>
      <c r="K201" s="1806"/>
      <c r="L201" s="1805"/>
      <c r="M201" s="1806"/>
      <c r="N201" s="1805"/>
      <c r="O201" s="1806"/>
      <c r="P201" s="1805"/>
      <c r="Q201" s="1806"/>
      <c r="R201" s="1805"/>
      <c r="S201" s="1806"/>
      <c r="T201" s="1805"/>
      <c r="U201" s="1806"/>
      <c r="V201" s="1805"/>
      <c r="W201" s="1806"/>
      <c r="X201" s="1805"/>
      <c r="Y201" s="1806"/>
      <c r="Z201" s="1805"/>
      <c r="AA201" s="1806"/>
      <c r="AB201" s="1805"/>
      <c r="AC201" s="1806"/>
      <c r="AD201" s="1805"/>
      <c r="AE201" s="1806"/>
      <c r="AF201" s="1805"/>
      <c r="AG201" s="1806"/>
      <c r="AH201" s="1805"/>
      <c r="AI201" s="1806"/>
      <c r="AJ201" s="1805"/>
      <c r="AK201" s="1806"/>
      <c r="AL201" s="1805"/>
      <c r="AM201" s="1807"/>
      <c r="AN201" s="1808"/>
      <c r="AO201" s="1809"/>
      <c r="AP201" s="1810"/>
      <c r="AQ201" s="1806"/>
      <c r="AR201" s="1805"/>
      <c r="AS201" s="1806"/>
      <c r="AT201" s="1807"/>
      <c r="AU201" s="1811"/>
      <c r="AV201" s="1807"/>
      <c r="AW201" s="1811"/>
      <c r="AX201" s="1806"/>
      <c r="AY201" s="385"/>
      <c r="CA201" s="1812"/>
      <c r="CB201" s="1812"/>
      <c r="CC201" s="1812"/>
      <c r="CD201" s="1812"/>
      <c r="CE201" s="1812"/>
      <c r="CF201" s="1812"/>
      <c r="CG201" s="1812"/>
      <c r="CH201" s="1812"/>
      <c r="CI201" s="1812"/>
      <c r="CJ201" s="1812"/>
      <c r="CK201" s="1812"/>
      <c r="CL201" s="385"/>
      <c r="CM201" s="385"/>
      <c r="CN201" s="385"/>
      <c r="CO201" s="1813"/>
      <c r="CP201" s="1813"/>
      <c r="CQ201" s="1813"/>
      <c r="CR201" s="1813"/>
      <c r="CS201" s="1813"/>
      <c r="CT201" s="1813"/>
      <c r="CU201" s="1813"/>
      <c r="CV201" s="1813"/>
      <c r="CW201" s="1813"/>
      <c r="CX201" s="1813"/>
      <c r="CY201" s="1813"/>
    </row>
    <row r="202" spans="1:103">
      <c r="A202" s="6127" t="s">
        <v>884</v>
      </c>
      <c r="B202" s="1672" t="s">
        <v>885</v>
      </c>
      <c r="C202" s="1791">
        <f t="shared" si="153"/>
        <v>0</v>
      </c>
      <c r="D202" s="1792">
        <f t="shared" ref="D202:D203" si="182">SUM(H202+J202+L202+N202+P202+R202+T202+V202+X202+Z202+AB202+AD202+AF202+AH202+AJ202+AL202)</f>
        <v>0</v>
      </c>
      <c r="E202" s="1672">
        <f t="shared" ref="E202:E203" si="183">SUM(I202+K202+M202+O202+Q202+S202+U202+W202+Y202+AA202+AC202+AE202+AG202+AI202+AK202+AM202)</f>
        <v>0</v>
      </c>
      <c r="F202" s="1814"/>
      <c r="G202" s="1815"/>
      <c r="H202" s="1424"/>
      <c r="I202" s="1436"/>
      <c r="J202" s="1424"/>
      <c r="K202" s="1436"/>
      <c r="L202" s="1424"/>
      <c r="M202" s="1436"/>
      <c r="N202" s="1424"/>
      <c r="O202" s="1436"/>
      <c r="P202" s="1424"/>
      <c r="Q202" s="1436"/>
      <c r="R202" s="1424"/>
      <c r="S202" s="1436"/>
      <c r="T202" s="1424"/>
      <c r="U202" s="1436"/>
      <c r="V202" s="1424"/>
      <c r="W202" s="1436"/>
      <c r="X202" s="1424"/>
      <c r="Y202" s="1436"/>
      <c r="Z202" s="1424"/>
      <c r="AA202" s="1436"/>
      <c r="AB202" s="1424"/>
      <c r="AC202" s="1436"/>
      <c r="AD202" s="1424"/>
      <c r="AE202" s="1436"/>
      <c r="AF202" s="1424"/>
      <c r="AG202" s="1436"/>
      <c r="AH202" s="1424"/>
      <c r="AI202" s="1436"/>
      <c r="AJ202" s="1424"/>
      <c r="AK202" s="1436"/>
      <c r="AL202" s="1424"/>
      <c r="AM202" s="1652"/>
      <c r="AN202" s="1429"/>
      <c r="AO202" s="1430"/>
      <c r="AP202" s="1425"/>
      <c r="AQ202" s="1436"/>
      <c r="AR202" s="1424"/>
      <c r="AS202" s="1436"/>
      <c r="AT202" s="1652"/>
      <c r="AU202" s="1676"/>
      <c r="AV202" s="1652"/>
      <c r="AW202" s="1676"/>
      <c r="AX202" s="1436"/>
      <c r="AY202" s="385" t="str">
        <f t="shared" si="159"/>
        <v/>
      </c>
      <c r="CA202" s="1418" t="str">
        <f t="shared" si="160"/>
        <v/>
      </c>
      <c r="CB202" s="1418" t="str">
        <f t="shared" si="161"/>
        <v/>
      </c>
      <c r="CC202" s="1418" t="str">
        <f t="shared" si="162"/>
        <v/>
      </c>
      <c r="CD202" s="1418" t="str">
        <f t="shared" si="163"/>
        <v/>
      </c>
      <c r="CE202" s="1418" t="str">
        <f t="shared" si="164"/>
        <v/>
      </c>
      <c r="CF202" s="1418" t="str">
        <f t="shared" si="165"/>
        <v/>
      </c>
      <c r="CG202" s="1418" t="str">
        <f t="shared" si="166"/>
        <v/>
      </c>
      <c r="CH202" s="1418" t="str">
        <f t="shared" si="167"/>
        <v/>
      </c>
      <c r="CI202" s="1418" t="str">
        <f t="shared" si="168"/>
        <v/>
      </c>
      <c r="CJ202" s="1418" t="str">
        <f t="shared" si="169"/>
        <v/>
      </c>
      <c r="CK202" s="1418" t="str">
        <f t="shared" si="170"/>
        <v/>
      </c>
      <c r="CL202" s="385"/>
      <c r="CM202" s="385"/>
      <c r="CN202" s="385"/>
      <c r="CO202" s="513">
        <f t="shared" si="171"/>
        <v>0</v>
      </c>
      <c r="CP202" s="513">
        <f t="shared" si="172"/>
        <v>0</v>
      </c>
      <c r="CQ202" s="513">
        <f t="shared" si="173"/>
        <v>0</v>
      </c>
      <c r="CR202" s="513">
        <f t="shared" si="174"/>
        <v>0</v>
      </c>
      <c r="CS202" s="513">
        <f t="shared" si="175"/>
        <v>0</v>
      </c>
      <c r="CT202" s="513">
        <f t="shared" si="176"/>
        <v>0</v>
      </c>
      <c r="CU202" s="513">
        <f t="shared" si="177"/>
        <v>0</v>
      </c>
      <c r="CV202" s="513">
        <f t="shared" si="178"/>
        <v>0</v>
      </c>
      <c r="CW202" s="513">
        <f t="shared" si="179"/>
        <v>0</v>
      </c>
      <c r="CX202" s="513">
        <f t="shared" si="180"/>
        <v>0</v>
      </c>
      <c r="CY202" s="513">
        <f t="shared" si="181"/>
        <v>0</v>
      </c>
    </row>
    <row r="203" spans="1:103">
      <c r="A203" s="6129"/>
      <c r="B203" s="1453" t="s">
        <v>886</v>
      </c>
      <c r="C203" s="1816">
        <f t="shared" si="153"/>
        <v>0</v>
      </c>
      <c r="D203" s="1817">
        <f t="shared" si="182"/>
        <v>0</v>
      </c>
      <c r="E203" s="1785">
        <f t="shared" si="183"/>
        <v>0</v>
      </c>
      <c r="F203" s="1818"/>
      <c r="G203" s="1819"/>
      <c r="H203" s="1517"/>
      <c r="I203" s="1523"/>
      <c r="J203" s="1517"/>
      <c r="K203" s="1523"/>
      <c r="L203" s="1528"/>
      <c r="M203" s="1534"/>
      <c r="N203" s="1517"/>
      <c r="O203" s="1523"/>
      <c r="P203" s="1517"/>
      <c r="Q203" s="1523"/>
      <c r="R203" s="1517"/>
      <c r="S203" s="1523"/>
      <c r="T203" s="1517"/>
      <c r="U203" s="1523"/>
      <c r="V203" s="1517"/>
      <c r="W203" s="1523"/>
      <c r="X203" s="1517"/>
      <c r="Y203" s="1523"/>
      <c r="Z203" s="1517"/>
      <c r="AA203" s="1523"/>
      <c r="AB203" s="1517"/>
      <c r="AC203" s="1523"/>
      <c r="AD203" s="1517"/>
      <c r="AE203" s="1523"/>
      <c r="AF203" s="1517"/>
      <c r="AG203" s="1523"/>
      <c r="AH203" s="1517"/>
      <c r="AI203" s="1523"/>
      <c r="AJ203" s="1517"/>
      <c r="AK203" s="1523"/>
      <c r="AL203" s="1517"/>
      <c r="AM203" s="1770"/>
      <c r="AN203" s="1532"/>
      <c r="AO203" s="1533"/>
      <c r="AP203" s="1552"/>
      <c r="AQ203" s="1534"/>
      <c r="AR203" s="1528"/>
      <c r="AS203" s="1534"/>
      <c r="AT203" s="1800"/>
      <c r="AU203" s="1801"/>
      <c r="AV203" s="1800"/>
      <c r="AW203" s="1801"/>
      <c r="AX203" s="1534"/>
      <c r="AY203" s="385" t="str">
        <f t="shared" si="159"/>
        <v/>
      </c>
      <c r="CA203" s="1418" t="str">
        <f t="shared" si="160"/>
        <v/>
      </c>
      <c r="CB203" s="1418" t="str">
        <f t="shared" si="161"/>
        <v/>
      </c>
      <c r="CC203" s="1418" t="str">
        <f t="shared" si="162"/>
        <v/>
      </c>
      <c r="CD203" s="1418" t="str">
        <f t="shared" si="163"/>
        <v/>
      </c>
      <c r="CE203" s="1418" t="str">
        <f t="shared" si="164"/>
        <v/>
      </c>
      <c r="CF203" s="1418" t="str">
        <f t="shared" si="165"/>
        <v/>
      </c>
      <c r="CG203" s="1418" t="str">
        <f t="shared" si="166"/>
        <v/>
      </c>
      <c r="CH203" s="1418" t="str">
        <f t="shared" si="167"/>
        <v/>
      </c>
      <c r="CI203" s="1418" t="str">
        <f t="shared" si="168"/>
        <v/>
      </c>
      <c r="CJ203" s="1418" t="str">
        <f t="shared" si="169"/>
        <v/>
      </c>
      <c r="CK203" s="1418" t="str">
        <f t="shared" si="170"/>
        <v/>
      </c>
      <c r="CL203" s="385"/>
      <c r="CM203" s="385"/>
      <c r="CN203" s="385"/>
      <c r="CO203" s="513">
        <f t="shared" si="171"/>
        <v>0</v>
      </c>
      <c r="CP203" s="513">
        <f t="shared" si="172"/>
        <v>0</v>
      </c>
      <c r="CQ203" s="513">
        <f t="shared" si="173"/>
        <v>0</v>
      </c>
      <c r="CR203" s="513">
        <f t="shared" si="174"/>
        <v>0</v>
      </c>
      <c r="CS203" s="513">
        <f t="shared" si="175"/>
        <v>0</v>
      </c>
      <c r="CT203" s="513">
        <f t="shared" si="176"/>
        <v>0</v>
      </c>
      <c r="CU203" s="513">
        <f t="shared" si="177"/>
        <v>0</v>
      </c>
      <c r="CV203" s="513">
        <f t="shared" si="178"/>
        <v>0</v>
      </c>
      <c r="CW203" s="513">
        <f t="shared" si="179"/>
        <v>0</v>
      </c>
      <c r="CX203" s="513">
        <f t="shared" si="180"/>
        <v>0</v>
      </c>
      <c r="CY203" s="513">
        <f t="shared" si="181"/>
        <v>0</v>
      </c>
    </row>
    <row r="204" spans="1:103" s="385" customFormat="1" ht="18" customHeight="1">
      <c r="A204" s="1820" t="s">
        <v>887</v>
      </c>
      <c r="B204" s="1782"/>
      <c r="C204" s="401">
        <f t="shared" si="153"/>
        <v>0</v>
      </c>
      <c r="D204" s="1501">
        <f t="shared" si="157"/>
        <v>0</v>
      </c>
      <c r="E204" s="392">
        <f t="shared" si="157"/>
        <v>0</v>
      </c>
      <c r="F204" s="1475"/>
      <c r="G204" s="1539"/>
      <c r="H204" s="1475"/>
      <c r="I204" s="1539"/>
      <c r="J204" s="1475"/>
      <c r="K204" s="1539"/>
      <c r="L204" s="1475"/>
      <c r="M204" s="1539"/>
      <c r="N204" s="1475"/>
      <c r="O204" s="1539"/>
      <c r="P204" s="1475"/>
      <c r="Q204" s="1539"/>
      <c r="R204" s="1475"/>
      <c r="S204" s="1539"/>
      <c r="T204" s="1475"/>
      <c r="U204" s="1539"/>
      <c r="V204" s="1475"/>
      <c r="W204" s="1539"/>
      <c r="X204" s="1475"/>
      <c r="Y204" s="1539"/>
      <c r="Z204" s="1475"/>
      <c r="AA204" s="1539"/>
      <c r="AB204" s="1475"/>
      <c r="AC204" s="1539"/>
      <c r="AD204" s="1475"/>
      <c r="AE204" s="1539"/>
      <c r="AF204" s="1475"/>
      <c r="AG204" s="1539"/>
      <c r="AH204" s="1475"/>
      <c r="AI204" s="1539"/>
      <c r="AJ204" s="1475"/>
      <c r="AK204" s="1539"/>
      <c r="AL204" s="1475"/>
      <c r="AM204" s="1477"/>
      <c r="AN204" s="1538"/>
      <c r="AO204" s="1478"/>
      <c r="AP204" s="1552"/>
      <c r="AQ204" s="1539"/>
      <c r="AR204" s="1475"/>
      <c r="AS204" s="1539"/>
      <c r="AT204" s="1477"/>
      <c r="AU204" s="1786"/>
      <c r="AV204" s="1477"/>
      <c r="AW204" s="1786"/>
      <c r="AX204" s="1539"/>
      <c r="AY204" s="385" t="str">
        <f t="shared" si="159"/>
        <v/>
      </c>
      <c r="CA204" s="1418" t="str">
        <f t="shared" si="160"/>
        <v/>
      </c>
      <c r="CB204" s="1418" t="str">
        <f t="shared" si="161"/>
        <v/>
      </c>
      <c r="CC204" s="1418" t="str">
        <f t="shared" si="162"/>
        <v/>
      </c>
      <c r="CD204" s="1418" t="str">
        <f t="shared" si="163"/>
        <v/>
      </c>
      <c r="CE204" s="1418" t="str">
        <f t="shared" si="164"/>
        <v/>
      </c>
      <c r="CF204" s="1418" t="str">
        <f t="shared" si="165"/>
        <v/>
      </c>
      <c r="CG204" s="1418" t="str">
        <f t="shared" si="166"/>
        <v/>
      </c>
      <c r="CH204" s="1418" t="str">
        <f t="shared" si="167"/>
        <v/>
      </c>
      <c r="CI204" s="1418" t="str">
        <f t="shared" si="168"/>
        <v/>
      </c>
      <c r="CJ204" s="1418" t="str">
        <f t="shared" si="169"/>
        <v/>
      </c>
      <c r="CK204" s="1418" t="str">
        <f t="shared" si="170"/>
        <v/>
      </c>
      <c r="CO204" s="513">
        <f t="shared" si="171"/>
        <v>0</v>
      </c>
      <c r="CP204" s="513">
        <f t="shared" si="172"/>
        <v>0</v>
      </c>
      <c r="CQ204" s="513">
        <f t="shared" si="173"/>
        <v>0</v>
      </c>
      <c r="CR204" s="513">
        <f t="shared" si="174"/>
        <v>0</v>
      </c>
      <c r="CS204" s="513">
        <f t="shared" si="175"/>
        <v>0</v>
      </c>
      <c r="CT204" s="513">
        <f t="shared" si="176"/>
        <v>0</v>
      </c>
      <c r="CU204" s="513">
        <f t="shared" si="177"/>
        <v>0</v>
      </c>
      <c r="CV204" s="513">
        <f t="shared" si="178"/>
        <v>0</v>
      </c>
      <c r="CW204" s="513">
        <f t="shared" si="179"/>
        <v>0</v>
      </c>
      <c r="CX204" s="513">
        <f t="shared" si="180"/>
        <v>0</v>
      </c>
      <c r="CY204" s="513">
        <f t="shared" si="181"/>
        <v>0</v>
      </c>
    </row>
    <row r="205" spans="1:103" ht="15" customHeight="1">
      <c r="A205" s="6127" t="s">
        <v>888</v>
      </c>
      <c r="B205" s="1795" t="s">
        <v>889</v>
      </c>
      <c r="C205" s="1793">
        <f t="shared" si="153"/>
        <v>0</v>
      </c>
      <c r="D205" s="1794">
        <f t="shared" si="157"/>
        <v>0</v>
      </c>
      <c r="E205" s="1795">
        <f t="shared" si="157"/>
        <v>0</v>
      </c>
      <c r="F205" s="1480"/>
      <c r="G205" s="1545"/>
      <c r="H205" s="1480"/>
      <c r="I205" s="1545"/>
      <c r="J205" s="1480"/>
      <c r="K205" s="1545"/>
      <c r="L205" s="1480"/>
      <c r="M205" s="1545"/>
      <c r="N205" s="1480"/>
      <c r="O205" s="1545"/>
      <c r="P205" s="1480"/>
      <c r="Q205" s="1545"/>
      <c r="R205" s="1480"/>
      <c r="S205" s="1545"/>
      <c r="T205" s="1480"/>
      <c r="U205" s="1545"/>
      <c r="V205" s="1480"/>
      <c r="W205" s="1545"/>
      <c r="X205" s="1480"/>
      <c r="Y205" s="1545"/>
      <c r="Z205" s="1480"/>
      <c r="AA205" s="1545"/>
      <c r="AB205" s="1480"/>
      <c r="AC205" s="1545"/>
      <c r="AD205" s="1480"/>
      <c r="AE205" s="1545"/>
      <c r="AF205" s="1480"/>
      <c r="AG205" s="1545"/>
      <c r="AH205" s="1480"/>
      <c r="AI205" s="1545"/>
      <c r="AJ205" s="1480"/>
      <c r="AK205" s="1545"/>
      <c r="AL205" s="1480"/>
      <c r="AM205" s="1482"/>
      <c r="AN205" s="1544"/>
      <c r="AO205" s="1483"/>
      <c r="AP205" s="1796"/>
      <c r="AQ205" s="1523"/>
      <c r="AR205" s="1517"/>
      <c r="AS205" s="1523"/>
      <c r="AT205" s="1770"/>
      <c r="AU205" s="1821"/>
      <c r="AV205" s="1770"/>
      <c r="AW205" s="1821"/>
      <c r="AX205" s="1523"/>
      <c r="AY205" s="385" t="str">
        <f t="shared" si="159"/>
        <v/>
      </c>
      <c r="CA205" s="1418" t="str">
        <f t="shared" si="160"/>
        <v/>
      </c>
      <c r="CB205" s="1418" t="str">
        <f t="shared" si="161"/>
        <v/>
      </c>
      <c r="CC205" s="1418" t="str">
        <f t="shared" si="162"/>
        <v/>
      </c>
      <c r="CD205" s="1418" t="str">
        <f t="shared" si="163"/>
        <v/>
      </c>
      <c r="CE205" s="1418" t="str">
        <f t="shared" si="164"/>
        <v/>
      </c>
      <c r="CF205" s="1418" t="str">
        <f t="shared" si="165"/>
        <v/>
      </c>
      <c r="CG205" s="1418" t="str">
        <f t="shared" si="166"/>
        <v/>
      </c>
      <c r="CH205" s="1418" t="str">
        <f t="shared" si="167"/>
        <v/>
      </c>
      <c r="CI205" s="1418" t="str">
        <f t="shared" si="168"/>
        <v/>
      </c>
      <c r="CJ205" s="1418" t="str">
        <f t="shared" si="169"/>
        <v/>
      </c>
      <c r="CK205" s="1418" t="str">
        <f t="shared" si="170"/>
        <v/>
      </c>
      <c r="CL205" s="385"/>
      <c r="CM205" s="385"/>
      <c r="CN205" s="385"/>
      <c r="CO205" s="513">
        <f t="shared" si="171"/>
        <v>0</v>
      </c>
      <c r="CP205" s="513">
        <f t="shared" si="172"/>
        <v>0</v>
      </c>
      <c r="CQ205" s="513">
        <f t="shared" si="173"/>
        <v>0</v>
      </c>
      <c r="CR205" s="513">
        <f t="shared" si="174"/>
        <v>0</v>
      </c>
      <c r="CS205" s="513">
        <f t="shared" si="175"/>
        <v>0</v>
      </c>
      <c r="CT205" s="513">
        <f t="shared" si="176"/>
        <v>0</v>
      </c>
      <c r="CU205" s="513">
        <f t="shared" si="177"/>
        <v>0</v>
      </c>
      <c r="CV205" s="513">
        <f t="shared" si="178"/>
        <v>0</v>
      </c>
      <c r="CW205" s="513">
        <f t="shared" si="179"/>
        <v>0</v>
      </c>
      <c r="CX205" s="513">
        <f t="shared" si="180"/>
        <v>0</v>
      </c>
      <c r="CY205" s="513">
        <f t="shared" si="181"/>
        <v>0</v>
      </c>
    </row>
    <row r="206" spans="1:103" ht="15" customHeight="1">
      <c r="A206" s="6128"/>
      <c r="B206" s="1438" t="s">
        <v>890</v>
      </c>
      <c r="C206" s="1822">
        <f t="shared" si="153"/>
        <v>0</v>
      </c>
      <c r="D206" s="1823">
        <f t="shared" si="157"/>
        <v>0</v>
      </c>
      <c r="E206" s="1438">
        <f t="shared" si="157"/>
        <v>0</v>
      </c>
      <c r="F206" s="1440"/>
      <c r="G206" s="1452"/>
      <c r="H206" s="1440"/>
      <c r="I206" s="1452"/>
      <c r="J206" s="1440"/>
      <c r="K206" s="1452"/>
      <c r="L206" s="1440"/>
      <c r="M206" s="1452"/>
      <c r="N206" s="1440"/>
      <c r="O206" s="1452"/>
      <c r="P206" s="1440"/>
      <c r="Q206" s="1452"/>
      <c r="R206" s="1440"/>
      <c r="S206" s="1452"/>
      <c r="T206" s="1440"/>
      <c r="U206" s="1452"/>
      <c r="V206" s="1440"/>
      <c r="W206" s="1452"/>
      <c r="X206" s="1440"/>
      <c r="Y206" s="1452"/>
      <c r="Z206" s="1440"/>
      <c r="AA206" s="1452"/>
      <c r="AB206" s="1440"/>
      <c r="AC206" s="1452"/>
      <c r="AD206" s="1440"/>
      <c r="AE206" s="1452"/>
      <c r="AF206" s="1440"/>
      <c r="AG206" s="1452"/>
      <c r="AH206" s="1440"/>
      <c r="AI206" s="1452"/>
      <c r="AJ206" s="1440"/>
      <c r="AK206" s="1452"/>
      <c r="AL206" s="1440"/>
      <c r="AM206" s="1447"/>
      <c r="AN206" s="1445"/>
      <c r="AO206" s="1446"/>
      <c r="AP206" s="1441"/>
      <c r="AQ206" s="1692"/>
      <c r="AR206" s="1485"/>
      <c r="AS206" s="1692"/>
      <c r="AT206" s="1487"/>
      <c r="AU206" s="1824"/>
      <c r="AV206" s="1487"/>
      <c r="AW206" s="1824"/>
      <c r="AX206" s="1692"/>
      <c r="AY206" s="385" t="str">
        <f t="shared" si="159"/>
        <v/>
      </c>
      <c r="CA206" s="1418" t="str">
        <f t="shared" si="160"/>
        <v/>
      </c>
      <c r="CB206" s="1418" t="str">
        <f t="shared" si="161"/>
        <v/>
      </c>
      <c r="CC206" s="1418" t="str">
        <f t="shared" si="162"/>
        <v/>
      </c>
      <c r="CD206" s="1418" t="str">
        <f t="shared" si="163"/>
        <v/>
      </c>
      <c r="CE206" s="1418" t="str">
        <f t="shared" si="164"/>
        <v/>
      </c>
      <c r="CF206" s="1418" t="str">
        <f t="shared" si="165"/>
        <v/>
      </c>
      <c r="CG206" s="1418" t="str">
        <f t="shared" si="166"/>
        <v/>
      </c>
      <c r="CH206" s="1418" t="str">
        <f t="shared" si="167"/>
        <v/>
      </c>
      <c r="CI206" s="1418" t="str">
        <f t="shared" si="168"/>
        <v/>
      </c>
      <c r="CJ206" s="1418" t="str">
        <f t="shared" si="169"/>
        <v/>
      </c>
      <c r="CK206" s="1418" t="str">
        <f t="shared" si="170"/>
        <v/>
      </c>
      <c r="CL206" s="385"/>
      <c r="CM206" s="385"/>
      <c r="CN206" s="385"/>
      <c r="CO206" s="513">
        <f t="shared" si="171"/>
        <v>0</v>
      </c>
      <c r="CP206" s="513">
        <f t="shared" si="172"/>
        <v>0</v>
      </c>
      <c r="CQ206" s="513">
        <f t="shared" si="173"/>
        <v>0</v>
      </c>
      <c r="CR206" s="513">
        <f t="shared" si="174"/>
        <v>0</v>
      </c>
      <c r="CS206" s="513">
        <f t="shared" si="175"/>
        <v>0</v>
      </c>
      <c r="CT206" s="513">
        <f t="shared" si="176"/>
        <v>0</v>
      </c>
      <c r="CU206" s="513">
        <f t="shared" si="177"/>
        <v>0</v>
      </c>
      <c r="CV206" s="513">
        <f t="shared" si="178"/>
        <v>0</v>
      </c>
      <c r="CW206" s="513">
        <f t="shared" si="179"/>
        <v>0</v>
      </c>
      <c r="CX206" s="513">
        <f t="shared" si="180"/>
        <v>0</v>
      </c>
      <c r="CY206" s="513">
        <f t="shared" si="181"/>
        <v>0</v>
      </c>
    </row>
    <row r="207" spans="1:103" ht="15" customHeight="1">
      <c r="A207" s="6128"/>
      <c r="B207" s="1438" t="s">
        <v>891</v>
      </c>
      <c r="C207" s="1822">
        <f t="shared" si="153"/>
        <v>0</v>
      </c>
      <c r="D207" s="1825">
        <f t="shared" si="157"/>
        <v>0</v>
      </c>
      <c r="E207" s="1438">
        <f t="shared" si="157"/>
        <v>0</v>
      </c>
      <c r="F207" s="1485"/>
      <c r="G207" s="1692"/>
      <c r="H207" s="1485"/>
      <c r="I207" s="1692"/>
      <c r="J207" s="1485"/>
      <c r="K207" s="1692"/>
      <c r="L207" s="1485"/>
      <c r="M207" s="1692"/>
      <c r="N207" s="1485"/>
      <c r="O207" s="1692"/>
      <c r="P207" s="1485"/>
      <c r="Q207" s="1692"/>
      <c r="R207" s="1485"/>
      <c r="S207" s="1692"/>
      <c r="T207" s="1485"/>
      <c r="U207" s="1692"/>
      <c r="V207" s="1485"/>
      <c r="W207" s="1692"/>
      <c r="X207" s="1485"/>
      <c r="Y207" s="1692"/>
      <c r="Z207" s="1485"/>
      <c r="AA207" s="1692"/>
      <c r="AB207" s="1485"/>
      <c r="AC207" s="1692"/>
      <c r="AD207" s="1485"/>
      <c r="AE207" s="1692"/>
      <c r="AF207" s="1485"/>
      <c r="AG207" s="1692"/>
      <c r="AH207" s="1485"/>
      <c r="AI207" s="1692"/>
      <c r="AJ207" s="1485"/>
      <c r="AK207" s="1692"/>
      <c r="AL207" s="1485"/>
      <c r="AM207" s="1487"/>
      <c r="AN207" s="1693"/>
      <c r="AO207" s="1488"/>
      <c r="AP207" s="1826"/>
      <c r="AQ207" s="1692"/>
      <c r="AR207" s="1485"/>
      <c r="AS207" s="1692"/>
      <c r="AT207" s="1487"/>
      <c r="AU207" s="1824"/>
      <c r="AV207" s="1487"/>
      <c r="AW207" s="1824"/>
      <c r="AX207" s="1692"/>
      <c r="AY207" s="385" t="str">
        <f t="shared" si="159"/>
        <v/>
      </c>
      <c r="CA207" s="1418" t="str">
        <f t="shared" si="160"/>
        <v/>
      </c>
      <c r="CB207" s="1418" t="str">
        <f t="shared" si="161"/>
        <v/>
      </c>
      <c r="CC207" s="1418" t="str">
        <f t="shared" si="162"/>
        <v/>
      </c>
      <c r="CD207" s="1418" t="str">
        <f t="shared" si="163"/>
        <v/>
      </c>
      <c r="CE207" s="1418" t="str">
        <f t="shared" si="164"/>
        <v/>
      </c>
      <c r="CF207" s="1418" t="str">
        <f t="shared" si="165"/>
        <v/>
      </c>
      <c r="CG207" s="1418" t="str">
        <f t="shared" si="166"/>
        <v/>
      </c>
      <c r="CH207" s="1418" t="str">
        <f t="shared" si="167"/>
        <v/>
      </c>
      <c r="CI207" s="1418" t="str">
        <f t="shared" si="168"/>
        <v/>
      </c>
      <c r="CJ207" s="1418" t="str">
        <f t="shared" si="169"/>
        <v/>
      </c>
      <c r="CK207" s="1418" t="str">
        <f t="shared" si="170"/>
        <v/>
      </c>
      <c r="CL207" s="385"/>
      <c r="CM207" s="385"/>
      <c r="CN207" s="385"/>
      <c r="CO207" s="513">
        <f t="shared" si="171"/>
        <v>0</v>
      </c>
      <c r="CP207" s="513">
        <f t="shared" si="172"/>
        <v>0</v>
      </c>
      <c r="CQ207" s="513">
        <f t="shared" si="173"/>
        <v>0</v>
      </c>
      <c r="CR207" s="513">
        <f t="shared" si="174"/>
        <v>0</v>
      </c>
      <c r="CS207" s="513">
        <f t="shared" si="175"/>
        <v>0</v>
      </c>
      <c r="CT207" s="513">
        <f t="shared" si="176"/>
        <v>0</v>
      </c>
      <c r="CU207" s="513">
        <f t="shared" si="177"/>
        <v>0</v>
      </c>
      <c r="CV207" s="513">
        <f t="shared" si="178"/>
        <v>0</v>
      </c>
      <c r="CW207" s="513">
        <f t="shared" si="179"/>
        <v>0</v>
      </c>
      <c r="CX207" s="513">
        <f t="shared" si="180"/>
        <v>0</v>
      </c>
      <c r="CY207" s="513">
        <f t="shared" si="181"/>
        <v>0</v>
      </c>
    </row>
    <row r="208" spans="1:103" ht="15" customHeight="1">
      <c r="A208" s="6128"/>
      <c r="B208" s="1827" t="s">
        <v>892</v>
      </c>
      <c r="C208" s="1822">
        <f t="shared" si="153"/>
        <v>0</v>
      </c>
      <c r="D208" s="1828"/>
      <c r="E208" s="1438">
        <f>SUM(K208+M208+O208+Q208+S208+U208+W208+Y208+AA208+AC208+AE208+AG208+AI208+AK208+AM208)</f>
        <v>0</v>
      </c>
      <c r="F208" s="1763"/>
      <c r="G208" s="1764"/>
      <c r="H208" s="1763"/>
      <c r="I208" s="1764"/>
      <c r="J208" s="1763"/>
      <c r="K208" s="1452"/>
      <c r="L208" s="1763"/>
      <c r="M208" s="1452"/>
      <c r="N208" s="1763"/>
      <c r="O208" s="1452"/>
      <c r="P208" s="1763"/>
      <c r="Q208" s="1452"/>
      <c r="R208" s="1763"/>
      <c r="S208" s="1452"/>
      <c r="T208" s="1763"/>
      <c r="U208" s="1452"/>
      <c r="V208" s="1763"/>
      <c r="W208" s="1452"/>
      <c r="X208" s="1763"/>
      <c r="Y208" s="1452"/>
      <c r="Z208" s="1763"/>
      <c r="AA208" s="1452"/>
      <c r="AB208" s="1763"/>
      <c r="AC208" s="1452"/>
      <c r="AD208" s="1829"/>
      <c r="AE208" s="1830"/>
      <c r="AF208" s="1829"/>
      <c r="AG208" s="1830"/>
      <c r="AH208" s="1829"/>
      <c r="AI208" s="1830"/>
      <c r="AJ208" s="1829"/>
      <c r="AK208" s="1830"/>
      <c r="AL208" s="1829"/>
      <c r="AM208" s="1831"/>
      <c r="AN208" s="1832"/>
      <c r="AO208" s="1446"/>
      <c r="AP208" s="1833"/>
      <c r="AQ208" s="1452"/>
      <c r="AR208" s="1440"/>
      <c r="AS208" s="1452"/>
      <c r="AT208" s="1763"/>
      <c r="AU208" s="1680"/>
      <c r="AV208" s="1447"/>
      <c r="AW208" s="1834"/>
      <c r="AX208" s="1446"/>
      <c r="AY208" s="385" t="str">
        <f>CA208&amp;CB208&amp;CD208&amp;CE208&amp;CF208&amp;CH208&amp;CI208&amp;CK208</f>
        <v/>
      </c>
      <c r="CA208" s="1812"/>
      <c r="CB208" s="1418" t="str">
        <f>IF(AND(E208&gt;0,AO208=""), "* No olvide digitar la variable Madre de hijo menor de 5 años. Digite Cero si no tiene.",IF(AO208&gt;E208,"  * La variable Madre de hijo menor de 5 años No puede ser mayor al Total Mujeres.",""))</f>
        <v/>
      </c>
      <c r="CC208" s="1812"/>
      <c r="CD208" s="1418" t="str">
        <f t="shared" ref="CD208:CD241" si="184">IF(AND(E208&gt;0,OR(AQ208="")), "* No olvide digitar la variable Pueblos originarios - Mujeres. Digite Cero si no tiene.",IF((AQ208)&gt;E208,"  * La variable Pueblos originarios - Mujeres No puede ser mayor al Total.",""))</f>
        <v/>
      </c>
      <c r="CE208" s="1418" t="str">
        <f t="shared" ref="CE208:CE241" si="185">IF(AND(C208&gt;0,AR208=""), "* No olvide digitar la variable Niños, niñas, adolescentes y jóvenes SENAME. Digite Cero si no tiene.",IF(AR208&gt;C208,"  * La variable Niños, niñas, adolescentes y jóvenes SENAME No puede ser mayor al Total.",""))</f>
        <v/>
      </c>
      <c r="CF208" s="1418" t="str">
        <f t="shared" si="165"/>
        <v/>
      </c>
      <c r="CG208" s="1812"/>
      <c r="CH208" s="1418" t="str">
        <f>IF(AND(E208&gt;0,OR(AU208="")), "* No olvide digitar la variable Migrantes - Mujeres. Digite Cero si no tiene.",IF((AU208)&gt;E208,"  * La variable Migrantes - Mujeres No puede ser mayor al Total.",""))</f>
        <v/>
      </c>
      <c r="CI208" s="1418" t="str">
        <f t="shared" si="168"/>
        <v/>
      </c>
      <c r="CJ208" s="1835"/>
      <c r="CK208" s="1418" t="str">
        <f t="shared" si="170"/>
        <v/>
      </c>
      <c r="CL208" s="385"/>
      <c r="CO208" s="1836"/>
      <c r="CP208" s="513">
        <f t="shared" si="172"/>
        <v>0</v>
      </c>
      <c r="CQ208" s="1836"/>
      <c r="CR208" s="513">
        <f t="shared" si="174"/>
        <v>0</v>
      </c>
      <c r="CS208" s="513">
        <f t="shared" si="175"/>
        <v>0</v>
      </c>
      <c r="CT208" s="513">
        <f t="shared" si="176"/>
        <v>0</v>
      </c>
      <c r="CU208" s="1836"/>
      <c r="CV208" s="513">
        <f t="shared" si="178"/>
        <v>0</v>
      </c>
      <c r="CW208" s="513">
        <f t="shared" si="179"/>
        <v>0</v>
      </c>
      <c r="CX208" s="1836"/>
      <c r="CY208" s="513">
        <f t="shared" si="181"/>
        <v>0</v>
      </c>
    </row>
    <row r="209" spans="1:103" ht="15" customHeight="1">
      <c r="A209" s="6128"/>
      <c r="B209" s="1438" t="s">
        <v>893</v>
      </c>
      <c r="C209" s="1822">
        <f t="shared" si="153"/>
        <v>0</v>
      </c>
      <c r="D209" s="1794">
        <f t="shared" si="157"/>
        <v>0</v>
      </c>
      <c r="E209" s="1438">
        <f t="shared" si="157"/>
        <v>0</v>
      </c>
      <c r="F209" s="1480"/>
      <c r="G209" s="1545"/>
      <c r="H209" s="1480"/>
      <c r="I209" s="1545"/>
      <c r="J209" s="1480"/>
      <c r="K209" s="1545"/>
      <c r="L209" s="1480"/>
      <c r="M209" s="1545"/>
      <c r="N209" s="1480"/>
      <c r="O209" s="1545"/>
      <c r="P209" s="1480"/>
      <c r="Q209" s="1545"/>
      <c r="R209" s="1480"/>
      <c r="S209" s="1545"/>
      <c r="T209" s="1480"/>
      <c r="U209" s="1545"/>
      <c r="V209" s="1480"/>
      <c r="W209" s="1545"/>
      <c r="X209" s="1480"/>
      <c r="Y209" s="1545"/>
      <c r="Z209" s="1480"/>
      <c r="AA209" s="1545"/>
      <c r="AB209" s="1480"/>
      <c r="AC209" s="1545"/>
      <c r="AD209" s="1480"/>
      <c r="AE209" s="1545"/>
      <c r="AF209" s="1480"/>
      <c r="AG209" s="1545"/>
      <c r="AH209" s="1480"/>
      <c r="AI209" s="1545"/>
      <c r="AJ209" s="1480"/>
      <c r="AK209" s="1545"/>
      <c r="AL209" s="1480"/>
      <c r="AM209" s="1482"/>
      <c r="AN209" s="1544"/>
      <c r="AO209" s="1483"/>
      <c r="AP209" s="1796"/>
      <c r="AQ209" s="1545"/>
      <c r="AR209" s="1480"/>
      <c r="AS209" s="1545"/>
      <c r="AT209" s="1482"/>
      <c r="AU209" s="1769"/>
      <c r="AV209" s="1482"/>
      <c r="AW209" s="1769"/>
      <c r="AX209" s="1545"/>
      <c r="AY209" s="385" t="str">
        <f t="shared" si="159"/>
        <v/>
      </c>
      <c r="CA209" s="1418" t="str">
        <f t="shared" si="160"/>
        <v/>
      </c>
      <c r="CB209" s="1418" t="str">
        <f t="shared" ref="CB209:CB217" si="186">IF(AND(E209&gt;0,AO209=""), "* No olvide digitar la variable Madre de hijo menor de 5 años. Digite Cero si no tiene.",IF(AO209&gt;E209,"  * La variable Madre de hijo menor de 5 años No puede ser mayor al Total de Mujeres.",""))</f>
        <v/>
      </c>
      <c r="CC209" s="1418" t="str">
        <f t="shared" si="162"/>
        <v/>
      </c>
      <c r="CD209" s="1418" t="str">
        <f t="shared" ref="CD209:CD217" si="187">IF(AND(E209&gt;0,OR(AQ209="")), "* No olvide digitar la variable Pueblos originarios - Mujeres. Digite Cero si no tiene.",IF((AQ209)&gt;E209,"  * La variable Pueblos originarios - Mujeres No puede ser mayor al Total Mujeres.",""))</f>
        <v/>
      </c>
      <c r="CE209" s="1418" t="str">
        <f t="shared" ref="CE209:CE217" si="188">IF(AND($C209&gt;0,AR209=""), "* No olvide digitar la variable Niños, niñas, adolescentes y jóvenes SENAME. Digite Cero si no tiene.",IF(AR209&gt;$C209,"  * La variable Niños, niñas, adolescentes y jóvenes SENAME No puede ser mayor al Total.",""))</f>
        <v/>
      </c>
      <c r="CF209" s="1418" t="str">
        <f t="shared" si="165"/>
        <v/>
      </c>
      <c r="CG209" s="1418" t="str">
        <f t="shared" si="166"/>
        <v/>
      </c>
      <c r="CH209" s="1418" t="str">
        <f t="shared" ref="CH209:CH217" si="189">IF(AND(E209&gt;0,OR(AU209="")), "* No olvide digitar la variable Migrantes - Mujeres. Digite Cero si no tiene.",IF((AU209)&gt;E209,"  * La variable Migrantes - Mujeres No puede ser mayor al Total Mujeres.",""))</f>
        <v/>
      </c>
      <c r="CI209" s="1418" t="str">
        <f t="shared" si="168"/>
        <v/>
      </c>
      <c r="CJ209" s="1418" t="str">
        <f t="shared" si="169"/>
        <v/>
      </c>
      <c r="CK209" s="1418" t="str">
        <f t="shared" si="170"/>
        <v/>
      </c>
      <c r="CL209" s="385"/>
      <c r="CO209" s="513">
        <f t="shared" si="171"/>
        <v>0</v>
      </c>
      <c r="CP209" s="513">
        <f t="shared" si="172"/>
        <v>0</v>
      </c>
      <c r="CQ209" s="513">
        <f t="shared" si="173"/>
        <v>0</v>
      </c>
      <c r="CR209" s="513">
        <f t="shared" si="174"/>
        <v>0</v>
      </c>
      <c r="CS209" s="513">
        <f t="shared" si="175"/>
        <v>0</v>
      </c>
      <c r="CT209" s="513">
        <f t="shared" si="176"/>
        <v>0</v>
      </c>
      <c r="CU209" s="513">
        <f t="shared" si="177"/>
        <v>0</v>
      </c>
      <c r="CV209" s="513">
        <f t="shared" si="178"/>
        <v>0</v>
      </c>
      <c r="CW209" s="513">
        <f t="shared" si="179"/>
        <v>0</v>
      </c>
      <c r="CX209" s="513">
        <f t="shared" si="180"/>
        <v>0</v>
      </c>
      <c r="CY209" s="513">
        <f t="shared" si="181"/>
        <v>0</v>
      </c>
    </row>
    <row r="210" spans="1:103" ht="15" customHeight="1">
      <c r="A210" s="6128"/>
      <c r="B210" s="1837" t="s">
        <v>894</v>
      </c>
      <c r="C210" s="1822">
        <f t="shared" si="153"/>
        <v>0</v>
      </c>
      <c r="D210" s="1823">
        <f t="shared" si="157"/>
        <v>0</v>
      </c>
      <c r="E210" s="1438">
        <f t="shared" si="157"/>
        <v>0</v>
      </c>
      <c r="F210" s="1440"/>
      <c r="G210" s="1452"/>
      <c r="H210" s="1440"/>
      <c r="I210" s="1452"/>
      <c r="J210" s="1440"/>
      <c r="K210" s="1452"/>
      <c r="L210" s="1440"/>
      <c r="M210" s="1452"/>
      <c r="N210" s="1440"/>
      <c r="O210" s="1452"/>
      <c r="P210" s="1440"/>
      <c r="Q210" s="1452"/>
      <c r="R210" s="1440"/>
      <c r="S210" s="1452"/>
      <c r="T210" s="1440"/>
      <c r="U210" s="1452"/>
      <c r="V210" s="1440"/>
      <c r="W210" s="1452"/>
      <c r="X210" s="1440"/>
      <c r="Y210" s="1452"/>
      <c r="Z210" s="1440"/>
      <c r="AA210" s="1452"/>
      <c r="AB210" s="1440"/>
      <c r="AC210" s="1452"/>
      <c r="AD210" s="1440"/>
      <c r="AE210" s="1452"/>
      <c r="AF210" s="1440"/>
      <c r="AG210" s="1452"/>
      <c r="AH210" s="1440"/>
      <c r="AI210" s="1452"/>
      <c r="AJ210" s="1440"/>
      <c r="AK210" s="1452"/>
      <c r="AL210" s="1440"/>
      <c r="AM210" s="1447"/>
      <c r="AN210" s="1445"/>
      <c r="AO210" s="1446"/>
      <c r="AP210" s="1441"/>
      <c r="AQ210" s="1523"/>
      <c r="AR210" s="1517"/>
      <c r="AS210" s="1523"/>
      <c r="AT210" s="1770"/>
      <c r="AU210" s="1821"/>
      <c r="AV210" s="1770"/>
      <c r="AW210" s="1821"/>
      <c r="AX210" s="1523"/>
      <c r="AY210" s="385" t="str">
        <f t="shared" si="159"/>
        <v/>
      </c>
      <c r="CA210" s="1418" t="str">
        <f t="shared" si="160"/>
        <v/>
      </c>
      <c r="CB210" s="1418" t="str">
        <f t="shared" si="186"/>
        <v/>
      </c>
      <c r="CC210" s="1418" t="str">
        <f t="shared" si="162"/>
        <v/>
      </c>
      <c r="CD210" s="1418" t="str">
        <f t="shared" si="187"/>
        <v/>
      </c>
      <c r="CE210" s="1418" t="str">
        <f t="shared" si="188"/>
        <v/>
      </c>
      <c r="CF210" s="1418" t="str">
        <f t="shared" si="165"/>
        <v/>
      </c>
      <c r="CG210" s="1418" t="str">
        <f t="shared" si="166"/>
        <v/>
      </c>
      <c r="CH210" s="1418" t="str">
        <f t="shared" si="189"/>
        <v/>
      </c>
      <c r="CI210" s="1418" t="str">
        <f t="shared" si="168"/>
        <v/>
      </c>
      <c r="CJ210" s="1418" t="str">
        <f t="shared" si="169"/>
        <v/>
      </c>
      <c r="CK210" s="1418" t="str">
        <f t="shared" si="170"/>
        <v/>
      </c>
      <c r="CL210" s="385"/>
      <c r="CO210" s="513">
        <f t="shared" si="171"/>
        <v>0</v>
      </c>
      <c r="CP210" s="513">
        <f t="shared" si="172"/>
        <v>0</v>
      </c>
      <c r="CQ210" s="513">
        <f t="shared" si="173"/>
        <v>0</v>
      </c>
      <c r="CR210" s="513">
        <f t="shared" si="174"/>
        <v>0</v>
      </c>
      <c r="CS210" s="513">
        <f t="shared" si="175"/>
        <v>0</v>
      </c>
      <c r="CT210" s="513">
        <f t="shared" si="176"/>
        <v>0</v>
      </c>
      <c r="CU210" s="513">
        <f t="shared" si="177"/>
        <v>0</v>
      </c>
      <c r="CV210" s="513">
        <f t="shared" si="178"/>
        <v>0</v>
      </c>
      <c r="CW210" s="513">
        <f t="shared" si="179"/>
        <v>0</v>
      </c>
      <c r="CX210" s="513">
        <f t="shared" si="180"/>
        <v>0</v>
      </c>
      <c r="CY210" s="513">
        <f t="shared" si="181"/>
        <v>0</v>
      </c>
    </row>
    <row r="211" spans="1:103" ht="15" customHeight="1">
      <c r="A211" s="6128"/>
      <c r="B211" s="1838" t="s">
        <v>895</v>
      </c>
      <c r="C211" s="1822">
        <f t="shared" si="153"/>
        <v>0</v>
      </c>
      <c r="D211" s="1823">
        <f t="shared" si="157"/>
        <v>0</v>
      </c>
      <c r="E211" s="1438">
        <f t="shared" si="157"/>
        <v>0</v>
      </c>
      <c r="F211" s="1440"/>
      <c r="G211" s="1452"/>
      <c r="H211" s="1440"/>
      <c r="I211" s="1452"/>
      <c r="J211" s="1440"/>
      <c r="K211" s="1452"/>
      <c r="L211" s="1440"/>
      <c r="M211" s="1452"/>
      <c r="N211" s="1440"/>
      <c r="O211" s="1452"/>
      <c r="P211" s="1440"/>
      <c r="Q211" s="1452"/>
      <c r="R211" s="1440"/>
      <c r="S211" s="1452"/>
      <c r="T211" s="1440"/>
      <c r="U211" s="1452"/>
      <c r="V211" s="1440"/>
      <c r="W211" s="1452"/>
      <c r="X211" s="1440"/>
      <c r="Y211" s="1452"/>
      <c r="Z211" s="1440"/>
      <c r="AA211" s="1452"/>
      <c r="AB211" s="1440"/>
      <c r="AC211" s="1452"/>
      <c r="AD211" s="1440"/>
      <c r="AE211" s="1452"/>
      <c r="AF211" s="1440"/>
      <c r="AG211" s="1452"/>
      <c r="AH211" s="1440"/>
      <c r="AI211" s="1452"/>
      <c r="AJ211" s="1440"/>
      <c r="AK211" s="1452"/>
      <c r="AL211" s="1440"/>
      <c r="AM211" s="1447"/>
      <c r="AN211" s="1445"/>
      <c r="AO211" s="1446"/>
      <c r="AP211" s="1441"/>
      <c r="AQ211" s="1692"/>
      <c r="AR211" s="1485"/>
      <c r="AS211" s="1692"/>
      <c r="AT211" s="1487"/>
      <c r="AU211" s="1824"/>
      <c r="AV211" s="1487"/>
      <c r="AW211" s="1824"/>
      <c r="AX211" s="1692"/>
      <c r="AY211" s="385" t="str">
        <f t="shared" si="159"/>
        <v/>
      </c>
      <c r="CA211" s="1418" t="str">
        <f t="shared" si="160"/>
        <v/>
      </c>
      <c r="CB211" s="1418" t="str">
        <f t="shared" si="186"/>
        <v/>
      </c>
      <c r="CC211" s="1418" t="str">
        <f t="shared" si="162"/>
        <v/>
      </c>
      <c r="CD211" s="1418" t="str">
        <f t="shared" si="187"/>
        <v/>
      </c>
      <c r="CE211" s="1418" t="str">
        <f t="shared" si="188"/>
        <v/>
      </c>
      <c r="CF211" s="1418" t="str">
        <f t="shared" si="165"/>
        <v/>
      </c>
      <c r="CG211" s="1418" t="str">
        <f t="shared" si="166"/>
        <v/>
      </c>
      <c r="CH211" s="1418" t="str">
        <f t="shared" si="189"/>
        <v/>
      </c>
      <c r="CI211" s="1418" t="str">
        <f t="shared" si="168"/>
        <v/>
      </c>
      <c r="CJ211" s="1418" t="str">
        <f t="shared" si="169"/>
        <v/>
      </c>
      <c r="CK211" s="1418" t="str">
        <f t="shared" si="170"/>
        <v/>
      </c>
      <c r="CL211" s="385"/>
      <c r="CO211" s="513">
        <f t="shared" si="171"/>
        <v>0</v>
      </c>
      <c r="CP211" s="513">
        <f t="shared" si="172"/>
        <v>0</v>
      </c>
      <c r="CQ211" s="513">
        <f t="shared" si="173"/>
        <v>0</v>
      </c>
      <c r="CR211" s="513">
        <f t="shared" si="174"/>
        <v>0</v>
      </c>
      <c r="CS211" s="513">
        <f t="shared" si="175"/>
        <v>0</v>
      </c>
      <c r="CT211" s="513">
        <f t="shared" si="176"/>
        <v>0</v>
      </c>
      <c r="CU211" s="513">
        <f t="shared" si="177"/>
        <v>0</v>
      </c>
      <c r="CV211" s="513">
        <f t="shared" si="178"/>
        <v>0</v>
      </c>
      <c r="CW211" s="513">
        <f t="shared" si="179"/>
        <v>0</v>
      </c>
      <c r="CX211" s="513">
        <f t="shared" si="180"/>
        <v>0</v>
      </c>
      <c r="CY211" s="513">
        <f t="shared" si="181"/>
        <v>0</v>
      </c>
    </row>
    <row r="212" spans="1:103" ht="15" customHeight="1">
      <c r="A212" s="6129"/>
      <c r="B212" s="1839" t="s">
        <v>896</v>
      </c>
      <c r="C212" s="1840">
        <f t="shared" si="153"/>
        <v>0</v>
      </c>
      <c r="D212" s="1825">
        <f>SUM(H212+J212+L212+N212+P212+R212+T212+V212+X212+Z212+AB212+AD212+AF212+AH212+AJ212+AL212)</f>
        <v>0</v>
      </c>
      <c r="E212" s="1841">
        <f>SUM(I212+K212+M212+O212+Q212+S212+U212+W212+Y212+AA212+AC212+AE212+AG212+AI212+AK212+AM212)</f>
        <v>0</v>
      </c>
      <c r="F212" s="1842"/>
      <c r="G212" s="1843"/>
      <c r="H212" s="1485"/>
      <c r="I212" s="1692"/>
      <c r="J212" s="1485"/>
      <c r="K212" s="1692"/>
      <c r="L212" s="1485"/>
      <c r="M212" s="1692"/>
      <c r="N212" s="1485"/>
      <c r="O212" s="1692"/>
      <c r="P212" s="1485"/>
      <c r="Q212" s="1692"/>
      <c r="R212" s="1485"/>
      <c r="S212" s="1692"/>
      <c r="T212" s="1485"/>
      <c r="U212" s="1692"/>
      <c r="V212" s="1485"/>
      <c r="W212" s="1692"/>
      <c r="X212" s="1485"/>
      <c r="Y212" s="1692"/>
      <c r="Z212" s="1485"/>
      <c r="AA212" s="1692"/>
      <c r="AB212" s="1485"/>
      <c r="AC212" s="1692"/>
      <c r="AD212" s="1485"/>
      <c r="AE212" s="1692"/>
      <c r="AF212" s="1485"/>
      <c r="AG212" s="1692"/>
      <c r="AH212" s="1485"/>
      <c r="AI212" s="1692"/>
      <c r="AJ212" s="1485"/>
      <c r="AK212" s="1692"/>
      <c r="AL212" s="1485"/>
      <c r="AM212" s="1487"/>
      <c r="AN212" s="1693"/>
      <c r="AO212" s="1488"/>
      <c r="AP212" s="1826"/>
      <c r="AQ212" s="1467"/>
      <c r="AR212" s="1455"/>
      <c r="AS212" s="1467"/>
      <c r="AT212" s="1490"/>
      <c r="AU212" s="1684"/>
      <c r="AV212" s="1490"/>
      <c r="AW212" s="1684"/>
      <c r="AX212" s="1467"/>
      <c r="AY212" s="385" t="str">
        <f t="shared" si="159"/>
        <v/>
      </c>
      <c r="CA212" s="1418" t="str">
        <f t="shared" si="160"/>
        <v/>
      </c>
      <c r="CB212" s="1418" t="str">
        <f t="shared" si="186"/>
        <v/>
      </c>
      <c r="CC212" s="1418" t="str">
        <f t="shared" si="162"/>
        <v/>
      </c>
      <c r="CD212" s="1418" t="str">
        <f t="shared" si="187"/>
        <v/>
      </c>
      <c r="CE212" s="1418" t="str">
        <f t="shared" si="188"/>
        <v/>
      </c>
      <c r="CF212" s="1418" t="str">
        <f t="shared" si="165"/>
        <v/>
      </c>
      <c r="CG212" s="1418" t="str">
        <f t="shared" si="166"/>
        <v/>
      </c>
      <c r="CH212" s="1418" t="str">
        <f t="shared" si="189"/>
        <v/>
      </c>
      <c r="CI212" s="1418" t="str">
        <f t="shared" si="168"/>
        <v/>
      </c>
      <c r="CJ212" s="1418" t="str">
        <f t="shared" si="169"/>
        <v/>
      </c>
      <c r="CK212" s="1418" t="str">
        <f t="shared" si="170"/>
        <v/>
      </c>
      <c r="CL212" s="385"/>
      <c r="CO212" s="513">
        <f t="shared" si="171"/>
        <v>0</v>
      </c>
      <c r="CP212" s="513">
        <f t="shared" si="172"/>
        <v>0</v>
      </c>
      <c r="CQ212" s="513">
        <f t="shared" si="173"/>
        <v>0</v>
      </c>
      <c r="CR212" s="513">
        <f t="shared" si="174"/>
        <v>0</v>
      </c>
      <c r="CS212" s="513">
        <f t="shared" si="175"/>
        <v>0</v>
      </c>
      <c r="CT212" s="513">
        <f t="shared" si="176"/>
        <v>0</v>
      </c>
      <c r="CU212" s="513">
        <f t="shared" si="177"/>
        <v>0</v>
      </c>
      <c r="CV212" s="513">
        <f t="shared" si="178"/>
        <v>0</v>
      </c>
      <c r="CW212" s="513">
        <f t="shared" si="179"/>
        <v>0</v>
      </c>
      <c r="CX212" s="513">
        <f t="shared" si="180"/>
        <v>0</v>
      </c>
      <c r="CY212" s="513">
        <f t="shared" si="181"/>
        <v>0</v>
      </c>
    </row>
    <row r="213" spans="1:103" ht="15" customHeight="1">
      <c r="A213" s="6127" t="s">
        <v>897</v>
      </c>
      <c r="B213" s="1844" t="s">
        <v>898</v>
      </c>
      <c r="C213" s="1791">
        <f t="shared" si="153"/>
        <v>0</v>
      </c>
      <c r="D213" s="1792">
        <f t="shared" si="157"/>
        <v>0</v>
      </c>
      <c r="E213" s="1672">
        <f t="shared" si="157"/>
        <v>0</v>
      </c>
      <c r="F213" s="1424"/>
      <c r="G213" s="1436"/>
      <c r="H213" s="1424"/>
      <c r="I213" s="1436"/>
      <c r="J213" s="1424"/>
      <c r="K213" s="1436"/>
      <c r="L213" s="1424"/>
      <c r="M213" s="1436"/>
      <c r="N213" s="1424"/>
      <c r="O213" s="1436"/>
      <c r="P213" s="1424"/>
      <c r="Q213" s="1436"/>
      <c r="R213" s="1424"/>
      <c r="S213" s="1436"/>
      <c r="T213" s="1424"/>
      <c r="U213" s="1436"/>
      <c r="V213" s="1424"/>
      <c r="W213" s="1436"/>
      <c r="X213" s="1424"/>
      <c r="Y213" s="1436"/>
      <c r="Z213" s="1424"/>
      <c r="AA213" s="1436"/>
      <c r="AB213" s="1424"/>
      <c r="AC213" s="1436"/>
      <c r="AD213" s="1424"/>
      <c r="AE213" s="1436"/>
      <c r="AF213" s="1424"/>
      <c r="AG213" s="1436"/>
      <c r="AH213" s="1424"/>
      <c r="AI213" s="1436"/>
      <c r="AJ213" s="1424"/>
      <c r="AK213" s="1436"/>
      <c r="AL213" s="1424"/>
      <c r="AM213" s="1652"/>
      <c r="AN213" s="1429"/>
      <c r="AO213" s="1430"/>
      <c r="AP213" s="1425"/>
      <c r="AQ213" s="1417"/>
      <c r="AR213" s="1405"/>
      <c r="AS213" s="1417"/>
      <c r="AT213" s="1845"/>
      <c r="AU213" s="1846"/>
      <c r="AV213" s="1845"/>
      <c r="AW213" s="1846"/>
      <c r="AX213" s="1417"/>
      <c r="AY213" s="385" t="str">
        <f t="shared" si="159"/>
        <v/>
      </c>
      <c r="CA213" s="1418" t="str">
        <f t="shared" si="160"/>
        <v/>
      </c>
      <c r="CB213" s="1418" t="str">
        <f t="shared" si="186"/>
        <v/>
      </c>
      <c r="CC213" s="1418" t="str">
        <f t="shared" si="162"/>
        <v/>
      </c>
      <c r="CD213" s="1418" t="str">
        <f t="shared" si="187"/>
        <v/>
      </c>
      <c r="CE213" s="1418" t="str">
        <f t="shared" si="188"/>
        <v/>
      </c>
      <c r="CF213" s="1418" t="str">
        <f t="shared" si="165"/>
        <v/>
      </c>
      <c r="CG213" s="1418" t="str">
        <f t="shared" si="166"/>
        <v/>
      </c>
      <c r="CH213" s="1418" t="str">
        <f t="shared" si="189"/>
        <v/>
      </c>
      <c r="CI213" s="1418" t="str">
        <f t="shared" si="168"/>
        <v/>
      </c>
      <c r="CJ213" s="1418" t="str">
        <f t="shared" si="169"/>
        <v/>
      </c>
      <c r="CK213" s="1418" t="str">
        <f t="shared" si="170"/>
        <v/>
      </c>
      <c r="CL213" s="385"/>
      <c r="CO213" s="513">
        <f t="shared" si="171"/>
        <v>0</v>
      </c>
      <c r="CP213" s="513">
        <f t="shared" si="172"/>
        <v>0</v>
      </c>
      <c r="CQ213" s="513">
        <f t="shared" si="173"/>
        <v>0</v>
      </c>
      <c r="CR213" s="513">
        <f t="shared" si="174"/>
        <v>0</v>
      </c>
      <c r="CS213" s="513">
        <f t="shared" si="175"/>
        <v>0</v>
      </c>
      <c r="CT213" s="513">
        <f t="shared" si="176"/>
        <v>0</v>
      </c>
      <c r="CU213" s="513">
        <f t="shared" si="177"/>
        <v>0</v>
      </c>
      <c r="CV213" s="513">
        <f t="shared" si="178"/>
        <v>0</v>
      </c>
      <c r="CW213" s="513">
        <f t="shared" si="179"/>
        <v>0</v>
      </c>
      <c r="CX213" s="513">
        <f t="shared" si="180"/>
        <v>0</v>
      </c>
      <c r="CY213" s="513">
        <f t="shared" si="181"/>
        <v>0</v>
      </c>
    </row>
    <row r="214" spans="1:103" ht="15" customHeight="1">
      <c r="A214" s="6128"/>
      <c r="B214" s="1438" t="s">
        <v>899</v>
      </c>
      <c r="C214" s="1822">
        <f t="shared" si="153"/>
        <v>0</v>
      </c>
      <c r="D214" s="1823">
        <f t="shared" si="157"/>
        <v>0</v>
      </c>
      <c r="E214" s="1438">
        <f t="shared" si="157"/>
        <v>0</v>
      </c>
      <c r="F214" s="1440"/>
      <c r="G214" s="1452"/>
      <c r="H214" s="1440"/>
      <c r="I214" s="1452"/>
      <c r="J214" s="1440"/>
      <c r="K214" s="1452"/>
      <c r="L214" s="1440"/>
      <c r="M214" s="1452"/>
      <c r="N214" s="1440"/>
      <c r="O214" s="1452"/>
      <c r="P214" s="1440"/>
      <c r="Q214" s="1452"/>
      <c r="R214" s="1440"/>
      <c r="S214" s="1452"/>
      <c r="T214" s="1440"/>
      <c r="U214" s="1452"/>
      <c r="V214" s="1440"/>
      <c r="W214" s="1452"/>
      <c r="X214" s="1440"/>
      <c r="Y214" s="1452"/>
      <c r="Z214" s="1440"/>
      <c r="AA214" s="1452"/>
      <c r="AB214" s="1440"/>
      <c r="AC214" s="1452"/>
      <c r="AD214" s="1440"/>
      <c r="AE214" s="1452"/>
      <c r="AF214" s="1440"/>
      <c r="AG214" s="1452"/>
      <c r="AH214" s="1440"/>
      <c r="AI214" s="1452"/>
      <c r="AJ214" s="1440"/>
      <c r="AK214" s="1452"/>
      <c r="AL214" s="1440"/>
      <c r="AM214" s="1447"/>
      <c r="AN214" s="1445"/>
      <c r="AO214" s="1446"/>
      <c r="AP214" s="1441"/>
      <c r="AQ214" s="1692"/>
      <c r="AR214" s="1485"/>
      <c r="AS214" s="1692"/>
      <c r="AT214" s="1487"/>
      <c r="AU214" s="1824"/>
      <c r="AV214" s="1487"/>
      <c r="AW214" s="1824"/>
      <c r="AX214" s="1692"/>
      <c r="AY214" s="385" t="str">
        <f t="shared" si="159"/>
        <v/>
      </c>
      <c r="CA214" s="1418" t="str">
        <f t="shared" si="160"/>
        <v/>
      </c>
      <c r="CB214" s="1418" t="str">
        <f t="shared" si="186"/>
        <v/>
      </c>
      <c r="CC214" s="1418" t="str">
        <f t="shared" si="162"/>
        <v/>
      </c>
      <c r="CD214" s="1418" t="str">
        <f t="shared" si="187"/>
        <v/>
      </c>
      <c r="CE214" s="1418" t="str">
        <f t="shared" si="188"/>
        <v/>
      </c>
      <c r="CF214" s="1418" t="str">
        <f t="shared" si="165"/>
        <v/>
      </c>
      <c r="CG214" s="1418" t="str">
        <f t="shared" si="166"/>
        <v/>
      </c>
      <c r="CH214" s="1418" t="str">
        <f t="shared" si="189"/>
        <v/>
      </c>
      <c r="CI214" s="1418" t="str">
        <f t="shared" si="168"/>
        <v/>
      </c>
      <c r="CJ214" s="1418" t="str">
        <f t="shared" si="169"/>
        <v/>
      </c>
      <c r="CK214" s="1418" t="str">
        <f t="shared" si="170"/>
        <v/>
      </c>
      <c r="CL214" s="385"/>
      <c r="CO214" s="513">
        <f t="shared" si="171"/>
        <v>0</v>
      </c>
      <c r="CP214" s="513">
        <f t="shared" si="172"/>
        <v>0</v>
      </c>
      <c r="CQ214" s="513">
        <f t="shared" si="173"/>
        <v>0</v>
      </c>
      <c r="CR214" s="513">
        <f t="shared" si="174"/>
        <v>0</v>
      </c>
      <c r="CS214" s="513">
        <f t="shared" si="175"/>
        <v>0</v>
      </c>
      <c r="CT214" s="513">
        <f t="shared" si="176"/>
        <v>0</v>
      </c>
      <c r="CU214" s="513">
        <f t="shared" si="177"/>
        <v>0</v>
      </c>
      <c r="CV214" s="513">
        <f t="shared" si="178"/>
        <v>0</v>
      </c>
      <c r="CW214" s="513">
        <f t="shared" si="179"/>
        <v>0</v>
      </c>
      <c r="CX214" s="513">
        <f t="shared" si="180"/>
        <v>0</v>
      </c>
      <c r="CY214" s="513">
        <f t="shared" si="181"/>
        <v>0</v>
      </c>
    </row>
    <row r="215" spans="1:103" ht="15" customHeight="1">
      <c r="A215" s="6128"/>
      <c r="B215" s="1841" t="s">
        <v>900</v>
      </c>
      <c r="C215" s="1840">
        <f t="shared" si="153"/>
        <v>0</v>
      </c>
      <c r="D215" s="1825">
        <f t="shared" si="157"/>
        <v>0</v>
      </c>
      <c r="E215" s="1841">
        <f t="shared" ref="E215:E216" si="190">SUM(G215+I215+K215+M215+O215+Q215+S215+U215+W215+Y215+AA215+AC215+AE215+AG215+AI215+AK215+AM215)</f>
        <v>0</v>
      </c>
      <c r="F215" s="1485"/>
      <c r="G215" s="1692"/>
      <c r="H215" s="1485"/>
      <c r="I215" s="1692"/>
      <c r="J215" s="1485"/>
      <c r="K215" s="1692"/>
      <c r="L215" s="1485"/>
      <c r="M215" s="1692"/>
      <c r="N215" s="1485"/>
      <c r="O215" s="1692"/>
      <c r="P215" s="1485"/>
      <c r="Q215" s="1692"/>
      <c r="R215" s="1485"/>
      <c r="S215" s="1692"/>
      <c r="T215" s="1485"/>
      <c r="U215" s="1692"/>
      <c r="V215" s="1485"/>
      <c r="W215" s="1692"/>
      <c r="X215" s="1485"/>
      <c r="Y215" s="1692"/>
      <c r="Z215" s="1485"/>
      <c r="AA215" s="1692"/>
      <c r="AB215" s="1485"/>
      <c r="AC215" s="1692"/>
      <c r="AD215" s="1485"/>
      <c r="AE215" s="1692"/>
      <c r="AF215" s="1485"/>
      <c r="AG215" s="1692"/>
      <c r="AH215" s="1485"/>
      <c r="AI215" s="1692"/>
      <c r="AJ215" s="1485"/>
      <c r="AK215" s="1692"/>
      <c r="AL215" s="1485"/>
      <c r="AM215" s="1487"/>
      <c r="AN215" s="1693"/>
      <c r="AO215" s="1488"/>
      <c r="AP215" s="1826"/>
      <c r="AQ215" s="1692"/>
      <c r="AR215" s="1485"/>
      <c r="AS215" s="1692"/>
      <c r="AT215" s="1487"/>
      <c r="AU215" s="1824"/>
      <c r="AV215" s="1487"/>
      <c r="AW215" s="1824"/>
      <c r="AX215" s="1692"/>
      <c r="AY215" s="385" t="str">
        <f t="shared" si="159"/>
        <v/>
      </c>
      <c r="CA215" s="1418" t="str">
        <f t="shared" si="160"/>
        <v/>
      </c>
      <c r="CB215" s="1418" t="str">
        <f t="shared" si="186"/>
        <v/>
      </c>
      <c r="CC215" s="1418" t="str">
        <f t="shared" si="162"/>
        <v/>
      </c>
      <c r="CD215" s="1418" t="str">
        <f t="shared" si="187"/>
        <v/>
      </c>
      <c r="CE215" s="1418" t="str">
        <f t="shared" si="188"/>
        <v/>
      </c>
      <c r="CF215" s="1418" t="str">
        <f t="shared" si="165"/>
        <v/>
      </c>
      <c r="CG215" s="1418" t="str">
        <f t="shared" si="166"/>
        <v/>
      </c>
      <c r="CH215" s="1418" t="str">
        <f t="shared" si="189"/>
        <v/>
      </c>
      <c r="CI215" s="1418" t="str">
        <f t="shared" si="168"/>
        <v/>
      </c>
      <c r="CJ215" s="1418" t="str">
        <f t="shared" si="169"/>
        <v/>
      </c>
      <c r="CK215" s="1418" t="str">
        <f t="shared" si="170"/>
        <v/>
      </c>
      <c r="CL215" s="385"/>
      <c r="CO215" s="513">
        <f t="shared" si="171"/>
        <v>0</v>
      </c>
      <c r="CP215" s="513">
        <f t="shared" si="172"/>
        <v>0</v>
      </c>
      <c r="CQ215" s="513">
        <f t="shared" si="173"/>
        <v>0</v>
      </c>
      <c r="CR215" s="513">
        <f t="shared" si="174"/>
        <v>0</v>
      </c>
      <c r="CS215" s="513">
        <f t="shared" si="175"/>
        <v>0</v>
      </c>
      <c r="CT215" s="513">
        <f t="shared" si="176"/>
        <v>0</v>
      </c>
      <c r="CU215" s="513">
        <f t="shared" si="177"/>
        <v>0</v>
      </c>
      <c r="CV215" s="513">
        <f t="shared" si="178"/>
        <v>0</v>
      </c>
      <c r="CW215" s="513">
        <f t="shared" si="179"/>
        <v>0</v>
      </c>
      <c r="CX215" s="513">
        <f t="shared" si="180"/>
        <v>0</v>
      </c>
      <c r="CY215" s="513">
        <f t="shared" si="181"/>
        <v>0</v>
      </c>
    </row>
    <row r="216" spans="1:103" ht="15" customHeight="1">
      <c r="A216" s="6128"/>
      <c r="B216" s="1841" t="s">
        <v>901</v>
      </c>
      <c r="C216" s="1840">
        <f t="shared" si="153"/>
        <v>0</v>
      </c>
      <c r="D216" s="1825">
        <f t="shared" si="157"/>
        <v>0</v>
      </c>
      <c r="E216" s="1841">
        <f t="shared" si="190"/>
        <v>0</v>
      </c>
      <c r="F216" s="1485"/>
      <c r="G216" s="1692"/>
      <c r="H216" s="1485"/>
      <c r="I216" s="1692"/>
      <c r="J216" s="1485"/>
      <c r="K216" s="1692"/>
      <c r="L216" s="1485"/>
      <c r="M216" s="1692"/>
      <c r="N216" s="1485"/>
      <c r="O216" s="1692"/>
      <c r="P216" s="1485"/>
      <c r="Q216" s="1692"/>
      <c r="R216" s="1485"/>
      <c r="S216" s="1692"/>
      <c r="T216" s="1485"/>
      <c r="U216" s="1692"/>
      <c r="V216" s="1485"/>
      <c r="W216" s="1692"/>
      <c r="X216" s="1485"/>
      <c r="Y216" s="1692"/>
      <c r="Z216" s="1485"/>
      <c r="AA216" s="1692"/>
      <c r="AB216" s="1485"/>
      <c r="AC216" s="1692"/>
      <c r="AD216" s="1485"/>
      <c r="AE216" s="1692"/>
      <c r="AF216" s="1485"/>
      <c r="AG216" s="1692"/>
      <c r="AH216" s="1485"/>
      <c r="AI216" s="1692"/>
      <c r="AJ216" s="1485"/>
      <c r="AK216" s="1692"/>
      <c r="AL216" s="1485"/>
      <c r="AM216" s="1487"/>
      <c r="AN216" s="1693"/>
      <c r="AO216" s="1488"/>
      <c r="AP216" s="1826"/>
      <c r="AQ216" s="1692"/>
      <c r="AR216" s="1485"/>
      <c r="AS216" s="1692"/>
      <c r="AT216" s="1487"/>
      <c r="AU216" s="1824"/>
      <c r="AV216" s="1487"/>
      <c r="AW216" s="1824"/>
      <c r="AX216" s="1692"/>
      <c r="AY216" s="385" t="str">
        <f t="shared" si="159"/>
        <v/>
      </c>
      <c r="CA216" s="1418" t="str">
        <f t="shared" si="160"/>
        <v/>
      </c>
      <c r="CB216" s="1418" t="str">
        <f t="shared" si="186"/>
        <v/>
      </c>
      <c r="CC216" s="1418" t="str">
        <f t="shared" si="162"/>
        <v/>
      </c>
      <c r="CD216" s="1418" t="str">
        <f t="shared" si="187"/>
        <v/>
      </c>
      <c r="CE216" s="1418" t="str">
        <f t="shared" si="188"/>
        <v/>
      </c>
      <c r="CF216" s="1418" t="str">
        <f t="shared" si="165"/>
        <v/>
      </c>
      <c r="CG216" s="1418" t="str">
        <f t="shared" si="166"/>
        <v/>
      </c>
      <c r="CH216" s="1418" t="str">
        <f t="shared" si="189"/>
        <v/>
      </c>
      <c r="CI216" s="1418" t="str">
        <f t="shared" si="168"/>
        <v/>
      </c>
      <c r="CJ216" s="1418" t="str">
        <f t="shared" si="169"/>
        <v/>
      </c>
      <c r="CK216" s="1418" t="str">
        <f t="shared" si="170"/>
        <v/>
      </c>
      <c r="CL216" s="385"/>
      <c r="CO216" s="513">
        <f t="shared" si="171"/>
        <v>0</v>
      </c>
      <c r="CP216" s="513">
        <f t="shared" si="172"/>
        <v>0</v>
      </c>
      <c r="CQ216" s="513">
        <f t="shared" si="173"/>
        <v>0</v>
      </c>
      <c r="CR216" s="513">
        <f t="shared" si="174"/>
        <v>0</v>
      </c>
      <c r="CS216" s="513">
        <f t="shared" si="175"/>
        <v>0</v>
      </c>
      <c r="CT216" s="513">
        <f t="shared" si="176"/>
        <v>0</v>
      </c>
      <c r="CU216" s="513">
        <f t="shared" si="177"/>
        <v>0</v>
      </c>
      <c r="CV216" s="513">
        <f t="shared" si="178"/>
        <v>0</v>
      </c>
      <c r="CW216" s="513">
        <f t="shared" si="179"/>
        <v>0</v>
      </c>
      <c r="CX216" s="513">
        <f t="shared" si="180"/>
        <v>0</v>
      </c>
      <c r="CY216" s="513">
        <f t="shared" si="181"/>
        <v>0</v>
      </c>
    </row>
    <row r="217" spans="1:103" ht="15" customHeight="1">
      <c r="A217" s="6129"/>
      <c r="B217" s="1453" t="s">
        <v>902</v>
      </c>
      <c r="C217" s="1847">
        <f t="shared" si="153"/>
        <v>0</v>
      </c>
      <c r="D217" s="1848">
        <f t="shared" si="157"/>
        <v>0</v>
      </c>
      <c r="E217" s="1453">
        <f t="shared" si="157"/>
        <v>0</v>
      </c>
      <c r="F217" s="1455"/>
      <c r="G217" s="1467"/>
      <c r="H217" s="1455"/>
      <c r="I217" s="1467"/>
      <c r="J217" s="1455"/>
      <c r="K217" s="1467"/>
      <c r="L217" s="1455"/>
      <c r="M217" s="1467"/>
      <c r="N217" s="1455"/>
      <c r="O217" s="1467"/>
      <c r="P217" s="1455"/>
      <c r="Q217" s="1467"/>
      <c r="R217" s="1455"/>
      <c r="S217" s="1467"/>
      <c r="T217" s="1455"/>
      <c r="U217" s="1467"/>
      <c r="V217" s="1455"/>
      <c r="W217" s="1467"/>
      <c r="X217" s="1455"/>
      <c r="Y217" s="1467"/>
      <c r="Z217" s="1455"/>
      <c r="AA217" s="1467"/>
      <c r="AB217" s="1455"/>
      <c r="AC217" s="1467"/>
      <c r="AD217" s="1455"/>
      <c r="AE217" s="1467"/>
      <c r="AF217" s="1455"/>
      <c r="AG217" s="1467"/>
      <c r="AH217" s="1455"/>
      <c r="AI217" s="1467"/>
      <c r="AJ217" s="1455"/>
      <c r="AK217" s="1467"/>
      <c r="AL217" s="1455"/>
      <c r="AM217" s="1490"/>
      <c r="AN217" s="1460"/>
      <c r="AO217" s="1461"/>
      <c r="AP217" s="1456"/>
      <c r="AQ217" s="1467"/>
      <c r="AR217" s="1455"/>
      <c r="AS217" s="1467"/>
      <c r="AT217" s="1490"/>
      <c r="AU217" s="1684"/>
      <c r="AV217" s="1490"/>
      <c r="AW217" s="1684"/>
      <c r="AX217" s="1467"/>
      <c r="AY217" s="385" t="str">
        <f t="shared" si="159"/>
        <v/>
      </c>
      <c r="CA217" s="1418" t="str">
        <f t="shared" si="160"/>
        <v/>
      </c>
      <c r="CB217" s="1418" t="str">
        <f t="shared" si="186"/>
        <v/>
      </c>
      <c r="CC217" s="1418" t="str">
        <f t="shared" si="162"/>
        <v/>
      </c>
      <c r="CD217" s="1418" t="str">
        <f t="shared" si="187"/>
        <v/>
      </c>
      <c r="CE217" s="1418" t="str">
        <f t="shared" si="188"/>
        <v/>
      </c>
      <c r="CF217" s="1418" t="str">
        <f t="shared" si="165"/>
        <v/>
      </c>
      <c r="CG217" s="1418" t="str">
        <f t="shared" si="166"/>
        <v/>
      </c>
      <c r="CH217" s="1418" t="str">
        <f t="shared" si="189"/>
        <v/>
      </c>
      <c r="CI217" s="1418" t="str">
        <f t="shared" si="168"/>
        <v/>
      </c>
      <c r="CJ217" s="1418" t="str">
        <f t="shared" si="169"/>
        <v/>
      </c>
      <c r="CK217" s="1418" t="str">
        <f t="shared" si="170"/>
        <v/>
      </c>
      <c r="CL217" s="385"/>
      <c r="CO217" s="513">
        <f t="shared" si="171"/>
        <v>0</v>
      </c>
      <c r="CP217" s="513">
        <f t="shared" si="172"/>
        <v>0</v>
      </c>
      <c r="CQ217" s="513">
        <f t="shared" si="173"/>
        <v>0</v>
      </c>
      <c r="CR217" s="513">
        <f t="shared" si="174"/>
        <v>0</v>
      </c>
      <c r="CS217" s="513">
        <f t="shared" si="175"/>
        <v>0</v>
      </c>
      <c r="CT217" s="513">
        <f t="shared" si="176"/>
        <v>0</v>
      </c>
      <c r="CU217" s="513">
        <f t="shared" si="177"/>
        <v>0</v>
      </c>
      <c r="CV217" s="513">
        <f t="shared" si="178"/>
        <v>0</v>
      </c>
      <c r="CW217" s="513">
        <f t="shared" si="179"/>
        <v>0</v>
      </c>
      <c r="CX217" s="513">
        <f t="shared" si="180"/>
        <v>0</v>
      </c>
      <c r="CY217" s="513">
        <f t="shared" si="181"/>
        <v>0</v>
      </c>
    </row>
    <row r="218" spans="1:103" ht="15" customHeight="1">
      <c r="A218" s="6127" t="s">
        <v>903</v>
      </c>
      <c r="B218" s="1672" t="s">
        <v>904</v>
      </c>
      <c r="C218" s="1791">
        <f t="shared" si="153"/>
        <v>0</v>
      </c>
      <c r="D218" s="1792">
        <f t="shared" ref="D218:D219" si="191">SUM(F218+H218+J218+L218+N218)</f>
        <v>0</v>
      </c>
      <c r="E218" s="1672">
        <f t="shared" ref="D218:E221" si="192">SUM(G218+I218+K218+M218+O218)</f>
        <v>0</v>
      </c>
      <c r="F218" s="1424"/>
      <c r="G218" s="1436"/>
      <c r="H218" s="1424"/>
      <c r="I218" s="1436"/>
      <c r="J218" s="1424"/>
      <c r="K218" s="1436"/>
      <c r="L218" s="1424"/>
      <c r="M218" s="1436"/>
      <c r="N218" s="1424"/>
      <c r="O218" s="1436"/>
      <c r="P218" s="1849"/>
      <c r="Q218" s="1850"/>
      <c r="R218" s="1850"/>
      <c r="S218" s="1850"/>
      <c r="T218" s="1850"/>
      <c r="U218" s="1850"/>
      <c r="V218" s="1850"/>
      <c r="W218" s="1850"/>
      <c r="X218" s="1850"/>
      <c r="Y218" s="1850"/>
      <c r="Z218" s="1850"/>
      <c r="AA218" s="1850"/>
      <c r="AB218" s="1850"/>
      <c r="AC218" s="1850"/>
      <c r="AD218" s="1850"/>
      <c r="AE218" s="1850"/>
      <c r="AF218" s="1850"/>
      <c r="AG218" s="1850"/>
      <c r="AH218" s="1850"/>
      <c r="AI218" s="1850"/>
      <c r="AJ218" s="1850"/>
      <c r="AK218" s="1850"/>
      <c r="AL218" s="1850"/>
      <c r="AM218" s="1851"/>
      <c r="AN218" s="1429"/>
      <c r="AO218" s="1852"/>
      <c r="AP218" s="1425"/>
      <c r="AQ218" s="1417"/>
      <c r="AR218" s="1405"/>
      <c r="AS218" s="1417"/>
      <c r="AT218" s="1845"/>
      <c r="AU218" s="1846"/>
      <c r="AV218" s="1845"/>
      <c r="AW218" s="1846"/>
      <c r="AX218" s="1417"/>
      <c r="AY218" s="385" t="str">
        <f t="shared" ref="AY218:AY221" si="193">CA218&amp;CC218&amp;CD218&amp;CE218&amp;CF218&amp;CG218&amp;CH218&amp;CI218&amp;CJ218&amp;CK218</f>
        <v/>
      </c>
      <c r="CA218" s="1418" t="str">
        <f t="shared" ref="CA218:CA241" si="194">IF(AND(E218&gt;0,AN218=""), "* No olvide digitar la variable Gestantes. Digite Cero si no tiene.",IF(AN218&gt;E218,"  * La  variable Gestantes No puede ser mayor al Total Mujeres.",""))</f>
        <v/>
      </c>
      <c r="CB218" s="1853"/>
      <c r="CC218" s="1418" t="str">
        <f t="shared" ref="CC218:CC241" si="195">IF(AND(D218&gt;0,OR(AP218="")), "* No olvide digitar la variable Pueblos originarios - Hombres. Digite Cero si no tiene.",IF((AP218)&gt;D218,"  * La variable Pueblos originarios - Hombres No puede ser mayor al Total.",""))</f>
        <v/>
      </c>
      <c r="CD218" s="1418" t="str">
        <f t="shared" si="184"/>
        <v/>
      </c>
      <c r="CE218" s="1418" t="str">
        <f t="shared" si="185"/>
        <v/>
      </c>
      <c r="CF218" s="1418" t="str">
        <f t="shared" si="165"/>
        <v/>
      </c>
      <c r="CG218" s="1418" t="str">
        <f t="shared" si="166"/>
        <v/>
      </c>
      <c r="CH218" s="1418" t="str">
        <f t="shared" ref="CH218:CH241" si="196">IF(AND(E218&gt;0,OR(AU218="")), "* No olvide digitar la variable Migrantes - Mujeres. Digite Cero si no tiene.",IF((AU218)&gt;E218,"  * La variable Migrantes - Mujeres No puede ser mayor al Total.",""))</f>
        <v/>
      </c>
      <c r="CI218" s="1418" t="str">
        <f t="shared" si="168"/>
        <v/>
      </c>
      <c r="CJ218" s="1418" t="str">
        <f t="shared" si="169"/>
        <v/>
      </c>
      <c r="CK218" s="1418" t="str">
        <f t="shared" si="170"/>
        <v/>
      </c>
      <c r="CL218" s="385"/>
      <c r="CO218" s="513">
        <f t="shared" si="171"/>
        <v>0</v>
      </c>
      <c r="CP218" s="1836"/>
      <c r="CQ218" s="513">
        <f t="shared" si="173"/>
        <v>0</v>
      </c>
      <c r="CR218" s="513">
        <f t="shared" si="174"/>
        <v>0</v>
      </c>
      <c r="CS218" s="513">
        <f t="shared" si="175"/>
        <v>0</v>
      </c>
      <c r="CT218" s="513">
        <f t="shared" si="176"/>
        <v>0</v>
      </c>
      <c r="CU218" s="513">
        <f t="shared" si="177"/>
        <v>0</v>
      </c>
      <c r="CV218" s="513">
        <f t="shared" si="178"/>
        <v>0</v>
      </c>
      <c r="CW218" s="513">
        <f t="shared" si="179"/>
        <v>0</v>
      </c>
      <c r="CX218" s="513">
        <f t="shared" si="180"/>
        <v>0</v>
      </c>
      <c r="CY218" s="513">
        <f t="shared" si="181"/>
        <v>0</v>
      </c>
    </row>
    <row r="219" spans="1:103" ht="23.25" customHeight="1">
      <c r="A219" s="6128"/>
      <c r="B219" s="1438" t="s">
        <v>905</v>
      </c>
      <c r="C219" s="1822">
        <f t="shared" si="153"/>
        <v>0</v>
      </c>
      <c r="D219" s="1823">
        <f t="shared" si="191"/>
        <v>0</v>
      </c>
      <c r="E219" s="1438">
        <f t="shared" si="192"/>
        <v>0</v>
      </c>
      <c r="F219" s="1440"/>
      <c r="G219" s="1452"/>
      <c r="H219" s="1440"/>
      <c r="I219" s="1452"/>
      <c r="J219" s="1440"/>
      <c r="K219" s="1452"/>
      <c r="L219" s="1440"/>
      <c r="M219" s="1452"/>
      <c r="N219" s="1440"/>
      <c r="O219" s="1452"/>
      <c r="P219" s="1854"/>
      <c r="Q219" s="1855"/>
      <c r="R219" s="1855"/>
      <c r="S219" s="1855"/>
      <c r="T219" s="1855"/>
      <c r="U219" s="1855"/>
      <c r="V219" s="1855"/>
      <c r="W219" s="1855"/>
      <c r="X219" s="1855"/>
      <c r="Y219" s="1855"/>
      <c r="Z219" s="1855"/>
      <c r="AA219" s="1855"/>
      <c r="AB219" s="1855"/>
      <c r="AC219" s="1855"/>
      <c r="AD219" s="1855"/>
      <c r="AE219" s="1855"/>
      <c r="AF219" s="1855"/>
      <c r="AG219" s="1855"/>
      <c r="AH219" s="1855"/>
      <c r="AI219" s="1855"/>
      <c r="AJ219" s="1855"/>
      <c r="AK219" s="1855"/>
      <c r="AL219" s="1855"/>
      <c r="AM219" s="1856"/>
      <c r="AN219" s="1445"/>
      <c r="AO219" s="1857"/>
      <c r="AP219" s="1441"/>
      <c r="AQ219" s="1692"/>
      <c r="AR219" s="1485"/>
      <c r="AS219" s="1692"/>
      <c r="AT219" s="1487"/>
      <c r="AU219" s="1824"/>
      <c r="AV219" s="1487"/>
      <c r="AW219" s="1824"/>
      <c r="AX219" s="1692"/>
      <c r="AY219" s="385" t="str">
        <f t="shared" si="193"/>
        <v/>
      </c>
      <c r="CA219" s="1418" t="str">
        <f t="shared" si="194"/>
        <v/>
      </c>
      <c r="CB219" s="1853"/>
      <c r="CC219" s="1418" t="str">
        <f t="shared" si="195"/>
        <v/>
      </c>
      <c r="CD219" s="1418" t="str">
        <f t="shared" si="184"/>
        <v/>
      </c>
      <c r="CE219" s="1418" t="str">
        <f t="shared" si="185"/>
        <v/>
      </c>
      <c r="CF219" s="1418" t="str">
        <f t="shared" si="165"/>
        <v/>
      </c>
      <c r="CG219" s="1418" t="str">
        <f t="shared" si="166"/>
        <v/>
      </c>
      <c r="CH219" s="1418" t="str">
        <f t="shared" si="196"/>
        <v/>
      </c>
      <c r="CI219" s="1418" t="str">
        <f t="shared" si="168"/>
        <v/>
      </c>
      <c r="CJ219" s="1418" t="str">
        <f t="shared" si="169"/>
        <v/>
      </c>
      <c r="CK219" s="1418" t="str">
        <f t="shared" si="170"/>
        <v/>
      </c>
      <c r="CL219" s="385"/>
      <c r="CO219" s="513">
        <f t="shared" si="171"/>
        <v>0</v>
      </c>
      <c r="CP219" s="1836"/>
      <c r="CQ219" s="513">
        <f t="shared" si="173"/>
        <v>0</v>
      </c>
      <c r="CR219" s="513">
        <f t="shared" si="174"/>
        <v>0</v>
      </c>
      <c r="CS219" s="513">
        <f t="shared" si="175"/>
        <v>0</v>
      </c>
      <c r="CT219" s="513">
        <f t="shared" si="176"/>
        <v>0</v>
      </c>
      <c r="CU219" s="513">
        <f t="shared" si="177"/>
        <v>0</v>
      </c>
      <c r="CV219" s="513">
        <f t="shared" si="178"/>
        <v>0</v>
      </c>
      <c r="CW219" s="513">
        <f t="shared" si="179"/>
        <v>0</v>
      </c>
      <c r="CX219" s="513">
        <f t="shared" si="180"/>
        <v>0</v>
      </c>
      <c r="CY219" s="513">
        <f t="shared" si="181"/>
        <v>0</v>
      </c>
    </row>
    <row r="220" spans="1:103" ht="23.25" customHeight="1">
      <c r="A220" s="6128"/>
      <c r="B220" s="1438" t="s">
        <v>906</v>
      </c>
      <c r="C220" s="1822">
        <f t="shared" si="153"/>
        <v>0</v>
      </c>
      <c r="D220" s="1823">
        <f t="shared" si="192"/>
        <v>0</v>
      </c>
      <c r="E220" s="1438">
        <f t="shared" si="192"/>
        <v>0</v>
      </c>
      <c r="F220" s="1440"/>
      <c r="G220" s="1452"/>
      <c r="H220" s="1440"/>
      <c r="I220" s="1452"/>
      <c r="J220" s="1440"/>
      <c r="K220" s="1452"/>
      <c r="L220" s="1440"/>
      <c r="M220" s="1452"/>
      <c r="N220" s="1440"/>
      <c r="O220" s="1452"/>
      <c r="P220" s="1854"/>
      <c r="Q220" s="1855"/>
      <c r="R220" s="1855"/>
      <c r="S220" s="1855"/>
      <c r="T220" s="1855"/>
      <c r="U220" s="1855"/>
      <c r="V220" s="1855"/>
      <c r="W220" s="1855"/>
      <c r="X220" s="1855"/>
      <c r="Y220" s="1855"/>
      <c r="Z220" s="1855"/>
      <c r="AA220" s="1855"/>
      <c r="AB220" s="1855"/>
      <c r="AC220" s="1855"/>
      <c r="AD220" s="1855"/>
      <c r="AE220" s="1855"/>
      <c r="AF220" s="1855"/>
      <c r="AG220" s="1855"/>
      <c r="AH220" s="1855"/>
      <c r="AI220" s="1855"/>
      <c r="AJ220" s="1855"/>
      <c r="AK220" s="1855"/>
      <c r="AL220" s="1855"/>
      <c r="AM220" s="1856"/>
      <c r="AN220" s="1445"/>
      <c r="AO220" s="1857"/>
      <c r="AP220" s="1441"/>
      <c r="AQ220" s="1692"/>
      <c r="AR220" s="1485"/>
      <c r="AS220" s="1692"/>
      <c r="AT220" s="1487"/>
      <c r="AU220" s="1824"/>
      <c r="AV220" s="1487"/>
      <c r="AW220" s="1824"/>
      <c r="AX220" s="1692"/>
      <c r="AY220" s="385" t="str">
        <f t="shared" si="193"/>
        <v/>
      </c>
      <c r="CA220" s="1418" t="str">
        <f t="shared" si="194"/>
        <v/>
      </c>
      <c r="CB220" s="1853"/>
      <c r="CC220" s="1418" t="str">
        <f t="shared" si="195"/>
        <v/>
      </c>
      <c r="CD220" s="1418" t="str">
        <f t="shared" si="184"/>
        <v/>
      </c>
      <c r="CE220" s="1418" t="str">
        <f t="shared" si="185"/>
        <v/>
      </c>
      <c r="CF220" s="1418" t="str">
        <f t="shared" si="165"/>
        <v/>
      </c>
      <c r="CG220" s="1418" t="str">
        <f t="shared" si="166"/>
        <v/>
      </c>
      <c r="CH220" s="1418" t="str">
        <f t="shared" si="196"/>
        <v/>
      </c>
      <c r="CI220" s="1418" t="str">
        <f t="shared" si="168"/>
        <v/>
      </c>
      <c r="CJ220" s="1418" t="str">
        <f t="shared" si="169"/>
        <v/>
      </c>
      <c r="CK220" s="1418" t="str">
        <f t="shared" si="170"/>
        <v/>
      </c>
      <c r="CL220" s="385"/>
      <c r="CO220" s="513">
        <f t="shared" si="171"/>
        <v>0</v>
      </c>
      <c r="CP220" s="1836"/>
      <c r="CQ220" s="513">
        <f t="shared" si="173"/>
        <v>0</v>
      </c>
      <c r="CR220" s="513">
        <f t="shared" si="174"/>
        <v>0</v>
      </c>
      <c r="CS220" s="513">
        <f t="shared" si="175"/>
        <v>0</v>
      </c>
      <c r="CT220" s="513">
        <f t="shared" si="176"/>
        <v>0</v>
      </c>
      <c r="CU220" s="513">
        <f t="shared" si="177"/>
        <v>0</v>
      </c>
      <c r="CV220" s="513">
        <f t="shared" si="178"/>
        <v>0</v>
      </c>
      <c r="CW220" s="513">
        <f t="shared" si="179"/>
        <v>0</v>
      </c>
      <c r="CX220" s="513">
        <f t="shared" si="180"/>
        <v>0</v>
      </c>
      <c r="CY220" s="513">
        <f t="shared" si="181"/>
        <v>0</v>
      </c>
    </row>
    <row r="221" spans="1:103" ht="36" customHeight="1">
      <c r="A221" s="6129"/>
      <c r="B221" s="1453" t="s">
        <v>907</v>
      </c>
      <c r="C221" s="1847">
        <f t="shared" si="153"/>
        <v>0</v>
      </c>
      <c r="D221" s="1848">
        <f t="shared" si="192"/>
        <v>0</v>
      </c>
      <c r="E221" s="1453">
        <f t="shared" si="192"/>
        <v>0</v>
      </c>
      <c r="F221" s="1455"/>
      <c r="G221" s="1467"/>
      <c r="H221" s="1455"/>
      <c r="I221" s="1467"/>
      <c r="J221" s="1455"/>
      <c r="K221" s="1467"/>
      <c r="L221" s="1455"/>
      <c r="M221" s="1467"/>
      <c r="N221" s="1455"/>
      <c r="O221" s="1467"/>
      <c r="P221" s="1858"/>
      <c r="Q221" s="1859"/>
      <c r="R221" s="1859"/>
      <c r="S221" s="1859"/>
      <c r="T221" s="1859"/>
      <c r="U221" s="1859"/>
      <c r="V221" s="1859"/>
      <c r="W221" s="1859"/>
      <c r="X221" s="1859"/>
      <c r="Y221" s="1859"/>
      <c r="Z221" s="1859"/>
      <c r="AA221" s="1859"/>
      <c r="AB221" s="1859"/>
      <c r="AC221" s="1859"/>
      <c r="AD221" s="1859"/>
      <c r="AE221" s="1859"/>
      <c r="AF221" s="1859"/>
      <c r="AG221" s="1859"/>
      <c r="AH221" s="1859"/>
      <c r="AI221" s="1859"/>
      <c r="AJ221" s="1859"/>
      <c r="AK221" s="1859"/>
      <c r="AL221" s="1859"/>
      <c r="AM221" s="1860"/>
      <c r="AN221" s="1460"/>
      <c r="AO221" s="1861"/>
      <c r="AP221" s="1456"/>
      <c r="AQ221" s="1467"/>
      <c r="AR221" s="1455"/>
      <c r="AS221" s="1467"/>
      <c r="AT221" s="1490"/>
      <c r="AU221" s="1684"/>
      <c r="AV221" s="1490"/>
      <c r="AW221" s="1684"/>
      <c r="AX221" s="1467"/>
      <c r="AY221" s="385" t="str">
        <f t="shared" si="193"/>
        <v/>
      </c>
      <c r="CA221" s="1418" t="str">
        <f t="shared" si="194"/>
        <v/>
      </c>
      <c r="CB221" s="1853"/>
      <c r="CC221" s="1418" t="str">
        <f t="shared" si="195"/>
        <v/>
      </c>
      <c r="CD221" s="1418" t="str">
        <f t="shared" si="184"/>
        <v/>
      </c>
      <c r="CE221" s="1418" t="str">
        <f t="shared" si="185"/>
        <v/>
      </c>
      <c r="CF221" s="1418" t="str">
        <f t="shared" si="165"/>
        <v/>
      </c>
      <c r="CG221" s="1418" t="str">
        <f t="shared" si="166"/>
        <v/>
      </c>
      <c r="CH221" s="1418" t="str">
        <f t="shared" si="196"/>
        <v/>
      </c>
      <c r="CI221" s="1418" t="str">
        <f t="shared" si="168"/>
        <v/>
      </c>
      <c r="CJ221" s="1418" t="str">
        <f t="shared" si="169"/>
        <v/>
      </c>
      <c r="CK221" s="1418" t="str">
        <f t="shared" si="170"/>
        <v/>
      </c>
      <c r="CL221" s="385"/>
      <c r="CO221" s="513">
        <f t="shared" si="171"/>
        <v>0</v>
      </c>
      <c r="CP221" s="1836"/>
      <c r="CQ221" s="513">
        <f t="shared" si="173"/>
        <v>0</v>
      </c>
      <c r="CR221" s="513">
        <f t="shared" si="174"/>
        <v>0</v>
      </c>
      <c r="CS221" s="513">
        <f t="shared" si="175"/>
        <v>0</v>
      </c>
      <c r="CT221" s="513">
        <f t="shared" si="176"/>
        <v>0</v>
      </c>
      <c r="CU221" s="513">
        <f t="shared" si="177"/>
        <v>0</v>
      </c>
      <c r="CV221" s="513">
        <f t="shared" si="178"/>
        <v>0</v>
      </c>
      <c r="CW221" s="513">
        <f t="shared" si="179"/>
        <v>0</v>
      </c>
      <c r="CX221" s="513">
        <f t="shared" si="180"/>
        <v>0</v>
      </c>
      <c r="CY221" s="513">
        <f t="shared" si="181"/>
        <v>0</v>
      </c>
    </row>
    <row r="222" spans="1:103" ht="15" customHeight="1">
      <c r="A222" s="6127" t="s">
        <v>908</v>
      </c>
      <c r="B222" s="1862" t="s">
        <v>909</v>
      </c>
      <c r="C222" s="1793">
        <f t="shared" si="153"/>
        <v>0</v>
      </c>
      <c r="D222" s="1794">
        <f t="shared" ref="D222:E269" si="197">SUM(F222+H222+J222+L222+N222+P222+R222+T222+V222+X222+Z222+AB222+AD222+AF222+AH222+AJ222+AL222)</f>
        <v>0</v>
      </c>
      <c r="E222" s="1795">
        <f t="shared" si="197"/>
        <v>0</v>
      </c>
      <c r="F222" s="1480"/>
      <c r="G222" s="1545"/>
      <c r="H222" s="1480"/>
      <c r="I222" s="1545"/>
      <c r="J222" s="1480"/>
      <c r="K222" s="1545"/>
      <c r="L222" s="1480"/>
      <c r="M222" s="1545"/>
      <c r="N222" s="1480"/>
      <c r="O222" s="1545"/>
      <c r="P222" s="1480"/>
      <c r="Q222" s="1545"/>
      <c r="R222" s="1480"/>
      <c r="S222" s="1545"/>
      <c r="T222" s="1480"/>
      <c r="U222" s="1545"/>
      <c r="V222" s="1480"/>
      <c r="W222" s="1545"/>
      <c r="X222" s="1480"/>
      <c r="Y222" s="1545"/>
      <c r="Z222" s="1480"/>
      <c r="AA222" s="1545"/>
      <c r="AB222" s="1480"/>
      <c r="AC222" s="1545"/>
      <c r="AD222" s="1480"/>
      <c r="AE222" s="1545"/>
      <c r="AF222" s="1480"/>
      <c r="AG222" s="1545"/>
      <c r="AH222" s="1480"/>
      <c r="AI222" s="1545"/>
      <c r="AJ222" s="1480"/>
      <c r="AK222" s="1545"/>
      <c r="AL222" s="1480"/>
      <c r="AM222" s="1481"/>
      <c r="AN222" s="1544"/>
      <c r="AO222" s="1430"/>
      <c r="AP222" s="1425"/>
      <c r="AQ222" s="1545"/>
      <c r="AR222" s="1480"/>
      <c r="AS222" s="1545"/>
      <c r="AT222" s="1482"/>
      <c r="AU222" s="1769"/>
      <c r="AV222" s="1768"/>
      <c r="AW222" s="1769"/>
      <c r="AX222" s="1545"/>
      <c r="AY222" s="385" t="str">
        <f t="shared" si="159"/>
        <v/>
      </c>
      <c r="CA222" s="1418" t="str">
        <f t="shared" si="194"/>
        <v/>
      </c>
      <c r="CB222" s="1418" t="str">
        <f t="shared" ref="CB222:CB241" si="198">IF(AND(E222&gt;0,AO222=""), "* No olvide digitar la variable Madre de hijo menor de 5 años. Digite Cero si no tiene.",IF(AO222&gt;E222,"  * La variable Madre de hijo menor de 5 años No puede ser mayor al Total Mujeres.",""))</f>
        <v/>
      </c>
      <c r="CC222" s="1418" t="str">
        <f t="shared" si="195"/>
        <v/>
      </c>
      <c r="CD222" s="1418" t="str">
        <f t="shared" si="184"/>
        <v/>
      </c>
      <c r="CE222" s="1418" t="str">
        <f t="shared" si="185"/>
        <v/>
      </c>
      <c r="CF222" s="1418" t="str">
        <f t="shared" si="165"/>
        <v/>
      </c>
      <c r="CG222" s="1418" t="str">
        <f t="shared" si="166"/>
        <v/>
      </c>
      <c r="CH222" s="1418" t="str">
        <f t="shared" si="196"/>
        <v/>
      </c>
      <c r="CI222" s="1418" t="str">
        <f t="shared" si="168"/>
        <v/>
      </c>
      <c r="CJ222" s="1418" t="str">
        <f t="shared" si="169"/>
        <v/>
      </c>
      <c r="CK222" s="1418" t="str">
        <f t="shared" si="170"/>
        <v/>
      </c>
      <c r="CL222" s="385"/>
      <c r="CO222" s="513">
        <f t="shared" si="171"/>
        <v>0</v>
      </c>
      <c r="CP222" s="513">
        <f t="shared" si="172"/>
        <v>0</v>
      </c>
      <c r="CQ222" s="513">
        <f t="shared" si="173"/>
        <v>0</v>
      </c>
      <c r="CR222" s="513">
        <f t="shared" si="174"/>
        <v>0</v>
      </c>
      <c r="CS222" s="513">
        <f t="shared" si="175"/>
        <v>0</v>
      </c>
      <c r="CT222" s="513">
        <f t="shared" si="176"/>
        <v>0</v>
      </c>
      <c r="CU222" s="513">
        <f t="shared" si="177"/>
        <v>0</v>
      </c>
      <c r="CV222" s="513">
        <f t="shared" si="178"/>
        <v>0</v>
      </c>
      <c r="CW222" s="513">
        <f t="shared" si="179"/>
        <v>0</v>
      </c>
      <c r="CX222" s="513">
        <f t="shared" si="180"/>
        <v>0</v>
      </c>
      <c r="CY222" s="513">
        <f t="shared" si="181"/>
        <v>0</v>
      </c>
    </row>
    <row r="223" spans="1:103" ht="15" customHeight="1">
      <c r="A223" s="6128"/>
      <c r="B223" s="1863" t="s">
        <v>910</v>
      </c>
      <c r="C223" s="1822">
        <f t="shared" si="153"/>
        <v>0</v>
      </c>
      <c r="D223" s="1823">
        <f t="shared" si="197"/>
        <v>0</v>
      </c>
      <c r="E223" s="1438">
        <f t="shared" si="197"/>
        <v>0</v>
      </c>
      <c r="F223" s="1440"/>
      <c r="G223" s="1452"/>
      <c r="H223" s="1440"/>
      <c r="I223" s="1452"/>
      <c r="J223" s="1440"/>
      <c r="K223" s="1452"/>
      <c r="L223" s="1440"/>
      <c r="M223" s="1452"/>
      <c r="N223" s="1440"/>
      <c r="O223" s="1452"/>
      <c r="P223" s="1440"/>
      <c r="Q223" s="1452"/>
      <c r="R223" s="1440"/>
      <c r="S223" s="1452"/>
      <c r="T223" s="1440"/>
      <c r="U223" s="1452"/>
      <c r="V223" s="1440"/>
      <c r="W223" s="1452"/>
      <c r="X223" s="1440"/>
      <c r="Y223" s="1452"/>
      <c r="Z223" s="1440"/>
      <c r="AA223" s="1452"/>
      <c r="AB223" s="1440"/>
      <c r="AC223" s="1452"/>
      <c r="AD223" s="1440"/>
      <c r="AE223" s="1452"/>
      <c r="AF223" s="1440"/>
      <c r="AG223" s="1452"/>
      <c r="AH223" s="1440"/>
      <c r="AI223" s="1452"/>
      <c r="AJ223" s="1440"/>
      <c r="AK223" s="1452"/>
      <c r="AL223" s="1440"/>
      <c r="AM223" s="1444"/>
      <c r="AN223" s="1445"/>
      <c r="AO223" s="1446"/>
      <c r="AP223" s="1441"/>
      <c r="AQ223" s="1452"/>
      <c r="AR223" s="1440"/>
      <c r="AS223" s="1452"/>
      <c r="AT223" s="1447"/>
      <c r="AU223" s="1680"/>
      <c r="AV223" s="1657"/>
      <c r="AW223" s="1680"/>
      <c r="AX223" s="1452"/>
      <c r="AY223" s="385" t="str">
        <f t="shared" si="159"/>
        <v/>
      </c>
      <c r="CA223" s="1418" t="str">
        <f t="shared" si="194"/>
        <v/>
      </c>
      <c r="CB223" s="1418" t="str">
        <f t="shared" si="198"/>
        <v/>
      </c>
      <c r="CC223" s="1418" t="str">
        <f t="shared" si="195"/>
        <v/>
      </c>
      <c r="CD223" s="1418" t="str">
        <f t="shared" si="184"/>
        <v/>
      </c>
      <c r="CE223" s="1418" t="str">
        <f t="shared" si="185"/>
        <v/>
      </c>
      <c r="CF223" s="1418" t="str">
        <f t="shared" si="165"/>
        <v/>
      </c>
      <c r="CG223" s="1418" t="str">
        <f t="shared" si="166"/>
        <v/>
      </c>
      <c r="CH223" s="1418" t="str">
        <f t="shared" si="196"/>
        <v/>
      </c>
      <c r="CI223" s="1418" t="str">
        <f t="shared" si="168"/>
        <v/>
      </c>
      <c r="CJ223" s="1418" t="str">
        <f t="shared" si="169"/>
        <v/>
      </c>
      <c r="CK223" s="1418" t="str">
        <f t="shared" si="170"/>
        <v/>
      </c>
      <c r="CL223" s="385"/>
      <c r="CO223" s="513">
        <f t="shared" si="171"/>
        <v>0</v>
      </c>
      <c r="CP223" s="513">
        <f t="shared" si="172"/>
        <v>0</v>
      </c>
      <c r="CQ223" s="513">
        <f t="shared" si="173"/>
        <v>0</v>
      </c>
      <c r="CR223" s="513">
        <f t="shared" si="174"/>
        <v>0</v>
      </c>
      <c r="CS223" s="513">
        <f t="shared" si="175"/>
        <v>0</v>
      </c>
      <c r="CT223" s="513">
        <f t="shared" si="176"/>
        <v>0</v>
      </c>
      <c r="CU223" s="513">
        <f t="shared" si="177"/>
        <v>0</v>
      </c>
      <c r="CV223" s="513">
        <f t="shared" si="178"/>
        <v>0</v>
      </c>
      <c r="CW223" s="513">
        <f t="shared" si="179"/>
        <v>0</v>
      </c>
      <c r="CX223" s="513">
        <f t="shared" si="180"/>
        <v>0</v>
      </c>
      <c r="CY223" s="513">
        <f t="shared" si="181"/>
        <v>0</v>
      </c>
    </row>
    <row r="224" spans="1:103" ht="15" customHeight="1">
      <c r="A224" s="6128"/>
      <c r="B224" s="1827" t="s">
        <v>911</v>
      </c>
      <c r="C224" s="1822">
        <f t="shared" si="153"/>
        <v>0</v>
      </c>
      <c r="D224" s="1823">
        <f t="shared" si="197"/>
        <v>0</v>
      </c>
      <c r="E224" s="1438">
        <f t="shared" si="197"/>
        <v>0</v>
      </c>
      <c r="F224" s="1440"/>
      <c r="G224" s="1452"/>
      <c r="H224" s="1440"/>
      <c r="I224" s="1452"/>
      <c r="J224" s="1440"/>
      <c r="K224" s="1452"/>
      <c r="L224" s="1440"/>
      <c r="M224" s="1452"/>
      <c r="N224" s="1440"/>
      <c r="O224" s="1452"/>
      <c r="P224" s="1440"/>
      <c r="Q224" s="1452"/>
      <c r="R224" s="1440"/>
      <c r="S224" s="1452"/>
      <c r="T224" s="1440"/>
      <c r="U224" s="1452"/>
      <c r="V224" s="1440"/>
      <c r="W224" s="1452"/>
      <c r="X224" s="1440"/>
      <c r="Y224" s="1452"/>
      <c r="Z224" s="1440"/>
      <c r="AA224" s="1452"/>
      <c r="AB224" s="1440"/>
      <c r="AC224" s="1452"/>
      <c r="AD224" s="1440"/>
      <c r="AE224" s="1452"/>
      <c r="AF224" s="1440"/>
      <c r="AG224" s="1452"/>
      <c r="AH224" s="1440"/>
      <c r="AI224" s="1452"/>
      <c r="AJ224" s="1440"/>
      <c r="AK224" s="1452"/>
      <c r="AL224" s="1440"/>
      <c r="AM224" s="1444"/>
      <c r="AN224" s="1445"/>
      <c r="AO224" s="1446"/>
      <c r="AP224" s="1441"/>
      <c r="AQ224" s="1452"/>
      <c r="AR224" s="1440"/>
      <c r="AS224" s="1452"/>
      <c r="AT224" s="1447"/>
      <c r="AU224" s="1680"/>
      <c r="AV224" s="1657"/>
      <c r="AW224" s="1680"/>
      <c r="AX224" s="1452"/>
      <c r="AY224" s="385" t="str">
        <f t="shared" si="159"/>
        <v/>
      </c>
      <c r="CA224" s="1418" t="str">
        <f t="shared" si="194"/>
        <v/>
      </c>
      <c r="CB224" s="1418" t="str">
        <f t="shared" si="198"/>
        <v/>
      </c>
      <c r="CC224" s="1418" t="str">
        <f t="shared" si="195"/>
        <v/>
      </c>
      <c r="CD224" s="1418" t="str">
        <f t="shared" si="184"/>
        <v/>
      </c>
      <c r="CE224" s="1418" t="str">
        <f t="shared" si="185"/>
        <v/>
      </c>
      <c r="CF224" s="1418" t="str">
        <f t="shared" si="165"/>
        <v/>
      </c>
      <c r="CG224" s="1418" t="str">
        <f t="shared" si="166"/>
        <v/>
      </c>
      <c r="CH224" s="1418" t="str">
        <f t="shared" si="196"/>
        <v/>
      </c>
      <c r="CI224" s="1418" t="str">
        <f t="shared" si="168"/>
        <v/>
      </c>
      <c r="CJ224" s="1418" t="str">
        <f t="shared" si="169"/>
        <v/>
      </c>
      <c r="CK224" s="1418" t="str">
        <f t="shared" si="170"/>
        <v/>
      </c>
      <c r="CL224" s="385"/>
      <c r="CO224" s="513">
        <f t="shared" si="171"/>
        <v>0</v>
      </c>
      <c r="CP224" s="513">
        <f t="shared" si="172"/>
        <v>0</v>
      </c>
      <c r="CQ224" s="513">
        <f t="shared" si="173"/>
        <v>0</v>
      </c>
      <c r="CR224" s="513">
        <f t="shared" si="174"/>
        <v>0</v>
      </c>
      <c r="CS224" s="513">
        <f t="shared" si="175"/>
        <v>0</v>
      </c>
      <c r="CT224" s="513">
        <f t="shared" si="176"/>
        <v>0</v>
      </c>
      <c r="CU224" s="513">
        <f t="shared" si="177"/>
        <v>0</v>
      </c>
      <c r="CV224" s="513">
        <f t="shared" si="178"/>
        <v>0</v>
      </c>
      <c r="CW224" s="513">
        <f t="shared" si="179"/>
        <v>0</v>
      </c>
      <c r="CX224" s="513">
        <f t="shared" si="180"/>
        <v>0</v>
      </c>
      <c r="CY224" s="513">
        <f t="shared" si="181"/>
        <v>0</v>
      </c>
    </row>
    <row r="225" spans="1:103" ht="15" customHeight="1">
      <c r="A225" s="6128"/>
      <c r="B225" s="1827" t="s">
        <v>912</v>
      </c>
      <c r="C225" s="1822">
        <f t="shared" si="153"/>
        <v>0</v>
      </c>
      <c r="D225" s="1823">
        <f t="shared" si="197"/>
        <v>0</v>
      </c>
      <c r="E225" s="1438">
        <f t="shared" si="197"/>
        <v>0</v>
      </c>
      <c r="F225" s="1440"/>
      <c r="G225" s="1452"/>
      <c r="H225" s="1440"/>
      <c r="I225" s="1452"/>
      <c r="J225" s="1440"/>
      <c r="K225" s="1452"/>
      <c r="L225" s="1440"/>
      <c r="M225" s="1452"/>
      <c r="N225" s="1440"/>
      <c r="O225" s="1452"/>
      <c r="P225" s="1440"/>
      <c r="Q225" s="1452"/>
      <c r="R225" s="1440"/>
      <c r="S225" s="1452"/>
      <c r="T225" s="1440"/>
      <c r="U225" s="1452"/>
      <c r="V225" s="1440"/>
      <c r="W225" s="1452"/>
      <c r="X225" s="1440"/>
      <c r="Y225" s="1452"/>
      <c r="Z225" s="1440"/>
      <c r="AA225" s="1452"/>
      <c r="AB225" s="1440"/>
      <c r="AC225" s="1452"/>
      <c r="AD225" s="1440"/>
      <c r="AE225" s="1452"/>
      <c r="AF225" s="1440"/>
      <c r="AG225" s="1452"/>
      <c r="AH225" s="1440"/>
      <c r="AI225" s="1452"/>
      <c r="AJ225" s="1440"/>
      <c r="AK225" s="1452"/>
      <c r="AL225" s="1440"/>
      <c r="AM225" s="1444"/>
      <c r="AN225" s="1445"/>
      <c r="AO225" s="1446"/>
      <c r="AP225" s="1441"/>
      <c r="AQ225" s="1452"/>
      <c r="AR225" s="1440"/>
      <c r="AS225" s="1452"/>
      <c r="AT225" s="1447"/>
      <c r="AU225" s="1680"/>
      <c r="AV225" s="1657"/>
      <c r="AW225" s="1680"/>
      <c r="AX225" s="1452"/>
      <c r="AY225" s="385" t="str">
        <f t="shared" si="159"/>
        <v/>
      </c>
      <c r="CA225" s="1418" t="str">
        <f t="shared" si="194"/>
        <v/>
      </c>
      <c r="CB225" s="1418" t="str">
        <f t="shared" si="198"/>
        <v/>
      </c>
      <c r="CC225" s="1418" t="str">
        <f t="shared" si="195"/>
        <v/>
      </c>
      <c r="CD225" s="1418" t="str">
        <f t="shared" si="184"/>
        <v/>
      </c>
      <c r="CE225" s="1418" t="str">
        <f t="shared" si="185"/>
        <v/>
      </c>
      <c r="CF225" s="1418" t="str">
        <f t="shared" si="165"/>
        <v/>
      </c>
      <c r="CG225" s="1418" t="str">
        <f t="shared" si="166"/>
        <v/>
      </c>
      <c r="CH225" s="1418" t="str">
        <f t="shared" si="196"/>
        <v/>
      </c>
      <c r="CI225" s="1418" t="str">
        <f t="shared" si="168"/>
        <v/>
      </c>
      <c r="CJ225" s="1418" t="str">
        <f t="shared" si="169"/>
        <v/>
      </c>
      <c r="CK225" s="1418" t="str">
        <f t="shared" si="170"/>
        <v/>
      </c>
      <c r="CL225" s="385"/>
      <c r="CO225" s="513">
        <f t="shared" si="171"/>
        <v>0</v>
      </c>
      <c r="CP225" s="513">
        <f t="shared" si="172"/>
        <v>0</v>
      </c>
      <c r="CQ225" s="513">
        <f t="shared" si="173"/>
        <v>0</v>
      </c>
      <c r="CR225" s="513">
        <f t="shared" si="174"/>
        <v>0</v>
      </c>
      <c r="CS225" s="513">
        <f t="shared" si="175"/>
        <v>0</v>
      </c>
      <c r="CT225" s="513">
        <f t="shared" si="176"/>
        <v>0</v>
      </c>
      <c r="CU225" s="513">
        <f t="shared" si="177"/>
        <v>0</v>
      </c>
      <c r="CV225" s="513">
        <f t="shared" si="178"/>
        <v>0</v>
      </c>
      <c r="CW225" s="513">
        <f t="shared" si="179"/>
        <v>0</v>
      </c>
      <c r="CX225" s="513">
        <f t="shared" si="180"/>
        <v>0</v>
      </c>
      <c r="CY225" s="513">
        <f t="shared" si="181"/>
        <v>0</v>
      </c>
    </row>
    <row r="226" spans="1:103" ht="15" customHeight="1">
      <c r="A226" s="6129"/>
      <c r="B226" s="1864" t="s">
        <v>913</v>
      </c>
      <c r="C226" s="1816">
        <f t="shared" si="153"/>
        <v>0</v>
      </c>
      <c r="D226" s="1817">
        <f t="shared" si="197"/>
        <v>0</v>
      </c>
      <c r="E226" s="1785">
        <f t="shared" si="197"/>
        <v>0</v>
      </c>
      <c r="F226" s="1440"/>
      <c r="G226" s="1452"/>
      <c r="H226" s="1440"/>
      <c r="I226" s="1452"/>
      <c r="J226" s="1440"/>
      <c r="K226" s="1452"/>
      <c r="L226" s="1440"/>
      <c r="M226" s="1452"/>
      <c r="N226" s="1440"/>
      <c r="O226" s="1452"/>
      <c r="P226" s="1440"/>
      <c r="Q226" s="1452"/>
      <c r="R226" s="1440"/>
      <c r="S226" s="1452"/>
      <c r="T226" s="1440"/>
      <c r="U226" s="1452"/>
      <c r="V226" s="1440"/>
      <c r="W226" s="1452"/>
      <c r="X226" s="1440"/>
      <c r="Y226" s="1452"/>
      <c r="Z226" s="1440"/>
      <c r="AA226" s="1452"/>
      <c r="AB226" s="1440"/>
      <c r="AC226" s="1452"/>
      <c r="AD226" s="1440"/>
      <c r="AE226" s="1452"/>
      <c r="AF226" s="1440"/>
      <c r="AG226" s="1452"/>
      <c r="AH226" s="1440"/>
      <c r="AI226" s="1452"/>
      <c r="AJ226" s="1440"/>
      <c r="AK226" s="1452"/>
      <c r="AL226" s="1455"/>
      <c r="AM226" s="1459"/>
      <c r="AN226" s="1460"/>
      <c r="AO226" s="1461"/>
      <c r="AP226" s="1456"/>
      <c r="AQ226" s="1467"/>
      <c r="AR226" s="1455"/>
      <c r="AS226" s="1467"/>
      <c r="AT226" s="1490"/>
      <c r="AU226" s="1684"/>
      <c r="AV226" s="1664"/>
      <c r="AW226" s="1684"/>
      <c r="AX226" s="1467"/>
      <c r="AY226" s="385" t="str">
        <f t="shared" si="159"/>
        <v/>
      </c>
      <c r="CA226" s="1418" t="str">
        <f t="shared" si="194"/>
        <v/>
      </c>
      <c r="CB226" s="1418" t="str">
        <f t="shared" si="198"/>
        <v/>
      </c>
      <c r="CC226" s="1418" t="str">
        <f t="shared" si="195"/>
        <v/>
      </c>
      <c r="CD226" s="1418" t="str">
        <f t="shared" si="184"/>
        <v/>
      </c>
      <c r="CE226" s="1418" t="str">
        <f t="shared" si="185"/>
        <v/>
      </c>
      <c r="CF226" s="1418" t="str">
        <f t="shared" si="165"/>
        <v/>
      </c>
      <c r="CG226" s="1418" t="str">
        <f t="shared" si="166"/>
        <v/>
      </c>
      <c r="CH226" s="1418" t="str">
        <f t="shared" si="196"/>
        <v/>
      </c>
      <c r="CI226" s="1418" t="str">
        <f t="shared" si="168"/>
        <v/>
      </c>
      <c r="CJ226" s="1418" t="str">
        <f t="shared" si="169"/>
        <v/>
      </c>
      <c r="CK226" s="1418" t="str">
        <f t="shared" si="170"/>
        <v/>
      </c>
      <c r="CL226" s="385"/>
      <c r="CO226" s="513">
        <f t="shared" si="171"/>
        <v>0</v>
      </c>
      <c r="CP226" s="513">
        <f t="shared" si="172"/>
        <v>0</v>
      </c>
      <c r="CQ226" s="513">
        <f t="shared" si="173"/>
        <v>0</v>
      </c>
      <c r="CR226" s="513">
        <f t="shared" si="174"/>
        <v>0</v>
      </c>
      <c r="CS226" s="513">
        <f t="shared" si="175"/>
        <v>0</v>
      </c>
      <c r="CT226" s="513">
        <f t="shared" si="176"/>
        <v>0</v>
      </c>
      <c r="CU226" s="513">
        <f t="shared" si="177"/>
        <v>0</v>
      </c>
      <c r="CV226" s="513">
        <f t="shared" si="178"/>
        <v>0</v>
      </c>
      <c r="CW226" s="513">
        <f t="shared" si="179"/>
        <v>0</v>
      </c>
      <c r="CX226" s="513">
        <f t="shared" si="180"/>
        <v>0</v>
      </c>
      <c r="CY226" s="513">
        <f t="shared" si="181"/>
        <v>0</v>
      </c>
    </row>
    <row r="227" spans="1:103" ht="15" customHeight="1">
      <c r="A227" s="6127" t="s">
        <v>914</v>
      </c>
      <c r="B227" s="1844" t="s">
        <v>915</v>
      </c>
      <c r="C227" s="1791">
        <f t="shared" si="153"/>
        <v>0</v>
      </c>
      <c r="D227" s="1792">
        <f t="shared" si="197"/>
        <v>0</v>
      </c>
      <c r="E227" s="1672">
        <f t="shared" si="197"/>
        <v>0</v>
      </c>
      <c r="F227" s="1814"/>
      <c r="G227" s="1815"/>
      <c r="H227" s="1814"/>
      <c r="I227" s="1815"/>
      <c r="J227" s="1814"/>
      <c r="K227" s="1815"/>
      <c r="L227" s="1814"/>
      <c r="M227" s="1815"/>
      <c r="N227" s="1814"/>
      <c r="O227" s="1815"/>
      <c r="P227" s="1814"/>
      <c r="Q227" s="1815"/>
      <c r="R227" s="1424"/>
      <c r="S227" s="1436"/>
      <c r="T227" s="1424"/>
      <c r="U227" s="1436"/>
      <c r="V227" s="1424"/>
      <c r="W227" s="1436"/>
      <c r="X227" s="1424"/>
      <c r="Y227" s="1436"/>
      <c r="Z227" s="1424"/>
      <c r="AA227" s="1436"/>
      <c r="AB227" s="1424"/>
      <c r="AC227" s="1436"/>
      <c r="AD227" s="1424"/>
      <c r="AE227" s="1436"/>
      <c r="AF227" s="1424"/>
      <c r="AG227" s="1436"/>
      <c r="AH227" s="1424"/>
      <c r="AI227" s="1436"/>
      <c r="AJ227" s="1424"/>
      <c r="AK227" s="1436"/>
      <c r="AL227" s="1424"/>
      <c r="AM227" s="1428"/>
      <c r="AN227" s="1865"/>
      <c r="AO227" s="1852"/>
      <c r="AP227" s="1425"/>
      <c r="AQ227" s="1417"/>
      <c r="AR227" s="1866"/>
      <c r="AS227" s="1867"/>
      <c r="AT227" s="1845"/>
      <c r="AU227" s="1846"/>
      <c r="AV227" s="1845"/>
      <c r="AW227" s="1846"/>
      <c r="AX227" s="1867"/>
      <c r="AY227" s="385" t="str">
        <f t="shared" ref="AY227:AY229" si="199">CC227&amp;CD227&amp;CE227&amp;CF227&amp;CG227&amp;CH227&amp;CI227&amp;CJ227</f>
        <v/>
      </c>
      <c r="CA227" s="1853"/>
      <c r="CB227" s="1853"/>
      <c r="CC227" s="1418" t="str">
        <f t="shared" si="195"/>
        <v/>
      </c>
      <c r="CD227" s="1418" t="str">
        <f t="shared" si="184"/>
        <v/>
      </c>
      <c r="CE227" s="1868"/>
      <c r="CF227" s="1868"/>
      <c r="CG227" s="1418" t="str">
        <f t="shared" si="166"/>
        <v/>
      </c>
      <c r="CH227" s="1418" t="str">
        <f t="shared" si="196"/>
        <v/>
      </c>
      <c r="CI227" s="1418" t="str">
        <f t="shared" si="168"/>
        <v/>
      </c>
      <c r="CJ227" s="1418" t="str">
        <f t="shared" si="169"/>
        <v/>
      </c>
      <c r="CK227" s="1853"/>
      <c r="CL227" s="385"/>
      <c r="CO227" s="1836"/>
      <c r="CP227" s="1836"/>
      <c r="CQ227" s="513">
        <f t="shared" si="173"/>
        <v>0</v>
      </c>
      <c r="CR227" s="513">
        <f t="shared" si="174"/>
        <v>0</v>
      </c>
      <c r="CS227" s="1836"/>
      <c r="CT227" s="1836"/>
      <c r="CU227" s="513">
        <f t="shared" si="177"/>
        <v>0</v>
      </c>
      <c r="CV227" s="513">
        <f t="shared" si="178"/>
        <v>0</v>
      </c>
      <c r="CW227" s="513">
        <f t="shared" si="179"/>
        <v>0</v>
      </c>
      <c r="CX227" s="513">
        <f t="shared" si="180"/>
        <v>0</v>
      </c>
      <c r="CY227" s="1836"/>
    </row>
    <row r="228" spans="1:103" ht="15" customHeight="1">
      <c r="A228" s="6128"/>
      <c r="B228" s="1827" t="s">
        <v>916</v>
      </c>
      <c r="C228" s="1822">
        <f t="shared" si="153"/>
        <v>0</v>
      </c>
      <c r="D228" s="1823">
        <f t="shared" si="197"/>
        <v>0</v>
      </c>
      <c r="E228" s="1438">
        <f t="shared" si="197"/>
        <v>0</v>
      </c>
      <c r="F228" s="1869"/>
      <c r="G228" s="1870"/>
      <c r="H228" s="1869"/>
      <c r="I228" s="1870"/>
      <c r="J228" s="1869"/>
      <c r="K228" s="1870"/>
      <c r="L228" s="1869"/>
      <c r="M228" s="1870"/>
      <c r="N228" s="1869"/>
      <c r="O228" s="1870"/>
      <c r="P228" s="1869"/>
      <c r="Q228" s="1870"/>
      <c r="R228" s="1440"/>
      <c r="S228" s="1452"/>
      <c r="T228" s="1440"/>
      <c r="U228" s="1452"/>
      <c r="V228" s="1440"/>
      <c r="W228" s="1452"/>
      <c r="X228" s="1440"/>
      <c r="Y228" s="1452"/>
      <c r="Z228" s="1440"/>
      <c r="AA228" s="1452"/>
      <c r="AB228" s="1440"/>
      <c r="AC228" s="1452"/>
      <c r="AD228" s="1440"/>
      <c r="AE228" s="1452"/>
      <c r="AF228" s="1440"/>
      <c r="AG228" s="1452"/>
      <c r="AH228" s="1440"/>
      <c r="AI228" s="1452"/>
      <c r="AJ228" s="1440"/>
      <c r="AK228" s="1452"/>
      <c r="AL228" s="1440"/>
      <c r="AM228" s="1444"/>
      <c r="AN228" s="1871"/>
      <c r="AO228" s="1857"/>
      <c r="AP228" s="1441"/>
      <c r="AQ228" s="1692"/>
      <c r="AR228" s="1872"/>
      <c r="AS228" s="1873"/>
      <c r="AT228" s="1487"/>
      <c r="AU228" s="1824"/>
      <c r="AV228" s="1487"/>
      <c r="AW228" s="1824"/>
      <c r="AX228" s="1873"/>
      <c r="AY228" s="385" t="str">
        <f t="shared" si="199"/>
        <v/>
      </c>
      <c r="CA228" s="1853"/>
      <c r="CB228" s="1853"/>
      <c r="CC228" s="1418" t="str">
        <f t="shared" si="195"/>
        <v/>
      </c>
      <c r="CD228" s="1418" t="str">
        <f t="shared" si="184"/>
        <v/>
      </c>
      <c r="CE228" s="1868"/>
      <c r="CF228" s="1868"/>
      <c r="CG228" s="1418" t="str">
        <f t="shared" si="166"/>
        <v/>
      </c>
      <c r="CH228" s="1418" t="str">
        <f t="shared" si="196"/>
        <v/>
      </c>
      <c r="CI228" s="1418" t="str">
        <f t="shared" si="168"/>
        <v/>
      </c>
      <c r="CJ228" s="1418" t="str">
        <f t="shared" si="169"/>
        <v/>
      </c>
      <c r="CK228" s="1853"/>
      <c r="CL228" s="385"/>
      <c r="CO228" s="1836"/>
      <c r="CP228" s="1836"/>
      <c r="CQ228" s="513">
        <f t="shared" si="173"/>
        <v>0</v>
      </c>
      <c r="CR228" s="513">
        <f t="shared" si="174"/>
        <v>0</v>
      </c>
      <c r="CS228" s="1836"/>
      <c r="CT228" s="1836"/>
      <c r="CU228" s="513">
        <f t="shared" si="177"/>
        <v>0</v>
      </c>
      <c r="CV228" s="513">
        <f t="shared" si="178"/>
        <v>0</v>
      </c>
      <c r="CW228" s="513">
        <f t="shared" si="179"/>
        <v>0</v>
      </c>
      <c r="CX228" s="513">
        <f t="shared" si="180"/>
        <v>0</v>
      </c>
      <c r="CY228" s="1836"/>
    </row>
    <row r="229" spans="1:103" ht="15" customHeight="1">
      <c r="A229" s="6129"/>
      <c r="B229" s="1874" t="s">
        <v>917</v>
      </c>
      <c r="C229" s="1847">
        <f t="shared" si="153"/>
        <v>0</v>
      </c>
      <c r="D229" s="1848">
        <f t="shared" si="197"/>
        <v>0</v>
      </c>
      <c r="E229" s="1453">
        <f t="shared" si="197"/>
        <v>0</v>
      </c>
      <c r="F229" s="1875"/>
      <c r="G229" s="1876"/>
      <c r="H229" s="1875"/>
      <c r="I229" s="1876"/>
      <c r="J229" s="1875"/>
      <c r="K229" s="1876"/>
      <c r="L229" s="1875"/>
      <c r="M229" s="1876"/>
      <c r="N229" s="1875"/>
      <c r="O229" s="1876"/>
      <c r="P229" s="1875"/>
      <c r="Q229" s="1876"/>
      <c r="R229" s="1455"/>
      <c r="S229" s="1467"/>
      <c r="T229" s="1455"/>
      <c r="U229" s="1467"/>
      <c r="V229" s="1455"/>
      <c r="W229" s="1467"/>
      <c r="X229" s="1455"/>
      <c r="Y229" s="1467"/>
      <c r="Z229" s="1455"/>
      <c r="AA229" s="1467"/>
      <c r="AB229" s="1455"/>
      <c r="AC229" s="1467"/>
      <c r="AD229" s="1455"/>
      <c r="AE229" s="1467"/>
      <c r="AF229" s="1455"/>
      <c r="AG229" s="1467"/>
      <c r="AH229" s="1455"/>
      <c r="AI229" s="1467"/>
      <c r="AJ229" s="1455"/>
      <c r="AK229" s="1467"/>
      <c r="AL229" s="1455"/>
      <c r="AM229" s="1459"/>
      <c r="AN229" s="1877"/>
      <c r="AO229" s="1861"/>
      <c r="AP229" s="1456"/>
      <c r="AQ229" s="1467"/>
      <c r="AR229" s="1875"/>
      <c r="AS229" s="1876"/>
      <c r="AT229" s="1490"/>
      <c r="AU229" s="1684"/>
      <c r="AV229" s="1490"/>
      <c r="AW229" s="1684"/>
      <c r="AX229" s="1876"/>
      <c r="AY229" s="385" t="str">
        <f t="shared" si="199"/>
        <v/>
      </c>
      <c r="CA229" s="1853"/>
      <c r="CB229" s="1853"/>
      <c r="CC229" s="1418" t="str">
        <f t="shared" si="195"/>
        <v/>
      </c>
      <c r="CD229" s="1418" t="str">
        <f t="shared" si="184"/>
        <v/>
      </c>
      <c r="CE229" s="1868"/>
      <c r="CF229" s="1868"/>
      <c r="CG229" s="1418" t="str">
        <f t="shared" si="166"/>
        <v/>
      </c>
      <c r="CH229" s="1418" t="str">
        <f t="shared" si="196"/>
        <v/>
      </c>
      <c r="CI229" s="1418" t="str">
        <f t="shared" si="168"/>
        <v/>
      </c>
      <c r="CJ229" s="1418" t="str">
        <f t="shared" si="169"/>
        <v/>
      </c>
      <c r="CK229" s="1853"/>
      <c r="CL229" s="385"/>
      <c r="CO229" s="1836"/>
      <c r="CP229" s="1836"/>
      <c r="CQ229" s="513">
        <f t="shared" si="173"/>
        <v>0</v>
      </c>
      <c r="CR229" s="513">
        <f t="shared" si="174"/>
        <v>0</v>
      </c>
      <c r="CS229" s="1836"/>
      <c r="CT229" s="1836"/>
      <c r="CU229" s="513">
        <f t="shared" si="177"/>
        <v>0</v>
      </c>
      <c r="CV229" s="513">
        <f t="shared" si="178"/>
        <v>0</v>
      </c>
      <c r="CW229" s="513">
        <f t="shared" si="179"/>
        <v>0</v>
      </c>
      <c r="CX229" s="513">
        <f t="shared" si="180"/>
        <v>0</v>
      </c>
      <c r="CY229" s="1836"/>
    </row>
    <row r="230" spans="1:103" ht="15" customHeight="1">
      <c r="A230" s="6179" t="s">
        <v>918</v>
      </c>
      <c r="B230" s="6180"/>
      <c r="C230" s="1791">
        <f t="shared" si="153"/>
        <v>0</v>
      </c>
      <c r="D230" s="1792">
        <f t="shared" si="197"/>
        <v>0</v>
      </c>
      <c r="E230" s="1672">
        <f t="shared" ref="E230:E231" si="200">SUM(G230+I230+K230+M230+O230+Q230+S230+U230+W230+Y230+AA230+AC230+AE230+AG230+AI230+AK230+AM230)</f>
        <v>0</v>
      </c>
      <c r="F230" s="1424"/>
      <c r="G230" s="1436"/>
      <c r="H230" s="1424"/>
      <c r="I230" s="1436"/>
      <c r="J230" s="1424"/>
      <c r="K230" s="1436"/>
      <c r="L230" s="1424"/>
      <c r="M230" s="1436"/>
      <c r="N230" s="1424"/>
      <c r="O230" s="1436"/>
      <c r="P230" s="1424"/>
      <c r="Q230" s="1436"/>
      <c r="R230" s="1424"/>
      <c r="S230" s="1436"/>
      <c r="T230" s="1424"/>
      <c r="U230" s="1436"/>
      <c r="V230" s="1424"/>
      <c r="W230" s="1436"/>
      <c r="X230" s="1424"/>
      <c r="Y230" s="1436"/>
      <c r="Z230" s="1424"/>
      <c r="AA230" s="1436"/>
      <c r="AB230" s="1424"/>
      <c r="AC230" s="1436"/>
      <c r="AD230" s="1424"/>
      <c r="AE230" s="1436"/>
      <c r="AF230" s="1424"/>
      <c r="AG230" s="1436"/>
      <c r="AH230" s="1424"/>
      <c r="AI230" s="1436"/>
      <c r="AJ230" s="1424"/>
      <c r="AK230" s="1436"/>
      <c r="AL230" s="1424"/>
      <c r="AM230" s="1428"/>
      <c r="AN230" s="1445"/>
      <c r="AO230" s="1446"/>
      <c r="AP230" s="1425"/>
      <c r="AQ230" s="1436"/>
      <c r="AR230" s="1424"/>
      <c r="AS230" s="1436"/>
      <c r="AT230" s="1652"/>
      <c r="AU230" s="1676"/>
      <c r="AV230" s="1652"/>
      <c r="AW230" s="1676"/>
      <c r="AX230" s="1436"/>
      <c r="AY230" s="385" t="str">
        <f t="shared" si="159"/>
        <v/>
      </c>
      <c r="CA230" s="1418" t="str">
        <f t="shared" si="194"/>
        <v/>
      </c>
      <c r="CB230" s="1418" t="str">
        <f t="shared" si="198"/>
        <v/>
      </c>
      <c r="CC230" s="1418" t="str">
        <f t="shared" si="195"/>
        <v/>
      </c>
      <c r="CD230" s="1418" t="str">
        <f t="shared" si="184"/>
        <v/>
      </c>
      <c r="CE230" s="1418" t="str">
        <f t="shared" si="185"/>
        <v/>
      </c>
      <c r="CF230" s="1418" t="str">
        <f t="shared" si="165"/>
        <v/>
      </c>
      <c r="CG230" s="1418" t="str">
        <f t="shared" si="166"/>
        <v/>
      </c>
      <c r="CH230" s="1418" t="str">
        <f t="shared" si="196"/>
        <v/>
      </c>
      <c r="CI230" s="1418" t="str">
        <f t="shared" si="168"/>
        <v/>
      </c>
      <c r="CJ230" s="1418" t="str">
        <f t="shared" si="169"/>
        <v/>
      </c>
      <c r="CK230" s="1418" t="str">
        <f t="shared" si="170"/>
        <v/>
      </c>
      <c r="CL230" s="385"/>
      <c r="CO230" s="513">
        <f t="shared" si="171"/>
        <v>0</v>
      </c>
      <c r="CP230" s="513">
        <f t="shared" si="172"/>
        <v>0</v>
      </c>
      <c r="CQ230" s="513">
        <f t="shared" si="173"/>
        <v>0</v>
      </c>
      <c r="CR230" s="513">
        <f t="shared" si="174"/>
        <v>0</v>
      </c>
      <c r="CS230" s="513">
        <f t="shared" si="175"/>
        <v>0</v>
      </c>
      <c r="CT230" s="513">
        <f t="shared" si="176"/>
        <v>0</v>
      </c>
      <c r="CU230" s="513">
        <f t="shared" si="177"/>
        <v>0</v>
      </c>
      <c r="CV230" s="513">
        <f t="shared" si="178"/>
        <v>0</v>
      </c>
      <c r="CW230" s="513">
        <f t="shared" si="179"/>
        <v>0</v>
      </c>
      <c r="CX230" s="513">
        <f t="shared" si="180"/>
        <v>0</v>
      </c>
      <c r="CY230" s="513">
        <f t="shared" si="181"/>
        <v>0</v>
      </c>
    </row>
    <row r="231" spans="1:103" ht="15" customHeight="1">
      <c r="A231" s="6181" t="s">
        <v>919</v>
      </c>
      <c r="B231" s="6182"/>
      <c r="C231" s="1793">
        <f t="shared" si="153"/>
        <v>0</v>
      </c>
      <c r="D231" s="1794">
        <f t="shared" si="197"/>
        <v>0</v>
      </c>
      <c r="E231" s="1795">
        <f t="shared" si="200"/>
        <v>0</v>
      </c>
      <c r="F231" s="1480"/>
      <c r="G231" s="1545"/>
      <c r="H231" s="1480"/>
      <c r="I231" s="1545"/>
      <c r="J231" s="1480"/>
      <c r="K231" s="1545"/>
      <c r="L231" s="1480"/>
      <c r="M231" s="1545"/>
      <c r="N231" s="1480"/>
      <c r="O231" s="1545"/>
      <c r="P231" s="1480"/>
      <c r="Q231" s="1545"/>
      <c r="R231" s="1480"/>
      <c r="S231" s="1545"/>
      <c r="T231" s="1480"/>
      <c r="U231" s="1545"/>
      <c r="V231" s="1480"/>
      <c r="W231" s="1545"/>
      <c r="X231" s="1480"/>
      <c r="Y231" s="1545"/>
      <c r="Z231" s="1480"/>
      <c r="AA231" s="1545"/>
      <c r="AB231" s="1480"/>
      <c r="AC231" s="1545"/>
      <c r="AD231" s="1480"/>
      <c r="AE231" s="1545"/>
      <c r="AF231" s="1480"/>
      <c r="AG231" s="1545"/>
      <c r="AH231" s="1480"/>
      <c r="AI231" s="1545"/>
      <c r="AJ231" s="1480"/>
      <c r="AK231" s="1545"/>
      <c r="AL231" s="1480"/>
      <c r="AM231" s="1482"/>
      <c r="AN231" s="1445"/>
      <c r="AO231" s="1446"/>
      <c r="AP231" s="1441"/>
      <c r="AQ231" s="1452"/>
      <c r="AR231" s="1440"/>
      <c r="AS231" s="1452"/>
      <c r="AT231" s="1447"/>
      <c r="AU231" s="1680"/>
      <c r="AV231" s="1447"/>
      <c r="AW231" s="1680"/>
      <c r="AX231" s="1452"/>
      <c r="AY231" s="385" t="str">
        <f t="shared" si="159"/>
        <v/>
      </c>
      <c r="CA231" s="1418" t="str">
        <f t="shared" si="194"/>
        <v/>
      </c>
      <c r="CB231" s="1418" t="str">
        <f t="shared" si="198"/>
        <v/>
      </c>
      <c r="CC231" s="1418" t="str">
        <f t="shared" si="195"/>
        <v/>
      </c>
      <c r="CD231" s="1418" t="str">
        <f t="shared" si="184"/>
        <v/>
      </c>
      <c r="CE231" s="1418" t="str">
        <f t="shared" si="185"/>
        <v/>
      </c>
      <c r="CF231" s="1418" t="str">
        <f t="shared" si="165"/>
        <v/>
      </c>
      <c r="CG231" s="1418" t="str">
        <f t="shared" si="166"/>
        <v/>
      </c>
      <c r="CH231" s="1418" t="str">
        <f t="shared" si="196"/>
        <v/>
      </c>
      <c r="CI231" s="1418" t="str">
        <f t="shared" si="168"/>
        <v/>
      </c>
      <c r="CJ231" s="1418" t="str">
        <f t="shared" si="169"/>
        <v/>
      </c>
      <c r="CK231" s="1418" t="str">
        <f t="shared" si="170"/>
        <v/>
      </c>
      <c r="CL231" s="385"/>
      <c r="CO231" s="513">
        <f t="shared" si="171"/>
        <v>0</v>
      </c>
      <c r="CP231" s="513">
        <f t="shared" si="172"/>
        <v>0</v>
      </c>
      <c r="CQ231" s="513">
        <f t="shared" si="173"/>
        <v>0</v>
      </c>
      <c r="CR231" s="513">
        <f t="shared" si="174"/>
        <v>0</v>
      </c>
      <c r="CS231" s="513">
        <f t="shared" si="175"/>
        <v>0</v>
      </c>
      <c r="CT231" s="513">
        <f t="shared" si="176"/>
        <v>0</v>
      </c>
      <c r="CU231" s="513">
        <f t="shared" si="177"/>
        <v>0</v>
      </c>
      <c r="CV231" s="513">
        <f t="shared" si="178"/>
        <v>0</v>
      </c>
      <c r="CW231" s="513">
        <f t="shared" si="179"/>
        <v>0</v>
      </c>
      <c r="CX231" s="513">
        <f t="shared" si="180"/>
        <v>0</v>
      </c>
      <c r="CY231" s="513">
        <f t="shared" si="181"/>
        <v>0</v>
      </c>
    </row>
    <row r="232" spans="1:103" ht="15" customHeight="1">
      <c r="A232" s="6167" t="s">
        <v>920</v>
      </c>
      <c r="B232" s="6168"/>
      <c r="C232" s="1822">
        <f t="shared" si="153"/>
        <v>0</v>
      </c>
      <c r="D232" s="1823">
        <f t="shared" si="197"/>
        <v>0</v>
      </c>
      <c r="E232" s="1438">
        <f t="shared" si="197"/>
        <v>0</v>
      </c>
      <c r="F232" s="1440"/>
      <c r="G232" s="1452"/>
      <c r="H232" s="1440"/>
      <c r="I232" s="1452"/>
      <c r="J232" s="1440"/>
      <c r="K232" s="1452"/>
      <c r="L232" s="1440"/>
      <c r="M232" s="1452"/>
      <c r="N232" s="1440"/>
      <c r="O232" s="1452"/>
      <c r="P232" s="1440"/>
      <c r="Q232" s="1452"/>
      <c r="R232" s="1440"/>
      <c r="S232" s="1452"/>
      <c r="T232" s="1440"/>
      <c r="U232" s="1452"/>
      <c r="V232" s="1440"/>
      <c r="W232" s="1452"/>
      <c r="X232" s="1440"/>
      <c r="Y232" s="1452"/>
      <c r="Z232" s="1440"/>
      <c r="AA232" s="1452"/>
      <c r="AB232" s="1440"/>
      <c r="AC232" s="1452"/>
      <c r="AD232" s="1440"/>
      <c r="AE232" s="1452"/>
      <c r="AF232" s="1440"/>
      <c r="AG232" s="1452"/>
      <c r="AH232" s="1440"/>
      <c r="AI232" s="1452"/>
      <c r="AJ232" s="1440"/>
      <c r="AK232" s="1452"/>
      <c r="AL232" s="1440"/>
      <c r="AM232" s="1447"/>
      <c r="AN232" s="1445"/>
      <c r="AO232" s="1446"/>
      <c r="AP232" s="1441"/>
      <c r="AQ232" s="1452"/>
      <c r="AR232" s="1440"/>
      <c r="AS232" s="1452"/>
      <c r="AT232" s="1447"/>
      <c r="AU232" s="1680"/>
      <c r="AV232" s="1447"/>
      <c r="AW232" s="1680"/>
      <c r="AX232" s="1452"/>
      <c r="AY232" s="385" t="str">
        <f t="shared" si="159"/>
        <v/>
      </c>
      <c r="CA232" s="1418" t="str">
        <f t="shared" si="194"/>
        <v/>
      </c>
      <c r="CB232" s="1418" t="str">
        <f t="shared" si="198"/>
        <v/>
      </c>
      <c r="CC232" s="1418" t="str">
        <f t="shared" si="195"/>
        <v/>
      </c>
      <c r="CD232" s="1418" t="str">
        <f t="shared" si="184"/>
        <v/>
      </c>
      <c r="CE232" s="1418" t="str">
        <f t="shared" si="185"/>
        <v/>
      </c>
      <c r="CF232" s="1418" t="str">
        <f t="shared" si="165"/>
        <v/>
      </c>
      <c r="CG232" s="1418" t="str">
        <f t="shared" si="166"/>
        <v/>
      </c>
      <c r="CH232" s="1418" t="str">
        <f t="shared" si="196"/>
        <v/>
      </c>
      <c r="CI232" s="1418" t="str">
        <f t="shared" si="168"/>
        <v/>
      </c>
      <c r="CJ232" s="1418" t="str">
        <f t="shared" si="169"/>
        <v/>
      </c>
      <c r="CK232" s="1418" t="str">
        <f t="shared" si="170"/>
        <v/>
      </c>
      <c r="CL232" s="385"/>
      <c r="CO232" s="513">
        <f t="shared" si="171"/>
        <v>0</v>
      </c>
      <c r="CP232" s="513">
        <f t="shared" si="172"/>
        <v>0</v>
      </c>
      <c r="CQ232" s="513">
        <f t="shared" si="173"/>
        <v>0</v>
      </c>
      <c r="CR232" s="513">
        <f t="shared" si="174"/>
        <v>0</v>
      </c>
      <c r="CS232" s="513">
        <f t="shared" si="175"/>
        <v>0</v>
      </c>
      <c r="CT232" s="513">
        <f t="shared" si="176"/>
        <v>0</v>
      </c>
      <c r="CU232" s="513">
        <f t="shared" si="177"/>
        <v>0</v>
      </c>
      <c r="CV232" s="513">
        <f t="shared" si="178"/>
        <v>0</v>
      </c>
      <c r="CW232" s="513">
        <f t="shared" si="179"/>
        <v>0</v>
      </c>
      <c r="CX232" s="513">
        <f t="shared" si="180"/>
        <v>0</v>
      </c>
      <c r="CY232" s="513">
        <f t="shared" si="181"/>
        <v>0</v>
      </c>
    </row>
    <row r="233" spans="1:103" ht="15" customHeight="1">
      <c r="A233" s="6167" t="s">
        <v>921</v>
      </c>
      <c r="B233" s="6168"/>
      <c r="C233" s="1822">
        <f t="shared" si="153"/>
        <v>0</v>
      </c>
      <c r="D233" s="1823">
        <f t="shared" si="197"/>
        <v>0</v>
      </c>
      <c r="E233" s="1438">
        <f t="shared" si="197"/>
        <v>0</v>
      </c>
      <c r="F233" s="1440"/>
      <c r="G233" s="1452"/>
      <c r="H233" s="1440"/>
      <c r="I233" s="1452"/>
      <c r="J233" s="1440"/>
      <c r="K233" s="1452"/>
      <c r="L233" s="1440"/>
      <c r="M233" s="1452"/>
      <c r="N233" s="1440"/>
      <c r="O233" s="1452"/>
      <c r="P233" s="1440"/>
      <c r="Q233" s="1452"/>
      <c r="R233" s="1440"/>
      <c r="S233" s="1452"/>
      <c r="T233" s="1440"/>
      <c r="U233" s="1452"/>
      <c r="V233" s="1440"/>
      <c r="W233" s="1452"/>
      <c r="X233" s="1440"/>
      <c r="Y233" s="1452"/>
      <c r="Z233" s="1440"/>
      <c r="AA233" s="1452"/>
      <c r="AB233" s="1440"/>
      <c r="AC233" s="1452"/>
      <c r="AD233" s="1440"/>
      <c r="AE233" s="1452"/>
      <c r="AF233" s="1440"/>
      <c r="AG233" s="1452"/>
      <c r="AH233" s="1440"/>
      <c r="AI233" s="1452"/>
      <c r="AJ233" s="1440"/>
      <c r="AK233" s="1452"/>
      <c r="AL233" s="1440"/>
      <c r="AM233" s="1447"/>
      <c r="AN233" s="1445"/>
      <c r="AO233" s="1446"/>
      <c r="AP233" s="1441"/>
      <c r="AQ233" s="1452"/>
      <c r="AR233" s="1440"/>
      <c r="AS233" s="1452"/>
      <c r="AT233" s="1447"/>
      <c r="AU233" s="1680"/>
      <c r="AV233" s="1447"/>
      <c r="AW233" s="1680"/>
      <c r="AX233" s="1452"/>
      <c r="AY233" s="385" t="str">
        <f t="shared" si="159"/>
        <v/>
      </c>
      <c r="CA233" s="1418" t="str">
        <f t="shared" si="194"/>
        <v/>
      </c>
      <c r="CB233" s="1418" t="str">
        <f t="shared" si="198"/>
        <v/>
      </c>
      <c r="CC233" s="1418" t="str">
        <f t="shared" si="195"/>
        <v/>
      </c>
      <c r="CD233" s="1418" t="str">
        <f t="shared" si="184"/>
        <v/>
      </c>
      <c r="CE233" s="1418" t="str">
        <f t="shared" si="185"/>
        <v/>
      </c>
      <c r="CF233" s="1418" t="str">
        <f t="shared" si="165"/>
        <v/>
      </c>
      <c r="CG233" s="1418" t="str">
        <f t="shared" si="166"/>
        <v/>
      </c>
      <c r="CH233" s="1418" t="str">
        <f t="shared" si="196"/>
        <v/>
      </c>
      <c r="CI233" s="1418" t="str">
        <f t="shared" si="168"/>
        <v/>
      </c>
      <c r="CJ233" s="1418" t="str">
        <f t="shared" si="169"/>
        <v/>
      </c>
      <c r="CK233" s="1418" t="str">
        <f t="shared" si="170"/>
        <v/>
      </c>
      <c r="CL233" s="385"/>
      <c r="CO233" s="513">
        <f t="shared" si="171"/>
        <v>0</v>
      </c>
      <c r="CP233" s="513">
        <f t="shared" si="172"/>
        <v>0</v>
      </c>
      <c r="CQ233" s="513">
        <f t="shared" si="173"/>
        <v>0</v>
      </c>
      <c r="CR233" s="513">
        <f t="shared" si="174"/>
        <v>0</v>
      </c>
      <c r="CS233" s="513">
        <f t="shared" si="175"/>
        <v>0</v>
      </c>
      <c r="CT233" s="513">
        <f t="shared" si="176"/>
        <v>0</v>
      </c>
      <c r="CU233" s="513">
        <f t="shared" si="177"/>
        <v>0</v>
      </c>
      <c r="CV233" s="513">
        <f t="shared" si="178"/>
        <v>0</v>
      </c>
      <c r="CW233" s="513">
        <f t="shared" si="179"/>
        <v>0</v>
      </c>
      <c r="CX233" s="513">
        <f t="shared" si="180"/>
        <v>0</v>
      </c>
      <c r="CY233" s="513">
        <f t="shared" si="181"/>
        <v>0</v>
      </c>
    </row>
    <row r="234" spans="1:103" ht="15" customHeight="1">
      <c r="A234" s="6169" t="s">
        <v>922</v>
      </c>
      <c r="B234" s="6170"/>
      <c r="C234" s="1840">
        <f t="shared" si="153"/>
        <v>0</v>
      </c>
      <c r="D234" s="1825">
        <f t="shared" si="197"/>
        <v>0</v>
      </c>
      <c r="E234" s="1841">
        <f t="shared" si="197"/>
        <v>0</v>
      </c>
      <c r="F234" s="1455"/>
      <c r="G234" s="1467"/>
      <c r="H234" s="1455"/>
      <c r="I234" s="1467"/>
      <c r="J234" s="1455"/>
      <c r="K234" s="1467"/>
      <c r="L234" s="1455"/>
      <c r="M234" s="1467"/>
      <c r="N234" s="1455"/>
      <c r="O234" s="1467"/>
      <c r="P234" s="1455"/>
      <c r="Q234" s="1467"/>
      <c r="R234" s="1455"/>
      <c r="S234" s="1467"/>
      <c r="T234" s="1455"/>
      <c r="U234" s="1467"/>
      <c r="V234" s="1455"/>
      <c r="W234" s="1467"/>
      <c r="X234" s="1455"/>
      <c r="Y234" s="1467"/>
      <c r="Z234" s="1455"/>
      <c r="AA234" s="1467"/>
      <c r="AB234" s="1455"/>
      <c r="AC234" s="1467"/>
      <c r="AD234" s="1455"/>
      <c r="AE234" s="1467"/>
      <c r="AF234" s="1455"/>
      <c r="AG234" s="1467"/>
      <c r="AH234" s="1455"/>
      <c r="AI234" s="1467"/>
      <c r="AJ234" s="1455"/>
      <c r="AK234" s="1467"/>
      <c r="AL234" s="1455"/>
      <c r="AM234" s="1490"/>
      <c r="AN234" s="1460"/>
      <c r="AO234" s="1461"/>
      <c r="AP234" s="1456"/>
      <c r="AQ234" s="1467"/>
      <c r="AR234" s="1455"/>
      <c r="AS234" s="1467"/>
      <c r="AT234" s="1490"/>
      <c r="AU234" s="1684"/>
      <c r="AV234" s="1490"/>
      <c r="AW234" s="1684"/>
      <c r="AX234" s="1467"/>
      <c r="AY234" s="385" t="str">
        <f t="shared" si="159"/>
        <v/>
      </c>
      <c r="CA234" s="1418" t="str">
        <f t="shared" si="194"/>
        <v/>
      </c>
      <c r="CB234" s="1418" t="str">
        <f t="shared" si="198"/>
        <v/>
      </c>
      <c r="CC234" s="1418" t="str">
        <f t="shared" si="195"/>
        <v/>
      </c>
      <c r="CD234" s="1418" t="str">
        <f t="shared" si="184"/>
        <v/>
      </c>
      <c r="CE234" s="1418" t="str">
        <f t="shared" si="185"/>
        <v/>
      </c>
      <c r="CF234" s="1418" t="str">
        <f t="shared" si="165"/>
        <v/>
      </c>
      <c r="CG234" s="1418" t="str">
        <f t="shared" si="166"/>
        <v/>
      </c>
      <c r="CH234" s="1418" t="str">
        <f t="shared" si="196"/>
        <v/>
      </c>
      <c r="CI234" s="1418" t="str">
        <f t="shared" si="168"/>
        <v/>
      </c>
      <c r="CJ234" s="1418" t="str">
        <f t="shared" si="169"/>
        <v/>
      </c>
      <c r="CK234" s="1418" t="str">
        <f t="shared" si="170"/>
        <v/>
      </c>
      <c r="CL234" s="385"/>
      <c r="CO234" s="513">
        <f t="shared" si="171"/>
        <v>0</v>
      </c>
      <c r="CP234" s="513">
        <f t="shared" si="172"/>
        <v>0</v>
      </c>
      <c r="CQ234" s="513">
        <f t="shared" si="173"/>
        <v>0</v>
      </c>
      <c r="CR234" s="513">
        <f t="shared" si="174"/>
        <v>0</v>
      </c>
      <c r="CS234" s="513">
        <f t="shared" si="175"/>
        <v>0</v>
      </c>
      <c r="CT234" s="513">
        <f t="shared" si="176"/>
        <v>0</v>
      </c>
      <c r="CU234" s="513">
        <f t="shared" si="177"/>
        <v>0</v>
      </c>
      <c r="CV234" s="513">
        <f t="shared" si="178"/>
        <v>0</v>
      </c>
      <c r="CW234" s="513">
        <f t="shared" si="179"/>
        <v>0</v>
      </c>
      <c r="CX234" s="513">
        <f t="shared" si="180"/>
        <v>0</v>
      </c>
      <c r="CY234" s="513">
        <f t="shared" si="181"/>
        <v>0</v>
      </c>
    </row>
    <row r="235" spans="1:103" ht="15" customHeight="1">
      <c r="A235" s="6127" t="s">
        <v>923</v>
      </c>
      <c r="B235" s="1862" t="s">
        <v>924</v>
      </c>
      <c r="C235" s="1791">
        <f t="shared" si="153"/>
        <v>0</v>
      </c>
      <c r="D235" s="1792">
        <f t="shared" si="197"/>
        <v>0</v>
      </c>
      <c r="E235" s="1880">
        <f t="shared" si="197"/>
        <v>0</v>
      </c>
      <c r="F235" s="1517"/>
      <c r="G235" s="1523"/>
      <c r="H235" s="1517"/>
      <c r="I235" s="1523"/>
      <c r="J235" s="1517"/>
      <c r="K235" s="1523"/>
      <c r="L235" s="1517"/>
      <c r="M235" s="1523"/>
      <c r="N235" s="1517"/>
      <c r="O235" s="1523"/>
      <c r="P235" s="1517"/>
      <c r="Q235" s="1523"/>
      <c r="R235" s="1517"/>
      <c r="S235" s="1523"/>
      <c r="T235" s="1517"/>
      <c r="U235" s="1523"/>
      <c r="V235" s="1517"/>
      <c r="W235" s="1523"/>
      <c r="X235" s="1517"/>
      <c r="Y235" s="1523"/>
      <c r="Z235" s="1517"/>
      <c r="AA235" s="1523"/>
      <c r="AB235" s="1517"/>
      <c r="AC235" s="1523"/>
      <c r="AD235" s="1517"/>
      <c r="AE235" s="1523"/>
      <c r="AF235" s="1517"/>
      <c r="AG235" s="1523"/>
      <c r="AH235" s="1517"/>
      <c r="AI235" s="1523"/>
      <c r="AJ235" s="1517"/>
      <c r="AK235" s="1523"/>
      <c r="AL235" s="1517"/>
      <c r="AM235" s="1770"/>
      <c r="AN235" s="1521"/>
      <c r="AO235" s="1522"/>
      <c r="AP235" s="1881"/>
      <c r="AQ235" s="1523"/>
      <c r="AR235" s="1517"/>
      <c r="AS235" s="1523"/>
      <c r="AT235" s="1770"/>
      <c r="AU235" s="1821"/>
      <c r="AV235" s="1770"/>
      <c r="AW235" s="1821"/>
      <c r="AX235" s="1523"/>
      <c r="AY235" s="385" t="str">
        <f t="shared" si="159"/>
        <v/>
      </c>
      <c r="CA235" s="1418" t="str">
        <f t="shared" si="194"/>
        <v/>
      </c>
      <c r="CB235" s="1418" t="str">
        <f t="shared" si="198"/>
        <v/>
      </c>
      <c r="CC235" s="1418" t="str">
        <f t="shared" si="195"/>
        <v/>
      </c>
      <c r="CD235" s="1418" t="str">
        <f t="shared" si="184"/>
        <v/>
      </c>
      <c r="CE235" s="1418" t="str">
        <f t="shared" si="185"/>
        <v/>
      </c>
      <c r="CF235" s="1418" t="str">
        <f t="shared" si="165"/>
        <v/>
      </c>
      <c r="CG235" s="1418" t="str">
        <f t="shared" si="166"/>
        <v/>
      </c>
      <c r="CH235" s="1418" t="str">
        <f t="shared" si="196"/>
        <v/>
      </c>
      <c r="CI235" s="1418" t="str">
        <f t="shared" si="168"/>
        <v/>
      </c>
      <c r="CJ235" s="1418" t="str">
        <f t="shared" si="169"/>
        <v/>
      </c>
      <c r="CK235" s="1418" t="str">
        <f t="shared" si="170"/>
        <v/>
      </c>
      <c r="CL235" s="385"/>
      <c r="CO235" s="513">
        <f t="shared" si="171"/>
        <v>0</v>
      </c>
      <c r="CP235" s="513">
        <f t="shared" si="172"/>
        <v>0</v>
      </c>
      <c r="CQ235" s="513">
        <f t="shared" si="173"/>
        <v>0</v>
      </c>
      <c r="CR235" s="513">
        <f t="shared" si="174"/>
        <v>0</v>
      </c>
      <c r="CS235" s="513">
        <f t="shared" si="175"/>
        <v>0</v>
      </c>
      <c r="CT235" s="513">
        <f t="shared" si="176"/>
        <v>0</v>
      </c>
      <c r="CU235" s="513">
        <f t="shared" si="177"/>
        <v>0</v>
      </c>
      <c r="CV235" s="513">
        <f t="shared" si="178"/>
        <v>0</v>
      </c>
      <c r="CW235" s="513">
        <f t="shared" si="179"/>
        <v>0</v>
      </c>
      <c r="CX235" s="513">
        <f t="shared" si="180"/>
        <v>0</v>
      </c>
      <c r="CY235" s="513">
        <f t="shared" si="181"/>
        <v>0</v>
      </c>
    </row>
    <row r="236" spans="1:103" ht="15" customHeight="1">
      <c r="A236" s="6128"/>
      <c r="B236" s="1691" t="s">
        <v>925</v>
      </c>
      <c r="C236" s="1822">
        <f t="shared" si="153"/>
        <v>0</v>
      </c>
      <c r="D236" s="1823">
        <f t="shared" si="197"/>
        <v>0</v>
      </c>
      <c r="E236" s="1882">
        <f t="shared" si="197"/>
        <v>0</v>
      </c>
      <c r="F236" s="1485"/>
      <c r="G236" s="1692"/>
      <c r="H236" s="1485"/>
      <c r="I236" s="1692"/>
      <c r="J236" s="1485"/>
      <c r="K236" s="1692"/>
      <c r="L236" s="1485"/>
      <c r="M236" s="1692"/>
      <c r="N236" s="1485"/>
      <c r="O236" s="1692"/>
      <c r="P236" s="1485"/>
      <c r="Q236" s="1692"/>
      <c r="R236" s="1485"/>
      <c r="S236" s="1692"/>
      <c r="T236" s="1485"/>
      <c r="U236" s="1692"/>
      <c r="V236" s="1485"/>
      <c r="W236" s="1692"/>
      <c r="X236" s="1485"/>
      <c r="Y236" s="1692"/>
      <c r="Z236" s="1485"/>
      <c r="AA236" s="1692"/>
      <c r="AB236" s="1485"/>
      <c r="AC236" s="1692"/>
      <c r="AD236" s="1485"/>
      <c r="AE236" s="1692"/>
      <c r="AF236" s="1485"/>
      <c r="AG236" s="1692"/>
      <c r="AH236" s="1485"/>
      <c r="AI236" s="1692"/>
      <c r="AJ236" s="1485"/>
      <c r="AK236" s="1692"/>
      <c r="AL236" s="1485"/>
      <c r="AM236" s="1487"/>
      <c r="AN236" s="1693"/>
      <c r="AO236" s="1488"/>
      <c r="AP236" s="1826"/>
      <c r="AQ236" s="1692"/>
      <c r="AR236" s="1485"/>
      <c r="AS236" s="1692"/>
      <c r="AT236" s="1487"/>
      <c r="AU236" s="1824"/>
      <c r="AV236" s="1487"/>
      <c r="AW236" s="1824"/>
      <c r="AX236" s="1692"/>
      <c r="AY236" s="385" t="str">
        <f t="shared" si="159"/>
        <v/>
      </c>
      <c r="CA236" s="1418" t="str">
        <f t="shared" si="194"/>
        <v/>
      </c>
      <c r="CB236" s="1418" t="str">
        <f t="shared" si="198"/>
        <v/>
      </c>
      <c r="CC236" s="1418" t="str">
        <f t="shared" si="195"/>
        <v/>
      </c>
      <c r="CD236" s="1418" t="str">
        <f t="shared" si="184"/>
        <v/>
      </c>
      <c r="CE236" s="1418" t="str">
        <f t="shared" si="185"/>
        <v/>
      </c>
      <c r="CF236" s="1418" t="str">
        <f t="shared" si="165"/>
        <v/>
      </c>
      <c r="CG236" s="1418" t="str">
        <f t="shared" si="166"/>
        <v/>
      </c>
      <c r="CH236" s="1418" t="str">
        <f t="shared" si="196"/>
        <v/>
      </c>
      <c r="CI236" s="1418" t="str">
        <f t="shared" si="168"/>
        <v/>
      </c>
      <c r="CJ236" s="1418" t="str">
        <f t="shared" si="169"/>
        <v/>
      </c>
      <c r="CK236" s="1418" t="str">
        <f t="shared" si="170"/>
        <v/>
      </c>
      <c r="CL236" s="385"/>
      <c r="CO236" s="513">
        <f t="shared" si="171"/>
        <v>0</v>
      </c>
      <c r="CP236" s="513">
        <f t="shared" si="172"/>
        <v>0</v>
      </c>
      <c r="CQ236" s="513">
        <f t="shared" si="173"/>
        <v>0</v>
      </c>
      <c r="CR236" s="513">
        <f t="shared" si="174"/>
        <v>0</v>
      </c>
      <c r="CS236" s="513">
        <f t="shared" si="175"/>
        <v>0</v>
      </c>
      <c r="CT236" s="513">
        <f t="shared" si="176"/>
        <v>0</v>
      </c>
      <c r="CU236" s="513">
        <f t="shared" si="177"/>
        <v>0</v>
      </c>
      <c r="CV236" s="513">
        <f t="shared" si="178"/>
        <v>0</v>
      </c>
      <c r="CW236" s="513">
        <f t="shared" si="179"/>
        <v>0</v>
      </c>
      <c r="CX236" s="513">
        <f t="shared" si="180"/>
        <v>0</v>
      </c>
      <c r="CY236" s="513">
        <f t="shared" si="181"/>
        <v>0</v>
      </c>
    </row>
    <row r="237" spans="1:103" ht="15" customHeight="1">
      <c r="A237" s="6128"/>
      <c r="B237" s="1691" t="s">
        <v>926</v>
      </c>
      <c r="C237" s="1822">
        <f t="shared" si="153"/>
        <v>0</v>
      </c>
      <c r="D237" s="1823">
        <f t="shared" si="197"/>
        <v>0</v>
      </c>
      <c r="E237" s="1882">
        <f t="shared" si="197"/>
        <v>0</v>
      </c>
      <c r="F237" s="1485"/>
      <c r="G237" s="1692"/>
      <c r="H237" s="1485"/>
      <c r="I237" s="1692"/>
      <c r="J237" s="1485"/>
      <c r="K237" s="1692"/>
      <c r="L237" s="1485"/>
      <c r="M237" s="1692"/>
      <c r="N237" s="1485"/>
      <c r="O237" s="1692"/>
      <c r="P237" s="1485"/>
      <c r="Q237" s="1692"/>
      <c r="R237" s="1485"/>
      <c r="S237" s="1692"/>
      <c r="T237" s="1485"/>
      <c r="U237" s="1692"/>
      <c r="V237" s="1485"/>
      <c r="W237" s="1692"/>
      <c r="X237" s="1485"/>
      <c r="Y237" s="1692"/>
      <c r="Z237" s="1485"/>
      <c r="AA237" s="1692"/>
      <c r="AB237" s="1485"/>
      <c r="AC237" s="1692"/>
      <c r="AD237" s="1485"/>
      <c r="AE237" s="1692"/>
      <c r="AF237" s="1485"/>
      <c r="AG237" s="1692"/>
      <c r="AH237" s="1485"/>
      <c r="AI237" s="1692"/>
      <c r="AJ237" s="1485"/>
      <c r="AK237" s="1692"/>
      <c r="AL237" s="1485"/>
      <c r="AM237" s="1487"/>
      <c r="AN237" s="1693"/>
      <c r="AO237" s="1488"/>
      <c r="AP237" s="1826"/>
      <c r="AQ237" s="1692"/>
      <c r="AR237" s="1485"/>
      <c r="AS237" s="1692"/>
      <c r="AT237" s="1487"/>
      <c r="AU237" s="1824"/>
      <c r="AV237" s="1487"/>
      <c r="AW237" s="1824"/>
      <c r="AX237" s="1692"/>
      <c r="AY237" s="385" t="str">
        <f t="shared" si="159"/>
        <v/>
      </c>
      <c r="CA237" s="1418" t="str">
        <f t="shared" si="194"/>
        <v/>
      </c>
      <c r="CB237" s="1418" t="str">
        <f t="shared" si="198"/>
        <v/>
      </c>
      <c r="CC237" s="1418" t="str">
        <f t="shared" si="195"/>
        <v/>
      </c>
      <c r="CD237" s="1418" t="str">
        <f t="shared" si="184"/>
        <v/>
      </c>
      <c r="CE237" s="1418" t="str">
        <f t="shared" si="185"/>
        <v/>
      </c>
      <c r="CF237" s="1418" t="str">
        <f t="shared" si="165"/>
        <v/>
      </c>
      <c r="CG237" s="1418" t="str">
        <f t="shared" si="166"/>
        <v/>
      </c>
      <c r="CH237" s="1418" t="str">
        <f t="shared" si="196"/>
        <v/>
      </c>
      <c r="CI237" s="1418" t="str">
        <f t="shared" si="168"/>
        <v/>
      </c>
      <c r="CJ237" s="1418" t="str">
        <f t="shared" si="169"/>
        <v/>
      </c>
      <c r="CK237" s="1418" t="str">
        <f t="shared" si="170"/>
        <v/>
      </c>
      <c r="CL237" s="385"/>
      <c r="CO237" s="513">
        <f t="shared" si="171"/>
        <v>0</v>
      </c>
      <c r="CP237" s="513">
        <f t="shared" si="172"/>
        <v>0</v>
      </c>
      <c r="CQ237" s="513">
        <f t="shared" si="173"/>
        <v>0</v>
      </c>
      <c r="CR237" s="513">
        <f t="shared" si="174"/>
        <v>0</v>
      </c>
      <c r="CS237" s="513">
        <f t="shared" si="175"/>
        <v>0</v>
      </c>
      <c r="CT237" s="513">
        <f t="shared" si="176"/>
        <v>0</v>
      </c>
      <c r="CU237" s="513">
        <f t="shared" si="177"/>
        <v>0</v>
      </c>
      <c r="CV237" s="513">
        <f t="shared" si="178"/>
        <v>0</v>
      </c>
      <c r="CW237" s="513">
        <f t="shared" si="179"/>
        <v>0</v>
      </c>
      <c r="CX237" s="513">
        <f t="shared" si="180"/>
        <v>0</v>
      </c>
      <c r="CY237" s="513">
        <f t="shared" si="181"/>
        <v>0</v>
      </c>
    </row>
    <row r="238" spans="1:103" ht="15" customHeight="1">
      <c r="A238" s="6128"/>
      <c r="B238" s="1691" t="s">
        <v>927</v>
      </c>
      <c r="C238" s="1822">
        <f t="shared" si="153"/>
        <v>0</v>
      </c>
      <c r="D238" s="1823">
        <f t="shared" si="197"/>
        <v>0</v>
      </c>
      <c r="E238" s="1882">
        <f t="shared" si="197"/>
        <v>0</v>
      </c>
      <c r="F238" s="1485"/>
      <c r="G238" s="1692"/>
      <c r="H238" s="1485"/>
      <c r="I238" s="1692"/>
      <c r="J238" s="1485"/>
      <c r="K238" s="1692"/>
      <c r="L238" s="1485"/>
      <c r="M238" s="1692"/>
      <c r="N238" s="1485"/>
      <c r="O238" s="1692"/>
      <c r="P238" s="1485"/>
      <c r="Q238" s="1692"/>
      <c r="R238" s="1485"/>
      <c r="S238" s="1692"/>
      <c r="T238" s="1485"/>
      <c r="U238" s="1692"/>
      <c r="V238" s="1485"/>
      <c r="W238" s="1692"/>
      <c r="X238" s="1485"/>
      <c r="Y238" s="1692"/>
      <c r="Z238" s="1485"/>
      <c r="AA238" s="1692"/>
      <c r="AB238" s="1485"/>
      <c r="AC238" s="1692"/>
      <c r="AD238" s="1485"/>
      <c r="AE238" s="1692"/>
      <c r="AF238" s="1485"/>
      <c r="AG238" s="1692"/>
      <c r="AH238" s="1485"/>
      <c r="AI238" s="1692"/>
      <c r="AJ238" s="1485"/>
      <c r="AK238" s="1692"/>
      <c r="AL238" s="1485"/>
      <c r="AM238" s="1487"/>
      <c r="AN238" s="1693"/>
      <c r="AO238" s="1488"/>
      <c r="AP238" s="1826"/>
      <c r="AQ238" s="1692"/>
      <c r="AR238" s="1485"/>
      <c r="AS238" s="1692"/>
      <c r="AT238" s="1487"/>
      <c r="AU238" s="1824"/>
      <c r="AV238" s="1487"/>
      <c r="AW238" s="1824"/>
      <c r="AX238" s="1692"/>
      <c r="AY238" s="385" t="str">
        <f t="shared" si="159"/>
        <v/>
      </c>
      <c r="CA238" s="1418" t="str">
        <f t="shared" si="194"/>
        <v/>
      </c>
      <c r="CB238" s="1418" t="str">
        <f t="shared" si="198"/>
        <v/>
      </c>
      <c r="CC238" s="1418" t="str">
        <f t="shared" si="195"/>
        <v/>
      </c>
      <c r="CD238" s="1418" t="str">
        <f t="shared" si="184"/>
        <v/>
      </c>
      <c r="CE238" s="1418" t="str">
        <f t="shared" si="185"/>
        <v/>
      </c>
      <c r="CF238" s="1418" t="str">
        <f t="shared" si="165"/>
        <v/>
      </c>
      <c r="CG238" s="1418" t="str">
        <f t="shared" si="166"/>
        <v/>
      </c>
      <c r="CH238" s="1418" t="str">
        <f t="shared" si="196"/>
        <v/>
      </c>
      <c r="CI238" s="1418" t="str">
        <f t="shared" si="168"/>
        <v/>
      </c>
      <c r="CJ238" s="1418" t="str">
        <f t="shared" si="169"/>
        <v/>
      </c>
      <c r="CK238" s="1418" t="str">
        <f t="shared" si="170"/>
        <v/>
      </c>
      <c r="CL238" s="385"/>
      <c r="CO238" s="513">
        <f t="shared" si="171"/>
        <v>0</v>
      </c>
      <c r="CP238" s="513">
        <f t="shared" si="172"/>
        <v>0</v>
      </c>
      <c r="CQ238" s="513">
        <f t="shared" si="173"/>
        <v>0</v>
      </c>
      <c r="CR238" s="513">
        <f t="shared" si="174"/>
        <v>0</v>
      </c>
      <c r="CS238" s="513">
        <f t="shared" si="175"/>
        <v>0</v>
      </c>
      <c r="CT238" s="513">
        <f t="shared" si="176"/>
        <v>0</v>
      </c>
      <c r="CU238" s="513">
        <f t="shared" si="177"/>
        <v>0</v>
      </c>
      <c r="CV238" s="513">
        <f t="shared" si="178"/>
        <v>0</v>
      </c>
      <c r="CW238" s="513">
        <f t="shared" si="179"/>
        <v>0</v>
      </c>
      <c r="CX238" s="513">
        <f t="shared" si="180"/>
        <v>0</v>
      </c>
      <c r="CY238" s="513">
        <f t="shared" si="181"/>
        <v>0</v>
      </c>
    </row>
    <row r="239" spans="1:103" ht="24" customHeight="1">
      <c r="A239" s="6129"/>
      <c r="B239" s="1883" t="s">
        <v>928</v>
      </c>
      <c r="C239" s="1847">
        <f t="shared" si="153"/>
        <v>0</v>
      </c>
      <c r="D239" s="1848">
        <f t="shared" si="197"/>
        <v>0</v>
      </c>
      <c r="E239" s="1884">
        <f t="shared" si="197"/>
        <v>0</v>
      </c>
      <c r="F239" s="1455"/>
      <c r="G239" s="1467"/>
      <c r="H239" s="1455"/>
      <c r="I239" s="1467"/>
      <c r="J239" s="1455"/>
      <c r="K239" s="1467"/>
      <c r="L239" s="1455"/>
      <c r="M239" s="1467"/>
      <c r="N239" s="1455"/>
      <c r="O239" s="1467"/>
      <c r="P239" s="1455"/>
      <c r="Q239" s="1467"/>
      <c r="R239" s="1455"/>
      <c r="S239" s="1467"/>
      <c r="T239" s="1455"/>
      <c r="U239" s="1467"/>
      <c r="V239" s="1455"/>
      <c r="W239" s="1467"/>
      <c r="X239" s="1455"/>
      <c r="Y239" s="1467"/>
      <c r="Z239" s="1455"/>
      <c r="AA239" s="1467"/>
      <c r="AB239" s="1455"/>
      <c r="AC239" s="1467"/>
      <c r="AD239" s="1455"/>
      <c r="AE239" s="1467"/>
      <c r="AF239" s="1455"/>
      <c r="AG239" s="1467"/>
      <c r="AH239" s="1455"/>
      <c r="AI239" s="1467"/>
      <c r="AJ239" s="1455"/>
      <c r="AK239" s="1467"/>
      <c r="AL239" s="1455"/>
      <c r="AM239" s="1490"/>
      <c r="AN239" s="1460"/>
      <c r="AO239" s="1461"/>
      <c r="AP239" s="1456"/>
      <c r="AQ239" s="1467"/>
      <c r="AR239" s="1455"/>
      <c r="AS239" s="1467"/>
      <c r="AT239" s="1490"/>
      <c r="AU239" s="1684"/>
      <c r="AV239" s="1490"/>
      <c r="AW239" s="1684"/>
      <c r="AX239" s="1467"/>
      <c r="AY239" s="385" t="str">
        <f t="shared" si="159"/>
        <v/>
      </c>
      <c r="CA239" s="1418" t="str">
        <f t="shared" si="194"/>
        <v/>
      </c>
      <c r="CB239" s="1418" t="str">
        <f t="shared" si="198"/>
        <v/>
      </c>
      <c r="CC239" s="1418" t="str">
        <f t="shared" si="195"/>
        <v/>
      </c>
      <c r="CD239" s="1418" t="str">
        <f t="shared" si="184"/>
        <v/>
      </c>
      <c r="CE239" s="1418" t="str">
        <f t="shared" si="185"/>
        <v/>
      </c>
      <c r="CF239" s="1418" t="str">
        <f t="shared" si="165"/>
        <v/>
      </c>
      <c r="CG239" s="1418" t="str">
        <f t="shared" si="166"/>
        <v/>
      </c>
      <c r="CH239" s="1418" t="str">
        <f t="shared" si="196"/>
        <v/>
      </c>
      <c r="CI239" s="1418" t="str">
        <f t="shared" si="168"/>
        <v/>
      </c>
      <c r="CJ239" s="1418" t="str">
        <f t="shared" si="169"/>
        <v/>
      </c>
      <c r="CK239" s="1418" t="str">
        <f t="shared" si="170"/>
        <v/>
      </c>
      <c r="CL239" s="385"/>
      <c r="CO239" s="513">
        <f t="shared" si="171"/>
        <v>0</v>
      </c>
      <c r="CP239" s="513">
        <f t="shared" si="172"/>
        <v>0</v>
      </c>
      <c r="CQ239" s="513">
        <f t="shared" si="173"/>
        <v>0</v>
      </c>
      <c r="CR239" s="513">
        <f t="shared" si="174"/>
        <v>0</v>
      </c>
      <c r="CS239" s="513">
        <f t="shared" si="175"/>
        <v>0</v>
      </c>
      <c r="CT239" s="513">
        <f t="shared" si="176"/>
        <v>0</v>
      </c>
      <c r="CU239" s="513">
        <f t="shared" si="177"/>
        <v>0</v>
      </c>
      <c r="CV239" s="513">
        <f t="shared" si="178"/>
        <v>0</v>
      </c>
      <c r="CW239" s="513">
        <f t="shared" si="179"/>
        <v>0</v>
      </c>
      <c r="CX239" s="513">
        <f t="shared" si="180"/>
        <v>0</v>
      </c>
      <c r="CY239" s="513">
        <f t="shared" si="181"/>
        <v>0</v>
      </c>
    </row>
    <row r="240" spans="1:103" ht="15" customHeight="1">
      <c r="A240" s="6143" t="s">
        <v>929</v>
      </c>
      <c r="B240" s="6144"/>
      <c r="C240" s="1816">
        <f t="shared" si="153"/>
        <v>0</v>
      </c>
      <c r="D240" s="1817">
        <f t="shared" si="197"/>
        <v>0</v>
      </c>
      <c r="E240" s="1785">
        <f t="shared" si="197"/>
        <v>0</v>
      </c>
      <c r="F240" s="1517"/>
      <c r="G240" s="1523"/>
      <c r="H240" s="1517"/>
      <c r="I240" s="1523"/>
      <c r="J240" s="1517"/>
      <c r="K240" s="1523"/>
      <c r="L240" s="1517"/>
      <c r="M240" s="1523"/>
      <c r="N240" s="1517"/>
      <c r="O240" s="1523"/>
      <c r="P240" s="1517"/>
      <c r="Q240" s="1523"/>
      <c r="R240" s="1517"/>
      <c r="S240" s="1523"/>
      <c r="T240" s="1517"/>
      <c r="U240" s="1523"/>
      <c r="V240" s="1517"/>
      <c r="W240" s="1523"/>
      <c r="X240" s="1517"/>
      <c r="Y240" s="1523"/>
      <c r="Z240" s="1517"/>
      <c r="AA240" s="1523"/>
      <c r="AB240" s="1517"/>
      <c r="AC240" s="1523"/>
      <c r="AD240" s="1517"/>
      <c r="AE240" s="1523"/>
      <c r="AF240" s="1517"/>
      <c r="AG240" s="1523"/>
      <c r="AH240" s="1517"/>
      <c r="AI240" s="1523"/>
      <c r="AJ240" s="1517"/>
      <c r="AK240" s="1523"/>
      <c r="AL240" s="1517"/>
      <c r="AM240" s="1770"/>
      <c r="AN240" s="1521"/>
      <c r="AO240" s="1522"/>
      <c r="AP240" s="1881"/>
      <c r="AQ240" s="1523"/>
      <c r="AR240" s="1517"/>
      <c r="AS240" s="1523"/>
      <c r="AT240" s="1770"/>
      <c r="AU240" s="1821"/>
      <c r="AV240" s="1770"/>
      <c r="AW240" s="1821"/>
      <c r="AX240" s="1523"/>
      <c r="AY240" s="385" t="str">
        <f t="shared" si="159"/>
        <v/>
      </c>
      <c r="CA240" s="1418" t="str">
        <f t="shared" si="194"/>
        <v/>
      </c>
      <c r="CB240" s="1418" t="str">
        <f t="shared" si="198"/>
        <v/>
      </c>
      <c r="CC240" s="1418" t="str">
        <f t="shared" si="195"/>
        <v/>
      </c>
      <c r="CD240" s="1418" t="str">
        <f t="shared" si="184"/>
        <v/>
      </c>
      <c r="CE240" s="1418" t="str">
        <f t="shared" si="185"/>
        <v/>
      </c>
      <c r="CF240" s="1418" t="str">
        <f t="shared" si="165"/>
        <v/>
      </c>
      <c r="CG240" s="1418" t="str">
        <f t="shared" si="166"/>
        <v/>
      </c>
      <c r="CH240" s="1418" t="str">
        <f t="shared" si="196"/>
        <v/>
      </c>
      <c r="CI240" s="1418" t="str">
        <f t="shared" si="168"/>
        <v/>
      </c>
      <c r="CJ240" s="1418" t="str">
        <f t="shared" si="169"/>
        <v/>
      </c>
      <c r="CK240" s="1418" t="str">
        <f t="shared" si="170"/>
        <v/>
      </c>
      <c r="CL240" s="385"/>
      <c r="CO240" s="513">
        <f t="shared" si="171"/>
        <v>0</v>
      </c>
      <c r="CP240" s="513">
        <f t="shared" si="172"/>
        <v>0</v>
      </c>
      <c r="CQ240" s="513">
        <f t="shared" si="173"/>
        <v>0</v>
      </c>
      <c r="CR240" s="513">
        <f t="shared" si="174"/>
        <v>0</v>
      </c>
      <c r="CS240" s="513">
        <f t="shared" si="175"/>
        <v>0</v>
      </c>
      <c r="CT240" s="513">
        <f t="shared" si="176"/>
        <v>0</v>
      </c>
      <c r="CU240" s="513">
        <f t="shared" si="177"/>
        <v>0</v>
      </c>
      <c r="CV240" s="513">
        <f t="shared" si="178"/>
        <v>0</v>
      </c>
      <c r="CW240" s="513">
        <f t="shared" si="179"/>
        <v>0</v>
      </c>
      <c r="CX240" s="513">
        <f t="shared" si="180"/>
        <v>0</v>
      </c>
      <c r="CY240" s="513">
        <f t="shared" si="181"/>
        <v>0</v>
      </c>
    </row>
    <row r="241" spans="1:103" ht="15" customHeight="1">
      <c r="A241" s="6171" t="s">
        <v>930</v>
      </c>
      <c r="B241" s="6172"/>
      <c r="C241" s="1847">
        <f t="shared" si="153"/>
        <v>0</v>
      </c>
      <c r="D241" s="1848">
        <f t="shared" si="197"/>
        <v>0</v>
      </c>
      <c r="E241" s="1453">
        <f t="shared" si="197"/>
        <v>0</v>
      </c>
      <c r="F241" s="1455"/>
      <c r="G241" s="1467"/>
      <c r="H241" s="1455"/>
      <c r="I241" s="1467"/>
      <c r="J241" s="1455"/>
      <c r="K241" s="1467"/>
      <c r="L241" s="1455"/>
      <c r="M241" s="1467"/>
      <c r="N241" s="1455"/>
      <c r="O241" s="1467"/>
      <c r="P241" s="1455"/>
      <c r="Q241" s="1467"/>
      <c r="R241" s="1455"/>
      <c r="S241" s="1467"/>
      <c r="T241" s="1455"/>
      <c r="U241" s="1467"/>
      <c r="V241" s="1455"/>
      <c r="W241" s="1467"/>
      <c r="X241" s="1455"/>
      <c r="Y241" s="1467"/>
      <c r="Z241" s="1455"/>
      <c r="AA241" s="1467"/>
      <c r="AB241" s="1455"/>
      <c r="AC241" s="1467"/>
      <c r="AD241" s="1455"/>
      <c r="AE241" s="1467"/>
      <c r="AF241" s="1455"/>
      <c r="AG241" s="1467"/>
      <c r="AH241" s="1455"/>
      <c r="AI241" s="1467"/>
      <c r="AJ241" s="1455"/>
      <c r="AK241" s="1467"/>
      <c r="AL241" s="1455"/>
      <c r="AM241" s="1490"/>
      <c r="AN241" s="1460"/>
      <c r="AO241" s="1461"/>
      <c r="AP241" s="1456"/>
      <c r="AQ241" s="1467"/>
      <c r="AR241" s="1455"/>
      <c r="AS241" s="1467"/>
      <c r="AT241" s="1490"/>
      <c r="AU241" s="1684"/>
      <c r="AV241" s="1490"/>
      <c r="AW241" s="1684"/>
      <c r="AX241" s="1467"/>
      <c r="AY241" s="385" t="str">
        <f t="shared" si="159"/>
        <v/>
      </c>
      <c r="CA241" s="1418" t="str">
        <f t="shared" si="194"/>
        <v/>
      </c>
      <c r="CB241" s="1418" t="str">
        <f t="shared" si="198"/>
        <v/>
      </c>
      <c r="CC241" s="1418" t="str">
        <f t="shared" si="195"/>
        <v/>
      </c>
      <c r="CD241" s="1418" t="str">
        <f t="shared" si="184"/>
        <v/>
      </c>
      <c r="CE241" s="1418" t="str">
        <f t="shared" si="185"/>
        <v/>
      </c>
      <c r="CF241" s="1418" t="str">
        <f t="shared" si="165"/>
        <v/>
      </c>
      <c r="CG241" s="1418" t="str">
        <f t="shared" si="166"/>
        <v/>
      </c>
      <c r="CH241" s="1418" t="str">
        <f t="shared" si="196"/>
        <v/>
      </c>
      <c r="CI241" s="1418" t="str">
        <f t="shared" si="168"/>
        <v/>
      </c>
      <c r="CJ241" s="1418" t="str">
        <f t="shared" si="169"/>
        <v/>
      </c>
      <c r="CK241" s="1418" t="str">
        <f t="shared" si="170"/>
        <v/>
      </c>
      <c r="CL241" s="385"/>
      <c r="CO241" s="513">
        <f t="shared" si="171"/>
        <v>0</v>
      </c>
      <c r="CP241" s="513">
        <f t="shared" si="172"/>
        <v>0</v>
      </c>
      <c r="CQ241" s="513">
        <f t="shared" si="173"/>
        <v>0</v>
      </c>
      <c r="CR241" s="513">
        <f t="shared" si="174"/>
        <v>0</v>
      </c>
      <c r="CS241" s="513">
        <f t="shared" si="175"/>
        <v>0</v>
      </c>
      <c r="CT241" s="513">
        <f t="shared" si="176"/>
        <v>0</v>
      </c>
      <c r="CU241" s="513">
        <f t="shared" si="177"/>
        <v>0</v>
      </c>
      <c r="CV241" s="513">
        <f t="shared" si="178"/>
        <v>0</v>
      </c>
      <c r="CW241" s="513">
        <f t="shared" si="179"/>
        <v>0</v>
      </c>
      <c r="CX241" s="513">
        <f t="shared" si="180"/>
        <v>0</v>
      </c>
      <c r="CY241" s="513">
        <f t="shared" si="181"/>
        <v>0</v>
      </c>
    </row>
    <row r="242" spans="1:103" s="385" customFormat="1" ht="18" customHeight="1">
      <c r="A242" s="1581" t="s">
        <v>931</v>
      </c>
      <c r="B242" s="1581"/>
      <c r="C242" s="1493"/>
      <c r="D242" s="1493"/>
      <c r="E242" s="1493"/>
      <c r="F242" s="1493"/>
      <c r="G242" s="1493"/>
      <c r="H242" s="1493"/>
      <c r="I242" s="1493"/>
      <c r="J242" s="1493"/>
      <c r="K242" s="1493"/>
      <c r="L242" s="1493"/>
      <c r="M242" s="1493"/>
      <c r="N242" s="1493"/>
      <c r="O242" s="1493"/>
      <c r="P242" s="1493"/>
      <c r="Q242" s="1493"/>
      <c r="R242" s="1493"/>
      <c r="S242" s="1493"/>
      <c r="T242" s="1493"/>
      <c r="U242" s="1493"/>
      <c r="V242" s="1493"/>
      <c r="W242" s="1493"/>
      <c r="X242" s="1493"/>
      <c r="Y242" s="1493"/>
      <c r="Z242" s="1493"/>
      <c r="AA242" s="1493"/>
      <c r="AB242" s="1493"/>
      <c r="AC242" s="1493"/>
      <c r="AD242" s="1493"/>
      <c r="AE242" s="1493"/>
      <c r="AF242" s="1493"/>
      <c r="AG242" s="1493"/>
      <c r="AH242" s="1493"/>
      <c r="AI242" s="1493"/>
      <c r="AJ242" s="1493"/>
      <c r="AK242" s="1493"/>
      <c r="AL242" s="1493"/>
      <c r="AM242" s="1493"/>
      <c r="AN242" s="1493"/>
      <c r="AO242" s="1493"/>
      <c r="AP242" s="1493"/>
      <c r="AQ242" s="1493"/>
      <c r="AR242" s="1493"/>
      <c r="AS242" s="1493"/>
      <c r="AT242" s="1493"/>
      <c r="AU242" s="1493"/>
      <c r="AV242" s="1493"/>
      <c r="AW242" s="1493"/>
      <c r="AX242" s="1493"/>
    </row>
    <row r="243" spans="1:103" ht="30" customHeight="1">
      <c r="A243" s="6140" t="s">
        <v>932</v>
      </c>
      <c r="B243" s="6119"/>
      <c r="C243" s="6142" t="s">
        <v>91</v>
      </c>
      <c r="D243" s="6142"/>
      <c r="E243" s="6142"/>
      <c r="F243" s="6142" t="s">
        <v>364</v>
      </c>
      <c r="G243" s="6142"/>
      <c r="H243" s="6142" t="s">
        <v>347</v>
      </c>
      <c r="I243" s="6142"/>
      <c r="J243" s="6142" t="s">
        <v>108</v>
      </c>
      <c r="K243" s="6142"/>
      <c r="L243" s="6142" t="s">
        <v>58</v>
      </c>
      <c r="M243" s="6142"/>
      <c r="N243" s="5707" t="s">
        <v>59</v>
      </c>
      <c r="O243" s="5709"/>
      <c r="P243" s="6137" t="s">
        <v>60</v>
      </c>
      <c r="Q243" s="6137"/>
      <c r="R243" s="6137" t="s">
        <v>61</v>
      </c>
      <c r="S243" s="6137"/>
      <c r="T243" s="6137" t="s">
        <v>62</v>
      </c>
      <c r="U243" s="6137"/>
      <c r="V243" s="6137" t="s">
        <v>63</v>
      </c>
      <c r="W243" s="6137"/>
      <c r="X243" s="6137" t="s">
        <v>64</v>
      </c>
      <c r="Y243" s="6137"/>
      <c r="Z243" s="6137" t="s">
        <v>65</v>
      </c>
      <c r="AA243" s="6137"/>
      <c r="AB243" s="6137" t="s">
        <v>66</v>
      </c>
      <c r="AC243" s="6137"/>
      <c r="AD243" s="6137" t="s">
        <v>67</v>
      </c>
      <c r="AE243" s="6137"/>
      <c r="AF243" s="6137" t="s">
        <v>68</v>
      </c>
      <c r="AG243" s="6137"/>
      <c r="AH243" s="6137" t="s">
        <v>69</v>
      </c>
      <c r="AI243" s="6137"/>
      <c r="AJ243" s="6137" t="s">
        <v>70</v>
      </c>
      <c r="AK243" s="6137"/>
      <c r="AL243" s="6137" t="s">
        <v>71</v>
      </c>
      <c r="AM243" s="5710"/>
      <c r="AN243" s="6191" t="s">
        <v>933</v>
      </c>
      <c r="AO243" s="6106"/>
      <c r="AP243" s="5716"/>
      <c r="AQ243" s="6192" t="s">
        <v>476</v>
      </c>
      <c r="AR243" s="6194" t="s">
        <v>477</v>
      </c>
      <c r="AS243" s="5712" t="s">
        <v>50</v>
      </c>
      <c r="AT243" s="6137"/>
      <c r="AU243" s="6187" t="s">
        <v>48</v>
      </c>
      <c r="AV243" s="6119" t="s">
        <v>49</v>
      </c>
      <c r="AW243" s="6187" t="s">
        <v>51</v>
      </c>
      <c r="AX243" s="6119" t="s">
        <v>934</v>
      </c>
    </row>
    <row r="244" spans="1:103" ht="40.5" customHeight="1">
      <c r="A244" s="6114"/>
      <c r="B244" s="6116"/>
      <c r="C244" s="1395" t="s">
        <v>93</v>
      </c>
      <c r="D244" s="397" t="s">
        <v>72</v>
      </c>
      <c r="E244" s="1778" t="s">
        <v>73</v>
      </c>
      <c r="F244" s="396" t="s">
        <v>72</v>
      </c>
      <c r="G244" s="1778" t="s">
        <v>73</v>
      </c>
      <c r="H244" s="396" t="s">
        <v>72</v>
      </c>
      <c r="I244" s="1778" t="s">
        <v>73</v>
      </c>
      <c r="J244" s="396" t="s">
        <v>72</v>
      </c>
      <c r="K244" s="1778" t="s">
        <v>73</v>
      </c>
      <c r="L244" s="396" t="s">
        <v>72</v>
      </c>
      <c r="M244" s="1778" t="s">
        <v>73</v>
      </c>
      <c r="N244" s="396" t="s">
        <v>72</v>
      </c>
      <c r="O244" s="1778" t="s">
        <v>73</v>
      </c>
      <c r="P244" s="396" t="s">
        <v>72</v>
      </c>
      <c r="Q244" s="1778" t="s">
        <v>73</v>
      </c>
      <c r="R244" s="396" t="s">
        <v>72</v>
      </c>
      <c r="S244" s="1778" t="s">
        <v>73</v>
      </c>
      <c r="T244" s="396" t="s">
        <v>72</v>
      </c>
      <c r="U244" s="1778" t="s">
        <v>73</v>
      </c>
      <c r="V244" s="396" t="s">
        <v>72</v>
      </c>
      <c r="W244" s="1778" t="s">
        <v>73</v>
      </c>
      <c r="X244" s="396" t="s">
        <v>72</v>
      </c>
      <c r="Y244" s="1778" t="s">
        <v>73</v>
      </c>
      <c r="Z244" s="396" t="s">
        <v>72</v>
      </c>
      <c r="AA244" s="1778" t="s">
        <v>73</v>
      </c>
      <c r="AB244" s="396" t="s">
        <v>72</v>
      </c>
      <c r="AC244" s="1778" t="s">
        <v>73</v>
      </c>
      <c r="AD244" s="396" t="s">
        <v>72</v>
      </c>
      <c r="AE244" s="1778" t="s">
        <v>73</v>
      </c>
      <c r="AF244" s="396" t="s">
        <v>72</v>
      </c>
      <c r="AG244" s="1778" t="s">
        <v>73</v>
      </c>
      <c r="AH244" s="396" t="s">
        <v>72</v>
      </c>
      <c r="AI244" s="1778" t="s">
        <v>73</v>
      </c>
      <c r="AJ244" s="396" t="s">
        <v>72</v>
      </c>
      <c r="AK244" s="1778" t="s">
        <v>73</v>
      </c>
      <c r="AL244" s="396" t="s">
        <v>72</v>
      </c>
      <c r="AM244" s="1885" t="s">
        <v>73</v>
      </c>
      <c r="AN244" s="1733" t="s">
        <v>838</v>
      </c>
      <c r="AO244" s="1396" t="s">
        <v>840</v>
      </c>
      <c r="AP244" s="394" t="s">
        <v>935</v>
      </c>
      <c r="AQ244" s="6193"/>
      <c r="AR244" s="6195"/>
      <c r="AS244" s="397" t="s">
        <v>72</v>
      </c>
      <c r="AT244" s="1778" t="s">
        <v>73</v>
      </c>
      <c r="AU244" s="6188"/>
      <c r="AV244" s="6116"/>
      <c r="AW244" s="6188"/>
      <c r="AX244" s="6116"/>
    </row>
    <row r="245" spans="1:103" s="385" customFormat="1" ht="18" customHeight="1">
      <c r="A245" s="6189" t="s">
        <v>936</v>
      </c>
      <c r="B245" s="6190"/>
      <c r="C245" s="1783">
        <f t="shared" si="153"/>
        <v>0</v>
      </c>
      <c r="D245" s="1784">
        <f t="shared" si="197"/>
        <v>0</v>
      </c>
      <c r="E245" s="1785">
        <f>SUM(G245+I245+K245+M245+O245+Q245+S245+U245+W245+Y245+AA245+AC245+AE245+AG245+AI245+AK245+AM245)</f>
        <v>0</v>
      </c>
      <c r="F245" s="1475"/>
      <c r="G245" s="1539"/>
      <c r="H245" s="1475"/>
      <c r="I245" s="1539"/>
      <c r="J245" s="1475"/>
      <c r="K245" s="1539"/>
      <c r="L245" s="1475"/>
      <c r="M245" s="1539"/>
      <c r="N245" s="1475"/>
      <c r="O245" s="1539"/>
      <c r="P245" s="1475"/>
      <c r="Q245" s="1539"/>
      <c r="R245" s="1475"/>
      <c r="S245" s="1539"/>
      <c r="T245" s="1475"/>
      <c r="U245" s="1539"/>
      <c r="V245" s="1475"/>
      <c r="W245" s="1539"/>
      <c r="X245" s="1475"/>
      <c r="Y245" s="1539"/>
      <c r="Z245" s="1475"/>
      <c r="AA245" s="1539"/>
      <c r="AB245" s="1475"/>
      <c r="AC245" s="1539"/>
      <c r="AD245" s="1475"/>
      <c r="AE245" s="1539"/>
      <c r="AF245" s="1475"/>
      <c r="AG245" s="1539"/>
      <c r="AH245" s="1475"/>
      <c r="AI245" s="1539"/>
      <c r="AJ245" s="1475"/>
      <c r="AK245" s="1539"/>
      <c r="AL245" s="1475"/>
      <c r="AM245" s="1477"/>
      <c r="AN245" s="1722"/>
      <c r="AO245" s="1552"/>
      <c r="AP245" s="1660"/>
      <c r="AQ245" s="1477"/>
      <c r="AR245" s="1478"/>
      <c r="AS245" s="1585"/>
      <c r="AT245" s="1539"/>
      <c r="AU245" s="1585"/>
      <c r="AV245" s="1539"/>
      <c r="AW245" s="1475"/>
      <c r="AX245" s="1539"/>
      <c r="AY245" s="385" t="str">
        <f>CA245&amp;CB245&amp;CC245&amp;CD245&amp;CE245&amp;CF245&amp;CG245&amp;CH245&amp;CI245</f>
        <v/>
      </c>
      <c r="CA245" s="1470"/>
      <c r="CB245" s="1418" t="str">
        <f>IF(AND(E245&gt;0,AQ245=""), "* No olvide digitar la variable Gestantes. Digite Cero si no tiene.", IF(AQ245&gt;E245," * La variable Gestantes No puede ser mayor al Total Mujeres.",""))</f>
        <v/>
      </c>
      <c r="CC245" s="1418" t="str">
        <f>IF(AND(E245&gt;0,AR245=""), "* No olvide digitar la variable Madre de hijo menor de 5 años. Digite Cero si no tiene.",IF(AR245&gt;E245,"  * La variable Madre de hijo menor de 5 años No puede ser mayor al Total Mujeres.",""))</f>
        <v/>
      </c>
      <c r="CD245" s="1418" t="str">
        <f>IF(AND(D245&gt;0,OR(AS245="")), "* No olvide digitar la variable Pueblos originarios Hombres. Digite Cero si no tiene.",IF(AS245&gt;D245,"  * La variable Pueblos originarios Hombres No puede ser mayor al Total Hombres.",""))</f>
        <v/>
      </c>
      <c r="CE245" s="1418" t="str">
        <f>IF(AND(E245&gt;0,OR(AT245="")), "* No olvide digitar la variable Pueblos originarios Mujeres. Digite Cero si no tiene.",IF(AT245&gt;E245,"  * La variable Pueblos originarios Mujeres No puede ser mayor al Total Mujeres.",""))</f>
        <v/>
      </c>
      <c r="CF245" s="1418" t="str">
        <f t="shared" ref="CF245:CF293" si="201">IF(AND(C245&gt;0,AU245=""), "* No olvide digitar la variable SENAME/ Servicio Nacional de Reinserción social Juvenil . Digite Cero si no tiene.",IF(AU245&gt;C245,"  * La variable SENAME/ Servicio Nacional de Reinserción social Juvenil  No puede ser mayor al Total.",""))</f>
        <v/>
      </c>
      <c r="CG245" s="1418" t="str">
        <f>IF(AND(C245&gt;0,AV245=""), "* No olvide digitar la variable Servicio Nacional Protección Especializada a la Niñez y Adolescencia. Digite Cero si no tiene.",IF(AV245&gt;C245,"  * La variable NServicio Nacional Protección Especializada a la Niñez y Adolescencia No puede ser mayor al Total.",""))</f>
        <v/>
      </c>
      <c r="CH245" s="1418" t="str">
        <f>IF(AND(C245&gt;0,AW245=""), "* No olvide digitar la variable Migrantes. Digite Cero si no tiene.",IF(AW245&gt;C245,"  * La variable Migrantes No puede ser mayor al Total.",""))</f>
        <v/>
      </c>
      <c r="CI245" s="1418" t="str">
        <f>IF(AND(C245&gt;0,AX245=""), "* No olvide digitar la variable Trans (Masculino/ Femenino). Digite Cero si no tiene.",IF(AX245&gt;C245,"  * La variable Trans (Masculino/Femenino) No puede ser mayor al Total Ambos Sexos.",""))</f>
        <v/>
      </c>
      <c r="CL245"/>
      <c r="CO245"/>
      <c r="CP245" s="1886">
        <f>IF(AND(E245&gt;0,AQ245=""),1,IF(AQ245&gt;E245,1,0))</f>
        <v>0</v>
      </c>
      <c r="CQ245" s="1886">
        <f>IF(AND(E245&gt;0,AR245=""),1,IF(AR245&gt;E245,1,0))</f>
        <v>0</v>
      </c>
      <c r="CR245" s="1886">
        <f>IF(AND(D245&gt;0,OR(AS245="")),1,IF(AS245&gt;D245,1,0))</f>
        <v>0</v>
      </c>
      <c r="CS245" s="1886">
        <f>IF(AND(E245&gt;0,OR(AT245="")),1,IF(AT245&gt;E245,1,0))</f>
        <v>0</v>
      </c>
      <c r="CT245" s="1886">
        <f>IF(AND(C245&gt;0,AU245=""),1,IF(AU245&gt;C245,1,0))</f>
        <v>0</v>
      </c>
      <c r="CU245" s="1886">
        <f>IF(AND(C245&gt;0,AV245=""),1,IF(AV245&gt;C245,1,0))</f>
        <v>0</v>
      </c>
      <c r="CV245" s="1886">
        <f>IF(AND(C245&gt;0,AW245=""),1,IF(AW245&gt;C245,1,0))</f>
        <v>0</v>
      </c>
      <c r="CW245" s="1886">
        <f>IF(AND(C245&gt;0,AX245=""),1,IF(AX245&gt;C245,1,0))</f>
        <v>0</v>
      </c>
    </row>
    <row r="246" spans="1:103" s="385" customFormat="1" ht="18" customHeight="1">
      <c r="A246" s="6183" t="s">
        <v>877</v>
      </c>
      <c r="B246" s="6184"/>
      <c r="C246" s="1887"/>
      <c r="D246" s="1888"/>
      <c r="E246" s="1888"/>
      <c r="F246" s="1889"/>
      <c r="G246" s="1889"/>
      <c r="H246" s="1889"/>
      <c r="I246" s="1889"/>
      <c r="J246" s="1889"/>
      <c r="K246" s="1889"/>
      <c r="L246" s="1889"/>
      <c r="M246" s="1889"/>
      <c r="N246" s="1889"/>
      <c r="O246" s="1889"/>
      <c r="P246" s="1889"/>
      <c r="Q246" s="1889"/>
      <c r="R246" s="1889"/>
      <c r="S246" s="1889"/>
      <c r="T246" s="1889"/>
      <c r="U246" s="1889"/>
      <c r="V246" s="1889"/>
      <c r="W246" s="1889"/>
      <c r="X246" s="1889"/>
      <c r="Y246" s="1889"/>
      <c r="Z246" s="1889"/>
      <c r="AA246" s="1889"/>
      <c r="AB246" s="1889"/>
      <c r="AC246" s="1889"/>
      <c r="AD246" s="1889"/>
      <c r="AE246" s="1889"/>
      <c r="AF246" s="1889"/>
      <c r="AG246" s="1889"/>
      <c r="AH246" s="1889"/>
      <c r="AI246" s="1889"/>
      <c r="AJ246" s="1889"/>
      <c r="AK246" s="1889"/>
      <c r="AL246" s="1889"/>
      <c r="AM246" s="1890"/>
      <c r="AN246" s="1890"/>
      <c r="AO246" s="1890"/>
      <c r="AP246" s="1891"/>
      <c r="AQ246" s="1890"/>
      <c r="AR246" s="1892"/>
      <c r="AS246" s="1890"/>
      <c r="AT246" s="1890"/>
      <c r="AU246" s="1890"/>
      <c r="AV246" s="1890"/>
      <c r="AW246" s="1890"/>
      <c r="AX246" s="1893"/>
      <c r="CF246" s="1418" t="str">
        <f t="shared" si="201"/>
        <v/>
      </c>
    </row>
    <row r="247" spans="1:103" s="385" customFormat="1" ht="15" customHeight="1">
      <c r="A247" s="6127" t="s">
        <v>878</v>
      </c>
      <c r="B247" s="1672" t="s">
        <v>879</v>
      </c>
      <c r="C247" s="1791">
        <f t="shared" si="153"/>
        <v>0</v>
      </c>
      <c r="D247" s="1792">
        <f t="shared" si="197"/>
        <v>0</v>
      </c>
      <c r="E247" s="1672">
        <f t="shared" ref="E247:E250" si="202">SUM(G247+I247+K247+M247+O247+Q247+S247+U247+W247+Y247+AA247+AC247+AE247+AG247+AI247+AK247+AM247)</f>
        <v>0</v>
      </c>
      <c r="F247" s="1424"/>
      <c r="G247" s="1436"/>
      <c r="H247" s="1475"/>
      <c r="I247" s="1539"/>
      <c r="J247" s="1475"/>
      <c r="K247" s="1539"/>
      <c r="L247" s="1475"/>
      <c r="M247" s="1539"/>
      <c r="N247" s="1475"/>
      <c r="O247" s="1539"/>
      <c r="P247" s="1475"/>
      <c r="Q247" s="1539"/>
      <c r="R247" s="1475"/>
      <c r="S247" s="1539"/>
      <c r="T247" s="1475"/>
      <c r="U247" s="1539"/>
      <c r="V247" s="1475"/>
      <c r="W247" s="1539"/>
      <c r="X247" s="1475"/>
      <c r="Y247" s="1539"/>
      <c r="Z247" s="1475"/>
      <c r="AA247" s="1539"/>
      <c r="AB247" s="1475"/>
      <c r="AC247" s="1539"/>
      <c r="AD247" s="1475"/>
      <c r="AE247" s="1539"/>
      <c r="AF247" s="1475"/>
      <c r="AG247" s="1539"/>
      <c r="AH247" s="1475"/>
      <c r="AI247" s="1539"/>
      <c r="AJ247" s="1475"/>
      <c r="AK247" s="1539"/>
      <c r="AL247" s="1475"/>
      <c r="AM247" s="1477"/>
      <c r="AN247" s="1722"/>
      <c r="AO247" s="1552"/>
      <c r="AP247" s="1660"/>
      <c r="AQ247" s="1477"/>
      <c r="AR247" s="1478"/>
      <c r="AS247" s="1585"/>
      <c r="AT247" s="1539"/>
      <c r="AU247" s="1585"/>
      <c r="AV247" s="1539"/>
      <c r="AW247" s="1475"/>
      <c r="AX247" s="1539"/>
      <c r="AY247" s="385" t="str">
        <f t="shared" ref="AY247:AY293" si="203">CA247&amp;CB247&amp;CC247&amp;CD247&amp;CE247&amp;CF247&amp;CG247&amp;CH247&amp;CI247</f>
        <v/>
      </c>
      <c r="CA247" s="1470"/>
      <c r="CB247" s="1418" t="str">
        <f t="shared" ref="CB247:CB293" si="204">IF(AND(E247&gt;0,AQ247=""), "* No olvide digitar la variable Gestantes. Digite Cero si no tiene.",IF(AQ247&gt;E247,"  * La variable Gestantes No puede ser mayor al Total Mujeres.",""))</f>
        <v/>
      </c>
      <c r="CC247" s="1418" t="str">
        <f t="shared" ref="CC247:CC293" si="205">IF(AND(E247&gt;0,AR247=""), "* No olvide digitar la variable Madre de hijo menor de 5 años. Digite Cero si no tiene.",IF(AR247&gt;E247,"  * La variable Madre de hijo menor de 5 años No puede ser mayor al Total Mujeres.",""))</f>
        <v/>
      </c>
      <c r="CD247" s="1418" t="str">
        <f t="shared" ref="CD247:CD293" si="206">IF(AND(D247&gt;0,OR(AS247="")), "* No olvide digitar la variable Pueblos originarios Hombres. Digite Cero si no tiene.",IF(AS247&gt;D247,"  * La variable Pueblos originarios Hombres No puede ser mayor al Total Hombres.",""))</f>
        <v/>
      </c>
      <c r="CE247" s="1418" t="str">
        <f t="shared" ref="CE247:CE293" si="207">IF(AND(E247&gt;0,OR(AT247="")), "* No olvide digitar la variable Pueblos originarios Mujeres. Digite Cero si no tiene.",IF(AT247&gt;E247,"  * La variable Pueblos originarios Mujeres No puede ser mayor al Total Mujeres.",""))</f>
        <v/>
      </c>
      <c r="CF247" s="1418" t="str">
        <f t="shared" si="201"/>
        <v/>
      </c>
      <c r="CG247" s="1418" t="str">
        <f t="shared" ref="CG247:CG293" si="208">IF(AND(C247&gt;0,AV247=""), "* No olvide digitar la variable Servicio Nacional Protección Especializada a la Niñez y Adolescencia. Digite Cero si no tiene.",IF(AV247&gt;C247,"  * La variable NServicio Nacional Protección Especializada a la Niñez y Adolescencia No puede ser mayor al Total.",""))</f>
        <v/>
      </c>
      <c r="CH247" s="1418" t="str">
        <f t="shared" ref="CH247:CH293" si="209">IF(AND(C247&gt;0,AW247=""), "* No olvide digitar la variable Migrantes. Digite Cero si no tiene.",IF(AW247&gt;C247,"  * La variable Migrantes No puede ser mayor al Total.",""))</f>
        <v/>
      </c>
      <c r="CI247" s="1418" t="str">
        <f t="shared" ref="CI247:CI293" si="210">IF(AND(C247&gt;0,AX247=""), "* No olvide digitar la variable Trans (Masculino/ Femenino). Digite Cero si no tiene.",IF(AX247&gt;C247,"  * La variable Trans (Masculino/Femenino) No puede ser mayor al Total Ambos Sexos.",""))</f>
        <v/>
      </c>
      <c r="CL247"/>
      <c r="CO247"/>
      <c r="CP247" s="1886">
        <f t="shared" ref="CP247:CP293" si="211">IF(AND(E247&gt;0,AQ247=""),1,IF(AQ247&gt;E247,1,0))</f>
        <v>0</v>
      </c>
      <c r="CQ247" s="1886">
        <f t="shared" ref="CQ247:CQ293" si="212">IF(AND(E247&gt;0,AR247=""),1,IF(AR247&gt;E247,1,0))</f>
        <v>0</v>
      </c>
      <c r="CR247" s="1886">
        <f t="shared" ref="CR247:CR293" si="213">IF(AND(D247&gt;0,OR(AS247="")),1,IF(AS247&gt;D247,1,0))</f>
        <v>0</v>
      </c>
      <c r="CS247" s="1886">
        <f t="shared" ref="CS247:CS293" si="214">IF(AND(E247&gt;0,OR(AT247="")),1,IF(AT247&gt;E247,1,0))</f>
        <v>0</v>
      </c>
      <c r="CT247" s="1886">
        <f t="shared" ref="CT247:CT310" si="215">IF(AND(C247&gt;0,AU247=""),1,IF(AU247&gt;C247,1,0))</f>
        <v>0</v>
      </c>
      <c r="CU247" s="1886">
        <f t="shared" ref="CU247:CU310" si="216">IF(AND(C247&gt;0,AV247=""),1,IF(AV247&gt;C247,1,0))</f>
        <v>0</v>
      </c>
      <c r="CV247" s="1886">
        <f t="shared" ref="CV247:CV293" si="217">IF(AND(C247&gt;0,AW247=""),1,IF(AW247&gt;C247,1,0))</f>
        <v>0</v>
      </c>
      <c r="CW247" s="1886">
        <f t="shared" ref="CW247:CW293" si="218">IF(AND(C247&gt;0,AX247=""),1,IF(AX247&gt;C247,1,0))</f>
        <v>0</v>
      </c>
    </row>
    <row r="248" spans="1:103" s="385" customFormat="1" ht="15" customHeight="1">
      <c r="A248" s="6129"/>
      <c r="B248" s="1453" t="s">
        <v>880</v>
      </c>
      <c r="C248" s="1793">
        <f t="shared" ref="C248:C306" si="219">SUM(D248+E248)</f>
        <v>0</v>
      </c>
      <c r="D248" s="1794">
        <f t="shared" si="197"/>
        <v>0</v>
      </c>
      <c r="E248" s="1795">
        <f t="shared" si="202"/>
        <v>0</v>
      </c>
      <c r="F248" s="1480"/>
      <c r="G248" s="1545"/>
      <c r="H248" s="1480"/>
      <c r="I248" s="1545"/>
      <c r="J248" s="1480"/>
      <c r="K248" s="1545"/>
      <c r="L248" s="1480"/>
      <c r="M248" s="1545"/>
      <c r="N248" s="1480"/>
      <c r="O248" s="1545"/>
      <c r="P248" s="1480"/>
      <c r="Q248" s="1545"/>
      <c r="R248" s="1480"/>
      <c r="S248" s="1545"/>
      <c r="T248" s="1480"/>
      <c r="U248" s="1545"/>
      <c r="V248" s="1480"/>
      <c r="W248" s="1545"/>
      <c r="X248" s="1480"/>
      <c r="Y248" s="1545"/>
      <c r="Z248" s="1480"/>
      <c r="AA248" s="1545"/>
      <c r="AB248" s="1480"/>
      <c r="AC248" s="1545"/>
      <c r="AD248" s="1480"/>
      <c r="AE248" s="1545"/>
      <c r="AF248" s="1480"/>
      <c r="AG248" s="1545"/>
      <c r="AH248" s="1480"/>
      <c r="AI248" s="1545"/>
      <c r="AJ248" s="1480"/>
      <c r="AK248" s="1545"/>
      <c r="AL248" s="1480"/>
      <c r="AM248" s="1482"/>
      <c r="AN248" s="1754"/>
      <c r="AO248" s="1796"/>
      <c r="AP248" s="1725"/>
      <c r="AQ248" s="1800"/>
      <c r="AR248" s="1533"/>
      <c r="AS248" s="1552"/>
      <c r="AT248" s="1534"/>
      <c r="AU248" s="1552"/>
      <c r="AV248" s="1534"/>
      <c r="AW248" s="1552"/>
      <c r="AX248" s="1534"/>
      <c r="AY248" s="385" t="str">
        <f t="shared" si="203"/>
        <v/>
      </c>
      <c r="CA248" s="1470"/>
      <c r="CB248" s="1418" t="str">
        <f t="shared" si="204"/>
        <v/>
      </c>
      <c r="CC248" s="1418" t="str">
        <f t="shared" si="205"/>
        <v/>
      </c>
      <c r="CD248" s="1418" t="str">
        <f t="shared" si="206"/>
        <v/>
      </c>
      <c r="CE248" s="1418" t="str">
        <f t="shared" si="207"/>
        <v/>
      </c>
      <c r="CF248" s="1418" t="str">
        <f t="shared" si="201"/>
        <v/>
      </c>
      <c r="CG248" s="1418" t="str">
        <f t="shared" si="208"/>
        <v/>
      </c>
      <c r="CH248" s="1418" t="str">
        <f t="shared" si="209"/>
        <v/>
      </c>
      <c r="CI248" s="1418" t="str">
        <f t="shared" si="210"/>
        <v/>
      </c>
      <c r="CL248"/>
      <c r="CO248"/>
      <c r="CP248" s="1886">
        <f t="shared" si="211"/>
        <v>0</v>
      </c>
      <c r="CQ248" s="1886">
        <f t="shared" si="212"/>
        <v>0</v>
      </c>
      <c r="CR248" s="1886">
        <f t="shared" si="213"/>
        <v>0</v>
      </c>
      <c r="CS248" s="1886">
        <f t="shared" si="214"/>
        <v>0</v>
      </c>
      <c r="CT248" s="1886">
        <f t="shared" si="215"/>
        <v>0</v>
      </c>
      <c r="CU248" s="1886">
        <f t="shared" si="216"/>
        <v>0</v>
      </c>
      <c r="CV248" s="1886">
        <f t="shared" si="217"/>
        <v>0</v>
      </c>
      <c r="CW248" s="1886">
        <f t="shared" si="218"/>
        <v>0</v>
      </c>
    </row>
    <row r="249" spans="1:103" s="385" customFormat="1" ht="15" customHeight="1">
      <c r="A249" s="6127" t="s">
        <v>881</v>
      </c>
      <c r="B249" s="1672" t="s">
        <v>879</v>
      </c>
      <c r="C249" s="1791">
        <f t="shared" si="219"/>
        <v>0</v>
      </c>
      <c r="D249" s="1792">
        <f t="shared" si="197"/>
        <v>0</v>
      </c>
      <c r="E249" s="1672">
        <f t="shared" si="202"/>
        <v>0</v>
      </c>
      <c r="F249" s="1424"/>
      <c r="G249" s="1436"/>
      <c r="H249" s="1424"/>
      <c r="I249" s="1436"/>
      <c r="J249" s="1424"/>
      <c r="K249" s="1436"/>
      <c r="L249" s="1424"/>
      <c r="M249" s="1436"/>
      <c r="N249" s="1424"/>
      <c r="O249" s="1436"/>
      <c r="P249" s="1424"/>
      <c r="Q249" s="1436"/>
      <c r="R249" s="1424"/>
      <c r="S249" s="1436"/>
      <c r="T249" s="1424"/>
      <c r="U249" s="1436"/>
      <c r="V249" s="1424"/>
      <c r="W249" s="1436"/>
      <c r="X249" s="1424"/>
      <c r="Y249" s="1436"/>
      <c r="Z249" s="1424"/>
      <c r="AA249" s="1436"/>
      <c r="AB249" s="1424"/>
      <c r="AC249" s="1436"/>
      <c r="AD249" s="1424"/>
      <c r="AE249" s="1436"/>
      <c r="AF249" s="1424"/>
      <c r="AG249" s="1436"/>
      <c r="AH249" s="1424"/>
      <c r="AI249" s="1436"/>
      <c r="AJ249" s="1424"/>
      <c r="AK249" s="1436"/>
      <c r="AL249" s="1424"/>
      <c r="AM249" s="1652"/>
      <c r="AN249" s="1707"/>
      <c r="AO249" s="1425"/>
      <c r="AP249" s="1650"/>
      <c r="AQ249" s="1652"/>
      <c r="AR249" s="1430"/>
      <c r="AS249" s="1425"/>
      <c r="AT249" s="1436"/>
      <c r="AU249" s="1425"/>
      <c r="AV249" s="1436"/>
      <c r="AW249" s="1425"/>
      <c r="AX249" s="1436"/>
      <c r="AY249" s="385" t="str">
        <f t="shared" si="203"/>
        <v/>
      </c>
      <c r="CA249" s="1470"/>
      <c r="CB249" s="1418" t="str">
        <f t="shared" si="204"/>
        <v/>
      </c>
      <c r="CC249" s="1418" t="str">
        <f t="shared" si="205"/>
        <v/>
      </c>
      <c r="CD249" s="1418" t="str">
        <f t="shared" si="206"/>
        <v/>
      </c>
      <c r="CE249" s="1418" t="str">
        <f t="shared" si="207"/>
        <v/>
      </c>
      <c r="CF249" s="1418" t="str">
        <f t="shared" si="201"/>
        <v/>
      </c>
      <c r="CG249" s="1418" t="str">
        <f t="shared" si="208"/>
        <v/>
      </c>
      <c r="CH249" s="1418" t="str">
        <f t="shared" si="209"/>
        <v/>
      </c>
      <c r="CI249" s="1418" t="str">
        <f t="shared" si="210"/>
        <v/>
      </c>
      <c r="CL249"/>
      <c r="CO249"/>
      <c r="CP249" s="1886">
        <f t="shared" si="211"/>
        <v>0</v>
      </c>
      <c r="CQ249" s="1886">
        <f t="shared" si="212"/>
        <v>0</v>
      </c>
      <c r="CR249" s="1886">
        <f t="shared" si="213"/>
        <v>0</v>
      </c>
      <c r="CS249" s="1886">
        <f t="shared" si="214"/>
        <v>0</v>
      </c>
      <c r="CT249" s="1886">
        <f t="shared" si="215"/>
        <v>0</v>
      </c>
      <c r="CU249" s="1886">
        <f t="shared" si="216"/>
        <v>0</v>
      </c>
      <c r="CV249" s="1886">
        <f t="shared" si="217"/>
        <v>0</v>
      </c>
      <c r="CW249" s="1886">
        <f t="shared" si="218"/>
        <v>0</v>
      </c>
    </row>
    <row r="250" spans="1:103" s="385" customFormat="1" ht="15" customHeight="1">
      <c r="A250" s="6129"/>
      <c r="B250" s="1453" t="s">
        <v>880</v>
      </c>
      <c r="C250" s="1793">
        <f t="shared" si="219"/>
        <v>0</v>
      </c>
      <c r="D250" s="1794">
        <f t="shared" si="197"/>
        <v>0</v>
      </c>
      <c r="E250" s="1795">
        <f t="shared" si="202"/>
        <v>0</v>
      </c>
      <c r="F250" s="1480"/>
      <c r="G250" s="1545"/>
      <c r="H250" s="1480"/>
      <c r="I250" s="1545"/>
      <c r="J250" s="1480"/>
      <c r="K250" s="1545"/>
      <c r="L250" s="1480"/>
      <c r="M250" s="1545"/>
      <c r="N250" s="1480"/>
      <c r="O250" s="1545"/>
      <c r="P250" s="1480"/>
      <c r="Q250" s="1545"/>
      <c r="R250" s="1480"/>
      <c r="S250" s="1545"/>
      <c r="T250" s="1480"/>
      <c r="U250" s="1545"/>
      <c r="V250" s="1480"/>
      <c r="W250" s="1545"/>
      <c r="X250" s="1480"/>
      <c r="Y250" s="1545"/>
      <c r="Z250" s="1480"/>
      <c r="AA250" s="1545"/>
      <c r="AB250" s="1480"/>
      <c r="AC250" s="1545"/>
      <c r="AD250" s="1480"/>
      <c r="AE250" s="1545"/>
      <c r="AF250" s="1480"/>
      <c r="AG250" s="1545"/>
      <c r="AH250" s="1480"/>
      <c r="AI250" s="1545"/>
      <c r="AJ250" s="1480"/>
      <c r="AK250" s="1545"/>
      <c r="AL250" s="1480"/>
      <c r="AM250" s="1482"/>
      <c r="AN250" s="1754"/>
      <c r="AO250" s="1796"/>
      <c r="AP250" s="1725"/>
      <c r="AQ250" s="1800"/>
      <c r="AR250" s="1533"/>
      <c r="AS250" s="1552"/>
      <c r="AT250" s="1534"/>
      <c r="AU250" s="1552"/>
      <c r="AV250" s="1534"/>
      <c r="AW250" s="1552"/>
      <c r="AX250" s="1534"/>
      <c r="AY250" s="385" t="str">
        <f t="shared" si="203"/>
        <v/>
      </c>
      <c r="CA250" s="1470"/>
      <c r="CB250" s="1418" t="str">
        <f t="shared" si="204"/>
        <v/>
      </c>
      <c r="CC250" s="1418" t="str">
        <f t="shared" si="205"/>
        <v/>
      </c>
      <c r="CD250" s="1418" t="str">
        <f t="shared" si="206"/>
        <v/>
      </c>
      <c r="CE250" s="1418" t="str">
        <f t="shared" si="207"/>
        <v/>
      </c>
      <c r="CF250" s="1418" t="str">
        <f t="shared" si="201"/>
        <v/>
      </c>
      <c r="CG250" s="1418" t="str">
        <f t="shared" si="208"/>
        <v/>
      </c>
      <c r="CH250" s="1418" t="str">
        <f t="shared" si="209"/>
        <v/>
      </c>
      <c r="CI250" s="1418" t="str">
        <f t="shared" si="210"/>
        <v/>
      </c>
      <c r="CL250"/>
      <c r="CO250"/>
      <c r="CP250" s="1886">
        <f t="shared" si="211"/>
        <v>0</v>
      </c>
      <c r="CQ250" s="1886">
        <f t="shared" si="212"/>
        <v>0</v>
      </c>
      <c r="CR250" s="1886">
        <f t="shared" si="213"/>
        <v>0</v>
      </c>
      <c r="CS250" s="1886">
        <f t="shared" si="214"/>
        <v>0</v>
      </c>
      <c r="CT250" s="1886">
        <f t="shared" si="215"/>
        <v>0</v>
      </c>
      <c r="CU250" s="1886">
        <f t="shared" si="216"/>
        <v>0</v>
      </c>
      <c r="CV250" s="1886">
        <f t="shared" si="217"/>
        <v>0</v>
      </c>
      <c r="CW250" s="1886">
        <f t="shared" si="218"/>
        <v>0</v>
      </c>
    </row>
    <row r="251" spans="1:103" ht="15" customHeight="1">
      <c r="A251" s="6127" t="s">
        <v>882</v>
      </c>
      <c r="B251" s="1672" t="s">
        <v>879</v>
      </c>
      <c r="C251" s="1791">
        <f t="shared" si="219"/>
        <v>0</v>
      </c>
      <c r="D251" s="1792">
        <f t="shared" si="197"/>
        <v>0</v>
      </c>
      <c r="E251" s="1672">
        <f t="shared" si="197"/>
        <v>0</v>
      </c>
      <c r="F251" s="1424"/>
      <c r="G251" s="1436"/>
      <c r="H251" s="1424"/>
      <c r="I251" s="1436"/>
      <c r="J251" s="1424"/>
      <c r="K251" s="1436"/>
      <c r="L251" s="1424"/>
      <c r="M251" s="1436"/>
      <c r="N251" s="1424"/>
      <c r="O251" s="1436"/>
      <c r="P251" s="1424"/>
      <c r="Q251" s="1436"/>
      <c r="R251" s="1424"/>
      <c r="S251" s="1436"/>
      <c r="T251" s="1424"/>
      <c r="U251" s="1436"/>
      <c r="V251" s="1424"/>
      <c r="W251" s="1436"/>
      <c r="X251" s="1424"/>
      <c r="Y251" s="1436"/>
      <c r="Z251" s="1424"/>
      <c r="AA251" s="1436"/>
      <c r="AB251" s="1424"/>
      <c r="AC251" s="1436"/>
      <c r="AD251" s="1424"/>
      <c r="AE251" s="1436"/>
      <c r="AF251" s="1424"/>
      <c r="AG251" s="1436"/>
      <c r="AH251" s="1424"/>
      <c r="AI251" s="1436"/>
      <c r="AJ251" s="1424"/>
      <c r="AK251" s="1436"/>
      <c r="AL251" s="1424"/>
      <c r="AM251" s="1652"/>
      <c r="AN251" s="1707"/>
      <c r="AO251" s="1425"/>
      <c r="AP251" s="1650"/>
      <c r="AQ251" s="1652"/>
      <c r="AR251" s="1430"/>
      <c r="AS251" s="1425"/>
      <c r="AT251" s="1436"/>
      <c r="AU251" s="1425"/>
      <c r="AV251" s="1436"/>
      <c r="AW251" s="1425"/>
      <c r="AX251" s="1436"/>
      <c r="AY251" s="385" t="str">
        <f t="shared" si="203"/>
        <v/>
      </c>
      <c r="AZ251" s="385"/>
      <c r="BA251" s="385"/>
      <c r="BB251" s="385"/>
      <c r="BC251" s="385"/>
      <c r="BD251" s="385"/>
      <c r="BE251" s="385"/>
      <c r="BF251" s="385"/>
      <c r="BG251" s="385"/>
      <c r="BH251" s="385"/>
      <c r="BI251" s="385"/>
      <c r="BJ251" s="385"/>
      <c r="BK251" s="385"/>
      <c r="BL251" s="385"/>
      <c r="BM251" s="385"/>
      <c r="BN251" s="385"/>
      <c r="BO251" s="385"/>
      <c r="CA251" s="1470"/>
      <c r="CB251" s="1418" t="str">
        <f t="shared" si="204"/>
        <v/>
      </c>
      <c r="CC251" s="1418" t="str">
        <f t="shared" si="205"/>
        <v/>
      </c>
      <c r="CD251" s="1418" t="str">
        <f t="shared" si="206"/>
        <v/>
      </c>
      <c r="CE251" s="1418" t="str">
        <f t="shared" si="207"/>
        <v/>
      </c>
      <c r="CF251" s="1418" t="str">
        <f t="shared" si="201"/>
        <v/>
      </c>
      <c r="CG251" s="1418" t="str">
        <f t="shared" si="208"/>
        <v/>
      </c>
      <c r="CH251" s="1418" t="str">
        <f t="shared" si="209"/>
        <v/>
      </c>
      <c r="CI251" s="1418" t="str">
        <f t="shared" si="210"/>
        <v/>
      </c>
      <c r="CJ251" s="385"/>
      <c r="CK251" s="385"/>
      <c r="CM251" s="385"/>
      <c r="CN251" s="385"/>
      <c r="CP251" s="1886">
        <f t="shared" si="211"/>
        <v>0</v>
      </c>
      <c r="CQ251" s="1886">
        <f t="shared" si="212"/>
        <v>0</v>
      </c>
      <c r="CR251" s="1886">
        <f t="shared" si="213"/>
        <v>0</v>
      </c>
      <c r="CS251" s="1886">
        <f t="shared" si="214"/>
        <v>0</v>
      </c>
      <c r="CT251" s="1886">
        <f t="shared" si="215"/>
        <v>0</v>
      </c>
      <c r="CU251" s="1886">
        <f t="shared" si="216"/>
        <v>0</v>
      </c>
      <c r="CV251" s="1886">
        <f t="shared" si="217"/>
        <v>0</v>
      </c>
      <c r="CW251" s="1886">
        <f t="shared" si="218"/>
        <v>0</v>
      </c>
    </row>
    <row r="252" spans="1:103" ht="15" customHeight="1">
      <c r="A252" s="6129"/>
      <c r="B252" s="1453" t="s">
        <v>880</v>
      </c>
      <c r="C252" s="1847">
        <f t="shared" si="219"/>
        <v>0</v>
      </c>
      <c r="D252" s="1848">
        <f t="shared" si="197"/>
        <v>0</v>
      </c>
      <c r="E252" s="1453">
        <f t="shared" si="197"/>
        <v>0</v>
      </c>
      <c r="F252" s="1455"/>
      <c r="G252" s="1467"/>
      <c r="H252" s="1455"/>
      <c r="I252" s="1467"/>
      <c r="J252" s="1455"/>
      <c r="K252" s="1467"/>
      <c r="L252" s="1455"/>
      <c r="M252" s="1467"/>
      <c r="N252" s="1455"/>
      <c r="O252" s="1467"/>
      <c r="P252" s="1455"/>
      <c r="Q252" s="1467"/>
      <c r="R252" s="1455"/>
      <c r="S252" s="1467"/>
      <c r="T252" s="1455"/>
      <c r="U252" s="1467"/>
      <c r="V252" s="1455"/>
      <c r="W252" s="1467"/>
      <c r="X252" s="1455"/>
      <c r="Y252" s="1467"/>
      <c r="Z252" s="1455"/>
      <c r="AA252" s="1467"/>
      <c r="AB252" s="1455"/>
      <c r="AC252" s="1467"/>
      <c r="AD252" s="1455"/>
      <c r="AE252" s="1467"/>
      <c r="AF252" s="1455"/>
      <c r="AG252" s="1467"/>
      <c r="AH252" s="1455"/>
      <c r="AI252" s="1467"/>
      <c r="AJ252" s="1485"/>
      <c r="AK252" s="1692"/>
      <c r="AL252" s="1480"/>
      <c r="AM252" s="1482"/>
      <c r="AN252" s="1754"/>
      <c r="AO252" s="1796"/>
      <c r="AP252" s="1725"/>
      <c r="AQ252" s="1800"/>
      <c r="AR252" s="1533"/>
      <c r="AS252" s="1552"/>
      <c r="AT252" s="1534"/>
      <c r="AU252" s="1552"/>
      <c r="AV252" s="1534"/>
      <c r="AW252" s="1552"/>
      <c r="AX252" s="1534"/>
      <c r="AY252" s="385" t="str">
        <f t="shared" si="203"/>
        <v/>
      </c>
      <c r="AZ252" s="385"/>
      <c r="BA252" s="385"/>
      <c r="BB252" s="385"/>
      <c r="BC252" s="385"/>
      <c r="BD252" s="385"/>
      <c r="BE252" s="385"/>
      <c r="BF252" s="385"/>
      <c r="BG252" s="385"/>
      <c r="BH252" s="385"/>
      <c r="BI252" s="385"/>
      <c r="BJ252" s="385"/>
      <c r="BK252" s="385"/>
      <c r="BL252" s="385"/>
      <c r="BM252" s="385"/>
      <c r="BN252" s="385"/>
      <c r="BO252" s="385"/>
      <c r="CA252" s="1470"/>
      <c r="CB252" s="1418" t="str">
        <f t="shared" si="204"/>
        <v/>
      </c>
      <c r="CC252" s="1418" t="str">
        <f t="shared" si="205"/>
        <v/>
      </c>
      <c r="CD252" s="1418" t="str">
        <f t="shared" si="206"/>
        <v/>
      </c>
      <c r="CE252" s="1418" t="str">
        <f t="shared" si="207"/>
        <v/>
      </c>
      <c r="CF252" s="1418" t="str">
        <f t="shared" si="201"/>
        <v/>
      </c>
      <c r="CG252" s="1418" t="str">
        <f t="shared" si="208"/>
        <v/>
      </c>
      <c r="CH252" s="1418" t="str">
        <f t="shared" si="209"/>
        <v/>
      </c>
      <c r="CI252" s="1418" t="str">
        <f t="shared" si="210"/>
        <v/>
      </c>
      <c r="CJ252" s="385"/>
      <c r="CK252" s="385"/>
      <c r="CM252" s="385"/>
      <c r="CN252" s="385"/>
      <c r="CP252" s="1886">
        <f t="shared" si="211"/>
        <v>0</v>
      </c>
      <c r="CQ252" s="1886">
        <f t="shared" si="212"/>
        <v>0</v>
      </c>
      <c r="CR252" s="1886">
        <f t="shared" si="213"/>
        <v>0</v>
      </c>
      <c r="CS252" s="1886">
        <f t="shared" si="214"/>
        <v>0</v>
      </c>
      <c r="CT252" s="1886">
        <f t="shared" si="215"/>
        <v>0</v>
      </c>
      <c r="CU252" s="1886">
        <f t="shared" si="216"/>
        <v>0</v>
      </c>
      <c r="CV252" s="1886">
        <f t="shared" si="217"/>
        <v>0</v>
      </c>
      <c r="CW252" s="1886">
        <f t="shared" si="218"/>
        <v>0</v>
      </c>
    </row>
    <row r="253" spans="1:103">
      <c r="A253" s="6185" t="s">
        <v>883</v>
      </c>
      <c r="B253" s="6186"/>
      <c r="C253" s="1894"/>
      <c r="D253" s="1804"/>
      <c r="E253" s="1802"/>
      <c r="F253" s="1895"/>
      <c r="G253" s="1806"/>
      <c r="H253" s="1805"/>
      <c r="I253" s="1806"/>
      <c r="J253" s="1805"/>
      <c r="K253" s="1806"/>
      <c r="L253" s="1805"/>
      <c r="M253" s="1806"/>
      <c r="N253" s="1805"/>
      <c r="O253" s="1806"/>
      <c r="P253" s="1805"/>
      <c r="Q253" s="1806"/>
      <c r="R253" s="1805"/>
      <c r="S253" s="1806"/>
      <c r="T253" s="1805"/>
      <c r="U253" s="1806"/>
      <c r="V253" s="1805"/>
      <c r="W253" s="1806"/>
      <c r="X253" s="1805"/>
      <c r="Y253" s="1806"/>
      <c r="Z253" s="1805"/>
      <c r="AA253" s="1806"/>
      <c r="AB253" s="1805"/>
      <c r="AC253" s="1806"/>
      <c r="AD253" s="1805"/>
      <c r="AE253" s="1806"/>
      <c r="AF253" s="1805"/>
      <c r="AG253" s="1806"/>
      <c r="AH253" s="1805"/>
      <c r="AI253" s="1806"/>
      <c r="AJ253" s="1805"/>
      <c r="AK253" s="1806"/>
      <c r="AL253" s="1814"/>
      <c r="AM253" s="1896"/>
      <c r="AN253" s="1897"/>
      <c r="AO253" s="1557"/>
      <c r="AP253" s="1898"/>
      <c r="AQ253" s="1807"/>
      <c r="AR253" s="1809"/>
      <c r="AS253" s="1810"/>
      <c r="AT253" s="1806"/>
      <c r="AU253" s="1810"/>
      <c r="AV253" s="1806"/>
      <c r="AW253" s="1810"/>
      <c r="AX253" s="1806"/>
      <c r="AY253" s="385"/>
      <c r="AZ253" s="385"/>
      <c r="BA253" s="385"/>
      <c r="BB253" s="385"/>
      <c r="BC253" s="385"/>
      <c r="BD253" s="385"/>
      <c r="BE253" s="385"/>
      <c r="BF253" s="385"/>
      <c r="BG253" s="385"/>
      <c r="BH253" s="385"/>
      <c r="BI253" s="385"/>
      <c r="BJ253" s="385"/>
      <c r="BK253" s="385"/>
      <c r="BL253" s="385"/>
      <c r="BM253" s="385"/>
      <c r="BN253" s="385"/>
      <c r="BO253" s="385"/>
      <c r="CA253" s="1470"/>
      <c r="CB253" s="1812"/>
      <c r="CC253" s="1812"/>
      <c r="CD253" s="1812"/>
      <c r="CE253" s="1812"/>
      <c r="CF253" s="1812"/>
      <c r="CG253" s="1812"/>
      <c r="CH253" s="1812"/>
      <c r="CI253" s="1812"/>
      <c r="CJ253" s="385"/>
      <c r="CK253" s="385"/>
      <c r="CM253" s="385"/>
      <c r="CN253" s="385"/>
      <c r="CP253" s="1813"/>
      <c r="CQ253" s="1813"/>
      <c r="CR253" s="1813"/>
      <c r="CS253" s="1813"/>
      <c r="CT253" s="1813"/>
      <c r="CU253" s="1813"/>
      <c r="CV253" s="1813"/>
      <c r="CW253" s="1813"/>
    </row>
    <row r="254" spans="1:103">
      <c r="A254" s="6127" t="s">
        <v>884</v>
      </c>
      <c r="B254" s="1672" t="s">
        <v>885</v>
      </c>
      <c r="C254" s="1791">
        <f t="shared" si="219"/>
        <v>0</v>
      </c>
      <c r="D254" s="1792">
        <f t="shared" ref="D254:D255" si="220">SUM(H254+J254+L254+N254+P254+R254+T254+V254+X254+Z254+AB254+AD254+AF254+AH254+AJ254+AL254)</f>
        <v>0</v>
      </c>
      <c r="E254" s="1672">
        <f t="shared" ref="E254:E255" si="221">SUM(I254+K254+M254+O254+Q254+S254+U254+W254+Y254+AA254+AC254+AE254+AG254+AI254+AK254+AM254)</f>
        <v>0</v>
      </c>
      <c r="F254" s="1814"/>
      <c r="G254" s="1815"/>
      <c r="H254" s="1424"/>
      <c r="I254" s="1436"/>
      <c r="J254" s="1424"/>
      <c r="K254" s="1436"/>
      <c r="L254" s="1424"/>
      <c r="M254" s="1436"/>
      <c r="N254" s="1424"/>
      <c r="O254" s="1436"/>
      <c r="P254" s="1424"/>
      <c r="Q254" s="1436"/>
      <c r="R254" s="1424"/>
      <c r="S254" s="1436"/>
      <c r="T254" s="1424"/>
      <c r="U254" s="1436"/>
      <c r="V254" s="1424"/>
      <c r="W254" s="1436"/>
      <c r="X254" s="1424"/>
      <c r="Y254" s="1436"/>
      <c r="Z254" s="1424"/>
      <c r="AA254" s="1436"/>
      <c r="AB254" s="1424"/>
      <c r="AC254" s="1436"/>
      <c r="AD254" s="1424"/>
      <c r="AE254" s="1436"/>
      <c r="AF254" s="1424"/>
      <c r="AG254" s="1436"/>
      <c r="AH254" s="1424"/>
      <c r="AI254" s="1436"/>
      <c r="AJ254" s="1424"/>
      <c r="AK254" s="1436"/>
      <c r="AL254" s="1424"/>
      <c r="AM254" s="1652"/>
      <c r="AN254" s="1707"/>
      <c r="AO254" s="1425"/>
      <c r="AP254" s="1650"/>
      <c r="AQ254" s="1652"/>
      <c r="AR254" s="1430"/>
      <c r="AS254" s="1425"/>
      <c r="AT254" s="1436"/>
      <c r="AU254" s="1425"/>
      <c r="AV254" s="1436"/>
      <c r="AW254" s="1425"/>
      <c r="AX254" s="1436"/>
      <c r="AY254" s="385" t="str">
        <f t="shared" si="203"/>
        <v/>
      </c>
      <c r="AZ254" s="385"/>
      <c r="BA254" s="385"/>
      <c r="BB254" s="385"/>
      <c r="BC254" s="385"/>
      <c r="BD254" s="385"/>
      <c r="BE254" s="385"/>
      <c r="BF254" s="385"/>
      <c r="BG254" s="385"/>
      <c r="BH254" s="385"/>
      <c r="BI254" s="385"/>
      <c r="BJ254" s="385"/>
      <c r="BK254" s="385"/>
      <c r="BL254" s="385"/>
      <c r="BM254" s="385"/>
      <c r="BN254" s="385"/>
      <c r="BO254" s="385"/>
      <c r="CA254" s="1470"/>
      <c r="CB254" s="1418" t="str">
        <f t="shared" si="204"/>
        <v/>
      </c>
      <c r="CC254" s="1418" t="str">
        <f t="shared" si="205"/>
        <v/>
      </c>
      <c r="CD254" s="1418" t="str">
        <f t="shared" si="206"/>
        <v/>
      </c>
      <c r="CE254" s="1418" t="str">
        <f t="shared" si="207"/>
        <v/>
      </c>
      <c r="CF254" s="1418" t="str">
        <f t="shared" si="201"/>
        <v/>
      </c>
      <c r="CG254" s="1418" t="str">
        <f t="shared" si="208"/>
        <v/>
      </c>
      <c r="CH254" s="1418" t="str">
        <f t="shared" si="209"/>
        <v/>
      </c>
      <c r="CI254" s="1418" t="str">
        <f t="shared" si="210"/>
        <v/>
      </c>
      <c r="CJ254" s="385"/>
      <c r="CK254" s="385"/>
      <c r="CM254" s="385"/>
      <c r="CN254" s="385"/>
      <c r="CP254" s="1886">
        <f t="shared" si="211"/>
        <v>0</v>
      </c>
      <c r="CQ254" s="1886">
        <f t="shared" si="212"/>
        <v>0</v>
      </c>
      <c r="CR254" s="1886">
        <f t="shared" si="213"/>
        <v>0</v>
      </c>
      <c r="CS254" s="1886">
        <f t="shared" si="214"/>
        <v>0</v>
      </c>
      <c r="CT254" s="1886">
        <f t="shared" si="215"/>
        <v>0</v>
      </c>
      <c r="CU254" s="1886">
        <f t="shared" si="216"/>
        <v>0</v>
      </c>
      <c r="CV254" s="1886">
        <f t="shared" si="217"/>
        <v>0</v>
      </c>
      <c r="CW254" s="1886">
        <f t="shared" si="218"/>
        <v>0</v>
      </c>
    </row>
    <row r="255" spans="1:103">
      <c r="A255" s="6129"/>
      <c r="B255" s="1453" t="s">
        <v>886</v>
      </c>
      <c r="C255" s="1816">
        <f t="shared" si="219"/>
        <v>0</v>
      </c>
      <c r="D255" s="1817">
        <f t="shared" si="220"/>
        <v>0</v>
      </c>
      <c r="E255" s="1785">
        <f t="shared" si="221"/>
        <v>0</v>
      </c>
      <c r="F255" s="1818"/>
      <c r="G255" s="1819"/>
      <c r="H255" s="1517"/>
      <c r="I255" s="1523"/>
      <c r="J255" s="1517"/>
      <c r="K255" s="1523"/>
      <c r="L255" s="1517"/>
      <c r="M255" s="1523"/>
      <c r="N255" s="1517"/>
      <c r="O255" s="1523"/>
      <c r="P255" s="1517"/>
      <c r="Q255" s="1523"/>
      <c r="R255" s="1517"/>
      <c r="S255" s="1523"/>
      <c r="T255" s="1517"/>
      <c r="U255" s="1523"/>
      <c r="V255" s="1517"/>
      <c r="W255" s="1523"/>
      <c r="X255" s="1517"/>
      <c r="Y255" s="1523"/>
      <c r="Z255" s="1517"/>
      <c r="AA255" s="1523"/>
      <c r="AB255" s="1517"/>
      <c r="AC255" s="1523"/>
      <c r="AD255" s="1517"/>
      <c r="AE255" s="1523"/>
      <c r="AF255" s="1517"/>
      <c r="AG255" s="1523"/>
      <c r="AH255" s="1517"/>
      <c r="AI255" s="1523"/>
      <c r="AJ255" s="1528"/>
      <c r="AK255" s="1534"/>
      <c r="AL255" s="1480"/>
      <c r="AM255" s="1482"/>
      <c r="AN255" s="1754"/>
      <c r="AO255" s="1796"/>
      <c r="AP255" s="1725"/>
      <c r="AQ255" s="1800"/>
      <c r="AR255" s="1533"/>
      <c r="AS255" s="1552"/>
      <c r="AT255" s="1534"/>
      <c r="AU255" s="1552"/>
      <c r="AV255" s="1534"/>
      <c r="AW255" s="1552"/>
      <c r="AX255" s="1534"/>
      <c r="AY255" s="385" t="str">
        <f t="shared" si="203"/>
        <v/>
      </c>
      <c r="AZ255" s="385"/>
      <c r="BA255" s="385"/>
      <c r="BB255" s="385"/>
      <c r="BC255" s="385"/>
      <c r="BD255" s="385"/>
      <c r="BE255" s="385"/>
      <c r="BF255" s="385"/>
      <c r="BG255" s="385"/>
      <c r="BH255" s="385"/>
      <c r="BI255" s="385"/>
      <c r="BJ255" s="385"/>
      <c r="BK255" s="385"/>
      <c r="BL255" s="385"/>
      <c r="BM255" s="385"/>
      <c r="BN255" s="385"/>
      <c r="BO255" s="385"/>
      <c r="CA255" s="1470"/>
      <c r="CB255" s="1418" t="str">
        <f t="shared" si="204"/>
        <v/>
      </c>
      <c r="CC255" s="1418" t="str">
        <f t="shared" si="205"/>
        <v/>
      </c>
      <c r="CD255" s="1418" t="str">
        <f t="shared" si="206"/>
        <v/>
      </c>
      <c r="CE255" s="1418" t="str">
        <f t="shared" si="207"/>
        <v/>
      </c>
      <c r="CF255" s="1418" t="str">
        <f t="shared" si="201"/>
        <v/>
      </c>
      <c r="CG255" s="1418" t="str">
        <f t="shared" si="208"/>
        <v/>
      </c>
      <c r="CH255" s="1418" t="str">
        <f t="shared" si="209"/>
        <v/>
      </c>
      <c r="CI255" s="1418" t="str">
        <f t="shared" si="210"/>
        <v/>
      </c>
      <c r="CJ255" s="385"/>
      <c r="CK255" s="385"/>
      <c r="CM255" s="385"/>
      <c r="CN255" s="385"/>
      <c r="CP255" s="1886">
        <f t="shared" si="211"/>
        <v>0</v>
      </c>
      <c r="CQ255" s="1886">
        <f t="shared" si="212"/>
        <v>0</v>
      </c>
      <c r="CR255" s="1886">
        <f t="shared" si="213"/>
        <v>0</v>
      </c>
      <c r="CS255" s="1886">
        <f t="shared" si="214"/>
        <v>0</v>
      </c>
      <c r="CT255" s="1886">
        <f t="shared" si="215"/>
        <v>0</v>
      </c>
      <c r="CU255" s="1886">
        <f t="shared" si="216"/>
        <v>0</v>
      </c>
      <c r="CV255" s="1886">
        <f t="shared" si="217"/>
        <v>0</v>
      </c>
      <c r="CW255" s="1886">
        <f t="shared" si="218"/>
        <v>0</v>
      </c>
    </row>
    <row r="256" spans="1:103" s="385" customFormat="1" ht="18" customHeight="1">
      <c r="A256" s="1820" t="s">
        <v>887</v>
      </c>
      <c r="B256" s="1782"/>
      <c r="C256" s="401">
        <f t="shared" si="219"/>
        <v>0</v>
      </c>
      <c r="D256" s="1501">
        <f t="shared" si="197"/>
        <v>0</v>
      </c>
      <c r="E256" s="392">
        <f t="shared" si="197"/>
        <v>0</v>
      </c>
      <c r="F256" s="1899"/>
      <c r="G256" s="1900"/>
      <c r="H256" s="1899"/>
      <c r="I256" s="1900"/>
      <c r="J256" s="1899"/>
      <c r="K256" s="1900"/>
      <c r="L256" s="1899"/>
      <c r="M256" s="1900"/>
      <c r="N256" s="1899"/>
      <c r="O256" s="1900"/>
      <c r="P256" s="1899"/>
      <c r="Q256" s="1900"/>
      <c r="R256" s="1899"/>
      <c r="S256" s="1900"/>
      <c r="T256" s="1899"/>
      <c r="U256" s="1900"/>
      <c r="V256" s="1899"/>
      <c r="W256" s="1900"/>
      <c r="X256" s="1899"/>
      <c r="Y256" s="1900"/>
      <c r="Z256" s="1899"/>
      <c r="AA256" s="1900"/>
      <c r="AB256" s="1899"/>
      <c r="AC256" s="1900"/>
      <c r="AD256" s="1899"/>
      <c r="AE256" s="1900"/>
      <c r="AF256" s="1899"/>
      <c r="AG256" s="1900"/>
      <c r="AH256" s="1899"/>
      <c r="AI256" s="1900"/>
      <c r="AJ256" s="1899"/>
      <c r="AK256" s="1900"/>
      <c r="AL256" s="1424"/>
      <c r="AM256" s="1652"/>
      <c r="AN256" s="1707"/>
      <c r="AO256" s="1425"/>
      <c r="AP256" s="1650"/>
      <c r="AQ256" s="1477"/>
      <c r="AR256" s="1478"/>
      <c r="AS256" s="1585"/>
      <c r="AT256" s="1539"/>
      <c r="AU256" s="1585"/>
      <c r="AV256" s="1539"/>
      <c r="AW256" s="1585"/>
      <c r="AX256" s="1539"/>
      <c r="AY256" s="385" t="str">
        <f t="shared" si="203"/>
        <v/>
      </c>
      <c r="CA256" s="1470"/>
      <c r="CB256" s="1418" t="str">
        <f t="shared" si="204"/>
        <v/>
      </c>
      <c r="CC256" s="1418" t="str">
        <f t="shared" si="205"/>
        <v/>
      </c>
      <c r="CD256" s="1418" t="str">
        <f t="shared" si="206"/>
        <v/>
      </c>
      <c r="CE256" s="1418" t="str">
        <f t="shared" si="207"/>
        <v/>
      </c>
      <c r="CF256" s="1418" t="str">
        <f t="shared" si="201"/>
        <v/>
      </c>
      <c r="CG256" s="1418" t="str">
        <f t="shared" si="208"/>
        <v/>
      </c>
      <c r="CH256" s="1418" t="str">
        <f t="shared" si="209"/>
        <v/>
      </c>
      <c r="CI256" s="1418" t="str">
        <f t="shared" si="210"/>
        <v/>
      </c>
      <c r="CL256"/>
      <c r="CO256"/>
      <c r="CP256" s="1886">
        <f t="shared" si="211"/>
        <v>0</v>
      </c>
      <c r="CQ256" s="1886">
        <f t="shared" si="212"/>
        <v>0</v>
      </c>
      <c r="CR256" s="1886">
        <f t="shared" si="213"/>
        <v>0</v>
      </c>
      <c r="CS256" s="1886">
        <f t="shared" si="214"/>
        <v>0</v>
      </c>
      <c r="CT256" s="1886">
        <f t="shared" si="215"/>
        <v>0</v>
      </c>
      <c r="CU256" s="1886">
        <f t="shared" si="216"/>
        <v>0</v>
      </c>
      <c r="CV256" s="1886">
        <f t="shared" si="217"/>
        <v>0</v>
      </c>
      <c r="CW256" s="1886">
        <f t="shared" si="218"/>
        <v>0</v>
      </c>
    </row>
    <row r="257" spans="1:101" ht="15" customHeight="1">
      <c r="A257" s="6127" t="s">
        <v>888</v>
      </c>
      <c r="B257" s="1795" t="s">
        <v>889</v>
      </c>
      <c r="C257" s="1793">
        <f t="shared" si="219"/>
        <v>0</v>
      </c>
      <c r="D257" s="1794">
        <f t="shared" si="197"/>
        <v>0</v>
      </c>
      <c r="E257" s="1795">
        <f t="shared" si="197"/>
        <v>0</v>
      </c>
      <c r="F257" s="1480"/>
      <c r="G257" s="1545"/>
      <c r="H257" s="1480"/>
      <c r="I257" s="1545"/>
      <c r="J257" s="1480"/>
      <c r="K257" s="1545"/>
      <c r="L257" s="1480"/>
      <c r="M257" s="1545"/>
      <c r="N257" s="1480"/>
      <c r="O257" s="1545"/>
      <c r="P257" s="1480"/>
      <c r="Q257" s="1545"/>
      <c r="R257" s="1480"/>
      <c r="S257" s="1545"/>
      <c r="T257" s="1480"/>
      <c r="U257" s="1545"/>
      <c r="V257" s="1480"/>
      <c r="W257" s="1545"/>
      <c r="X257" s="1480"/>
      <c r="Y257" s="1545"/>
      <c r="Z257" s="1480"/>
      <c r="AA257" s="1545"/>
      <c r="AB257" s="1480"/>
      <c r="AC257" s="1545"/>
      <c r="AD257" s="1480"/>
      <c r="AE257" s="1545"/>
      <c r="AF257" s="1480"/>
      <c r="AG257" s="1545"/>
      <c r="AH257" s="1480"/>
      <c r="AI257" s="1545"/>
      <c r="AJ257" s="1480"/>
      <c r="AK257" s="1545"/>
      <c r="AL257" s="1424"/>
      <c r="AM257" s="1652"/>
      <c r="AN257" s="1707"/>
      <c r="AO257" s="1425"/>
      <c r="AP257" s="1650"/>
      <c r="AQ257" s="1652"/>
      <c r="AR257" s="1430"/>
      <c r="AS257" s="1425"/>
      <c r="AT257" s="1436"/>
      <c r="AU257" s="1425"/>
      <c r="AV257" s="1436"/>
      <c r="AW257" s="1425"/>
      <c r="AX257" s="1436"/>
      <c r="AY257" s="385" t="str">
        <f t="shared" si="203"/>
        <v/>
      </c>
      <c r="AZ257" s="385"/>
      <c r="BA257" s="385"/>
      <c r="BB257" s="385"/>
      <c r="BC257" s="385"/>
      <c r="BD257" s="385"/>
      <c r="BE257" s="385"/>
      <c r="BF257" s="385"/>
      <c r="BG257" s="385"/>
      <c r="BH257" s="385"/>
      <c r="BI257" s="385"/>
      <c r="BJ257" s="385"/>
      <c r="BK257" s="385"/>
      <c r="BL257" s="385"/>
      <c r="BM257" s="385"/>
      <c r="BN257" s="385"/>
      <c r="BO257" s="385"/>
      <c r="CA257" s="1470"/>
      <c r="CB257" s="1418" t="str">
        <f t="shared" si="204"/>
        <v/>
      </c>
      <c r="CC257" s="1418" t="str">
        <f t="shared" si="205"/>
        <v/>
      </c>
      <c r="CD257" s="1418" t="str">
        <f t="shared" si="206"/>
        <v/>
      </c>
      <c r="CE257" s="1418" t="str">
        <f t="shared" si="207"/>
        <v/>
      </c>
      <c r="CF257" s="1418" t="str">
        <f t="shared" si="201"/>
        <v/>
      </c>
      <c r="CG257" s="1418" t="str">
        <f t="shared" si="208"/>
        <v/>
      </c>
      <c r="CH257" s="1418" t="str">
        <f t="shared" si="209"/>
        <v/>
      </c>
      <c r="CI257" s="1418" t="str">
        <f t="shared" si="210"/>
        <v/>
      </c>
      <c r="CJ257" s="385"/>
      <c r="CK257" s="385"/>
      <c r="CM257" s="385"/>
      <c r="CN257" s="385"/>
      <c r="CP257" s="1886">
        <f t="shared" si="211"/>
        <v>0</v>
      </c>
      <c r="CQ257" s="1886">
        <f t="shared" si="212"/>
        <v>0</v>
      </c>
      <c r="CR257" s="1886">
        <f t="shared" si="213"/>
        <v>0</v>
      </c>
      <c r="CS257" s="1886">
        <f t="shared" si="214"/>
        <v>0</v>
      </c>
      <c r="CT257" s="1886">
        <f t="shared" si="215"/>
        <v>0</v>
      </c>
      <c r="CU257" s="1886">
        <f t="shared" si="216"/>
        <v>0</v>
      </c>
      <c r="CV257" s="1886">
        <f t="shared" si="217"/>
        <v>0</v>
      </c>
      <c r="CW257" s="1886">
        <f t="shared" si="218"/>
        <v>0</v>
      </c>
    </row>
    <row r="258" spans="1:101">
      <c r="A258" s="6128"/>
      <c r="B258" s="1438" t="s">
        <v>890</v>
      </c>
      <c r="C258" s="1822">
        <f t="shared" si="219"/>
        <v>0</v>
      </c>
      <c r="D258" s="1823">
        <f t="shared" si="197"/>
        <v>0</v>
      </c>
      <c r="E258" s="1438">
        <f t="shared" si="197"/>
        <v>0</v>
      </c>
      <c r="F258" s="1440"/>
      <c r="G258" s="1452"/>
      <c r="H258" s="1440"/>
      <c r="I258" s="1452"/>
      <c r="J258" s="1440"/>
      <c r="K258" s="1452"/>
      <c r="L258" s="1440"/>
      <c r="M258" s="1452"/>
      <c r="N258" s="1440"/>
      <c r="O258" s="1452"/>
      <c r="P258" s="1440"/>
      <c r="Q258" s="1452"/>
      <c r="R258" s="1440"/>
      <c r="S258" s="1452"/>
      <c r="T258" s="1440"/>
      <c r="U258" s="1452"/>
      <c r="V258" s="1440"/>
      <c r="W258" s="1452"/>
      <c r="X258" s="1440"/>
      <c r="Y258" s="1452"/>
      <c r="Z258" s="1440"/>
      <c r="AA258" s="1452"/>
      <c r="AB258" s="1440"/>
      <c r="AC258" s="1452"/>
      <c r="AD258" s="1440"/>
      <c r="AE258" s="1452"/>
      <c r="AF258" s="1440"/>
      <c r="AG258" s="1452"/>
      <c r="AH258" s="1440"/>
      <c r="AI258" s="1452"/>
      <c r="AJ258" s="1440"/>
      <c r="AK258" s="1452"/>
      <c r="AL258" s="1440"/>
      <c r="AM258" s="1447"/>
      <c r="AN258" s="1709"/>
      <c r="AO258" s="1441"/>
      <c r="AP258" s="1655"/>
      <c r="AQ258" s="1447"/>
      <c r="AR258" s="1446"/>
      <c r="AS258" s="1441"/>
      <c r="AT258" s="1452"/>
      <c r="AU258" s="1441"/>
      <c r="AV258" s="1452"/>
      <c r="AW258" s="1441"/>
      <c r="AX258" s="1452"/>
      <c r="AY258" s="385" t="str">
        <f t="shared" si="203"/>
        <v/>
      </c>
      <c r="AZ258" s="385"/>
      <c r="BA258" s="385"/>
      <c r="BB258" s="385"/>
      <c r="BC258" s="385"/>
      <c r="BD258" s="385"/>
      <c r="BE258" s="385"/>
      <c r="BF258" s="385"/>
      <c r="BG258" s="385"/>
      <c r="BH258" s="385"/>
      <c r="BI258" s="385"/>
      <c r="BJ258" s="385"/>
      <c r="BK258" s="385"/>
      <c r="BL258" s="385"/>
      <c r="BM258" s="385"/>
      <c r="BN258" s="385"/>
      <c r="BO258" s="385"/>
      <c r="CA258" s="1470"/>
      <c r="CB258" s="1418" t="str">
        <f t="shared" si="204"/>
        <v/>
      </c>
      <c r="CC258" s="1418" t="str">
        <f t="shared" si="205"/>
        <v/>
      </c>
      <c r="CD258" s="1418" t="str">
        <f t="shared" si="206"/>
        <v/>
      </c>
      <c r="CE258" s="1418" t="str">
        <f t="shared" si="207"/>
        <v/>
      </c>
      <c r="CF258" s="1418" t="str">
        <f t="shared" si="201"/>
        <v/>
      </c>
      <c r="CG258" s="1418" t="str">
        <f t="shared" si="208"/>
        <v/>
      </c>
      <c r="CH258" s="1418" t="str">
        <f t="shared" si="209"/>
        <v/>
      </c>
      <c r="CI258" s="1418" t="str">
        <f t="shared" si="210"/>
        <v/>
      </c>
      <c r="CJ258" s="385"/>
      <c r="CK258" s="385"/>
      <c r="CM258" s="385"/>
      <c r="CN258" s="385"/>
      <c r="CP258" s="1886">
        <f t="shared" si="211"/>
        <v>0</v>
      </c>
      <c r="CQ258" s="1886">
        <f t="shared" si="212"/>
        <v>0</v>
      </c>
      <c r="CR258" s="1886">
        <f t="shared" si="213"/>
        <v>0</v>
      </c>
      <c r="CS258" s="1886">
        <f t="shared" si="214"/>
        <v>0</v>
      </c>
      <c r="CT258" s="1886">
        <f t="shared" si="215"/>
        <v>0</v>
      </c>
      <c r="CU258" s="1886">
        <f t="shared" si="216"/>
        <v>0</v>
      </c>
      <c r="CV258" s="1886">
        <f t="shared" si="217"/>
        <v>0</v>
      </c>
      <c r="CW258" s="1886">
        <f t="shared" si="218"/>
        <v>0</v>
      </c>
    </row>
    <row r="259" spans="1:101">
      <c r="A259" s="6128"/>
      <c r="B259" s="1438" t="s">
        <v>891</v>
      </c>
      <c r="C259" s="1822">
        <f t="shared" si="219"/>
        <v>0</v>
      </c>
      <c r="D259" s="1823">
        <f t="shared" si="197"/>
        <v>0</v>
      </c>
      <c r="E259" s="1438">
        <f>SUM(G259+I259+K259+M259+O259+Q259+S259+U259+W259+Y259+AA259+AC259+AE259+AG259+AI259+AK259+AM259)</f>
        <v>0</v>
      </c>
      <c r="F259" s="1440"/>
      <c r="G259" s="1452"/>
      <c r="H259" s="1440"/>
      <c r="I259" s="1452"/>
      <c r="J259" s="1440"/>
      <c r="K259" s="1452"/>
      <c r="L259" s="1440"/>
      <c r="M259" s="1452"/>
      <c r="N259" s="1440"/>
      <c r="O259" s="1452"/>
      <c r="P259" s="1440"/>
      <c r="Q259" s="1452"/>
      <c r="R259" s="1440"/>
      <c r="S259" s="1452"/>
      <c r="T259" s="1440"/>
      <c r="U259" s="1452"/>
      <c r="V259" s="1440"/>
      <c r="W259" s="1452"/>
      <c r="X259" s="1440"/>
      <c r="Y259" s="1452"/>
      <c r="Z259" s="1440"/>
      <c r="AA259" s="1452"/>
      <c r="AB259" s="1440"/>
      <c r="AC259" s="1452"/>
      <c r="AD259" s="1440"/>
      <c r="AE259" s="1452"/>
      <c r="AF259" s="1440"/>
      <c r="AG259" s="1452"/>
      <c r="AH259" s="1440"/>
      <c r="AI259" s="1452"/>
      <c r="AJ259" s="1440"/>
      <c r="AK259" s="1452"/>
      <c r="AL259" s="1480"/>
      <c r="AM259" s="1482"/>
      <c r="AN259" s="1754"/>
      <c r="AO259" s="1796"/>
      <c r="AP259" s="1725"/>
      <c r="AQ259" s="1445"/>
      <c r="AR259" s="1446"/>
      <c r="AS259" s="1441"/>
      <c r="AT259" s="1452"/>
      <c r="AU259" s="1441"/>
      <c r="AV259" s="1452"/>
      <c r="AW259" s="1441"/>
      <c r="AX259" s="1452"/>
      <c r="AY259" s="385" t="str">
        <f t="shared" si="203"/>
        <v/>
      </c>
      <c r="AZ259" s="385"/>
      <c r="BA259" s="385"/>
      <c r="BB259" s="385"/>
      <c r="BC259" s="385"/>
      <c r="BD259" s="385"/>
      <c r="BE259" s="385"/>
      <c r="BF259" s="385"/>
      <c r="BG259" s="385"/>
      <c r="BH259" s="385"/>
      <c r="BI259" s="385"/>
      <c r="BJ259" s="385"/>
      <c r="BK259" s="385"/>
      <c r="BL259" s="385"/>
      <c r="BM259" s="385"/>
      <c r="BN259" s="385"/>
      <c r="BO259" s="385"/>
      <c r="CA259" s="1470"/>
      <c r="CB259" s="1418" t="str">
        <f t="shared" si="204"/>
        <v/>
      </c>
      <c r="CC259" s="1418" t="str">
        <f t="shared" si="205"/>
        <v/>
      </c>
      <c r="CD259" s="1418" t="str">
        <f t="shared" si="206"/>
        <v/>
      </c>
      <c r="CE259" s="1418" t="str">
        <f t="shared" si="207"/>
        <v/>
      </c>
      <c r="CF259" s="1418" t="str">
        <f t="shared" si="201"/>
        <v/>
      </c>
      <c r="CG259" s="1418" t="str">
        <f t="shared" si="208"/>
        <v/>
      </c>
      <c r="CH259" s="1418" t="str">
        <f t="shared" si="209"/>
        <v/>
      </c>
      <c r="CI259" s="1418" t="str">
        <f t="shared" si="210"/>
        <v/>
      </c>
      <c r="CJ259" s="385"/>
      <c r="CK259" s="385"/>
      <c r="CM259" s="385"/>
      <c r="CN259" s="385"/>
      <c r="CP259" s="1886">
        <f t="shared" si="211"/>
        <v>0</v>
      </c>
      <c r="CQ259" s="1886">
        <f t="shared" si="212"/>
        <v>0</v>
      </c>
      <c r="CR259" s="1886">
        <f t="shared" si="213"/>
        <v>0</v>
      </c>
      <c r="CS259" s="1886">
        <f t="shared" si="214"/>
        <v>0</v>
      </c>
      <c r="CT259" s="1886">
        <f t="shared" si="215"/>
        <v>0</v>
      </c>
      <c r="CU259" s="1886">
        <f t="shared" si="216"/>
        <v>0</v>
      </c>
      <c r="CV259" s="1886">
        <f t="shared" si="217"/>
        <v>0</v>
      </c>
      <c r="CW259" s="1886">
        <f t="shared" si="218"/>
        <v>0</v>
      </c>
    </row>
    <row r="260" spans="1:101">
      <c r="A260" s="6128"/>
      <c r="B260" s="1827" t="s">
        <v>892</v>
      </c>
      <c r="C260" s="1822">
        <f t="shared" si="219"/>
        <v>0</v>
      </c>
      <c r="D260" s="1901"/>
      <c r="E260" s="1438">
        <f>SUM(K260+M260+O260+Q260+S260+U260+W260+Y260+AA260+AC260+AE260+AG260+AI260+AK260+AM260)</f>
        <v>0</v>
      </c>
      <c r="F260" s="1829"/>
      <c r="G260" s="1830"/>
      <c r="H260" s="1829"/>
      <c r="I260" s="1830"/>
      <c r="J260" s="1829"/>
      <c r="K260" s="1452"/>
      <c r="L260" s="1829"/>
      <c r="M260" s="1452"/>
      <c r="N260" s="1829"/>
      <c r="O260" s="1452"/>
      <c r="P260" s="1829"/>
      <c r="Q260" s="1452"/>
      <c r="R260" s="1829"/>
      <c r="S260" s="1452"/>
      <c r="T260" s="1829"/>
      <c r="U260" s="1452"/>
      <c r="V260" s="1829"/>
      <c r="W260" s="1452"/>
      <c r="X260" s="1829"/>
      <c r="Y260" s="1452"/>
      <c r="Z260" s="1829"/>
      <c r="AA260" s="1452"/>
      <c r="AB260" s="1829"/>
      <c r="AC260" s="1452"/>
      <c r="AD260" s="1829"/>
      <c r="AE260" s="1830"/>
      <c r="AF260" s="1829"/>
      <c r="AG260" s="1830"/>
      <c r="AH260" s="1829"/>
      <c r="AI260" s="1830"/>
      <c r="AJ260" s="1829"/>
      <c r="AK260" s="1830"/>
      <c r="AL260" s="1829"/>
      <c r="AM260" s="1831"/>
      <c r="AN260" s="1754"/>
      <c r="AO260" s="1796"/>
      <c r="AP260" s="1725"/>
      <c r="AQ260" s="1902"/>
      <c r="AR260" s="1483"/>
      <c r="AS260" s="1903"/>
      <c r="AT260" s="1545"/>
      <c r="AU260" s="1796"/>
      <c r="AV260" s="1545"/>
      <c r="AW260" s="1796"/>
      <c r="AX260" s="1545"/>
      <c r="AY260" s="385" t="str">
        <f t="shared" si="203"/>
        <v/>
      </c>
      <c r="AZ260" s="385"/>
      <c r="BA260" s="385"/>
      <c r="BB260" s="385"/>
      <c r="BC260" s="385"/>
      <c r="BD260" s="385"/>
      <c r="BE260" s="385"/>
      <c r="BF260" s="385"/>
      <c r="BG260" s="385"/>
      <c r="BH260" s="385"/>
      <c r="BI260" s="385"/>
      <c r="BJ260" s="385"/>
      <c r="BK260" s="385"/>
      <c r="BL260" s="385"/>
      <c r="BM260" s="385"/>
      <c r="BN260" s="385"/>
      <c r="BO260" s="385"/>
      <c r="CA260" s="1470"/>
      <c r="CB260" s="1853"/>
      <c r="CC260" s="1418" t="str">
        <f t="shared" si="205"/>
        <v/>
      </c>
      <c r="CD260" s="1853"/>
      <c r="CE260" s="1418" t="str">
        <f t="shared" si="207"/>
        <v/>
      </c>
      <c r="CF260" s="1418" t="str">
        <f t="shared" si="201"/>
        <v/>
      </c>
      <c r="CG260" s="1418" t="str">
        <f t="shared" si="208"/>
        <v/>
      </c>
      <c r="CH260" s="1418" t="str">
        <f t="shared" si="209"/>
        <v/>
      </c>
      <c r="CI260" s="1418" t="str">
        <f t="shared" si="210"/>
        <v/>
      </c>
      <c r="CP260" s="1904"/>
      <c r="CQ260" s="513">
        <f t="shared" si="212"/>
        <v>0</v>
      </c>
      <c r="CR260" s="513">
        <f t="shared" si="213"/>
        <v>0</v>
      </c>
      <c r="CS260" s="513">
        <f t="shared" si="214"/>
        <v>0</v>
      </c>
      <c r="CT260" s="513">
        <f t="shared" si="215"/>
        <v>0</v>
      </c>
      <c r="CU260" s="513">
        <f t="shared" si="216"/>
        <v>0</v>
      </c>
      <c r="CV260" s="513">
        <f t="shared" si="217"/>
        <v>0</v>
      </c>
      <c r="CW260" s="513">
        <f t="shared" si="218"/>
        <v>0</v>
      </c>
    </row>
    <row r="261" spans="1:101">
      <c r="A261" s="6128"/>
      <c r="B261" s="1438" t="s">
        <v>893</v>
      </c>
      <c r="C261" s="1822">
        <f t="shared" si="219"/>
        <v>0</v>
      </c>
      <c r="D261" s="1823">
        <f t="shared" si="197"/>
        <v>0</v>
      </c>
      <c r="E261" s="1438">
        <f t="shared" si="197"/>
        <v>0</v>
      </c>
      <c r="F261" s="1440"/>
      <c r="G261" s="1452"/>
      <c r="H261" s="1440"/>
      <c r="I261" s="1452"/>
      <c r="J261" s="1440"/>
      <c r="K261" s="1452"/>
      <c r="L261" s="1440"/>
      <c r="M261" s="1452"/>
      <c r="N261" s="1440"/>
      <c r="O261" s="1452"/>
      <c r="P261" s="1440"/>
      <c r="Q261" s="1452"/>
      <c r="R261" s="1440"/>
      <c r="S261" s="1452"/>
      <c r="T261" s="1440"/>
      <c r="U261" s="1452"/>
      <c r="V261" s="1440"/>
      <c r="W261" s="1452"/>
      <c r="X261" s="1440"/>
      <c r="Y261" s="1452"/>
      <c r="Z261" s="1440"/>
      <c r="AA261" s="1452"/>
      <c r="AB261" s="1440"/>
      <c r="AC261" s="1452"/>
      <c r="AD261" s="1440"/>
      <c r="AE261" s="1452"/>
      <c r="AF261" s="1440"/>
      <c r="AG261" s="1452"/>
      <c r="AH261" s="1440"/>
      <c r="AI261" s="1452"/>
      <c r="AJ261" s="1440"/>
      <c r="AK261" s="1452"/>
      <c r="AL261" s="1440"/>
      <c r="AM261" s="1447"/>
      <c r="AN261" s="1754"/>
      <c r="AO261" s="1796"/>
      <c r="AP261" s="1725"/>
      <c r="AQ261" s="1447"/>
      <c r="AR261" s="1446"/>
      <c r="AS261" s="1441"/>
      <c r="AT261" s="1452"/>
      <c r="AU261" s="1441"/>
      <c r="AV261" s="1452"/>
      <c r="AW261" s="1441"/>
      <c r="AX261" s="1452"/>
      <c r="AY261" s="385" t="str">
        <f t="shared" si="203"/>
        <v/>
      </c>
      <c r="AZ261" s="385"/>
      <c r="BA261" s="385"/>
      <c r="BB261" s="385"/>
      <c r="BC261" s="385"/>
      <c r="BD261" s="385"/>
      <c r="BE261" s="385"/>
      <c r="BF261" s="385"/>
      <c r="BG261" s="385"/>
      <c r="BH261" s="385"/>
      <c r="BI261" s="385"/>
      <c r="BJ261" s="385"/>
      <c r="BK261" s="385"/>
      <c r="BL261" s="385"/>
      <c r="BM261" s="385"/>
      <c r="BN261" s="385"/>
      <c r="BO261" s="385"/>
      <c r="CA261" s="1470"/>
      <c r="CB261" s="1418" t="str">
        <f t="shared" si="204"/>
        <v/>
      </c>
      <c r="CC261" s="1418" t="str">
        <f t="shared" si="205"/>
        <v/>
      </c>
      <c r="CD261" s="1418" t="str">
        <f t="shared" si="206"/>
        <v/>
      </c>
      <c r="CE261" s="1418" t="str">
        <f t="shared" si="207"/>
        <v/>
      </c>
      <c r="CF261" s="1418" t="str">
        <f t="shared" si="201"/>
        <v/>
      </c>
      <c r="CG261" s="1418" t="str">
        <f t="shared" si="208"/>
        <v/>
      </c>
      <c r="CH261" s="1418" t="str">
        <f t="shared" si="209"/>
        <v/>
      </c>
      <c r="CI261" s="1418" t="str">
        <f t="shared" si="210"/>
        <v/>
      </c>
      <c r="CP261" s="513">
        <f t="shared" si="211"/>
        <v>0</v>
      </c>
      <c r="CQ261" s="513">
        <f t="shared" si="212"/>
        <v>0</v>
      </c>
      <c r="CR261" s="513">
        <f t="shared" si="213"/>
        <v>0</v>
      </c>
      <c r="CS261" s="513">
        <f t="shared" si="214"/>
        <v>0</v>
      </c>
      <c r="CT261" s="513">
        <f t="shared" si="215"/>
        <v>0</v>
      </c>
      <c r="CU261" s="513">
        <f t="shared" si="216"/>
        <v>0</v>
      </c>
      <c r="CV261" s="513">
        <f t="shared" si="217"/>
        <v>0</v>
      </c>
      <c r="CW261" s="513">
        <f t="shared" si="218"/>
        <v>0</v>
      </c>
    </row>
    <row r="262" spans="1:101">
      <c r="A262" s="6128"/>
      <c r="B262" s="1837" t="s">
        <v>894</v>
      </c>
      <c r="C262" s="1822">
        <f t="shared" si="219"/>
        <v>0</v>
      </c>
      <c r="D262" s="1823">
        <f t="shared" si="197"/>
        <v>0</v>
      </c>
      <c r="E262" s="1438">
        <f t="shared" si="197"/>
        <v>0</v>
      </c>
      <c r="F262" s="1440"/>
      <c r="G262" s="1452"/>
      <c r="H262" s="1440"/>
      <c r="I262" s="1452"/>
      <c r="J262" s="1440"/>
      <c r="K262" s="1452"/>
      <c r="L262" s="1440"/>
      <c r="M262" s="1452"/>
      <c r="N262" s="1440"/>
      <c r="O262" s="1452"/>
      <c r="P262" s="1440"/>
      <c r="Q262" s="1452"/>
      <c r="R262" s="1440"/>
      <c r="S262" s="1452"/>
      <c r="T262" s="1440"/>
      <c r="U262" s="1452"/>
      <c r="V262" s="1440"/>
      <c r="W262" s="1452"/>
      <c r="X262" s="1440"/>
      <c r="Y262" s="1452"/>
      <c r="Z262" s="1440"/>
      <c r="AA262" s="1452"/>
      <c r="AB262" s="1440"/>
      <c r="AC262" s="1452"/>
      <c r="AD262" s="1440"/>
      <c r="AE262" s="1452"/>
      <c r="AF262" s="1440"/>
      <c r="AG262" s="1452"/>
      <c r="AH262" s="1440"/>
      <c r="AI262" s="1452"/>
      <c r="AJ262" s="1440"/>
      <c r="AK262" s="1452"/>
      <c r="AL262" s="1440"/>
      <c r="AM262" s="1447"/>
      <c r="AN262" s="1754"/>
      <c r="AO262" s="1796"/>
      <c r="AP262" s="1725"/>
      <c r="AQ262" s="1447"/>
      <c r="AR262" s="1446"/>
      <c r="AS262" s="1441"/>
      <c r="AT262" s="1452"/>
      <c r="AU262" s="1441"/>
      <c r="AV262" s="1452"/>
      <c r="AW262" s="1441"/>
      <c r="AX262" s="1452"/>
      <c r="AY262" s="385" t="str">
        <f t="shared" si="203"/>
        <v/>
      </c>
      <c r="AZ262" s="385"/>
      <c r="BA262" s="385"/>
      <c r="BB262" s="385"/>
      <c r="BC262" s="385"/>
      <c r="BD262" s="385"/>
      <c r="BE262" s="385"/>
      <c r="BF262" s="385"/>
      <c r="BG262" s="385"/>
      <c r="BH262" s="385"/>
      <c r="BI262" s="385"/>
      <c r="BJ262" s="385"/>
      <c r="BK262" s="385"/>
      <c r="BL262" s="385"/>
      <c r="BM262" s="385"/>
      <c r="BN262" s="385"/>
      <c r="BO262" s="385"/>
      <c r="CA262" s="1470"/>
      <c r="CB262" s="1418" t="str">
        <f t="shared" si="204"/>
        <v/>
      </c>
      <c r="CC262" s="1418" t="str">
        <f t="shared" si="205"/>
        <v/>
      </c>
      <c r="CD262" s="1418" t="str">
        <f t="shared" si="206"/>
        <v/>
      </c>
      <c r="CE262" s="1418" t="str">
        <f t="shared" si="207"/>
        <v/>
      </c>
      <c r="CF262" s="1418" t="str">
        <f t="shared" si="201"/>
        <v/>
      </c>
      <c r="CG262" s="1418" t="str">
        <f t="shared" si="208"/>
        <v/>
      </c>
      <c r="CH262" s="1418" t="str">
        <f t="shared" si="209"/>
        <v/>
      </c>
      <c r="CI262" s="1418" t="str">
        <f t="shared" si="210"/>
        <v/>
      </c>
      <c r="CP262" s="513">
        <f t="shared" si="211"/>
        <v>0</v>
      </c>
      <c r="CQ262" s="513">
        <f t="shared" si="212"/>
        <v>0</v>
      </c>
      <c r="CR262" s="513">
        <f t="shared" si="213"/>
        <v>0</v>
      </c>
      <c r="CS262" s="513">
        <f t="shared" si="214"/>
        <v>0</v>
      </c>
      <c r="CT262" s="513">
        <f t="shared" si="215"/>
        <v>0</v>
      </c>
      <c r="CU262" s="513">
        <f t="shared" si="216"/>
        <v>0</v>
      </c>
      <c r="CV262" s="513">
        <f t="shared" si="217"/>
        <v>0</v>
      </c>
      <c r="CW262" s="513">
        <f t="shared" si="218"/>
        <v>0</v>
      </c>
    </row>
    <row r="263" spans="1:101">
      <c r="A263" s="6128"/>
      <c r="B263" s="1838" t="s">
        <v>937</v>
      </c>
      <c r="C263" s="1822">
        <f t="shared" si="219"/>
        <v>0</v>
      </c>
      <c r="D263" s="1823">
        <f t="shared" si="197"/>
        <v>0</v>
      </c>
      <c r="E263" s="1438">
        <f t="shared" si="197"/>
        <v>0</v>
      </c>
      <c r="F263" s="1440"/>
      <c r="G263" s="1452"/>
      <c r="H263" s="1440"/>
      <c r="I263" s="1452"/>
      <c r="J263" s="1440"/>
      <c r="K263" s="1452"/>
      <c r="L263" s="1440"/>
      <c r="M263" s="1452"/>
      <c r="N263" s="1440"/>
      <c r="O263" s="1452"/>
      <c r="P263" s="1440"/>
      <c r="Q263" s="1452"/>
      <c r="R263" s="1440"/>
      <c r="S263" s="1452"/>
      <c r="T263" s="1440"/>
      <c r="U263" s="1452"/>
      <c r="V263" s="1440"/>
      <c r="W263" s="1452"/>
      <c r="X263" s="1440"/>
      <c r="Y263" s="1452"/>
      <c r="Z263" s="1440"/>
      <c r="AA263" s="1452"/>
      <c r="AB263" s="1440"/>
      <c r="AC263" s="1452"/>
      <c r="AD263" s="1440"/>
      <c r="AE263" s="1452"/>
      <c r="AF263" s="1440"/>
      <c r="AG263" s="1452"/>
      <c r="AH263" s="1440"/>
      <c r="AI263" s="1452"/>
      <c r="AJ263" s="1440"/>
      <c r="AK263" s="1452"/>
      <c r="AL263" s="1440"/>
      <c r="AM263" s="1447"/>
      <c r="AN263" s="1754"/>
      <c r="AO263" s="1796"/>
      <c r="AP263" s="1725"/>
      <c r="AQ263" s="1447"/>
      <c r="AR263" s="1446"/>
      <c r="AS263" s="1441"/>
      <c r="AT263" s="1452"/>
      <c r="AU263" s="1441"/>
      <c r="AV263" s="1452"/>
      <c r="AW263" s="1441"/>
      <c r="AX263" s="1452"/>
      <c r="AY263" s="385" t="str">
        <f t="shared" si="203"/>
        <v/>
      </c>
      <c r="AZ263" s="385"/>
      <c r="BA263" s="385"/>
      <c r="BB263" s="385"/>
      <c r="BC263" s="385"/>
      <c r="BD263" s="385"/>
      <c r="BE263" s="385"/>
      <c r="BF263" s="385"/>
      <c r="BG263" s="385"/>
      <c r="BH263" s="385"/>
      <c r="BI263" s="385"/>
      <c r="BJ263" s="385"/>
      <c r="BK263" s="385"/>
      <c r="BL263" s="385"/>
      <c r="BM263" s="385"/>
      <c r="BN263" s="385"/>
      <c r="BO263" s="385"/>
      <c r="CA263" s="1470"/>
      <c r="CB263" s="1418" t="str">
        <f t="shared" si="204"/>
        <v/>
      </c>
      <c r="CC263" s="1418" t="str">
        <f t="shared" si="205"/>
        <v/>
      </c>
      <c r="CD263" s="1418" t="str">
        <f t="shared" si="206"/>
        <v/>
      </c>
      <c r="CE263" s="1418" t="str">
        <f t="shared" si="207"/>
        <v/>
      </c>
      <c r="CF263" s="1418" t="str">
        <f t="shared" si="201"/>
        <v/>
      </c>
      <c r="CG263" s="1418" t="str">
        <f t="shared" si="208"/>
        <v/>
      </c>
      <c r="CH263" s="1418" t="str">
        <f t="shared" si="209"/>
        <v/>
      </c>
      <c r="CI263" s="1418" t="str">
        <f t="shared" si="210"/>
        <v/>
      </c>
      <c r="CP263" s="513">
        <f t="shared" si="211"/>
        <v>0</v>
      </c>
      <c r="CQ263" s="513">
        <f t="shared" si="212"/>
        <v>0</v>
      </c>
      <c r="CR263" s="513">
        <f t="shared" si="213"/>
        <v>0</v>
      </c>
      <c r="CS263" s="513">
        <f t="shared" si="214"/>
        <v>0</v>
      </c>
      <c r="CT263" s="513">
        <f t="shared" si="215"/>
        <v>0</v>
      </c>
      <c r="CU263" s="513">
        <f t="shared" si="216"/>
        <v>0</v>
      </c>
      <c r="CV263" s="513">
        <f t="shared" si="217"/>
        <v>0</v>
      </c>
      <c r="CW263" s="513">
        <f t="shared" si="218"/>
        <v>0</v>
      </c>
    </row>
    <row r="264" spans="1:101">
      <c r="A264" s="6129"/>
      <c r="B264" s="1839" t="s">
        <v>896</v>
      </c>
      <c r="C264" s="1840">
        <f t="shared" si="219"/>
        <v>0</v>
      </c>
      <c r="D264" s="1825">
        <f>SUM(H264+J264+L264+N264+P264+R264+T264+V264+X264+Z264+AB264+AD264+AF264+AH264+AJ264+AL264)</f>
        <v>0</v>
      </c>
      <c r="E264" s="1841">
        <f>SUM(I264+K264+M264+O264+Q264+S264+U264+W264+Y264+AA264+AC264+AE264+AG264+AI264+AK264+AM264)</f>
        <v>0</v>
      </c>
      <c r="F264" s="1905"/>
      <c r="G264" s="1906"/>
      <c r="H264" s="1485"/>
      <c r="I264" s="1692"/>
      <c r="J264" s="1485"/>
      <c r="K264" s="1692"/>
      <c r="L264" s="1485"/>
      <c r="M264" s="1692"/>
      <c r="N264" s="1485"/>
      <c r="O264" s="1692"/>
      <c r="P264" s="1485"/>
      <c r="Q264" s="1692"/>
      <c r="R264" s="1485"/>
      <c r="S264" s="1692"/>
      <c r="T264" s="1485"/>
      <c r="U264" s="1692"/>
      <c r="V264" s="1485"/>
      <c r="W264" s="1692"/>
      <c r="X264" s="1485"/>
      <c r="Y264" s="1692"/>
      <c r="Z264" s="1485"/>
      <c r="AA264" s="1692"/>
      <c r="AB264" s="1485"/>
      <c r="AC264" s="1692"/>
      <c r="AD264" s="1485"/>
      <c r="AE264" s="1692"/>
      <c r="AF264" s="1485"/>
      <c r="AG264" s="1692"/>
      <c r="AH264" s="1485"/>
      <c r="AI264" s="1692"/>
      <c r="AJ264" s="1485"/>
      <c r="AK264" s="1692"/>
      <c r="AL264" s="1485"/>
      <c r="AM264" s="1487"/>
      <c r="AN264" s="1714"/>
      <c r="AO264" s="1456"/>
      <c r="AP264" s="1660"/>
      <c r="AQ264" s="1487"/>
      <c r="AR264" s="1488"/>
      <c r="AS264" s="1826"/>
      <c r="AT264" s="1692"/>
      <c r="AU264" s="1826"/>
      <c r="AV264" s="1692"/>
      <c r="AW264" s="1826"/>
      <c r="AX264" s="1692"/>
      <c r="AY264" s="385" t="str">
        <f t="shared" si="203"/>
        <v/>
      </c>
      <c r="AZ264" s="385"/>
      <c r="BA264" s="385"/>
      <c r="BB264" s="385"/>
      <c r="BC264" s="385"/>
      <c r="BD264" s="385"/>
      <c r="BE264" s="385"/>
      <c r="BF264" s="385"/>
      <c r="BG264" s="385"/>
      <c r="BH264" s="385"/>
      <c r="BI264" s="385"/>
      <c r="BJ264" s="385"/>
      <c r="BK264" s="385"/>
      <c r="BL264" s="385"/>
      <c r="BM264" s="385"/>
      <c r="BN264" s="385"/>
      <c r="BO264" s="385"/>
      <c r="CA264" s="1470"/>
      <c r="CB264" s="1418" t="str">
        <f t="shared" si="204"/>
        <v/>
      </c>
      <c r="CC264" s="1418" t="str">
        <f t="shared" si="205"/>
        <v/>
      </c>
      <c r="CD264" s="1418" t="str">
        <f t="shared" si="206"/>
        <v/>
      </c>
      <c r="CE264" s="1418" t="str">
        <f t="shared" si="207"/>
        <v/>
      </c>
      <c r="CF264" s="1418" t="str">
        <f t="shared" si="201"/>
        <v/>
      </c>
      <c r="CG264" s="1418" t="str">
        <f t="shared" si="208"/>
        <v/>
      </c>
      <c r="CH264" s="1418" t="str">
        <f t="shared" si="209"/>
        <v/>
      </c>
      <c r="CI264" s="1418" t="str">
        <f t="shared" si="210"/>
        <v/>
      </c>
      <c r="CP264" s="513">
        <f t="shared" si="211"/>
        <v>0</v>
      </c>
      <c r="CQ264" s="513">
        <f t="shared" si="212"/>
        <v>0</v>
      </c>
      <c r="CR264" s="513">
        <f t="shared" si="213"/>
        <v>0</v>
      </c>
      <c r="CS264" s="513">
        <f t="shared" si="214"/>
        <v>0</v>
      </c>
      <c r="CT264" s="513">
        <f t="shared" si="215"/>
        <v>0</v>
      </c>
      <c r="CU264" s="513">
        <f t="shared" si="216"/>
        <v>0</v>
      </c>
      <c r="CV264" s="513">
        <f t="shared" si="217"/>
        <v>0</v>
      </c>
      <c r="CW264" s="513">
        <f t="shared" si="218"/>
        <v>0</v>
      </c>
    </row>
    <row r="265" spans="1:101" ht="15" customHeight="1">
      <c r="A265" s="6127" t="s">
        <v>897</v>
      </c>
      <c r="B265" s="1844" t="s">
        <v>898</v>
      </c>
      <c r="C265" s="1791">
        <f t="shared" si="219"/>
        <v>0</v>
      </c>
      <c r="D265" s="1792">
        <f t="shared" si="197"/>
        <v>0</v>
      </c>
      <c r="E265" s="1672">
        <f t="shared" si="197"/>
        <v>0</v>
      </c>
      <c r="F265" s="1424"/>
      <c r="G265" s="1436"/>
      <c r="H265" s="1424"/>
      <c r="I265" s="1436"/>
      <c r="J265" s="1424"/>
      <c r="K265" s="1436"/>
      <c r="L265" s="1424"/>
      <c r="M265" s="1436"/>
      <c r="N265" s="1424"/>
      <c r="O265" s="1436"/>
      <c r="P265" s="1424"/>
      <c r="Q265" s="1436"/>
      <c r="R265" s="1424"/>
      <c r="S265" s="1436"/>
      <c r="T265" s="1424"/>
      <c r="U265" s="1436"/>
      <c r="V265" s="1424"/>
      <c r="W265" s="1436"/>
      <c r="X265" s="1424"/>
      <c r="Y265" s="1436"/>
      <c r="Z265" s="1424"/>
      <c r="AA265" s="1436"/>
      <c r="AB265" s="1424"/>
      <c r="AC265" s="1436"/>
      <c r="AD265" s="1424"/>
      <c r="AE265" s="1436"/>
      <c r="AF265" s="1424"/>
      <c r="AG265" s="1436"/>
      <c r="AH265" s="1424"/>
      <c r="AI265" s="1436"/>
      <c r="AJ265" s="1405"/>
      <c r="AK265" s="1417"/>
      <c r="AL265" s="1424"/>
      <c r="AM265" s="1652"/>
      <c r="AN265" s="1754"/>
      <c r="AO265" s="1796"/>
      <c r="AP265" s="1725"/>
      <c r="AQ265" s="1652"/>
      <c r="AR265" s="1430"/>
      <c r="AS265" s="1425"/>
      <c r="AT265" s="1436"/>
      <c r="AU265" s="1425"/>
      <c r="AV265" s="1436"/>
      <c r="AW265" s="1425"/>
      <c r="AX265" s="1436"/>
      <c r="AY265" s="385" t="str">
        <f t="shared" si="203"/>
        <v/>
      </c>
      <c r="AZ265" s="385"/>
      <c r="BA265" s="385"/>
      <c r="BB265" s="385"/>
      <c r="BC265" s="385"/>
      <c r="BD265" s="385"/>
      <c r="BE265" s="385"/>
      <c r="BF265" s="385"/>
      <c r="BG265" s="385"/>
      <c r="BH265" s="385"/>
      <c r="BI265" s="385"/>
      <c r="BJ265" s="385"/>
      <c r="BK265" s="385"/>
      <c r="BL265" s="385"/>
      <c r="BM265" s="385"/>
      <c r="BN265" s="385"/>
      <c r="BO265" s="385"/>
      <c r="CA265" s="1470"/>
      <c r="CB265" s="1418" t="str">
        <f t="shared" si="204"/>
        <v/>
      </c>
      <c r="CC265" s="1418" t="str">
        <f t="shared" si="205"/>
        <v/>
      </c>
      <c r="CD265" s="1418" t="str">
        <f t="shared" si="206"/>
        <v/>
      </c>
      <c r="CE265" s="1418" t="str">
        <f t="shared" si="207"/>
        <v/>
      </c>
      <c r="CF265" s="1418" t="str">
        <f t="shared" si="201"/>
        <v/>
      </c>
      <c r="CG265" s="1418" t="str">
        <f t="shared" si="208"/>
        <v/>
      </c>
      <c r="CH265" s="1418" t="str">
        <f t="shared" si="209"/>
        <v/>
      </c>
      <c r="CI265" s="1418" t="str">
        <f t="shared" si="210"/>
        <v/>
      </c>
      <c r="CP265" s="513">
        <f t="shared" si="211"/>
        <v>0</v>
      </c>
      <c r="CQ265" s="513">
        <f t="shared" si="212"/>
        <v>0</v>
      </c>
      <c r="CR265" s="513">
        <f t="shared" si="213"/>
        <v>0</v>
      </c>
      <c r="CS265" s="513">
        <f t="shared" si="214"/>
        <v>0</v>
      </c>
      <c r="CT265" s="513">
        <f t="shared" si="215"/>
        <v>0</v>
      </c>
      <c r="CU265" s="513">
        <f t="shared" si="216"/>
        <v>0</v>
      </c>
      <c r="CV265" s="513">
        <f t="shared" si="217"/>
        <v>0</v>
      </c>
      <c r="CW265" s="513">
        <f t="shared" si="218"/>
        <v>0</v>
      </c>
    </row>
    <row r="266" spans="1:101">
      <c r="A266" s="6128"/>
      <c r="B266" s="1438" t="s">
        <v>899</v>
      </c>
      <c r="C266" s="1822">
        <f t="shared" si="219"/>
        <v>0</v>
      </c>
      <c r="D266" s="1823">
        <f t="shared" si="197"/>
        <v>0</v>
      </c>
      <c r="E266" s="1438">
        <f t="shared" ref="E266:E268" si="222">SUM(G266+I266+K266+M266+O266+Q266+S266+U266+W266+Y266+AA266+AC266+AE266+AG266+AI266+AK266+AM266)</f>
        <v>0</v>
      </c>
      <c r="F266" s="1440"/>
      <c r="G266" s="1452"/>
      <c r="H266" s="1440"/>
      <c r="I266" s="1452"/>
      <c r="J266" s="1440"/>
      <c r="K266" s="1452"/>
      <c r="L266" s="1440"/>
      <c r="M266" s="1452"/>
      <c r="N266" s="1440"/>
      <c r="O266" s="1452"/>
      <c r="P266" s="1440"/>
      <c r="Q266" s="1452"/>
      <c r="R266" s="1440"/>
      <c r="S266" s="1452"/>
      <c r="T266" s="1440"/>
      <c r="U266" s="1452"/>
      <c r="V266" s="1440"/>
      <c r="W266" s="1452"/>
      <c r="X266" s="1440"/>
      <c r="Y266" s="1452"/>
      <c r="Z266" s="1440"/>
      <c r="AA266" s="1452"/>
      <c r="AB266" s="1440"/>
      <c r="AC266" s="1452"/>
      <c r="AD266" s="1440"/>
      <c r="AE266" s="1452"/>
      <c r="AF266" s="1440"/>
      <c r="AG266" s="1452"/>
      <c r="AH266" s="1440"/>
      <c r="AI266" s="1452"/>
      <c r="AJ266" s="1485"/>
      <c r="AK266" s="1692"/>
      <c r="AL266" s="1440"/>
      <c r="AM266" s="1447"/>
      <c r="AN266" s="1754"/>
      <c r="AO266" s="1796"/>
      <c r="AP266" s="1725"/>
      <c r="AQ266" s="1447"/>
      <c r="AR266" s="1446"/>
      <c r="AS266" s="1441"/>
      <c r="AT266" s="1452"/>
      <c r="AU266" s="1441"/>
      <c r="AV266" s="1452"/>
      <c r="AW266" s="1441"/>
      <c r="AX266" s="1452"/>
      <c r="AY266" s="385" t="str">
        <f t="shared" si="203"/>
        <v/>
      </c>
      <c r="AZ266" s="385"/>
      <c r="BA266" s="385"/>
      <c r="BB266" s="385"/>
      <c r="BC266" s="385"/>
      <c r="BD266" s="385"/>
      <c r="BE266" s="385"/>
      <c r="BF266" s="385"/>
      <c r="BG266" s="385"/>
      <c r="BH266" s="385"/>
      <c r="BI266" s="385"/>
      <c r="BJ266" s="385"/>
      <c r="BK266" s="385"/>
      <c r="BL266" s="385"/>
      <c r="BM266" s="385"/>
      <c r="BN266" s="385"/>
      <c r="BO266" s="385"/>
      <c r="CA266" s="1470"/>
      <c r="CB266" s="1418" t="str">
        <f t="shared" si="204"/>
        <v/>
      </c>
      <c r="CC266" s="1418" t="str">
        <f t="shared" si="205"/>
        <v/>
      </c>
      <c r="CD266" s="1418" t="str">
        <f t="shared" si="206"/>
        <v/>
      </c>
      <c r="CE266" s="1418" t="str">
        <f t="shared" si="207"/>
        <v/>
      </c>
      <c r="CF266" s="1418" t="str">
        <f t="shared" si="201"/>
        <v/>
      </c>
      <c r="CG266" s="1418" t="str">
        <f t="shared" si="208"/>
        <v/>
      </c>
      <c r="CH266" s="1418" t="str">
        <f t="shared" si="209"/>
        <v/>
      </c>
      <c r="CI266" s="1418" t="str">
        <f t="shared" si="210"/>
        <v/>
      </c>
      <c r="CP266" s="513">
        <f t="shared" si="211"/>
        <v>0</v>
      </c>
      <c r="CQ266" s="513">
        <f t="shared" si="212"/>
        <v>0</v>
      </c>
      <c r="CR266" s="513">
        <f t="shared" si="213"/>
        <v>0</v>
      </c>
      <c r="CS266" s="513">
        <f t="shared" si="214"/>
        <v>0</v>
      </c>
      <c r="CT266" s="513">
        <f t="shared" si="215"/>
        <v>0</v>
      </c>
      <c r="CU266" s="513">
        <f t="shared" si="216"/>
        <v>0</v>
      </c>
      <c r="CV266" s="513">
        <f t="shared" si="217"/>
        <v>0</v>
      </c>
      <c r="CW266" s="513">
        <f t="shared" si="218"/>
        <v>0</v>
      </c>
    </row>
    <row r="267" spans="1:101">
      <c r="A267" s="6128"/>
      <c r="B267" s="1841" t="s">
        <v>900</v>
      </c>
      <c r="C267" s="1840">
        <f t="shared" si="219"/>
        <v>0</v>
      </c>
      <c r="D267" s="1825">
        <f t="shared" si="197"/>
        <v>0</v>
      </c>
      <c r="E267" s="1841">
        <f t="shared" si="222"/>
        <v>0</v>
      </c>
      <c r="F267" s="1485"/>
      <c r="G267" s="1692"/>
      <c r="H267" s="1485"/>
      <c r="I267" s="1692"/>
      <c r="J267" s="1485"/>
      <c r="K267" s="1692"/>
      <c r="L267" s="1485"/>
      <c r="M267" s="1692"/>
      <c r="N267" s="1485"/>
      <c r="O267" s="1692"/>
      <c r="P267" s="1485"/>
      <c r="Q267" s="1692"/>
      <c r="R267" s="1485"/>
      <c r="S267" s="1692"/>
      <c r="T267" s="1485"/>
      <c r="U267" s="1692"/>
      <c r="V267" s="1485"/>
      <c r="W267" s="1692"/>
      <c r="X267" s="1485"/>
      <c r="Y267" s="1692"/>
      <c r="Z267" s="1485"/>
      <c r="AA267" s="1692"/>
      <c r="AB267" s="1485"/>
      <c r="AC267" s="1692"/>
      <c r="AD267" s="1485"/>
      <c r="AE267" s="1692"/>
      <c r="AF267" s="1485"/>
      <c r="AG267" s="1692"/>
      <c r="AH267" s="1485"/>
      <c r="AI267" s="1692"/>
      <c r="AJ267" s="1485"/>
      <c r="AK267" s="1692"/>
      <c r="AL267" s="1485"/>
      <c r="AM267" s="1487"/>
      <c r="AN267" s="1709"/>
      <c r="AO267" s="1441"/>
      <c r="AP267" s="1655"/>
      <c r="AQ267" s="1487"/>
      <c r="AR267" s="1488"/>
      <c r="AS267" s="1826"/>
      <c r="AT267" s="1692"/>
      <c r="AU267" s="1826"/>
      <c r="AV267" s="1692"/>
      <c r="AW267" s="1826"/>
      <c r="AX267" s="1692"/>
      <c r="AY267" s="385" t="str">
        <f t="shared" si="203"/>
        <v/>
      </c>
      <c r="AZ267" s="385"/>
      <c r="BA267" s="385"/>
      <c r="BB267" s="385"/>
      <c r="BC267" s="385"/>
      <c r="BD267" s="385"/>
      <c r="BE267" s="385"/>
      <c r="BF267" s="385"/>
      <c r="BG267" s="385"/>
      <c r="BH267" s="385"/>
      <c r="BI267" s="385"/>
      <c r="BJ267" s="385"/>
      <c r="BK267" s="385"/>
      <c r="BL267" s="385"/>
      <c r="BM267" s="385"/>
      <c r="BN267" s="385"/>
      <c r="BO267" s="385"/>
      <c r="CA267" s="1470"/>
      <c r="CB267" s="1418" t="str">
        <f t="shared" si="204"/>
        <v/>
      </c>
      <c r="CC267" s="1418" t="str">
        <f t="shared" si="205"/>
        <v/>
      </c>
      <c r="CD267" s="1418" t="str">
        <f t="shared" si="206"/>
        <v/>
      </c>
      <c r="CE267" s="1418" t="str">
        <f t="shared" si="207"/>
        <v/>
      </c>
      <c r="CF267" s="1418" t="str">
        <f t="shared" si="201"/>
        <v/>
      </c>
      <c r="CG267" s="1418" t="str">
        <f t="shared" si="208"/>
        <v/>
      </c>
      <c r="CH267" s="1418" t="str">
        <f t="shared" si="209"/>
        <v/>
      </c>
      <c r="CI267" s="1418" t="str">
        <f t="shared" si="210"/>
        <v/>
      </c>
      <c r="CP267" s="513">
        <f t="shared" si="211"/>
        <v>0</v>
      </c>
      <c r="CQ267" s="513">
        <f t="shared" si="212"/>
        <v>0</v>
      </c>
      <c r="CR267" s="513">
        <f t="shared" si="213"/>
        <v>0</v>
      </c>
      <c r="CS267" s="513">
        <f t="shared" si="214"/>
        <v>0</v>
      </c>
      <c r="CT267" s="513">
        <f t="shared" si="215"/>
        <v>0</v>
      </c>
      <c r="CU267" s="513">
        <f t="shared" si="216"/>
        <v>0</v>
      </c>
      <c r="CV267" s="513">
        <f t="shared" si="217"/>
        <v>0</v>
      </c>
      <c r="CW267" s="513">
        <f t="shared" si="218"/>
        <v>0</v>
      </c>
    </row>
    <row r="268" spans="1:101">
      <c r="A268" s="6128"/>
      <c r="B268" s="1841" t="s">
        <v>901</v>
      </c>
      <c r="C268" s="1840">
        <f t="shared" si="219"/>
        <v>0</v>
      </c>
      <c r="D268" s="1825">
        <f t="shared" si="197"/>
        <v>0</v>
      </c>
      <c r="E268" s="1841">
        <f t="shared" si="222"/>
        <v>0</v>
      </c>
      <c r="F268" s="1485"/>
      <c r="G268" s="1692"/>
      <c r="H268" s="1485"/>
      <c r="I268" s="1692"/>
      <c r="J268" s="1485"/>
      <c r="K268" s="1692"/>
      <c r="L268" s="1485"/>
      <c r="M268" s="1692"/>
      <c r="N268" s="1485"/>
      <c r="O268" s="1692"/>
      <c r="P268" s="1485"/>
      <c r="Q268" s="1692"/>
      <c r="R268" s="1485"/>
      <c r="S268" s="1692"/>
      <c r="T268" s="1485"/>
      <c r="U268" s="1692"/>
      <c r="V268" s="1485"/>
      <c r="W268" s="1692"/>
      <c r="X268" s="1485"/>
      <c r="Y268" s="1692"/>
      <c r="Z268" s="1485"/>
      <c r="AA268" s="1692"/>
      <c r="AB268" s="1485"/>
      <c r="AC268" s="1692"/>
      <c r="AD268" s="1485"/>
      <c r="AE268" s="1692"/>
      <c r="AF268" s="1485"/>
      <c r="AG268" s="1692"/>
      <c r="AH268" s="1485"/>
      <c r="AI268" s="1692"/>
      <c r="AJ268" s="1485"/>
      <c r="AK268" s="1692"/>
      <c r="AL268" s="1485"/>
      <c r="AM268" s="1487"/>
      <c r="AN268" s="1907"/>
      <c r="AO268" s="1881"/>
      <c r="AP268" s="1908"/>
      <c r="AQ268" s="1487"/>
      <c r="AR268" s="1488"/>
      <c r="AS268" s="1826"/>
      <c r="AT268" s="1692"/>
      <c r="AU268" s="1826"/>
      <c r="AV268" s="1692"/>
      <c r="AW268" s="1826"/>
      <c r="AX268" s="1692"/>
      <c r="AY268" s="385" t="str">
        <f t="shared" si="203"/>
        <v/>
      </c>
      <c r="AZ268" s="385"/>
      <c r="BA268" s="385"/>
      <c r="BB268" s="385"/>
      <c r="BC268" s="385"/>
      <c r="BD268" s="385"/>
      <c r="BE268" s="385"/>
      <c r="BF268" s="385"/>
      <c r="BG268" s="385"/>
      <c r="BH268" s="385"/>
      <c r="BI268" s="385"/>
      <c r="BJ268" s="385"/>
      <c r="BK268" s="385"/>
      <c r="BL268" s="385"/>
      <c r="BM268" s="385"/>
      <c r="BN268" s="385"/>
      <c r="BO268" s="385"/>
      <c r="CA268" s="1470"/>
      <c r="CB268" s="1418" t="str">
        <f t="shared" si="204"/>
        <v/>
      </c>
      <c r="CC268" s="1418" t="str">
        <f t="shared" si="205"/>
        <v/>
      </c>
      <c r="CD268" s="1418" t="str">
        <f t="shared" si="206"/>
        <v/>
      </c>
      <c r="CE268" s="1418" t="str">
        <f t="shared" si="207"/>
        <v/>
      </c>
      <c r="CF268" s="1418" t="str">
        <f t="shared" si="201"/>
        <v/>
      </c>
      <c r="CG268" s="1418" t="str">
        <f t="shared" si="208"/>
        <v/>
      </c>
      <c r="CH268" s="1418" t="str">
        <f t="shared" si="209"/>
        <v/>
      </c>
      <c r="CI268" s="1418" t="str">
        <f t="shared" si="210"/>
        <v/>
      </c>
      <c r="CP268" s="513">
        <f t="shared" si="211"/>
        <v>0</v>
      </c>
      <c r="CQ268" s="513">
        <f t="shared" si="212"/>
        <v>0</v>
      </c>
      <c r="CR268" s="513">
        <f t="shared" si="213"/>
        <v>0</v>
      </c>
      <c r="CS268" s="513">
        <f t="shared" si="214"/>
        <v>0</v>
      </c>
      <c r="CT268" s="513">
        <f t="shared" si="215"/>
        <v>0</v>
      </c>
      <c r="CU268" s="513">
        <f t="shared" si="216"/>
        <v>0</v>
      </c>
      <c r="CV268" s="513">
        <f t="shared" si="217"/>
        <v>0</v>
      </c>
      <c r="CW268" s="513">
        <f t="shared" si="218"/>
        <v>0</v>
      </c>
    </row>
    <row r="269" spans="1:101">
      <c r="A269" s="6129"/>
      <c r="B269" s="1453" t="s">
        <v>902</v>
      </c>
      <c r="C269" s="1847">
        <f t="shared" si="219"/>
        <v>0</v>
      </c>
      <c r="D269" s="1848">
        <f t="shared" si="197"/>
        <v>0</v>
      </c>
      <c r="E269" s="1453">
        <f t="shared" si="197"/>
        <v>0</v>
      </c>
      <c r="F269" s="1455"/>
      <c r="G269" s="1467"/>
      <c r="H269" s="1455"/>
      <c r="I269" s="1467"/>
      <c r="J269" s="1455"/>
      <c r="K269" s="1467"/>
      <c r="L269" s="1455"/>
      <c r="M269" s="1467"/>
      <c r="N269" s="1455"/>
      <c r="O269" s="1467"/>
      <c r="P269" s="1455"/>
      <c r="Q269" s="1467"/>
      <c r="R269" s="1455"/>
      <c r="S269" s="1467"/>
      <c r="T269" s="1455"/>
      <c r="U269" s="1467"/>
      <c r="V269" s="1455"/>
      <c r="W269" s="1467"/>
      <c r="X269" s="1455"/>
      <c r="Y269" s="1467"/>
      <c r="Z269" s="1455"/>
      <c r="AA269" s="1467"/>
      <c r="AB269" s="1455"/>
      <c r="AC269" s="1467"/>
      <c r="AD269" s="1455"/>
      <c r="AE269" s="1467"/>
      <c r="AF269" s="1455"/>
      <c r="AG269" s="1467"/>
      <c r="AH269" s="1455"/>
      <c r="AI269" s="1467"/>
      <c r="AJ269" s="1455"/>
      <c r="AK269" s="1467"/>
      <c r="AL269" s="1455"/>
      <c r="AM269" s="1490"/>
      <c r="AN269" s="1714"/>
      <c r="AO269" s="1456"/>
      <c r="AP269" s="1660"/>
      <c r="AQ269" s="1490"/>
      <c r="AR269" s="1461"/>
      <c r="AS269" s="1456"/>
      <c r="AT269" s="1467"/>
      <c r="AU269" s="1456"/>
      <c r="AV269" s="1467"/>
      <c r="AW269" s="1456"/>
      <c r="AX269" s="1467"/>
      <c r="AY269" s="385" t="str">
        <f t="shared" si="203"/>
        <v/>
      </c>
      <c r="AZ269" s="385"/>
      <c r="BA269" s="385"/>
      <c r="BB269" s="385"/>
      <c r="BC269" s="385"/>
      <c r="BD269" s="385"/>
      <c r="BE269" s="385"/>
      <c r="BF269" s="385"/>
      <c r="BG269" s="385"/>
      <c r="BH269" s="385"/>
      <c r="BI269" s="385"/>
      <c r="BJ269" s="385"/>
      <c r="BK269" s="385"/>
      <c r="BL269" s="385"/>
      <c r="BM269" s="385"/>
      <c r="BN269" s="385"/>
      <c r="BO269" s="385"/>
      <c r="CA269" s="1470"/>
      <c r="CB269" s="1418" t="str">
        <f t="shared" si="204"/>
        <v/>
      </c>
      <c r="CC269" s="1418" t="str">
        <f t="shared" si="205"/>
        <v/>
      </c>
      <c r="CD269" s="1418" t="str">
        <f t="shared" si="206"/>
        <v/>
      </c>
      <c r="CE269" s="1418" t="str">
        <f t="shared" si="207"/>
        <v/>
      </c>
      <c r="CF269" s="1418" t="str">
        <f t="shared" si="201"/>
        <v/>
      </c>
      <c r="CG269" s="1418" t="str">
        <f t="shared" si="208"/>
        <v/>
      </c>
      <c r="CH269" s="1418" t="str">
        <f t="shared" si="209"/>
        <v/>
      </c>
      <c r="CI269" s="1418" t="str">
        <f t="shared" si="210"/>
        <v/>
      </c>
      <c r="CP269" s="513">
        <f t="shared" si="211"/>
        <v>0</v>
      </c>
      <c r="CQ269" s="513">
        <f t="shared" si="212"/>
        <v>0</v>
      </c>
      <c r="CR269" s="513">
        <f t="shared" si="213"/>
        <v>0</v>
      </c>
      <c r="CS269" s="513">
        <f t="shared" si="214"/>
        <v>0</v>
      </c>
      <c r="CT269" s="513">
        <f t="shared" si="215"/>
        <v>0</v>
      </c>
      <c r="CU269" s="513">
        <f t="shared" si="216"/>
        <v>0</v>
      </c>
      <c r="CV269" s="513">
        <f t="shared" si="217"/>
        <v>0</v>
      </c>
      <c r="CW269" s="513">
        <f t="shared" si="218"/>
        <v>0</v>
      </c>
    </row>
    <row r="270" spans="1:101" ht="15" customHeight="1">
      <c r="A270" s="6127" t="s">
        <v>938</v>
      </c>
      <c r="B270" s="1672" t="s">
        <v>904</v>
      </c>
      <c r="C270" s="1791">
        <f t="shared" si="219"/>
        <v>0</v>
      </c>
      <c r="D270" s="1792">
        <f t="shared" ref="D270:E273" si="223">SUM(F270+H270+J270+L270+N270)</f>
        <v>0</v>
      </c>
      <c r="E270" s="1672">
        <f>SUM(G270+I270+K270+M270+O270)</f>
        <v>0</v>
      </c>
      <c r="F270" s="1424"/>
      <c r="G270" s="1436"/>
      <c r="H270" s="1424"/>
      <c r="I270" s="1436"/>
      <c r="J270" s="1424"/>
      <c r="K270" s="1436"/>
      <c r="L270" s="1424"/>
      <c r="M270" s="1436"/>
      <c r="N270" s="1424"/>
      <c r="O270" s="1436"/>
      <c r="P270" s="1849"/>
      <c r="Q270" s="1850"/>
      <c r="R270" s="1850"/>
      <c r="S270" s="1850"/>
      <c r="T270" s="1850"/>
      <c r="U270" s="1850"/>
      <c r="V270" s="1850"/>
      <c r="W270" s="1850"/>
      <c r="X270" s="1850"/>
      <c r="Y270" s="1850"/>
      <c r="Z270" s="1850"/>
      <c r="AA270" s="1850"/>
      <c r="AB270" s="1850"/>
      <c r="AC270" s="1850"/>
      <c r="AD270" s="1850"/>
      <c r="AE270" s="1850"/>
      <c r="AF270" s="1850"/>
      <c r="AG270" s="1850"/>
      <c r="AH270" s="1850"/>
      <c r="AI270" s="1850"/>
      <c r="AJ270" s="1850"/>
      <c r="AK270" s="1850"/>
      <c r="AL270" s="1850"/>
      <c r="AM270" s="1851"/>
      <c r="AN270" s="1707"/>
      <c r="AO270" s="1425"/>
      <c r="AP270" s="1650"/>
      <c r="AQ270" s="1652"/>
      <c r="AR270" s="1852"/>
      <c r="AS270" s="1425"/>
      <c r="AT270" s="1436"/>
      <c r="AU270" s="1425"/>
      <c r="AV270" s="1436"/>
      <c r="AW270" s="1425"/>
      <c r="AX270" s="1436"/>
      <c r="AY270" s="385" t="str">
        <f t="shared" si="203"/>
        <v/>
      </c>
      <c r="AZ270" s="385"/>
      <c r="BA270" s="385"/>
      <c r="BB270" s="385"/>
      <c r="BC270" s="385"/>
      <c r="BD270" s="385"/>
      <c r="BE270" s="385"/>
      <c r="BF270" s="385"/>
      <c r="BG270" s="385"/>
      <c r="BH270" s="385"/>
      <c r="BI270" s="385"/>
      <c r="BJ270" s="385"/>
      <c r="BK270" s="385"/>
      <c r="BL270" s="385"/>
      <c r="BM270" s="385"/>
      <c r="BN270" s="385"/>
      <c r="BO270" s="385"/>
      <c r="CA270" s="1470"/>
      <c r="CB270" s="1418" t="str">
        <f t="shared" si="204"/>
        <v/>
      </c>
      <c r="CC270" s="1909"/>
      <c r="CD270" s="1418" t="str">
        <f t="shared" si="206"/>
        <v/>
      </c>
      <c r="CE270" s="1418" t="str">
        <f t="shared" si="207"/>
        <v/>
      </c>
      <c r="CF270" s="1418" t="str">
        <f t="shared" si="201"/>
        <v/>
      </c>
      <c r="CG270" s="1418" t="str">
        <f t="shared" si="208"/>
        <v/>
      </c>
      <c r="CH270" s="1418" t="str">
        <f t="shared" si="209"/>
        <v/>
      </c>
      <c r="CI270" s="1418" t="str">
        <f t="shared" si="210"/>
        <v/>
      </c>
      <c r="CP270" s="513">
        <f t="shared" si="211"/>
        <v>0</v>
      </c>
      <c r="CQ270" s="1616"/>
      <c r="CR270" s="513">
        <f t="shared" si="213"/>
        <v>0</v>
      </c>
      <c r="CS270" s="513">
        <f t="shared" si="214"/>
        <v>0</v>
      </c>
      <c r="CT270" s="513">
        <f t="shared" si="215"/>
        <v>0</v>
      </c>
      <c r="CU270" s="513">
        <f t="shared" si="216"/>
        <v>0</v>
      </c>
      <c r="CV270" s="513">
        <f t="shared" si="217"/>
        <v>0</v>
      </c>
      <c r="CW270" s="513">
        <f t="shared" si="218"/>
        <v>0</v>
      </c>
    </row>
    <row r="271" spans="1:101" ht="22.5">
      <c r="A271" s="6128"/>
      <c r="B271" s="1438" t="s">
        <v>905</v>
      </c>
      <c r="C271" s="1822">
        <f t="shared" si="219"/>
        <v>0</v>
      </c>
      <c r="D271" s="1823">
        <f t="shared" si="223"/>
        <v>0</v>
      </c>
      <c r="E271" s="1438">
        <f t="shared" si="223"/>
        <v>0</v>
      </c>
      <c r="F271" s="1440"/>
      <c r="G271" s="1452"/>
      <c r="H271" s="1440"/>
      <c r="I271" s="1452"/>
      <c r="J271" s="1440"/>
      <c r="K271" s="1452"/>
      <c r="L271" s="1440"/>
      <c r="M271" s="1452"/>
      <c r="N271" s="1440"/>
      <c r="O271" s="1452"/>
      <c r="P271" s="1854"/>
      <c r="Q271" s="1855"/>
      <c r="R271" s="1855"/>
      <c r="S271" s="1855"/>
      <c r="T271" s="1855"/>
      <c r="U271" s="1855"/>
      <c r="V271" s="1855"/>
      <c r="W271" s="1855"/>
      <c r="X271" s="1855"/>
      <c r="Y271" s="1855"/>
      <c r="Z271" s="1855"/>
      <c r="AA271" s="1855"/>
      <c r="AB271" s="1855"/>
      <c r="AC271" s="1855"/>
      <c r="AD271" s="1855"/>
      <c r="AE271" s="1855"/>
      <c r="AF271" s="1855"/>
      <c r="AG271" s="1855"/>
      <c r="AH271" s="1855"/>
      <c r="AI271" s="1855"/>
      <c r="AJ271" s="1855"/>
      <c r="AK271" s="1855"/>
      <c r="AL271" s="1855"/>
      <c r="AM271" s="1856"/>
      <c r="AN271" s="1754"/>
      <c r="AO271" s="1796"/>
      <c r="AP271" s="1725"/>
      <c r="AQ271" s="1447"/>
      <c r="AR271" s="1857"/>
      <c r="AS271" s="1441"/>
      <c r="AT271" s="1452"/>
      <c r="AU271" s="1441"/>
      <c r="AV271" s="1452"/>
      <c r="AW271" s="1441"/>
      <c r="AX271" s="1452"/>
      <c r="AY271" s="385" t="str">
        <f t="shared" si="203"/>
        <v/>
      </c>
      <c r="AZ271" s="385"/>
      <c r="BA271" s="385"/>
      <c r="BB271" s="385"/>
      <c r="BC271" s="385"/>
      <c r="BD271" s="385"/>
      <c r="BE271" s="385"/>
      <c r="BF271" s="385"/>
      <c r="BG271" s="385"/>
      <c r="BH271" s="385"/>
      <c r="BI271" s="385"/>
      <c r="BJ271" s="385"/>
      <c r="BK271" s="385"/>
      <c r="BL271" s="385"/>
      <c r="BM271" s="385"/>
      <c r="BN271" s="385"/>
      <c r="BO271" s="385"/>
      <c r="CA271" s="1470"/>
      <c r="CB271" s="1418" t="str">
        <f t="shared" si="204"/>
        <v/>
      </c>
      <c r="CC271" s="1909"/>
      <c r="CD271" s="1418" t="str">
        <f t="shared" si="206"/>
        <v/>
      </c>
      <c r="CE271" s="1418" t="str">
        <f t="shared" si="207"/>
        <v/>
      </c>
      <c r="CF271" s="1418" t="str">
        <f t="shared" si="201"/>
        <v/>
      </c>
      <c r="CG271" s="1418" t="str">
        <f t="shared" si="208"/>
        <v/>
      </c>
      <c r="CH271" s="1418" t="str">
        <f t="shared" si="209"/>
        <v/>
      </c>
      <c r="CI271" s="1418" t="str">
        <f t="shared" si="210"/>
        <v/>
      </c>
      <c r="CP271" s="513">
        <f t="shared" si="211"/>
        <v>0</v>
      </c>
      <c r="CQ271" s="1616"/>
      <c r="CR271" s="513">
        <f t="shared" si="213"/>
        <v>0</v>
      </c>
      <c r="CS271" s="513">
        <f t="shared" si="214"/>
        <v>0</v>
      </c>
      <c r="CT271" s="513">
        <f t="shared" si="215"/>
        <v>0</v>
      </c>
      <c r="CU271" s="513">
        <f t="shared" si="216"/>
        <v>0</v>
      </c>
      <c r="CV271" s="513">
        <f t="shared" si="217"/>
        <v>0</v>
      </c>
      <c r="CW271" s="513">
        <f t="shared" si="218"/>
        <v>0</v>
      </c>
    </row>
    <row r="272" spans="1:101" ht="22.5">
      <c r="A272" s="6128"/>
      <c r="B272" s="1438" t="s">
        <v>906</v>
      </c>
      <c r="C272" s="1822">
        <f t="shared" si="219"/>
        <v>0</v>
      </c>
      <c r="D272" s="1823">
        <f t="shared" si="223"/>
        <v>0</v>
      </c>
      <c r="E272" s="1438">
        <f t="shared" si="223"/>
        <v>0</v>
      </c>
      <c r="F272" s="1440"/>
      <c r="G272" s="1452"/>
      <c r="H272" s="1440"/>
      <c r="I272" s="1452"/>
      <c r="J272" s="1440"/>
      <c r="K272" s="1452"/>
      <c r="L272" s="1440"/>
      <c r="M272" s="1452"/>
      <c r="N272" s="1440"/>
      <c r="O272" s="1452"/>
      <c r="P272" s="1854"/>
      <c r="Q272" s="1855"/>
      <c r="R272" s="1855"/>
      <c r="S272" s="1855"/>
      <c r="T272" s="1855"/>
      <c r="U272" s="1855"/>
      <c r="V272" s="1855"/>
      <c r="W272" s="1855"/>
      <c r="X272" s="1855"/>
      <c r="Y272" s="1855"/>
      <c r="Z272" s="1855"/>
      <c r="AA272" s="1855"/>
      <c r="AB272" s="1855"/>
      <c r="AC272" s="1855"/>
      <c r="AD272" s="1855"/>
      <c r="AE272" s="1855"/>
      <c r="AF272" s="1855"/>
      <c r="AG272" s="1855"/>
      <c r="AH272" s="1855"/>
      <c r="AI272" s="1855"/>
      <c r="AJ272" s="1855"/>
      <c r="AK272" s="1855"/>
      <c r="AL272" s="1855"/>
      <c r="AM272" s="1856"/>
      <c r="AN272" s="1754"/>
      <c r="AO272" s="1796"/>
      <c r="AP272" s="1725"/>
      <c r="AQ272" s="1447"/>
      <c r="AR272" s="1857"/>
      <c r="AS272" s="1441"/>
      <c r="AT272" s="1452"/>
      <c r="AU272" s="1441"/>
      <c r="AV272" s="1452"/>
      <c r="AW272" s="1441"/>
      <c r="AX272" s="1452"/>
      <c r="AY272" s="385" t="str">
        <f t="shared" si="203"/>
        <v/>
      </c>
      <c r="AZ272" s="385"/>
      <c r="BA272" s="385"/>
      <c r="BB272" s="385"/>
      <c r="BC272" s="385"/>
      <c r="BD272" s="385"/>
      <c r="BE272" s="385"/>
      <c r="BF272" s="385"/>
      <c r="BG272" s="385"/>
      <c r="BH272" s="385"/>
      <c r="BI272" s="385"/>
      <c r="BJ272" s="385"/>
      <c r="BK272" s="385"/>
      <c r="BL272" s="385"/>
      <c r="BM272" s="385"/>
      <c r="BN272" s="385"/>
      <c r="BO272" s="385"/>
      <c r="CA272" s="1470"/>
      <c r="CB272" s="1418" t="str">
        <f t="shared" si="204"/>
        <v/>
      </c>
      <c r="CC272" s="1909"/>
      <c r="CD272" s="1418" t="str">
        <f t="shared" si="206"/>
        <v/>
      </c>
      <c r="CE272" s="1418" t="str">
        <f t="shared" si="207"/>
        <v/>
      </c>
      <c r="CF272" s="1418" t="str">
        <f t="shared" si="201"/>
        <v/>
      </c>
      <c r="CG272" s="1418" t="str">
        <f t="shared" si="208"/>
        <v/>
      </c>
      <c r="CH272" s="1418" t="str">
        <f t="shared" si="209"/>
        <v/>
      </c>
      <c r="CI272" s="1418" t="str">
        <f t="shared" si="210"/>
        <v/>
      </c>
      <c r="CP272" s="513">
        <f t="shared" si="211"/>
        <v>0</v>
      </c>
      <c r="CQ272" s="1616"/>
      <c r="CR272" s="513">
        <f t="shared" si="213"/>
        <v>0</v>
      </c>
      <c r="CS272" s="513">
        <f t="shared" si="214"/>
        <v>0</v>
      </c>
      <c r="CT272" s="513">
        <f t="shared" si="215"/>
        <v>0</v>
      </c>
      <c r="CU272" s="513">
        <f t="shared" si="216"/>
        <v>0</v>
      </c>
      <c r="CV272" s="513">
        <f t="shared" si="217"/>
        <v>0</v>
      </c>
      <c r="CW272" s="513">
        <f t="shared" si="218"/>
        <v>0</v>
      </c>
    </row>
    <row r="273" spans="1:101" ht="33">
      <c r="A273" s="6129"/>
      <c r="B273" s="1453" t="s">
        <v>907</v>
      </c>
      <c r="C273" s="1847">
        <f t="shared" si="219"/>
        <v>0</v>
      </c>
      <c r="D273" s="1848">
        <f t="shared" si="223"/>
        <v>0</v>
      </c>
      <c r="E273" s="1453">
        <f t="shared" si="223"/>
        <v>0</v>
      </c>
      <c r="F273" s="1455"/>
      <c r="G273" s="1467"/>
      <c r="H273" s="1455"/>
      <c r="I273" s="1467"/>
      <c r="J273" s="1455"/>
      <c r="K273" s="1467"/>
      <c r="L273" s="1455"/>
      <c r="M273" s="1467"/>
      <c r="N273" s="1455"/>
      <c r="O273" s="1467"/>
      <c r="P273" s="1858"/>
      <c r="Q273" s="1859"/>
      <c r="R273" s="1859"/>
      <c r="S273" s="1859"/>
      <c r="T273" s="1859"/>
      <c r="U273" s="1859"/>
      <c r="V273" s="1859"/>
      <c r="W273" s="1859"/>
      <c r="X273" s="1859"/>
      <c r="Y273" s="1859"/>
      <c r="Z273" s="1859"/>
      <c r="AA273" s="1859"/>
      <c r="AB273" s="1859"/>
      <c r="AC273" s="1859"/>
      <c r="AD273" s="1859"/>
      <c r="AE273" s="1859"/>
      <c r="AF273" s="1859"/>
      <c r="AG273" s="1859"/>
      <c r="AH273" s="1859"/>
      <c r="AI273" s="1859"/>
      <c r="AJ273" s="1859"/>
      <c r="AK273" s="1859"/>
      <c r="AL273" s="1859"/>
      <c r="AM273" s="1860"/>
      <c r="AN273" s="1754"/>
      <c r="AO273" s="1796"/>
      <c r="AP273" s="1459"/>
      <c r="AQ273" s="1490"/>
      <c r="AR273" s="1861"/>
      <c r="AS273" s="1456"/>
      <c r="AT273" s="1467"/>
      <c r="AU273" s="1456"/>
      <c r="AV273" s="1467"/>
      <c r="AW273" s="1456"/>
      <c r="AX273" s="1467"/>
      <c r="AY273" s="385" t="str">
        <f t="shared" si="203"/>
        <v/>
      </c>
      <c r="AZ273" s="385"/>
      <c r="BA273" s="385"/>
      <c r="BB273" s="385"/>
      <c r="BC273" s="385"/>
      <c r="BD273" s="385"/>
      <c r="BE273" s="385"/>
      <c r="BF273" s="385"/>
      <c r="BG273" s="385"/>
      <c r="BH273" s="385"/>
      <c r="BI273" s="385"/>
      <c r="BJ273" s="385"/>
      <c r="BK273" s="385"/>
      <c r="BL273" s="385"/>
      <c r="BM273" s="385"/>
      <c r="BN273" s="385"/>
      <c r="BO273" s="385"/>
      <c r="CA273" s="1470"/>
      <c r="CB273" s="1418" t="str">
        <f t="shared" si="204"/>
        <v/>
      </c>
      <c r="CC273" s="1909"/>
      <c r="CD273" s="1418" t="str">
        <f t="shared" si="206"/>
        <v/>
      </c>
      <c r="CE273" s="1418" t="str">
        <f t="shared" si="207"/>
        <v/>
      </c>
      <c r="CF273" s="1418" t="str">
        <f t="shared" si="201"/>
        <v/>
      </c>
      <c r="CG273" s="1418" t="str">
        <f t="shared" si="208"/>
        <v/>
      </c>
      <c r="CH273" s="1418" t="str">
        <f t="shared" si="209"/>
        <v/>
      </c>
      <c r="CI273" s="1418" t="str">
        <f t="shared" si="210"/>
        <v/>
      </c>
      <c r="CP273" s="513">
        <f t="shared" si="211"/>
        <v>0</v>
      </c>
      <c r="CQ273" s="1616"/>
      <c r="CR273" s="513">
        <f t="shared" si="213"/>
        <v>0</v>
      </c>
      <c r="CS273" s="513">
        <f t="shared" si="214"/>
        <v>0</v>
      </c>
      <c r="CT273" s="513">
        <f t="shared" si="215"/>
        <v>0</v>
      </c>
      <c r="CU273" s="513">
        <f t="shared" si="216"/>
        <v>0</v>
      </c>
      <c r="CV273" s="513">
        <f t="shared" si="217"/>
        <v>0</v>
      </c>
      <c r="CW273" s="513">
        <f t="shared" si="218"/>
        <v>0</v>
      </c>
    </row>
    <row r="274" spans="1:101">
      <c r="A274" s="6127" t="s">
        <v>939</v>
      </c>
      <c r="B274" s="1862" t="s">
        <v>909</v>
      </c>
      <c r="C274" s="1793">
        <f t="shared" si="219"/>
        <v>0</v>
      </c>
      <c r="D274" s="1794">
        <f t="shared" ref="D274:E293" si="224">SUM(F274+H274+J274+L274+N274+P274+R274+T274+V274+X274+Z274+AB274+AD274+AF274+AH274+AJ274+AL274)</f>
        <v>0</v>
      </c>
      <c r="E274" s="1795">
        <f>SUM(G274+I274+K274+M274+O274+Q274+S274+U274+W274+Y274+AA274+AC274+AE274+AG274+AI274+AK274+AM274)</f>
        <v>0</v>
      </c>
      <c r="F274" s="1480"/>
      <c r="G274" s="1545"/>
      <c r="H274" s="1480"/>
      <c r="I274" s="1545"/>
      <c r="J274" s="1480"/>
      <c r="K274" s="1545"/>
      <c r="L274" s="1480"/>
      <c r="M274" s="1545"/>
      <c r="N274" s="1480"/>
      <c r="O274" s="1545"/>
      <c r="P274" s="1480"/>
      <c r="Q274" s="1545"/>
      <c r="R274" s="1480"/>
      <c r="S274" s="1545"/>
      <c r="T274" s="1480"/>
      <c r="U274" s="1545"/>
      <c r="V274" s="1480"/>
      <c r="W274" s="1545"/>
      <c r="X274" s="1480"/>
      <c r="Y274" s="1545"/>
      <c r="Z274" s="1480"/>
      <c r="AA274" s="1545"/>
      <c r="AB274" s="1480"/>
      <c r="AC274" s="1545"/>
      <c r="AD274" s="1480"/>
      <c r="AE274" s="1545"/>
      <c r="AF274" s="1480"/>
      <c r="AG274" s="1545"/>
      <c r="AH274" s="1480"/>
      <c r="AI274" s="1545"/>
      <c r="AJ274" s="1480"/>
      <c r="AK274" s="1545"/>
      <c r="AL274" s="1480"/>
      <c r="AM274" s="1428"/>
      <c r="AN274" s="1425"/>
      <c r="AO274" s="1426"/>
      <c r="AP274" s="1428"/>
      <c r="AQ274" s="1482"/>
      <c r="AR274" s="1483"/>
      <c r="AS274" s="1425"/>
      <c r="AT274" s="1452"/>
      <c r="AU274" s="1441"/>
      <c r="AV274" s="1452"/>
      <c r="AW274" s="1441"/>
      <c r="AX274" s="1452"/>
      <c r="AY274" s="385" t="str">
        <f t="shared" si="203"/>
        <v/>
      </c>
      <c r="AZ274" s="385"/>
      <c r="BA274" s="385"/>
      <c r="BB274" s="385"/>
      <c r="BC274" s="385"/>
      <c r="BD274" s="385"/>
      <c r="BE274" s="385"/>
      <c r="BF274" s="385"/>
      <c r="BG274" s="385"/>
      <c r="BH274" s="385"/>
      <c r="BI274" s="385"/>
      <c r="BJ274" s="385"/>
      <c r="BK274" s="385"/>
      <c r="BL274" s="385"/>
      <c r="BM274" s="385"/>
      <c r="BN274" s="385"/>
      <c r="BO274" s="385"/>
      <c r="CA274" s="1470"/>
      <c r="CB274" s="1418" t="str">
        <f t="shared" si="204"/>
        <v/>
      </c>
      <c r="CC274" s="1418" t="str">
        <f t="shared" si="205"/>
        <v/>
      </c>
      <c r="CD274" s="1418" t="str">
        <f t="shared" si="206"/>
        <v/>
      </c>
      <c r="CE274" s="1418" t="str">
        <f t="shared" si="207"/>
        <v/>
      </c>
      <c r="CF274" s="1418" t="str">
        <f t="shared" si="201"/>
        <v/>
      </c>
      <c r="CG274" s="1418" t="str">
        <f t="shared" si="208"/>
        <v/>
      </c>
      <c r="CH274" s="1418" t="str">
        <f t="shared" si="209"/>
        <v/>
      </c>
      <c r="CI274" s="1418" t="str">
        <f t="shared" si="210"/>
        <v/>
      </c>
      <c r="CP274" s="513">
        <f t="shared" si="211"/>
        <v>0</v>
      </c>
      <c r="CQ274" s="513">
        <f t="shared" si="212"/>
        <v>0</v>
      </c>
      <c r="CR274" s="513">
        <f t="shared" si="213"/>
        <v>0</v>
      </c>
      <c r="CS274" s="513">
        <f t="shared" si="214"/>
        <v>0</v>
      </c>
      <c r="CT274" s="513">
        <f t="shared" si="215"/>
        <v>0</v>
      </c>
      <c r="CU274" s="513">
        <f t="shared" si="216"/>
        <v>0</v>
      </c>
      <c r="CV274" s="513">
        <f t="shared" si="217"/>
        <v>0</v>
      </c>
      <c r="CW274" s="513">
        <f t="shared" si="218"/>
        <v>0</v>
      </c>
    </row>
    <row r="275" spans="1:101">
      <c r="A275" s="6128"/>
      <c r="B275" s="1863" t="s">
        <v>910</v>
      </c>
      <c r="C275" s="1822">
        <f t="shared" si="219"/>
        <v>0</v>
      </c>
      <c r="D275" s="1823">
        <f t="shared" si="224"/>
        <v>0</v>
      </c>
      <c r="E275" s="1438">
        <f t="shared" si="224"/>
        <v>0</v>
      </c>
      <c r="F275" s="1440"/>
      <c r="G275" s="1452"/>
      <c r="H275" s="1440"/>
      <c r="I275" s="1452"/>
      <c r="J275" s="1440"/>
      <c r="K275" s="1452"/>
      <c r="L275" s="1440"/>
      <c r="M275" s="1452"/>
      <c r="N275" s="1440"/>
      <c r="O275" s="1452"/>
      <c r="P275" s="1440"/>
      <c r="Q275" s="1452"/>
      <c r="R275" s="1440"/>
      <c r="S275" s="1452"/>
      <c r="T275" s="1440"/>
      <c r="U275" s="1452"/>
      <c r="V275" s="1440"/>
      <c r="W275" s="1452"/>
      <c r="X275" s="1440"/>
      <c r="Y275" s="1452"/>
      <c r="Z275" s="1440"/>
      <c r="AA275" s="1452"/>
      <c r="AB275" s="1440"/>
      <c r="AC275" s="1452"/>
      <c r="AD275" s="1440"/>
      <c r="AE275" s="1452"/>
      <c r="AF275" s="1440"/>
      <c r="AG275" s="1452"/>
      <c r="AH275" s="1440"/>
      <c r="AI275" s="1452"/>
      <c r="AJ275" s="1440"/>
      <c r="AK275" s="1452"/>
      <c r="AL275" s="1440"/>
      <c r="AM275" s="1444"/>
      <c r="AN275" s="1441"/>
      <c r="AO275" s="1442"/>
      <c r="AP275" s="1444"/>
      <c r="AQ275" s="1447"/>
      <c r="AR275" s="1446"/>
      <c r="AS275" s="1441"/>
      <c r="AT275" s="1452"/>
      <c r="AU275" s="1441"/>
      <c r="AV275" s="1452"/>
      <c r="AW275" s="1441"/>
      <c r="AX275" s="1452"/>
      <c r="AY275" s="385" t="str">
        <f t="shared" si="203"/>
        <v/>
      </c>
      <c r="AZ275" s="385"/>
      <c r="BA275" s="385"/>
      <c r="BB275" s="385"/>
      <c r="BC275" s="385"/>
      <c r="BD275" s="385"/>
      <c r="BE275" s="385"/>
      <c r="BF275" s="385"/>
      <c r="BG275" s="385"/>
      <c r="BH275" s="385"/>
      <c r="BI275" s="385"/>
      <c r="BJ275" s="385"/>
      <c r="BK275" s="385"/>
      <c r="BL275" s="385"/>
      <c r="BM275" s="385"/>
      <c r="BN275" s="385"/>
      <c r="BO275" s="385"/>
      <c r="CA275" s="1470"/>
      <c r="CB275" s="1418" t="str">
        <f t="shared" si="204"/>
        <v/>
      </c>
      <c r="CC275" s="1418" t="str">
        <f t="shared" si="205"/>
        <v/>
      </c>
      <c r="CD275" s="1418" t="str">
        <f t="shared" si="206"/>
        <v/>
      </c>
      <c r="CE275" s="1418" t="str">
        <f t="shared" si="207"/>
        <v/>
      </c>
      <c r="CF275" s="1418" t="str">
        <f t="shared" si="201"/>
        <v/>
      </c>
      <c r="CG275" s="1418" t="str">
        <f t="shared" si="208"/>
        <v/>
      </c>
      <c r="CH275" s="1418" t="str">
        <f t="shared" si="209"/>
        <v/>
      </c>
      <c r="CI275" s="1418" t="str">
        <f t="shared" si="210"/>
        <v/>
      </c>
      <c r="CP275" s="513">
        <f t="shared" si="211"/>
        <v>0</v>
      </c>
      <c r="CQ275" s="513">
        <f t="shared" si="212"/>
        <v>0</v>
      </c>
      <c r="CR275" s="513">
        <f t="shared" si="213"/>
        <v>0</v>
      </c>
      <c r="CS275" s="513">
        <f t="shared" si="214"/>
        <v>0</v>
      </c>
      <c r="CT275" s="513">
        <f t="shared" si="215"/>
        <v>0</v>
      </c>
      <c r="CU275" s="513">
        <f t="shared" si="216"/>
        <v>0</v>
      </c>
      <c r="CV275" s="513">
        <f t="shared" si="217"/>
        <v>0</v>
      </c>
      <c r="CW275" s="513">
        <f t="shared" si="218"/>
        <v>0</v>
      </c>
    </row>
    <row r="276" spans="1:101">
      <c r="A276" s="6128"/>
      <c r="B276" s="1827" t="s">
        <v>911</v>
      </c>
      <c r="C276" s="1822">
        <f t="shared" si="219"/>
        <v>0</v>
      </c>
      <c r="D276" s="1823">
        <f t="shared" si="224"/>
        <v>0</v>
      </c>
      <c r="E276" s="1438">
        <f t="shared" si="224"/>
        <v>0</v>
      </c>
      <c r="F276" s="1440"/>
      <c r="G276" s="1452"/>
      <c r="H276" s="1440"/>
      <c r="I276" s="1452"/>
      <c r="J276" s="1440"/>
      <c r="K276" s="1452"/>
      <c r="L276" s="1440"/>
      <c r="M276" s="1452"/>
      <c r="N276" s="1440"/>
      <c r="O276" s="1452"/>
      <c r="P276" s="1440"/>
      <c r="Q276" s="1452"/>
      <c r="R276" s="1440"/>
      <c r="S276" s="1452"/>
      <c r="T276" s="1440"/>
      <c r="U276" s="1452"/>
      <c r="V276" s="1440"/>
      <c r="W276" s="1452"/>
      <c r="X276" s="1440"/>
      <c r="Y276" s="1452"/>
      <c r="Z276" s="1440"/>
      <c r="AA276" s="1452"/>
      <c r="AB276" s="1440"/>
      <c r="AC276" s="1452"/>
      <c r="AD276" s="1440"/>
      <c r="AE276" s="1452"/>
      <c r="AF276" s="1440"/>
      <c r="AG276" s="1452"/>
      <c r="AH276" s="1440"/>
      <c r="AI276" s="1452"/>
      <c r="AJ276" s="1440"/>
      <c r="AK276" s="1452"/>
      <c r="AL276" s="1440"/>
      <c r="AM276" s="1444"/>
      <c r="AN276" s="1441"/>
      <c r="AO276" s="1442"/>
      <c r="AP276" s="1444"/>
      <c r="AQ276" s="1447"/>
      <c r="AR276" s="1446"/>
      <c r="AS276" s="1441"/>
      <c r="AT276" s="1452"/>
      <c r="AU276" s="1441"/>
      <c r="AV276" s="1452"/>
      <c r="AW276" s="1441"/>
      <c r="AX276" s="1452"/>
      <c r="AY276" s="385" t="str">
        <f t="shared" si="203"/>
        <v/>
      </c>
      <c r="AZ276" s="385"/>
      <c r="BA276" s="385"/>
      <c r="BB276" s="385"/>
      <c r="BC276" s="385"/>
      <c r="BD276" s="385"/>
      <c r="BE276" s="385"/>
      <c r="BF276" s="385"/>
      <c r="BG276" s="385"/>
      <c r="BH276" s="385"/>
      <c r="BI276" s="385"/>
      <c r="BJ276" s="385"/>
      <c r="BK276" s="385"/>
      <c r="BL276" s="385"/>
      <c r="BM276" s="385"/>
      <c r="BN276" s="385"/>
      <c r="BO276" s="385"/>
      <c r="CA276" s="1470"/>
      <c r="CB276" s="1418" t="str">
        <f t="shared" si="204"/>
        <v/>
      </c>
      <c r="CC276" s="1418" t="str">
        <f t="shared" si="205"/>
        <v/>
      </c>
      <c r="CD276" s="1418" t="str">
        <f t="shared" si="206"/>
        <v/>
      </c>
      <c r="CE276" s="1418" t="str">
        <f t="shared" si="207"/>
        <v/>
      </c>
      <c r="CF276" s="1418" t="str">
        <f t="shared" si="201"/>
        <v/>
      </c>
      <c r="CG276" s="1418" t="str">
        <f t="shared" si="208"/>
        <v/>
      </c>
      <c r="CH276" s="1418" t="str">
        <f t="shared" si="209"/>
        <v/>
      </c>
      <c r="CI276" s="1418" t="str">
        <f t="shared" si="210"/>
        <v/>
      </c>
      <c r="CP276" s="513">
        <f t="shared" si="211"/>
        <v>0</v>
      </c>
      <c r="CQ276" s="513">
        <f t="shared" si="212"/>
        <v>0</v>
      </c>
      <c r="CR276" s="513">
        <f t="shared" si="213"/>
        <v>0</v>
      </c>
      <c r="CS276" s="513">
        <f t="shared" si="214"/>
        <v>0</v>
      </c>
      <c r="CT276" s="513">
        <f t="shared" si="215"/>
        <v>0</v>
      </c>
      <c r="CU276" s="513">
        <f t="shared" si="216"/>
        <v>0</v>
      </c>
      <c r="CV276" s="513">
        <f t="shared" si="217"/>
        <v>0</v>
      </c>
      <c r="CW276" s="513">
        <f t="shared" si="218"/>
        <v>0</v>
      </c>
    </row>
    <row r="277" spans="1:101">
      <c r="A277" s="6128"/>
      <c r="B277" s="1827" t="s">
        <v>912</v>
      </c>
      <c r="C277" s="1793">
        <f t="shared" si="219"/>
        <v>0</v>
      </c>
      <c r="D277" s="1794">
        <f t="shared" si="224"/>
        <v>0</v>
      </c>
      <c r="E277" s="1795">
        <f t="shared" si="224"/>
        <v>0</v>
      </c>
      <c r="F277" s="1440"/>
      <c r="G277" s="1452"/>
      <c r="H277" s="1440"/>
      <c r="I277" s="1452"/>
      <c r="J277" s="1440"/>
      <c r="K277" s="1452"/>
      <c r="L277" s="1440"/>
      <c r="M277" s="1452"/>
      <c r="N277" s="1440"/>
      <c r="O277" s="1452"/>
      <c r="P277" s="1440"/>
      <c r="Q277" s="1452"/>
      <c r="R277" s="1440"/>
      <c r="S277" s="1452"/>
      <c r="T277" s="1440"/>
      <c r="U277" s="1452"/>
      <c r="V277" s="1440"/>
      <c r="W277" s="1452"/>
      <c r="X277" s="1440"/>
      <c r="Y277" s="1452"/>
      <c r="Z277" s="1440"/>
      <c r="AA277" s="1452"/>
      <c r="AB277" s="1440"/>
      <c r="AC277" s="1452"/>
      <c r="AD277" s="1440"/>
      <c r="AE277" s="1452"/>
      <c r="AF277" s="1440"/>
      <c r="AG277" s="1452"/>
      <c r="AH277" s="1440"/>
      <c r="AI277" s="1452"/>
      <c r="AJ277" s="1440"/>
      <c r="AK277" s="1452"/>
      <c r="AL277" s="1440"/>
      <c r="AM277" s="1444"/>
      <c r="AN277" s="1441"/>
      <c r="AO277" s="1442"/>
      <c r="AP277" s="1444"/>
      <c r="AQ277" s="1447"/>
      <c r="AR277" s="1446"/>
      <c r="AS277" s="1441"/>
      <c r="AT277" s="1452"/>
      <c r="AU277" s="1441"/>
      <c r="AV277" s="1452"/>
      <c r="AW277" s="1441"/>
      <c r="AX277" s="1452"/>
      <c r="AY277" s="385" t="str">
        <f t="shared" si="203"/>
        <v/>
      </c>
      <c r="AZ277" s="385"/>
      <c r="BA277" s="385"/>
      <c r="BB277" s="385"/>
      <c r="BC277" s="385"/>
      <c r="BD277" s="385"/>
      <c r="BE277" s="385"/>
      <c r="BF277" s="385"/>
      <c r="BG277" s="385"/>
      <c r="BH277" s="385"/>
      <c r="BI277" s="385"/>
      <c r="BJ277" s="385"/>
      <c r="BK277" s="385"/>
      <c r="BL277" s="385"/>
      <c r="BM277" s="385"/>
      <c r="BN277" s="385"/>
      <c r="BO277" s="385"/>
      <c r="CA277" s="1470"/>
      <c r="CB277" s="1418" t="str">
        <f t="shared" si="204"/>
        <v/>
      </c>
      <c r="CC277" s="1418" t="str">
        <f t="shared" si="205"/>
        <v/>
      </c>
      <c r="CD277" s="1418" t="str">
        <f t="shared" si="206"/>
        <v/>
      </c>
      <c r="CE277" s="1418" t="str">
        <f t="shared" si="207"/>
        <v/>
      </c>
      <c r="CF277" s="1418" t="str">
        <f t="shared" si="201"/>
        <v/>
      </c>
      <c r="CG277" s="1418" t="str">
        <f t="shared" si="208"/>
        <v/>
      </c>
      <c r="CH277" s="1418" t="str">
        <f t="shared" si="209"/>
        <v/>
      </c>
      <c r="CI277" s="1418" t="str">
        <f t="shared" si="210"/>
        <v/>
      </c>
      <c r="CP277" s="513">
        <f t="shared" si="211"/>
        <v>0</v>
      </c>
      <c r="CQ277" s="513">
        <f t="shared" si="212"/>
        <v>0</v>
      </c>
      <c r="CR277" s="513">
        <f t="shared" si="213"/>
        <v>0</v>
      </c>
      <c r="CS277" s="513">
        <f t="shared" si="214"/>
        <v>0</v>
      </c>
      <c r="CT277" s="513">
        <f t="shared" si="215"/>
        <v>0</v>
      </c>
      <c r="CU277" s="513">
        <f t="shared" si="216"/>
        <v>0</v>
      </c>
      <c r="CV277" s="513">
        <f t="shared" si="217"/>
        <v>0</v>
      </c>
      <c r="CW277" s="513">
        <f t="shared" si="218"/>
        <v>0</v>
      </c>
    </row>
    <row r="278" spans="1:101">
      <c r="A278" s="6129"/>
      <c r="B278" s="1864" t="s">
        <v>913</v>
      </c>
      <c r="C278" s="1816">
        <f t="shared" si="219"/>
        <v>0</v>
      </c>
      <c r="D278" s="1817">
        <f t="shared" si="224"/>
        <v>0</v>
      </c>
      <c r="E278" s="1785">
        <f t="shared" si="224"/>
        <v>0</v>
      </c>
      <c r="F278" s="1440"/>
      <c r="G278" s="1452"/>
      <c r="H278" s="1440"/>
      <c r="I278" s="1452"/>
      <c r="J278" s="1440"/>
      <c r="K278" s="1452"/>
      <c r="L278" s="1440"/>
      <c r="M278" s="1452"/>
      <c r="N278" s="1440"/>
      <c r="O278" s="1452"/>
      <c r="P278" s="1440"/>
      <c r="Q278" s="1452"/>
      <c r="R278" s="1440"/>
      <c r="S278" s="1452"/>
      <c r="T278" s="1440"/>
      <c r="U278" s="1452"/>
      <c r="V278" s="1440"/>
      <c r="W278" s="1452"/>
      <c r="X278" s="1440"/>
      <c r="Y278" s="1452"/>
      <c r="Z278" s="1440"/>
      <c r="AA278" s="1452"/>
      <c r="AB278" s="1440"/>
      <c r="AC278" s="1452"/>
      <c r="AD278" s="1440"/>
      <c r="AE278" s="1452"/>
      <c r="AF278" s="1440"/>
      <c r="AG278" s="1452"/>
      <c r="AH278" s="1440"/>
      <c r="AI278" s="1452"/>
      <c r="AJ278" s="1440"/>
      <c r="AK278" s="1452"/>
      <c r="AL278" s="1455"/>
      <c r="AM278" s="1459"/>
      <c r="AN278" s="1456"/>
      <c r="AO278" s="1457"/>
      <c r="AP278" s="1459"/>
      <c r="AQ278" s="1490"/>
      <c r="AR278" s="1461"/>
      <c r="AS278" s="1441"/>
      <c r="AT278" s="1452"/>
      <c r="AU278" s="1441"/>
      <c r="AV278" s="1452"/>
      <c r="AW278" s="1441"/>
      <c r="AX278" s="1452"/>
      <c r="AY278" s="385" t="str">
        <f t="shared" si="203"/>
        <v/>
      </c>
      <c r="AZ278" s="385"/>
      <c r="BA278" s="385"/>
      <c r="BB278" s="385"/>
      <c r="BC278" s="385"/>
      <c r="BD278" s="385"/>
      <c r="BE278" s="385"/>
      <c r="BF278" s="385"/>
      <c r="BG278" s="385"/>
      <c r="BH278" s="385"/>
      <c r="BI278" s="385"/>
      <c r="BJ278" s="385"/>
      <c r="BK278" s="385"/>
      <c r="BL278" s="385"/>
      <c r="BM278" s="385"/>
      <c r="BN278" s="385"/>
      <c r="BO278" s="385"/>
      <c r="CA278" s="1470"/>
      <c r="CB278" s="1418" t="str">
        <f t="shared" si="204"/>
        <v/>
      </c>
      <c r="CC278" s="1418" t="str">
        <f t="shared" si="205"/>
        <v/>
      </c>
      <c r="CD278" s="1418" t="str">
        <f t="shared" si="206"/>
        <v/>
      </c>
      <c r="CE278" s="1418" t="str">
        <f t="shared" si="207"/>
        <v/>
      </c>
      <c r="CF278" s="1418" t="str">
        <f t="shared" si="201"/>
        <v/>
      </c>
      <c r="CG278" s="1418" t="str">
        <f t="shared" si="208"/>
        <v/>
      </c>
      <c r="CH278" s="1418" t="str">
        <f t="shared" si="209"/>
        <v/>
      </c>
      <c r="CI278" s="1418" t="str">
        <f t="shared" si="210"/>
        <v/>
      </c>
      <c r="CP278" s="513">
        <f t="shared" si="211"/>
        <v>0</v>
      </c>
      <c r="CQ278" s="513">
        <f t="shared" si="212"/>
        <v>0</v>
      </c>
      <c r="CR278" s="513">
        <f t="shared" si="213"/>
        <v>0</v>
      </c>
      <c r="CS278" s="513">
        <f t="shared" si="214"/>
        <v>0</v>
      </c>
      <c r="CT278" s="513">
        <f t="shared" si="215"/>
        <v>0</v>
      </c>
      <c r="CU278" s="513">
        <f t="shared" si="216"/>
        <v>0</v>
      </c>
      <c r="CV278" s="513">
        <f t="shared" si="217"/>
        <v>0</v>
      </c>
      <c r="CW278" s="513">
        <f t="shared" si="218"/>
        <v>0</v>
      </c>
    </row>
    <row r="279" spans="1:101" ht="15" customHeight="1">
      <c r="A279" s="6127" t="s">
        <v>914</v>
      </c>
      <c r="B279" s="1844" t="s">
        <v>915</v>
      </c>
      <c r="C279" s="1791">
        <f t="shared" si="219"/>
        <v>0</v>
      </c>
      <c r="D279" s="1792">
        <f t="shared" si="224"/>
        <v>0</v>
      </c>
      <c r="E279" s="1672">
        <f t="shared" si="224"/>
        <v>0</v>
      </c>
      <c r="F279" s="1814"/>
      <c r="G279" s="1815"/>
      <c r="H279" s="1814"/>
      <c r="I279" s="1815"/>
      <c r="J279" s="1814"/>
      <c r="K279" s="1815"/>
      <c r="L279" s="1814"/>
      <c r="M279" s="1815"/>
      <c r="N279" s="1814"/>
      <c r="O279" s="1815"/>
      <c r="P279" s="1814"/>
      <c r="Q279" s="1815"/>
      <c r="R279" s="1424"/>
      <c r="S279" s="1436"/>
      <c r="T279" s="1424"/>
      <c r="U279" s="1436"/>
      <c r="V279" s="1424"/>
      <c r="W279" s="1436"/>
      <c r="X279" s="1424"/>
      <c r="Y279" s="1436"/>
      <c r="Z279" s="1424"/>
      <c r="AA279" s="1436"/>
      <c r="AB279" s="1424"/>
      <c r="AC279" s="1436"/>
      <c r="AD279" s="1424"/>
      <c r="AE279" s="1436"/>
      <c r="AF279" s="1424"/>
      <c r="AG279" s="1436"/>
      <c r="AH279" s="1424"/>
      <c r="AI279" s="1436"/>
      <c r="AJ279" s="1424"/>
      <c r="AK279" s="1436"/>
      <c r="AL279" s="1424"/>
      <c r="AM279" s="1652"/>
      <c r="AN279" s="1754"/>
      <c r="AO279" s="1796"/>
      <c r="AP279" s="1725"/>
      <c r="AQ279" s="1850"/>
      <c r="AR279" s="1852"/>
      <c r="AS279" s="1425"/>
      <c r="AT279" s="1436"/>
      <c r="AU279" s="1557"/>
      <c r="AV279" s="1815"/>
      <c r="AW279" s="1425"/>
      <c r="AX279" s="1436"/>
      <c r="AY279" s="385" t="str">
        <f t="shared" si="203"/>
        <v/>
      </c>
      <c r="AZ279" s="385"/>
      <c r="BA279" s="385"/>
      <c r="BB279" s="385"/>
      <c r="BC279" s="385"/>
      <c r="BD279" s="385"/>
      <c r="BE279" s="385"/>
      <c r="BF279" s="385"/>
      <c r="BG279" s="385"/>
      <c r="BH279" s="385"/>
      <c r="BI279" s="385"/>
      <c r="BJ279" s="385"/>
      <c r="BK279" s="385"/>
      <c r="BL279" s="385"/>
      <c r="BM279" s="385"/>
      <c r="BN279" s="385"/>
      <c r="BO279" s="385"/>
      <c r="CA279" s="1470"/>
      <c r="CB279" s="1868"/>
      <c r="CC279" s="1868"/>
      <c r="CD279" s="1418" t="str">
        <f t="shared" si="206"/>
        <v/>
      </c>
      <c r="CE279" s="1418" t="str">
        <f t="shared" si="207"/>
        <v/>
      </c>
      <c r="CF279" s="1909"/>
      <c r="CG279" s="1909"/>
      <c r="CH279" s="1418" t="str">
        <f t="shared" si="209"/>
        <v/>
      </c>
      <c r="CI279" s="1418" t="str">
        <f t="shared" si="210"/>
        <v/>
      </c>
      <c r="CP279" s="1616"/>
      <c r="CQ279" s="1616"/>
      <c r="CR279" s="513">
        <f t="shared" si="213"/>
        <v>0</v>
      </c>
      <c r="CS279" s="513">
        <f t="shared" si="214"/>
        <v>0</v>
      </c>
      <c r="CT279" s="1910"/>
      <c r="CU279" s="1910"/>
      <c r="CV279" s="513">
        <f t="shared" si="217"/>
        <v>0</v>
      </c>
      <c r="CW279" s="513">
        <f t="shared" si="218"/>
        <v>0</v>
      </c>
    </row>
    <row r="280" spans="1:101">
      <c r="A280" s="6128"/>
      <c r="B280" s="1827" t="s">
        <v>916</v>
      </c>
      <c r="C280" s="1793">
        <f t="shared" si="219"/>
        <v>0</v>
      </c>
      <c r="D280" s="1794">
        <f t="shared" si="224"/>
        <v>0</v>
      </c>
      <c r="E280" s="1795">
        <f t="shared" si="224"/>
        <v>0</v>
      </c>
      <c r="F280" s="1911"/>
      <c r="G280" s="1912"/>
      <c r="H280" s="1911"/>
      <c r="I280" s="1912"/>
      <c r="J280" s="1911"/>
      <c r="K280" s="1912"/>
      <c r="L280" s="1911"/>
      <c r="M280" s="1912"/>
      <c r="N280" s="1911"/>
      <c r="O280" s="1912"/>
      <c r="P280" s="1911"/>
      <c r="Q280" s="1912"/>
      <c r="R280" s="1480"/>
      <c r="S280" s="1545"/>
      <c r="T280" s="1480"/>
      <c r="U280" s="1545"/>
      <c r="V280" s="1480"/>
      <c r="W280" s="1545"/>
      <c r="X280" s="1480"/>
      <c r="Y280" s="1545"/>
      <c r="Z280" s="1480"/>
      <c r="AA280" s="1545"/>
      <c r="AB280" s="1480"/>
      <c r="AC280" s="1545"/>
      <c r="AD280" s="1480"/>
      <c r="AE280" s="1545"/>
      <c r="AF280" s="1480"/>
      <c r="AG280" s="1545"/>
      <c r="AH280" s="1480"/>
      <c r="AI280" s="1545"/>
      <c r="AJ280" s="1480"/>
      <c r="AK280" s="1545"/>
      <c r="AL280" s="1480"/>
      <c r="AM280" s="1482"/>
      <c r="AN280" s="1754"/>
      <c r="AO280" s="1796"/>
      <c r="AP280" s="1725"/>
      <c r="AQ280" s="1855"/>
      <c r="AR280" s="1857"/>
      <c r="AS280" s="1796"/>
      <c r="AT280" s="1545"/>
      <c r="AU280" s="1570"/>
      <c r="AV280" s="1912"/>
      <c r="AW280" s="1796"/>
      <c r="AX280" s="1545"/>
      <c r="AY280" s="385" t="str">
        <f t="shared" si="203"/>
        <v/>
      </c>
      <c r="AZ280" s="385"/>
      <c r="BA280" s="385"/>
      <c r="BB280" s="385"/>
      <c r="BC280" s="385"/>
      <c r="BD280" s="385"/>
      <c r="BE280" s="385"/>
      <c r="BF280" s="385"/>
      <c r="BG280" s="385"/>
      <c r="BH280" s="385"/>
      <c r="BI280" s="385"/>
      <c r="BJ280" s="385"/>
      <c r="BK280" s="385"/>
      <c r="BL280" s="385"/>
      <c r="BM280" s="385"/>
      <c r="BN280" s="385"/>
      <c r="BO280" s="385"/>
      <c r="CA280" s="1470"/>
      <c r="CB280" s="1853"/>
      <c r="CC280" s="1868"/>
      <c r="CD280" s="1418" t="str">
        <f t="shared" si="206"/>
        <v/>
      </c>
      <c r="CE280" s="1418" t="str">
        <f t="shared" si="207"/>
        <v/>
      </c>
      <c r="CF280" s="1909"/>
      <c r="CG280" s="1909"/>
      <c r="CH280" s="1418" t="str">
        <f t="shared" si="209"/>
        <v/>
      </c>
      <c r="CI280" s="1418" t="str">
        <f t="shared" si="210"/>
        <v/>
      </c>
      <c r="CP280" s="1616"/>
      <c r="CQ280" s="1616"/>
      <c r="CR280" s="513">
        <f t="shared" si="213"/>
        <v>0</v>
      </c>
      <c r="CS280" s="513">
        <f t="shared" si="214"/>
        <v>0</v>
      </c>
      <c r="CT280" s="1910"/>
      <c r="CU280" s="1910"/>
      <c r="CV280" s="513">
        <f t="shared" si="217"/>
        <v>0</v>
      </c>
      <c r="CW280" s="513">
        <f t="shared" si="218"/>
        <v>0</v>
      </c>
    </row>
    <row r="281" spans="1:101">
      <c r="A281" s="6129"/>
      <c r="B281" s="1874" t="s">
        <v>917</v>
      </c>
      <c r="C281" s="1797">
        <f t="shared" si="219"/>
        <v>0</v>
      </c>
      <c r="D281" s="1798">
        <f t="shared" si="224"/>
        <v>0</v>
      </c>
      <c r="E281" s="1799">
        <f t="shared" si="224"/>
        <v>0</v>
      </c>
      <c r="F281" s="1913"/>
      <c r="G281" s="1914"/>
      <c r="H281" s="1913"/>
      <c r="I281" s="1914"/>
      <c r="J281" s="1913"/>
      <c r="K281" s="1914"/>
      <c r="L281" s="1913"/>
      <c r="M281" s="1914"/>
      <c r="N281" s="1913"/>
      <c r="O281" s="1914"/>
      <c r="P281" s="1913"/>
      <c r="Q281" s="1914"/>
      <c r="R281" s="1528"/>
      <c r="S281" s="1534"/>
      <c r="T281" s="1528"/>
      <c r="U281" s="1534"/>
      <c r="V281" s="1528"/>
      <c r="W281" s="1534"/>
      <c r="X281" s="1528"/>
      <c r="Y281" s="1534"/>
      <c r="Z281" s="1528"/>
      <c r="AA281" s="1534"/>
      <c r="AB281" s="1528"/>
      <c r="AC281" s="1534"/>
      <c r="AD281" s="1528"/>
      <c r="AE281" s="1534"/>
      <c r="AF281" s="1528"/>
      <c r="AG281" s="1534"/>
      <c r="AH281" s="1528"/>
      <c r="AI281" s="1534"/>
      <c r="AJ281" s="1528"/>
      <c r="AK281" s="1534"/>
      <c r="AL281" s="1528"/>
      <c r="AM281" s="1800"/>
      <c r="AN281" s="1722"/>
      <c r="AO281" s="1552"/>
      <c r="AP281" s="1721"/>
      <c r="AQ281" s="1859"/>
      <c r="AR281" s="1861"/>
      <c r="AS281" s="1552"/>
      <c r="AT281" s="1534"/>
      <c r="AU281" s="1572"/>
      <c r="AV281" s="1914"/>
      <c r="AW281" s="1552"/>
      <c r="AX281" s="1534"/>
      <c r="AY281" s="385" t="str">
        <f t="shared" si="203"/>
        <v/>
      </c>
      <c r="AZ281" s="385"/>
      <c r="BA281" s="385"/>
      <c r="BB281" s="385"/>
      <c r="BC281" s="385"/>
      <c r="BD281" s="385"/>
      <c r="BE281" s="385"/>
      <c r="BF281" s="385"/>
      <c r="BG281" s="385"/>
      <c r="BH281" s="385"/>
      <c r="BI281" s="385"/>
      <c r="BJ281" s="385"/>
      <c r="BK281" s="385"/>
      <c r="BL281" s="385"/>
      <c r="BM281" s="385"/>
      <c r="BN281" s="385"/>
      <c r="BO281" s="385"/>
      <c r="CA281" s="1470"/>
      <c r="CB281" s="1853"/>
      <c r="CC281" s="1868"/>
      <c r="CD281" s="1418" t="str">
        <f t="shared" si="206"/>
        <v/>
      </c>
      <c r="CE281" s="1418" t="str">
        <f t="shared" si="207"/>
        <v/>
      </c>
      <c r="CF281" s="1909"/>
      <c r="CG281" s="1909"/>
      <c r="CH281" s="1418" t="str">
        <f t="shared" si="209"/>
        <v/>
      </c>
      <c r="CI281" s="1418" t="str">
        <f t="shared" si="210"/>
        <v/>
      </c>
      <c r="CP281" s="1616"/>
      <c r="CQ281" s="1616"/>
      <c r="CR281" s="513">
        <f t="shared" si="213"/>
        <v>0</v>
      </c>
      <c r="CS281" s="513">
        <f t="shared" si="214"/>
        <v>0</v>
      </c>
      <c r="CT281" s="1910"/>
      <c r="CU281" s="1910"/>
      <c r="CV281" s="513">
        <f t="shared" si="217"/>
        <v>0</v>
      </c>
      <c r="CW281" s="513">
        <f t="shared" si="218"/>
        <v>0</v>
      </c>
    </row>
    <row r="282" spans="1:101">
      <c r="A282" s="6179" t="s">
        <v>918</v>
      </c>
      <c r="B282" s="6180"/>
      <c r="C282" s="1791">
        <f t="shared" si="219"/>
        <v>0</v>
      </c>
      <c r="D282" s="1792">
        <f t="shared" si="224"/>
        <v>0</v>
      </c>
      <c r="E282" s="1672">
        <f t="shared" ref="E282:E283" si="225">SUM(G282+I282+K282+M282+O282+Q282+S282+U282+W282+Y282+AA282+AC282+AE282+AG282+AI282+AK282+AM282)</f>
        <v>0</v>
      </c>
      <c r="F282" s="1424"/>
      <c r="G282" s="1436"/>
      <c r="H282" s="1424"/>
      <c r="I282" s="1436"/>
      <c r="J282" s="1424"/>
      <c r="K282" s="1436"/>
      <c r="L282" s="1424"/>
      <c r="M282" s="1436"/>
      <c r="N282" s="1424"/>
      <c r="O282" s="1436"/>
      <c r="P282" s="1424"/>
      <c r="Q282" s="1436"/>
      <c r="R282" s="1424"/>
      <c r="S282" s="1436"/>
      <c r="T282" s="1424"/>
      <c r="U282" s="1436"/>
      <c r="V282" s="1424"/>
      <c r="W282" s="1436"/>
      <c r="X282" s="1424"/>
      <c r="Y282" s="1436"/>
      <c r="Z282" s="1424"/>
      <c r="AA282" s="1436"/>
      <c r="AB282" s="1424"/>
      <c r="AC282" s="1436"/>
      <c r="AD282" s="1424"/>
      <c r="AE282" s="1436"/>
      <c r="AF282" s="1424"/>
      <c r="AG282" s="1436"/>
      <c r="AH282" s="1424"/>
      <c r="AI282" s="1436"/>
      <c r="AJ282" s="1424"/>
      <c r="AK282" s="1436"/>
      <c r="AL282" s="1424"/>
      <c r="AM282" s="1652"/>
      <c r="AN282" s="1707"/>
      <c r="AO282" s="1425"/>
      <c r="AP282" s="1650"/>
      <c r="AQ282" s="1652"/>
      <c r="AR282" s="1430"/>
      <c r="AS282" s="1425"/>
      <c r="AT282" s="1436"/>
      <c r="AU282" s="1425"/>
      <c r="AV282" s="1436"/>
      <c r="AW282" s="1425"/>
      <c r="AX282" s="1436"/>
      <c r="AY282" s="385" t="str">
        <f t="shared" si="203"/>
        <v/>
      </c>
      <c r="AZ282" s="385"/>
      <c r="BA282" s="385"/>
      <c r="BB282" s="385"/>
      <c r="BC282" s="385"/>
      <c r="BD282" s="385"/>
      <c r="BE282" s="385"/>
      <c r="BF282" s="385"/>
      <c r="BG282" s="385"/>
      <c r="BH282" s="385"/>
      <c r="BI282" s="385"/>
      <c r="BJ282" s="385"/>
      <c r="BK282" s="385"/>
      <c r="BL282" s="385"/>
      <c r="BM282" s="385"/>
      <c r="BN282" s="385"/>
      <c r="BO282" s="385"/>
      <c r="CA282" s="1470"/>
      <c r="CB282" s="1418" t="str">
        <f t="shared" si="204"/>
        <v/>
      </c>
      <c r="CC282" s="1418" t="str">
        <f t="shared" si="205"/>
        <v/>
      </c>
      <c r="CD282" s="1418" t="str">
        <f t="shared" si="206"/>
        <v/>
      </c>
      <c r="CE282" s="1418" t="str">
        <f t="shared" si="207"/>
        <v/>
      </c>
      <c r="CF282" s="1418" t="str">
        <f t="shared" si="201"/>
        <v/>
      </c>
      <c r="CG282" s="1418" t="str">
        <f t="shared" si="208"/>
        <v/>
      </c>
      <c r="CH282" s="1418" t="str">
        <f t="shared" si="209"/>
        <v/>
      </c>
      <c r="CI282" s="1418" t="str">
        <f t="shared" si="210"/>
        <v/>
      </c>
      <c r="CP282" s="513">
        <f t="shared" si="211"/>
        <v>0</v>
      </c>
      <c r="CQ282" s="513">
        <f t="shared" si="212"/>
        <v>0</v>
      </c>
      <c r="CR282" s="513">
        <f t="shared" si="213"/>
        <v>0</v>
      </c>
      <c r="CS282" s="513">
        <f t="shared" si="214"/>
        <v>0</v>
      </c>
      <c r="CT282" s="513">
        <f t="shared" si="215"/>
        <v>0</v>
      </c>
      <c r="CU282" s="513">
        <f t="shared" si="216"/>
        <v>0</v>
      </c>
      <c r="CV282" s="513">
        <f t="shared" si="217"/>
        <v>0</v>
      </c>
      <c r="CW282" s="513">
        <f t="shared" si="218"/>
        <v>0</v>
      </c>
    </row>
    <row r="283" spans="1:101">
      <c r="A283" s="6181" t="s">
        <v>919</v>
      </c>
      <c r="B283" s="6182"/>
      <c r="C283" s="1822">
        <f t="shared" si="219"/>
        <v>0</v>
      </c>
      <c r="D283" s="1823">
        <f t="shared" si="224"/>
        <v>0</v>
      </c>
      <c r="E283" s="1438">
        <f t="shared" si="225"/>
        <v>0</v>
      </c>
      <c r="F283" s="1480"/>
      <c r="G283" s="1545"/>
      <c r="H283" s="1480"/>
      <c r="I283" s="1545"/>
      <c r="J283" s="1480"/>
      <c r="K283" s="1545"/>
      <c r="L283" s="1480"/>
      <c r="M283" s="1545"/>
      <c r="N283" s="1480"/>
      <c r="O283" s="1545"/>
      <c r="P283" s="1480"/>
      <c r="Q283" s="1545"/>
      <c r="R283" s="1480"/>
      <c r="S283" s="1545"/>
      <c r="T283" s="1480"/>
      <c r="U283" s="1545"/>
      <c r="V283" s="1480"/>
      <c r="W283" s="1545"/>
      <c r="X283" s="1480"/>
      <c r="Y283" s="1545"/>
      <c r="Z283" s="1480"/>
      <c r="AA283" s="1545"/>
      <c r="AB283" s="1480"/>
      <c r="AC283" s="1545"/>
      <c r="AD283" s="1480"/>
      <c r="AE283" s="1545"/>
      <c r="AF283" s="1480"/>
      <c r="AG283" s="1545"/>
      <c r="AH283" s="1480"/>
      <c r="AI283" s="1545"/>
      <c r="AJ283" s="1480"/>
      <c r="AK283" s="1545"/>
      <c r="AL283" s="1480"/>
      <c r="AM283" s="1482"/>
      <c r="AN283" s="1754"/>
      <c r="AO283" s="1796"/>
      <c r="AP283" s="1725"/>
      <c r="AQ283" s="1482"/>
      <c r="AR283" s="1483"/>
      <c r="AS283" s="1796"/>
      <c r="AT283" s="1545"/>
      <c r="AU283" s="1796"/>
      <c r="AV283" s="1545"/>
      <c r="AW283" s="1796"/>
      <c r="AX283" s="1545"/>
      <c r="AY283" s="385" t="str">
        <f t="shared" si="203"/>
        <v/>
      </c>
      <c r="AZ283" s="385"/>
      <c r="BA283" s="385"/>
      <c r="BB283" s="385"/>
      <c r="BC283" s="385"/>
      <c r="BD283" s="385"/>
      <c r="BE283" s="385"/>
      <c r="BF283" s="385"/>
      <c r="BG283" s="385"/>
      <c r="BH283" s="385"/>
      <c r="BI283" s="385"/>
      <c r="BJ283" s="385"/>
      <c r="BK283" s="385"/>
      <c r="BL283" s="385"/>
      <c r="BM283" s="385"/>
      <c r="BN283" s="385"/>
      <c r="BO283" s="385"/>
      <c r="CA283" s="1470"/>
      <c r="CB283" s="1418" t="str">
        <f t="shared" si="204"/>
        <v/>
      </c>
      <c r="CC283" s="1418" t="str">
        <f t="shared" si="205"/>
        <v/>
      </c>
      <c r="CD283" s="1418" t="str">
        <f t="shared" si="206"/>
        <v/>
      </c>
      <c r="CE283" s="1418" t="str">
        <f t="shared" si="207"/>
        <v/>
      </c>
      <c r="CF283" s="1418" t="str">
        <f t="shared" si="201"/>
        <v/>
      </c>
      <c r="CG283" s="1418" t="str">
        <f t="shared" si="208"/>
        <v/>
      </c>
      <c r="CH283" s="1418" t="str">
        <f t="shared" si="209"/>
        <v/>
      </c>
      <c r="CI283" s="1418" t="str">
        <f t="shared" si="210"/>
        <v/>
      </c>
      <c r="CP283" s="513">
        <f t="shared" si="211"/>
        <v>0</v>
      </c>
      <c r="CQ283" s="513">
        <f t="shared" si="212"/>
        <v>0</v>
      </c>
      <c r="CR283" s="513">
        <f t="shared" si="213"/>
        <v>0</v>
      </c>
      <c r="CS283" s="513">
        <f t="shared" si="214"/>
        <v>0</v>
      </c>
      <c r="CT283" s="513">
        <f t="shared" si="215"/>
        <v>0</v>
      </c>
      <c r="CU283" s="513">
        <f t="shared" si="216"/>
        <v>0</v>
      </c>
      <c r="CV283" s="513">
        <f t="shared" si="217"/>
        <v>0</v>
      </c>
      <c r="CW283" s="513">
        <f t="shared" si="218"/>
        <v>0</v>
      </c>
    </row>
    <row r="284" spans="1:101" ht="15" customHeight="1">
      <c r="A284" s="6167" t="s">
        <v>920</v>
      </c>
      <c r="B284" s="6168"/>
      <c r="C284" s="1822">
        <f t="shared" si="219"/>
        <v>0</v>
      </c>
      <c r="D284" s="1823">
        <f t="shared" si="224"/>
        <v>0</v>
      </c>
      <c r="E284" s="1438">
        <f t="shared" si="224"/>
        <v>0</v>
      </c>
      <c r="F284" s="1440"/>
      <c r="G284" s="1452"/>
      <c r="H284" s="1440"/>
      <c r="I284" s="1452"/>
      <c r="J284" s="1440"/>
      <c r="K284" s="1452"/>
      <c r="L284" s="1440"/>
      <c r="M284" s="1452"/>
      <c r="N284" s="1440"/>
      <c r="O284" s="1452"/>
      <c r="P284" s="1440"/>
      <c r="Q284" s="1452"/>
      <c r="R284" s="1440"/>
      <c r="S284" s="1452"/>
      <c r="T284" s="1440"/>
      <c r="U284" s="1452"/>
      <c r="V284" s="1440"/>
      <c r="W284" s="1452"/>
      <c r="X284" s="1440"/>
      <c r="Y284" s="1452"/>
      <c r="Z284" s="1440"/>
      <c r="AA284" s="1452"/>
      <c r="AB284" s="1440"/>
      <c r="AC284" s="1452"/>
      <c r="AD284" s="1440"/>
      <c r="AE284" s="1452"/>
      <c r="AF284" s="1440"/>
      <c r="AG284" s="1452"/>
      <c r="AH284" s="1440"/>
      <c r="AI284" s="1452"/>
      <c r="AJ284" s="1440"/>
      <c r="AK284" s="1452"/>
      <c r="AL284" s="1440"/>
      <c r="AM284" s="1447"/>
      <c r="AN284" s="1754"/>
      <c r="AO284" s="1796"/>
      <c r="AP284" s="1725"/>
      <c r="AQ284" s="1447"/>
      <c r="AR284" s="1446"/>
      <c r="AS284" s="1441"/>
      <c r="AT284" s="1452"/>
      <c r="AU284" s="1441"/>
      <c r="AV284" s="1452"/>
      <c r="AW284" s="1441"/>
      <c r="AX284" s="1452"/>
      <c r="AY284" s="385" t="str">
        <f t="shared" si="203"/>
        <v/>
      </c>
      <c r="AZ284" s="385"/>
      <c r="BA284" s="385"/>
      <c r="BB284" s="385"/>
      <c r="BC284" s="385"/>
      <c r="BD284" s="385"/>
      <c r="BE284" s="385"/>
      <c r="BF284" s="385"/>
      <c r="BG284" s="385"/>
      <c r="BH284" s="385"/>
      <c r="BI284" s="385"/>
      <c r="BJ284" s="385"/>
      <c r="BK284" s="385"/>
      <c r="BL284" s="385"/>
      <c r="BM284" s="385"/>
      <c r="BN284" s="385"/>
      <c r="BO284" s="385"/>
      <c r="CA284" s="1470"/>
      <c r="CB284" s="1418" t="str">
        <f t="shared" si="204"/>
        <v/>
      </c>
      <c r="CC284" s="1418" t="str">
        <f t="shared" si="205"/>
        <v/>
      </c>
      <c r="CD284" s="1418" t="str">
        <f t="shared" si="206"/>
        <v/>
      </c>
      <c r="CE284" s="1418" t="str">
        <f t="shared" si="207"/>
        <v/>
      </c>
      <c r="CF284" s="1418" t="str">
        <f t="shared" si="201"/>
        <v/>
      </c>
      <c r="CG284" s="1418" t="str">
        <f t="shared" si="208"/>
        <v/>
      </c>
      <c r="CH284" s="1418" t="str">
        <f t="shared" si="209"/>
        <v/>
      </c>
      <c r="CI284" s="1418" t="str">
        <f t="shared" si="210"/>
        <v/>
      </c>
      <c r="CP284" s="513">
        <f t="shared" si="211"/>
        <v>0</v>
      </c>
      <c r="CQ284" s="513">
        <f t="shared" si="212"/>
        <v>0</v>
      </c>
      <c r="CR284" s="513">
        <f t="shared" si="213"/>
        <v>0</v>
      </c>
      <c r="CS284" s="513">
        <f t="shared" si="214"/>
        <v>0</v>
      </c>
      <c r="CT284" s="513">
        <f t="shared" si="215"/>
        <v>0</v>
      </c>
      <c r="CU284" s="513">
        <f t="shared" si="216"/>
        <v>0</v>
      </c>
      <c r="CV284" s="513">
        <f t="shared" si="217"/>
        <v>0</v>
      </c>
      <c r="CW284" s="513">
        <f t="shared" si="218"/>
        <v>0</v>
      </c>
    </row>
    <row r="285" spans="1:101">
      <c r="A285" s="6167" t="s">
        <v>921</v>
      </c>
      <c r="B285" s="6168"/>
      <c r="C285" s="1822">
        <f t="shared" si="219"/>
        <v>0</v>
      </c>
      <c r="D285" s="1823">
        <f t="shared" si="224"/>
        <v>0</v>
      </c>
      <c r="E285" s="1438">
        <f t="shared" si="224"/>
        <v>0</v>
      </c>
      <c r="F285" s="1440"/>
      <c r="G285" s="1452"/>
      <c r="H285" s="1440"/>
      <c r="I285" s="1452"/>
      <c r="J285" s="1440"/>
      <c r="K285" s="1452"/>
      <c r="L285" s="1440"/>
      <c r="M285" s="1452"/>
      <c r="N285" s="1440"/>
      <c r="O285" s="1452"/>
      <c r="P285" s="1440"/>
      <c r="Q285" s="1452"/>
      <c r="R285" s="1440"/>
      <c r="S285" s="1452"/>
      <c r="T285" s="1440"/>
      <c r="U285" s="1452"/>
      <c r="V285" s="1440"/>
      <c r="W285" s="1452"/>
      <c r="X285" s="1440"/>
      <c r="Y285" s="1452"/>
      <c r="Z285" s="1440"/>
      <c r="AA285" s="1452"/>
      <c r="AB285" s="1440"/>
      <c r="AC285" s="1452"/>
      <c r="AD285" s="1440"/>
      <c r="AE285" s="1452"/>
      <c r="AF285" s="1440"/>
      <c r="AG285" s="1452"/>
      <c r="AH285" s="1440"/>
      <c r="AI285" s="1452"/>
      <c r="AJ285" s="1440"/>
      <c r="AK285" s="1452"/>
      <c r="AL285" s="1440"/>
      <c r="AM285" s="1447"/>
      <c r="AN285" s="1754"/>
      <c r="AO285" s="1796"/>
      <c r="AP285" s="1725"/>
      <c r="AQ285" s="1447"/>
      <c r="AR285" s="1446"/>
      <c r="AS285" s="1441"/>
      <c r="AT285" s="1452"/>
      <c r="AU285" s="1441"/>
      <c r="AV285" s="1452"/>
      <c r="AW285" s="1441"/>
      <c r="AX285" s="1452"/>
      <c r="AY285" s="385" t="str">
        <f t="shared" si="203"/>
        <v/>
      </c>
      <c r="AZ285" s="385"/>
      <c r="BA285" s="385"/>
      <c r="BB285" s="385"/>
      <c r="BC285" s="385"/>
      <c r="BD285" s="385"/>
      <c r="BE285" s="385"/>
      <c r="BF285" s="385"/>
      <c r="BG285" s="385"/>
      <c r="BH285" s="385"/>
      <c r="BI285" s="385"/>
      <c r="BJ285" s="385"/>
      <c r="BK285" s="385"/>
      <c r="BL285" s="385"/>
      <c r="BM285" s="385"/>
      <c r="BN285" s="385"/>
      <c r="BO285" s="385"/>
      <c r="CA285" s="1470"/>
      <c r="CB285" s="1418" t="str">
        <f t="shared" si="204"/>
        <v/>
      </c>
      <c r="CC285" s="1418" t="str">
        <f t="shared" si="205"/>
        <v/>
      </c>
      <c r="CD285" s="1418" t="str">
        <f t="shared" si="206"/>
        <v/>
      </c>
      <c r="CE285" s="1418" t="str">
        <f t="shared" si="207"/>
        <v/>
      </c>
      <c r="CF285" s="1418" t="str">
        <f t="shared" si="201"/>
        <v/>
      </c>
      <c r="CG285" s="1418" t="str">
        <f t="shared" si="208"/>
        <v/>
      </c>
      <c r="CH285" s="1418" t="str">
        <f t="shared" si="209"/>
        <v/>
      </c>
      <c r="CI285" s="1418" t="str">
        <f t="shared" si="210"/>
        <v/>
      </c>
      <c r="CP285" s="513">
        <f t="shared" si="211"/>
        <v>0</v>
      </c>
      <c r="CQ285" s="513">
        <f t="shared" si="212"/>
        <v>0</v>
      </c>
      <c r="CR285" s="513">
        <f t="shared" si="213"/>
        <v>0</v>
      </c>
      <c r="CS285" s="513">
        <f t="shared" si="214"/>
        <v>0</v>
      </c>
      <c r="CT285" s="513">
        <f t="shared" si="215"/>
        <v>0</v>
      </c>
      <c r="CU285" s="513">
        <f t="shared" si="216"/>
        <v>0</v>
      </c>
      <c r="CV285" s="513">
        <f t="shared" si="217"/>
        <v>0</v>
      </c>
      <c r="CW285" s="513">
        <f t="shared" si="218"/>
        <v>0</v>
      </c>
    </row>
    <row r="286" spans="1:101">
      <c r="A286" s="6169" t="s">
        <v>922</v>
      </c>
      <c r="B286" s="6170"/>
      <c r="C286" s="1847">
        <f t="shared" si="219"/>
        <v>0</v>
      </c>
      <c r="D286" s="1848">
        <f t="shared" si="224"/>
        <v>0</v>
      </c>
      <c r="E286" s="1453">
        <f t="shared" si="224"/>
        <v>0</v>
      </c>
      <c r="F286" s="1440"/>
      <c r="G286" s="1452"/>
      <c r="H286" s="1440"/>
      <c r="I286" s="1452"/>
      <c r="J286" s="1440"/>
      <c r="K286" s="1452"/>
      <c r="L286" s="1440"/>
      <c r="M286" s="1452"/>
      <c r="N286" s="1440"/>
      <c r="O286" s="1452"/>
      <c r="P286" s="1440"/>
      <c r="Q286" s="1452"/>
      <c r="R286" s="1440"/>
      <c r="S286" s="1452"/>
      <c r="T286" s="1440"/>
      <c r="U286" s="1452"/>
      <c r="V286" s="1440"/>
      <c r="W286" s="1452"/>
      <c r="X286" s="1440"/>
      <c r="Y286" s="1452"/>
      <c r="Z286" s="1440"/>
      <c r="AA286" s="1452"/>
      <c r="AB286" s="1440"/>
      <c r="AC286" s="1452"/>
      <c r="AD286" s="1440"/>
      <c r="AE286" s="1452"/>
      <c r="AF286" s="1440"/>
      <c r="AG286" s="1452"/>
      <c r="AH286" s="1440"/>
      <c r="AI286" s="1452"/>
      <c r="AJ286" s="1440"/>
      <c r="AK286" s="1452"/>
      <c r="AL286" s="1440"/>
      <c r="AM286" s="1447"/>
      <c r="AN286" s="1754"/>
      <c r="AO286" s="1796"/>
      <c r="AP286" s="1725"/>
      <c r="AQ286" s="1447"/>
      <c r="AR286" s="1446"/>
      <c r="AS286" s="1441"/>
      <c r="AT286" s="1452"/>
      <c r="AU286" s="1441"/>
      <c r="AV286" s="1452"/>
      <c r="AW286" s="1441"/>
      <c r="AX286" s="1452"/>
      <c r="AY286" s="385" t="str">
        <f t="shared" si="203"/>
        <v/>
      </c>
      <c r="AZ286" s="385"/>
      <c r="BA286" s="385"/>
      <c r="BB286" s="385"/>
      <c r="BC286" s="385"/>
      <c r="BD286" s="385"/>
      <c r="BE286" s="385"/>
      <c r="BF286" s="385"/>
      <c r="BG286" s="385"/>
      <c r="BH286" s="385"/>
      <c r="BI286" s="385"/>
      <c r="BJ286" s="385"/>
      <c r="BK286" s="385"/>
      <c r="BL286" s="385"/>
      <c r="BM286" s="385"/>
      <c r="BN286" s="385"/>
      <c r="BO286" s="385"/>
      <c r="CA286" s="1470"/>
      <c r="CB286" s="1418" t="str">
        <f t="shared" si="204"/>
        <v/>
      </c>
      <c r="CC286" s="1418" t="str">
        <f t="shared" si="205"/>
        <v/>
      </c>
      <c r="CD286" s="1418" t="str">
        <f t="shared" si="206"/>
        <v/>
      </c>
      <c r="CE286" s="1418" t="str">
        <f t="shared" si="207"/>
        <v/>
      </c>
      <c r="CF286" s="1418" t="str">
        <f t="shared" si="201"/>
        <v/>
      </c>
      <c r="CG286" s="1418" t="str">
        <f t="shared" si="208"/>
        <v/>
      </c>
      <c r="CH286" s="1418" t="str">
        <f t="shared" si="209"/>
        <v/>
      </c>
      <c r="CI286" s="1418" t="str">
        <f t="shared" si="210"/>
        <v/>
      </c>
      <c r="CP286" s="513">
        <f t="shared" si="211"/>
        <v>0</v>
      </c>
      <c r="CQ286" s="513">
        <f t="shared" si="212"/>
        <v>0</v>
      </c>
      <c r="CR286" s="513">
        <f t="shared" si="213"/>
        <v>0</v>
      </c>
      <c r="CS286" s="513">
        <f t="shared" si="214"/>
        <v>0</v>
      </c>
      <c r="CT286" s="513">
        <f t="shared" si="215"/>
        <v>0</v>
      </c>
      <c r="CU286" s="513">
        <f t="shared" si="216"/>
        <v>0</v>
      </c>
      <c r="CV286" s="513">
        <f t="shared" si="217"/>
        <v>0</v>
      </c>
      <c r="CW286" s="513">
        <f t="shared" si="218"/>
        <v>0</v>
      </c>
    </row>
    <row r="287" spans="1:101" ht="15" customHeight="1">
      <c r="A287" s="6127" t="s">
        <v>923</v>
      </c>
      <c r="B287" s="1862" t="s">
        <v>924</v>
      </c>
      <c r="C287" s="1793">
        <f t="shared" si="219"/>
        <v>0</v>
      </c>
      <c r="D287" s="1794">
        <f t="shared" si="224"/>
        <v>0</v>
      </c>
      <c r="E287" s="1795">
        <f t="shared" si="224"/>
        <v>0</v>
      </c>
      <c r="F287" s="1485"/>
      <c r="G287" s="1692"/>
      <c r="H287" s="1485"/>
      <c r="I287" s="1692"/>
      <c r="J287" s="1485"/>
      <c r="K287" s="1692"/>
      <c r="L287" s="1485"/>
      <c r="M287" s="1692"/>
      <c r="N287" s="1485"/>
      <c r="O287" s="1692"/>
      <c r="P287" s="1485"/>
      <c r="Q287" s="1692"/>
      <c r="R287" s="1485"/>
      <c r="S287" s="1692"/>
      <c r="T287" s="1485"/>
      <c r="U287" s="1692"/>
      <c r="V287" s="1485"/>
      <c r="W287" s="1692"/>
      <c r="X287" s="1485"/>
      <c r="Y287" s="1692"/>
      <c r="Z287" s="1485"/>
      <c r="AA287" s="1692"/>
      <c r="AB287" s="1485"/>
      <c r="AC287" s="1692"/>
      <c r="AD287" s="1485"/>
      <c r="AE287" s="1692"/>
      <c r="AF287" s="1485"/>
      <c r="AG287" s="1692"/>
      <c r="AH287" s="1485"/>
      <c r="AI287" s="1692"/>
      <c r="AJ287" s="1485"/>
      <c r="AK287" s="1692"/>
      <c r="AL287" s="1485"/>
      <c r="AM287" s="1487"/>
      <c r="AN287" s="1754"/>
      <c r="AO287" s="1796"/>
      <c r="AP287" s="1725"/>
      <c r="AQ287" s="1487"/>
      <c r="AR287" s="1488"/>
      <c r="AS287" s="1826"/>
      <c r="AT287" s="1692"/>
      <c r="AU287" s="1826"/>
      <c r="AV287" s="1692"/>
      <c r="AW287" s="1826"/>
      <c r="AX287" s="1692"/>
      <c r="AY287" s="385" t="str">
        <f t="shared" si="203"/>
        <v/>
      </c>
      <c r="AZ287" s="385"/>
      <c r="BA287" s="385"/>
      <c r="BB287" s="385"/>
      <c r="BC287" s="385"/>
      <c r="BD287" s="385"/>
      <c r="BE287" s="385"/>
      <c r="BF287" s="385"/>
      <c r="BG287" s="385"/>
      <c r="BH287" s="385"/>
      <c r="BI287" s="385"/>
      <c r="BJ287" s="385"/>
      <c r="BK287" s="385"/>
      <c r="BL287" s="385"/>
      <c r="BM287" s="385"/>
      <c r="BN287" s="385"/>
      <c r="BO287" s="385"/>
      <c r="CA287" s="1470"/>
      <c r="CB287" s="1418" t="str">
        <f t="shared" si="204"/>
        <v/>
      </c>
      <c r="CC287" s="1418" t="str">
        <f t="shared" si="205"/>
        <v/>
      </c>
      <c r="CD287" s="1418" t="str">
        <f t="shared" si="206"/>
        <v/>
      </c>
      <c r="CE287" s="1418" t="str">
        <f t="shared" si="207"/>
        <v/>
      </c>
      <c r="CF287" s="1418" t="str">
        <f t="shared" si="201"/>
        <v/>
      </c>
      <c r="CG287" s="1418" t="str">
        <f t="shared" si="208"/>
        <v/>
      </c>
      <c r="CH287" s="1418" t="str">
        <f t="shared" si="209"/>
        <v/>
      </c>
      <c r="CI287" s="1418" t="str">
        <f t="shared" si="210"/>
        <v/>
      </c>
      <c r="CP287" s="513">
        <f t="shared" si="211"/>
        <v>0</v>
      </c>
      <c r="CQ287" s="513">
        <f t="shared" si="212"/>
        <v>0</v>
      </c>
      <c r="CR287" s="513">
        <f t="shared" si="213"/>
        <v>0</v>
      </c>
      <c r="CS287" s="513">
        <f t="shared" si="214"/>
        <v>0</v>
      </c>
      <c r="CT287" s="513">
        <f t="shared" si="215"/>
        <v>0</v>
      </c>
      <c r="CU287" s="513">
        <f t="shared" si="216"/>
        <v>0</v>
      </c>
      <c r="CV287" s="513">
        <f t="shared" si="217"/>
        <v>0</v>
      </c>
      <c r="CW287" s="513">
        <f t="shared" si="218"/>
        <v>0</v>
      </c>
    </row>
    <row r="288" spans="1:101">
      <c r="A288" s="6128"/>
      <c r="B288" s="1691" t="s">
        <v>925</v>
      </c>
      <c r="C288" s="1822">
        <f t="shared" si="219"/>
        <v>0</v>
      </c>
      <c r="D288" s="1823">
        <f t="shared" si="224"/>
        <v>0</v>
      </c>
      <c r="E288" s="1438">
        <f t="shared" si="224"/>
        <v>0</v>
      </c>
      <c r="F288" s="1485"/>
      <c r="G288" s="1692"/>
      <c r="H288" s="1485"/>
      <c r="I288" s="1692"/>
      <c r="J288" s="1485"/>
      <c r="K288" s="1692"/>
      <c r="L288" s="1485"/>
      <c r="M288" s="1692"/>
      <c r="N288" s="1485"/>
      <c r="O288" s="1692"/>
      <c r="P288" s="1485"/>
      <c r="Q288" s="1692"/>
      <c r="R288" s="1485"/>
      <c r="S288" s="1692"/>
      <c r="T288" s="1485"/>
      <c r="U288" s="1692"/>
      <c r="V288" s="1485"/>
      <c r="W288" s="1692"/>
      <c r="X288" s="1485"/>
      <c r="Y288" s="1692"/>
      <c r="Z288" s="1485"/>
      <c r="AA288" s="1692"/>
      <c r="AB288" s="1485"/>
      <c r="AC288" s="1692"/>
      <c r="AD288" s="1485"/>
      <c r="AE288" s="1692"/>
      <c r="AF288" s="1485"/>
      <c r="AG288" s="1692"/>
      <c r="AH288" s="1485"/>
      <c r="AI288" s="1692"/>
      <c r="AJ288" s="1485"/>
      <c r="AK288" s="1692"/>
      <c r="AL288" s="1485"/>
      <c r="AM288" s="1487"/>
      <c r="AN288" s="1754"/>
      <c r="AO288" s="1796"/>
      <c r="AP288" s="1725"/>
      <c r="AQ288" s="1487"/>
      <c r="AR288" s="1488"/>
      <c r="AS288" s="1826"/>
      <c r="AT288" s="1692"/>
      <c r="AU288" s="1826"/>
      <c r="AV288" s="1692"/>
      <c r="AW288" s="1826"/>
      <c r="AX288" s="1692"/>
      <c r="AY288" s="385" t="str">
        <f t="shared" si="203"/>
        <v/>
      </c>
      <c r="AZ288" s="385"/>
      <c r="BA288" s="385"/>
      <c r="BB288" s="385"/>
      <c r="BC288" s="385"/>
      <c r="BD288" s="385"/>
      <c r="BE288" s="385"/>
      <c r="BF288" s="385"/>
      <c r="BG288" s="385"/>
      <c r="BH288" s="385"/>
      <c r="BI288" s="385"/>
      <c r="BJ288" s="385"/>
      <c r="BK288" s="385"/>
      <c r="BL288" s="385"/>
      <c r="BM288" s="385"/>
      <c r="BN288" s="385"/>
      <c r="BO288" s="385"/>
      <c r="CA288" s="1470"/>
      <c r="CB288" s="1418" t="str">
        <f t="shared" si="204"/>
        <v/>
      </c>
      <c r="CC288" s="1418" t="str">
        <f t="shared" si="205"/>
        <v/>
      </c>
      <c r="CD288" s="1418" t="str">
        <f t="shared" si="206"/>
        <v/>
      </c>
      <c r="CE288" s="1418" t="str">
        <f t="shared" si="207"/>
        <v/>
      </c>
      <c r="CF288" s="1418" t="str">
        <f t="shared" si="201"/>
        <v/>
      </c>
      <c r="CG288" s="1418" t="str">
        <f t="shared" si="208"/>
        <v/>
      </c>
      <c r="CH288" s="1418" t="str">
        <f t="shared" si="209"/>
        <v/>
      </c>
      <c r="CI288" s="1418" t="str">
        <f t="shared" si="210"/>
        <v/>
      </c>
      <c r="CP288" s="513">
        <f t="shared" si="211"/>
        <v>0</v>
      </c>
      <c r="CQ288" s="513">
        <f t="shared" si="212"/>
        <v>0</v>
      </c>
      <c r="CR288" s="513">
        <f t="shared" si="213"/>
        <v>0</v>
      </c>
      <c r="CS288" s="513">
        <f t="shared" si="214"/>
        <v>0</v>
      </c>
      <c r="CT288" s="513">
        <f t="shared" si="215"/>
        <v>0</v>
      </c>
      <c r="CU288" s="513">
        <f t="shared" si="216"/>
        <v>0</v>
      </c>
      <c r="CV288" s="513">
        <f t="shared" si="217"/>
        <v>0</v>
      </c>
      <c r="CW288" s="513">
        <f t="shared" si="218"/>
        <v>0</v>
      </c>
    </row>
    <row r="289" spans="1:101">
      <c r="A289" s="6128"/>
      <c r="B289" s="1691" t="s">
        <v>926</v>
      </c>
      <c r="C289" s="1822">
        <f t="shared" si="219"/>
        <v>0</v>
      </c>
      <c r="D289" s="1823">
        <f t="shared" si="224"/>
        <v>0</v>
      </c>
      <c r="E289" s="1438">
        <f t="shared" si="224"/>
        <v>0</v>
      </c>
      <c r="F289" s="1485"/>
      <c r="G289" s="1692"/>
      <c r="H289" s="1485"/>
      <c r="I289" s="1692"/>
      <c r="J289" s="1485"/>
      <c r="K289" s="1692"/>
      <c r="L289" s="1485"/>
      <c r="M289" s="1692"/>
      <c r="N289" s="1485"/>
      <c r="O289" s="1692"/>
      <c r="P289" s="1485"/>
      <c r="Q289" s="1692"/>
      <c r="R289" s="1485"/>
      <c r="S289" s="1692"/>
      <c r="T289" s="1485"/>
      <c r="U289" s="1692"/>
      <c r="V289" s="1485"/>
      <c r="W289" s="1692"/>
      <c r="X289" s="1485"/>
      <c r="Y289" s="1692"/>
      <c r="Z289" s="1485"/>
      <c r="AA289" s="1692"/>
      <c r="AB289" s="1485"/>
      <c r="AC289" s="1692"/>
      <c r="AD289" s="1485"/>
      <c r="AE289" s="1692"/>
      <c r="AF289" s="1485"/>
      <c r="AG289" s="1692"/>
      <c r="AH289" s="1485"/>
      <c r="AI289" s="1692"/>
      <c r="AJ289" s="1485"/>
      <c r="AK289" s="1692"/>
      <c r="AL289" s="1485"/>
      <c r="AM289" s="1487"/>
      <c r="AN289" s="1754"/>
      <c r="AO289" s="1796"/>
      <c r="AP289" s="1725"/>
      <c r="AQ289" s="1487"/>
      <c r="AR289" s="1488"/>
      <c r="AS289" s="1826"/>
      <c r="AT289" s="1692"/>
      <c r="AU289" s="1826"/>
      <c r="AV289" s="1692"/>
      <c r="AW289" s="1826"/>
      <c r="AX289" s="1692"/>
      <c r="AY289" s="385" t="str">
        <f t="shared" si="203"/>
        <v/>
      </c>
      <c r="AZ289" s="385"/>
      <c r="BA289" s="385"/>
      <c r="BB289" s="385"/>
      <c r="BC289" s="385"/>
      <c r="BD289" s="385"/>
      <c r="BE289" s="385"/>
      <c r="BF289" s="385"/>
      <c r="BG289" s="385"/>
      <c r="BH289" s="385"/>
      <c r="BI289" s="385"/>
      <c r="BJ289" s="385"/>
      <c r="BK289" s="385"/>
      <c r="BL289" s="385"/>
      <c r="BM289" s="385"/>
      <c r="BN289" s="385"/>
      <c r="BO289" s="385"/>
      <c r="CA289" s="1470"/>
      <c r="CB289" s="1418" t="str">
        <f t="shared" si="204"/>
        <v/>
      </c>
      <c r="CC289" s="1418" t="str">
        <f t="shared" si="205"/>
        <v/>
      </c>
      <c r="CD289" s="1418" t="str">
        <f t="shared" si="206"/>
        <v/>
      </c>
      <c r="CE289" s="1418" t="str">
        <f t="shared" si="207"/>
        <v/>
      </c>
      <c r="CF289" s="1418" t="str">
        <f t="shared" si="201"/>
        <v/>
      </c>
      <c r="CG289" s="1418" t="str">
        <f t="shared" si="208"/>
        <v/>
      </c>
      <c r="CH289" s="1418" t="str">
        <f t="shared" si="209"/>
        <v/>
      </c>
      <c r="CI289" s="1418" t="str">
        <f t="shared" si="210"/>
        <v/>
      </c>
      <c r="CP289" s="513">
        <f t="shared" si="211"/>
        <v>0</v>
      </c>
      <c r="CQ289" s="513">
        <f t="shared" si="212"/>
        <v>0</v>
      </c>
      <c r="CR289" s="513">
        <f t="shared" si="213"/>
        <v>0</v>
      </c>
      <c r="CS289" s="513">
        <f t="shared" si="214"/>
        <v>0</v>
      </c>
      <c r="CT289" s="513">
        <f t="shared" si="215"/>
        <v>0</v>
      </c>
      <c r="CU289" s="513">
        <f t="shared" si="216"/>
        <v>0</v>
      </c>
      <c r="CV289" s="513">
        <f t="shared" si="217"/>
        <v>0</v>
      </c>
      <c r="CW289" s="513">
        <f t="shared" si="218"/>
        <v>0</v>
      </c>
    </row>
    <row r="290" spans="1:101">
      <c r="A290" s="6128"/>
      <c r="B290" s="1691" t="s">
        <v>927</v>
      </c>
      <c r="C290" s="1822">
        <f t="shared" si="219"/>
        <v>0</v>
      </c>
      <c r="D290" s="1823">
        <f t="shared" si="224"/>
        <v>0</v>
      </c>
      <c r="E290" s="1438">
        <f t="shared" si="224"/>
        <v>0</v>
      </c>
      <c r="F290" s="1485"/>
      <c r="G290" s="1692"/>
      <c r="H290" s="1485"/>
      <c r="I290" s="1692"/>
      <c r="J290" s="1485"/>
      <c r="K290" s="1692"/>
      <c r="L290" s="1485"/>
      <c r="M290" s="1692"/>
      <c r="N290" s="1485"/>
      <c r="O290" s="1692"/>
      <c r="P290" s="1485"/>
      <c r="Q290" s="1692"/>
      <c r="R290" s="1485"/>
      <c r="S290" s="1692"/>
      <c r="T290" s="1485"/>
      <c r="U290" s="1692"/>
      <c r="V290" s="1485"/>
      <c r="W290" s="1692"/>
      <c r="X290" s="1485"/>
      <c r="Y290" s="1692"/>
      <c r="Z290" s="1485"/>
      <c r="AA290" s="1692"/>
      <c r="AB290" s="1485"/>
      <c r="AC290" s="1692"/>
      <c r="AD290" s="1485"/>
      <c r="AE290" s="1692"/>
      <c r="AF290" s="1485"/>
      <c r="AG290" s="1692"/>
      <c r="AH290" s="1485"/>
      <c r="AI290" s="1692"/>
      <c r="AJ290" s="1485"/>
      <c r="AK290" s="1692"/>
      <c r="AL290" s="1485"/>
      <c r="AM290" s="1487"/>
      <c r="AN290" s="1754"/>
      <c r="AO290" s="1796"/>
      <c r="AP290" s="1725"/>
      <c r="AQ290" s="1487"/>
      <c r="AR290" s="1488"/>
      <c r="AS290" s="1826"/>
      <c r="AT290" s="1692"/>
      <c r="AU290" s="1826"/>
      <c r="AV290" s="1692"/>
      <c r="AW290" s="1826"/>
      <c r="AX290" s="1692"/>
      <c r="AY290" s="385" t="str">
        <f t="shared" si="203"/>
        <v/>
      </c>
      <c r="AZ290" s="385"/>
      <c r="BA290" s="385"/>
      <c r="BB290" s="385"/>
      <c r="BC290" s="385"/>
      <c r="BD290" s="385"/>
      <c r="BE290" s="385"/>
      <c r="BF290" s="385"/>
      <c r="BG290" s="385"/>
      <c r="BH290" s="385"/>
      <c r="BI290" s="385"/>
      <c r="BJ290" s="385"/>
      <c r="BK290" s="385"/>
      <c r="BL290" s="385"/>
      <c r="BM290" s="385"/>
      <c r="BN290" s="385"/>
      <c r="BO290" s="385"/>
      <c r="CA290" s="1470"/>
      <c r="CB290" s="1418" t="str">
        <f t="shared" si="204"/>
        <v/>
      </c>
      <c r="CC290" s="1418" t="str">
        <f t="shared" si="205"/>
        <v/>
      </c>
      <c r="CD290" s="1418" t="str">
        <f t="shared" si="206"/>
        <v/>
      </c>
      <c r="CE290" s="1418" t="str">
        <f t="shared" si="207"/>
        <v/>
      </c>
      <c r="CF290" s="1418" t="str">
        <f t="shared" si="201"/>
        <v/>
      </c>
      <c r="CG290" s="1418" t="str">
        <f t="shared" si="208"/>
        <v/>
      </c>
      <c r="CH290" s="1418" t="str">
        <f t="shared" si="209"/>
        <v/>
      </c>
      <c r="CI290" s="1418" t="str">
        <f t="shared" si="210"/>
        <v/>
      </c>
      <c r="CP290" s="513">
        <f t="shared" si="211"/>
        <v>0</v>
      </c>
      <c r="CQ290" s="513">
        <f t="shared" si="212"/>
        <v>0</v>
      </c>
      <c r="CR290" s="513">
        <f t="shared" si="213"/>
        <v>0</v>
      </c>
      <c r="CS290" s="513">
        <f t="shared" si="214"/>
        <v>0</v>
      </c>
      <c r="CT290" s="513">
        <f t="shared" si="215"/>
        <v>0</v>
      </c>
      <c r="CU290" s="513">
        <f t="shared" si="216"/>
        <v>0</v>
      </c>
      <c r="CV290" s="513">
        <f t="shared" si="217"/>
        <v>0</v>
      </c>
      <c r="CW290" s="513">
        <f t="shared" si="218"/>
        <v>0</v>
      </c>
    </row>
    <row r="291" spans="1:101" ht="22.5" customHeight="1">
      <c r="A291" s="6129"/>
      <c r="B291" s="1883" t="s">
        <v>928</v>
      </c>
      <c r="C291" s="1847">
        <f t="shared" si="219"/>
        <v>0</v>
      </c>
      <c r="D291" s="1848">
        <f t="shared" si="224"/>
        <v>0</v>
      </c>
      <c r="E291" s="1453">
        <f t="shared" si="224"/>
        <v>0</v>
      </c>
      <c r="F291" s="1455"/>
      <c r="G291" s="1467"/>
      <c r="H291" s="1455"/>
      <c r="I291" s="1467"/>
      <c r="J291" s="1455"/>
      <c r="K291" s="1467"/>
      <c r="L291" s="1455"/>
      <c r="M291" s="1467"/>
      <c r="N291" s="1455"/>
      <c r="O291" s="1467"/>
      <c r="P291" s="1455"/>
      <c r="Q291" s="1467"/>
      <c r="R291" s="1455"/>
      <c r="S291" s="1467"/>
      <c r="T291" s="1455"/>
      <c r="U291" s="1467"/>
      <c r="V291" s="1455"/>
      <c r="W291" s="1467"/>
      <c r="X291" s="1455"/>
      <c r="Y291" s="1467"/>
      <c r="Z291" s="1455"/>
      <c r="AA291" s="1467"/>
      <c r="AB291" s="1455"/>
      <c r="AC291" s="1467"/>
      <c r="AD291" s="1455"/>
      <c r="AE291" s="1467"/>
      <c r="AF291" s="1455"/>
      <c r="AG291" s="1467"/>
      <c r="AH291" s="1455"/>
      <c r="AI291" s="1467"/>
      <c r="AJ291" s="1455"/>
      <c r="AK291" s="1467"/>
      <c r="AL291" s="1455"/>
      <c r="AM291" s="1490"/>
      <c r="AN291" s="1714"/>
      <c r="AO291" s="1456"/>
      <c r="AP291" s="1660"/>
      <c r="AQ291" s="1490"/>
      <c r="AR291" s="1461"/>
      <c r="AS291" s="1456"/>
      <c r="AT291" s="1467"/>
      <c r="AU291" s="1456"/>
      <c r="AV291" s="1467"/>
      <c r="AW291" s="1456"/>
      <c r="AX291" s="1467"/>
      <c r="AY291" s="385" t="str">
        <f t="shared" si="203"/>
        <v/>
      </c>
      <c r="AZ291" s="385"/>
      <c r="BA291" s="385"/>
      <c r="BB291" s="385"/>
      <c r="BC291" s="385"/>
      <c r="BD291" s="385"/>
      <c r="BE291" s="385"/>
      <c r="BF291" s="385"/>
      <c r="BG291" s="385"/>
      <c r="BH291" s="385"/>
      <c r="BI291" s="385"/>
      <c r="BJ291" s="385"/>
      <c r="BK291" s="385"/>
      <c r="BL291" s="385"/>
      <c r="BM291" s="385"/>
      <c r="BN291" s="385"/>
      <c r="BO291" s="385"/>
      <c r="CA291" s="1470"/>
      <c r="CB291" s="1418" t="str">
        <f t="shared" si="204"/>
        <v/>
      </c>
      <c r="CC291" s="1418" t="str">
        <f t="shared" si="205"/>
        <v/>
      </c>
      <c r="CD291" s="1418" t="str">
        <f t="shared" si="206"/>
        <v/>
      </c>
      <c r="CE291" s="1418" t="str">
        <f t="shared" si="207"/>
        <v/>
      </c>
      <c r="CF291" s="1418" t="str">
        <f t="shared" si="201"/>
        <v/>
      </c>
      <c r="CG291" s="1418" t="str">
        <f t="shared" si="208"/>
        <v/>
      </c>
      <c r="CH291" s="1418" t="str">
        <f t="shared" si="209"/>
        <v/>
      </c>
      <c r="CI291" s="1418" t="str">
        <f t="shared" si="210"/>
        <v/>
      </c>
      <c r="CP291" s="513">
        <f t="shared" si="211"/>
        <v>0</v>
      </c>
      <c r="CQ291" s="513">
        <f t="shared" si="212"/>
        <v>0</v>
      </c>
      <c r="CR291" s="513">
        <f t="shared" si="213"/>
        <v>0</v>
      </c>
      <c r="CS291" s="513">
        <f t="shared" si="214"/>
        <v>0</v>
      </c>
      <c r="CT291" s="513">
        <f t="shared" si="215"/>
        <v>0</v>
      </c>
      <c r="CU291" s="513">
        <f t="shared" si="216"/>
        <v>0</v>
      </c>
      <c r="CV291" s="513">
        <f t="shared" si="217"/>
        <v>0</v>
      </c>
      <c r="CW291" s="513">
        <f t="shared" si="218"/>
        <v>0</v>
      </c>
    </row>
    <row r="292" spans="1:101">
      <c r="A292" s="6143" t="s">
        <v>929</v>
      </c>
      <c r="B292" s="6144"/>
      <c r="C292" s="1816">
        <f t="shared" si="219"/>
        <v>0</v>
      </c>
      <c r="D292" s="1817">
        <f t="shared" si="224"/>
        <v>0</v>
      </c>
      <c r="E292" s="1785">
        <f t="shared" si="224"/>
        <v>0</v>
      </c>
      <c r="F292" s="1517"/>
      <c r="G292" s="1523"/>
      <c r="H292" s="1517"/>
      <c r="I292" s="1523"/>
      <c r="J292" s="1517"/>
      <c r="K292" s="1523"/>
      <c r="L292" s="1517"/>
      <c r="M292" s="1523"/>
      <c r="N292" s="1517"/>
      <c r="O292" s="1523"/>
      <c r="P292" s="1517"/>
      <c r="Q292" s="1523"/>
      <c r="R292" s="1517"/>
      <c r="S292" s="1523"/>
      <c r="T292" s="1517"/>
      <c r="U292" s="1523"/>
      <c r="V292" s="1517"/>
      <c r="W292" s="1523"/>
      <c r="X292" s="1517"/>
      <c r="Y292" s="1523"/>
      <c r="Z292" s="1517"/>
      <c r="AA292" s="1523"/>
      <c r="AB292" s="1517"/>
      <c r="AC292" s="1523"/>
      <c r="AD292" s="1517"/>
      <c r="AE292" s="1523"/>
      <c r="AF292" s="1517"/>
      <c r="AG292" s="1523"/>
      <c r="AH292" s="1517"/>
      <c r="AI292" s="1523"/>
      <c r="AJ292" s="1517"/>
      <c r="AK292" s="1523"/>
      <c r="AL292" s="1517"/>
      <c r="AM292" s="1770"/>
      <c r="AN292" s="1754"/>
      <c r="AO292" s="1796"/>
      <c r="AP292" s="1725"/>
      <c r="AQ292" s="1770"/>
      <c r="AR292" s="1522"/>
      <c r="AS292" s="1881"/>
      <c r="AT292" s="1523"/>
      <c r="AU292" s="1881"/>
      <c r="AV292" s="1523"/>
      <c r="AW292" s="1881"/>
      <c r="AX292" s="1523"/>
      <c r="AY292" s="385" t="str">
        <f t="shared" si="203"/>
        <v/>
      </c>
      <c r="AZ292" s="385"/>
      <c r="BA292" s="385"/>
      <c r="BB292" s="385"/>
      <c r="BC292" s="385"/>
      <c r="BD292" s="385"/>
      <c r="BE292" s="385"/>
      <c r="BF292" s="385"/>
      <c r="BG292" s="385"/>
      <c r="BH292" s="385"/>
      <c r="BI292" s="385"/>
      <c r="BJ292" s="385"/>
      <c r="BK292" s="385"/>
      <c r="BL292" s="385"/>
      <c r="BM292" s="385"/>
      <c r="BN292" s="385"/>
      <c r="BO292" s="385"/>
      <c r="CA292" s="1470"/>
      <c r="CB292" s="1418" t="str">
        <f t="shared" si="204"/>
        <v/>
      </c>
      <c r="CC292" s="1418" t="str">
        <f t="shared" si="205"/>
        <v/>
      </c>
      <c r="CD292" s="1418" t="str">
        <f t="shared" si="206"/>
        <v/>
      </c>
      <c r="CE292" s="1418" t="str">
        <f t="shared" si="207"/>
        <v/>
      </c>
      <c r="CF292" s="1418" t="str">
        <f t="shared" si="201"/>
        <v/>
      </c>
      <c r="CG292" s="1418" t="str">
        <f t="shared" si="208"/>
        <v/>
      </c>
      <c r="CH292" s="1418" t="str">
        <f t="shared" si="209"/>
        <v/>
      </c>
      <c r="CI292" s="1418" t="str">
        <f t="shared" si="210"/>
        <v/>
      </c>
      <c r="CP292" s="513">
        <f t="shared" si="211"/>
        <v>0</v>
      </c>
      <c r="CQ292" s="513">
        <f t="shared" si="212"/>
        <v>0</v>
      </c>
      <c r="CR292" s="513">
        <f t="shared" si="213"/>
        <v>0</v>
      </c>
      <c r="CS292" s="513">
        <f t="shared" si="214"/>
        <v>0</v>
      </c>
      <c r="CT292" s="513">
        <f t="shared" si="215"/>
        <v>0</v>
      </c>
      <c r="CU292" s="513">
        <f t="shared" si="216"/>
        <v>0</v>
      </c>
      <c r="CV292" s="513">
        <f t="shared" si="217"/>
        <v>0</v>
      </c>
      <c r="CW292" s="513">
        <f t="shared" si="218"/>
        <v>0</v>
      </c>
    </row>
    <row r="293" spans="1:101">
      <c r="A293" s="6171" t="s">
        <v>930</v>
      </c>
      <c r="B293" s="6172"/>
      <c r="C293" s="1847">
        <f t="shared" si="219"/>
        <v>0</v>
      </c>
      <c r="D293" s="1848">
        <f t="shared" si="224"/>
        <v>0</v>
      </c>
      <c r="E293" s="1453">
        <f>SUM(G293+I293+K293+M293+O293+Q293+S293+U293+W293+Y293+AA293+AC293+AE293+AG293+AI293+AK293+AM293)</f>
        <v>0</v>
      </c>
      <c r="F293" s="1455"/>
      <c r="G293" s="1467"/>
      <c r="H293" s="1455"/>
      <c r="I293" s="1467"/>
      <c r="J293" s="1455"/>
      <c r="K293" s="1467"/>
      <c r="L293" s="1455"/>
      <c r="M293" s="1467"/>
      <c r="N293" s="1455"/>
      <c r="O293" s="1467"/>
      <c r="P293" s="1455"/>
      <c r="Q293" s="1467"/>
      <c r="R293" s="1455"/>
      <c r="S293" s="1467"/>
      <c r="T293" s="1455"/>
      <c r="U293" s="1467"/>
      <c r="V293" s="1455"/>
      <c r="W293" s="1467"/>
      <c r="X293" s="1455"/>
      <c r="Y293" s="1467"/>
      <c r="Z293" s="1455"/>
      <c r="AA293" s="1467"/>
      <c r="AB293" s="1455"/>
      <c r="AC293" s="1467"/>
      <c r="AD293" s="1455"/>
      <c r="AE293" s="1467"/>
      <c r="AF293" s="1455"/>
      <c r="AG293" s="1467"/>
      <c r="AH293" s="1455"/>
      <c r="AI293" s="1467"/>
      <c r="AJ293" s="1455"/>
      <c r="AK293" s="1467"/>
      <c r="AL293" s="1455"/>
      <c r="AM293" s="1490"/>
      <c r="AN293" s="1722"/>
      <c r="AO293" s="1552"/>
      <c r="AP293" s="1721"/>
      <c r="AQ293" s="1490"/>
      <c r="AR293" s="1461"/>
      <c r="AS293" s="1456"/>
      <c r="AT293" s="1467"/>
      <c r="AU293" s="1456"/>
      <c r="AV293" s="1467"/>
      <c r="AW293" s="1456"/>
      <c r="AX293" s="1467"/>
      <c r="AY293" s="385" t="str">
        <f t="shared" si="203"/>
        <v/>
      </c>
      <c r="AZ293" s="385"/>
      <c r="BA293" s="385"/>
      <c r="BB293" s="385"/>
      <c r="BC293" s="385"/>
      <c r="BD293" s="385"/>
      <c r="BE293" s="385"/>
      <c r="BF293" s="385"/>
      <c r="BG293" s="385"/>
      <c r="BH293" s="385"/>
      <c r="BI293" s="385"/>
      <c r="BJ293" s="385"/>
      <c r="BK293" s="385"/>
      <c r="BL293" s="385"/>
      <c r="BM293" s="385"/>
      <c r="BN293" s="385"/>
      <c r="BO293" s="385"/>
      <c r="CA293" s="1470"/>
      <c r="CB293" s="1418" t="str">
        <f t="shared" si="204"/>
        <v/>
      </c>
      <c r="CC293" s="1418" t="str">
        <f t="shared" si="205"/>
        <v/>
      </c>
      <c r="CD293" s="1418" t="str">
        <f t="shared" si="206"/>
        <v/>
      </c>
      <c r="CE293" s="1418" t="str">
        <f t="shared" si="207"/>
        <v/>
      </c>
      <c r="CF293" s="1418" t="str">
        <f t="shared" si="201"/>
        <v/>
      </c>
      <c r="CG293" s="1418" t="str">
        <f t="shared" si="208"/>
        <v/>
      </c>
      <c r="CH293" s="1418" t="str">
        <f t="shared" si="209"/>
        <v/>
      </c>
      <c r="CI293" s="1418" t="str">
        <f t="shared" si="210"/>
        <v/>
      </c>
      <c r="CP293" s="513">
        <f t="shared" si="211"/>
        <v>0</v>
      </c>
      <c r="CQ293" s="513">
        <f t="shared" si="212"/>
        <v>0</v>
      </c>
      <c r="CR293" s="513">
        <f t="shared" si="213"/>
        <v>0</v>
      </c>
      <c r="CS293" s="513">
        <f t="shared" si="214"/>
        <v>0</v>
      </c>
      <c r="CT293" s="513">
        <f t="shared" si="215"/>
        <v>0</v>
      </c>
      <c r="CU293" s="513">
        <f t="shared" si="216"/>
        <v>0</v>
      </c>
      <c r="CV293" s="513">
        <f t="shared" si="217"/>
        <v>0</v>
      </c>
      <c r="CW293" s="513">
        <f t="shared" si="218"/>
        <v>0</v>
      </c>
    </row>
    <row r="294" spans="1:101" s="385" customFormat="1" ht="18" customHeight="1">
      <c r="A294" s="1468" t="s">
        <v>940</v>
      </c>
      <c r="B294" s="1493"/>
      <c r="C294" s="1493"/>
      <c r="D294" s="1493"/>
      <c r="E294" s="1493"/>
      <c r="F294" s="1493"/>
      <c r="G294" s="1493"/>
      <c r="H294" s="1493"/>
      <c r="I294" s="1493"/>
      <c r="J294" s="1493"/>
      <c r="K294" s="1493"/>
      <c r="L294" s="1493"/>
      <c r="M294" s="1493"/>
      <c r="N294" s="1493"/>
      <c r="O294" s="1493"/>
      <c r="P294" s="1493"/>
      <c r="Q294" s="1493"/>
      <c r="R294" s="1493"/>
      <c r="S294" s="1493"/>
      <c r="T294" s="1493"/>
      <c r="U294" s="1493"/>
      <c r="V294" s="1493"/>
      <c r="W294" s="1493"/>
      <c r="X294" s="1493"/>
      <c r="Y294" s="1493"/>
      <c r="Z294" s="1493"/>
      <c r="AA294" s="1493"/>
      <c r="AB294" s="1493"/>
      <c r="AC294" s="1493"/>
      <c r="AD294" s="1493"/>
      <c r="AE294" s="1493"/>
      <c r="AF294" s="1493"/>
      <c r="AG294" s="1493"/>
      <c r="AH294" s="1493"/>
      <c r="AI294" s="1493"/>
      <c r="AJ294" s="1493"/>
      <c r="AK294" s="1493"/>
      <c r="AL294" s="1493"/>
      <c r="AM294" s="1493"/>
      <c r="AN294" s="1493"/>
      <c r="AO294" s="1493"/>
    </row>
    <row r="295" spans="1:101">
      <c r="A295" s="6173" t="s">
        <v>941</v>
      </c>
      <c r="B295" s="6176" t="s">
        <v>942</v>
      </c>
      <c r="C295" s="6140" t="s">
        <v>42</v>
      </c>
      <c r="D295" s="6139"/>
      <c r="E295" s="6119"/>
      <c r="F295" s="6163" t="s">
        <v>115</v>
      </c>
      <c r="G295" s="6164"/>
      <c r="H295" s="6164"/>
      <c r="I295" s="6164"/>
      <c r="J295" s="6164"/>
      <c r="K295" s="6164"/>
      <c r="L295" s="6164"/>
      <c r="M295" s="6164"/>
      <c r="N295" s="6164"/>
      <c r="O295" s="6164"/>
      <c r="P295" s="6164"/>
      <c r="Q295" s="6164"/>
      <c r="R295" s="6164"/>
      <c r="S295" s="6164"/>
      <c r="T295" s="6164"/>
      <c r="U295" s="6164"/>
      <c r="V295" s="6164"/>
      <c r="W295" s="6164"/>
      <c r="X295" s="6164"/>
      <c r="Y295" s="6164"/>
      <c r="Z295" s="6164"/>
      <c r="AA295" s="6164"/>
      <c r="AB295" s="6164"/>
      <c r="AC295" s="6164"/>
      <c r="AD295" s="6164"/>
      <c r="AE295" s="6164"/>
      <c r="AF295" s="6164"/>
      <c r="AG295" s="6164"/>
      <c r="AH295" s="6164"/>
      <c r="AI295" s="6164"/>
      <c r="AJ295" s="6164"/>
      <c r="AK295" s="6165"/>
      <c r="AL295" s="5714" t="s">
        <v>50</v>
      </c>
      <c r="AM295" s="5718" t="s">
        <v>51</v>
      </c>
      <c r="AN295" s="6139" t="s">
        <v>48</v>
      </c>
      <c r="AO295" s="5718" t="s">
        <v>49</v>
      </c>
    </row>
    <row r="296" spans="1:101">
      <c r="A296" s="6174"/>
      <c r="B296" s="6177"/>
      <c r="C296" s="6114"/>
      <c r="D296" s="6115"/>
      <c r="E296" s="6116"/>
      <c r="F296" s="6142" t="s">
        <v>347</v>
      </c>
      <c r="G296" s="6142"/>
      <c r="H296" s="6142" t="s">
        <v>108</v>
      </c>
      <c r="I296" s="6142"/>
      <c r="J296" s="6142" t="s">
        <v>58</v>
      </c>
      <c r="K296" s="6142"/>
      <c r="L296" s="5707" t="s">
        <v>59</v>
      </c>
      <c r="M296" s="5709"/>
      <c r="N296" s="6137" t="s">
        <v>60</v>
      </c>
      <c r="O296" s="6137"/>
      <c r="P296" s="6137" t="s">
        <v>61</v>
      </c>
      <c r="Q296" s="6137"/>
      <c r="R296" s="6137" t="s">
        <v>62</v>
      </c>
      <c r="S296" s="6137"/>
      <c r="T296" s="6137" t="s">
        <v>63</v>
      </c>
      <c r="U296" s="6137"/>
      <c r="V296" s="6137" t="s">
        <v>64</v>
      </c>
      <c r="W296" s="6137"/>
      <c r="X296" s="6137" t="s">
        <v>65</v>
      </c>
      <c r="Y296" s="6137"/>
      <c r="Z296" s="6137" t="s">
        <v>66</v>
      </c>
      <c r="AA296" s="6137"/>
      <c r="AB296" s="6137" t="s">
        <v>67</v>
      </c>
      <c r="AC296" s="6137"/>
      <c r="AD296" s="6137" t="s">
        <v>68</v>
      </c>
      <c r="AE296" s="6137"/>
      <c r="AF296" s="6137" t="s">
        <v>69</v>
      </c>
      <c r="AG296" s="6137"/>
      <c r="AH296" s="6137" t="s">
        <v>70</v>
      </c>
      <c r="AI296" s="6137"/>
      <c r="AJ296" s="6137" t="s">
        <v>71</v>
      </c>
      <c r="AK296" s="6148"/>
      <c r="AL296" s="6138"/>
      <c r="AM296" s="6110"/>
      <c r="AN296" s="6166"/>
      <c r="AO296" s="6110"/>
    </row>
    <row r="297" spans="1:101" ht="35.25" customHeight="1">
      <c r="A297" s="6175"/>
      <c r="B297" s="6178"/>
      <c r="C297" s="1917" t="s">
        <v>93</v>
      </c>
      <c r="D297" s="1918" t="s">
        <v>72</v>
      </c>
      <c r="E297" s="1394" t="s">
        <v>73</v>
      </c>
      <c r="F297" s="1919" t="s">
        <v>72</v>
      </c>
      <c r="G297" s="1920" t="s">
        <v>73</v>
      </c>
      <c r="H297" s="1919" t="s">
        <v>72</v>
      </c>
      <c r="I297" s="1920" t="s">
        <v>73</v>
      </c>
      <c r="J297" s="1919" t="s">
        <v>72</v>
      </c>
      <c r="K297" s="1920" t="s">
        <v>73</v>
      </c>
      <c r="L297" s="1919" t="s">
        <v>72</v>
      </c>
      <c r="M297" s="1920" t="s">
        <v>73</v>
      </c>
      <c r="N297" s="1919" t="s">
        <v>72</v>
      </c>
      <c r="O297" s="1920" t="s">
        <v>73</v>
      </c>
      <c r="P297" s="1919" t="s">
        <v>72</v>
      </c>
      <c r="Q297" s="1920" t="s">
        <v>73</v>
      </c>
      <c r="R297" s="1919" t="s">
        <v>72</v>
      </c>
      <c r="S297" s="1920" t="s">
        <v>73</v>
      </c>
      <c r="T297" s="1915" t="s">
        <v>72</v>
      </c>
      <c r="U297" s="1915" t="s">
        <v>73</v>
      </c>
      <c r="V297" s="1921" t="s">
        <v>72</v>
      </c>
      <c r="W297" s="1920" t="s">
        <v>73</v>
      </c>
      <c r="X297" s="1919" t="s">
        <v>72</v>
      </c>
      <c r="Y297" s="1920" t="s">
        <v>73</v>
      </c>
      <c r="Z297" s="1919" t="s">
        <v>72</v>
      </c>
      <c r="AA297" s="1920" t="s">
        <v>73</v>
      </c>
      <c r="AB297" s="1919" t="s">
        <v>72</v>
      </c>
      <c r="AC297" s="1920" t="s">
        <v>73</v>
      </c>
      <c r="AD297" s="1919" t="s">
        <v>72</v>
      </c>
      <c r="AE297" s="1920" t="s">
        <v>73</v>
      </c>
      <c r="AF297" s="1919" t="s">
        <v>72</v>
      </c>
      <c r="AG297" s="1920" t="s">
        <v>73</v>
      </c>
      <c r="AH297" s="1919" t="s">
        <v>72</v>
      </c>
      <c r="AI297" s="1920" t="s">
        <v>73</v>
      </c>
      <c r="AJ297" s="1919" t="s">
        <v>72</v>
      </c>
      <c r="AK297" s="1922" t="s">
        <v>73</v>
      </c>
      <c r="AL297" s="5715"/>
      <c r="AM297" s="5719"/>
      <c r="AN297" s="6115"/>
      <c r="AO297" s="5719"/>
    </row>
    <row r="298" spans="1:101" ht="15" customHeight="1">
      <c r="A298" s="6161" t="s">
        <v>943</v>
      </c>
      <c r="B298" s="1923" t="s">
        <v>789</v>
      </c>
      <c r="C298" s="1924">
        <f t="shared" si="219"/>
        <v>0</v>
      </c>
      <c r="D298" s="1925">
        <f t="shared" ref="D298:E301" si="226">SUM(F298+H298+J298+L298+N298+P298+R298+T298+V298+X298+Z298+AB298+AD298+AF298+AH298+AJ298)</f>
        <v>0</v>
      </c>
      <c r="E298" s="1736">
        <f t="shared" ref="E298:E299" si="227">SUM(G298+I298+K298+M298+O298+Q298+S298+U298+W298+Y298+AA298+AC298+AE298+AG298+AI298+AK298)</f>
        <v>0</v>
      </c>
      <c r="F298" s="1424"/>
      <c r="G298" s="1436"/>
      <c r="H298" s="1424"/>
      <c r="I298" s="1436"/>
      <c r="J298" s="1424"/>
      <c r="K298" s="1436"/>
      <c r="L298" s="1424"/>
      <c r="M298" s="1436"/>
      <c r="N298" s="1424"/>
      <c r="O298" s="1436"/>
      <c r="P298" s="1424"/>
      <c r="Q298" s="1436"/>
      <c r="R298" s="1424"/>
      <c r="S298" s="1436"/>
      <c r="T298" s="1424"/>
      <c r="U298" s="1436"/>
      <c r="V298" s="1424"/>
      <c r="W298" s="1436"/>
      <c r="X298" s="1424"/>
      <c r="Y298" s="1436"/>
      <c r="Z298" s="1424"/>
      <c r="AA298" s="1436"/>
      <c r="AB298" s="1424"/>
      <c r="AC298" s="1436"/>
      <c r="AD298" s="1424"/>
      <c r="AE298" s="1436"/>
      <c r="AF298" s="1424"/>
      <c r="AG298" s="1436"/>
      <c r="AH298" s="1424"/>
      <c r="AI298" s="1436"/>
      <c r="AJ298" s="1424"/>
      <c r="AK298" s="1650"/>
      <c r="AL298" s="1429"/>
      <c r="AM298" s="1430"/>
      <c r="AN298" s="1652"/>
      <c r="AO298" s="1430"/>
      <c r="AP298" t="str">
        <f t="shared" ref="AP298:AP301" si="228">CA298&amp;CB298&amp;CC298&amp;CD298</f>
        <v/>
      </c>
      <c r="CA298" s="1418" t="str">
        <f t="shared" ref="CA298:CA301" si="229">IF(AND(C298&gt;0,AL298="")," * No olvide digitar la variable Pueblos Originarios. Digite Cero si no tiene.",IF(AL298&gt;C298," * La variable Pueblos originarios No puede ser mayor al Total.",""))</f>
        <v/>
      </c>
      <c r="CB298" s="1418" t="str">
        <f>IF(AND(C298&gt;0,AM298="")," * No olvide digitar la variable Migrantes. Digite Cero si no tiene.",IF(AM298&gt;C298," * La variable Migrantes No puede ser mayor al Total.",""))</f>
        <v/>
      </c>
      <c r="CC298" s="1418" t="str">
        <f t="shared" ref="CC298:CC301" si="230">IF(AND(C298&gt;0,AN298="")," * No olvide digitar la variable SENAME/ Servicio Nacional de Reinserción social Juvenil . Digite Cero si no tiene.",IF(AN298&gt;C298," * La variable SENAME/ Servicio Nacional de Reinserción social Juvenil  No puede ser mayor al Total.",""))</f>
        <v/>
      </c>
      <c r="CD298" s="1418" t="str">
        <f t="shared" ref="CD298:CD301" si="231">IF(AND(C298&gt;0,AO298="")," * No olvide digitar la variable Servicio Nacional Protección Especializada a la Niñez y Adolescencia. Digite Cero si no tiene.",IF(AO298&gt;C298," * La variable Servicio Nacional Protección Especializada a la Niñez y Adolescencia No puede ser mayor al Total.",""))</f>
        <v/>
      </c>
      <c r="CO298" s="419">
        <f t="shared" ref="CO298:CO301" si="232">IF(AND(C298&gt;0,AL298=""),1,IF(AL298&gt;C298,1,0))</f>
        <v>0</v>
      </c>
      <c r="CP298" s="419">
        <f t="shared" ref="CP298:CP301" si="233">IF(AND(C298&gt;0,AM298=""),1,IF(AM298&gt;C298,1,0))</f>
        <v>0</v>
      </c>
      <c r="CQ298" s="419">
        <f t="shared" ref="CQ298:CQ301" si="234">IF(AND(C298&gt;0,AN298=""),1,IF(AN298&gt;C298,1,0))</f>
        <v>0</v>
      </c>
      <c r="CR298" s="419">
        <f t="shared" ref="CR298:CR301" si="235">IF(AND(C298&gt;0,AO298=""),1,IF(AO298&gt;C298,1,0))</f>
        <v>0</v>
      </c>
    </row>
    <row r="299" spans="1:101">
      <c r="A299" s="6162"/>
      <c r="B299" s="1927" t="s">
        <v>798</v>
      </c>
      <c r="C299" s="1928">
        <f t="shared" si="219"/>
        <v>0</v>
      </c>
      <c r="D299" s="1929">
        <f t="shared" si="226"/>
        <v>0</v>
      </c>
      <c r="E299" s="1775">
        <f t="shared" si="227"/>
        <v>0</v>
      </c>
      <c r="F299" s="1455"/>
      <c r="G299" s="1467"/>
      <c r="H299" s="1455"/>
      <c r="I299" s="1467"/>
      <c r="J299" s="1455"/>
      <c r="K299" s="1467"/>
      <c r="L299" s="1455"/>
      <c r="M299" s="1467"/>
      <c r="N299" s="1455"/>
      <c r="O299" s="1467"/>
      <c r="P299" s="1455"/>
      <c r="Q299" s="1467"/>
      <c r="R299" s="1455"/>
      <c r="S299" s="1467"/>
      <c r="T299" s="1455"/>
      <c r="U299" s="1467"/>
      <c r="V299" s="1455"/>
      <c r="W299" s="1467"/>
      <c r="X299" s="1455"/>
      <c r="Y299" s="1467"/>
      <c r="Z299" s="1455"/>
      <c r="AA299" s="1467"/>
      <c r="AB299" s="1455"/>
      <c r="AC299" s="1467"/>
      <c r="AD299" s="1455"/>
      <c r="AE299" s="1467"/>
      <c r="AF299" s="1455"/>
      <c r="AG299" s="1467"/>
      <c r="AH299" s="1455"/>
      <c r="AI299" s="1467"/>
      <c r="AJ299" s="1455"/>
      <c r="AK299" s="1660"/>
      <c r="AL299" s="1460"/>
      <c r="AM299" s="1461"/>
      <c r="AN299" s="1490"/>
      <c r="AO299" s="1461"/>
      <c r="AP299" t="str">
        <f t="shared" si="228"/>
        <v/>
      </c>
      <c r="CA299" s="1418" t="str">
        <f t="shared" si="229"/>
        <v/>
      </c>
      <c r="CB299" s="1418" t="str">
        <f t="shared" ref="CB299:CB301" si="236">IF(AND(C299&gt;0,AM299=""),"  * No olvide digitar la variable Migrantes. Digite Cero si no tiene.",IF(AM299&gt;C299,"  * La variable Migrantes No puede ser mayor al Total.",""))</f>
        <v/>
      </c>
      <c r="CC299" s="1418" t="str">
        <f t="shared" si="230"/>
        <v/>
      </c>
      <c r="CD299" s="1418" t="str">
        <f t="shared" si="231"/>
        <v/>
      </c>
      <c r="CO299" s="419">
        <f t="shared" si="232"/>
        <v>0</v>
      </c>
      <c r="CP299" s="419">
        <f t="shared" si="233"/>
        <v>0</v>
      </c>
      <c r="CQ299" s="419">
        <f t="shared" si="234"/>
        <v>0</v>
      </c>
      <c r="CR299" s="419">
        <f t="shared" si="235"/>
        <v>0</v>
      </c>
    </row>
    <row r="300" spans="1:101">
      <c r="A300" s="6161" t="s">
        <v>944</v>
      </c>
      <c r="B300" s="1923" t="s">
        <v>789</v>
      </c>
      <c r="C300" s="1930">
        <f t="shared" si="219"/>
        <v>0</v>
      </c>
      <c r="D300" s="1931">
        <f t="shared" si="226"/>
        <v>0</v>
      </c>
      <c r="E300" s="1753">
        <f t="shared" si="226"/>
        <v>0</v>
      </c>
      <c r="F300" s="1480"/>
      <c r="G300" s="1545"/>
      <c r="H300" s="1480"/>
      <c r="I300" s="1545"/>
      <c r="J300" s="1480"/>
      <c r="K300" s="1545"/>
      <c r="L300" s="1480"/>
      <c r="M300" s="1545"/>
      <c r="N300" s="1480"/>
      <c r="O300" s="1545"/>
      <c r="P300" s="1480"/>
      <c r="Q300" s="1545"/>
      <c r="R300" s="1480"/>
      <c r="S300" s="1545"/>
      <c r="T300" s="1480"/>
      <c r="U300" s="1545"/>
      <c r="V300" s="1480"/>
      <c r="W300" s="1545"/>
      <c r="X300" s="1480"/>
      <c r="Y300" s="1545"/>
      <c r="Z300" s="1480"/>
      <c r="AA300" s="1545"/>
      <c r="AB300" s="1480"/>
      <c r="AC300" s="1545"/>
      <c r="AD300" s="1480"/>
      <c r="AE300" s="1545"/>
      <c r="AF300" s="1480"/>
      <c r="AG300" s="1545"/>
      <c r="AH300" s="1480"/>
      <c r="AI300" s="1545"/>
      <c r="AJ300" s="1480"/>
      <c r="AK300" s="1725"/>
      <c r="AL300" s="1544"/>
      <c r="AM300" s="1483"/>
      <c r="AN300" s="1482"/>
      <c r="AO300" s="1483"/>
      <c r="AP300" t="str">
        <f t="shared" si="228"/>
        <v/>
      </c>
      <c r="CA300" s="1418" t="str">
        <f t="shared" si="229"/>
        <v/>
      </c>
      <c r="CB300" s="1418" t="str">
        <f t="shared" si="236"/>
        <v/>
      </c>
      <c r="CC300" s="1418" t="str">
        <f t="shared" si="230"/>
        <v/>
      </c>
      <c r="CD300" s="1418" t="str">
        <f t="shared" si="231"/>
        <v/>
      </c>
      <c r="CO300" s="419">
        <f t="shared" si="232"/>
        <v>0</v>
      </c>
      <c r="CP300" s="419">
        <f t="shared" si="233"/>
        <v>0</v>
      </c>
      <c r="CQ300" s="419">
        <f t="shared" si="234"/>
        <v>0</v>
      </c>
      <c r="CR300" s="419">
        <f t="shared" si="235"/>
        <v>0</v>
      </c>
    </row>
    <row r="301" spans="1:101">
      <c r="A301" s="6162"/>
      <c r="B301" s="1927" t="s">
        <v>798</v>
      </c>
      <c r="C301" s="1928">
        <f t="shared" si="219"/>
        <v>0</v>
      </c>
      <c r="D301" s="1929">
        <f t="shared" si="226"/>
        <v>0</v>
      </c>
      <c r="E301" s="1775">
        <f t="shared" si="226"/>
        <v>0</v>
      </c>
      <c r="F301" s="1455"/>
      <c r="G301" s="1467"/>
      <c r="H301" s="1455"/>
      <c r="I301" s="1467"/>
      <c r="J301" s="1455"/>
      <c r="K301" s="1467"/>
      <c r="L301" s="1455"/>
      <c r="M301" s="1467"/>
      <c r="N301" s="1455"/>
      <c r="O301" s="1467"/>
      <c r="P301" s="1455"/>
      <c r="Q301" s="1467"/>
      <c r="R301" s="1455"/>
      <c r="S301" s="1467"/>
      <c r="T301" s="1455"/>
      <c r="U301" s="1467"/>
      <c r="V301" s="1455"/>
      <c r="W301" s="1467"/>
      <c r="X301" s="1455"/>
      <c r="Y301" s="1467"/>
      <c r="Z301" s="1455"/>
      <c r="AA301" s="1467"/>
      <c r="AB301" s="1455"/>
      <c r="AC301" s="1467"/>
      <c r="AD301" s="1455"/>
      <c r="AE301" s="1467"/>
      <c r="AF301" s="1455"/>
      <c r="AG301" s="1467"/>
      <c r="AH301" s="1455"/>
      <c r="AI301" s="1467"/>
      <c r="AJ301" s="1455"/>
      <c r="AK301" s="1660"/>
      <c r="AL301" s="1460"/>
      <c r="AM301" s="1461"/>
      <c r="AN301" s="1490"/>
      <c r="AO301" s="1461"/>
      <c r="AP301" t="str">
        <f t="shared" si="228"/>
        <v/>
      </c>
      <c r="CA301" s="1418" t="str">
        <f t="shared" si="229"/>
        <v/>
      </c>
      <c r="CB301" s="1418" t="str">
        <f t="shared" si="236"/>
        <v/>
      </c>
      <c r="CC301" s="1418" t="str">
        <f t="shared" si="230"/>
        <v/>
      </c>
      <c r="CD301" s="1418" t="str">
        <f t="shared" si="231"/>
        <v/>
      </c>
      <c r="CO301" s="419">
        <f t="shared" si="232"/>
        <v>0</v>
      </c>
      <c r="CP301" s="419">
        <f t="shared" si="233"/>
        <v>0</v>
      </c>
      <c r="CQ301" s="419">
        <f t="shared" si="234"/>
        <v>0</v>
      </c>
      <c r="CR301" s="419">
        <f t="shared" si="235"/>
        <v>0</v>
      </c>
    </row>
    <row r="302" spans="1:101" s="385" customFormat="1" ht="18" customHeight="1">
      <c r="A302" s="1468" t="s">
        <v>945</v>
      </c>
      <c r="B302" s="1581"/>
      <c r="C302" s="1493"/>
      <c r="D302" s="1493"/>
      <c r="E302" s="1493"/>
      <c r="F302" s="1493"/>
      <c r="G302" s="1493"/>
      <c r="H302" s="1493"/>
      <c r="I302" s="1493"/>
      <c r="J302" s="1493"/>
      <c r="K302" s="1493"/>
      <c r="L302" s="1493"/>
      <c r="M302" s="1493"/>
      <c r="N302" s="1493"/>
      <c r="O302" s="1493"/>
      <c r="P302" s="1493"/>
      <c r="Q302" s="1493"/>
      <c r="R302" s="1493"/>
      <c r="S302" s="1493"/>
      <c r="T302" s="1493"/>
      <c r="U302" s="1493"/>
      <c r="V302" s="1493"/>
      <c r="W302" s="1493"/>
      <c r="X302" s="1493"/>
      <c r="Y302" s="1493"/>
      <c r="Z302" s="1493"/>
      <c r="AA302" s="1493"/>
      <c r="AB302" s="1493"/>
      <c r="AC302" s="1493"/>
      <c r="AD302" s="1493"/>
      <c r="AE302" s="1493"/>
      <c r="AF302" s="1493"/>
      <c r="AG302" s="1493"/>
      <c r="AH302" s="1493"/>
      <c r="AI302" s="1493"/>
      <c r="AJ302" s="1493"/>
      <c r="AK302" s="1493"/>
      <c r="AL302" s="1493"/>
      <c r="AM302" s="1493"/>
      <c r="AN302" s="1493"/>
      <c r="AO302" s="1493"/>
      <c r="AP302" s="1493"/>
      <c r="AQ302" s="1493"/>
      <c r="AR302" s="1493"/>
      <c r="AS302" s="1493"/>
      <c r="AT302" s="1493"/>
      <c r="AU302" s="1493"/>
      <c r="AV302" s="1724"/>
    </row>
    <row r="303" spans="1:101" ht="15" customHeight="1">
      <c r="A303" s="6140" t="s">
        <v>946</v>
      </c>
      <c r="B303" s="6119"/>
      <c r="C303" s="6142" t="s">
        <v>209</v>
      </c>
      <c r="D303" s="6142"/>
      <c r="E303" s="6142"/>
      <c r="F303" s="5707" t="s">
        <v>115</v>
      </c>
      <c r="G303" s="5708"/>
      <c r="H303" s="5708"/>
      <c r="I303" s="5708"/>
      <c r="J303" s="5708"/>
      <c r="K303" s="5708"/>
      <c r="L303" s="5708"/>
      <c r="M303" s="5708"/>
      <c r="N303" s="5708"/>
      <c r="O303" s="5708"/>
      <c r="P303" s="5708"/>
      <c r="Q303" s="5708"/>
      <c r="R303" s="5708"/>
      <c r="S303" s="5708"/>
      <c r="T303" s="5708"/>
      <c r="U303" s="5708"/>
      <c r="V303" s="5708"/>
      <c r="W303" s="5708"/>
      <c r="X303" s="5708"/>
      <c r="Y303" s="5708"/>
      <c r="Z303" s="5708"/>
      <c r="AA303" s="5708"/>
      <c r="AB303" s="5708"/>
      <c r="AC303" s="5708"/>
      <c r="AD303" s="5708"/>
      <c r="AE303" s="5708"/>
      <c r="AF303" s="5708"/>
      <c r="AG303" s="5708"/>
      <c r="AH303" s="5708"/>
      <c r="AI303" s="5708"/>
      <c r="AJ303" s="5708"/>
      <c r="AK303" s="5708"/>
      <c r="AL303" s="5708"/>
      <c r="AM303" s="6147"/>
      <c r="AN303" s="6106" t="s">
        <v>933</v>
      </c>
      <c r="AO303" s="6106"/>
      <c r="AP303" s="5712"/>
      <c r="AQ303" s="6140" t="s">
        <v>478</v>
      </c>
      <c r="AR303" s="6119"/>
      <c r="AS303" s="5718" t="s">
        <v>50</v>
      </c>
      <c r="AT303" s="6232" t="s">
        <v>51</v>
      </c>
      <c r="AU303" s="6133" t="s">
        <v>48</v>
      </c>
      <c r="AV303" s="6119" t="s">
        <v>49</v>
      </c>
    </row>
    <row r="304" spans="1:101">
      <c r="A304" s="6141"/>
      <c r="B304" s="6120"/>
      <c r="C304" s="6142"/>
      <c r="D304" s="6142"/>
      <c r="E304" s="6142"/>
      <c r="F304" s="6142" t="s">
        <v>364</v>
      </c>
      <c r="G304" s="6142"/>
      <c r="H304" s="6142" t="s">
        <v>347</v>
      </c>
      <c r="I304" s="6142"/>
      <c r="J304" s="6142" t="s">
        <v>108</v>
      </c>
      <c r="K304" s="6142"/>
      <c r="L304" s="6142" t="s">
        <v>58</v>
      </c>
      <c r="M304" s="6142"/>
      <c r="N304" s="5707" t="s">
        <v>59</v>
      </c>
      <c r="O304" s="5709"/>
      <c r="P304" s="6137" t="s">
        <v>60</v>
      </c>
      <c r="Q304" s="6137"/>
      <c r="R304" s="6137" t="s">
        <v>61</v>
      </c>
      <c r="S304" s="6137"/>
      <c r="T304" s="6137" t="s">
        <v>62</v>
      </c>
      <c r="U304" s="6137"/>
      <c r="V304" s="6137" t="s">
        <v>63</v>
      </c>
      <c r="W304" s="6137"/>
      <c r="X304" s="6137" t="s">
        <v>64</v>
      </c>
      <c r="Y304" s="6137"/>
      <c r="Z304" s="6137" t="s">
        <v>65</v>
      </c>
      <c r="AA304" s="6137"/>
      <c r="AB304" s="6137" t="s">
        <v>66</v>
      </c>
      <c r="AC304" s="6137"/>
      <c r="AD304" s="6137" t="s">
        <v>67</v>
      </c>
      <c r="AE304" s="6137"/>
      <c r="AF304" s="6137" t="s">
        <v>68</v>
      </c>
      <c r="AG304" s="6137"/>
      <c r="AH304" s="6137" t="s">
        <v>69</v>
      </c>
      <c r="AI304" s="6137"/>
      <c r="AJ304" s="6137" t="s">
        <v>70</v>
      </c>
      <c r="AK304" s="6137"/>
      <c r="AL304" s="6137" t="s">
        <v>71</v>
      </c>
      <c r="AM304" s="6148"/>
      <c r="AN304" s="6133" t="s">
        <v>947</v>
      </c>
      <c r="AO304" s="6133" t="s">
        <v>948</v>
      </c>
      <c r="AP304" s="6119" t="s">
        <v>949</v>
      </c>
      <c r="AQ304" s="6114"/>
      <c r="AR304" s="6116"/>
      <c r="AS304" s="6110"/>
      <c r="AT304" s="6233"/>
      <c r="AU304" s="6235"/>
      <c r="AV304" s="6120"/>
    </row>
    <row r="305" spans="1:99" ht="39.75" customHeight="1">
      <c r="A305" s="6114"/>
      <c r="B305" s="6116"/>
      <c r="C305" s="1395" t="s">
        <v>93</v>
      </c>
      <c r="D305" s="1646" t="s">
        <v>72</v>
      </c>
      <c r="E305" s="390" t="s">
        <v>73</v>
      </c>
      <c r="F305" s="1395" t="s">
        <v>482</v>
      </c>
      <c r="G305" s="1584" t="s">
        <v>73</v>
      </c>
      <c r="H305" s="1395" t="s">
        <v>482</v>
      </c>
      <c r="I305" s="1584" t="s">
        <v>73</v>
      </c>
      <c r="J305" s="1395" t="s">
        <v>482</v>
      </c>
      <c r="K305" s="1584" t="s">
        <v>73</v>
      </c>
      <c r="L305" s="1395" t="s">
        <v>482</v>
      </c>
      <c r="M305" s="1584" t="s">
        <v>73</v>
      </c>
      <c r="N305" s="1395" t="s">
        <v>482</v>
      </c>
      <c r="O305" s="1584" t="s">
        <v>73</v>
      </c>
      <c r="P305" s="1395" t="s">
        <v>482</v>
      </c>
      <c r="Q305" s="1584" t="s">
        <v>73</v>
      </c>
      <c r="R305" s="1395" t="s">
        <v>482</v>
      </c>
      <c r="S305" s="1584" t="s">
        <v>73</v>
      </c>
      <c r="T305" s="1395" t="s">
        <v>482</v>
      </c>
      <c r="U305" s="1584" t="s">
        <v>73</v>
      </c>
      <c r="V305" s="1395" t="s">
        <v>482</v>
      </c>
      <c r="W305" s="1584" t="s">
        <v>73</v>
      </c>
      <c r="X305" s="1395" t="s">
        <v>482</v>
      </c>
      <c r="Y305" s="1584" t="s">
        <v>73</v>
      </c>
      <c r="Z305" s="1395" t="s">
        <v>482</v>
      </c>
      <c r="AA305" s="1584" t="s">
        <v>73</v>
      </c>
      <c r="AB305" s="1395" t="s">
        <v>482</v>
      </c>
      <c r="AC305" s="1584" t="s">
        <v>73</v>
      </c>
      <c r="AD305" s="1395" t="s">
        <v>482</v>
      </c>
      <c r="AE305" s="1584" t="s">
        <v>73</v>
      </c>
      <c r="AF305" s="1395" t="s">
        <v>482</v>
      </c>
      <c r="AG305" s="1584" t="s">
        <v>73</v>
      </c>
      <c r="AH305" s="1395" t="s">
        <v>482</v>
      </c>
      <c r="AI305" s="1584" t="s">
        <v>73</v>
      </c>
      <c r="AJ305" s="1395" t="s">
        <v>482</v>
      </c>
      <c r="AK305" s="1584" t="s">
        <v>73</v>
      </c>
      <c r="AL305" s="1395" t="s">
        <v>482</v>
      </c>
      <c r="AM305" s="1398" t="s">
        <v>73</v>
      </c>
      <c r="AN305" s="6134"/>
      <c r="AO305" s="6134"/>
      <c r="AP305" s="6116"/>
      <c r="AQ305" s="1395" t="s">
        <v>483</v>
      </c>
      <c r="AR305" s="1402" t="s">
        <v>484</v>
      </c>
      <c r="AS305" s="5719"/>
      <c r="AT305" s="6234"/>
      <c r="AU305" s="6134"/>
      <c r="AV305" s="6116"/>
    </row>
    <row r="306" spans="1:99" s="385" customFormat="1" ht="18" customHeight="1">
      <c r="A306" s="5710" t="s">
        <v>950</v>
      </c>
      <c r="B306" s="5712"/>
      <c r="C306" s="1783">
        <f t="shared" si="219"/>
        <v>0</v>
      </c>
      <c r="D306" s="1784">
        <f>SUM(F306+H306+J306+L306+N306+P306+R306+T306+V306+X306+Z306+AB306+AD306+AF306+AH306+AJ306+AL306)</f>
        <v>0</v>
      </c>
      <c r="E306" s="1667">
        <f>SUM(G306+I306+K306+M306+O306+Q306+S306+U306+W306+Y306+AA306+AC306+AE306+AG306+AI306+AK306+AM306)</f>
        <v>0</v>
      </c>
      <c r="F306" s="1783">
        <f>SUM(F316:F324)</f>
        <v>0</v>
      </c>
      <c r="G306" s="1934">
        <f>SUM(G316:G324)</f>
        <v>0</v>
      </c>
      <c r="H306" s="1783">
        <f>SUM(H316:H324)</f>
        <v>0</v>
      </c>
      <c r="I306" s="1934">
        <f>SUM(I316:I324)</f>
        <v>0</v>
      </c>
      <c r="J306" s="1783">
        <f>SUM(J316:J324)</f>
        <v>0</v>
      </c>
      <c r="K306" s="1934">
        <f>SUM(K307:K324)</f>
        <v>0</v>
      </c>
      <c r="L306" s="1783">
        <f>SUM(L316:L324)</f>
        <v>0</v>
      </c>
      <c r="M306" s="1934">
        <f>SUM(M307:M324)</f>
        <v>0</v>
      </c>
      <c r="N306" s="1783">
        <f>SUM(N316:N324)</f>
        <v>0</v>
      </c>
      <c r="O306" s="1934">
        <f>SUM(O307:O324)</f>
        <v>0</v>
      </c>
      <c r="P306" s="1783">
        <f>SUM(P316:P324)</f>
        <v>0</v>
      </c>
      <c r="Q306" s="1934">
        <f>SUM(Q307:Q324)</f>
        <v>0</v>
      </c>
      <c r="R306" s="1783">
        <f>SUM(R316:R324)</f>
        <v>0</v>
      </c>
      <c r="S306" s="1934">
        <f>SUM(S307:S324)</f>
        <v>0</v>
      </c>
      <c r="T306" s="1783">
        <f>SUM(T316:T324)</f>
        <v>0</v>
      </c>
      <c r="U306" s="1934">
        <f>SUM(U307:U324)</f>
        <v>0</v>
      </c>
      <c r="V306" s="1783">
        <f>SUM(V316:V324)</f>
        <v>0</v>
      </c>
      <c r="W306" s="1934">
        <f>SUM(W307:W324)</f>
        <v>0</v>
      </c>
      <c r="X306" s="1783">
        <f>SUM(X316:X324)</f>
        <v>0</v>
      </c>
      <c r="Y306" s="1934">
        <f>SUM(Y307:Y324)</f>
        <v>0</v>
      </c>
      <c r="Z306" s="1783">
        <f>SUM(Z316:Z324)</f>
        <v>0</v>
      </c>
      <c r="AA306" s="1934">
        <f>SUM(AA307:AA324)</f>
        <v>0</v>
      </c>
      <c r="AB306" s="1783">
        <f t="shared" ref="AB306:AM306" si="237">SUM(AB316:AB324)</f>
        <v>0</v>
      </c>
      <c r="AC306" s="1934">
        <f>SUM(AC307:AC324)</f>
        <v>0</v>
      </c>
      <c r="AD306" s="1783">
        <f t="shared" si="237"/>
        <v>0</v>
      </c>
      <c r="AE306" s="1934">
        <f t="shared" si="237"/>
        <v>0</v>
      </c>
      <c r="AF306" s="1783">
        <f t="shared" si="237"/>
        <v>0</v>
      </c>
      <c r="AG306" s="1934">
        <f t="shared" si="237"/>
        <v>0</v>
      </c>
      <c r="AH306" s="1783">
        <f t="shared" si="237"/>
        <v>0</v>
      </c>
      <c r="AI306" s="1934">
        <f t="shared" si="237"/>
        <v>0</v>
      </c>
      <c r="AJ306" s="1783">
        <f t="shared" si="237"/>
        <v>0</v>
      </c>
      <c r="AK306" s="1934">
        <f t="shared" si="237"/>
        <v>0</v>
      </c>
      <c r="AL306" s="1783">
        <f>SUM(AL316:AL324)</f>
        <v>0</v>
      </c>
      <c r="AM306" s="1935">
        <f t="shared" si="237"/>
        <v>0</v>
      </c>
      <c r="AN306" s="1936">
        <f t="shared" ref="AN306:AU306" si="238">SUM(AN307:AN324)</f>
        <v>0</v>
      </c>
      <c r="AO306" s="1936">
        <f t="shared" si="238"/>
        <v>0</v>
      </c>
      <c r="AP306" s="1937">
        <f t="shared" si="238"/>
        <v>0</v>
      </c>
      <c r="AQ306" s="1783">
        <f t="shared" si="238"/>
        <v>0</v>
      </c>
      <c r="AR306" s="1937">
        <f t="shared" si="238"/>
        <v>0</v>
      </c>
      <c r="AS306" s="1938">
        <f t="shared" si="238"/>
        <v>0</v>
      </c>
      <c r="AT306" s="1939">
        <f t="shared" si="238"/>
        <v>0</v>
      </c>
      <c r="AU306" s="1936">
        <f t="shared" si="238"/>
        <v>0</v>
      </c>
      <c r="AV306" s="1667">
        <f>SUM(AV307:AV324)</f>
        <v>0</v>
      </c>
    </row>
    <row r="307" spans="1:99" ht="15" customHeight="1">
      <c r="A307" s="6158" t="s">
        <v>476</v>
      </c>
      <c r="B307" s="1540" t="s">
        <v>951</v>
      </c>
      <c r="C307" s="1687">
        <f t="shared" ref="C307:C308" si="239">SUM(E307)</f>
        <v>0</v>
      </c>
      <c r="D307" s="1940"/>
      <c r="E307" s="1795">
        <f t="shared" ref="E307:E315" si="240">SUM(K307+M307+O307+Q307+S307+U307+W307+Y307+AA307+AC307)</f>
        <v>0</v>
      </c>
      <c r="F307" s="1854"/>
      <c r="G307" s="1855"/>
      <c r="H307" s="1855"/>
      <c r="I307" s="1855"/>
      <c r="J307" s="1941"/>
      <c r="K307" s="1545"/>
      <c r="L307" s="1942"/>
      <c r="M307" s="1545"/>
      <c r="N307" s="1942"/>
      <c r="O307" s="1545"/>
      <c r="P307" s="1942"/>
      <c r="Q307" s="1545"/>
      <c r="R307" s="1942"/>
      <c r="S307" s="1545"/>
      <c r="T307" s="1942"/>
      <c r="U307" s="1545"/>
      <c r="V307" s="1942"/>
      <c r="W307" s="1545"/>
      <c r="X307" s="1942"/>
      <c r="Y307" s="1545"/>
      <c r="Z307" s="1942"/>
      <c r="AA307" s="1545"/>
      <c r="AB307" s="1942"/>
      <c r="AC307" s="1545"/>
      <c r="AD307" s="1854"/>
      <c r="AE307" s="1855"/>
      <c r="AF307" s="1855"/>
      <c r="AG307" s="1855"/>
      <c r="AH307" s="1855"/>
      <c r="AI307" s="1855"/>
      <c r="AJ307" s="1855"/>
      <c r="AK307" s="1855"/>
      <c r="AL307" s="1855"/>
      <c r="AM307" s="1856"/>
      <c r="AN307" s="1796"/>
      <c r="AO307" s="1796"/>
      <c r="AP307" s="1545"/>
      <c r="AQ307" s="1480"/>
      <c r="AR307" s="1855"/>
      <c r="AS307" s="1483"/>
      <c r="AT307" s="1943"/>
      <c r="AU307" s="1796"/>
      <c r="AV307" s="1545"/>
      <c r="AW307" t="str">
        <f t="shared" ref="AW307:AW324" si="241">CA307&amp;CB307&amp;CC307&amp;CD307&amp;CE307&amp;CF307&amp;CG307</f>
        <v/>
      </c>
      <c r="CA307" s="1418" t="str">
        <f t="shared" ref="CA307:CA324" si="242">IF((AO307+AP307)&gt;AN307," * Los Egresos Por Alta + Egresos Por Abandono no pueden ser mayor que el Total de Egresos.","")</f>
        <v/>
      </c>
      <c r="CB307" s="1708" t="str">
        <f t="shared" ref="CB307:CB324" si="243">IF(AND(E307&gt;0,OR(AQ307=""))," * No olvide digitar la variable Trans (Masculino). Digite Cero si no tiene.",IF(AQ307&gt;E307,"  * La variable Trans (Masculino) No puede ser mayor al Total Mujeres.",""))</f>
        <v/>
      </c>
      <c r="CC307" s="1944"/>
      <c r="CD307" s="1708" t="str">
        <f t="shared" ref="CD307:CD324" si="244">IF(AND(C307&gt;0,AS307=""), " * No olvide digitar la variable Pueblos originarios. Digite Cero si no tiene.",IF(AS307&gt;C307,"  * La variable Pueblos originarios No puede ser mayor al Total.",""))</f>
        <v/>
      </c>
      <c r="CE307" s="1708" t="str">
        <f t="shared" ref="CE307:CE324" si="245">IF(AND(C307&gt;0,AT307=""), " * No olvide digitar la variable Migrantes. Digite Cero si no tiene.",IF(AT307&gt;C307,"  * La variable Migrantes No puede ser mayor al Total.",""))</f>
        <v/>
      </c>
      <c r="CF307" s="1708" t="str">
        <f t="shared" ref="CF307:CF324" si="246">IF(AND(C307&gt;0,AU307=""), " * No olvide digitar la variable SENAME/ Servicio Nacional de Reinserción social Juvenil . Digite Cero si no tiene.",IF(AU307&gt;C307,"  * La variable SENAME/ Servicio Nacional de Reinserción social Juvenil No puede ser mayor al Total.",""))</f>
        <v/>
      </c>
      <c r="CG307" s="1708" t="str">
        <f t="shared" ref="CG307:CG324" si="247">IF(AND(C307&gt;0,AV307=""), " * No olvide digitar la variable Servicio Nacional Protección Especializada a la Niñez y Adolescencia. Digite Cero si no tiene.",IF(AV307&gt;C307,"  * La variable Servicio Nacional Protección Especializada a la Niñez y Adolescencia No puede ser mayor al Total.",""))</f>
        <v/>
      </c>
      <c r="CO307" s="419">
        <f t="shared" ref="CO307:CO324" si="248">IF((AO307+AP307)&gt;AN307,1,0)</f>
        <v>0</v>
      </c>
      <c r="CP307" s="419">
        <f t="shared" ref="CP307:CP324" si="249">IF(AND(E307&gt;0,OR(AQ307="")),1,IF(AQ307&gt;E307,1,0))</f>
        <v>0</v>
      </c>
      <c r="CQ307" s="1945"/>
      <c r="CR307" s="419">
        <f t="shared" ref="CR307:CR324" si="250">IF(AND(C307&gt;0,AS307=""),1,IF(AS307&gt;C307,1,0))</f>
        <v>0</v>
      </c>
      <c r="CS307" s="419">
        <f t="shared" ref="CS307:CS324" si="251">IF(AND(C307&gt;0,AT307=""),1,IF(AT307&gt;C307,1,0))</f>
        <v>0</v>
      </c>
      <c r="CT307" s="419">
        <f t="shared" si="215"/>
        <v>0</v>
      </c>
      <c r="CU307" s="419">
        <f t="shared" si="216"/>
        <v>0</v>
      </c>
    </row>
    <row r="308" spans="1:99" ht="15" customHeight="1">
      <c r="A308" s="6158"/>
      <c r="B308" s="1946" t="s">
        <v>952</v>
      </c>
      <c r="C308" s="408">
        <f t="shared" si="239"/>
        <v>0</v>
      </c>
      <c r="D308" s="1940"/>
      <c r="E308" s="1438">
        <f t="shared" si="240"/>
        <v>0</v>
      </c>
      <c r="F308" s="1854"/>
      <c r="G308" s="1855"/>
      <c r="H308" s="1855"/>
      <c r="I308" s="1855"/>
      <c r="J308" s="1941"/>
      <c r="K308" s="1545"/>
      <c r="L308" s="1942"/>
      <c r="M308" s="1545"/>
      <c r="N308" s="1942"/>
      <c r="O308" s="1545"/>
      <c r="P308" s="1942"/>
      <c r="Q308" s="1545"/>
      <c r="R308" s="1942"/>
      <c r="S308" s="1545"/>
      <c r="T308" s="1942"/>
      <c r="U308" s="1545"/>
      <c r="V308" s="1942"/>
      <c r="W308" s="1545"/>
      <c r="X308" s="1942"/>
      <c r="Y308" s="1545"/>
      <c r="Z308" s="1942"/>
      <c r="AA308" s="1545"/>
      <c r="AB308" s="1942"/>
      <c r="AC308" s="1545"/>
      <c r="AD308" s="1854"/>
      <c r="AE308" s="1855"/>
      <c r="AF308" s="1855"/>
      <c r="AG308" s="1855"/>
      <c r="AH308" s="1855"/>
      <c r="AI308" s="1855"/>
      <c r="AJ308" s="1855"/>
      <c r="AK308" s="1855"/>
      <c r="AL308" s="1855"/>
      <c r="AM308" s="1856"/>
      <c r="AN308" s="1796"/>
      <c r="AO308" s="1796"/>
      <c r="AP308" s="1545"/>
      <c r="AQ308" s="1480"/>
      <c r="AR308" s="1855"/>
      <c r="AS308" s="1483"/>
      <c r="AT308" s="1943"/>
      <c r="AU308" s="1796"/>
      <c r="AV308" s="1545"/>
      <c r="AW308" t="str">
        <f t="shared" si="241"/>
        <v/>
      </c>
      <c r="CA308" s="1418" t="str">
        <f t="shared" si="242"/>
        <v/>
      </c>
      <c r="CB308" s="1708" t="str">
        <f t="shared" si="243"/>
        <v/>
      </c>
      <c r="CC308" s="1944"/>
      <c r="CD308" s="1708" t="str">
        <f t="shared" si="244"/>
        <v/>
      </c>
      <c r="CE308" s="1708" t="str">
        <f t="shared" si="245"/>
        <v/>
      </c>
      <c r="CF308" s="1708" t="str">
        <f t="shared" si="246"/>
        <v/>
      </c>
      <c r="CG308" s="1708" t="str">
        <f t="shared" si="247"/>
        <v/>
      </c>
      <c r="CO308" s="419">
        <f t="shared" si="248"/>
        <v>0</v>
      </c>
      <c r="CP308" s="419">
        <f t="shared" si="249"/>
        <v>0</v>
      </c>
      <c r="CQ308" s="1945"/>
      <c r="CR308" s="419">
        <f t="shared" si="250"/>
        <v>0</v>
      </c>
      <c r="CS308" s="419">
        <f t="shared" si="251"/>
        <v>0</v>
      </c>
      <c r="CT308" s="419">
        <f t="shared" si="215"/>
        <v>0</v>
      </c>
      <c r="CU308" s="419">
        <f t="shared" si="216"/>
        <v>0</v>
      </c>
    </row>
    <row r="309" spans="1:99" ht="15" customHeight="1">
      <c r="A309" s="6158"/>
      <c r="B309" s="1947" t="s">
        <v>953</v>
      </c>
      <c r="C309" s="408">
        <f t="shared" ref="C309:C324" si="252">SUM(D309+E309)</f>
        <v>0</v>
      </c>
      <c r="D309" s="1940"/>
      <c r="E309" s="1438">
        <f t="shared" si="240"/>
        <v>0</v>
      </c>
      <c r="F309" s="1854"/>
      <c r="G309" s="1855"/>
      <c r="H309" s="1855"/>
      <c r="I309" s="1855"/>
      <c r="J309" s="1941"/>
      <c r="K309" s="1452"/>
      <c r="L309" s="1942"/>
      <c r="M309" s="1452"/>
      <c r="N309" s="1942"/>
      <c r="O309" s="1452"/>
      <c r="P309" s="1942"/>
      <c r="Q309" s="1452"/>
      <c r="R309" s="1942"/>
      <c r="S309" s="1452"/>
      <c r="T309" s="1942"/>
      <c r="U309" s="1452"/>
      <c r="V309" s="1942"/>
      <c r="W309" s="1452"/>
      <c r="X309" s="1942"/>
      <c r="Y309" s="1452"/>
      <c r="Z309" s="1942"/>
      <c r="AA309" s="1452"/>
      <c r="AB309" s="1942"/>
      <c r="AC309" s="1452"/>
      <c r="AD309" s="1854"/>
      <c r="AE309" s="1855"/>
      <c r="AF309" s="1855"/>
      <c r="AG309" s="1855"/>
      <c r="AH309" s="1855"/>
      <c r="AI309" s="1855"/>
      <c r="AJ309" s="1855"/>
      <c r="AK309" s="1855"/>
      <c r="AL309" s="1855"/>
      <c r="AM309" s="1856"/>
      <c r="AN309" s="1441"/>
      <c r="AO309" s="1441"/>
      <c r="AP309" s="1452"/>
      <c r="AQ309" s="1440"/>
      <c r="AR309" s="1855"/>
      <c r="AS309" s="1446"/>
      <c r="AT309" s="1948"/>
      <c r="AU309" s="1441"/>
      <c r="AV309" s="1452"/>
      <c r="AW309" t="str">
        <f t="shared" si="241"/>
        <v/>
      </c>
      <c r="CA309" s="1418" t="str">
        <f t="shared" si="242"/>
        <v/>
      </c>
      <c r="CB309" s="1708" t="str">
        <f t="shared" si="243"/>
        <v/>
      </c>
      <c r="CC309" s="1944"/>
      <c r="CD309" s="1708" t="str">
        <f t="shared" si="244"/>
        <v/>
      </c>
      <c r="CE309" s="1708" t="str">
        <f t="shared" si="245"/>
        <v/>
      </c>
      <c r="CF309" s="1708" t="str">
        <f t="shared" si="246"/>
        <v/>
      </c>
      <c r="CG309" s="1708" t="str">
        <f t="shared" si="247"/>
        <v/>
      </c>
      <c r="CO309" s="419">
        <f t="shared" si="248"/>
        <v>0</v>
      </c>
      <c r="CP309" s="419">
        <f t="shared" si="249"/>
        <v>0</v>
      </c>
      <c r="CQ309" s="1945"/>
      <c r="CR309" s="419">
        <f t="shared" si="250"/>
        <v>0</v>
      </c>
      <c r="CS309" s="419">
        <f t="shared" si="251"/>
        <v>0</v>
      </c>
      <c r="CT309" s="419">
        <f t="shared" si="215"/>
        <v>0</v>
      </c>
      <c r="CU309" s="419">
        <f t="shared" si="216"/>
        <v>0</v>
      </c>
    </row>
    <row r="310" spans="1:99" ht="15" customHeight="1">
      <c r="A310" s="6158"/>
      <c r="B310" s="1947" t="s">
        <v>954</v>
      </c>
      <c r="C310" s="408">
        <f t="shared" ref="C310:C315" si="253">SUM(E310)</f>
        <v>0</v>
      </c>
      <c r="D310" s="1940"/>
      <c r="E310" s="1438">
        <f t="shared" si="240"/>
        <v>0</v>
      </c>
      <c r="F310" s="1854"/>
      <c r="G310" s="1855"/>
      <c r="H310" s="1855"/>
      <c r="I310" s="1855"/>
      <c r="J310" s="1941"/>
      <c r="K310" s="1452"/>
      <c r="L310" s="1942"/>
      <c r="M310" s="1452"/>
      <c r="N310" s="1942"/>
      <c r="O310" s="1452"/>
      <c r="P310" s="1942"/>
      <c r="Q310" s="1452"/>
      <c r="R310" s="1942"/>
      <c r="S310" s="1452"/>
      <c r="T310" s="1942"/>
      <c r="U310" s="1452"/>
      <c r="V310" s="1942"/>
      <c r="W310" s="1452"/>
      <c r="X310" s="1942"/>
      <c r="Y310" s="1452"/>
      <c r="Z310" s="1942"/>
      <c r="AA310" s="1452"/>
      <c r="AB310" s="1942"/>
      <c r="AC310" s="1452"/>
      <c r="AD310" s="1854"/>
      <c r="AE310" s="1855"/>
      <c r="AF310" s="1855"/>
      <c r="AG310" s="1855"/>
      <c r="AH310" s="1855"/>
      <c r="AI310" s="1855"/>
      <c r="AJ310" s="1855"/>
      <c r="AK310" s="1855"/>
      <c r="AL310" s="1855"/>
      <c r="AM310" s="1856"/>
      <c r="AN310" s="1441"/>
      <c r="AO310" s="1441"/>
      <c r="AP310" s="1452"/>
      <c r="AQ310" s="1440"/>
      <c r="AR310" s="1855"/>
      <c r="AS310" s="1446"/>
      <c r="AT310" s="1948"/>
      <c r="AU310" s="1441"/>
      <c r="AV310" s="1452"/>
      <c r="AW310" t="str">
        <f t="shared" si="241"/>
        <v/>
      </c>
      <c r="CA310" s="1418" t="str">
        <f t="shared" si="242"/>
        <v/>
      </c>
      <c r="CB310" s="1708" t="str">
        <f t="shared" si="243"/>
        <v/>
      </c>
      <c r="CC310" s="1944"/>
      <c r="CD310" s="1708" t="str">
        <f t="shared" si="244"/>
        <v/>
      </c>
      <c r="CE310" s="1708" t="str">
        <f t="shared" si="245"/>
        <v/>
      </c>
      <c r="CF310" s="1708" t="str">
        <f t="shared" si="246"/>
        <v/>
      </c>
      <c r="CG310" s="1708" t="str">
        <f t="shared" si="247"/>
        <v/>
      </c>
      <c r="CO310" s="419">
        <f t="shared" si="248"/>
        <v>0</v>
      </c>
      <c r="CP310" s="419">
        <f t="shared" si="249"/>
        <v>0</v>
      </c>
      <c r="CQ310" s="1945"/>
      <c r="CR310" s="419">
        <f t="shared" si="250"/>
        <v>0</v>
      </c>
      <c r="CS310" s="419">
        <f t="shared" si="251"/>
        <v>0</v>
      </c>
      <c r="CT310" s="419">
        <f t="shared" si="215"/>
        <v>0</v>
      </c>
      <c r="CU310" s="419">
        <f t="shared" si="216"/>
        <v>0</v>
      </c>
    </row>
    <row r="311" spans="1:99" ht="15" customHeight="1">
      <c r="A311" s="6158"/>
      <c r="B311" s="1947" t="s">
        <v>955</v>
      </c>
      <c r="C311" s="408">
        <f t="shared" si="253"/>
        <v>0</v>
      </c>
      <c r="D311" s="1940"/>
      <c r="E311" s="1438">
        <f t="shared" si="240"/>
        <v>0</v>
      </c>
      <c r="F311" s="1854"/>
      <c r="G311" s="1855"/>
      <c r="H311" s="1855"/>
      <c r="I311" s="1855"/>
      <c r="J311" s="1941"/>
      <c r="K311" s="1452"/>
      <c r="L311" s="1942"/>
      <c r="M311" s="1452"/>
      <c r="N311" s="1942"/>
      <c r="O311" s="1452"/>
      <c r="P311" s="1942"/>
      <c r="Q311" s="1452"/>
      <c r="R311" s="1942"/>
      <c r="S311" s="1452"/>
      <c r="T311" s="1942"/>
      <c r="U311" s="1452"/>
      <c r="V311" s="1942"/>
      <c r="W311" s="1452"/>
      <c r="X311" s="1942"/>
      <c r="Y311" s="1452"/>
      <c r="Z311" s="1942"/>
      <c r="AA311" s="1452"/>
      <c r="AB311" s="1942"/>
      <c r="AC311" s="1452"/>
      <c r="AD311" s="1854"/>
      <c r="AE311" s="1855"/>
      <c r="AF311" s="1855"/>
      <c r="AG311" s="1855"/>
      <c r="AH311" s="1855"/>
      <c r="AI311" s="1855"/>
      <c r="AJ311" s="1855"/>
      <c r="AK311" s="1855"/>
      <c r="AL311" s="1855"/>
      <c r="AM311" s="1856"/>
      <c r="AN311" s="1441"/>
      <c r="AO311" s="1441"/>
      <c r="AP311" s="1452"/>
      <c r="AQ311" s="1440"/>
      <c r="AR311" s="1855"/>
      <c r="AS311" s="1446"/>
      <c r="AT311" s="1948"/>
      <c r="AU311" s="1441"/>
      <c r="AV311" s="1452"/>
      <c r="AW311" t="str">
        <f t="shared" si="241"/>
        <v/>
      </c>
      <c r="CA311" s="1418" t="str">
        <f t="shared" si="242"/>
        <v/>
      </c>
      <c r="CB311" s="1708" t="str">
        <f t="shared" si="243"/>
        <v/>
      </c>
      <c r="CC311" s="1944"/>
      <c r="CD311" s="1708" t="str">
        <f t="shared" si="244"/>
        <v/>
      </c>
      <c r="CE311" s="1708" t="str">
        <f t="shared" si="245"/>
        <v/>
      </c>
      <c r="CF311" s="1708" t="str">
        <f t="shared" si="246"/>
        <v/>
      </c>
      <c r="CG311" s="1708" t="str">
        <f t="shared" si="247"/>
        <v/>
      </c>
      <c r="CO311" s="419">
        <f t="shared" si="248"/>
        <v>0</v>
      </c>
      <c r="CP311" s="419">
        <f t="shared" si="249"/>
        <v>0</v>
      </c>
      <c r="CQ311" s="1945"/>
      <c r="CR311" s="419">
        <f t="shared" si="250"/>
        <v>0</v>
      </c>
      <c r="CS311" s="419">
        <f t="shared" si="251"/>
        <v>0</v>
      </c>
      <c r="CT311" s="419">
        <f t="shared" ref="CT311:CT324" si="254">IF(AND(C311&gt;0,AU311=""),1,IF(AU311&gt;C311,1,0))</f>
        <v>0</v>
      </c>
      <c r="CU311" s="419">
        <f t="shared" ref="CU311:CU324" si="255">IF(AND(C311&gt;0,AV311=""),1,IF(AV311&gt;C311,1,0))</f>
        <v>0</v>
      </c>
    </row>
    <row r="312" spans="1:99" ht="15" customHeight="1">
      <c r="A312" s="6158"/>
      <c r="B312" s="1947" t="s">
        <v>956</v>
      </c>
      <c r="C312" s="408">
        <f t="shared" si="253"/>
        <v>0</v>
      </c>
      <c r="D312" s="1940"/>
      <c r="E312" s="1438">
        <f t="shared" si="240"/>
        <v>0</v>
      </c>
      <c r="F312" s="1854"/>
      <c r="G312" s="1855"/>
      <c r="H312" s="1855"/>
      <c r="I312" s="1855"/>
      <c r="J312" s="1941"/>
      <c r="K312" s="1452"/>
      <c r="L312" s="1942"/>
      <c r="M312" s="1452"/>
      <c r="N312" s="1942"/>
      <c r="O312" s="1452"/>
      <c r="P312" s="1942"/>
      <c r="Q312" s="1452"/>
      <c r="R312" s="1942"/>
      <c r="S312" s="1452"/>
      <c r="T312" s="1942"/>
      <c r="U312" s="1452"/>
      <c r="V312" s="1942"/>
      <c r="W312" s="1452"/>
      <c r="X312" s="1942"/>
      <c r="Y312" s="1452"/>
      <c r="Z312" s="1942"/>
      <c r="AA312" s="1452"/>
      <c r="AB312" s="1942"/>
      <c r="AC312" s="1452"/>
      <c r="AD312" s="1854"/>
      <c r="AE312" s="1855"/>
      <c r="AF312" s="1855"/>
      <c r="AG312" s="1855"/>
      <c r="AH312" s="1855"/>
      <c r="AI312" s="1855"/>
      <c r="AJ312" s="1855"/>
      <c r="AK312" s="1855"/>
      <c r="AL312" s="1855"/>
      <c r="AM312" s="1856"/>
      <c r="AN312" s="1441"/>
      <c r="AO312" s="1441"/>
      <c r="AP312" s="1452"/>
      <c r="AQ312" s="1440"/>
      <c r="AR312" s="1855"/>
      <c r="AS312" s="1446"/>
      <c r="AT312" s="1948"/>
      <c r="AU312" s="1441"/>
      <c r="AV312" s="1452"/>
      <c r="AW312" t="str">
        <f t="shared" si="241"/>
        <v/>
      </c>
      <c r="CA312" s="1418" t="str">
        <f t="shared" si="242"/>
        <v/>
      </c>
      <c r="CB312" s="1708" t="str">
        <f t="shared" si="243"/>
        <v/>
      </c>
      <c r="CC312" s="1944"/>
      <c r="CD312" s="1708" t="str">
        <f t="shared" si="244"/>
        <v/>
      </c>
      <c r="CE312" s="1708" t="str">
        <f t="shared" si="245"/>
        <v/>
      </c>
      <c r="CF312" s="1708" t="str">
        <f t="shared" si="246"/>
        <v/>
      </c>
      <c r="CG312" s="1708" t="str">
        <f t="shared" si="247"/>
        <v/>
      </c>
      <c r="CO312" s="419">
        <f t="shared" si="248"/>
        <v>0</v>
      </c>
      <c r="CP312" s="419">
        <f t="shared" si="249"/>
        <v>0</v>
      </c>
      <c r="CQ312" s="1945"/>
      <c r="CR312" s="419">
        <f t="shared" si="250"/>
        <v>0</v>
      </c>
      <c r="CS312" s="419">
        <f t="shared" si="251"/>
        <v>0</v>
      </c>
      <c r="CT312" s="419">
        <f t="shared" si="254"/>
        <v>0</v>
      </c>
      <c r="CU312" s="419">
        <f t="shared" si="255"/>
        <v>0</v>
      </c>
    </row>
    <row r="313" spans="1:99" ht="15" customHeight="1">
      <c r="A313" s="6158"/>
      <c r="B313" s="1947" t="s">
        <v>957</v>
      </c>
      <c r="C313" s="408">
        <f t="shared" si="253"/>
        <v>0</v>
      </c>
      <c r="D313" s="1940"/>
      <c r="E313" s="1438">
        <f t="shared" si="240"/>
        <v>0</v>
      </c>
      <c r="F313" s="1854"/>
      <c r="G313" s="1855"/>
      <c r="H313" s="1855"/>
      <c r="I313" s="1855"/>
      <c r="J313" s="1941"/>
      <c r="K313" s="1452"/>
      <c r="L313" s="1942"/>
      <c r="M313" s="1452"/>
      <c r="N313" s="1942"/>
      <c r="O313" s="1452"/>
      <c r="P313" s="1942"/>
      <c r="Q313" s="1452"/>
      <c r="R313" s="1942"/>
      <c r="S313" s="1452"/>
      <c r="T313" s="1942"/>
      <c r="U313" s="1452"/>
      <c r="V313" s="1942"/>
      <c r="W313" s="1452"/>
      <c r="X313" s="1942"/>
      <c r="Y313" s="1452"/>
      <c r="Z313" s="1942"/>
      <c r="AA313" s="1452"/>
      <c r="AB313" s="1942"/>
      <c r="AC313" s="1452"/>
      <c r="AD313" s="1854"/>
      <c r="AE313" s="1855"/>
      <c r="AF313" s="1855"/>
      <c r="AG313" s="1855"/>
      <c r="AH313" s="1855"/>
      <c r="AI313" s="1855"/>
      <c r="AJ313" s="1855"/>
      <c r="AK313" s="1855"/>
      <c r="AL313" s="1855"/>
      <c r="AM313" s="1856"/>
      <c r="AN313" s="1441"/>
      <c r="AO313" s="1441"/>
      <c r="AP313" s="1452"/>
      <c r="AQ313" s="1440"/>
      <c r="AR313" s="1855"/>
      <c r="AS313" s="1446"/>
      <c r="AT313" s="1948"/>
      <c r="AU313" s="1441"/>
      <c r="AV313" s="1452"/>
      <c r="AW313" t="str">
        <f t="shared" si="241"/>
        <v/>
      </c>
      <c r="CA313" s="1418" t="str">
        <f t="shared" si="242"/>
        <v/>
      </c>
      <c r="CB313" s="1708" t="str">
        <f t="shared" si="243"/>
        <v/>
      </c>
      <c r="CC313" s="1944"/>
      <c r="CD313" s="1708" t="str">
        <f t="shared" si="244"/>
        <v/>
      </c>
      <c r="CE313" s="1708" t="str">
        <f t="shared" si="245"/>
        <v/>
      </c>
      <c r="CF313" s="1708" t="str">
        <f t="shared" si="246"/>
        <v/>
      </c>
      <c r="CG313" s="1708" t="str">
        <f t="shared" si="247"/>
        <v/>
      </c>
      <c r="CO313" s="419">
        <f t="shared" si="248"/>
        <v>0</v>
      </c>
      <c r="CP313" s="419">
        <f t="shared" si="249"/>
        <v>0</v>
      </c>
      <c r="CQ313" s="1945"/>
      <c r="CR313" s="419">
        <f t="shared" si="250"/>
        <v>0</v>
      </c>
      <c r="CS313" s="419">
        <f t="shared" si="251"/>
        <v>0</v>
      </c>
      <c r="CT313" s="419">
        <f t="shared" si="254"/>
        <v>0</v>
      </c>
      <c r="CU313" s="419">
        <f t="shared" si="255"/>
        <v>0</v>
      </c>
    </row>
    <row r="314" spans="1:99" ht="15" customHeight="1">
      <c r="A314" s="6158"/>
      <c r="B314" s="1947" t="s">
        <v>958</v>
      </c>
      <c r="C314" s="408">
        <f t="shared" si="253"/>
        <v>0</v>
      </c>
      <c r="D314" s="1940"/>
      <c r="E314" s="1438">
        <f t="shared" si="240"/>
        <v>0</v>
      </c>
      <c r="F314" s="1854"/>
      <c r="G314" s="1855"/>
      <c r="H314" s="1855"/>
      <c r="I314" s="1855"/>
      <c r="J314" s="1941"/>
      <c r="K314" s="1452"/>
      <c r="L314" s="1942"/>
      <c r="M314" s="1452"/>
      <c r="N314" s="1942"/>
      <c r="O314" s="1452"/>
      <c r="P314" s="1942"/>
      <c r="Q314" s="1452"/>
      <c r="R314" s="1942"/>
      <c r="S314" s="1452"/>
      <c r="T314" s="1942"/>
      <c r="U314" s="1452"/>
      <c r="V314" s="1942"/>
      <c r="W314" s="1452"/>
      <c r="X314" s="1942"/>
      <c r="Y314" s="1452"/>
      <c r="Z314" s="1942"/>
      <c r="AA314" s="1452"/>
      <c r="AB314" s="1942"/>
      <c r="AC314" s="1452"/>
      <c r="AD314" s="1854"/>
      <c r="AE314" s="1855"/>
      <c r="AF314" s="1855"/>
      <c r="AG314" s="1855"/>
      <c r="AH314" s="1855"/>
      <c r="AI314" s="1855"/>
      <c r="AJ314" s="1855"/>
      <c r="AK314" s="1855"/>
      <c r="AL314" s="1855"/>
      <c r="AM314" s="1856"/>
      <c r="AN314" s="1441"/>
      <c r="AO314" s="1441"/>
      <c r="AP314" s="1452"/>
      <c r="AQ314" s="1440"/>
      <c r="AR314" s="1855"/>
      <c r="AS314" s="1446"/>
      <c r="AT314" s="1948"/>
      <c r="AU314" s="1441"/>
      <c r="AV314" s="1452"/>
      <c r="AW314" t="str">
        <f t="shared" si="241"/>
        <v/>
      </c>
      <c r="CA314" s="1418" t="str">
        <f t="shared" si="242"/>
        <v/>
      </c>
      <c r="CB314" s="1708" t="str">
        <f t="shared" si="243"/>
        <v/>
      </c>
      <c r="CC314" s="1944"/>
      <c r="CD314" s="1708" t="str">
        <f t="shared" si="244"/>
        <v/>
      </c>
      <c r="CE314" s="1708" t="str">
        <f t="shared" si="245"/>
        <v/>
      </c>
      <c r="CF314" s="1708" t="str">
        <f t="shared" si="246"/>
        <v/>
      </c>
      <c r="CG314" s="1708" t="str">
        <f t="shared" si="247"/>
        <v/>
      </c>
      <c r="CO314" s="419">
        <f t="shared" si="248"/>
        <v>0</v>
      </c>
      <c r="CP314" s="419">
        <f t="shared" si="249"/>
        <v>0</v>
      </c>
      <c r="CQ314" s="1945"/>
      <c r="CR314" s="419">
        <f t="shared" si="250"/>
        <v>0</v>
      </c>
      <c r="CS314" s="419">
        <f t="shared" si="251"/>
        <v>0</v>
      </c>
      <c r="CT314" s="419">
        <f t="shared" si="254"/>
        <v>0</v>
      </c>
      <c r="CU314" s="419">
        <f t="shared" si="255"/>
        <v>0</v>
      </c>
    </row>
    <row r="315" spans="1:99" ht="15" customHeight="1">
      <c r="A315" s="6159"/>
      <c r="B315" s="1505" t="s">
        <v>959</v>
      </c>
      <c r="C315" s="429">
        <f t="shared" si="253"/>
        <v>0</v>
      </c>
      <c r="D315" s="1949"/>
      <c r="E315" s="1453">
        <f t="shared" si="240"/>
        <v>0</v>
      </c>
      <c r="F315" s="1858"/>
      <c r="G315" s="1859"/>
      <c r="H315" s="1859"/>
      <c r="I315" s="1859"/>
      <c r="J315" s="1950"/>
      <c r="K315" s="1467"/>
      <c r="L315" s="1662"/>
      <c r="M315" s="1467"/>
      <c r="N315" s="1662"/>
      <c r="O315" s="1467"/>
      <c r="P315" s="1662"/>
      <c r="Q315" s="1467"/>
      <c r="R315" s="1662"/>
      <c r="S315" s="1467"/>
      <c r="T315" s="1662"/>
      <c r="U315" s="1467"/>
      <c r="V315" s="1662"/>
      <c r="W315" s="1467"/>
      <c r="X315" s="1662"/>
      <c r="Y315" s="1467"/>
      <c r="Z315" s="1662"/>
      <c r="AA315" s="1467"/>
      <c r="AB315" s="1662"/>
      <c r="AC315" s="1467"/>
      <c r="AD315" s="1858"/>
      <c r="AE315" s="1859"/>
      <c r="AF315" s="1859"/>
      <c r="AG315" s="1859"/>
      <c r="AH315" s="1859"/>
      <c r="AI315" s="1859"/>
      <c r="AJ315" s="1859"/>
      <c r="AK315" s="1859"/>
      <c r="AL315" s="1859"/>
      <c r="AM315" s="1860"/>
      <c r="AN315" s="1456"/>
      <c r="AO315" s="1456"/>
      <c r="AP315" s="1467"/>
      <c r="AQ315" s="1455"/>
      <c r="AR315" s="1859"/>
      <c r="AS315" s="1461"/>
      <c r="AT315" s="1951"/>
      <c r="AU315" s="1456"/>
      <c r="AV315" s="1467"/>
      <c r="AW315" t="str">
        <f t="shared" si="241"/>
        <v/>
      </c>
      <c r="CA315" s="1418" t="str">
        <f t="shared" si="242"/>
        <v/>
      </c>
      <c r="CB315" s="1708" t="str">
        <f t="shared" si="243"/>
        <v/>
      </c>
      <c r="CC315" s="1944"/>
      <c r="CD315" s="1708" t="str">
        <f t="shared" si="244"/>
        <v/>
      </c>
      <c r="CE315" s="1708" t="str">
        <f t="shared" si="245"/>
        <v/>
      </c>
      <c r="CF315" s="1708" t="str">
        <f t="shared" si="246"/>
        <v/>
      </c>
      <c r="CG315" s="1708" t="str">
        <f t="shared" si="247"/>
        <v/>
      </c>
      <c r="CO315" s="419">
        <f t="shared" si="248"/>
        <v>0</v>
      </c>
      <c r="CP315" s="419">
        <f t="shared" si="249"/>
        <v>0</v>
      </c>
      <c r="CQ315" s="1945"/>
      <c r="CR315" s="419">
        <f t="shared" si="250"/>
        <v>0</v>
      </c>
      <c r="CS315" s="419">
        <f t="shared" si="251"/>
        <v>0</v>
      </c>
      <c r="CT315" s="419">
        <f t="shared" si="254"/>
        <v>0</v>
      </c>
      <c r="CU315" s="419">
        <f t="shared" si="255"/>
        <v>0</v>
      </c>
    </row>
    <row r="316" spans="1:99" ht="15" customHeight="1">
      <c r="A316" s="6160" t="s">
        <v>960</v>
      </c>
      <c r="B316" s="1422" t="s">
        <v>951</v>
      </c>
      <c r="C316" s="1793">
        <f t="shared" si="252"/>
        <v>0</v>
      </c>
      <c r="D316" s="1794">
        <f t="shared" ref="D316:E324" si="256">SUM(F316+H316+J316+L316+N316+P316+R316+T316+V316+X316+Z316+AB316+AD316+AF316+AH316+AJ316+AL316)</f>
        <v>0</v>
      </c>
      <c r="E316" s="1795">
        <f>SUM(G316+I316+K316+M316+O316+Q316+S316+U316+W316+Y316+AA316+AC316+AE316+AG316+AI316+AK316+AM316)</f>
        <v>0</v>
      </c>
      <c r="F316" s="1953"/>
      <c r="G316" s="1954"/>
      <c r="H316" s="1955"/>
      <c r="I316" s="1954"/>
      <c r="J316" s="1955"/>
      <c r="K316" s="1769"/>
      <c r="L316" s="1956"/>
      <c r="M316" s="1954"/>
      <c r="N316" s="1955"/>
      <c r="O316" s="1957"/>
      <c r="P316" s="1953"/>
      <c r="Q316" s="1954"/>
      <c r="R316" s="1955"/>
      <c r="S316" s="1957"/>
      <c r="T316" s="1953"/>
      <c r="U316" s="1954"/>
      <c r="V316" s="1955"/>
      <c r="W316" s="1957"/>
      <c r="X316" s="1953"/>
      <c r="Y316" s="1954"/>
      <c r="Z316" s="1955"/>
      <c r="AA316" s="1957"/>
      <c r="AB316" s="1953"/>
      <c r="AC316" s="1954"/>
      <c r="AD316" s="1955"/>
      <c r="AE316" s="1957"/>
      <c r="AF316" s="1953"/>
      <c r="AG316" s="1954"/>
      <c r="AH316" s="1955"/>
      <c r="AI316" s="1957"/>
      <c r="AJ316" s="1953"/>
      <c r="AK316" s="1954"/>
      <c r="AL316" s="1955"/>
      <c r="AM316" s="1958"/>
      <c r="AN316" s="1425"/>
      <c r="AO316" s="1796"/>
      <c r="AP316" s="1545"/>
      <c r="AQ316" s="1480"/>
      <c r="AR316" s="1545"/>
      <c r="AS316" s="1483"/>
      <c r="AT316" s="1943"/>
      <c r="AU316" s="1796"/>
      <c r="AV316" s="1545"/>
      <c r="AW316" t="str">
        <f t="shared" si="241"/>
        <v/>
      </c>
      <c r="CA316" s="1418" t="str">
        <f t="shared" si="242"/>
        <v/>
      </c>
      <c r="CB316" s="1708" t="str">
        <f t="shared" si="243"/>
        <v/>
      </c>
      <c r="CC316" s="1708" t="str">
        <f t="shared" ref="CC316:CC324" si="257">IF(AND(D316&gt;0,OR(AR316=""))," * No olvide digitar la variable Trans (Femenino). Digite Cero si no tiene.",IF(AR316&gt;D316,"  * La variable Trans (Femenino) No puede ser mayor al Total Hombres.",""))</f>
        <v/>
      </c>
      <c r="CD316" s="1708" t="str">
        <f t="shared" si="244"/>
        <v/>
      </c>
      <c r="CE316" s="1708" t="str">
        <f t="shared" si="245"/>
        <v/>
      </c>
      <c r="CF316" s="1708" t="str">
        <f t="shared" si="246"/>
        <v/>
      </c>
      <c r="CG316" s="1708" t="str">
        <f t="shared" si="247"/>
        <v/>
      </c>
      <c r="CO316" s="419">
        <f t="shared" si="248"/>
        <v>0</v>
      </c>
      <c r="CP316" s="419">
        <f t="shared" si="249"/>
        <v>0</v>
      </c>
      <c r="CQ316" s="419">
        <f t="shared" ref="CQ316:CQ324" si="258">IF(AND(D316&gt;0,OR(AR316="")),1,IF(AR316&gt;D316,1,0))</f>
        <v>0</v>
      </c>
      <c r="CR316" s="419">
        <f t="shared" si="250"/>
        <v>0</v>
      </c>
      <c r="CS316" s="419">
        <f t="shared" si="251"/>
        <v>0</v>
      </c>
      <c r="CT316" s="419">
        <f t="shared" si="254"/>
        <v>0</v>
      </c>
      <c r="CU316" s="419">
        <f t="shared" si="255"/>
        <v>0</v>
      </c>
    </row>
    <row r="317" spans="1:99" ht="15" customHeight="1">
      <c r="A317" s="6158"/>
      <c r="B317" s="1946" t="s">
        <v>952</v>
      </c>
      <c r="C317" s="1687">
        <f t="shared" si="252"/>
        <v>0</v>
      </c>
      <c r="D317" s="1688">
        <f t="shared" si="256"/>
        <v>0</v>
      </c>
      <c r="E317" s="1795">
        <f t="shared" si="256"/>
        <v>0</v>
      </c>
      <c r="F317" s="1480"/>
      <c r="G317" s="1769"/>
      <c r="H317" s="1480"/>
      <c r="I317" s="1769"/>
      <c r="J317" s="1480"/>
      <c r="K317" s="1769"/>
      <c r="L317" s="1480"/>
      <c r="M317" s="1769"/>
      <c r="N317" s="1796"/>
      <c r="O317" s="1959"/>
      <c r="P317" s="1480"/>
      <c r="Q317" s="1769"/>
      <c r="R317" s="1796"/>
      <c r="S317" s="1959"/>
      <c r="T317" s="1480"/>
      <c r="U317" s="1769"/>
      <c r="V317" s="1796"/>
      <c r="W317" s="1959"/>
      <c r="X317" s="1480"/>
      <c r="Y317" s="1769"/>
      <c r="Z317" s="1796"/>
      <c r="AA317" s="1959"/>
      <c r="AB317" s="1480"/>
      <c r="AC317" s="1769"/>
      <c r="AD317" s="1796"/>
      <c r="AE317" s="1959"/>
      <c r="AF317" s="1480"/>
      <c r="AG317" s="1769"/>
      <c r="AH317" s="1796"/>
      <c r="AI317" s="1959"/>
      <c r="AJ317" s="1480"/>
      <c r="AK317" s="1769"/>
      <c r="AL317" s="1796"/>
      <c r="AM317" s="1481"/>
      <c r="AN317" s="1796"/>
      <c r="AO317" s="1796"/>
      <c r="AP317" s="1545"/>
      <c r="AQ317" s="1480"/>
      <c r="AR317" s="1545"/>
      <c r="AS317" s="1483"/>
      <c r="AT317" s="1943"/>
      <c r="AU317" s="1796"/>
      <c r="AV317" s="1545"/>
      <c r="AW317" t="str">
        <f t="shared" si="241"/>
        <v/>
      </c>
      <c r="CA317" s="1418" t="str">
        <f t="shared" si="242"/>
        <v/>
      </c>
      <c r="CB317" s="1708" t="str">
        <f t="shared" si="243"/>
        <v/>
      </c>
      <c r="CC317" s="1708" t="str">
        <f t="shared" si="257"/>
        <v/>
      </c>
      <c r="CD317" s="1708" t="str">
        <f t="shared" si="244"/>
        <v/>
      </c>
      <c r="CE317" s="1708" t="str">
        <f t="shared" si="245"/>
        <v/>
      </c>
      <c r="CF317" s="1708" t="str">
        <f t="shared" si="246"/>
        <v/>
      </c>
      <c r="CG317" s="1708" t="str">
        <f t="shared" si="247"/>
        <v/>
      </c>
      <c r="CO317" s="419">
        <f t="shared" si="248"/>
        <v>0</v>
      </c>
      <c r="CP317" s="419">
        <f t="shared" si="249"/>
        <v>0</v>
      </c>
      <c r="CQ317" s="419">
        <f t="shared" si="258"/>
        <v>0</v>
      </c>
      <c r="CR317" s="419">
        <f t="shared" si="250"/>
        <v>0</v>
      </c>
      <c r="CS317" s="419">
        <f t="shared" si="251"/>
        <v>0</v>
      </c>
      <c r="CT317" s="419">
        <f t="shared" si="254"/>
        <v>0</v>
      </c>
      <c r="CU317" s="419">
        <f t="shared" si="255"/>
        <v>0</v>
      </c>
    </row>
    <row r="318" spans="1:99" ht="15" customHeight="1">
      <c r="A318" s="6158"/>
      <c r="B318" s="1947" t="s">
        <v>953</v>
      </c>
      <c r="C318" s="408">
        <f t="shared" si="252"/>
        <v>0</v>
      </c>
      <c r="D318" s="1690">
        <f t="shared" si="256"/>
        <v>0</v>
      </c>
      <c r="E318" s="1438">
        <f t="shared" si="256"/>
        <v>0</v>
      </c>
      <c r="F318" s="1440"/>
      <c r="G318" s="1680"/>
      <c r="H318" s="1440"/>
      <c r="I318" s="1680"/>
      <c r="J318" s="1440"/>
      <c r="K318" s="1680"/>
      <c r="L318" s="1440"/>
      <c r="M318" s="1680"/>
      <c r="N318" s="1440"/>
      <c r="O318" s="1443"/>
      <c r="P318" s="1440"/>
      <c r="Q318" s="1680"/>
      <c r="R318" s="1441"/>
      <c r="S318" s="1443"/>
      <c r="T318" s="1440"/>
      <c r="U318" s="1680"/>
      <c r="V318" s="1441"/>
      <c r="W318" s="1443"/>
      <c r="X318" s="1440"/>
      <c r="Y318" s="1680"/>
      <c r="Z318" s="1441"/>
      <c r="AA318" s="1443"/>
      <c r="AB318" s="1440"/>
      <c r="AC318" s="1680"/>
      <c r="AD318" s="1441"/>
      <c r="AE318" s="1443"/>
      <c r="AF318" s="1440"/>
      <c r="AG318" s="1680"/>
      <c r="AH318" s="1441"/>
      <c r="AI318" s="1443"/>
      <c r="AJ318" s="1440"/>
      <c r="AK318" s="1680"/>
      <c r="AL318" s="1441"/>
      <c r="AM318" s="1444"/>
      <c r="AN318" s="1441"/>
      <c r="AO318" s="1441"/>
      <c r="AP318" s="1452"/>
      <c r="AQ318" s="1440"/>
      <c r="AR318" s="1452"/>
      <c r="AS318" s="1446"/>
      <c r="AT318" s="1948"/>
      <c r="AU318" s="1441"/>
      <c r="AV318" s="1452"/>
      <c r="AW318" t="str">
        <f t="shared" si="241"/>
        <v/>
      </c>
      <c r="CA318" s="1418" t="str">
        <f t="shared" si="242"/>
        <v/>
      </c>
      <c r="CB318" s="1708" t="str">
        <f t="shared" si="243"/>
        <v/>
      </c>
      <c r="CC318" s="1708" t="str">
        <f t="shared" si="257"/>
        <v/>
      </c>
      <c r="CD318" s="1708" t="str">
        <f t="shared" si="244"/>
        <v/>
      </c>
      <c r="CE318" s="1708" t="str">
        <f t="shared" si="245"/>
        <v/>
      </c>
      <c r="CF318" s="1708" t="str">
        <f t="shared" si="246"/>
        <v/>
      </c>
      <c r="CG318" s="1708" t="str">
        <f t="shared" si="247"/>
        <v/>
      </c>
      <c r="CO318" s="419">
        <f t="shared" si="248"/>
        <v>0</v>
      </c>
      <c r="CP318" s="419">
        <f t="shared" si="249"/>
        <v>0</v>
      </c>
      <c r="CQ318" s="419">
        <f t="shared" si="258"/>
        <v>0</v>
      </c>
      <c r="CR318" s="419">
        <f t="shared" si="250"/>
        <v>0</v>
      </c>
      <c r="CS318" s="419">
        <f t="shared" si="251"/>
        <v>0</v>
      </c>
      <c r="CT318" s="419">
        <f t="shared" si="254"/>
        <v>0</v>
      </c>
      <c r="CU318" s="419">
        <f t="shared" si="255"/>
        <v>0</v>
      </c>
    </row>
    <row r="319" spans="1:99" ht="15" customHeight="1">
      <c r="A319" s="6158"/>
      <c r="B319" s="1947" t="s">
        <v>954</v>
      </c>
      <c r="C319" s="408">
        <f t="shared" si="252"/>
        <v>0</v>
      </c>
      <c r="D319" s="1690">
        <f t="shared" si="256"/>
        <v>0</v>
      </c>
      <c r="E319" s="1438">
        <f t="shared" si="256"/>
        <v>0</v>
      </c>
      <c r="F319" s="1440"/>
      <c r="G319" s="1680"/>
      <c r="H319" s="1440"/>
      <c r="I319" s="1680"/>
      <c r="J319" s="1440"/>
      <c r="K319" s="1680"/>
      <c r="L319" s="1440"/>
      <c r="M319" s="1680"/>
      <c r="N319" s="1440"/>
      <c r="O319" s="1443"/>
      <c r="P319" s="1440"/>
      <c r="Q319" s="1680"/>
      <c r="R319" s="1441"/>
      <c r="S319" s="1443"/>
      <c r="T319" s="1440"/>
      <c r="U319" s="1680"/>
      <c r="V319" s="1441"/>
      <c r="W319" s="1443"/>
      <c r="X319" s="1440"/>
      <c r="Y319" s="1680"/>
      <c r="Z319" s="1441"/>
      <c r="AA319" s="1443"/>
      <c r="AB319" s="1440"/>
      <c r="AC319" s="1680"/>
      <c r="AD319" s="1441"/>
      <c r="AE319" s="1443"/>
      <c r="AF319" s="1440"/>
      <c r="AG319" s="1680"/>
      <c r="AH319" s="1441"/>
      <c r="AI319" s="1443"/>
      <c r="AJ319" s="1440"/>
      <c r="AK319" s="1680"/>
      <c r="AL319" s="1441"/>
      <c r="AM319" s="1444"/>
      <c r="AN319" s="1441"/>
      <c r="AO319" s="1441"/>
      <c r="AP319" s="1452"/>
      <c r="AQ319" s="1440"/>
      <c r="AR319" s="1452"/>
      <c r="AS319" s="1446"/>
      <c r="AT319" s="1948"/>
      <c r="AU319" s="1441"/>
      <c r="AV319" s="1452"/>
      <c r="AW319" t="str">
        <f t="shared" si="241"/>
        <v/>
      </c>
      <c r="CA319" s="1418" t="str">
        <f t="shared" si="242"/>
        <v/>
      </c>
      <c r="CB319" s="1708" t="str">
        <f t="shared" si="243"/>
        <v/>
      </c>
      <c r="CC319" s="1708" t="str">
        <f t="shared" si="257"/>
        <v/>
      </c>
      <c r="CD319" s="1708" t="str">
        <f t="shared" si="244"/>
        <v/>
      </c>
      <c r="CE319" s="1708" t="str">
        <f t="shared" si="245"/>
        <v/>
      </c>
      <c r="CF319" s="1708" t="str">
        <f t="shared" si="246"/>
        <v/>
      </c>
      <c r="CG319" s="1708" t="str">
        <f t="shared" si="247"/>
        <v/>
      </c>
      <c r="CO319" s="419">
        <f t="shared" si="248"/>
        <v>0</v>
      </c>
      <c r="CP319" s="419">
        <f t="shared" si="249"/>
        <v>0</v>
      </c>
      <c r="CQ319" s="419">
        <f t="shared" si="258"/>
        <v>0</v>
      </c>
      <c r="CR319" s="419">
        <f t="shared" si="250"/>
        <v>0</v>
      </c>
      <c r="CS319" s="419">
        <f t="shared" si="251"/>
        <v>0</v>
      </c>
      <c r="CT319" s="419">
        <f t="shared" si="254"/>
        <v>0</v>
      </c>
      <c r="CU319" s="419">
        <f t="shared" si="255"/>
        <v>0</v>
      </c>
    </row>
    <row r="320" spans="1:99" ht="15" customHeight="1">
      <c r="A320" s="6158"/>
      <c r="B320" s="1947" t="s">
        <v>955</v>
      </c>
      <c r="C320" s="408">
        <f t="shared" si="252"/>
        <v>0</v>
      </c>
      <c r="D320" s="1690">
        <f t="shared" si="256"/>
        <v>0</v>
      </c>
      <c r="E320" s="1438">
        <f t="shared" si="256"/>
        <v>0</v>
      </c>
      <c r="F320" s="1440"/>
      <c r="G320" s="1680"/>
      <c r="H320" s="1440"/>
      <c r="I320" s="1680"/>
      <c r="J320" s="1440"/>
      <c r="K320" s="1680"/>
      <c r="L320" s="1440"/>
      <c r="M320" s="1680"/>
      <c r="N320" s="1440"/>
      <c r="O320" s="1443"/>
      <c r="P320" s="1440"/>
      <c r="Q320" s="1680"/>
      <c r="R320" s="1441"/>
      <c r="S320" s="1443"/>
      <c r="T320" s="1440"/>
      <c r="U320" s="1680"/>
      <c r="V320" s="1441"/>
      <c r="W320" s="1443"/>
      <c r="X320" s="1440"/>
      <c r="Y320" s="1680"/>
      <c r="Z320" s="1441"/>
      <c r="AA320" s="1443"/>
      <c r="AB320" s="1440"/>
      <c r="AC320" s="1680"/>
      <c r="AD320" s="1441"/>
      <c r="AE320" s="1443"/>
      <c r="AF320" s="1440"/>
      <c r="AG320" s="1680"/>
      <c r="AH320" s="1441"/>
      <c r="AI320" s="1443"/>
      <c r="AJ320" s="1440"/>
      <c r="AK320" s="1680"/>
      <c r="AL320" s="1441"/>
      <c r="AM320" s="1444"/>
      <c r="AN320" s="1441"/>
      <c r="AO320" s="1441"/>
      <c r="AP320" s="1452"/>
      <c r="AQ320" s="1440"/>
      <c r="AR320" s="1452"/>
      <c r="AS320" s="1446"/>
      <c r="AT320" s="1948"/>
      <c r="AU320" s="1441"/>
      <c r="AV320" s="1452"/>
      <c r="AW320" t="str">
        <f t="shared" si="241"/>
        <v/>
      </c>
      <c r="CA320" s="1418" t="str">
        <f t="shared" si="242"/>
        <v/>
      </c>
      <c r="CB320" s="1708" t="str">
        <f t="shared" si="243"/>
        <v/>
      </c>
      <c r="CC320" s="1708" t="str">
        <f t="shared" si="257"/>
        <v/>
      </c>
      <c r="CD320" s="1708" t="str">
        <f t="shared" si="244"/>
        <v/>
      </c>
      <c r="CE320" s="1708" t="str">
        <f t="shared" si="245"/>
        <v/>
      </c>
      <c r="CF320" s="1708" t="str">
        <f t="shared" si="246"/>
        <v/>
      </c>
      <c r="CG320" s="1708" t="str">
        <f t="shared" si="247"/>
        <v/>
      </c>
      <c r="CO320" s="419">
        <f t="shared" si="248"/>
        <v>0</v>
      </c>
      <c r="CP320" s="419">
        <f t="shared" si="249"/>
        <v>0</v>
      </c>
      <c r="CQ320" s="419">
        <f t="shared" si="258"/>
        <v>0</v>
      </c>
      <c r="CR320" s="419">
        <f t="shared" si="250"/>
        <v>0</v>
      </c>
      <c r="CS320" s="419">
        <f t="shared" si="251"/>
        <v>0</v>
      </c>
      <c r="CT320" s="419">
        <f t="shared" si="254"/>
        <v>0</v>
      </c>
      <c r="CU320" s="419">
        <f t="shared" si="255"/>
        <v>0</v>
      </c>
    </row>
    <row r="321" spans="1:99" ht="15" customHeight="1">
      <c r="A321" s="6158"/>
      <c r="B321" s="1947" t="s">
        <v>956</v>
      </c>
      <c r="C321" s="408">
        <f t="shared" si="252"/>
        <v>0</v>
      </c>
      <c r="D321" s="1690">
        <f t="shared" si="256"/>
        <v>0</v>
      </c>
      <c r="E321" s="1438">
        <f t="shared" si="256"/>
        <v>0</v>
      </c>
      <c r="F321" s="1440"/>
      <c r="G321" s="1680"/>
      <c r="H321" s="1440"/>
      <c r="I321" s="1680"/>
      <c r="J321" s="1440"/>
      <c r="K321" s="1680"/>
      <c r="L321" s="1440"/>
      <c r="M321" s="1680"/>
      <c r="N321" s="1440"/>
      <c r="O321" s="1443"/>
      <c r="P321" s="1440"/>
      <c r="Q321" s="1680"/>
      <c r="R321" s="1441"/>
      <c r="S321" s="1443"/>
      <c r="T321" s="1440"/>
      <c r="U321" s="1680"/>
      <c r="V321" s="1441"/>
      <c r="W321" s="1443"/>
      <c r="X321" s="1440"/>
      <c r="Y321" s="1680"/>
      <c r="Z321" s="1441"/>
      <c r="AA321" s="1443"/>
      <c r="AB321" s="1440"/>
      <c r="AC321" s="1680"/>
      <c r="AD321" s="1441"/>
      <c r="AE321" s="1443"/>
      <c r="AF321" s="1440"/>
      <c r="AG321" s="1680"/>
      <c r="AH321" s="1441"/>
      <c r="AI321" s="1443"/>
      <c r="AJ321" s="1440"/>
      <c r="AK321" s="1680"/>
      <c r="AL321" s="1441"/>
      <c r="AM321" s="1444"/>
      <c r="AN321" s="1441"/>
      <c r="AO321" s="1441"/>
      <c r="AP321" s="1452"/>
      <c r="AQ321" s="1440"/>
      <c r="AR321" s="1452"/>
      <c r="AS321" s="1446"/>
      <c r="AT321" s="1948"/>
      <c r="AU321" s="1441"/>
      <c r="AV321" s="1452"/>
      <c r="AW321" t="str">
        <f t="shared" si="241"/>
        <v/>
      </c>
      <c r="CA321" s="1418" t="str">
        <f t="shared" si="242"/>
        <v/>
      </c>
      <c r="CB321" s="1708" t="str">
        <f t="shared" si="243"/>
        <v/>
      </c>
      <c r="CC321" s="1708" t="str">
        <f t="shared" si="257"/>
        <v/>
      </c>
      <c r="CD321" s="1708" t="str">
        <f t="shared" si="244"/>
        <v/>
      </c>
      <c r="CE321" s="1708" t="str">
        <f t="shared" si="245"/>
        <v/>
      </c>
      <c r="CF321" s="1708" t="str">
        <f t="shared" si="246"/>
        <v/>
      </c>
      <c r="CG321" s="1708" t="str">
        <f t="shared" si="247"/>
        <v/>
      </c>
      <c r="CO321" s="419">
        <f t="shared" si="248"/>
        <v>0</v>
      </c>
      <c r="CP321" s="419">
        <f t="shared" si="249"/>
        <v>0</v>
      </c>
      <c r="CQ321" s="419">
        <f t="shared" si="258"/>
        <v>0</v>
      </c>
      <c r="CR321" s="419">
        <f t="shared" si="250"/>
        <v>0</v>
      </c>
      <c r="CS321" s="419">
        <f t="shared" si="251"/>
        <v>0</v>
      </c>
      <c r="CT321" s="419">
        <f t="shared" si="254"/>
        <v>0</v>
      </c>
      <c r="CU321" s="419">
        <f t="shared" si="255"/>
        <v>0</v>
      </c>
    </row>
    <row r="322" spans="1:99" ht="15" customHeight="1">
      <c r="A322" s="6158"/>
      <c r="B322" s="1947" t="s">
        <v>957</v>
      </c>
      <c r="C322" s="408">
        <f t="shared" si="252"/>
        <v>0</v>
      </c>
      <c r="D322" s="1690">
        <f t="shared" si="256"/>
        <v>0</v>
      </c>
      <c r="E322" s="1438">
        <f t="shared" si="256"/>
        <v>0</v>
      </c>
      <c r="F322" s="1440"/>
      <c r="G322" s="1680"/>
      <c r="H322" s="1440"/>
      <c r="I322" s="1680"/>
      <c r="J322" s="1440"/>
      <c r="K322" s="1680"/>
      <c r="L322" s="1440"/>
      <c r="M322" s="1680"/>
      <c r="N322" s="1440"/>
      <c r="O322" s="1443"/>
      <c r="P322" s="1440"/>
      <c r="Q322" s="1680"/>
      <c r="R322" s="1441"/>
      <c r="S322" s="1443"/>
      <c r="T322" s="1440"/>
      <c r="U322" s="1680"/>
      <c r="V322" s="1441"/>
      <c r="W322" s="1443"/>
      <c r="X322" s="1440"/>
      <c r="Y322" s="1680"/>
      <c r="Z322" s="1441"/>
      <c r="AA322" s="1443"/>
      <c r="AB322" s="1440"/>
      <c r="AC322" s="1680"/>
      <c r="AD322" s="1441"/>
      <c r="AE322" s="1443"/>
      <c r="AF322" s="1440"/>
      <c r="AG322" s="1680"/>
      <c r="AH322" s="1441"/>
      <c r="AI322" s="1443"/>
      <c r="AJ322" s="1440"/>
      <c r="AK322" s="1680"/>
      <c r="AL322" s="1441"/>
      <c r="AM322" s="1444"/>
      <c r="AN322" s="1441"/>
      <c r="AO322" s="1441"/>
      <c r="AP322" s="1452"/>
      <c r="AQ322" s="1440"/>
      <c r="AR322" s="1452"/>
      <c r="AS322" s="1446"/>
      <c r="AT322" s="1948"/>
      <c r="AU322" s="1441"/>
      <c r="AV322" s="1452"/>
      <c r="AW322" t="str">
        <f t="shared" si="241"/>
        <v/>
      </c>
      <c r="CA322" s="1418" t="str">
        <f t="shared" si="242"/>
        <v/>
      </c>
      <c r="CB322" s="1708" t="str">
        <f t="shared" si="243"/>
        <v/>
      </c>
      <c r="CC322" s="1708" t="str">
        <f t="shared" si="257"/>
        <v/>
      </c>
      <c r="CD322" s="1708" t="str">
        <f t="shared" si="244"/>
        <v/>
      </c>
      <c r="CE322" s="1708" t="str">
        <f t="shared" si="245"/>
        <v/>
      </c>
      <c r="CF322" s="1708" t="str">
        <f t="shared" si="246"/>
        <v/>
      </c>
      <c r="CG322" s="1708" t="str">
        <f t="shared" si="247"/>
        <v/>
      </c>
      <c r="CO322" s="419">
        <f t="shared" si="248"/>
        <v>0</v>
      </c>
      <c r="CP322" s="419">
        <f t="shared" si="249"/>
        <v>0</v>
      </c>
      <c r="CQ322" s="419">
        <f t="shared" si="258"/>
        <v>0</v>
      </c>
      <c r="CR322" s="419">
        <f t="shared" si="250"/>
        <v>0</v>
      </c>
      <c r="CS322" s="419">
        <f t="shared" si="251"/>
        <v>0</v>
      </c>
      <c r="CT322" s="419">
        <f t="shared" si="254"/>
        <v>0</v>
      </c>
      <c r="CU322" s="419">
        <f t="shared" si="255"/>
        <v>0</v>
      </c>
    </row>
    <row r="323" spans="1:99" ht="15" customHeight="1">
      <c r="A323" s="6158"/>
      <c r="B323" s="1947" t="s">
        <v>958</v>
      </c>
      <c r="C323" s="408">
        <f t="shared" si="252"/>
        <v>0</v>
      </c>
      <c r="D323" s="1690">
        <f t="shared" si="256"/>
        <v>0</v>
      </c>
      <c r="E323" s="1438">
        <f t="shared" si="256"/>
        <v>0</v>
      </c>
      <c r="F323" s="1440"/>
      <c r="G323" s="1680"/>
      <c r="H323" s="1440"/>
      <c r="I323" s="1680"/>
      <c r="J323" s="1440"/>
      <c r="K323" s="1680"/>
      <c r="L323" s="1440"/>
      <c r="M323" s="1680"/>
      <c r="N323" s="1440"/>
      <c r="O323" s="1443"/>
      <c r="P323" s="1440"/>
      <c r="Q323" s="1680"/>
      <c r="R323" s="1441"/>
      <c r="S323" s="1443"/>
      <c r="T323" s="1440"/>
      <c r="U323" s="1680"/>
      <c r="V323" s="1441"/>
      <c r="W323" s="1443"/>
      <c r="X323" s="1440"/>
      <c r="Y323" s="1680"/>
      <c r="Z323" s="1441"/>
      <c r="AA323" s="1443"/>
      <c r="AB323" s="1440"/>
      <c r="AC323" s="1680"/>
      <c r="AD323" s="1441"/>
      <c r="AE323" s="1443"/>
      <c r="AF323" s="1440"/>
      <c r="AG323" s="1680"/>
      <c r="AH323" s="1441"/>
      <c r="AI323" s="1443"/>
      <c r="AJ323" s="1440"/>
      <c r="AK323" s="1680"/>
      <c r="AL323" s="1441"/>
      <c r="AM323" s="1444"/>
      <c r="AN323" s="1441"/>
      <c r="AO323" s="1441"/>
      <c r="AP323" s="1452"/>
      <c r="AQ323" s="1440"/>
      <c r="AR323" s="1452"/>
      <c r="AS323" s="1446"/>
      <c r="AT323" s="1948"/>
      <c r="AU323" s="1441"/>
      <c r="AV323" s="1452"/>
      <c r="AW323" t="str">
        <f t="shared" si="241"/>
        <v/>
      </c>
      <c r="CA323" s="1418" t="str">
        <f t="shared" si="242"/>
        <v/>
      </c>
      <c r="CB323" s="1708" t="str">
        <f t="shared" si="243"/>
        <v/>
      </c>
      <c r="CC323" s="1708" t="str">
        <f t="shared" si="257"/>
        <v/>
      </c>
      <c r="CD323" s="1708" t="str">
        <f t="shared" si="244"/>
        <v/>
      </c>
      <c r="CE323" s="1708" t="str">
        <f t="shared" si="245"/>
        <v/>
      </c>
      <c r="CF323" s="1708" t="str">
        <f t="shared" si="246"/>
        <v/>
      </c>
      <c r="CG323" s="1708" t="str">
        <f t="shared" si="247"/>
        <v/>
      </c>
      <c r="CO323" s="419">
        <f t="shared" si="248"/>
        <v>0</v>
      </c>
      <c r="CP323" s="419">
        <f t="shared" si="249"/>
        <v>0</v>
      </c>
      <c r="CQ323" s="419">
        <f t="shared" si="258"/>
        <v>0</v>
      </c>
      <c r="CR323" s="419">
        <f t="shared" si="250"/>
        <v>0</v>
      </c>
      <c r="CS323" s="419">
        <f t="shared" si="251"/>
        <v>0</v>
      </c>
      <c r="CT323" s="419">
        <f t="shared" si="254"/>
        <v>0</v>
      </c>
      <c r="CU323" s="419">
        <f t="shared" si="255"/>
        <v>0</v>
      </c>
    </row>
    <row r="324" spans="1:99" ht="15" customHeight="1">
      <c r="A324" s="6159"/>
      <c r="B324" s="1505" t="s">
        <v>959</v>
      </c>
      <c r="C324" s="429">
        <f t="shared" si="252"/>
        <v>0</v>
      </c>
      <c r="D324" s="1713">
        <f t="shared" si="256"/>
        <v>0</v>
      </c>
      <c r="E324" s="1453">
        <f t="shared" si="256"/>
        <v>0</v>
      </c>
      <c r="F324" s="1455"/>
      <c r="G324" s="1684"/>
      <c r="H324" s="1455"/>
      <c r="I324" s="1684"/>
      <c r="J324" s="1455"/>
      <c r="K324" s="1684"/>
      <c r="L324" s="1455"/>
      <c r="M324" s="1684"/>
      <c r="N324" s="1455"/>
      <c r="O324" s="1458"/>
      <c r="P324" s="1455"/>
      <c r="Q324" s="1684"/>
      <c r="R324" s="1456"/>
      <c r="S324" s="1458"/>
      <c r="T324" s="1455"/>
      <c r="U324" s="1684"/>
      <c r="V324" s="1456"/>
      <c r="W324" s="1458"/>
      <c r="X324" s="1455"/>
      <c r="Y324" s="1684"/>
      <c r="Z324" s="1456"/>
      <c r="AA324" s="1458"/>
      <c r="AB324" s="1455"/>
      <c r="AC324" s="1684"/>
      <c r="AD324" s="1456"/>
      <c r="AE324" s="1458"/>
      <c r="AF324" s="1455"/>
      <c r="AG324" s="1684"/>
      <c r="AH324" s="1456"/>
      <c r="AI324" s="1458"/>
      <c r="AJ324" s="1455"/>
      <c r="AK324" s="1684"/>
      <c r="AL324" s="1456"/>
      <c r="AM324" s="1459"/>
      <c r="AN324" s="1456"/>
      <c r="AO324" s="1456"/>
      <c r="AP324" s="1467"/>
      <c r="AQ324" s="1455"/>
      <c r="AR324" s="1467"/>
      <c r="AS324" s="1461"/>
      <c r="AT324" s="1951"/>
      <c r="AU324" s="1456"/>
      <c r="AV324" s="1467"/>
      <c r="AW324" t="str">
        <f t="shared" si="241"/>
        <v/>
      </c>
      <c r="CA324" s="1418" t="str">
        <f t="shared" si="242"/>
        <v/>
      </c>
      <c r="CB324" s="1708" t="str">
        <f t="shared" si="243"/>
        <v/>
      </c>
      <c r="CC324" s="1708" t="str">
        <f t="shared" si="257"/>
        <v/>
      </c>
      <c r="CD324" s="1708" t="str">
        <f t="shared" si="244"/>
        <v/>
      </c>
      <c r="CE324" s="1708" t="str">
        <f t="shared" si="245"/>
        <v/>
      </c>
      <c r="CF324" s="1708" t="str">
        <f t="shared" si="246"/>
        <v/>
      </c>
      <c r="CG324" s="1708" t="str">
        <f t="shared" si="247"/>
        <v/>
      </c>
      <c r="CO324" s="419">
        <f t="shared" si="248"/>
        <v>0</v>
      </c>
      <c r="CP324" s="419">
        <f t="shared" si="249"/>
        <v>0</v>
      </c>
      <c r="CQ324" s="419">
        <f t="shared" si="258"/>
        <v>0</v>
      </c>
      <c r="CR324" s="419">
        <f t="shared" si="250"/>
        <v>0</v>
      </c>
      <c r="CS324" s="419">
        <f t="shared" si="251"/>
        <v>0</v>
      </c>
      <c r="CT324" s="419">
        <f t="shared" si="254"/>
        <v>0</v>
      </c>
      <c r="CU324" s="419">
        <f t="shared" si="255"/>
        <v>0</v>
      </c>
    </row>
    <row r="325" spans="1:99" s="385" customFormat="1" ht="18" customHeight="1">
      <c r="A325" s="1468" t="s">
        <v>961</v>
      </c>
      <c r="B325" s="1665"/>
      <c r="C325" s="1493"/>
      <c r="D325" s="1493"/>
      <c r="E325" s="1493"/>
      <c r="F325" s="1493"/>
      <c r="G325" s="1493"/>
      <c r="H325" s="1493"/>
      <c r="I325" s="1493"/>
      <c r="J325" s="1493"/>
      <c r="K325" s="1493"/>
      <c r="L325" s="1493"/>
      <c r="M325" s="1493"/>
      <c r="N325" s="1493"/>
      <c r="O325" s="1493"/>
      <c r="P325" s="1493"/>
      <c r="Q325" s="1493"/>
      <c r="R325" s="1493"/>
      <c r="S325" s="1493"/>
      <c r="T325" s="1493"/>
      <c r="U325" s="1493"/>
      <c r="V325" s="1493"/>
      <c r="W325" s="1493"/>
      <c r="X325" s="1493"/>
      <c r="Y325" s="1493"/>
      <c r="Z325" s="1493"/>
      <c r="AA325" s="1493"/>
      <c r="AB325" s="1493"/>
      <c r="AC325" s="1493"/>
      <c r="AD325" s="1493"/>
      <c r="AE325" s="1493"/>
      <c r="AF325" s="1493"/>
      <c r="AG325" s="1493"/>
      <c r="AH325" s="1493"/>
      <c r="AI325" s="1493"/>
      <c r="AJ325" s="1493"/>
      <c r="AK325" s="1493"/>
      <c r="AL325" s="1493"/>
      <c r="AM325" s="1493"/>
      <c r="AN325" s="1493"/>
      <c r="AO325" s="1493"/>
      <c r="AP325" s="1493"/>
      <c r="AQ325" s="1493"/>
      <c r="AR325" s="1493"/>
      <c r="AS325" s="1493"/>
      <c r="AT325" s="1493"/>
      <c r="AU325" s="1493"/>
      <c r="AV325" s="1493"/>
      <c r="AW325" s="1960"/>
    </row>
    <row r="326" spans="1:99" ht="15" customHeight="1">
      <c r="A326" s="6140" t="s">
        <v>305</v>
      </c>
      <c r="B326" s="6119"/>
      <c r="C326" s="6152" t="s">
        <v>209</v>
      </c>
      <c r="D326" s="6153"/>
      <c r="E326" s="6154"/>
      <c r="F326" s="5707" t="s">
        <v>115</v>
      </c>
      <c r="G326" s="5708"/>
      <c r="H326" s="5708"/>
      <c r="I326" s="5708"/>
      <c r="J326" s="5708"/>
      <c r="K326" s="5708"/>
      <c r="L326" s="5708"/>
      <c r="M326" s="5708"/>
      <c r="N326" s="5708"/>
      <c r="O326" s="5708"/>
      <c r="P326" s="5708"/>
      <c r="Q326" s="5708"/>
      <c r="R326" s="5708"/>
      <c r="S326" s="5708"/>
      <c r="T326" s="5708"/>
      <c r="U326" s="5708"/>
      <c r="V326" s="5708"/>
      <c r="W326" s="5708"/>
      <c r="X326" s="5708"/>
      <c r="Y326" s="5708"/>
      <c r="Z326" s="5708"/>
      <c r="AA326" s="5708"/>
      <c r="AB326" s="5708"/>
      <c r="AC326" s="5708"/>
      <c r="AD326" s="5708"/>
      <c r="AE326" s="5708"/>
      <c r="AF326" s="5708"/>
      <c r="AG326" s="5708"/>
      <c r="AH326" s="5708"/>
      <c r="AI326" s="5708"/>
      <c r="AJ326" s="5708"/>
      <c r="AK326" s="5708"/>
      <c r="AL326" s="5708"/>
      <c r="AM326" s="5708"/>
      <c r="AN326" s="5708"/>
      <c r="AO326" s="5708"/>
      <c r="AP326" s="5708"/>
      <c r="AQ326" s="6147"/>
      <c r="AR326" s="6139" t="s">
        <v>478</v>
      </c>
      <c r="AS326" s="6119"/>
      <c r="AT326" s="5718" t="s">
        <v>50</v>
      </c>
      <c r="AU326" s="6232" t="s">
        <v>51</v>
      </c>
      <c r="AV326" s="6133" t="s">
        <v>48</v>
      </c>
      <c r="AW326" s="6119" t="s">
        <v>49</v>
      </c>
    </row>
    <row r="327" spans="1:99">
      <c r="A327" s="6141"/>
      <c r="B327" s="6120"/>
      <c r="C327" s="6155"/>
      <c r="D327" s="6156"/>
      <c r="E327" s="6157"/>
      <c r="F327" s="5710" t="s">
        <v>962</v>
      </c>
      <c r="G327" s="6106"/>
      <c r="H327" s="5710" t="s">
        <v>963</v>
      </c>
      <c r="I327" s="6106"/>
      <c r="J327" s="5710" t="s">
        <v>964</v>
      </c>
      <c r="K327" s="6106"/>
      <c r="L327" s="5710" t="s">
        <v>965</v>
      </c>
      <c r="M327" s="6106"/>
      <c r="N327" s="5710" t="s">
        <v>347</v>
      </c>
      <c r="O327" s="6106"/>
      <c r="P327" s="5710" t="s">
        <v>108</v>
      </c>
      <c r="Q327" s="6106"/>
      <c r="R327" s="5710" t="s">
        <v>58</v>
      </c>
      <c r="S327" s="6106"/>
      <c r="T327" s="5710" t="s">
        <v>59</v>
      </c>
      <c r="U327" s="6106"/>
      <c r="V327" s="5710" t="s">
        <v>60</v>
      </c>
      <c r="W327" s="5712"/>
      <c r="X327" s="5710" t="s">
        <v>61</v>
      </c>
      <c r="Y327" s="5712"/>
      <c r="Z327" s="5710" t="s">
        <v>62</v>
      </c>
      <c r="AA327" s="5712"/>
      <c r="AB327" s="5710" t="s">
        <v>63</v>
      </c>
      <c r="AC327" s="5712"/>
      <c r="AD327" s="5710" t="s">
        <v>64</v>
      </c>
      <c r="AE327" s="5712"/>
      <c r="AF327" s="5710" t="s">
        <v>65</v>
      </c>
      <c r="AG327" s="5712"/>
      <c r="AH327" s="5710" t="s">
        <v>66</v>
      </c>
      <c r="AI327" s="5712"/>
      <c r="AJ327" s="5710" t="s">
        <v>67</v>
      </c>
      <c r="AK327" s="5712"/>
      <c r="AL327" s="5710" t="s">
        <v>68</v>
      </c>
      <c r="AM327" s="5712"/>
      <c r="AN327" s="5710" t="s">
        <v>69</v>
      </c>
      <c r="AO327" s="5712"/>
      <c r="AP327" s="5710" t="s">
        <v>966</v>
      </c>
      <c r="AQ327" s="5716"/>
      <c r="AR327" s="6115"/>
      <c r="AS327" s="6116"/>
      <c r="AT327" s="6110"/>
      <c r="AU327" s="6233"/>
      <c r="AV327" s="6235"/>
      <c r="AW327" s="6120"/>
    </row>
    <row r="328" spans="1:99" ht="39" customHeight="1">
      <c r="A328" s="6114"/>
      <c r="B328" s="6116"/>
      <c r="C328" s="1395" t="s">
        <v>93</v>
      </c>
      <c r="D328" s="1702" t="s">
        <v>72</v>
      </c>
      <c r="E328" s="1962" t="s">
        <v>73</v>
      </c>
      <c r="F328" s="1395" t="s">
        <v>482</v>
      </c>
      <c r="G328" s="1584" t="s">
        <v>73</v>
      </c>
      <c r="H328" s="1395" t="s">
        <v>482</v>
      </c>
      <c r="I328" s="1584" t="s">
        <v>73</v>
      </c>
      <c r="J328" s="1395" t="s">
        <v>482</v>
      </c>
      <c r="K328" s="1584" t="s">
        <v>73</v>
      </c>
      <c r="L328" s="1395" t="s">
        <v>482</v>
      </c>
      <c r="M328" s="1584" t="s">
        <v>73</v>
      </c>
      <c r="N328" s="1395" t="s">
        <v>482</v>
      </c>
      <c r="O328" s="1584" t="s">
        <v>73</v>
      </c>
      <c r="P328" s="1395" t="s">
        <v>482</v>
      </c>
      <c r="Q328" s="1584" t="s">
        <v>73</v>
      </c>
      <c r="R328" s="1395" t="s">
        <v>482</v>
      </c>
      <c r="S328" s="1584" t="s">
        <v>73</v>
      </c>
      <c r="T328" s="1395" t="s">
        <v>482</v>
      </c>
      <c r="U328" s="1584" t="s">
        <v>73</v>
      </c>
      <c r="V328" s="1395" t="s">
        <v>482</v>
      </c>
      <c r="W328" s="1584" t="s">
        <v>73</v>
      </c>
      <c r="X328" s="1395" t="s">
        <v>482</v>
      </c>
      <c r="Y328" s="1584" t="s">
        <v>73</v>
      </c>
      <c r="Z328" s="1395" t="s">
        <v>482</v>
      </c>
      <c r="AA328" s="1584" t="s">
        <v>73</v>
      </c>
      <c r="AB328" s="1395" t="s">
        <v>482</v>
      </c>
      <c r="AC328" s="1584" t="s">
        <v>73</v>
      </c>
      <c r="AD328" s="1395" t="s">
        <v>482</v>
      </c>
      <c r="AE328" s="1584" t="s">
        <v>73</v>
      </c>
      <c r="AF328" s="1395" t="s">
        <v>482</v>
      </c>
      <c r="AG328" s="1584" t="s">
        <v>73</v>
      </c>
      <c r="AH328" s="1395" t="s">
        <v>482</v>
      </c>
      <c r="AI328" s="1584" t="s">
        <v>73</v>
      </c>
      <c r="AJ328" s="1395" t="s">
        <v>482</v>
      </c>
      <c r="AK328" s="1584" t="s">
        <v>73</v>
      </c>
      <c r="AL328" s="1395" t="s">
        <v>482</v>
      </c>
      <c r="AM328" s="1584" t="s">
        <v>73</v>
      </c>
      <c r="AN328" s="1395" t="s">
        <v>482</v>
      </c>
      <c r="AO328" s="1584" t="s">
        <v>73</v>
      </c>
      <c r="AP328" s="1395" t="s">
        <v>482</v>
      </c>
      <c r="AQ328" s="1398" t="s">
        <v>73</v>
      </c>
      <c r="AR328" s="1733" t="s">
        <v>483</v>
      </c>
      <c r="AS328" s="1584" t="s">
        <v>484</v>
      </c>
      <c r="AT328" s="5719"/>
      <c r="AU328" s="6234"/>
      <c r="AV328" s="6134"/>
      <c r="AW328" s="6116"/>
    </row>
    <row r="329" spans="1:99">
      <c r="A329" s="6127" t="s">
        <v>967</v>
      </c>
      <c r="B329" s="1672" t="s">
        <v>476</v>
      </c>
      <c r="C329" s="1687">
        <f>SUM(E329)</f>
        <v>0</v>
      </c>
      <c r="D329" s="1503"/>
      <c r="E329" s="410">
        <f>+Q329+S329+U329+W329+Y329+AA329+AC329+AE329+AG329+AI329</f>
        <v>0</v>
      </c>
      <c r="F329" s="1964"/>
      <c r="G329" s="1896"/>
      <c r="H329" s="1896"/>
      <c r="I329" s="1896"/>
      <c r="J329" s="1896"/>
      <c r="K329" s="1896"/>
      <c r="L329" s="1896"/>
      <c r="M329" s="1896"/>
      <c r="N329" s="1896"/>
      <c r="O329" s="1896"/>
      <c r="P329" s="1557"/>
      <c r="Q329" s="1425"/>
      <c r="R329" s="1814"/>
      <c r="S329" s="1425"/>
      <c r="T329" s="1814"/>
      <c r="U329" s="1425"/>
      <c r="V329" s="1814"/>
      <c r="W329" s="1425"/>
      <c r="X329" s="1814"/>
      <c r="Y329" s="1425"/>
      <c r="Z329" s="1814"/>
      <c r="AA329" s="1425"/>
      <c r="AB329" s="1814"/>
      <c r="AC329" s="1425"/>
      <c r="AD329" s="1814"/>
      <c r="AE329" s="1425"/>
      <c r="AF329" s="1814"/>
      <c r="AG329" s="1425"/>
      <c r="AH329" s="1814"/>
      <c r="AI329" s="1425"/>
      <c r="AJ329" s="1814"/>
      <c r="AK329" s="1557"/>
      <c r="AL329" s="1814"/>
      <c r="AM329" s="1557"/>
      <c r="AN329" s="1814"/>
      <c r="AO329" s="1557"/>
      <c r="AP329" s="1814"/>
      <c r="AQ329" s="1898"/>
      <c r="AR329" s="1425"/>
      <c r="AS329" s="1896"/>
      <c r="AT329" s="1430"/>
      <c r="AU329" s="1965"/>
      <c r="AV329" s="1425"/>
      <c r="AW329" s="1436"/>
      <c r="AX329" t="str">
        <f t="shared" ref="AX329:AX339" si="259">CA329&amp;CB329&amp;CC329&amp;CD329&amp;CE329&amp;CF329</f>
        <v/>
      </c>
      <c r="CA329" s="1418" t="str">
        <f t="shared" ref="CA329:CA339" si="260">IF(AND(E329&gt;0,OR(AR329="")),"* No olvide digitar la variable Trans (masculino). Digite Cero si no tiene.",IF(AR329&gt;E329," * La variable Trans (masculino) No puede ser mayor al Total Mujeres.",""))</f>
        <v/>
      </c>
      <c r="CB329" s="1868"/>
      <c r="CC329" s="1418" t="str">
        <f t="shared" ref="CC329:CC339" si="261">IF(AND(C329&gt;0,AT329="")," * No olvide digitar la variable Pueblos originarios. Digite Cero si no tiene.",IF(AT329&gt;C329," * La variable Pueblos originarios No puede ser mayor al Total Ambos Sexos.",""))</f>
        <v/>
      </c>
      <c r="CD329" s="1418" t="str">
        <f t="shared" ref="CD329:CD339" si="262">IF(AND(C329&gt;0,AU329="")," * No olvide digitar la variable Migrantes. Digite Cero si no tiene.",IF(AU329&gt;C329," * La variable Migrantes No puede ser mayor al Total Ambos Sexos.",""))</f>
        <v/>
      </c>
      <c r="CE329" s="1418" t="str">
        <f t="shared" ref="CE329:CE339" si="263">IF(AND(C329&gt;0,AV329="")," * No olvide digitar la variable SENAME/ Servicio Nacional de Reinserción social Juvenil . Digite Cero si no tiene.",IF(AV329&gt;C329," * La variable SENAME/ Servicio Nacional de Reinserción social Juvenil No puede ser mayor al Total Ambos Sexos.",""))</f>
        <v/>
      </c>
      <c r="CF329" s="1418" t="str">
        <f t="shared" ref="CF329:CF339" si="264">IF(AND(C329&gt;0,AW329="")," * No olvide digitar la variable Servicio Nacional Protección Especializada a la Niñez y Adolescencia. Digite Cero si no tiene.",IF(AW329&gt;C329," * La variable Servicio Nacional Protección Especializada a la Niñez y Adolescencia No puede ser mayor al Total Ambos Sexos.",""))</f>
        <v/>
      </c>
      <c r="CO329" s="419">
        <f t="shared" ref="CO329:CO339" si="265">IF(AND(E329&gt;0,OR(AR329="")),1,IF(AR329&gt;E329,1,0))</f>
        <v>0</v>
      </c>
      <c r="CP329" s="1945"/>
      <c r="CQ329" s="419">
        <f t="shared" ref="CQ329:CQ339" si="266">IF(AND(C329&gt;0,AT329=""),1,IF(AT329&gt;C329,1,0))</f>
        <v>0</v>
      </c>
      <c r="CR329" s="419">
        <f t="shared" ref="CR329:CR339" si="267">IF(AND(C329&gt;0,AU329=""),1,IF(AU329&gt;C329,1,0))</f>
        <v>0</v>
      </c>
      <c r="CS329" s="419">
        <f t="shared" ref="CS329:CS339" si="268">IF(AND(C329&gt;0,AV329=""),1,IF(AV329&gt;C329,1,0))</f>
        <v>0</v>
      </c>
      <c r="CT329" s="419">
        <f t="shared" ref="CT329:CT339" si="269">IF(AND(C329&gt;0,AW329=""),1,IF(AW329&gt;C329,1,0))</f>
        <v>0</v>
      </c>
    </row>
    <row r="330" spans="1:99">
      <c r="A330" s="6129"/>
      <c r="B330" s="1799" t="s">
        <v>960</v>
      </c>
      <c r="C330" s="1695">
        <f t="shared" ref="C330:C346" si="270">SUM(D330+E330)</f>
        <v>0</v>
      </c>
      <c r="D330" s="1696">
        <f t="shared" ref="D330:E333" si="271">SUM(F330+H330+J330+L330+N330+P330+R330+T330+V330+X330+Z330+AB330+AD330+AF330+AH330+AJ330+AL330+AN330+AP330)</f>
        <v>0</v>
      </c>
      <c r="E330" s="1717">
        <f t="shared" si="271"/>
        <v>0</v>
      </c>
      <c r="F330" s="1517"/>
      <c r="G330" s="1881"/>
      <c r="H330" s="1517"/>
      <c r="I330" s="1881"/>
      <c r="J330" s="1517"/>
      <c r="K330" s="1523"/>
      <c r="L330" s="1517"/>
      <c r="M330" s="1770"/>
      <c r="N330" s="1517"/>
      <c r="O330" s="1523"/>
      <c r="P330" s="1517"/>
      <c r="Q330" s="1881"/>
      <c r="R330" s="1517"/>
      <c r="S330" s="1881"/>
      <c r="T330" s="1517"/>
      <c r="U330" s="1881"/>
      <c r="V330" s="1517"/>
      <c r="W330" s="1881"/>
      <c r="X330" s="1517"/>
      <c r="Y330" s="1881"/>
      <c r="Z330" s="1517"/>
      <c r="AA330" s="1881"/>
      <c r="AB330" s="1517"/>
      <c r="AC330" s="1881"/>
      <c r="AD330" s="1517"/>
      <c r="AE330" s="1881"/>
      <c r="AF330" s="1517"/>
      <c r="AG330" s="1881"/>
      <c r="AH330" s="1517"/>
      <c r="AI330" s="1881"/>
      <c r="AJ330" s="1517"/>
      <c r="AK330" s="1881"/>
      <c r="AL330" s="1517"/>
      <c r="AM330" s="1881"/>
      <c r="AN330" s="1517"/>
      <c r="AO330" s="1881"/>
      <c r="AP330" s="1517"/>
      <c r="AQ330" s="1908"/>
      <c r="AR330" s="1881"/>
      <c r="AS330" s="1523"/>
      <c r="AT330" s="1522"/>
      <c r="AU330" s="1966"/>
      <c r="AV330" s="1881"/>
      <c r="AW330" s="1523"/>
      <c r="AX330" t="str">
        <f t="shared" si="259"/>
        <v/>
      </c>
      <c r="CA330" s="1418" t="str">
        <f t="shared" si="260"/>
        <v/>
      </c>
      <c r="CB330" s="1418" t="str">
        <f t="shared" ref="CB330:CB339" si="272">IF(AND(D330&gt;0,OR(AS330="")),"* No olvide digitar la variable Trans (Femenino). Digite Cero si no tiene.",IF(AS330&gt;D330," * La variable Trans (Femenino) No puede ser mayor al Total Hombres.",""))</f>
        <v/>
      </c>
      <c r="CC330" s="1418" t="str">
        <f t="shared" si="261"/>
        <v/>
      </c>
      <c r="CD330" s="1418" t="str">
        <f t="shared" si="262"/>
        <v/>
      </c>
      <c r="CE330" s="1418" t="str">
        <f t="shared" si="263"/>
        <v/>
      </c>
      <c r="CF330" s="1418" t="str">
        <f t="shared" si="264"/>
        <v/>
      </c>
      <c r="CO330" s="419">
        <f t="shared" si="265"/>
        <v>0</v>
      </c>
      <c r="CP330" s="419">
        <f t="shared" ref="CP330:CP339" si="273">IF(AND(D330&gt;0,OR(AS330="")),1,IF(AS330&gt;D330,1,0))</f>
        <v>0</v>
      </c>
      <c r="CQ330" s="419">
        <f t="shared" si="266"/>
        <v>0</v>
      </c>
      <c r="CR330" s="419">
        <f t="shared" si="267"/>
        <v>0</v>
      </c>
      <c r="CS330" s="419">
        <f t="shared" si="268"/>
        <v>0</v>
      </c>
      <c r="CT330" s="419">
        <f t="shared" si="269"/>
        <v>0</v>
      </c>
    </row>
    <row r="331" spans="1:99">
      <c r="A331" s="6149" t="s">
        <v>968</v>
      </c>
      <c r="B331" s="6150"/>
      <c r="C331" s="401">
        <f t="shared" si="270"/>
        <v>0</v>
      </c>
      <c r="D331" s="1501">
        <f t="shared" si="271"/>
        <v>0</v>
      </c>
      <c r="E331" s="392">
        <f t="shared" si="271"/>
        <v>0</v>
      </c>
      <c r="F331" s="1475"/>
      <c r="G331" s="1585"/>
      <c r="H331" s="1475"/>
      <c r="I331" s="1585"/>
      <c r="J331" s="1475"/>
      <c r="K331" s="1539"/>
      <c r="L331" s="1475"/>
      <c r="M331" s="1477"/>
      <c r="N331" s="1475"/>
      <c r="O331" s="1539"/>
      <c r="P331" s="1475"/>
      <c r="Q331" s="1585"/>
      <c r="R331" s="1475"/>
      <c r="S331" s="1585"/>
      <c r="T331" s="1475"/>
      <c r="U331" s="1585"/>
      <c r="V331" s="1475"/>
      <c r="W331" s="1585"/>
      <c r="X331" s="1475"/>
      <c r="Y331" s="1585"/>
      <c r="Z331" s="1475"/>
      <c r="AA331" s="1585"/>
      <c r="AB331" s="1475"/>
      <c r="AC331" s="1585"/>
      <c r="AD331" s="1475"/>
      <c r="AE331" s="1585"/>
      <c r="AF331" s="1475"/>
      <c r="AG331" s="1585"/>
      <c r="AH331" s="1475"/>
      <c r="AI331" s="1585"/>
      <c r="AJ331" s="1475"/>
      <c r="AK331" s="1585"/>
      <c r="AL331" s="1475"/>
      <c r="AM331" s="1585"/>
      <c r="AN331" s="1475"/>
      <c r="AO331" s="1585"/>
      <c r="AP331" s="1475"/>
      <c r="AQ331" s="1967"/>
      <c r="AR331" s="1585"/>
      <c r="AS331" s="1539"/>
      <c r="AT331" s="1478"/>
      <c r="AU331" s="1968"/>
      <c r="AV331" s="1585"/>
      <c r="AW331" s="1539"/>
      <c r="AX331" t="str">
        <f t="shared" si="259"/>
        <v/>
      </c>
      <c r="CA331" s="1418" t="str">
        <f t="shared" si="260"/>
        <v/>
      </c>
      <c r="CB331" s="1418" t="str">
        <f t="shared" si="272"/>
        <v/>
      </c>
      <c r="CC331" s="1418" t="str">
        <f t="shared" si="261"/>
        <v/>
      </c>
      <c r="CD331" s="1418" t="str">
        <f t="shared" si="262"/>
        <v/>
      </c>
      <c r="CE331" s="1418" t="str">
        <f t="shared" si="263"/>
        <v/>
      </c>
      <c r="CF331" s="1418" t="str">
        <f t="shared" si="264"/>
        <v/>
      </c>
      <c r="CO331" s="419">
        <f t="shared" si="265"/>
        <v>0</v>
      </c>
      <c r="CP331" s="419">
        <f t="shared" si="273"/>
        <v>0</v>
      </c>
      <c r="CQ331" s="419">
        <f t="shared" si="266"/>
        <v>0</v>
      </c>
      <c r="CR331" s="419">
        <f t="shared" si="267"/>
        <v>0</v>
      </c>
      <c r="CS331" s="419">
        <f t="shared" si="268"/>
        <v>0</v>
      </c>
      <c r="CT331" s="419">
        <f t="shared" si="269"/>
        <v>0</v>
      </c>
    </row>
    <row r="332" spans="1:99">
      <c r="A332" s="6151" t="s">
        <v>969</v>
      </c>
      <c r="B332" s="6151"/>
      <c r="C332" s="401">
        <f t="shared" si="270"/>
        <v>0</v>
      </c>
      <c r="D332" s="1501">
        <f t="shared" si="271"/>
        <v>0</v>
      </c>
      <c r="E332" s="392">
        <f t="shared" si="271"/>
        <v>0</v>
      </c>
      <c r="F332" s="1475"/>
      <c r="G332" s="1585"/>
      <c r="H332" s="1475"/>
      <c r="I332" s="1585"/>
      <c r="J332" s="1475"/>
      <c r="K332" s="1539"/>
      <c r="L332" s="1475"/>
      <c r="M332" s="1477"/>
      <c r="N332" s="1475"/>
      <c r="O332" s="1539"/>
      <c r="P332" s="1475"/>
      <c r="Q332" s="1585"/>
      <c r="R332" s="1475"/>
      <c r="S332" s="1585"/>
      <c r="T332" s="1475"/>
      <c r="U332" s="1585"/>
      <c r="V332" s="1475"/>
      <c r="W332" s="1585"/>
      <c r="X332" s="1475"/>
      <c r="Y332" s="1585"/>
      <c r="Z332" s="1475"/>
      <c r="AA332" s="1585"/>
      <c r="AB332" s="1475"/>
      <c r="AC332" s="1585"/>
      <c r="AD332" s="1475"/>
      <c r="AE332" s="1585"/>
      <c r="AF332" s="1475"/>
      <c r="AG332" s="1585"/>
      <c r="AH332" s="1475"/>
      <c r="AI332" s="1585"/>
      <c r="AJ332" s="1475"/>
      <c r="AK332" s="1585"/>
      <c r="AL332" s="1475"/>
      <c r="AM332" s="1585"/>
      <c r="AN332" s="1475"/>
      <c r="AO332" s="1585"/>
      <c r="AP332" s="1475"/>
      <c r="AQ332" s="1967"/>
      <c r="AR332" s="1585"/>
      <c r="AS332" s="1539"/>
      <c r="AT332" s="1478"/>
      <c r="AU332" s="1968"/>
      <c r="AV332" s="1585"/>
      <c r="AW332" s="1539"/>
      <c r="AX332" t="str">
        <f t="shared" si="259"/>
        <v/>
      </c>
      <c r="CA332" s="1418" t="str">
        <f t="shared" si="260"/>
        <v/>
      </c>
      <c r="CB332" s="1418" t="str">
        <f t="shared" si="272"/>
        <v/>
      </c>
      <c r="CC332" s="1418" t="str">
        <f t="shared" si="261"/>
        <v/>
      </c>
      <c r="CD332" s="1418" t="str">
        <f t="shared" si="262"/>
        <v/>
      </c>
      <c r="CE332" s="1418" t="str">
        <f t="shared" si="263"/>
        <v/>
      </c>
      <c r="CF332" s="1418" t="str">
        <f t="shared" si="264"/>
        <v/>
      </c>
      <c r="CO332" s="419">
        <f t="shared" si="265"/>
        <v>0</v>
      </c>
      <c r="CP332" s="419">
        <f t="shared" si="273"/>
        <v>0</v>
      </c>
      <c r="CQ332" s="419">
        <f t="shared" si="266"/>
        <v>0</v>
      </c>
      <c r="CR332" s="419">
        <f t="shared" si="267"/>
        <v>0</v>
      </c>
      <c r="CS332" s="419">
        <f t="shared" si="268"/>
        <v>0</v>
      </c>
      <c r="CT332" s="419">
        <f t="shared" si="269"/>
        <v>0</v>
      </c>
    </row>
    <row r="333" spans="1:99">
      <c r="A333" s="6143" t="s">
        <v>970</v>
      </c>
      <c r="B333" s="6144"/>
      <c r="C333" s="1687">
        <f t="shared" si="270"/>
        <v>0</v>
      </c>
      <c r="D333" s="1688">
        <f t="shared" si="271"/>
        <v>0</v>
      </c>
      <c r="E333" s="1728">
        <f t="shared" si="271"/>
        <v>0</v>
      </c>
      <c r="F333" s="1480"/>
      <c r="G333" s="1796"/>
      <c r="H333" s="1480"/>
      <c r="I333" s="1796"/>
      <c r="J333" s="1480"/>
      <c r="K333" s="1545"/>
      <c r="L333" s="1480"/>
      <c r="M333" s="1482"/>
      <c r="N333" s="1480"/>
      <c r="O333" s="1545"/>
      <c r="P333" s="1480"/>
      <c r="Q333" s="1796"/>
      <c r="R333" s="1480"/>
      <c r="S333" s="1796"/>
      <c r="T333" s="1480"/>
      <c r="U333" s="1796"/>
      <c r="V333" s="1480"/>
      <c r="W333" s="1796"/>
      <c r="X333" s="1480"/>
      <c r="Y333" s="1796"/>
      <c r="Z333" s="1480"/>
      <c r="AA333" s="1796"/>
      <c r="AB333" s="1480"/>
      <c r="AC333" s="1796"/>
      <c r="AD333" s="1480"/>
      <c r="AE333" s="1796"/>
      <c r="AF333" s="1480"/>
      <c r="AG333" s="1796"/>
      <c r="AH333" s="1480"/>
      <c r="AI333" s="1796"/>
      <c r="AJ333" s="1480"/>
      <c r="AK333" s="1796"/>
      <c r="AL333" s="1480"/>
      <c r="AM333" s="1796"/>
      <c r="AN333" s="1480"/>
      <c r="AO333" s="1796"/>
      <c r="AP333" s="1480"/>
      <c r="AQ333" s="1725"/>
      <c r="AR333" s="1796"/>
      <c r="AS333" s="1545"/>
      <c r="AT333" s="1483"/>
      <c r="AU333" s="1943"/>
      <c r="AV333" s="1796"/>
      <c r="AW333" s="1545"/>
      <c r="AX333" t="str">
        <f t="shared" si="259"/>
        <v/>
      </c>
      <c r="CA333" s="1418" t="str">
        <f t="shared" si="260"/>
        <v/>
      </c>
      <c r="CB333" s="1418" t="str">
        <f t="shared" si="272"/>
        <v/>
      </c>
      <c r="CC333" s="1418" t="str">
        <f t="shared" si="261"/>
        <v/>
      </c>
      <c r="CD333" s="1418" t="str">
        <f t="shared" si="262"/>
        <v/>
      </c>
      <c r="CE333" s="1418" t="str">
        <f t="shared" si="263"/>
        <v/>
      </c>
      <c r="CF333" s="1418" t="str">
        <f t="shared" si="264"/>
        <v/>
      </c>
      <c r="CO333" s="419">
        <f t="shared" si="265"/>
        <v>0</v>
      </c>
      <c r="CP333" s="419">
        <f t="shared" si="273"/>
        <v>0</v>
      </c>
      <c r="CQ333" s="419">
        <f t="shared" si="266"/>
        <v>0</v>
      </c>
      <c r="CR333" s="419">
        <f t="shared" si="267"/>
        <v>0</v>
      </c>
      <c r="CS333" s="419">
        <f t="shared" si="268"/>
        <v>0</v>
      </c>
      <c r="CT333" s="419">
        <f t="shared" si="269"/>
        <v>0</v>
      </c>
    </row>
    <row r="334" spans="1:99">
      <c r="A334" s="6145" t="s">
        <v>971</v>
      </c>
      <c r="B334" s="6146"/>
      <c r="C334" s="429">
        <f t="shared" si="270"/>
        <v>0</v>
      </c>
      <c r="D334" s="1713">
        <f>SUM(F334+H334+J334+L334)</f>
        <v>0</v>
      </c>
      <c r="E334" s="431">
        <f>SUM(G334+I334+K334+M334)</f>
        <v>0</v>
      </c>
      <c r="F334" s="1455"/>
      <c r="G334" s="1456"/>
      <c r="H334" s="1455"/>
      <c r="I334" s="1456"/>
      <c r="J334" s="1455"/>
      <c r="K334" s="1467"/>
      <c r="L334" s="1455"/>
      <c r="M334" s="1490"/>
      <c r="N334" s="1969"/>
      <c r="O334" s="1970"/>
      <c r="P334" s="1970"/>
      <c r="Q334" s="1970"/>
      <c r="R334" s="1970"/>
      <c r="S334" s="1970"/>
      <c r="T334" s="1970"/>
      <c r="U334" s="1970"/>
      <c r="V334" s="1970"/>
      <c r="W334" s="1970"/>
      <c r="X334" s="1970"/>
      <c r="Y334" s="1970"/>
      <c r="Z334" s="1970"/>
      <c r="AA334" s="1970"/>
      <c r="AB334" s="1970"/>
      <c r="AC334" s="1970"/>
      <c r="AD334" s="1970"/>
      <c r="AE334" s="1970"/>
      <c r="AF334" s="1970"/>
      <c r="AG334" s="1970"/>
      <c r="AH334" s="1970"/>
      <c r="AI334" s="1970"/>
      <c r="AJ334" s="1970"/>
      <c r="AK334" s="1970"/>
      <c r="AL334" s="1970"/>
      <c r="AM334" s="1970"/>
      <c r="AN334" s="1970"/>
      <c r="AO334" s="1970"/>
      <c r="AP334" s="1970"/>
      <c r="AQ334" s="1970"/>
      <c r="AR334" s="1971"/>
      <c r="AS334" s="1766"/>
      <c r="AT334" s="1461"/>
      <c r="AU334" s="1951"/>
      <c r="AV334" s="1456"/>
      <c r="AW334" s="1467"/>
      <c r="AX334" t="str">
        <f t="shared" si="259"/>
        <v/>
      </c>
      <c r="CA334" s="1868"/>
      <c r="CB334" s="1868"/>
      <c r="CC334" s="1418" t="str">
        <f t="shared" si="261"/>
        <v/>
      </c>
      <c r="CD334" s="1418" t="str">
        <f t="shared" si="262"/>
        <v/>
      </c>
      <c r="CE334" s="1418" t="str">
        <f t="shared" si="263"/>
        <v/>
      </c>
      <c r="CF334" s="1418" t="str">
        <f t="shared" si="264"/>
        <v/>
      </c>
      <c r="CO334" s="1972"/>
      <c r="CP334" s="1945"/>
      <c r="CQ334" s="419">
        <f t="shared" si="266"/>
        <v>0</v>
      </c>
      <c r="CR334" s="419">
        <f t="shared" si="267"/>
        <v>0</v>
      </c>
      <c r="CS334" s="419">
        <f t="shared" si="268"/>
        <v>0</v>
      </c>
      <c r="CT334" s="419">
        <f t="shared" si="269"/>
        <v>0</v>
      </c>
    </row>
    <row r="335" spans="1:99">
      <c r="A335" s="6128" t="s">
        <v>972</v>
      </c>
      <c r="B335" s="1863" t="s">
        <v>973</v>
      </c>
      <c r="C335" s="1687">
        <f t="shared" si="270"/>
        <v>0</v>
      </c>
      <c r="D335" s="1688">
        <f t="shared" ref="D335:E339" si="274">SUM(F335+H335+J335+L335+N335+P335+R335+T335+V335+X335+Z335+AB335+AD335+AF335+AH335+AJ335+AL335+AN335+AP335)</f>
        <v>0</v>
      </c>
      <c r="E335" s="1728">
        <f t="shared" si="274"/>
        <v>0</v>
      </c>
      <c r="F335" s="1480"/>
      <c r="G335" s="1796"/>
      <c r="H335" s="1480"/>
      <c r="I335" s="1796"/>
      <c r="J335" s="1480"/>
      <c r="K335" s="1545"/>
      <c r="L335" s="1480"/>
      <c r="M335" s="1482"/>
      <c r="N335" s="1480"/>
      <c r="O335" s="1545"/>
      <c r="P335" s="1480"/>
      <c r="Q335" s="1796"/>
      <c r="R335" s="1480"/>
      <c r="S335" s="1796"/>
      <c r="T335" s="1480"/>
      <c r="U335" s="1796"/>
      <c r="V335" s="1480"/>
      <c r="W335" s="1796"/>
      <c r="X335" s="1480"/>
      <c r="Y335" s="1796"/>
      <c r="Z335" s="1480"/>
      <c r="AA335" s="1796"/>
      <c r="AB335" s="1480"/>
      <c r="AC335" s="1796"/>
      <c r="AD335" s="1480"/>
      <c r="AE335" s="1796"/>
      <c r="AF335" s="1480"/>
      <c r="AG335" s="1796"/>
      <c r="AH335" s="1480"/>
      <c r="AI335" s="1796"/>
      <c r="AJ335" s="1480"/>
      <c r="AK335" s="1796"/>
      <c r="AL335" s="1480"/>
      <c r="AM335" s="1796"/>
      <c r="AN335" s="1480"/>
      <c r="AO335" s="1796"/>
      <c r="AP335" s="1480"/>
      <c r="AQ335" s="1725"/>
      <c r="AR335" s="1796"/>
      <c r="AS335" s="1545"/>
      <c r="AT335" s="1483"/>
      <c r="AU335" s="1943"/>
      <c r="AV335" s="1796"/>
      <c r="AW335" s="1545"/>
      <c r="AX335" t="str">
        <f t="shared" si="259"/>
        <v/>
      </c>
      <c r="CA335" s="1418" t="str">
        <f t="shared" si="260"/>
        <v/>
      </c>
      <c r="CB335" s="1418" t="str">
        <f t="shared" si="272"/>
        <v/>
      </c>
      <c r="CC335" s="1418" t="str">
        <f t="shared" si="261"/>
        <v/>
      </c>
      <c r="CD335" s="1418" t="str">
        <f t="shared" si="262"/>
        <v/>
      </c>
      <c r="CE335" s="1418" t="str">
        <f t="shared" si="263"/>
        <v/>
      </c>
      <c r="CF335" s="1418" t="str">
        <f t="shared" si="264"/>
        <v/>
      </c>
      <c r="CO335" s="419">
        <f t="shared" si="265"/>
        <v>0</v>
      </c>
      <c r="CP335" s="419">
        <f t="shared" si="273"/>
        <v>0</v>
      </c>
      <c r="CQ335" s="419">
        <f t="shared" si="266"/>
        <v>0</v>
      </c>
      <c r="CR335" s="419">
        <f t="shared" si="267"/>
        <v>0</v>
      </c>
      <c r="CS335" s="419">
        <f t="shared" si="268"/>
        <v>0</v>
      </c>
      <c r="CT335" s="419">
        <f t="shared" si="269"/>
        <v>0</v>
      </c>
    </row>
    <row r="336" spans="1:99">
      <c r="A336" s="6128"/>
      <c r="B336" s="1437" t="s">
        <v>974</v>
      </c>
      <c r="C336" s="1687">
        <f t="shared" si="270"/>
        <v>0</v>
      </c>
      <c r="D336" s="1688">
        <f t="shared" si="274"/>
        <v>0</v>
      </c>
      <c r="E336" s="1728">
        <f t="shared" si="274"/>
        <v>0</v>
      </c>
      <c r="F336" s="1440"/>
      <c r="G336" s="1441"/>
      <c r="H336" s="1440"/>
      <c r="I336" s="1441"/>
      <c r="J336" s="1440"/>
      <c r="K336" s="1452"/>
      <c r="L336" s="1440"/>
      <c r="M336" s="1447"/>
      <c r="N336" s="1440"/>
      <c r="O336" s="1452"/>
      <c r="P336" s="1440"/>
      <c r="Q336" s="1441"/>
      <c r="R336" s="1440"/>
      <c r="S336" s="1441"/>
      <c r="T336" s="1440"/>
      <c r="U336" s="1441"/>
      <c r="V336" s="1440"/>
      <c r="W336" s="1441"/>
      <c r="X336" s="1440"/>
      <c r="Y336" s="1441"/>
      <c r="Z336" s="1440"/>
      <c r="AA336" s="1441"/>
      <c r="AB336" s="1440"/>
      <c r="AC336" s="1441"/>
      <c r="AD336" s="1440"/>
      <c r="AE336" s="1441"/>
      <c r="AF336" s="1440"/>
      <c r="AG336" s="1441"/>
      <c r="AH336" s="1440"/>
      <c r="AI336" s="1441"/>
      <c r="AJ336" s="1440"/>
      <c r="AK336" s="1441"/>
      <c r="AL336" s="1440"/>
      <c r="AM336" s="1441"/>
      <c r="AN336" s="1440"/>
      <c r="AO336" s="1441"/>
      <c r="AP336" s="1440"/>
      <c r="AQ336" s="1655"/>
      <c r="AR336" s="1441"/>
      <c r="AS336" s="1452"/>
      <c r="AT336" s="1446"/>
      <c r="AU336" s="1948"/>
      <c r="AV336" s="1441"/>
      <c r="AW336" s="1452"/>
      <c r="AX336" t="str">
        <f t="shared" si="259"/>
        <v/>
      </c>
      <c r="CA336" s="1418" t="str">
        <f t="shared" si="260"/>
        <v/>
      </c>
      <c r="CB336" s="1418" t="str">
        <f t="shared" si="272"/>
        <v/>
      </c>
      <c r="CC336" s="1418" t="str">
        <f t="shared" si="261"/>
        <v/>
      </c>
      <c r="CD336" s="1418" t="str">
        <f t="shared" si="262"/>
        <v/>
      </c>
      <c r="CE336" s="1418" t="str">
        <f t="shared" si="263"/>
        <v/>
      </c>
      <c r="CF336" s="1418" t="str">
        <f t="shared" si="264"/>
        <v/>
      </c>
      <c r="CO336" s="419">
        <f t="shared" si="265"/>
        <v>0</v>
      </c>
      <c r="CP336" s="419">
        <f t="shared" si="273"/>
        <v>0</v>
      </c>
      <c r="CQ336" s="419">
        <f t="shared" si="266"/>
        <v>0</v>
      </c>
      <c r="CR336" s="419">
        <f t="shared" si="267"/>
        <v>0</v>
      </c>
      <c r="CS336" s="419">
        <f t="shared" si="268"/>
        <v>0</v>
      </c>
      <c r="CT336" s="419">
        <f t="shared" si="269"/>
        <v>0</v>
      </c>
    </row>
    <row r="337" spans="1:99">
      <c r="A337" s="6128"/>
      <c r="B337" s="1437" t="s">
        <v>975</v>
      </c>
      <c r="C337" s="1687">
        <f t="shared" si="270"/>
        <v>0</v>
      </c>
      <c r="D337" s="1688">
        <f t="shared" si="274"/>
        <v>0</v>
      </c>
      <c r="E337" s="1728">
        <f t="shared" si="274"/>
        <v>0</v>
      </c>
      <c r="F337" s="1440"/>
      <c r="G337" s="1441"/>
      <c r="H337" s="1440"/>
      <c r="I337" s="1441"/>
      <c r="J337" s="1440"/>
      <c r="K337" s="1452"/>
      <c r="L337" s="1440"/>
      <c r="M337" s="1447"/>
      <c r="N337" s="1440"/>
      <c r="O337" s="1452"/>
      <c r="P337" s="1440"/>
      <c r="Q337" s="1441"/>
      <c r="R337" s="1440"/>
      <c r="S337" s="1441"/>
      <c r="T337" s="1440"/>
      <c r="U337" s="1441"/>
      <c r="V337" s="1440"/>
      <c r="W337" s="1441"/>
      <c r="X337" s="1440"/>
      <c r="Y337" s="1441"/>
      <c r="Z337" s="1440"/>
      <c r="AA337" s="1441"/>
      <c r="AB337" s="1440"/>
      <c r="AC337" s="1441"/>
      <c r="AD337" s="1440"/>
      <c r="AE337" s="1441"/>
      <c r="AF337" s="1440"/>
      <c r="AG337" s="1441"/>
      <c r="AH337" s="1440"/>
      <c r="AI337" s="1441"/>
      <c r="AJ337" s="1440"/>
      <c r="AK337" s="1441"/>
      <c r="AL337" s="1440"/>
      <c r="AM337" s="1441"/>
      <c r="AN337" s="1440"/>
      <c r="AO337" s="1441"/>
      <c r="AP337" s="1440"/>
      <c r="AQ337" s="1655"/>
      <c r="AR337" s="1441"/>
      <c r="AS337" s="1452"/>
      <c r="AT337" s="1446"/>
      <c r="AU337" s="1948"/>
      <c r="AV337" s="1441"/>
      <c r="AW337" s="1452"/>
      <c r="AX337" t="str">
        <f t="shared" si="259"/>
        <v/>
      </c>
      <c r="CA337" s="1418" t="str">
        <f t="shared" si="260"/>
        <v/>
      </c>
      <c r="CB337" s="1418" t="str">
        <f t="shared" si="272"/>
        <v/>
      </c>
      <c r="CC337" s="1418" t="str">
        <f t="shared" si="261"/>
        <v/>
      </c>
      <c r="CD337" s="1418" t="str">
        <f t="shared" si="262"/>
        <v/>
      </c>
      <c r="CE337" s="1418" t="str">
        <f t="shared" si="263"/>
        <v/>
      </c>
      <c r="CF337" s="1418" t="str">
        <f t="shared" si="264"/>
        <v/>
      </c>
      <c r="CO337" s="419">
        <f t="shared" si="265"/>
        <v>0</v>
      </c>
      <c r="CP337" s="419">
        <f t="shared" si="273"/>
        <v>0</v>
      </c>
      <c r="CQ337" s="419">
        <f t="shared" si="266"/>
        <v>0</v>
      </c>
      <c r="CR337" s="419">
        <f t="shared" si="267"/>
        <v>0</v>
      </c>
      <c r="CS337" s="419">
        <f t="shared" si="268"/>
        <v>0</v>
      </c>
      <c r="CT337" s="419">
        <f t="shared" si="269"/>
        <v>0</v>
      </c>
    </row>
    <row r="338" spans="1:99">
      <c r="A338" s="6128"/>
      <c r="B338" s="1691" t="s">
        <v>727</v>
      </c>
      <c r="C338" s="1687">
        <f t="shared" si="270"/>
        <v>0</v>
      </c>
      <c r="D338" s="1688">
        <f t="shared" si="274"/>
        <v>0</v>
      </c>
      <c r="E338" s="1728">
        <f t="shared" si="274"/>
        <v>0</v>
      </c>
      <c r="F338" s="1440"/>
      <c r="G338" s="1441"/>
      <c r="H338" s="1440"/>
      <c r="I338" s="1441"/>
      <c r="J338" s="1440"/>
      <c r="K338" s="1452"/>
      <c r="L338" s="1440"/>
      <c r="M338" s="1447"/>
      <c r="N338" s="1440"/>
      <c r="O338" s="1452"/>
      <c r="P338" s="1440"/>
      <c r="Q338" s="1441"/>
      <c r="R338" s="1440"/>
      <c r="S338" s="1441"/>
      <c r="T338" s="1440"/>
      <c r="U338" s="1441"/>
      <c r="V338" s="1440"/>
      <c r="W338" s="1441"/>
      <c r="X338" s="1440"/>
      <c r="Y338" s="1441"/>
      <c r="Z338" s="1440"/>
      <c r="AA338" s="1441"/>
      <c r="AB338" s="1440"/>
      <c r="AC338" s="1441"/>
      <c r="AD338" s="1440"/>
      <c r="AE338" s="1441"/>
      <c r="AF338" s="1440"/>
      <c r="AG338" s="1441"/>
      <c r="AH338" s="1440"/>
      <c r="AI338" s="1441"/>
      <c r="AJ338" s="1440"/>
      <c r="AK338" s="1441"/>
      <c r="AL338" s="1440"/>
      <c r="AM338" s="1441"/>
      <c r="AN338" s="1440"/>
      <c r="AO338" s="1441"/>
      <c r="AP338" s="1440"/>
      <c r="AQ338" s="1655"/>
      <c r="AR338" s="1441"/>
      <c r="AS338" s="1452"/>
      <c r="AT338" s="1446"/>
      <c r="AU338" s="1948"/>
      <c r="AV338" s="1441"/>
      <c r="AW338" s="1452"/>
      <c r="AX338" t="str">
        <f t="shared" si="259"/>
        <v/>
      </c>
      <c r="CA338" s="1418" t="str">
        <f t="shared" si="260"/>
        <v/>
      </c>
      <c r="CB338" s="1418" t="str">
        <f t="shared" si="272"/>
        <v/>
      </c>
      <c r="CC338" s="1418" t="str">
        <f t="shared" si="261"/>
        <v/>
      </c>
      <c r="CD338" s="1418" t="str">
        <f t="shared" si="262"/>
        <v/>
      </c>
      <c r="CE338" s="1418" t="str">
        <f t="shared" si="263"/>
        <v/>
      </c>
      <c r="CF338" s="1418" t="str">
        <f t="shared" si="264"/>
        <v/>
      </c>
      <c r="CO338" s="419">
        <f t="shared" si="265"/>
        <v>0</v>
      </c>
      <c r="CP338" s="419">
        <f t="shared" si="273"/>
        <v>0</v>
      </c>
      <c r="CQ338" s="419">
        <f t="shared" si="266"/>
        <v>0</v>
      </c>
      <c r="CR338" s="419">
        <f t="shared" si="267"/>
        <v>0</v>
      </c>
      <c r="CS338" s="419">
        <f t="shared" si="268"/>
        <v>0</v>
      </c>
      <c r="CT338" s="419">
        <f t="shared" si="269"/>
        <v>0</v>
      </c>
    </row>
    <row r="339" spans="1:99">
      <c r="A339" s="6129"/>
      <c r="B339" s="1973" t="s">
        <v>976</v>
      </c>
      <c r="C339" s="429">
        <f t="shared" si="270"/>
        <v>0</v>
      </c>
      <c r="D339" s="1713">
        <f t="shared" si="274"/>
        <v>0</v>
      </c>
      <c r="E339" s="431">
        <f t="shared" si="274"/>
        <v>0</v>
      </c>
      <c r="F339" s="1528"/>
      <c r="G339" s="1552"/>
      <c r="H339" s="1528"/>
      <c r="I339" s="1552"/>
      <c r="J339" s="1528"/>
      <c r="K339" s="1534"/>
      <c r="L339" s="1528"/>
      <c r="M339" s="1800"/>
      <c r="N339" s="1528"/>
      <c r="O339" s="1534"/>
      <c r="P339" s="1528"/>
      <c r="Q339" s="1552"/>
      <c r="R339" s="1528"/>
      <c r="S339" s="1552"/>
      <c r="T339" s="1528"/>
      <c r="U339" s="1552"/>
      <c r="V339" s="1528"/>
      <c r="W339" s="1552"/>
      <c r="X339" s="1528"/>
      <c r="Y339" s="1552"/>
      <c r="Z339" s="1528"/>
      <c r="AA339" s="1552"/>
      <c r="AB339" s="1528"/>
      <c r="AC339" s="1552"/>
      <c r="AD339" s="1528"/>
      <c r="AE339" s="1552"/>
      <c r="AF339" s="1528"/>
      <c r="AG339" s="1552"/>
      <c r="AH339" s="1528"/>
      <c r="AI339" s="1552"/>
      <c r="AJ339" s="1528"/>
      <c r="AK339" s="1552"/>
      <c r="AL339" s="1528"/>
      <c r="AM339" s="1552"/>
      <c r="AN339" s="1528"/>
      <c r="AO339" s="1552"/>
      <c r="AP339" s="1528"/>
      <c r="AQ339" s="1721"/>
      <c r="AR339" s="1552"/>
      <c r="AS339" s="1534"/>
      <c r="AT339" s="1533"/>
      <c r="AU339" s="1974"/>
      <c r="AV339" s="1552"/>
      <c r="AW339" s="1534"/>
      <c r="AX339" t="str">
        <f t="shared" si="259"/>
        <v/>
      </c>
      <c r="CA339" s="1418" t="str">
        <f t="shared" si="260"/>
        <v/>
      </c>
      <c r="CB339" s="1418" t="str">
        <f t="shared" si="272"/>
        <v/>
      </c>
      <c r="CC339" s="1418" t="str">
        <f t="shared" si="261"/>
        <v/>
      </c>
      <c r="CD339" s="1418" t="str">
        <f t="shared" si="262"/>
        <v/>
      </c>
      <c r="CE339" s="1418" t="str">
        <f t="shared" si="263"/>
        <v/>
      </c>
      <c r="CF339" s="1418" t="str">
        <f t="shared" si="264"/>
        <v/>
      </c>
      <c r="CO339" s="419">
        <f t="shared" si="265"/>
        <v>0</v>
      </c>
      <c r="CP339" s="419">
        <f t="shared" si="273"/>
        <v>0</v>
      </c>
      <c r="CQ339" s="419">
        <f t="shared" si="266"/>
        <v>0</v>
      </c>
      <c r="CR339" s="419">
        <f t="shared" si="267"/>
        <v>0</v>
      </c>
      <c r="CS339" s="419">
        <f t="shared" si="268"/>
        <v>0</v>
      </c>
      <c r="CT339" s="419">
        <f t="shared" si="269"/>
        <v>0</v>
      </c>
    </row>
    <row r="340" spans="1:99" s="385" customFormat="1" ht="18" customHeight="1">
      <c r="A340" s="1468" t="s">
        <v>977</v>
      </c>
      <c r="B340" s="1665"/>
      <c r="C340" s="1493"/>
      <c r="D340" s="1493"/>
      <c r="E340" s="1493"/>
      <c r="F340" s="1493"/>
      <c r="G340" s="1493"/>
      <c r="H340" s="1493"/>
      <c r="I340" s="1493"/>
      <c r="J340" s="1493"/>
      <c r="K340" s="1493"/>
      <c r="L340" s="1493"/>
      <c r="M340" s="1493"/>
      <c r="N340" s="1493"/>
      <c r="O340" s="1493"/>
      <c r="P340" s="1493"/>
      <c r="Q340" s="1493"/>
      <c r="R340" s="1493"/>
      <c r="S340" s="1493"/>
      <c r="T340" s="1493"/>
      <c r="U340" s="1493"/>
      <c r="V340" s="1493"/>
      <c r="W340" s="1493"/>
      <c r="X340" s="1493"/>
      <c r="Y340" s="1493"/>
      <c r="Z340" s="1493"/>
      <c r="AA340" s="1493"/>
      <c r="AB340" s="1493"/>
      <c r="AC340" s="1493"/>
      <c r="AD340" s="1493"/>
      <c r="AE340" s="1493"/>
      <c r="AF340" s="1493"/>
      <c r="AG340" s="1493"/>
      <c r="AH340" s="1493"/>
      <c r="AI340" s="1493"/>
      <c r="AJ340" s="1493"/>
      <c r="AK340" s="1493"/>
    </row>
    <row r="341" spans="1:99">
      <c r="A341" s="6140" t="s">
        <v>305</v>
      </c>
      <c r="B341" s="6119"/>
      <c r="C341" s="6142" t="s">
        <v>209</v>
      </c>
      <c r="D341" s="6142"/>
      <c r="E341" s="6142"/>
      <c r="F341" s="5707" t="s">
        <v>115</v>
      </c>
      <c r="G341" s="5708"/>
      <c r="H341" s="5708"/>
      <c r="I341" s="5708"/>
      <c r="J341" s="5708"/>
      <c r="K341" s="5708"/>
      <c r="L341" s="5708"/>
      <c r="M341" s="5708"/>
      <c r="N341" s="5708"/>
      <c r="O341" s="5708"/>
      <c r="P341" s="5708"/>
      <c r="Q341" s="5708"/>
      <c r="R341" s="5708"/>
      <c r="S341" s="5708"/>
      <c r="T341" s="5708"/>
      <c r="U341" s="5708"/>
      <c r="V341" s="5708"/>
      <c r="W341" s="5708"/>
      <c r="X341" s="5708"/>
      <c r="Y341" s="5708"/>
      <c r="Z341" s="5708"/>
      <c r="AA341" s="5708"/>
      <c r="AB341" s="5708"/>
      <c r="AC341" s="5708"/>
      <c r="AD341" s="5708"/>
      <c r="AE341" s="5708"/>
      <c r="AF341" s="5708"/>
      <c r="AG341" s="6147"/>
      <c r="AH341" s="6139" t="s">
        <v>478</v>
      </c>
      <c r="AI341" s="6119"/>
      <c r="AJ341" s="6140" t="s">
        <v>50</v>
      </c>
      <c r="AK341" s="5718" t="s">
        <v>51</v>
      </c>
    </row>
    <row r="342" spans="1:99">
      <c r="A342" s="6141"/>
      <c r="B342" s="6120"/>
      <c r="C342" s="6142"/>
      <c r="D342" s="6142"/>
      <c r="E342" s="6142"/>
      <c r="F342" s="6142" t="s">
        <v>58</v>
      </c>
      <c r="G342" s="6142"/>
      <c r="H342" s="5707" t="s">
        <v>59</v>
      </c>
      <c r="I342" s="5709"/>
      <c r="J342" s="6137" t="s">
        <v>60</v>
      </c>
      <c r="K342" s="6137"/>
      <c r="L342" s="6137" t="s">
        <v>61</v>
      </c>
      <c r="M342" s="6137"/>
      <c r="N342" s="6137" t="s">
        <v>62</v>
      </c>
      <c r="O342" s="6137"/>
      <c r="P342" s="6137" t="s">
        <v>63</v>
      </c>
      <c r="Q342" s="6137"/>
      <c r="R342" s="6137" t="s">
        <v>64</v>
      </c>
      <c r="S342" s="6137"/>
      <c r="T342" s="6137" t="s">
        <v>65</v>
      </c>
      <c r="U342" s="6137"/>
      <c r="V342" s="6137" t="s">
        <v>66</v>
      </c>
      <c r="W342" s="6137"/>
      <c r="X342" s="6137" t="s">
        <v>67</v>
      </c>
      <c r="Y342" s="6137"/>
      <c r="Z342" s="6137" t="s">
        <v>68</v>
      </c>
      <c r="AA342" s="6137"/>
      <c r="AB342" s="6137" t="s">
        <v>69</v>
      </c>
      <c r="AC342" s="6137"/>
      <c r="AD342" s="6137" t="s">
        <v>70</v>
      </c>
      <c r="AE342" s="6137"/>
      <c r="AF342" s="6137" t="s">
        <v>71</v>
      </c>
      <c r="AG342" s="6148"/>
      <c r="AH342" s="6115"/>
      <c r="AI342" s="6116"/>
      <c r="AJ342" s="6141"/>
      <c r="AK342" s="6110"/>
    </row>
    <row r="343" spans="1:99">
      <c r="A343" s="6114"/>
      <c r="B343" s="6116"/>
      <c r="C343" s="1395" t="s">
        <v>93</v>
      </c>
      <c r="D343" s="1646" t="s">
        <v>72</v>
      </c>
      <c r="E343" s="390" t="s">
        <v>73</v>
      </c>
      <c r="F343" s="1395" t="s">
        <v>482</v>
      </c>
      <c r="G343" s="1584" t="s">
        <v>73</v>
      </c>
      <c r="H343" s="1395" t="s">
        <v>482</v>
      </c>
      <c r="I343" s="1584" t="s">
        <v>73</v>
      </c>
      <c r="J343" s="1395" t="s">
        <v>482</v>
      </c>
      <c r="K343" s="1584" t="s">
        <v>73</v>
      </c>
      <c r="L343" s="1395" t="s">
        <v>482</v>
      </c>
      <c r="M343" s="1584" t="s">
        <v>73</v>
      </c>
      <c r="N343" s="1395" t="s">
        <v>482</v>
      </c>
      <c r="O343" s="1584" t="s">
        <v>73</v>
      </c>
      <c r="P343" s="1395" t="s">
        <v>482</v>
      </c>
      <c r="Q343" s="1584" t="s">
        <v>73</v>
      </c>
      <c r="R343" s="1395" t="s">
        <v>482</v>
      </c>
      <c r="S343" s="1584" t="s">
        <v>73</v>
      </c>
      <c r="T343" s="1395" t="s">
        <v>482</v>
      </c>
      <c r="U343" s="1584" t="s">
        <v>73</v>
      </c>
      <c r="V343" s="1395" t="s">
        <v>482</v>
      </c>
      <c r="W343" s="1584" t="s">
        <v>73</v>
      </c>
      <c r="X343" s="1395" t="s">
        <v>482</v>
      </c>
      <c r="Y343" s="1584" t="s">
        <v>73</v>
      </c>
      <c r="Z343" s="1395" t="s">
        <v>482</v>
      </c>
      <c r="AA343" s="1584" t="s">
        <v>73</v>
      </c>
      <c r="AB343" s="1395" t="s">
        <v>482</v>
      </c>
      <c r="AC343" s="1584" t="s">
        <v>73</v>
      </c>
      <c r="AD343" s="1395" t="s">
        <v>482</v>
      </c>
      <c r="AE343" s="1584" t="s">
        <v>73</v>
      </c>
      <c r="AF343" s="1395" t="s">
        <v>482</v>
      </c>
      <c r="AG343" s="1398" t="s">
        <v>73</v>
      </c>
      <c r="AH343" s="1396" t="s">
        <v>483</v>
      </c>
      <c r="AI343" s="1402" t="s">
        <v>484</v>
      </c>
      <c r="AJ343" s="6114"/>
      <c r="AK343" s="5719"/>
    </row>
    <row r="344" spans="1:99">
      <c r="A344" s="6105" t="s">
        <v>967</v>
      </c>
      <c r="B344" s="6105"/>
      <c r="C344" s="401">
        <f t="shared" si="270"/>
        <v>0</v>
      </c>
      <c r="D344" s="1501">
        <f t="shared" ref="D344:E346" si="275">SUM(F344+H344+J344+L344+N344+P344+R344+T344+V344+X344+Z344+AB344+AD344+AF344)</f>
        <v>0</v>
      </c>
      <c r="E344" s="1667">
        <f t="shared" si="275"/>
        <v>0</v>
      </c>
      <c r="F344" s="1475"/>
      <c r="G344" s="1585"/>
      <c r="H344" s="1475"/>
      <c r="I344" s="1585"/>
      <c r="J344" s="1475"/>
      <c r="K344" s="1585"/>
      <c r="L344" s="1475"/>
      <c r="M344" s="1585"/>
      <c r="N344" s="1475"/>
      <c r="O344" s="1585"/>
      <c r="P344" s="1475"/>
      <c r="Q344" s="1585"/>
      <c r="R344" s="1475"/>
      <c r="S344" s="1585"/>
      <c r="T344" s="1475"/>
      <c r="U344" s="1585"/>
      <c r="V344" s="1475"/>
      <c r="W344" s="1585"/>
      <c r="X344" s="1475"/>
      <c r="Y344" s="1585"/>
      <c r="Z344" s="1475"/>
      <c r="AA344" s="1585"/>
      <c r="AB344" s="1475"/>
      <c r="AC344" s="1585"/>
      <c r="AD344" s="1475"/>
      <c r="AE344" s="1585"/>
      <c r="AF344" s="1475"/>
      <c r="AG344" s="1967"/>
      <c r="AH344" s="1585"/>
      <c r="AI344" s="1539"/>
      <c r="AJ344" s="1975"/>
      <c r="AK344" s="1478"/>
      <c r="AL344" t="str">
        <f t="shared" ref="AL344:AL346" si="276">CA344&amp;CB344&amp;CC344&amp;CD344</f>
        <v/>
      </c>
      <c r="CA344" s="1418" t="str">
        <f t="shared" ref="CA344:CA346" si="277">IF(AND(E344&gt;0,OR(AH344=""))," * No olvide digitar la variable Trans (Masculino). Digite Cero si no tiene.",IF((AH344)&gt;E344,"*  La variable Trans (Masculino) No puede ser mayor al Total Mujeres.",""))</f>
        <v/>
      </c>
      <c r="CB344" s="1418" t="str">
        <f t="shared" ref="CB344:CB346" si="278">IF(AND(D344&gt;0,OR(AI344=""))," * No olvide digitar la variable Trans (Femenino). Digite Cero si no tiene.",IF((AI344)&gt;D344,"*  La variable Trans (Femenino) No puede ser mayor al Total Hombres.",""))</f>
        <v/>
      </c>
      <c r="CC344" s="1418" t="str">
        <f t="shared" ref="CC344:CC346" si="279">IF(AND(C344&gt;0,AJ344="")," * No olvide digitar la variable Pueblos originarios. Digite Cero si no tiene.",IF(AJ344&gt;C344," * La variable Pueblos originarios No puede ser mayor al Total.",""))</f>
        <v/>
      </c>
      <c r="CD344" s="1418" t="str">
        <f t="shared" ref="CD344:CD346" si="280">IF(AND(C344&gt;0,AK344="")," * No olvide digitar la variable Migrantes. Digite Cero si no tiene.",IF(AK344&gt;C344," * La variable Migrantes No puede ser mayor al Total.",""))</f>
        <v/>
      </c>
      <c r="CO344" s="419">
        <f t="shared" ref="CO344:CO346" si="281">IF(AND(E344&gt;0,OR(AH344="")),1,IF((AH344)&gt;E344,1,0))</f>
        <v>0</v>
      </c>
      <c r="CP344" s="419">
        <f t="shared" ref="CP344:CP346" si="282">IF(AND(D344&gt;0,OR(AI344="")),1,IF((AI344)&gt;D344,1,0))</f>
        <v>0</v>
      </c>
      <c r="CQ344" s="419">
        <f t="shared" ref="CQ344:CQ346" si="283">IF(AND(C344&gt;0,AJ344=""),1,IF(AJ344&gt;C344,1,0))</f>
        <v>0</v>
      </c>
      <c r="CR344" s="419">
        <f t="shared" ref="CR344:CR346" si="284">IF(AND(C344&gt;0,AK344=""),1,IF(AK344&gt;C344,1,0))</f>
        <v>0</v>
      </c>
    </row>
    <row r="345" spans="1:99">
      <c r="A345" s="6105" t="s">
        <v>969</v>
      </c>
      <c r="B345" s="6105"/>
      <c r="C345" s="401">
        <f t="shared" si="270"/>
        <v>0</v>
      </c>
      <c r="D345" s="1501">
        <f t="shared" si="275"/>
        <v>0</v>
      </c>
      <c r="E345" s="1667">
        <f t="shared" si="275"/>
        <v>0</v>
      </c>
      <c r="F345" s="1475"/>
      <c r="G345" s="1585"/>
      <c r="H345" s="1475"/>
      <c r="I345" s="1585"/>
      <c r="J345" s="1475"/>
      <c r="K345" s="1585"/>
      <c r="L345" s="1475"/>
      <c r="M345" s="1585"/>
      <c r="N345" s="1475"/>
      <c r="O345" s="1585"/>
      <c r="P345" s="1475"/>
      <c r="Q345" s="1585"/>
      <c r="R345" s="1475"/>
      <c r="S345" s="1585"/>
      <c r="T345" s="1475"/>
      <c r="U345" s="1585"/>
      <c r="V345" s="1475"/>
      <c r="W345" s="1585"/>
      <c r="X345" s="1475"/>
      <c r="Y345" s="1585"/>
      <c r="Z345" s="1475"/>
      <c r="AA345" s="1585"/>
      <c r="AB345" s="1475"/>
      <c r="AC345" s="1585"/>
      <c r="AD345" s="1475"/>
      <c r="AE345" s="1585"/>
      <c r="AF345" s="1475"/>
      <c r="AG345" s="1967"/>
      <c r="AH345" s="1585"/>
      <c r="AI345" s="1539"/>
      <c r="AJ345" s="1975"/>
      <c r="AK345" s="1478"/>
      <c r="AL345" t="str">
        <f t="shared" si="276"/>
        <v/>
      </c>
      <c r="CA345" s="1418" t="str">
        <f t="shared" si="277"/>
        <v/>
      </c>
      <c r="CB345" s="1418" t="str">
        <f t="shared" si="278"/>
        <v/>
      </c>
      <c r="CC345" s="1418" t="str">
        <f t="shared" si="279"/>
        <v/>
      </c>
      <c r="CD345" s="1418" t="str">
        <f t="shared" si="280"/>
        <v/>
      </c>
      <c r="CO345" s="419">
        <f t="shared" si="281"/>
        <v>0</v>
      </c>
      <c r="CP345" s="419">
        <f t="shared" si="282"/>
        <v>0</v>
      </c>
      <c r="CQ345" s="419">
        <f t="shared" si="283"/>
        <v>0</v>
      </c>
      <c r="CR345" s="419">
        <f t="shared" si="284"/>
        <v>0</v>
      </c>
    </row>
    <row r="346" spans="1:99">
      <c r="A346" s="6105" t="s">
        <v>978</v>
      </c>
      <c r="B346" s="6105"/>
      <c r="C346" s="401">
        <f t="shared" si="270"/>
        <v>0</v>
      </c>
      <c r="D346" s="1501">
        <f t="shared" si="275"/>
        <v>0</v>
      </c>
      <c r="E346" s="1667">
        <f t="shared" si="275"/>
        <v>0</v>
      </c>
      <c r="F346" s="1475"/>
      <c r="G346" s="1585"/>
      <c r="H346" s="1475"/>
      <c r="I346" s="1585"/>
      <c r="J346" s="1475"/>
      <c r="K346" s="1585"/>
      <c r="L346" s="1475"/>
      <c r="M346" s="1585"/>
      <c r="N346" s="1475"/>
      <c r="O346" s="1585"/>
      <c r="P346" s="1475"/>
      <c r="Q346" s="1585"/>
      <c r="R346" s="1475"/>
      <c r="S346" s="1585"/>
      <c r="T346" s="1475"/>
      <c r="U346" s="1585"/>
      <c r="V346" s="1475"/>
      <c r="W346" s="1585"/>
      <c r="X346" s="1475"/>
      <c r="Y346" s="1585"/>
      <c r="Z346" s="1475"/>
      <c r="AA346" s="1585"/>
      <c r="AB346" s="1475"/>
      <c r="AC346" s="1585"/>
      <c r="AD346" s="1475"/>
      <c r="AE346" s="1585"/>
      <c r="AF346" s="1475"/>
      <c r="AG346" s="1967"/>
      <c r="AH346" s="1585"/>
      <c r="AI346" s="1539"/>
      <c r="AJ346" s="1975"/>
      <c r="AK346" s="1478"/>
      <c r="AL346" t="str">
        <f t="shared" si="276"/>
        <v/>
      </c>
      <c r="CA346" s="1418" t="str">
        <f t="shared" si="277"/>
        <v/>
      </c>
      <c r="CB346" s="1418" t="str">
        <f t="shared" si="278"/>
        <v/>
      </c>
      <c r="CC346" s="1418" t="str">
        <f t="shared" si="279"/>
        <v/>
      </c>
      <c r="CD346" s="1418" t="str">
        <f t="shared" si="280"/>
        <v/>
      </c>
      <c r="CO346" s="419">
        <f t="shared" si="281"/>
        <v>0</v>
      </c>
      <c r="CP346" s="419">
        <f t="shared" si="282"/>
        <v>0</v>
      </c>
      <c r="CQ346" s="419">
        <f t="shared" si="283"/>
        <v>0</v>
      </c>
      <c r="CR346" s="419">
        <f t="shared" si="284"/>
        <v>0</v>
      </c>
    </row>
    <row r="347" spans="1:99" s="385" customFormat="1" ht="18" customHeight="1">
      <c r="A347" s="1976" t="s">
        <v>979</v>
      </c>
      <c r="B347" s="1977"/>
      <c r="C347" s="1977"/>
      <c r="D347" s="1977"/>
      <c r="E347" s="1977"/>
      <c r="F347" s="1977"/>
      <c r="G347" s="1977"/>
      <c r="H347" s="1977"/>
      <c r="I347" s="1977"/>
      <c r="J347" s="1977"/>
      <c r="K347" s="1977"/>
      <c r="L347" s="1977"/>
      <c r="M347" s="1977"/>
      <c r="N347" s="1977"/>
      <c r="O347" s="1493"/>
      <c r="P347" s="1493"/>
      <c r="Q347" s="1493"/>
      <c r="R347" s="1493"/>
    </row>
    <row r="348" spans="1:99" ht="15" customHeight="1">
      <c r="A348" s="5718" t="s">
        <v>236</v>
      </c>
      <c r="B348" s="6111" t="s">
        <v>475</v>
      </c>
      <c r="C348" s="6112"/>
      <c r="D348" s="6113"/>
      <c r="E348" s="6117" t="s">
        <v>115</v>
      </c>
      <c r="F348" s="6118"/>
      <c r="G348" s="6118"/>
      <c r="H348" s="6118"/>
      <c r="I348" s="6118"/>
      <c r="J348" s="6118"/>
      <c r="K348" s="6118"/>
      <c r="L348" s="6118"/>
      <c r="M348" s="6118"/>
      <c r="N348" s="1978"/>
      <c r="O348" s="6124" t="s">
        <v>980</v>
      </c>
      <c r="P348" s="6107" t="s">
        <v>981</v>
      </c>
      <c r="Q348" s="6121" t="s">
        <v>982</v>
      </c>
      <c r="R348" s="6124" t="s">
        <v>50</v>
      </c>
      <c r="S348" s="6119" t="s">
        <v>51</v>
      </c>
      <c r="T348" s="6152" t="s">
        <v>478</v>
      </c>
      <c r="U348" s="6154"/>
    </row>
    <row r="349" spans="1:99">
      <c r="A349" s="6110"/>
      <c r="B349" s="6114"/>
      <c r="C349" s="6115"/>
      <c r="D349" s="6116"/>
      <c r="E349" s="5710" t="s">
        <v>364</v>
      </c>
      <c r="F349" s="5712"/>
      <c r="G349" s="5710" t="s">
        <v>347</v>
      </c>
      <c r="H349" s="5712"/>
      <c r="I349" s="5710" t="s">
        <v>108</v>
      </c>
      <c r="J349" s="5712"/>
      <c r="K349" s="5710" t="s">
        <v>58</v>
      </c>
      <c r="L349" s="5712"/>
      <c r="M349" s="5710" t="s">
        <v>59</v>
      </c>
      <c r="N349" s="6106"/>
      <c r="O349" s="6125"/>
      <c r="P349" s="6108"/>
      <c r="Q349" s="6122"/>
      <c r="R349" s="6125"/>
      <c r="S349" s="6120"/>
      <c r="T349" s="6155"/>
      <c r="U349" s="6157"/>
    </row>
    <row r="350" spans="1:99" ht="28.5" customHeight="1">
      <c r="A350" s="5719"/>
      <c r="B350" s="1666" t="s">
        <v>93</v>
      </c>
      <c r="C350" s="1979" t="s">
        <v>72</v>
      </c>
      <c r="D350" s="1402" t="s">
        <v>73</v>
      </c>
      <c r="E350" s="1395" t="s">
        <v>72</v>
      </c>
      <c r="F350" s="393" t="s">
        <v>73</v>
      </c>
      <c r="G350" s="1395" t="s">
        <v>72</v>
      </c>
      <c r="H350" s="393" t="s">
        <v>73</v>
      </c>
      <c r="I350" s="1395" t="s">
        <v>72</v>
      </c>
      <c r="J350" s="393" t="s">
        <v>73</v>
      </c>
      <c r="K350" s="1395" t="s">
        <v>72</v>
      </c>
      <c r="L350" s="393" t="s">
        <v>73</v>
      </c>
      <c r="M350" s="1395" t="s">
        <v>72</v>
      </c>
      <c r="N350" s="1495" t="s">
        <v>73</v>
      </c>
      <c r="O350" s="6126"/>
      <c r="P350" s="6109"/>
      <c r="Q350" s="6123"/>
      <c r="R350" s="6126"/>
      <c r="S350" s="6116"/>
      <c r="T350" s="396" t="s">
        <v>483</v>
      </c>
      <c r="U350" s="390" t="s">
        <v>484</v>
      </c>
    </row>
    <row r="351" spans="1:99">
      <c r="A351" s="1862" t="s">
        <v>789</v>
      </c>
      <c r="B351" s="1791">
        <f t="shared" ref="B351:B352" si="285">SUM(C351+D351)</f>
        <v>0</v>
      </c>
      <c r="C351" s="1980">
        <f t="shared" ref="C351:C352" si="286">SUM(E351+G351+I351+K351+M351)</f>
        <v>0</v>
      </c>
      <c r="D351" s="1736">
        <f t="shared" ref="D351:D352" si="287">SUM(F351+H351+J351+L351+N351)</f>
        <v>0</v>
      </c>
      <c r="E351" s="1424"/>
      <c r="F351" s="1436"/>
      <c r="G351" s="1424"/>
      <c r="H351" s="1436"/>
      <c r="I351" s="1424"/>
      <c r="J351" s="1676"/>
      <c r="K351" s="1424"/>
      <c r="L351" s="1676"/>
      <c r="M351" s="1653"/>
      <c r="N351" s="1426"/>
      <c r="O351" s="1981"/>
      <c r="P351" s="1982"/>
      <c r="Q351" s="1983"/>
      <c r="R351" s="1984"/>
      <c r="S351" s="1436"/>
      <c r="T351" s="1425"/>
      <c r="U351" s="1436"/>
      <c r="V351" t="str">
        <f>CD351&amp;CE351&amp;CF351&amp;CG351</f>
        <v/>
      </c>
      <c r="CA351" s="1868"/>
      <c r="CB351" s="1944"/>
      <c r="CC351" s="1944"/>
      <c r="CD351" s="1418" t="str">
        <f t="shared" ref="CD351:CD352" si="288">IF(AND(B351&gt;0,R351="")," * No olvide digitar la variable Pueblos originarios. Digite Cero si no tiene.",IF(R351&gt;B351," * La variable Pueblos originarios No puede ser mayor al Total.",""))</f>
        <v/>
      </c>
      <c r="CE351" s="1418" t="str">
        <f t="shared" ref="CE351:CE352" si="289">IF(AND(B351&gt;0,S351="")," * No olvide digitar la variable Migrantes. Digite Cero si no tiene.",IF(S351&gt;B351," * La variable Migrantes No puede ser mayor al Total.",""))</f>
        <v/>
      </c>
      <c r="CF351" s="1708" t="str">
        <f t="shared" ref="CF351:CF352" si="290">IF(AND(D351&gt;0,OR(T351=""))," * No olvide digitar la variable Trans (Masculino). Digite Cero si no tiene.",IF((T351)&gt;D351," * La variable Trans Masculino No puede ser mayor al Total Mujeres.",""))</f>
        <v/>
      </c>
      <c r="CG351" s="1708" t="str">
        <f t="shared" ref="CG351:CG352" si="291">IF(AND(C351&gt;0,OR(U351=""))," * No olvide digitar la variable Trans (Femenino). Digite Cero si no tiene.",IF((U351)&gt;C351," * La variable Trans Femenino No puede ser mayor al Total Hombres.",""))</f>
        <v/>
      </c>
      <c r="CO351" s="1972"/>
      <c r="CP351" s="1972"/>
      <c r="CQ351" s="1972"/>
      <c r="CR351" s="419">
        <f t="shared" ref="CR351:CR352" si="292">IF(AND(B351&gt;0,R351=""),1,IF(R351&gt;B351,1,0))</f>
        <v>0</v>
      </c>
      <c r="CS351" s="419">
        <f t="shared" ref="CS351:CS352" si="293">IF(AND(B351&gt;0,S351=""),1,IF(S351&gt;B351,1,0))</f>
        <v>0</v>
      </c>
      <c r="CT351" s="419">
        <f t="shared" ref="CT351:CT352" si="294">IF(AND(D351&gt;0,OR(T351="")),1,IF((T351)&gt;D351,1,0))</f>
        <v>0</v>
      </c>
      <c r="CU351" s="419">
        <f t="shared" ref="CU351:CU352" si="295">IF(AND(C351&gt;0,OR(U351="")),1,IF((U351)&gt;C351,1,0))</f>
        <v>0</v>
      </c>
    </row>
    <row r="352" spans="1:99">
      <c r="A352" s="1973" t="s">
        <v>798</v>
      </c>
      <c r="B352" s="1797">
        <f t="shared" si="285"/>
        <v>0</v>
      </c>
      <c r="C352" s="1985">
        <f t="shared" si="286"/>
        <v>0</v>
      </c>
      <c r="D352" s="1757">
        <f t="shared" si="287"/>
        <v>0</v>
      </c>
      <c r="E352" s="1528"/>
      <c r="F352" s="1534"/>
      <c r="G352" s="1528"/>
      <c r="H352" s="1801"/>
      <c r="I352" s="1528"/>
      <c r="J352" s="1534"/>
      <c r="K352" s="1528"/>
      <c r="L352" s="1534"/>
      <c r="M352" s="1800"/>
      <c r="N352" s="1986"/>
      <c r="O352" s="1987"/>
      <c r="P352" s="1529"/>
      <c r="Q352" s="1534"/>
      <c r="R352" s="1987"/>
      <c r="S352" s="1534"/>
      <c r="T352" s="1552"/>
      <c r="U352" s="1534"/>
      <c r="V352" t="str">
        <f>CA352&amp;CB352&amp;CC352&amp;CD352&amp;CE352&amp;CF352&amp;CG352</f>
        <v/>
      </c>
      <c r="CA352" s="1418" t="str">
        <f>IF(AND(B352&gt;0,O352="")," * No olvide digitar la variable Aumento de funcionalidad familiar (4 puntos o más). Digite Cero si no tiene.",IF(O352&gt;B352," * La variable Aumento de funcionalidad familiar (4 puntos o más) No puede ser mayor al Total.",""))</f>
        <v/>
      </c>
      <c r="CB352" s="1418" t="str">
        <f>IF(AND(B352&gt;0,P352="")," * No olvide digitar la variable Cumple con el 70% de los objetivos del plan de acompañamiento. Digite Cero si no tiene.",IF(P352&gt;B352," * La variable Cumple con el 70% de los objetivos del plan de acompañamiento No puede ser mayor al Total.",""))</f>
        <v/>
      </c>
      <c r="CC352" s="1418" t="str">
        <f>IF(AND(B352&gt;0,Q352="")," * No olvide digitar la variable Egreso por alta clínica del Prog de Salud Mental. Digite Cero si no tiene.",IF(Q352&gt;B352," * La variable Egreso por alta clínica del Prog de Salud Mental No puede ser mayor al Total.",""))</f>
        <v/>
      </c>
      <c r="CD352" s="1418" t="str">
        <f t="shared" si="288"/>
        <v/>
      </c>
      <c r="CE352" s="1418" t="str">
        <f t="shared" si="289"/>
        <v/>
      </c>
      <c r="CF352" s="1708" t="str">
        <f t="shared" si="290"/>
        <v/>
      </c>
      <c r="CG352" s="1708" t="str">
        <f t="shared" si="291"/>
        <v/>
      </c>
      <c r="CO352" s="1421">
        <f>IF(AND($B352&gt;0,O352=""),1,IF(O352&gt;$B352,1,0))</f>
        <v>0</v>
      </c>
      <c r="CP352" s="1421">
        <f>IF(AND($B352&gt;0,P352=""),1,IF(P352&gt;$B352,1,0))</f>
        <v>0</v>
      </c>
      <c r="CQ352" s="1421">
        <f>IF(AND($B352&gt;0,Q352=""),1,IF(Q352&gt;$B352,1,0))</f>
        <v>0</v>
      </c>
      <c r="CR352" s="419">
        <f t="shared" si="292"/>
        <v>0</v>
      </c>
      <c r="CS352" s="419">
        <f t="shared" si="293"/>
        <v>0</v>
      </c>
      <c r="CT352" s="419">
        <f t="shared" si="294"/>
        <v>0</v>
      </c>
      <c r="CU352" s="419">
        <f t="shared" si="295"/>
        <v>0</v>
      </c>
    </row>
    <row r="353" spans="1:94" s="385" customFormat="1" ht="18" customHeight="1">
      <c r="A353" s="1468" t="s">
        <v>983</v>
      </c>
      <c r="B353" s="1493"/>
      <c r="C353" s="1493"/>
      <c r="D353" s="1493"/>
      <c r="E353" s="1493"/>
      <c r="F353" s="1493"/>
      <c r="G353" s="1493"/>
      <c r="H353" s="1493"/>
      <c r="I353" s="1493"/>
      <c r="J353" s="1493"/>
      <c r="K353" s="1493"/>
      <c r="L353" s="1493"/>
      <c r="M353" s="1493"/>
      <c r="N353" s="1493"/>
      <c r="O353" s="1493"/>
      <c r="P353" s="1493"/>
      <c r="Q353" s="1493"/>
      <c r="R353" s="1493"/>
      <c r="S353" s="1493"/>
      <c r="T353" s="1493"/>
      <c r="U353" s="1493"/>
      <c r="V353" s="1493"/>
      <c r="W353" s="1493"/>
      <c r="X353" s="1493"/>
      <c r="Y353" s="1493"/>
      <c r="Z353" s="1493"/>
      <c r="AA353" s="1493"/>
      <c r="AB353" s="1493"/>
      <c r="AC353" s="1493"/>
      <c r="AD353" s="1493"/>
      <c r="AE353" s="1493"/>
      <c r="AF353" s="1493"/>
      <c r="AG353" s="1493"/>
      <c r="AH353" s="1493"/>
      <c r="AI353" s="1493"/>
      <c r="AJ353" s="1493"/>
      <c r="AK353" s="1493"/>
      <c r="AL353" s="1493"/>
      <c r="AM353" s="1493"/>
    </row>
    <row r="354" spans="1:94">
      <c r="A354" s="5718" t="s">
        <v>236</v>
      </c>
      <c r="B354" s="5718" t="s">
        <v>474</v>
      </c>
      <c r="C354" s="6137" t="s">
        <v>475</v>
      </c>
      <c r="D354" s="6137"/>
      <c r="E354" s="6137"/>
      <c r="F354" s="5710" t="s">
        <v>115</v>
      </c>
      <c r="G354" s="6106"/>
      <c r="H354" s="6106"/>
      <c r="I354" s="6106"/>
      <c r="J354" s="6106"/>
      <c r="K354" s="6106"/>
      <c r="L354" s="6106"/>
      <c r="M354" s="6106"/>
      <c r="N354" s="6106"/>
      <c r="O354" s="6106"/>
      <c r="P354" s="6106"/>
      <c r="Q354" s="6106"/>
      <c r="R354" s="6106"/>
      <c r="S354" s="6106"/>
      <c r="T354" s="6106"/>
      <c r="U354" s="6106"/>
      <c r="V354" s="6106"/>
      <c r="W354" s="6106"/>
      <c r="X354" s="6106"/>
      <c r="Y354" s="6106"/>
      <c r="Z354" s="6106"/>
      <c r="AA354" s="6106"/>
      <c r="AB354" s="6106"/>
      <c r="AC354" s="6106"/>
      <c r="AD354" s="6106"/>
      <c r="AE354" s="6106"/>
      <c r="AF354" s="6106"/>
      <c r="AG354" s="5716"/>
      <c r="AH354" s="5714" t="s">
        <v>50</v>
      </c>
      <c r="AI354" s="6256" t="s">
        <v>51</v>
      </c>
      <c r="AJ354" s="6106" t="s">
        <v>984</v>
      </c>
      <c r="AK354" s="6106"/>
      <c r="AL354" s="5712"/>
      <c r="AM354" s="5718" t="s">
        <v>985</v>
      </c>
    </row>
    <row r="355" spans="1:94">
      <c r="A355" s="6110"/>
      <c r="B355" s="6110"/>
      <c r="C355" s="6137"/>
      <c r="D355" s="6137"/>
      <c r="E355" s="6137"/>
      <c r="F355" s="5710" t="s">
        <v>58</v>
      </c>
      <c r="G355" s="5712"/>
      <c r="H355" s="5710" t="s">
        <v>59</v>
      </c>
      <c r="I355" s="5712"/>
      <c r="J355" s="5710" t="s">
        <v>60</v>
      </c>
      <c r="K355" s="5712"/>
      <c r="L355" s="5710" t="s">
        <v>61</v>
      </c>
      <c r="M355" s="5712"/>
      <c r="N355" s="5710" t="s">
        <v>62</v>
      </c>
      <c r="O355" s="5712"/>
      <c r="P355" s="5710" t="s">
        <v>63</v>
      </c>
      <c r="Q355" s="5712"/>
      <c r="R355" s="5710" t="s">
        <v>64</v>
      </c>
      <c r="S355" s="5712"/>
      <c r="T355" s="5710" t="s">
        <v>65</v>
      </c>
      <c r="U355" s="5712"/>
      <c r="V355" s="5710" t="s">
        <v>66</v>
      </c>
      <c r="W355" s="5712"/>
      <c r="X355" s="5710" t="s">
        <v>67</v>
      </c>
      <c r="Y355" s="5712"/>
      <c r="Z355" s="5710" t="s">
        <v>68</v>
      </c>
      <c r="AA355" s="5712"/>
      <c r="AB355" s="5710" t="s">
        <v>69</v>
      </c>
      <c r="AC355" s="5712"/>
      <c r="AD355" s="5710" t="s">
        <v>70</v>
      </c>
      <c r="AE355" s="5712"/>
      <c r="AF355" s="5710" t="s">
        <v>71</v>
      </c>
      <c r="AG355" s="5716"/>
      <c r="AH355" s="6138"/>
      <c r="AI355" s="6257"/>
      <c r="AJ355" s="6133" t="s">
        <v>986</v>
      </c>
      <c r="AK355" s="6135" t="s">
        <v>987</v>
      </c>
      <c r="AL355" s="6248" t="s">
        <v>988</v>
      </c>
      <c r="AM355" s="6110"/>
    </row>
    <row r="356" spans="1:94" ht="27" customHeight="1">
      <c r="A356" s="5719"/>
      <c r="B356" s="5719"/>
      <c r="C356" s="396" t="s">
        <v>93</v>
      </c>
      <c r="D356" s="397" t="s">
        <v>72</v>
      </c>
      <c r="E356" s="393" t="s">
        <v>73</v>
      </c>
      <c r="F356" s="1395" t="s">
        <v>72</v>
      </c>
      <c r="G356" s="393" t="s">
        <v>73</v>
      </c>
      <c r="H356" s="1395" t="s">
        <v>72</v>
      </c>
      <c r="I356" s="393" t="s">
        <v>73</v>
      </c>
      <c r="J356" s="1395" t="s">
        <v>482</v>
      </c>
      <c r="K356" s="393" t="s">
        <v>73</v>
      </c>
      <c r="L356" s="1395" t="s">
        <v>482</v>
      </c>
      <c r="M356" s="393" t="s">
        <v>73</v>
      </c>
      <c r="N356" s="1395" t="s">
        <v>482</v>
      </c>
      <c r="O356" s="393" t="s">
        <v>73</v>
      </c>
      <c r="P356" s="1395" t="s">
        <v>482</v>
      </c>
      <c r="Q356" s="393" t="s">
        <v>73</v>
      </c>
      <c r="R356" s="1395" t="s">
        <v>482</v>
      </c>
      <c r="S356" s="393" t="s">
        <v>73</v>
      </c>
      <c r="T356" s="1395" t="s">
        <v>482</v>
      </c>
      <c r="U356" s="393" t="s">
        <v>73</v>
      </c>
      <c r="V356" s="1395" t="s">
        <v>482</v>
      </c>
      <c r="W356" s="393" t="s">
        <v>73</v>
      </c>
      <c r="X356" s="1395" t="s">
        <v>482</v>
      </c>
      <c r="Y356" s="393" t="s">
        <v>73</v>
      </c>
      <c r="Z356" s="1395" t="s">
        <v>482</v>
      </c>
      <c r="AA356" s="393" t="s">
        <v>73</v>
      </c>
      <c r="AB356" s="1395" t="s">
        <v>482</v>
      </c>
      <c r="AC356" s="393" t="s">
        <v>73</v>
      </c>
      <c r="AD356" s="1395" t="s">
        <v>482</v>
      </c>
      <c r="AE356" s="393" t="s">
        <v>73</v>
      </c>
      <c r="AF356" s="1395" t="s">
        <v>482</v>
      </c>
      <c r="AG356" s="394" t="s">
        <v>73</v>
      </c>
      <c r="AH356" s="5715"/>
      <c r="AI356" s="6258"/>
      <c r="AJ356" s="6134"/>
      <c r="AK356" s="6136"/>
      <c r="AL356" s="6249"/>
      <c r="AM356" s="5719"/>
    </row>
    <row r="357" spans="1:94">
      <c r="A357" s="6127" t="s">
        <v>989</v>
      </c>
      <c r="B357" s="1422" t="s">
        <v>990</v>
      </c>
      <c r="C357" s="1988">
        <f t="shared" ref="C357:C366" si="296">SUM(D357+E357)</f>
        <v>0</v>
      </c>
      <c r="D357" s="1980">
        <f t="shared" ref="D357:E366" si="297">SUM(F357+H357+J357+L357+N357+P357+R357+T357+V357+X357+Z357+AB357+AD357+AF357)</f>
        <v>0</v>
      </c>
      <c r="E357" s="1989">
        <f>SUM(G357+I357+K357+M357+O357+Q357+S357+U357+W357+Y357+AA357+AC357+AE357+AG357)</f>
        <v>0</v>
      </c>
      <c r="F357" s="1424"/>
      <c r="G357" s="1436"/>
      <c r="H357" s="1424"/>
      <c r="I357" s="1436"/>
      <c r="J357" s="1424"/>
      <c r="K357" s="1436"/>
      <c r="L357" s="1424"/>
      <c r="M357" s="1436"/>
      <c r="N357" s="1424"/>
      <c r="O357" s="1436"/>
      <c r="P357" s="1424"/>
      <c r="Q357" s="1436"/>
      <c r="R357" s="1424"/>
      <c r="S357" s="1436"/>
      <c r="T357" s="1424"/>
      <c r="U357" s="1436"/>
      <c r="V357" s="1424"/>
      <c r="W357" s="1436"/>
      <c r="X357" s="1424"/>
      <c r="Y357" s="1436"/>
      <c r="Z357" s="1424"/>
      <c r="AA357" s="1436"/>
      <c r="AB357" s="1424"/>
      <c r="AC357" s="1436"/>
      <c r="AD357" s="1424"/>
      <c r="AE357" s="1436"/>
      <c r="AF357" s="1424"/>
      <c r="AG357" s="1650"/>
      <c r="AH357" s="1429"/>
      <c r="AI357" s="1990"/>
      <c r="AJ357" s="1425"/>
      <c r="AK357" s="1426"/>
      <c r="AL357" s="1676"/>
      <c r="AM357" s="1676"/>
      <c r="AN357" t="str">
        <f t="shared" ref="AN357:AN366" si="298">CA357&amp;CB357</f>
        <v/>
      </c>
      <c r="CA357" s="1418" t="str">
        <f t="shared" ref="CA357:CA366" si="299">IF(AND(C357&gt;0,AH357="")," * No olvide digitar la variable Pueblos originarios. Digite Cero si no tiene.",IF(AH357&gt;C357," * La variable Pueblos originarios No puede ser mayor al Total.",""))</f>
        <v/>
      </c>
      <c r="CB357" s="1418" t="str">
        <f t="shared" ref="CB357:CB366" si="300">IF(AND(C357&gt;0,AI357="")," * No olvide digitar la variable Migrantes. Digite Cero si no tiene.",IF(AI357&gt;C357," * La variable Migrantes No puede ser mayor al Total.",""))</f>
        <v/>
      </c>
      <c r="CO357" s="419">
        <f t="shared" ref="CO357:CO366" si="301">IF(AND(C357&gt;0,AH357=""),1,IF(AH357&gt;C357,1,0))</f>
        <v>0</v>
      </c>
      <c r="CP357" s="419">
        <f t="shared" ref="CP357:CP366" si="302">IF(AND(C357&gt;0,AI357=""),1,IF(AI357&gt;C357,1,0))</f>
        <v>0</v>
      </c>
    </row>
    <row r="358" spans="1:94">
      <c r="A358" s="6128"/>
      <c r="B358" s="1540" t="s">
        <v>991</v>
      </c>
      <c r="C358" s="1991">
        <f t="shared" si="296"/>
        <v>0</v>
      </c>
      <c r="D358" s="1992">
        <f t="shared" si="297"/>
        <v>0</v>
      </c>
      <c r="E358" s="1993">
        <f t="shared" si="297"/>
        <v>0</v>
      </c>
      <c r="F358" s="1440"/>
      <c r="G358" s="1452"/>
      <c r="H358" s="1440"/>
      <c r="I358" s="1452"/>
      <c r="J358" s="1440"/>
      <c r="K358" s="1452"/>
      <c r="L358" s="1440"/>
      <c r="M358" s="1452"/>
      <c r="N358" s="1440"/>
      <c r="O358" s="1452"/>
      <c r="P358" s="1440"/>
      <c r="Q358" s="1452"/>
      <c r="R358" s="1440"/>
      <c r="S358" s="1452"/>
      <c r="T358" s="1440"/>
      <c r="U358" s="1452"/>
      <c r="V358" s="1440"/>
      <c r="W358" s="1452"/>
      <c r="X358" s="1440"/>
      <c r="Y358" s="1452"/>
      <c r="Z358" s="1440"/>
      <c r="AA358" s="1452"/>
      <c r="AB358" s="1440"/>
      <c r="AC358" s="1452"/>
      <c r="AD358" s="1440"/>
      <c r="AE358" s="1452"/>
      <c r="AF358" s="1440"/>
      <c r="AG358" s="1655"/>
      <c r="AH358" s="1445"/>
      <c r="AI358" s="1994"/>
      <c r="AJ358" s="1441"/>
      <c r="AK358" s="1442"/>
      <c r="AL358" s="1680"/>
      <c r="AM358" s="1680"/>
      <c r="AN358" t="str">
        <f t="shared" si="298"/>
        <v/>
      </c>
      <c r="CA358" s="1418" t="str">
        <f t="shared" si="299"/>
        <v/>
      </c>
      <c r="CB358" s="1418" t="str">
        <f t="shared" si="300"/>
        <v/>
      </c>
      <c r="CO358" s="419">
        <f t="shared" si="301"/>
        <v>0</v>
      </c>
      <c r="CP358" s="419">
        <f t="shared" si="302"/>
        <v>0</v>
      </c>
    </row>
    <row r="359" spans="1:94">
      <c r="A359" s="6129"/>
      <c r="B359" s="1527" t="s">
        <v>992</v>
      </c>
      <c r="C359" s="1995">
        <f t="shared" si="296"/>
        <v>0</v>
      </c>
      <c r="D359" s="1996">
        <f t="shared" si="297"/>
        <v>0</v>
      </c>
      <c r="E359" s="1997">
        <f t="shared" si="297"/>
        <v>0</v>
      </c>
      <c r="F359" s="1455"/>
      <c r="G359" s="1467"/>
      <c r="H359" s="1455"/>
      <c r="I359" s="1467"/>
      <c r="J359" s="1455"/>
      <c r="K359" s="1467"/>
      <c r="L359" s="1455"/>
      <c r="M359" s="1467"/>
      <c r="N359" s="1455"/>
      <c r="O359" s="1467"/>
      <c r="P359" s="1455"/>
      <c r="Q359" s="1467"/>
      <c r="R359" s="1455"/>
      <c r="S359" s="1467"/>
      <c r="T359" s="1455"/>
      <c r="U359" s="1467"/>
      <c r="V359" s="1455"/>
      <c r="W359" s="1467"/>
      <c r="X359" s="1455"/>
      <c r="Y359" s="1467"/>
      <c r="Z359" s="1455"/>
      <c r="AA359" s="1467"/>
      <c r="AB359" s="1455"/>
      <c r="AC359" s="1467"/>
      <c r="AD359" s="1455"/>
      <c r="AE359" s="1467"/>
      <c r="AF359" s="1455"/>
      <c r="AG359" s="1660"/>
      <c r="AH359" s="1460"/>
      <c r="AI359" s="1998"/>
      <c r="AJ359" s="1456"/>
      <c r="AK359" s="1457"/>
      <c r="AL359" s="1684"/>
      <c r="AM359" s="1684"/>
      <c r="AN359" t="str">
        <f t="shared" si="298"/>
        <v/>
      </c>
      <c r="CA359" s="1418" t="str">
        <f t="shared" si="299"/>
        <v/>
      </c>
      <c r="CB359" s="1418" t="str">
        <f t="shared" si="300"/>
        <v/>
      </c>
      <c r="CO359" s="419">
        <f t="shared" si="301"/>
        <v>0</v>
      </c>
      <c r="CP359" s="419">
        <f t="shared" si="302"/>
        <v>0</v>
      </c>
    </row>
    <row r="360" spans="1:94">
      <c r="A360" s="6127" t="s">
        <v>993</v>
      </c>
      <c r="B360" s="1422" t="s">
        <v>990</v>
      </c>
      <c r="C360" s="1988">
        <f t="shared" si="296"/>
        <v>0</v>
      </c>
      <c r="D360" s="1980">
        <f t="shared" si="297"/>
        <v>0</v>
      </c>
      <c r="E360" s="1989">
        <f t="shared" si="297"/>
        <v>0</v>
      </c>
      <c r="F360" s="1480"/>
      <c r="G360" s="1545"/>
      <c r="H360" s="1480"/>
      <c r="I360" s="1545"/>
      <c r="J360" s="1480"/>
      <c r="K360" s="1545"/>
      <c r="L360" s="1480"/>
      <c r="M360" s="1545"/>
      <c r="N360" s="1480"/>
      <c r="O360" s="1545"/>
      <c r="P360" s="1480"/>
      <c r="Q360" s="1545"/>
      <c r="R360" s="1480"/>
      <c r="S360" s="1545"/>
      <c r="T360" s="1480"/>
      <c r="U360" s="1545"/>
      <c r="V360" s="1480"/>
      <c r="W360" s="1545"/>
      <c r="X360" s="1480"/>
      <c r="Y360" s="1545"/>
      <c r="Z360" s="1480"/>
      <c r="AA360" s="1545"/>
      <c r="AB360" s="1480"/>
      <c r="AC360" s="1545"/>
      <c r="AD360" s="1480"/>
      <c r="AE360" s="1545"/>
      <c r="AF360" s="1480"/>
      <c r="AG360" s="1725"/>
      <c r="AH360" s="1544"/>
      <c r="AI360" s="1999"/>
      <c r="AJ360" s="1796"/>
      <c r="AK360" s="1541"/>
      <c r="AL360" s="1769"/>
      <c r="AM360" s="1769"/>
      <c r="AN360" t="str">
        <f t="shared" si="298"/>
        <v/>
      </c>
      <c r="CA360" s="1418" t="str">
        <f t="shared" si="299"/>
        <v/>
      </c>
      <c r="CB360" s="1418" t="str">
        <f t="shared" si="300"/>
        <v/>
      </c>
      <c r="CO360" s="419">
        <f t="shared" si="301"/>
        <v>0</v>
      </c>
      <c r="CP360" s="419">
        <f t="shared" si="302"/>
        <v>0</v>
      </c>
    </row>
    <row r="361" spans="1:94">
      <c r="A361" s="6128"/>
      <c r="B361" s="1540" t="s">
        <v>991</v>
      </c>
      <c r="C361" s="1991">
        <f t="shared" si="296"/>
        <v>0</v>
      </c>
      <c r="D361" s="1992">
        <f t="shared" si="297"/>
        <v>0</v>
      </c>
      <c r="E361" s="1993">
        <f t="shared" si="297"/>
        <v>0</v>
      </c>
      <c r="F361" s="1440"/>
      <c r="G361" s="1452"/>
      <c r="H361" s="1440"/>
      <c r="I361" s="1452"/>
      <c r="J361" s="1440"/>
      <c r="K361" s="1452"/>
      <c r="L361" s="1440"/>
      <c r="M361" s="1452"/>
      <c r="N361" s="1440"/>
      <c r="O361" s="1452"/>
      <c r="P361" s="1440"/>
      <c r="Q361" s="1452"/>
      <c r="R361" s="1440"/>
      <c r="S361" s="1452"/>
      <c r="T361" s="1440"/>
      <c r="U361" s="1452"/>
      <c r="V361" s="1440"/>
      <c r="W361" s="1452"/>
      <c r="X361" s="1440"/>
      <c r="Y361" s="1452"/>
      <c r="Z361" s="1440"/>
      <c r="AA361" s="1452"/>
      <c r="AB361" s="1440"/>
      <c r="AC361" s="1452"/>
      <c r="AD361" s="1440"/>
      <c r="AE361" s="1452"/>
      <c r="AF361" s="1440"/>
      <c r="AG361" s="1655"/>
      <c r="AH361" s="1445"/>
      <c r="AI361" s="1994"/>
      <c r="AJ361" s="1709"/>
      <c r="AK361" s="1441"/>
      <c r="AL361" s="1680"/>
      <c r="AM361" s="1680"/>
      <c r="AN361" t="str">
        <f t="shared" si="298"/>
        <v/>
      </c>
      <c r="CA361" s="1418" t="str">
        <f t="shared" si="299"/>
        <v/>
      </c>
      <c r="CB361" s="1418" t="str">
        <f t="shared" si="300"/>
        <v/>
      </c>
      <c r="CO361" s="419">
        <f t="shared" si="301"/>
        <v>0</v>
      </c>
      <c r="CP361" s="419">
        <f t="shared" si="302"/>
        <v>0</v>
      </c>
    </row>
    <row r="362" spans="1:94">
      <c r="A362" s="6129"/>
      <c r="B362" s="1527" t="s">
        <v>992</v>
      </c>
      <c r="C362" s="1928">
        <f t="shared" si="296"/>
        <v>0</v>
      </c>
      <c r="D362" s="2000">
        <f t="shared" si="297"/>
        <v>0</v>
      </c>
      <c r="E362" s="2001">
        <f t="shared" si="297"/>
        <v>0</v>
      </c>
      <c r="F362" s="1528"/>
      <c r="G362" s="1534"/>
      <c r="H362" s="1528"/>
      <c r="I362" s="1534"/>
      <c r="J362" s="1528"/>
      <c r="K362" s="1534"/>
      <c r="L362" s="1528"/>
      <c r="M362" s="1534"/>
      <c r="N362" s="1528"/>
      <c r="O362" s="1534"/>
      <c r="P362" s="1528"/>
      <c r="Q362" s="1534"/>
      <c r="R362" s="1528"/>
      <c r="S362" s="1534"/>
      <c r="T362" s="1528"/>
      <c r="U362" s="1534"/>
      <c r="V362" s="1528"/>
      <c r="W362" s="1534"/>
      <c r="X362" s="1528"/>
      <c r="Y362" s="1534"/>
      <c r="Z362" s="1528"/>
      <c r="AA362" s="1534"/>
      <c r="AB362" s="1528"/>
      <c r="AC362" s="1534"/>
      <c r="AD362" s="1528"/>
      <c r="AE362" s="1534"/>
      <c r="AF362" s="1528"/>
      <c r="AG362" s="1721"/>
      <c r="AH362" s="1460"/>
      <c r="AI362" s="1998"/>
      <c r="AJ362" s="1456"/>
      <c r="AK362" s="1457"/>
      <c r="AL362" s="1684"/>
      <c r="AM362" s="1684"/>
      <c r="AN362" t="str">
        <f t="shared" si="298"/>
        <v/>
      </c>
      <c r="CA362" s="1418" t="str">
        <f t="shared" si="299"/>
        <v/>
      </c>
      <c r="CB362" s="1418" t="str">
        <f t="shared" si="300"/>
        <v/>
      </c>
      <c r="CO362" s="419">
        <f t="shared" si="301"/>
        <v>0</v>
      </c>
      <c r="CP362" s="419">
        <f t="shared" si="302"/>
        <v>0</v>
      </c>
    </row>
    <row r="363" spans="1:94">
      <c r="A363" s="6130" t="s">
        <v>994</v>
      </c>
      <c r="B363" s="1422" t="s">
        <v>995</v>
      </c>
      <c r="C363" s="2002">
        <f t="shared" si="296"/>
        <v>0</v>
      </c>
      <c r="D363" s="2003">
        <f t="shared" si="297"/>
        <v>0</v>
      </c>
      <c r="E363" s="2004">
        <f t="shared" si="297"/>
        <v>0</v>
      </c>
      <c r="F363" s="1480"/>
      <c r="G363" s="1545"/>
      <c r="H363" s="1480"/>
      <c r="I363" s="1545"/>
      <c r="J363" s="1480"/>
      <c r="K363" s="1545"/>
      <c r="L363" s="1480"/>
      <c r="M363" s="1545"/>
      <c r="N363" s="1480"/>
      <c r="O363" s="1545"/>
      <c r="P363" s="1480"/>
      <c r="Q363" s="1545"/>
      <c r="R363" s="1480"/>
      <c r="S363" s="1545"/>
      <c r="T363" s="1480"/>
      <c r="U363" s="1545"/>
      <c r="V363" s="1480"/>
      <c r="W363" s="1545"/>
      <c r="X363" s="1480"/>
      <c r="Y363" s="1545"/>
      <c r="Z363" s="1480"/>
      <c r="AA363" s="1545"/>
      <c r="AB363" s="1480"/>
      <c r="AC363" s="1545"/>
      <c r="AD363" s="1480"/>
      <c r="AE363" s="1545"/>
      <c r="AF363" s="1480"/>
      <c r="AG363" s="1725"/>
      <c r="AH363" s="1544"/>
      <c r="AI363" s="1999"/>
      <c r="AJ363" s="1796"/>
      <c r="AK363" s="1541"/>
      <c r="AL363" s="1769"/>
      <c r="AM363" s="1769"/>
      <c r="AN363" t="str">
        <f t="shared" si="298"/>
        <v/>
      </c>
      <c r="CA363" s="1418" t="str">
        <f t="shared" si="299"/>
        <v/>
      </c>
      <c r="CB363" s="1418" t="str">
        <f t="shared" si="300"/>
        <v/>
      </c>
      <c r="CO363" s="419">
        <f t="shared" si="301"/>
        <v>0</v>
      </c>
      <c r="CP363" s="419">
        <f t="shared" si="302"/>
        <v>0</v>
      </c>
    </row>
    <row r="364" spans="1:94">
      <c r="A364" s="6131"/>
      <c r="B364" s="1512" t="s">
        <v>996</v>
      </c>
      <c r="C364" s="1991">
        <f t="shared" si="296"/>
        <v>0</v>
      </c>
      <c r="D364" s="1992">
        <f t="shared" si="297"/>
        <v>0</v>
      </c>
      <c r="E364" s="1993">
        <f t="shared" si="297"/>
        <v>0</v>
      </c>
      <c r="F364" s="1440"/>
      <c r="G364" s="1452"/>
      <c r="H364" s="1440"/>
      <c r="I364" s="1452"/>
      <c r="J364" s="1440"/>
      <c r="K364" s="1452"/>
      <c r="L364" s="1440"/>
      <c r="M364" s="1452"/>
      <c r="N364" s="1440"/>
      <c r="O364" s="1452"/>
      <c r="P364" s="1440"/>
      <c r="Q364" s="1452"/>
      <c r="R364" s="1440"/>
      <c r="S364" s="1452"/>
      <c r="T364" s="1440"/>
      <c r="U364" s="1452"/>
      <c r="V364" s="1440"/>
      <c r="W364" s="1452"/>
      <c r="X364" s="1440"/>
      <c r="Y364" s="1452"/>
      <c r="Z364" s="1440"/>
      <c r="AA364" s="1452"/>
      <c r="AB364" s="1440"/>
      <c r="AC364" s="1452"/>
      <c r="AD364" s="1440"/>
      <c r="AE364" s="1452"/>
      <c r="AF364" s="1440"/>
      <c r="AG364" s="1655"/>
      <c r="AH364" s="1445"/>
      <c r="AI364" s="1994"/>
      <c r="AJ364" s="1441"/>
      <c r="AK364" s="1442"/>
      <c r="AL364" s="1680"/>
      <c r="AM364" s="1680"/>
      <c r="AN364" t="str">
        <f t="shared" si="298"/>
        <v/>
      </c>
      <c r="CA364" s="1418" t="str">
        <f t="shared" si="299"/>
        <v/>
      </c>
      <c r="CB364" s="1418" t="str">
        <f t="shared" si="300"/>
        <v/>
      </c>
      <c r="CO364" s="419">
        <f t="shared" si="301"/>
        <v>0</v>
      </c>
      <c r="CP364" s="419">
        <f t="shared" si="302"/>
        <v>0</v>
      </c>
    </row>
    <row r="365" spans="1:94">
      <c r="A365" s="6131"/>
      <c r="B365" s="1512" t="s">
        <v>997</v>
      </c>
      <c r="C365" s="1991">
        <f t="shared" si="296"/>
        <v>0</v>
      </c>
      <c r="D365" s="1992">
        <f t="shared" si="297"/>
        <v>0</v>
      </c>
      <c r="E365" s="1993">
        <f t="shared" si="297"/>
        <v>0</v>
      </c>
      <c r="F365" s="1440"/>
      <c r="G365" s="1452"/>
      <c r="H365" s="1440"/>
      <c r="I365" s="1452"/>
      <c r="J365" s="1440"/>
      <c r="K365" s="1452"/>
      <c r="L365" s="1440"/>
      <c r="M365" s="1452"/>
      <c r="N365" s="1440"/>
      <c r="O365" s="1452"/>
      <c r="P365" s="1440"/>
      <c r="Q365" s="1452"/>
      <c r="R365" s="1440"/>
      <c r="S365" s="1452"/>
      <c r="T365" s="1440"/>
      <c r="U365" s="1452"/>
      <c r="V365" s="1440"/>
      <c r="W365" s="1452"/>
      <c r="X365" s="1440"/>
      <c r="Y365" s="1452"/>
      <c r="Z365" s="1440"/>
      <c r="AA365" s="1452"/>
      <c r="AB365" s="1440"/>
      <c r="AC365" s="1452"/>
      <c r="AD365" s="1440"/>
      <c r="AE365" s="1452"/>
      <c r="AF365" s="1440"/>
      <c r="AG365" s="1655"/>
      <c r="AH365" s="1445"/>
      <c r="AI365" s="1994"/>
      <c r="AJ365" s="1441"/>
      <c r="AK365" s="1442"/>
      <c r="AL365" s="1680"/>
      <c r="AM365" s="1680"/>
      <c r="AN365" t="str">
        <f t="shared" si="298"/>
        <v/>
      </c>
      <c r="CA365" s="1418" t="str">
        <f t="shared" si="299"/>
        <v/>
      </c>
      <c r="CB365" s="1418" t="str">
        <f t="shared" si="300"/>
        <v/>
      </c>
      <c r="CO365" s="419">
        <f t="shared" si="301"/>
        <v>0</v>
      </c>
      <c r="CP365" s="419">
        <f t="shared" si="302"/>
        <v>0</v>
      </c>
    </row>
    <row r="366" spans="1:94">
      <c r="A366" s="6132"/>
      <c r="B366" s="1527" t="s">
        <v>998</v>
      </c>
      <c r="C366" s="1928">
        <f t="shared" si="296"/>
        <v>0</v>
      </c>
      <c r="D366" s="2000">
        <f t="shared" si="297"/>
        <v>0</v>
      </c>
      <c r="E366" s="2001">
        <f t="shared" si="297"/>
        <v>0</v>
      </c>
      <c r="F366" s="1528"/>
      <c r="G366" s="1534"/>
      <c r="H366" s="1528"/>
      <c r="I366" s="1534"/>
      <c r="J366" s="1528"/>
      <c r="K366" s="1534"/>
      <c r="L366" s="1528"/>
      <c r="M366" s="1534"/>
      <c r="N366" s="1528"/>
      <c r="O366" s="1534"/>
      <c r="P366" s="1528"/>
      <c r="Q366" s="1534"/>
      <c r="R366" s="1528"/>
      <c r="S366" s="1534"/>
      <c r="T366" s="1528"/>
      <c r="U366" s="1534"/>
      <c r="V366" s="1528"/>
      <c r="W366" s="1534"/>
      <c r="X366" s="1528"/>
      <c r="Y366" s="1534"/>
      <c r="Z366" s="1528"/>
      <c r="AA366" s="1534"/>
      <c r="AB366" s="1528"/>
      <c r="AC366" s="1534"/>
      <c r="AD366" s="1528"/>
      <c r="AE366" s="1534"/>
      <c r="AF366" s="1528"/>
      <c r="AG366" s="1721"/>
      <c r="AH366" s="1532"/>
      <c r="AI366" s="2006"/>
      <c r="AJ366" s="1552"/>
      <c r="AK366" s="1529"/>
      <c r="AL366" s="1801"/>
      <c r="AM366" s="1801"/>
      <c r="AN366" t="str">
        <f t="shared" si="298"/>
        <v/>
      </c>
      <c r="CA366" s="1418" t="str">
        <f t="shared" si="299"/>
        <v/>
      </c>
      <c r="CB366" s="1418" t="str">
        <f t="shared" si="300"/>
        <v/>
      </c>
      <c r="CO366" s="419">
        <f t="shared" si="301"/>
        <v>0</v>
      </c>
      <c r="CP366" s="419">
        <f t="shared" si="302"/>
        <v>0</v>
      </c>
    </row>
    <row r="367" spans="1:94" ht="18" customHeight="1">
      <c r="A367" s="2007" t="s">
        <v>999</v>
      </c>
      <c r="B367" s="1581"/>
      <c r="C367" s="1582"/>
      <c r="D367" s="385"/>
      <c r="E367" s="1582"/>
      <c r="F367" s="1582"/>
      <c r="G367" s="1582"/>
      <c r="H367" s="1582"/>
      <c r="I367" s="1582"/>
      <c r="J367" s="1582"/>
      <c r="K367" s="2008"/>
      <c r="L367" s="1582"/>
      <c r="M367" s="1582"/>
      <c r="N367" s="1582"/>
      <c r="O367" s="1582"/>
      <c r="P367" s="1582"/>
      <c r="Q367" s="1582"/>
      <c r="R367" s="1582"/>
      <c r="S367" s="1582"/>
      <c r="T367" s="1582"/>
      <c r="U367" s="1582"/>
      <c r="V367" s="1582"/>
      <c r="W367" s="1582"/>
      <c r="X367" s="1582"/>
      <c r="Y367" s="1582"/>
      <c r="Z367" s="1582"/>
      <c r="AA367" s="1582"/>
      <c r="AB367" s="1582"/>
      <c r="AC367" s="1582"/>
      <c r="AD367" s="1582"/>
      <c r="AE367" s="1582"/>
      <c r="AF367" s="1582"/>
      <c r="AG367" s="1582"/>
      <c r="AH367" s="1582"/>
      <c r="AI367" s="1582"/>
      <c r="AJ367" s="1582"/>
      <c r="AK367" s="1582"/>
      <c r="AL367" s="1582"/>
      <c r="AM367" s="1582"/>
      <c r="AN367" s="1582"/>
      <c r="AO367" s="1582"/>
      <c r="AP367" s="1582"/>
      <c r="AQ367" s="1582"/>
      <c r="AR367" s="1582"/>
      <c r="AS367" s="1582"/>
    </row>
    <row r="368" spans="1:94">
      <c r="A368" s="6260" t="s">
        <v>1000</v>
      </c>
      <c r="B368" s="6140" t="s">
        <v>91</v>
      </c>
      <c r="C368" s="6139"/>
      <c r="D368" s="6119"/>
      <c r="E368" s="5707" t="s">
        <v>115</v>
      </c>
      <c r="F368" s="5708"/>
      <c r="G368" s="5708"/>
      <c r="H368" s="5708"/>
      <c r="I368" s="5708"/>
      <c r="J368" s="5708"/>
      <c r="K368" s="5708"/>
      <c r="L368" s="5708"/>
      <c r="M368" s="5708"/>
      <c r="N368" s="5708"/>
      <c r="O368" s="5708"/>
      <c r="P368" s="5708"/>
      <c r="Q368" s="5708"/>
      <c r="R368" s="5708"/>
      <c r="S368" s="5708"/>
      <c r="T368" s="5708"/>
      <c r="U368" s="5708"/>
      <c r="V368" s="5708"/>
      <c r="W368" s="5708"/>
      <c r="X368" s="5708"/>
      <c r="Y368" s="5708"/>
      <c r="Z368" s="5708"/>
      <c r="AA368" s="5708"/>
      <c r="AB368" s="5708"/>
      <c r="AC368" s="5708"/>
      <c r="AD368" s="5708"/>
      <c r="AE368" s="5708"/>
      <c r="AF368" s="5708"/>
      <c r="AG368" s="5708"/>
      <c r="AH368" s="5708"/>
      <c r="AI368" s="5708"/>
      <c r="AJ368" s="5708"/>
      <c r="AK368" s="5708"/>
      <c r="AL368" s="6147"/>
      <c r="AM368" s="6269" t="s">
        <v>1001</v>
      </c>
      <c r="AN368" s="6269"/>
      <c r="AO368" s="6269"/>
      <c r="AP368" s="6270"/>
      <c r="AQ368" s="6256" t="s">
        <v>1002</v>
      </c>
      <c r="AR368" s="6203" t="s">
        <v>50</v>
      </c>
      <c r="AS368" s="6119" t="s">
        <v>51</v>
      </c>
    </row>
    <row r="369" spans="1:94">
      <c r="A369" s="6261"/>
      <c r="B369" s="6141"/>
      <c r="C369" s="6166"/>
      <c r="D369" s="6120"/>
      <c r="E369" s="5710" t="s">
        <v>364</v>
      </c>
      <c r="F369" s="5712"/>
      <c r="G369" s="5710" t="s">
        <v>347</v>
      </c>
      <c r="H369" s="5712"/>
      <c r="I369" s="5710" t="s">
        <v>108</v>
      </c>
      <c r="J369" s="5712"/>
      <c r="K369" s="5710" t="s">
        <v>58</v>
      </c>
      <c r="L369" s="5712"/>
      <c r="M369" s="5710" t="s">
        <v>59</v>
      </c>
      <c r="N369" s="5712"/>
      <c r="O369" s="5710" t="s">
        <v>1003</v>
      </c>
      <c r="P369" s="5712"/>
      <c r="Q369" s="5710" t="s">
        <v>656</v>
      </c>
      <c r="R369" s="5712"/>
      <c r="S369" s="5710" t="s">
        <v>62</v>
      </c>
      <c r="T369" s="5712"/>
      <c r="U369" s="5710" t="s">
        <v>63</v>
      </c>
      <c r="V369" s="5712"/>
      <c r="W369" s="5710" t="s">
        <v>1004</v>
      </c>
      <c r="X369" s="5712"/>
      <c r="Y369" s="5710" t="s">
        <v>65</v>
      </c>
      <c r="Z369" s="5712"/>
      <c r="AA369" s="5710" t="s">
        <v>66</v>
      </c>
      <c r="AB369" s="5712"/>
      <c r="AC369" s="5710" t="s">
        <v>67</v>
      </c>
      <c r="AD369" s="5712"/>
      <c r="AE369" s="5710" t="s">
        <v>68</v>
      </c>
      <c r="AF369" s="5712"/>
      <c r="AG369" s="5710" t="s">
        <v>69</v>
      </c>
      <c r="AH369" s="5712"/>
      <c r="AI369" s="5710" t="s">
        <v>70</v>
      </c>
      <c r="AJ369" s="5712"/>
      <c r="AK369" s="5707" t="s">
        <v>497</v>
      </c>
      <c r="AL369" s="6147"/>
      <c r="AM369" s="6271" t="s">
        <v>1005</v>
      </c>
      <c r="AN369" s="6273" t="s">
        <v>1006</v>
      </c>
      <c r="AO369" s="6275" t="s">
        <v>1007</v>
      </c>
      <c r="AP369" s="6276" t="s">
        <v>1008</v>
      </c>
      <c r="AQ369" s="6257"/>
      <c r="AR369" s="6268"/>
      <c r="AS369" s="6120"/>
    </row>
    <row r="370" spans="1:94">
      <c r="A370" s="6262"/>
      <c r="B370" s="1395" t="s">
        <v>93</v>
      </c>
      <c r="C370" s="1396" t="s">
        <v>72</v>
      </c>
      <c r="D370" s="1584" t="s">
        <v>73</v>
      </c>
      <c r="E370" s="1395" t="s">
        <v>72</v>
      </c>
      <c r="F370" s="393" t="s">
        <v>73</v>
      </c>
      <c r="G370" s="1395" t="s">
        <v>72</v>
      </c>
      <c r="H370" s="393" t="s">
        <v>73</v>
      </c>
      <c r="I370" s="1395" t="s">
        <v>72</v>
      </c>
      <c r="J370" s="393" t="s">
        <v>73</v>
      </c>
      <c r="K370" s="1395" t="s">
        <v>72</v>
      </c>
      <c r="L370" s="393" t="s">
        <v>73</v>
      </c>
      <c r="M370" s="1395" t="s">
        <v>72</v>
      </c>
      <c r="N370" s="393" t="s">
        <v>73</v>
      </c>
      <c r="O370" s="1395" t="s">
        <v>72</v>
      </c>
      <c r="P370" s="393" t="s">
        <v>73</v>
      </c>
      <c r="Q370" s="1395" t="s">
        <v>72</v>
      </c>
      <c r="R370" s="393" t="s">
        <v>73</v>
      </c>
      <c r="S370" s="1395" t="s">
        <v>72</v>
      </c>
      <c r="T370" s="393" t="s">
        <v>73</v>
      </c>
      <c r="U370" s="1395" t="s">
        <v>72</v>
      </c>
      <c r="V370" s="393" t="s">
        <v>73</v>
      </c>
      <c r="W370" s="1395" t="s">
        <v>72</v>
      </c>
      <c r="X370" s="393" t="s">
        <v>73</v>
      </c>
      <c r="Y370" s="1395" t="s">
        <v>72</v>
      </c>
      <c r="Z370" s="393" t="s">
        <v>73</v>
      </c>
      <c r="AA370" s="1395" t="s">
        <v>72</v>
      </c>
      <c r="AB370" s="393" t="s">
        <v>73</v>
      </c>
      <c r="AC370" s="1395" t="s">
        <v>72</v>
      </c>
      <c r="AD370" s="393" t="s">
        <v>73</v>
      </c>
      <c r="AE370" s="1395" t="s">
        <v>72</v>
      </c>
      <c r="AF370" s="393" t="s">
        <v>73</v>
      </c>
      <c r="AG370" s="1395" t="s">
        <v>72</v>
      </c>
      <c r="AH370" s="393" t="s">
        <v>73</v>
      </c>
      <c r="AI370" s="1395" t="s">
        <v>72</v>
      </c>
      <c r="AJ370" s="393" t="s">
        <v>73</v>
      </c>
      <c r="AK370" s="1395" t="s">
        <v>72</v>
      </c>
      <c r="AL370" s="394" t="s">
        <v>73</v>
      </c>
      <c r="AM370" s="6272"/>
      <c r="AN370" s="6274"/>
      <c r="AO370" s="6274"/>
      <c r="AP370" s="6277"/>
      <c r="AQ370" s="6258"/>
      <c r="AR370" s="6204"/>
      <c r="AS370" s="6116"/>
    </row>
    <row r="371" spans="1:94" ht="15" customHeight="1">
      <c r="A371" s="2010" t="s">
        <v>1009</v>
      </c>
      <c r="B371" s="1805"/>
      <c r="C371" s="1810"/>
      <c r="D371" s="1811"/>
      <c r="E371" s="1805"/>
      <c r="F371" s="1806"/>
      <c r="G371" s="1805"/>
      <c r="H371" s="1806"/>
      <c r="I371" s="1805"/>
      <c r="J371" s="1806"/>
      <c r="K371" s="1805"/>
      <c r="L371" s="1806"/>
      <c r="M371" s="1805"/>
      <c r="N371" s="1806"/>
      <c r="O371" s="1805"/>
      <c r="P371" s="1806"/>
      <c r="Q371" s="1805"/>
      <c r="R371" s="1806"/>
      <c r="S371" s="1805"/>
      <c r="T371" s="1806"/>
      <c r="U371" s="1805"/>
      <c r="V371" s="1806"/>
      <c r="W371" s="1805"/>
      <c r="X371" s="1806"/>
      <c r="Y371" s="1805"/>
      <c r="Z371" s="1806"/>
      <c r="AA371" s="1805"/>
      <c r="AB371" s="1806"/>
      <c r="AC371" s="1805"/>
      <c r="AD371" s="1806"/>
      <c r="AE371" s="1805"/>
      <c r="AF371" s="1806"/>
      <c r="AG371" s="1805"/>
      <c r="AH371" s="1806"/>
      <c r="AI371" s="1805"/>
      <c r="AJ371" s="1806"/>
      <c r="AK371" s="1805"/>
      <c r="AL371" s="2011"/>
      <c r="AM371" s="2012"/>
      <c r="AN371" s="1536"/>
      <c r="AO371" s="1536"/>
      <c r="AP371" s="1806"/>
      <c r="AQ371" s="2013"/>
      <c r="AR371" s="2012"/>
      <c r="AS371" s="1806"/>
    </row>
    <row r="372" spans="1:94" ht="21">
      <c r="A372" s="2014" t="s">
        <v>1010</v>
      </c>
      <c r="B372" s="2015">
        <f t="shared" ref="B372:B389" si="303">SUM(C372:D372)</f>
        <v>0</v>
      </c>
      <c r="C372" s="2016">
        <f t="shared" ref="C372:D389" si="304">SUM(E372,G372,I372,K372,M372,O372,Q372,S372,U372,W372,Y372,AA372,AC372,AE372,AG372,AI372,AK372)</f>
        <v>0</v>
      </c>
      <c r="D372" s="1649">
        <f t="shared" ref="D372:D373" si="305">SUM(F372,H372,J372,L372,N372,P372,R372,T372,V372,X372,Z372,AB372,AD372,AF372,AH372,AJ372,AL372)</f>
        <v>0</v>
      </c>
      <c r="E372" s="1424"/>
      <c r="F372" s="1436"/>
      <c r="G372" s="1424"/>
      <c r="H372" s="1436"/>
      <c r="I372" s="1424"/>
      <c r="J372" s="1436"/>
      <c r="K372" s="1424"/>
      <c r="L372" s="1436"/>
      <c r="M372" s="1424"/>
      <c r="N372" s="1436"/>
      <c r="O372" s="1424"/>
      <c r="P372" s="1436"/>
      <c r="Q372" s="1424"/>
      <c r="R372" s="1436"/>
      <c r="S372" s="1424"/>
      <c r="T372" s="1436"/>
      <c r="U372" s="1424"/>
      <c r="V372" s="1436"/>
      <c r="W372" s="1424"/>
      <c r="X372" s="1436"/>
      <c r="Y372" s="1424"/>
      <c r="Z372" s="1436"/>
      <c r="AA372" s="1424"/>
      <c r="AB372" s="1436"/>
      <c r="AC372" s="1424"/>
      <c r="AD372" s="1436"/>
      <c r="AE372" s="1424"/>
      <c r="AF372" s="1436"/>
      <c r="AG372" s="1424"/>
      <c r="AH372" s="1436"/>
      <c r="AI372" s="1424"/>
      <c r="AJ372" s="1436"/>
      <c r="AK372" s="1424"/>
      <c r="AL372" s="1650"/>
      <c r="AM372" s="1897"/>
      <c r="AN372" s="1503"/>
      <c r="AO372" s="1503"/>
      <c r="AP372" s="1815"/>
      <c r="AQ372" s="1990"/>
      <c r="AR372" s="1707"/>
      <c r="AS372" s="1436"/>
      <c r="AT372" t="str">
        <f t="shared" ref="AT372:AT389" si="306">CA372&amp;CB372</f>
        <v/>
      </c>
      <c r="CA372" s="1418" t="str">
        <f>IF(AND(B372&gt;0,AR372=""),"* No olvide digitar la variable Pueblos originarios. Digite Cero si no tiene.",IF(AR372&gt;B372," * La variable Pueblos originarios No puede ser mayor al Total.",""))</f>
        <v/>
      </c>
      <c r="CB372" s="1418" t="str">
        <f t="shared" ref="CB372:CB389" si="307">IF(AND(B372&gt;0,AS372="")," * No olvide digitar la variable Migrantes. Digite Cero si no tiene.",IF(AS372&gt;B372," * La variable Migrantes No puede ser mayor al Total.",""))</f>
        <v/>
      </c>
      <c r="CO372" s="419">
        <f t="shared" ref="CO372:CO389" si="308">IF(AND(B372&gt;0,AR372=""),1,IF(AR372&gt;B372,1,0))</f>
        <v>0</v>
      </c>
      <c r="CP372" s="419">
        <f t="shared" ref="CP372:CP389" si="309">IF(AND(B372&gt;0,AS372=""),1,IF(AS372&gt;B372,1,0))</f>
        <v>0</v>
      </c>
    </row>
    <row r="373" spans="1:94" ht="21">
      <c r="A373" s="2017" t="s">
        <v>1011</v>
      </c>
      <c r="B373" s="2015">
        <f t="shared" si="303"/>
        <v>0</v>
      </c>
      <c r="C373" s="2016">
        <f t="shared" si="304"/>
        <v>0</v>
      </c>
      <c r="D373" s="1649">
        <f t="shared" si="305"/>
        <v>0</v>
      </c>
      <c r="E373" s="1455"/>
      <c r="F373" s="1467"/>
      <c r="G373" s="1455"/>
      <c r="H373" s="1467"/>
      <c r="I373" s="1455"/>
      <c r="J373" s="1467"/>
      <c r="K373" s="1455"/>
      <c r="L373" s="1467"/>
      <c r="M373" s="1455"/>
      <c r="N373" s="1467"/>
      <c r="O373" s="1455"/>
      <c r="P373" s="1467"/>
      <c r="Q373" s="1455"/>
      <c r="R373" s="1467"/>
      <c r="S373" s="1455"/>
      <c r="T373" s="1467"/>
      <c r="U373" s="1455"/>
      <c r="V373" s="1467"/>
      <c r="W373" s="1455"/>
      <c r="X373" s="1467"/>
      <c r="Y373" s="1455"/>
      <c r="Z373" s="1467"/>
      <c r="AA373" s="1455"/>
      <c r="AB373" s="1467"/>
      <c r="AC373" s="1455"/>
      <c r="AD373" s="1467"/>
      <c r="AE373" s="1455"/>
      <c r="AF373" s="1467"/>
      <c r="AG373" s="1455"/>
      <c r="AH373" s="1467"/>
      <c r="AI373" s="1455"/>
      <c r="AJ373" s="1467"/>
      <c r="AK373" s="1455"/>
      <c r="AL373" s="1660"/>
      <c r="AM373" s="2018"/>
      <c r="AN373" s="1507"/>
      <c r="AO373" s="1507"/>
      <c r="AP373" s="1876"/>
      <c r="AQ373" s="1998"/>
      <c r="AR373" s="1714"/>
      <c r="AS373" s="1467"/>
      <c r="AT373" t="str">
        <f t="shared" si="306"/>
        <v/>
      </c>
      <c r="CA373" s="1418" t="str">
        <f>IF(AND(B373&gt;0,AR373="")," * No olvide digitar la variable Pueblos originarios. Digite Cero si no tiene.",IF(AR373&gt;B373," * La variable Pueblos originarios No puede ser mayor al Total.",""))</f>
        <v/>
      </c>
      <c r="CB373" s="1418" t="str">
        <f t="shared" si="307"/>
        <v/>
      </c>
      <c r="CO373" s="419">
        <f t="shared" si="308"/>
        <v>0</v>
      </c>
      <c r="CP373" s="419">
        <f t="shared" si="309"/>
        <v>0</v>
      </c>
    </row>
    <row r="374" spans="1:94">
      <c r="A374" s="2019" t="s">
        <v>1012</v>
      </c>
      <c r="B374" s="2020"/>
      <c r="C374" s="2021"/>
      <c r="D374" s="1811"/>
      <c r="E374" s="1805"/>
      <c r="F374" s="1806"/>
      <c r="G374" s="1805"/>
      <c r="H374" s="1806"/>
      <c r="I374" s="1805"/>
      <c r="J374" s="1806"/>
      <c r="K374" s="1805"/>
      <c r="L374" s="1806"/>
      <c r="M374" s="1805"/>
      <c r="N374" s="1806"/>
      <c r="O374" s="1805"/>
      <c r="P374" s="1806"/>
      <c r="Q374" s="1805"/>
      <c r="R374" s="1806"/>
      <c r="S374" s="1805"/>
      <c r="T374" s="1806"/>
      <c r="U374" s="1805"/>
      <c r="V374" s="1806"/>
      <c r="W374" s="1805"/>
      <c r="X374" s="1806"/>
      <c r="Y374" s="1805"/>
      <c r="Z374" s="1806"/>
      <c r="AA374" s="1805"/>
      <c r="AB374" s="1806"/>
      <c r="AC374" s="1805"/>
      <c r="AD374" s="1806"/>
      <c r="AE374" s="1805"/>
      <c r="AF374" s="1806"/>
      <c r="AG374" s="1805"/>
      <c r="AH374" s="1806"/>
      <c r="AI374" s="1805"/>
      <c r="AJ374" s="1806"/>
      <c r="AK374" s="1805"/>
      <c r="AL374" s="2011"/>
      <c r="AM374" s="2012"/>
      <c r="AN374" s="1536"/>
      <c r="AO374" s="1536"/>
      <c r="AP374" s="1806"/>
      <c r="AQ374" s="2013"/>
      <c r="AR374" s="2012"/>
      <c r="AS374" s="1806"/>
      <c r="CA374" s="1868"/>
      <c r="CB374" s="1868"/>
      <c r="CO374" s="2022"/>
      <c r="CP374" s="2022"/>
    </row>
    <row r="375" spans="1:94" ht="21">
      <c r="A375" s="2014" t="s">
        <v>1013</v>
      </c>
      <c r="B375" s="2023">
        <f t="shared" si="303"/>
        <v>0</v>
      </c>
      <c r="C375" s="2024">
        <f t="shared" si="304"/>
        <v>0</v>
      </c>
      <c r="D375" s="1689">
        <f t="shared" si="304"/>
        <v>0</v>
      </c>
      <c r="E375" s="1480"/>
      <c r="F375" s="1545"/>
      <c r="G375" s="1480"/>
      <c r="H375" s="1545"/>
      <c r="I375" s="1480"/>
      <c r="J375" s="1545"/>
      <c r="K375" s="1480"/>
      <c r="L375" s="1545"/>
      <c r="M375" s="1480"/>
      <c r="N375" s="1545"/>
      <c r="O375" s="1480"/>
      <c r="P375" s="1545"/>
      <c r="Q375" s="1480"/>
      <c r="R375" s="1545"/>
      <c r="S375" s="1480"/>
      <c r="T375" s="1545"/>
      <c r="U375" s="1480"/>
      <c r="V375" s="1545"/>
      <c r="W375" s="1480"/>
      <c r="X375" s="1545"/>
      <c r="Y375" s="1480"/>
      <c r="Z375" s="1545"/>
      <c r="AA375" s="1480"/>
      <c r="AB375" s="1545"/>
      <c r="AC375" s="1480"/>
      <c r="AD375" s="1545"/>
      <c r="AE375" s="1480"/>
      <c r="AF375" s="1545"/>
      <c r="AG375" s="1480"/>
      <c r="AH375" s="1545"/>
      <c r="AI375" s="1480"/>
      <c r="AJ375" s="1545"/>
      <c r="AK375" s="1480"/>
      <c r="AL375" s="1725"/>
      <c r="AM375" s="2025"/>
      <c r="AN375" s="1542"/>
      <c r="AO375" s="1542"/>
      <c r="AP375" s="1912"/>
      <c r="AQ375" s="1999"/>
      <c r="AR375" s="1754"/>
      <c r="AS375" s="1545"/>
      <c r="AT375" t="str">
        <f t="shared" si="306"/>
        <v/>
      </c>
      <c r="CA375" s="1418" t="str">
        <f t="shared" ref="CA375:CA389" si="310">IF(AND(B375&gt;0,AR375="")," * No olvide digitar la variable Pueblos originarios. Digite Cero si no tiene.",IF(AR375&gt;B375," * La variable Pueblos originarios No puede ser mayor al Total.",""))</f>
        <v/>
      </c>
      <c r="CB375" s="1418" t="str">
        <f t="shared" si="307"/>
        <v/>
      </c>
      <c r="CO375" s="419">
        <f t="shared" si="308"/>
        <v>0</v>
      </c>
      <c r="CP375" s="419">
        <f t="shared" si="309"/>
        <v>0</v>
      </c>
    </row>
    <row r="376" spans="1:94" ht="21">
      <c r="A376" s="2026" t="s">
        <v>1014</v>
      </c>
      <c r="B376" s="2027">
        <f t="shared" si="303"/>
        <v>0</v>
      </c>
      <c r="C376" s="2028">
        <f t="shared" si="304"/>
        <v>0</v>
      </c>
      <c r="D376" s="1697">
        <f t="shared" si="304"/>
        <v>0</v>
      </c>
      <c r="E376" s="1517"/>
      <c r="F376" s="1692"/>
      <c r="G376" s="1485"/>
      <c r="H376" s="1692"/>
      <c r="I376" s="1485"/>
      <c r="J376" s="1692"/>
      <c r="K376" s="1485"/>
      <c r="L376" s="1692"/>
      <c r="M376" s="1485"/>
      <c r="N376" s="1692"/>
      <c r="O376" s="1485"/>
      <c r="P376" s="1692"/>
      <c r="Q376" s="1485"/>
      <c r="R376" s="1692"/>
      <c r="S376" s="1485"/>
      <c r="T376" s="1692"/>
      <c r="U376" s="1485"/>
      <c r="V376" s="1692"/>
      <c r="W376" s="1485"/>
      <c r="X376" s="1692"/>
      <c r="Y376" s="1485"/>
      <c r="Z376" s="1692"/>
      <c r="AA376" s="1485"/>
      <c r="AB376" s="1692"/>
      <c r="AC376" s="1485"/>
      <c r="AD376" s="1692"/>
      <c r="AE376" s="1485"/>
      <c r="AF376" s="1692"/>
      <c r="AG376" s="1485"/>
      <c r="AH376" s="1692"/>
      <c r="AI376" s="1485"/>
      <c r="AJ376" s="1692"/>
      <c r="AK376" s="1485"/>
      <c r="AL376" s="1710"/>
      <c r="AM376" s="2029"/>
      <c r="AN376" s="2030"/>
      <c r="AO376" s="2030"/>
      <c r="AP376" s="1873"/>
      <c r="AQ376" s="2031"/>
      <c r="AR376" s="1711"/>
      <c r="AS376" s="1692"/>
      <c r="AT376" t="str">
        <f t="shared" si="306"/>
        <v/>
      </c>
      <c r="CA376" s="1418" t="str">
        <f t="shared" si="310"/>
        <v/>
      </c>
      <c r="CB376" s="1418" t="str">
        <f t="shared" si="307"/>
        <v/>
      </c>
      <c r="CO376" s="419">
        <f t="shared" si="308"/>
        <v>0</v>
      </c>
      <c r="CP376" s="419">
        <f t="shared" si="309"/>
        <v>0</v>
      </c>
    </row>
    <row r="377" spans="1:94">
      <c r="A377" s="2010" t="s">
        <v>1015</v>
      </c>
      <c r="B377" s="2020"/>
      <c r="C377" s="2021"/>
      <c r="D377" s="1811"/>
      <c r="E377" s="1805"/>
      <c r="F377" s="1806"/>
      <c r="G377" s="1805"/>
      <c r="H377" s="1806"/>
      <c r="I377" s="1805"/>
      <c r="J377" s="1806"/>
      <c r="K377" s="1805"/>
      <c r="L377" s="1806"/>
      <c r="M377" s="1805"/>
      <c r="N377" s="1806"/>
      <c r="O377" s="1805"/>
      <c r="P377" s="1806"/>
      <c r="Q377" s="1805"/>
      <c r="R377" s="1806"/>
      <c r="S377" s="1805"/>
      <c r="T377" s="1806"/>
      <c r="U377" s="1805"/>
      <c r="V377" s="1806"/>
      <c r="W377" s="1805"/>
      <c r="X377" s="1806"/>
      <c r="Y377" s="1805"/>
      <c r="Z377" s="1806"/>
      <c r="AA377" s="1805"/>
      <c r="AB377" s="1806"/>
      <c r="AC377" s="1805"/>
      <c r="AD377" s="1806"/>
      <c r="AE377" s="1805"/>
      <c r="AF377" s="1806"/>
      <c r="AG377" s="1805"/>
      <c r="AH377" s="1806"/>
      <c r="AI377" s="1805"/>
      <c r="AJ377" s="1806"/>
      <c r="AK377" s="1805"/>
      <c r="AL377" s="2011"/>
      <c r="AM377" s="2012"/>
      <c r="AN377" s="1536"/>
      <c r="AO377" s="1536"/>
      <c r="AP377" s="1806"/>
      <c r="AQ377" s="2013"/>
      <c r="AR377" s="2012"/>
      <c r="AS377" s="1806"/>
      <c r="CA377" s="1868"/>
      <c r="CB377" s="1868"/>
      <c r="CO377" s="2022"/>
      <c r="CP377" s="2022"/>
    </row>
    <row r="378" spans="1:94" ht="21">
      <c r="A378" s="2014" t="s">
        <v>1016</v>
      </c>
      <c r="B378" s="2032">
        <f t="shared" si="303"/>
        <v>0</v>
      </c>
      <c r="C378" s="2024">
        <f t="shared" si="304"/>
        <v>0</v>
      </c>
      <c r="D378" s="2033">
        <f t="shared" si="304"/>
        <v>0</v>
      </c>
      <c r="E378" s="1517"/>
      <c r="F378" s="1523"/>
      <c r="G378" s="1517"/>
      <c r="H378" s="1523"/>
      <c r="I378" s="1517"/>
      <c r="J378" s="1523"/>
      <c r="K378" s="1517"/>
      <c r="L378" s="1523"/>
      <c r="M378" s="1517"/>
      <c r="N378" s="1523"/>
      <c r="O378" s="1517"/>
      <c r="P378" s="1523"/>
      <c r="Q378" s="1517"/>
      <c r="R378" s="1523"/>
      <c r="S378" s="1517"/>
      <c r="T378" s="1523"/>
      <c r="U378" s="1517"/>
      <c r="V378" s="1523"/>
      <c r="W378" s="1517"/>
      <c r="X378" s="1523"/>
      <c r="Y378" s="1517"/>
      <c r="Z378" s="1523"/>
      <c r="AA378" s="1517"/>
      <c r="AB378" s="1523"/>
      <c r="AC378" s="1517"/>
      <c r="AD378" s="1523"/>
      <c r="AE378" s="1517"/>
      <c r="AF378" s="1523"/>
      <c r="AG378" s="1517"/>
      <c r="AH378" s="1523"/>
      <c r="AI378" s="1517"/>
      <c r="AJ378" s="1523"/>
      <c r="AK378" s="1517"/>
      <c r="AL378" s="1908"/>
      <c r="AM378" s="2034"/>
      <c r="AN378" s="1519"/>
      <c r="AO378" s="1519"/>
      <c r="AP378" s="1819"/>
      <c r="AQ378" s="2035"/>
      <c r="AR378" s="1907"/>
      <c r="AS378" s="1523"/>
      <c r="AT378" t="str">
        <f t="shared" si="306"/>
        <v/>
      </c>
      <c r="CA378" s="1418" t="str">
        <f t="shared" si="310"/>
        <v/>
      </c>
      <c r="CB378" s="1418" t="str">
        <f t="shared" si="307"/>
        <v/>
      </c>
      <c r="CO378" s="419">
        <f t="shared" si="308"/>
        <v>0</v>
      </c>
      <c r="CP378" s="419">
        <f t="shared" si="309"/>
        <v>0</v>
      </c>
    </row>
    <row r="379" spans="1:94">
      <c r="A379" s="2026" t="s">
        <v>1017</v>
      </c>
      <c r="B379" s="2027">
        <f t="shared" si="303"/>
        <v>0</v>
      </c>
      <c r="C379" s="2028">
        <f t="shared" si="304"/>
        <v>0</v>
      </c>
      <c r="D379" s="1697">
        <f t="shared" si="304"/>
        <v>0</v>
      </c>
      <c r="E379" s="1485"/>
      <c r="F379" s="1692"/>
      <c r="G379" s="1485"/>
      <c r="H379" s="1692"/>
      <c r="I379" s="1485"/>
      <c r="J379" s="1692"/>
      <c r="K379" s="1485"/>
      <c r="L379" s="1692"/>
      <c r="M379" s="1485"/>
      <c r="N379" s="1692"/>
      <c r="O379" s="1485"/>
      <c r="P379" s="1692"/>
      <c r="Q379" s="1485"/>
      <c r="R379" s="1692"/>
      <c r="S379" s="1485"/>
      <c r="T379" s="1692"/>
      <c r="U379" s="1485"/>
      <c r="V379" s="1692"/>
      <c r="W379" s="1485"/>
      <c r="X379" s="1692"/>
      <c r="Y379" s="1485"/>
      <c r="Z379" s="1692"/>
      <c r="AA379" s="1485"/>
      <c r="AB379" s="1692"/>
      <c r="AC379" s="1485"/>
      <c r="AD379" s="1692"/>
      <c r="AE379" s="1485"/>
      <c r="AF379" s="1692"/>
      <c r="AG379" s="1485"/>
      <c r="AH379" s="1692"/>
      <c r="AI379" s="1485"/>
      <c r="AJ379" s="1692"/>
      <c r="AK379" s="1485"/>
      <c r="AL379" s="1710"/>
      <c r="AM379" s="2029"/>
      <c r="AN379" s="2030"/>
      <c r="AO379" s="2030"/>
      <c r="AP379" s="1873"/>
      <c r="AQ379" s="2031"/>
      <c r="AR379" s="1711"/>
      <c r="AS379" s="1692"/>
      <c r="AT379" t="str">
        <f t="shared" si="306"/>
        <v/>
      </c>
      <c r="CA379" s="1418" t="str">
        <f t="shared" si="310"/>
        <v/>
      </c>
      <c r="CB379" s="1418" t="str">
        <f t="shared" si="307"/>
        <v/>
      </c>
      <c r="CO379" s="419">
        <f t="shared" si="308"/>
        <v>0</v>
      </c>
      <c r="CP379" s="419">
        <f t="shared" si="309"/>
        <v>0</v>
      </c>
    </row>
    <row r="380" spans="1:94">
      <c r="A380" s="2036" t="s">
        <v>1018</v>
      </c>
      <c r="B380" s="2037">
        <f t="shared" si="303"/>
        <v>0</v>
      </c>
      <c r="C380" s="2038">
        <f t="shared" si="304"/>
        <v>0</v>
      </c>
      <c r="D380" s="1654">
        <f t="shared" ref="D380:D381" si="311">SUM(F380,H380,J380,L380,N380,P380,R380,T380,V380,X380,Z380,AB380,AD380,AF380,AH380,AJ380,AL380)</f>
        <v>0</v>
      </c>
      <c r="E380" s="1440"/>
      <c r="F380" s="1452"/>
      <c r="G380" s="1440"/>
      <c r="H380" s="1452"/>
      <c r="I380" s="1440"/>
      <c r="J380" s="1452"/>
      <c r="K380" s="1440"/>
      <c r="L380" s="1452"/>
      <c r="M380" s="1440"/>
      <c r="N380" s="1452"/>
      <c r="O380" s="1440"/>
      <c r="P380" s="1452"/>
      <c r="Q380" s="1440"/>
      <c r="R380" s="1452"/>
      <c r="S380" s="1440"/>
      <c r="T380" s="1452"/>
      <c r="U380" s="1440"/>
      <c r="V380" s="1452"/>
      <c r="W380" s="1440"/>
      <c r="X380" s="1452"/>
      <c r="Y380" s="1440"/>
      <c r="Z380" s="1452"/>
      <c r="AA380" s="1440"/>
      <c r="AB380" s="1452"/>
      <c r="AC380" s="1440"/>
      <c r="AD380" s="1452"/>
      <c r="AE380" s="1440"/>
      <c r="AF380" s="1452"/>
      <c r="AG380" s="1440"/>
      <c r="AH380" s="1452"/>
      <c r="AI380" s="1440"/>
      <c r="AJ380" s="1452"/>
      <c r="AK380" s="1440"/>
      <c r="AL380" s="1655"/>
      <c r="AM380" s="2039"/>
      <c r="AN380" s="1513"/>
      <c r="AO380" s="1513"/>
      <c r="AP380" s="1870"/>
      <c r="AQ380" s="1994"/>
      <c r="AR380" s="1709"/>
      <c r="AS380" s="1452"/>
      <c r="AT380" t="str">
        <f t="shared" si="306"/>
        <v/>
      </c>
      <c r="CA380" s="1418" t="str">
        <f t="shared" si="310"/>
        <v/>
      </c>
      <c r="CB380" s="1418" t="str">
        <f t="shared" si="307"/>
        <v/>
      </c>
      <c r="CO380" s="419">
        <f t="shared" si="308"/>
        <v>0</v>
      </c>
      <c r="CP380" s="419">
        <f t="shared" si="309"/>
        <v>0</v>
      </c>
    </row>
    <row r="381" spans="1:94">
      <c r="A381" s="2017" t="s">
        <v>1019</v>
      </c>
      <c r="B381" s="2032">
        <f t="shared" si="303"/>
        <v>0</v>
      </c>
      <c r="C381" s="2024">
        <f t="shared" si="304"/>
        <v>0</v>
      </c>
      <c r="D381" s="2033">
        <f t="shared" si="311"/>
        <v>0</v>
      </c>
      <c r="E381" s="1517"/>
      <c r="F381" s="1523"/>
      <c r="G381" s="1517"/>
      <c r="H381" s="1523"/>
      <c r="I381" s="1517"/>
      <c r="J381" s="1523"/>
      <c r="K381" s="1517"/>
      <c r="L381" s="1523"/>
      <c r="M381" s="1517"/>
      <c r="N381" s="1523"/>
      <c r="O381" s="1517"/>
      <c r="P381" s="1523"/>
      <c r="Q381" s="1517"/>
      <c r="R381" s="1523"/>
      <c r="S381" s="1517"/>
      <c r="T381" s="1523"/>
      <c r="U381" s="1517"/>
      <c r="V381" s="1523"/>
      <c r="W381" s="1517"/>
      <c r="X381" s="1523"/>
      <c r="Y381" s="1517"/>
      <c r="Z381" s="1523"/>
      <c r="AA381" s="1517"/>
      <c r="AB381" s="1523"/>
      <c r="AC381" s="1517"/>
      <c r="AD381" s="1523"/>
      <c r="AE381" s="1517"/>
      <c r="AF381" s="1523"/>
      <c r="AG381" s="1517"/>
      <c r="AH381" s="1523"/>
      <c r="AI381" s="1517"/>
      <c r="AJ381" s="1523"/>
      <c r="AK381" s="1517"/>
      <c r="AL381" s="1908"/>
      <c r="AM381" s="2034"/>
      <c r="AN381" s="1519"/>
      <c r="AO381" s="1519"/>
      <c r="AP381" s="1819"/>
      <c r="AQ381" s="2035"/>
      <c r="AR381" s="1907"/>
      <c r="AS381" s="1523"/>
      <c r="AT381" t="str">
        <f t="shared" si="306"/>
        <v/>
      </c>
      <c r="CA381" s="1418" t="str">
        <f t="shared" si="310"/>
        <v/>
      </c>
      <c r="CB381" s="1418" t="str">
        <f t="shared" si="307"/>
        <v/>
      </c>
      <c r="CO381" s="419">
        <f t="shared" si="308"/>
        <v>0</v>
      </c>
      <c r="CP381" s="419">
        <f t="shared" si="309"/>
        <v>0</v>
      </c>
    </row>
    <row r="382" spans="1:94">
      <c r="A382" s="2026" t="s">
        <v>1020</v>
      </c>
      <c r="B382" s="2027">
        <f t="shared" si="303"/>
        <v>0</v>
      </c>
      <c r="C382" s="2028">
        <f t="shared" si="304"/>
        <v>0</v>
      </c>
      <c r="D382" s="1697">
        <f t="shared" si="304"/>
        <v>0</v>
      </c>
      <c r="E382" s="1485"/>
      <c r="F382" s="1692"/>
      <c r="G382" s="1485"/>
      <c r="H382" s="1692"/>
      <c r="I382" s="1485"/>
      <c r="J382" s="1692"/>
      <c r="K382" s="1485"/>
      <c r="L382" s="1692"/>
      <c r="M382" s="1485"/>
      <c r="N382" s="1692"/>
      <c r="O382" s="1485"/>
      <c r="P382" s="1692"/>
      <c r="Q382" s="1485"/>
      <c r="R382" s="1692"/>
      <c r="S382" s="1485"/>
      <c r="T382" s="1692"/>
      <c r="U382" s="1485"/>
      <c r="V382" s="1692"/>
      <c r="W382" s="1485"/>
      <c r="X382" s="1692"/>
      <c r="Y382" s="1485"/>
      <c r="Z382" s="1692"/>
      <c r="AA382" s="1485"/>
      <c r="AB382" s="1692"/>
      <c r="AC382" s="1485"/>
      <c r="AD382" s="1692"/>
      <c r="AE382" s="1485"/>
      <c r="AF382" s="1692"/>
      <c r="AG382" s="1485"/>
      <c r="AH382" s="1692"/>
      <c r="AI382" s="1485"/>
      <c r="AJ382" s="1692"/>
      <c r="AK382" s="1485"/>
      <c r="AL382" s="1710"/>
      <c r="AM382" s="2029"/>
      <c r="AN382" s="2030"/>
      <c r="AO382" s="2030"/>
      <c r="AP382" s="1873"/>
      <c r="AQ382" s="2031"/>
      <c r="AR382" s="1711"/>
      <c r="AS382" s="1692"/>
      <c r="AT382" t="str">
        <f t="shared" si="306"/>
        <v/>
      </c>
      <c r="CA382" s="1418" t="str">
        <f t="shared" si="310"/>
        <v/>
      </c>
      <c r="CB382" s="1418" t="str">
        <f t="shared" si="307"/>
        <v/>
      </c>
      <c r="CO382" s="419">
        <f t="shared" si="308"/>
        <v>0</v>
      </c>
      <c r="CP382" s="419">
        <f t="shared" si="309"/>
        <v>0</v>
      </c>
    </row>
    <row r="383" spans="1:94">
      <c r="A383" s="2019" t="s">
        <v>1021</v>
      </c>
      <c r="B383" s="2020"/>
      <c r="C383" s="2021"/>
      <c r="D383" s="1811"/>
      <c r="E383" s="1805"/>
      <c r="F383" s="1806"/>
      <c r="G383" s="1805"/>
      <c r="H383" s="1806"/>
      <c r="I383" s="1805"/>
      <c r="J383" s="1806"/>
      <c r="K383" s="1805"/>
      <c r="L383" s="1806"/>
      <c r="M383" s="1805"/>
      <c r="N383" s="1806"/>
      <c r="O383" s="1805"/>
      <c r="P383" s="1806"/>
      <c r="Q383" s="1805"/>
      <c r="R383" s="1806"/>
      <c r="S383" s="1805"/>
      <c r="T383" s="1806"/>
      <c r="U383" s="1805"/>
      <c r="V383" s="1806"/>
      <c r="W383" s="1805"/>
      <c r="X383" s="1806"/>
      <c r="Y383" s="1805"/>
      <c r="Z383" s="1806"/>
      <c r="AA383" s="1805"/>
      <c r="AB383" s="1806"/>
      <c r="AC383" s="1805"/>
      <c r="AD383" s="1806"/>
      <c r="AE383" s="1805"/>
      <c r="AF383" s="1806"/>
      <c r="AG383" s="1805"/>
      <c r="AH383" s="1806"/>
      <c r="AI383" s="1805"/>
      <c r="AJ383" s="1806"/>
      <c r="AK383" s="1805"/>
      <c r="AL383" s="2011"/>
      <c r="AM383" s="2012"/>
      <c r="AN383" s="1536"/>
      <c r="AO383" s="1536"/>
      <c r="AP383" s="1806"/>
      <c r="AQ383" s="2013"/>
      <c r="AR383" s="2012"/>
      <c r="AS383" s="1806"/>
      <c r="CA383" s="1868"/>
      <c r="CB383" s="1868"/>
      <c r="CO383" s="2022"/>
      <c r="CP383" s="2022"/>
    </row>
    <row r="384" spans="1:94">
      <c r="A384" s="2040" t="s">
        <v>1022</v>
      </c>
      <c r="B384" s="2041">
        <f t="shared" si="303"/>
        <v>0</v>
      </c>
      <c r="C384" s="2042">
        <f t="shared" si="304"/>
        <v>0</v>
      </c>
      <c r="D384" s="1649">
        <f t="shared" ref="D384:D389" si="312">SUM(F384,H384,J384,L384,N384,P384,R384,T384,V384,X384,Z384,AB384,AD384,AF384,AH384,AJ384,AL384)</f>
        <v>0</v>
      </c>
      <c r="E384" s="1424"/>
      <c r="F384" s="1436"/>
      <c r="G384" s="1424"/>
      <c r="H384" s="1436"/>
      <c r="I384" s="1424"/>
      <c r="J384" s="1436"/>
      <c r="K384" s="1424"/>
      <c r="L384" s="1436"/>
      <c r="M384" s="1424"/>
      <c r="N384" s="1436"/>
      <c r="O384" s="1424"/>
      <c r="P384" s="1436"/>
      <c r="Q384" s="1424"/>
      <c r="R384" s="1436"/>
      <c r="S384" s="1424"/>
      <c r="T384" s="1436"/>
      <c r="U384" s="1424"/>
      <c r="V384" s="1436"/>
      <c r="W384" s="1424"/>
      <c r="X384" s="1436"/>
      <c r="Y384" s="1424"/>
      <c r="Z384" s="1436"/>
      <c r="AA384" s="1424"/>
      <c r="AB384" s="1436"/>
      <c r="AC384" s="1424"/>
      <c r="AD384" s="1436"/>
      <c r="AE384" s="1424"/>
      <c r="AF384" s="1436"/>
      <c r="AG384" s="1424"/>
      <c r="AH384" s="1436"/>
      <c r="AI384" s="1424"/>
      <c r="AJ384" s="1436"/>
      <c r="AK384" s="1424"/>
      <c r="AL384" s="1650"/>
      <c r="AM384" s="1897"/>
      <c r="AN384" s="1503"/>
      <c r="AO384" s="1503"/>
      <c r="AP384" s="1815"/>
      <c r="AQ384" s="1990"/>
      <c r="AR384" s="1707"/>
      <c r="AS384" s="1436"/>
      <c r="AT384" t="str">
        <f t="shared" si="306"/>
        <v/>
      </c>
      <c r="CA384" s="1418" t="str">
        <f t="shared" si="310"/>
        <v/>
      </c>
      <c r="CB384" s="1418" t="str">
        <f t="shared" si="307"/>
        <v/>
      </c>
      <c r="CO384" s="419">
        <f t="shared" si="308"/>
        <v>0</v>
      </c>
      <c r="CP384" s="419">
        <f t="shared" si="309"/>
        <v>0</v>
      </c>
    </row>
    <row r="385" spans="1:94">
      <c r="A385" s="2036" t="s">
        <v>1023</v>
      </c>
      <c r="B385" s="2037">
        <f t="shared" si="303"/>
        <v>0</v>
      </c>
      <c r="C385" s="2038">
        <f t="shared" si="304"/>
        <v>0</v>
      </c>
      <c r="D385" s="1654">
        <f t="shared" si="312"/>
        <v>0</v>
      </c>
      <c r="E385" s="1440"/>
      <c r="F385" s="1452"/>
      <c r="G385" s="1440"/>
      <c r="H385" s="1452"/>
      <c r="I385" s="1440"/>
      <c r="J385" s="1452"/>
      <c r="K385" s="1440"/>
      <c r="L385" s="1452"/>
      <c r="M385" s="1440"/>
      <c r="N385" s="1452"/>
      <c r="O385" s="1440"/>
      <c r="P385" s="1452"/>
      <c r="Q385" s="1440"/>
      <c r="R385" s="1452"/>
      <c r="S385" s="1440"/>
      <c r="T385" s="1452"/>
      <c r="U385" s="1440"/>
      <c r="V385" s="1452"/>
      <c r="W385" s="1440"/>
      <c r="X385" s="1452"/>
      <c r="Y385" s="1440"/>
      <c r="Z385" s="1452"/>
      <c r="AA385" s="1440"/>
      <c r="AB385" s="1452"/>
      <c r="AC385" s="1440"/>
      <c r="AD385" s="1452"/>
      <c r="AE385" s="1440"/>
      <c r="AF385" s="1452"/>
      <c r="AG385" s="1440"/>
      <c r="AH385" s="1452"/>
      <c r="AI385" s="1440"/>
      <c r="AJ385" s="1452"/>
      <c r="AK385" s="1440"/>
      <c r="AL385" s="1655"/>
      <c r="AM385" s="2039"/>
      <c r="AN385" s="1513"/>
      <c r="AO385" s="1513"/>
      <c r="AP385" s="1870"/>
      <c r="AQ385" s="1994"/>
      <c r="AR385" s="1709"/>
      <c r="AS385" s="1452"/>
      <c r="AT385" t="str">
        <f t="shared" si="306"/>
        <v/>
      </c>
      <c r="CA385" s="1418" t="str">
        <f t="shared" si="310"/>
        <v/>
      </c>
      <c r="CB385" s="1418" t="str">
        <f t="shared" si="307"/>
        <v/>
      </c>
      <c r="CO385" s="419">
        <f t="shared" si="308"/>
        <v>0</v>
      </c>
      <c r="CP385" s="419">
        <f t="shared" si="309"/>
        <v>0</v>
      </c>
    </row>
    <row r="386" spans="1:94">
      <c r="A386" s="2036" t="s">
        <v>1024</v>
      </c>
      <c r="B386" s="2037">
        <f t="shared" si="303"/>
        <v>0</v>
      </c>
      <c r="C386" s="2038">
        <f t="shared" si="304"/>
        <v>0</v>
      </c>
      <c r="D386" s="1654">
        <f t="shared" si="312"/>
        <v>0</v>
      </c>
      <c r="E386" s="1440"/>
      <c r="F386" s="1452"/>
      <c r="G386" s="1440"/>
      <c r="H386" s="1452"/>
      <c r="I386" s="1440"/>
      <c r="J386" s="1452"/>
      <c r="K386" s="1440"/>
      <c r="L386" s="1452"/>
      <c r="M386" s="1440"/>
      <c r="N386" s="1452"/>
      <c r="O386" s="1440"/>
      <c r="P386" s="1452"/>
      <c r="Q386" s="1440"/>
      <c r="R386" s="1452"/>
      <c r="S386" s="1440"/>
      <c r="T386" s="1452"/>
      <c r="U386" s="1440"/>
      <c r="V386" s="1452"/>
      <c r="W386" s="1440"/>
      <c r="X386" s="1452"/>
      <c r="Y386" s="1440"/>
      <c r="Z386" s="1452"/>
      <c r="AA386" s="1440"/>
      <c r="AB386" s="1452"/>
      <c r="AC386" s="1440"/>
      <c r="AD386" s="1452"/>
      <c r="AE386" s="1440"/>
      <c r="AF386" s="1452"/>
      <c r="AG386" s="1440"/>
      <c r="AH386" s="1452"/>
      <c r="AI386" s="1440"/>
      <c r="AJ386" s="1452"/>
      <c r="AK386" s="1440"/>
      <c r="AL386" s="1655"/>
      <c r="AM386" s="2039"/>
      <c r="AN386" s="1513"/>
      <c r="AO386" s="1513"/>
      <c r="AP386" s="1870"/>
      <c r="AQ386" s="1994"/>
      <c r="AR386" s="1709"/>
      <c r="AS386" s="1452"/>
      <c r="AT386" t="str">
        <f t="shared" si="306"/>
        <v/>
      </c>
      <c r="CA386" s="1418" t="str">
        <f t="shared" si="310"/>
        <v/>
      </c>
      <c r="CB386" s="1418" t="str">
        <f t="shared" si="307"/>
        <v/>
      </c>
      <c r="CO386" s="419">
        <f t="shared" si="308"/>
        <v>0</v>
      </c>
      <c r="CP386" s="419">
        <f t="shared" si="309"/>
        <v>0</v>
      </c>
    </row>
    <row r="387" spans="1:94">
      <c r="A387" s="2036" t="s">
        <v>1018</v>
      </c>
      <c r="B387" s="2037">
        <f t="shared" si="303"/>
        <v>0</v>
      </c>
      <c r="C387" s="2038">
        <f t="shared" si="304"/>
        <v>0</v>
      </c>
      <c r="D387" s="1654">
        <f t="shared" si="312"/>
        <v>0</v>
      </c>
      <c r="E387" s="1440"/>
      <c r="F387" s="1452"/>
      <c r="G387" s="1440"/>
      <c r="H387" s="1452"/>
      <c r="I387" s="1440"/>
      <c r="J387" s="1452"/>
      <c r="K387" s="1440"/>
      <c r="L387" s="1452"/>
      <c r="M387" s="1440"/>
      <c r="N387" s="1452"/>
      <c r="O387" s="1440"/>
      <c r="P387" s="1452"/>
      <c r="Q387" s="1440"/>
      <c r="R387" s="1452"/>
      <c r="S387" s="1440"/>
      <c r="T387" s="1452"/>
      <c r="U387" s="1440"/>
      <c r="V387" s="1452"/>
      <c r="W387" s="1440"/>
      <c r="X387" s="1452"/>
      <c r="Y387" s="1440"/>
      <c r="Z387" s="1452"/>
      <c r="AA387" s="1440"/>
      <c r="AB387" s="1452"/>
      <c r="AC387" s="1440"/>
      <c r="AD387" s="1452"/>
      <c r="AE387" s="1440"/>
      <c r="AF387" s="1452"/>
      <c r="AG387" s="1440"/>
      <c r="AH387" s="1452"/>
      <c r="AI387" s="1440"/>
      <c r="AJ387" s="1452"/>
      <c r="AK387" s="1440"/>
      <c r="AL387" s="1655"/>
      <c r="AM387" s="2039"/>
      <c r="AN387" s="1513"/>
      <c r="AO387" s="1513"/>
      <c r="AP387" s="1870"/>
      <c r="AQ387" s="1994"/>
      <c r="AR387" s="1709"/>
      <c r="AS387" s="1452"/>
      <c r="AT387" t="str">
        <f t="shared" si="306"/>
        <v/>
      </c>
      <c r="CA387" s="1418" t="str">
        <f t="shared" si="310"/>
        <v/>
      </c>
      <c r="CB387" s="1418" t="str">
        <f t="shared" si="307"/>
        <v/>
      </c>
      <c r="CO387" s="419">
        <f t="shared" si="308"/>
        <v>0</v>
      </c>
      <c r="CP387" s="419">
        <f t="shared" si="309"/>
        <v>0</v>
      </c>
    </row>
    <row r="388" spans="1:94" ht="21">
      <c r="A388" s="2036" t="s">
        <v>1025</v>
      </c>
      <c r="B388" s="2037">
        <f t="shared" si="303"/>
        <v>0</v>
      </c>
      <c r="C388" s="2038">
        <f t="shared" si="304"/>
        <v>0</v>
      </c>
      <c r="D388" s="1654">
        <f t="shared" si="312"/>
        <v>0</v>
      </c>
      <c r="E388" s="1440"/>
      <c r="F388" s="1452"/>
      <c r="G388" s="1440"/>
      <c r="H388" s="1452"/>
      <c r="I388" s="1440"/>
      <c r="J388" s="1452"/>
      <c r="K388" s="1440"/>
      <c r="L388" s="1452"/>
      <c r="M388" s="1440"/>
      <c r="N388" s="1452"/>
      <c r="O388" s="1440"/>
      <c r="P388" s="1452"/>
      <c r="Q388" s="1440"/>
      <c r="R388" s="1452"/>
      <c r="S388" s="1440"/>
      <c r="T388" s="1452"/>
      <c r="U388" s="1440"/>
      <c r="V388" s="1452"/>
      <c r="W388" s="1440"/>
      <c r="X388" s="1452"/>
      <c r="Y388" s="1440"/>
      <c r="Z388" s="1452"/>
      <c r="AA388" s="1440"/>
      <c r="AB388" s="1452"/>
      <c r="AC388" s="1440"/>
      <c r="AD388" s="1452"/>
      <c r="AE388" s="1440"/>
      <c r="AF388" s="1452"/>
      <c r="AG388" s="1440"/>
      <c r="AH388" s="1452"/>
      <c r="AI388" s="1440"/>
      <c r="AJ388" s="1452"/>
      <c r="AK388" s="1440"/>
      <c r="AL388" s="1655"/>
      <c r="AM388" s="2039"/>
      <c r="AN388" s="1513"/>
      <c r="AO388" s="1513"/>
      <c r="AP388" s="1870"/>
      <c r="AQ388" s="1994"/>
      <c r="AR388" s="1709"/>
      <c r="AS388" s="1452"/>
      <c r="AT388" t="str">
        <f t="shared" si="306"/>
        <v/>
      </c>
      <c r="CA388" s="1418" t="str">
        <f t="shared" si="310"/>
        <v/>
      </c>
      <c r="CB388" s="1418" t="str">
        <f t="shared" si="307"/>
        <v/>
      </c>
      <c r="CO388" s="419">
        <f t="shared" si="308"/>
        <v>0</v>
      </c>
      <c r="CP388" s="419">
        <f t="shared" si="309"/>
        <v>0</v>
      </c>
    </row>
    <row r="389" spans="1:94">
      <c r="A389" s="2043" t="s">
        <v>1026</v>
      </c>
      <c r="B389" s="2044">
        <f t="shared" si="303"/>
        <v>0</v>
      </c>
      <c r="C389" s="2045">
        <f t="shared" si="304"/>
        <v>0</v>
      </c>
      <c r="D389" s="1659">
        <f t="shared" si="312"/>
        <v>0</v>
      </c>
      <c r="E389" s="1455"/>
      <c r="F389" s="1467"/>
      <c r="G389" s="1455"/>
      <c r="H389" s="1467"/>
      <c r="I389" s="1455"/>
      <c r="J389" s="1467"/>
      <c r="K389" s="1455"/>
      <c r="L389" s="1467"/>
      <c r="M389" s="1455"/>
      <c r="N389" s="1467"/>
      <c r="O389" s="1455"/>
      <c r="P389" s="1467"/>
      <c r="Q389" s="1455"/>
      <c r="R389" s="1467"/>
      <c r="S389" s="1455"/>
      <c r="T389" s="1467"/>
      <c r="U389" s="1455"/>
      <c r="V389" s="1467"/>
      <c r="W389" s="1455"/>
      <c r="X389" s="1467"/>
      <c r="Y389" s="1455"/>
      <c r="Z389" s="1467"/>
      <c r="AA389" s="1455"/>
      <c r="AB389" s="1467"/>
      <c r="AC389" s="1455"/>
      <c r="AD389" s="1467"/>
      <c r="AE389" s="1455"/>
      <c r="AF389" s="1467"/>
      <c r="AG389" s="1455"/>
      <c r="AH389" s="1467"/>
      <c r="AI389" s="1455"/>
      <c r="AJ389" s="1467"/>
      <c r="AK389" s="1455"/>
      <c r="AL389" s="1660"/>
      <c r="AM389" s="2018"/>
      <c r="AN389" s="1507"/>
      <c r="AO389" s="1507"/>
      <c r="AP389" s="1876"/>
      <c r="AQ389" s="1998"/>
      <c r="AR389" s="1714"/>
      <c r="AS389" s="1467"/>
      <c r="AT389" t="str">
        <f t="shared" si="306"/>
        <v/>
      </c>
      <c r="CA389" s="1418" t="str">
        <f t="shared" si="310"/>
        <v/>
      </c>
      <c r="CB389" s="1418" t="str">
        <f t="shared" si="307"/>
        <v/>
      </c>
      <c r="CO389" s="419">
        <f t="shared" si="308"/>
        <v>0</v>
      </c>
      <c r="CP389" s="419">
        <f t="shared" si="309"/>
        <v>0</v>
      </c>
    </row>
    <row r="390" spans="1:94">
      <c r="A390" s="6278" t="s">
        <v>1027</v>
      </c>
      <c r="B390" s="6279"/>
      <c r="C390" s="6279"/>
      <c r="D390" s="6279"/>
      <c r="E390" s="6279"/>
      <c r="F390" s="6279"/>
      <c r="G390" s="6279"/>
      <c r="H390" s="6279"/>
      <c r="I390" s="6279"/>
      <c r="J390" s="6279"/>
      <c r="K390" s="6279"/>
      <c r="L390" s="6279"/>
    </row>
    <row r="391" spans="1:94">
      <c r="A391" s="6260" t="s">
        <v>1000</v>
      </c>
      <c r="B391" s="5718" t="s">
        <v>91</v>
      </c>
      <c r="C391" s="5710" t="s">
        <v>43</v>
      </c>
      <c r="D391" s="6106"/>
      <c r="E391" s="6106"/>
      <c r="F391" s="6106"/>
      <c r="G391" s="6106"/>
      <c r="H391" s="5716"/>
      <c r="I391" s="6191" t="s">
        <v>1028</v>
      </c>
      <c r="J391" s="5716"/>
      <c r="K391" s="6133" t="s">
        <v>48</v>
      </c>
      <c r="L391" s="6139" t="s">
        <v>49</v>
      </c>
      <c r="M391" s="6280" t="s">
        <v>1029</v>
      </c>
      <c r="N391" s="6281"/>
      <c r="O391" s="6281"/>
      <c r="P391" s="6281"/>
      <c r="Q391" s="6281"/>
      <c r="R391" s="6282"/>
      <c r="S391" s="6283" t="s">
        <v>1030</v>
      </c>
      <c r="T391" s="6283"/>
      <c r="U391" s="6284"/>
    </row>
    <row r="392" spans="1:94">
      <c r="A392" s="6261"/>
      <c r="B392" s="6110"/>
      <c r="C392" s="5710" t="s">
        <v>1031</v>
      </c>
      <c r="D392" s="6106"/>
      <c r="E392" s="5712"/>
      <c r="F392" s="5710" t="s">
        <v>1032</v>
      </c>
      <c r="G392" s="6106"/>
      <c r="H392" s="5716"/>
      <c r="I392" s="6203" t="s">
        <v>1033</v>
      </c>
      <c r="J392" s="6221" t="s">
        <v>1034</v>
      </c>
      <c r="K392" s="6235"/>
      <c r="L392" s="6120"/>
      <c r="M392" s="6285" t="s">
        <v>1035</v>
      </c>
      <c r="N392" s="6133" t="s">
        <v>1036</v>
      </c>
      <c r="O392" s="6133" t="s">
        <v>1037</v>
      </c>
      <c r="P392" s="6248" t="s">
        <v>1038</v>
      </c>
      <c r="Q392" s="6119" t="s">
        <v>1039</v>
      </c>
      <c r="R392" s="6287" t="s">
        <v>1040</v>
      </c>
      <c r="S392" s="6235" t="s">
        <v>1041</v>
      </c>
      <c r="T392" s="6235" t="s">
        <v>1042</v>
      </c>
      <c r="U392" s="6120" t="s">
        <v>1043</v>
      </c>
    </row>
    <row r="393" spans="1:94" ht="53.25" customHeight="1">
      <c r="A393" s="6262"/>
      <c r="B393" s="5719"/>
      <c r="C393" s="1395" t="s">
        <v>544</v>
      </c>
      <c r="D393" s="1396" t="s">
        <v>779</v>
      </c>
      <c r="E393" s="1402" t="s">
        <v>1044</v>
      </c>
      <c r="F393" s="1395" t="s">
        <v>544</v>
      </c>
      <c r="G393" s="1396" t="s">
        <v>779</v>
      </c>
      <c r="H393" s="1706" t="s">
        <v>1044</v>
      </c>
      <c r="I393" s="6204"/>
      <c r="J393" s="6222"/>
      <c r="K393" s="6134"/>
      <c r="L393" s="6116"/>
      <c r="M393" s="6286"/>
      <c r="N393" s="6134"/>
      <c r="O393" s="6134"/>
      <c r="P393" s="6249"/>
      <c r="Q393" s="6116"/>
      <c r="R393" s="6116"/>
      <c r="S393" s="6134"/>
      <c r="T393" s="6134"/>
      <c r="U393" s="6116"/>
    </row>
    <row r="394" spans="1:94" ht="21">
      <c r="A394" s="2046" t="s">
        <v>1045</v>
      </c>
      <c r="B394" s="2047">
        <f t="shared" ref="B394:B404" si="313">SUM(C394:H394)</f>
        <v>0</v>
      </c>
      <c r="C394" s="1424"/>
      <c r="D394" s="1425"/>
      <c r="E394" s="1436"/>
      <c r="F394" s="1424"/>
      <c r="G394" s="1425"/>
      <c r="H394" s="1428"/>
      <c r="I394" s="2048"/>
      <c r="J394" s="1967"/>
      <c r="K394" s="1585"/>
      <c r="L394" s="1652"/>
      <c r="M394" s="2049"/>
      <c r="N394" s="2050"/>
      <c r="O394" s="1570"/>
      <c r="P394" s="2051"/>
      <c r="Q394" s="1572"/>
      <c r="R394" s="1912"/>
      <c r="S394" s="1557"/>
      <c r="T394" s="1557"/>
      <c r="U394" s="1815"/>
      <c r="V394" t="str">
        <f>CA394&amp;CB394</f>
        <v/>
      </c>
      <c r="CA394" s="1418" t="str">
        <f>IF(AND(B394&gt;0,K394="")," *No olvide digitar la variable SENAME/ Servicio Nacional de Reinserción social Juvenil. Digite Cero si no tiene.",IF(K394&gt;B394," *La variable SENAME/ Servicio Nacional de Reinserción social Juvenil  No puede ser mayor al Total.",""))</f>
        <v/>
      </c>
      <c r="CB394" s="1418" t="str">
        <f>IF(AND(B394&gt;0,L394="")," *No olvide digitar la variable Servicio Nacional Protección Especializada a la Niñez y Adolescencia. Digite Cero si no tiene.",IF(L394&gt;B394," *La variable Servicio Nacional Protección Especializada a la Niñez y Adolescencia. No puede ser mayor al Total.",""))</f>
        <v/>
      </c>
      <c r="CO394" s="419">
        <f>IF(AND($B394&gt;0,K394=""),1,IF(K394&gt;$B394,1,0))</f>
        <v>0</v>
      </c>
      <c r="CP394" s="419">
        <f>IF(AND($B394&gt;0,L394=""),1,IF(L394&gt;$B394,1,0))</f>
        <v>0</v>
      </c>
    </row>
    <row r="395" spans="1:94">
      <c r="A395" s="2010" t="s">
        <v>797</v>
      </c>
      <c r="B395" s="406">
        <f t="shared" si="313"/>
        <v>0</v>
      </c>
      <c r="C395" s="401">
        <f>SUM(C396:C398)</f>
        <v>0</v>
      </c>
      <c r="D395" s="402">
        <f t="shared" ref="D395:E395" si="314">SUM(D396:D398)</f>
        <v>0</v>
      </c>
      <c r="E395" s="402">
        <f t="shared" si="314"/>
        <v>0</v>
      </c>
      <c r="F395" s="401">
        <f>SUM(F396:F398)</f>
        <v>0</v>
      </c>
      <c r="G395" s="1501">
        <f>SUM(G396:G398)</f>
        <v>0</v>
      </c>
      <c r="H395" s="1556">
        <f>SUM(H396:H398)</f>
        <v>0</v>
      </c>
      <c r="I395" s="2052">
        <f>SUM(I396:I398)</f>
        <v>0</v>
      </c>
      <c r="J395" s="2053"/>
      <c r="K395" s="2054">
        <f t="shared" ref="K395:U395" si="315">SUM(K396:K398)</f>
        <v>0</v>
      </c>
      <c r="L395" s="403">
        <f t="shared" si="315"/>
        <v>0</v>
      </c>
      <c r="M395" s="2055">
        <f t="shared" si="315"/>
        <v>0</v>
      </c>
      <c r="N395" s="1720">
        <f t="shared" si="315"/>
        <v>0</v>
      </c>
      <c r="O395" s="402">
        <f t="shared" si="315"/>
        <v>0</v>
      </c>
      <c r="P395" s="403">
        <f t="shared" si="315"/>
        <v>0</v>
      </c>
      <c r="Q395" s="402">
        <f t="shared" si="315"/>
        <v>0</v>
      </c>
      <c r="R395" s="392">
        <f t="shared" si="315"/>
        <v>0</v>
      </c>
      <c r="S395" s="401">
        <f t="shared" si="315"/>
        <v>0</v>
      </c>
      <c r="T395" s="402">
        <f t="shared" si="315"/>
        <v>0</v>
      </c>
      <c r="U395" s="392">
        <f t="shared" si="315"/>
        <v>0</v>
      </c>
    </row>
    <row r="396" spans="1:94">
      <c r="A396" s="2040" t="s">
        <v>1046</v>
      </c>
      <c r="B396" s="2056">
        <f t="shared" si="313"/>
        <v>0</v>
      </c>
      <c r="C396" s="1424"/>
      <c r="D396" s="1425"/>
      <c r="E396" s="1436"/>
      <c r="F396" s="1424"/>
      <c r="G396" s="1426"/>
      <c r="H396" s="1650"/>
      <c r="I396" s="1707"/>
      <c r="J396" s="1898"/>
      <c r="K396" s="1425"/>
      <c r="L396" s="1436"/>
      <c r="M396" s="1424"/>
      <c r="N396" s="1426"/>
      <c r="O396" s="1425"/>
      <c r="P396" s="1676"/>
      <c r="Q396" s="1425"/>
      <c r="R396" s="1436"/>
      <c r="S396" s="1424"/>
      <c r="T396" s="1425"/>
      <c r="U396" s="1436"/>
      <c r="V396" t="str">
        <f t="shared" ref="V396:V404" si="316">CA396&amp;CB396</f>
        <v/>
      </c>
      <c r="CA396" s="1418" t="str">
        <f t="shared" ref="CA396:CA398" si="317">IF(AND(B396&gt;0,K396="")," *No olvide digitar la variable SENAME/ Servicio Nacional de Reinserción social Juvenil. Digite Cero si no tiene.",IF(K396&gt;B396," *La variable SENAME/ Servicio Nacional de Reinserción social Juvenil  No puede ser mayor al Total.",""))</f>
        <v/>
      </c>
      <c r="CB396" s="1418" t="str">
        <f t="shared" ref="CB396:CB398" si="318">IF(AND(B396&gt;0,L396="")," *No olvide digitar la variable Servicio Nacional Protección Especializada a la Niñez y Adolescencia. Digite Cero si no tiene.",IF(L396&gt;B396," *La variable Servicio Nacional Protección Especializada a la Niñez y Adolescencia. No puede ser mayor al Total.",""))</f>
        <v/>
      </c>
      <c r="CO396" s="419">
        <f t="shared" ref="CO396:CO404" si="319">IF(AND($B396&gt;0,K396=""),1,IF(K396&gt;$B396,1,0))</f>
        <v>0</v>
      </c>
      <c r="CP396" s="419">
        <f t="shared" ref="CP396:CP404" si="320">IF(AND($B396&gt;0,L396=""),1,IF(L396&gt;$B396,1,0))</f>
        <v>0</v>
      </c>
    </row>
    <row r="397" spans="1:94">
      <c r="A397" s="2036" t="s">
        <v>1047</v>
      </c>
      <c r="B397" s="2057">
        <f t="shared" si="313"/>
        <v>0</v>
      </c>
      <c r="C397" s="1440"/>
      <c r="D397" s="1441"/>
      <c r="E397" s="1452"/>
      <c r="F397" s="1440"/>
      <c r="G397" s="1441"/>
      <c r="H397" s="1655"/>
      <c r="I397" s="1709"/>
      <c r="J397" s="2058"/>
      <c r="K397" s="1441"/>
      <c r="L397" s="1452"/>
      <c r="M397" s="1440"/>
      <c r="N397" s="1442"/>
      <c r="O397" s="1441"/>
      <c r="P397" s="1680"/>
      <c r="Q397" s="1441"/>
      <c r="R397" s="1452"/>
      <c r="S397" s="1440"/>
      <c r="T397" s="1441"/>
      <c r="U397" s="1452"/>
      <c r="V397" t="str">
        <f t="shared" si="316"/>
        <v/>
      </c>
      <c r="CA397" s="1418" t="str">
        <f t="shared" si="317"/>
        <v/>
      </c>
      <c r="CB397" s="1418" t="str">
        <f t="shared" si="318"/>
        <v/>
      </c>
      <c r="CO397" s="419">
        <f t="shared" si="319"/>
        <v>0</v>
      </c>
      <c r="CP397" s="419">
        <f t="shared" si="320"/>
        <v>0</v>
      </c>
    </row>
    <row r="398" spans="1:94">
      <c r="A398" s="2036" t="s">
        <v>1048</v>
      </c>
      <c r="B398" s="2059">
        <f t="shared" si="313"/>
        <v>0</v>
      </c>
      <c r="C398" s="1440"/>
      <c r="D398" s="1441"/>
      <c r="E398" s="1452"/>
      <c r="F398" s="1440"/>
      <c r="G398" s="1441"/>
      <c r="H398" s="1655"/>
      <c r="I398" s="1709"/>
      <c r="J398" s="2058"/>
      <c r="K398" s="1441"/>
      <c r="L398" s="1452"/>
      <c r="M398" s="1440"/>
      <c r="N398" s="1541"/>
      <c r="O398" s="1796"/>
      <c r="P398" s="1769"/>
      <c r="Q398" s="1796"/>
      <c r="R398" s="1545"/>
      <c r="S398" s="1480"/>
      <c r="T398" s="1796"/>
      <c r="U398" s="1545"/>
      <c r="V398" t="str">
        <f t="shared" si="316"/>
        <v/>
      </c>
      <c r="CA398" s="1418" t="str">
        <f t="shared" si="317"/>
        <v/>
      </c>
      <c r="CB398" s="1418" t="str">
        <f t="shared" si="318"/>
        <v/>
      </c>
      <c r="CO398" s="419">
        <f t="shared" si="319"/>
        <v>0</v>
      </c>
      <c r="CP398" s="419">
        <f t="shared" si="320"/>
        <v>0</v>
      </c>
    </row>
    <row r="399" spans="1:94">
      <c r="A399" s="2010" t="s">
        <v>933</v>
      </c>
      <c r="B399" s="406">
        <f t="shared" si="313"/>
        <v>0</v>
      </c>
      <c r="C399" s="401">
        <f>SUM(C400:C403)</f>
        <v>0</v>
      </c>
      <c r="D399" s="402">
        <f t="shared" ref="D399:U399" si="321">SUM(D400:D403)</f>
        <v>0</v>
      </c>
      <c r="E399" s="392">
        <f t="shared" si="321"/>
        <v>0</v>
      </c>
      <c r="F399" s="401">
        <f t="shared" si="321"/>
        <v>0</v>
      </c>
      <c r="G399" s="1501">
        <f t="shared" si="321"/>
        <v>0</v>
      </c>
      <c r="H399" s="1556">
        <f t="shared" si="321"/>
        <v>0</v>
      </c>
      <c r="I399" s="2060">
        <f>SUM(I400:I403)</f>
        <v>0</v>
      </c>
      <c r="J399" s="440">
        <f t="shared" si="321"/>
        <v>0</v>
      </c>
      <c r="K399" s="402">
        <f t="shared" si="321"/>
        <v>0</v>
      </c>
      <c r="L399" s="403">
        <f t="shared" si="321"/>
        <v>0</v>
      </c>
      <c r="M399" s="2061">
        <f t="shared" si="321"/>
        <v>0</v>
      </c>
      <c r="N399" s="2062">
        <f t="shared" si="321"/>
        <v>0</v>
      </c>
      <c r="O399" s="2063">
        <f t="shared" si="321"/>
        <v>0</v>
      </c>
      <c r="P399" s="2064">
        <f t="shared" si="321"/>
        <v>0</v>
      </c>
      <c r="Q399" s="2063">
        <f t="shared" si="321"/>
        <v>0</v>
      </c>
      <c r="R399" s="2065">
        <f t="shared" si="321"/>
        <v>0</v>
      </c>
      <c r="S399" s="2061">
        <f t="shared" si="321"/>
        <v>0</v>
      </c>
      <c r="T399" s="2063">
        <f t="shared" si="321"/>
        <v>0</v>
      </c>
      <c r="U399" s="2065">
        <f t="shared" si="321"/>
        <v>0</v>
      </c>
    </row>
    <row r="400" spans="1:94">
      <c r="A400" s="2040" t="s">
        <v>1049</v>
      </c>
      <c r="B400" s="2056">
        <f t="shared" si="313"/>
        <v>0</v>
      </c>
      <c r="C400" s="1424"/>
      <c r="D400" s="1425"/>
      <c r="E400" s="1436"/>
      <c r="F400" s="1424"/>
      <c r="G400" s="1425"/>
      <c r="H400" s="1650"/>
      <c r="I400" s="1707"/>
      <c r="J400" s="1650"/>
      <c r="K400" s="1425"/>
      <c r="L400" s="1652"/>
      <c r="M400" s="2066"/>
      <c r="N400" s="2067"/>
      <c r="O400" s="2068"/>
      <c r="P400" s="2069"/>
      <c r="Q400" s="2068"/>
      <c r="R400" s="2070"/>
      <c r="S400" s="2066"/>
      <c r="T400" s="2068"/>
      <c r="U400" s="2071"/>
      <c r="V400" t="str">
        <f t="shared" si="316"/>
        <v/>
      </c>
      <c r="CA400" s="1418" t="str">
        <f t="shared" ref="CA400:CA404" si="322">IF(AND(B400&gt;0,K400="")," *No olvide digitar la variable Niños, Niñas, Adolescentes y Jóvenes SENAME. Digite Cero si no tiene.",IF(K400&gt;B400," *La variable Niños, Niñas, Adolescentes y Jóvenes SENAME No puede ser mayor al Total.",""))</f>
        <v/>
      </c>
      <c r="CB400" s="1418" t="str">
        <f t="shared" ref="CB400:CB404" si="323">IF(AND(B400&gt;0,L400="")," *No olvide digitar la variable Niños, Niñas, Adolescentes y Jóvenes Mejor Niñez. Digite Cero si no tiene.",IF(L400&gt;B400," *La variable Niños, Niñas, Adolescentes y Jóvenes Mejor Niñez No puede ser mayor al Total.",""))</f>
        <v/>
      </c>
      <c r="CO400" s="419">
        <f t="shared" si="319"/>
        <v>0</v>
      </c>
      <c r="CP400" s="419">
        <f t="shared" si="320"/>
        <v>0</v>
      </c>
    </row>
    <row r="401" spans="1:96" ht="16.5" customHeight="1">
      <c r="A401" s="2036" t="s">
        <v>1050</v>
      </c>
      <c r="B401" s="2057">
        <f t="shared" si="313"/>
        <v>0</v>
      </c>
      <c r="C401" s="1440"/>
      <c r="D401" s="1441"/>
      <c r="E401" s="1452"/>
      <c r="F401" s="1440"/>
      <c r="G401" s="1441"/>
      <c r="H401" s="1655"/>
      <c r="I401" s="1709"/>
      <c r="J401" s="1655"/>
      <c r="K401" s="1441"/>
      <c r="L401" s="1447"/>
      <c r="M401" s="2072"/>
      <c r="N401" s="1519"/>
      <c r="O401" s="1561"/>
      <c r="P401" s="2073"/>
      <c r="Q401" s="1561"/>
      <c r="R401" s="2074"/>
      <c r="S401" s="2072"/>
      <c r="T401" s="1561"/>
      <c r="U401" s="2075"/>
      <c r="V401" t="str">
        <f t="shared" si="316"/>
        <v/>
      </c>
      <c r="CA401" s="1418" t="str">
        <f t="shared" si="322"/>
        <v/>
      </c>
      <c r="CB401" s="1418" t="str">
        <f t="shared" si="323"/>
        <v/>
      </c>
      <c r="CO401" s="419">
        <f t="shared" si="319"/>
        <v>0</v>
      </c>
      <c r="CP401" s="419">
        <f t="shared" si="320"/>
        <v>0</v>
      </c>
    </row>
    <row r="402" spans="1:96" ht="12" customHeight="1">
      <c r="A402" s="2036" t="s">
        <v>1051</v>
      </c>
      <c r="B402" s="2059">
        <f t="shared" si="313"/>
        <v>0</v>
      </c>
      <c r="C402" s="1440"/>
      <c r="D402" s="1441"/>
      <c r="E402" s="1452"/>
      <c r="F402" s="1440"/>
      <c r="G402" s="1441"/>
      <c r="H402" s="1655"/>
      <c r="I402" s="1709"/>
      <c r="J402" s="1655"/>
      <c r="K402" s="1441"/>
      <c r="L402" s="1447"/>
      <c r="M402" s="2072"/>
      <c r="N402" s="1519"/>
      <c r="O402" s="1561"/>
      <c r="P402" s="2073"/>
      <c r="Q402" s="1561"/>
      <c r="R402" s="2074"/>
      <c r="S402" s="2072"/>
      <c r="T402" s="1561"/>
      <c r="U402" s="2075"/>
      <c r="V402" t="str">
        <f t="shared" si="316"/>
        <v/>
      </c>
      <c r="CA402" s="1418" t="str">
        <f t="shared" si="322"/>
        <v/>
      </c>
      <c r="CB402" s="1418" t="str">
        <f t="shared" si="323"/>
        <v/>
      </c>
      <c r="CO402" s="419">
        <f t="shared" si="319"/>
        <v>0</v>
      </c>
      <c r="CP402" s="419">
        <f t="shared" si="320"/>
        <v>0</v>
      </c>
    </row>
    <row r="403" spans="1:96">
      <c r="A403" s="2076" t="s">
        <v>1052</v>
      </c>
      <c r="B403" s="2077">
        <f t="shared" si="313"/>
        <v>0</v>
      </c>
      <c r="C403" s="2078"/>
      <c r="D403" s="2079"/>
      <c r="E403" s="2080"/>
      <c r="F403" s="2078"/>
      <c r="G403" s="2079"/>
      <c r="H403" s="2081"/>
      <c r="I403" s="2082"/>
      <c r="J403" s="2081"/>
      <c r="K403" s="2079"/>
      <c r="L403" s="2083"/>
      <c r="M403" s="2084"/>
      <c r="N403" s="1566"/>
      <c r="O403" s="1565"/>
      <c r="P403" s="2085"/>
      <c r="Q403" s="1565"/>
      <c r="R403" s="2086"/>
      <c r="S403" s="2084"/>
      <c r="T403" s="1565"/>
      <c r="U403" s="2087"/>
      <c r="V403" t="str">
        <f t="shared" si="316"/>
        <v/>
      </c>
      <c r="CA403" s="1418" t="str">
        <f t="shared" si="322"/>
        <v/>
      </c>
      <c r="CB403" s="1418" t="str">
        <f t="shared" si="323"/>
        <v/>
      </c>
      <c r="CO403" s="419">
        <f t="shared" si="319"/>
        <v>0</v>
      </c>
      <c r="CP403" s="419">
        <f t="shared" si="320"/>
        <v>0</v>
      </c>
    </row>
    <row r="404" spans="1:96">
      <c r="A404" s="2088" t="s">
        <v>1053</v>
      </c>
      <c r="B404" s="2089">
        <f t="shared" si="313"/>
        <v>0</v>
      </c>
      <c r="C404" s="1528"/>
      <c r="D404" s="1552"/>
      <c r="E404" s="1534"/>
      <c r="F404" s="1528"/>
      <c r="G404" s="1552"/>
      <c r="H404" s="1721"/>
      <c r="I404" s="1722"/>
      <c r="J404" s="1721"/>
      <c r="K404" s="1552"/>
      <c r="L404" s="1800"/>
      <c r="M404" s="2090"/>
      <c r="N404" s="2091"/>
      <c r="O404" s="2092"/>
      <c r="P404" s="2093"/>
      <c r="Q404" s="2094"/>
      <c r="R404" s="2095"/>
      <c r="S404" s="2090"/>
      <c r="T404" s="2094"/>
      <c r="U404" s="2096"/>
      <c r="V404" t="str">
        <f t="shared" si="316"/>
        <v/>
      </c>
      <c r="CA404" s="1418" t="str">
        <f t="shared" si="322"/>
        <v/>
      </c>
      <c r="CB404" s="1418" t="str">
        <f t="shared" si="323"/>
        <v/>
      </c>
      <c r="CO404" s="419">
        <f t="shared" si="319"/>
        <v>0</v>
      </c>
      <c r="CP404" s="419">
        <f t="shared" si="320"/>
        <v>0</v>
      </c>
    </row>
    <row r="405" spans="1:96">
      <c r="A405" s="2097" t="s">
        <v>1054</v>
      </c>
      <c r="B405" s="1581"/>
      <c r="C405" s="1582"/>
      <c r="D405" s="385"/>
    </row>
    <row r="406" spans="1:96" ht="24.95" customHeight="1">
      <c r="A406" s="6260" t="s">
        <v>1055</v>
      </c>
      <c r="B406" s="5718" t="s">
        <v>91</v>
      </c>
      <c r="C406" s="5710" t="s">
        <v>43</v>
      </c>
      <c r="D406" s="5716"/>
      <c r="E406" s="6139" t="s">
        <v>514</v>
      </c>
      <c r="F406" s="5718" t="s">
        <v>49</v>
      </c>
    </row>
    <row r="407" spans="1:96" ht="24.95" customHeight="1">
      <c r="A407" s="6261"/>
      <c r="B407" s="6110"/>
      <c r="C407" s="6187" t="s">
        <v>1031</v>
      </c>
      <c r="D407" s="6221" t="s">
        <v>1032</v>
      </c>
      <c r="E407" s="6166"/>
      <c r="F407" s="6110"/>
    </row>
    <row r="408" spans="1:96" ht="31.5" customHeight="1">
      <c r="A408" s="6261"/>
      <c r="B408" s="5719"/>
      <c r="C408" s="6188"/>
      <c r="D408" s="6222"/>
      <c r="E408" s="6115"/>
      <c r="F408" s="5719"/>
    </row>
    <row r="409" spans="1:96">
      <c r="A409" s="2040" t="s">
        <v>1056</v>
      </c>
      <c r="B409" s="2056">
        <f t="shared" ref="B409:B411" si="324">SUM(C409:D409)</f>
        <v>0</v>
      </c>
      <c r="C409" s="1424"/>
      <c r="D409" s="1650"/>
      <c r="E409" s="1652"/>
      <c r="F409" s="1430"/>
      <c r="G409" t="str">
        <f t="shared" ref="G409:G411" si="325">CA409&amp;CB409</f>
        <v/>
      </c>
      <c r="CA409" s="1418" t="str">
        <f t="shared" ref="CA409:CA411" si="326">IF(AND(B409&gt;0,E409="")," *No olvide digitar la variable Niños, Niñas, Adolescentes y Jóvenes SENAME. Digite Cero si no tiene.",IF(E409&gt;B409," *La variable Niños, Niñas, Adolescentes y Jóvenes SENAME No puede ser mayor al Total.",""))</f>
        <v/>
      </c>
      <c r="CB409" s="1418" t="str">
        <f t="shared" ref="CB409:CB411" si="327">IF(AND(B409&gt;0,F409="")," *No olvide digitar la variable Niños, Niñas, Adolescentes y Jóvenes Mejor Niñez. Digite Cero si no tiene.",IF(F409&gt;B409," *La variable Niños, Niñas, Adolescentes y Jóvenes Mejor Niñez No puede ser mayor al Total.",""))</f>
        <v/>
      </c>
      <c r="CC409" s="1418" t="str">
        <f t="shared" ref="CC409:CC411" si="328">IF(AND(B409&gt;0,E409="")," *No olvide digitar la variable SENAME/ Servicio Nacional de Reinserción social Juvenil. Digite Cero si no tiene.",IF(B409&gt;E409," *La variable SENAME/ Servicio Nacional de Reinserción social Juvenil No puede ser mayor al Total.",""))</f>
        <v/>
      </c>
      <c r="CD409" s="1418" t="str">
        <f t="shared" ref="CD409:CD411" si="329">IF(AND(B409&gt;0,F409="")," *No olvide digitar la variable Servicio Nacional Protección Especializada a la Niñez y Adolescencia. Digite Cero si no tiene.",IF(B409&gt;F409," *La variable Servicio Nacional Protección Especializada a la Niñez y Adolescencia No puede ser mayor al Total Ambos Sexos.",""))</f>
        <v/>
      </c>
      <c r="CO409" s="419">
        <f t="shared" ref="CO409:CO411" si="330">IF(AND($B409&gt;0,E409=""),1,IF(E409&gt;$B409,1,0))</f>
        <v>0</v>
      </c>
      <c r="CP409" s="419">
        <f t="shared" ref="CP409:CP411" si="331">IF(AND($B409&gt;0,F409=""),1,IF(F409&gt;$B409,1,0))</f>
        <v>0</v>
      </c>
      <c r="CQ409" s="419">
        <f t="shared" ref="CQ409:CR411" si="332">IF(AND($B409&gt;0,E409=""),1,IF(E409&gt;$B409,1,0))</f>
        <v>0</v>
      </c>
      <c r="CR409" s="419">
        <f t="shared" si="332"/>
        <v>0</v>
      </c>
    </row>
    <row r="410" spans="1:96">
      <c r="A410" s="2036" t="s">
        <v>1057</v>
      </c>
      <c r="B410" s="2057">
        <f t="shared" si="324"/>
        <v>0</v>
      </c>
      <c r="C410" s="1440"/>
      <c r="D410" s="1655"/>
      <c r="E410" s="1447"/>
      <c r="F410" s="1446"/>
      <c r="G410" t="str">
        <f t="shared" si="325"/>
        <v/>
      </c>
      <c r="CA410" s="1418" t="str">
        <f t="shared" si="326"/>
        <v/>
      </c>
      <c r="CB410" s="1418" t="str">
        <f t="shared" si="327"/>
        <v/>
      </c>
      <c r="CC410" s="1418" t="str">
        <f t="shared" si="328"/>
        <v/>
      </c>
      <c r="CD410" s="1418" t="str">
        <f t="shared" si="329"/>
        <v/>
      </c>
      <c r="CO410" s="419">
        <f t="shared" si="330"/>
        <v>0</v>
      </c>
      <c r="CP410" s="419">
        <f t="shared" si="331"/>
        <v>0</v>
      </c>
      <c r="CQ410" s="419">
        <f t="shared" si="332"/>
        <v>0</v>
      </c>
      <c r="CR410" s="419">
        <f t="shared" si="332"/>
        <v>0</v>
      </c>
    </row>
    <row r="411" spans="1:96">
      <c r="A411" s="2088" t="s">
        <v>1058</v>
      </c>
      <c r="B411" s="2098">
        <f t="shared" si="324"/>
        <v>0</v>
      </c>
      <c r="C411" s="1455"/>
      <c r="D411" s="1660"/>
      <c r="E411" s="1490"/>
      <c r="F411" s="1461"/>
      <c r="G411" t="str">
        <f t="shared" si="325"/>
        <v/>
      </c>
      <c r="CA411" s="1418" t="str">
        <f t="shared" si="326"/>
        <v/>
      </c>
      <c r="CB411" s="1418" t="str">
        <f t="shared" si="327"/>
        <v/>
      </c>
      <c r="CC411" s="1418" t="str">
        <f t="shared" si="328"/>
        <v/>
      </c>
      <c r="CD411" s="1418" t="str">
        <f t="shared" si="329"/>
        <v/>
      </c>
      <c r="CO411" s="419">
        <f t="shared" si="330"/>
        <v>0</v>
      </c>
      <c r="CP411" s="419">
        <f t="shared" si="331"/>
        <v>0</v>
      </c>
      <c r="CQ411" s="419">
        <f t="shared" si="332"/>
        <v>0</v>
      </c>
      <c r="CR411" s="419">
        <f t="shared" si="332"/>
        <v>0</v>
      </c>
    </row>
    <row r="437" spans="1:2" ht="32.25" hidden="1" customHeight="1">
      <c r="A437" s="2099">
        <f>SUM(C11:C14,C18:D31,C36:C51,C55:C59,C63:C83,B86,C89,C95:E98,C103:E106,C112:E114,C119:E128,C133:E141,C146:E150,C154:E163,C167:E176,C180:E187,C193:E241,C245:E293,C298:E301,C306:E324,C329:E339,C344:E346,B351:D352,C357:E366,B372:D373,B375:D376,B378:D382,B384:D389,B394:B404,B409:B411)</f>
        <v>0</v>
      </c>
      <c r="B437" s="2100">
        <f>SUM(CO11:CY411)</f>
        <v>0</v>
      </c>
    </row>
  </sheetData>
  <sheetProtection algorithmName="SHA-512" hashValue="kz0eP1WwNcZj2axwO+s/BGvkztNf5tTr8bPnOrMzFxOAPvZvUsSMYvObiqzINaEDU9dAbkmCv7Olg6yl4PO2tA==" saltValue="AikkyeTl1+LgSdIfTrc3Uw==" spinCount="100000" sheet="1" objects="1" scenarios="1"/>
  <mergeCells count="583">
    <mergeCell ref="M391:R391"/>
    <mergeCell ref="S391:U391"/>
    <mergeCell ref="M392:M393"/>
    <mergeCell ref="N392:N393"/>
    <mergeCell ref="O392:O393"/>
    <mergeCell ref="P392:P393"/>
    <mergeCell ref="Q392:Q393"/>
    <mergeCell ref="R392:R393"/>
    <mergeCell ref="S392:S393"/>
    <mergeCell ref="T392:T393"/>
    <mergeCell ref="U392:U393"/>
    <mergeCell ref="A390:L390"/>
    <mergeCell ref="K391:K393"/>
    <mergeCell ref="L391:L393"/>
    <mergeCell ref="E406:E408"/>
    <mergeCell ref="F406:F408"/>
    <mergeCell ref="A391:A393"/>
    <mergeCell ref="B391:B393"/>
    <mergeCell ref="C391:H391"/>
    <mergeCell ref="I391:J391"/>
    <mergeCell ref="C392:E392"/>
    <mergeCell ref="F392:H392"/>
    <mergeCell ref="I392:I393"/>
    <mergeCell ref="J392:J393"/>
    <mergeCell ref="A406:A408"/>
    <mergeCell ref="B406:B408"/>
    <mergeCell ref="C406:D406"/>
    <mergeCell ref="C407:C408"/>
    <mergeCell ref="D407:D408"/>
    <mergeCell ref="AR368:AR370"/>
    <mergeCell ref="AS368:AS370"/>
    <mergeCell ref="E369:F369"/>
    <mergeCell ref="G369:H369"/>
    <mergeCell ref="I369:J369"/>
    <mergeCell ref="K369:L369"/>
    <mergeCell ref="M369:N369"/>
    <mergeCell ref="O369:P369"/>
    <mergeCell ref="Q369:R369"/>
    <mergeCell ref="S369:T369"/>
    <mergeCell ref="U369:V369"/>
    <mergeCell ref="W369:X369"/>
    <mergeCell ref="Y369:Z369"/>
    <mergeCell ref="AA369:AB369"/>
    <mergeCell ref="AC369:AD369"/>
    <mergeCell ref="AE369:AF369"/>
    <mergeCell ref="AG369:AH369"/>
    <mergeCell ref="AM368:AP368"/>
    <mergeCell ref="AQ368:AQ370"/>
    <mergeCell ref="AM369:AM370"/>
    <mergeCell ref="AN369:AN370"/>
    <mergeCell ref="AO369:AO370"/>
    <mergeCell ref="AP369:AP370"/>
    <mergeCell ref="W33:W34"/>
    <mergeCell ref="X33:Z33"/>
    <mergeCell ref="AA33:AA34"/>
    <mergeCell ref="U53:W53"/>
    <mergeCell ref="X53:X54"/>
    <mergeCell ref="A247:A248"/>
    <mergeCell ref="A249:A250"/>
    <mergeCell ref="A368:A370"/>
    <mergeCell ref="B368:D369"/>
    <mergeCell ref="E368:AL368"/>
    <mergeCell ref="AI369:AJ369"/>
    <mergeCell ref="AK369:AL369"/>
    <mergeCell ref="D53:P53"/>
    <mergeCell ref="Q53:Q54"/>
    <mergeCell ref="A38:A44"/>
    <mergeCell ref="A45:A46"/>
    <mergeCell ref="A53:B54"/>
    <mergeCell ref="C53:C54"/>
    <mergeCell ref="A79:A80"/>
    <mergeCell ref="A78:B78"/>
    <mergeCell ref="A77:B77"/>
    <mergeCell ref="A75:A76"/>
    <mergeCell ref="A55:A56"/>
    <mergeCell ref="A35:B35"/>
    <mergeCell ref="AN143:AP143"/>
    <mergeCell ref="AN327:AO327"/>
    <mergeCell ref="AP327:AQ327"/>
    <mergeCell ref="AQ143:AQ145"/>
    <mergeCell ref="AL355:AL356"/>
    <mergeCell ref="R9:R10"/>
    <mergeCell ref="S9:T9"/>
    <mergeCell ref="U9:U10"/>
    <mergeCell ref="R53:R54"/>
    <mergeCell ref="V9:V10"/>
    <mergeCell ref="R33:R34"/>
    <mergeCell ref="S33:S34"/>
    <mergeCell ref="V33:V34"/>
    <mergeCell ref="AN144:AN145"/>
    <mergeCell ref="R61:R62"/>
    <mergeCell ref="AO144:AO145"/>
    <mergeCell ref="AP144:AP145"/>
    <mergeCell ref="AM354:AM356"/>
    <mergeCell ref="AI354:AI356"/>
    <mergeCell ref="AJ354:AL354"/>
    <mergeCell ref="W9:X9"/>
    <mergeCell ref="T33:U33"/>
    <mergeCell ref="S53:T53"/>
    <mergeCell ref="AH93:AI93"/>
    <mergeCell ref="Q9:Q10"/>
    <mergeCell ref="A11:B11"/>
    <mergeCell ref="A12:B12"/>
    <mergeCell ref="A13:B13"/>
    <mergeCell ref="A14:B14"/>
    <mergeCell ref="A25:B25"/>
    <mergeCell ref="A18:B18"/>
    <mergeCell ref="A31:B31"/>
    <mergeCell ref="A33:B34"/>
    <mergeCell ref="C33:C34"/>
    <mergeCell ref="D33:P33"/>
    <mergeCell ref="Q33:Q34"/>
    <mergeCell ref="A19:B19"/>
    <mergeCell ref="A20:B20"/>
    <mergeCell ref="A21:B21"/>
    <mergeCell ref="A22:B22"/>
    <mergeCell ref="A23:B23"/>
    <mergeCell ref="A24:B24"/>
    <mergeCell ref="A26:B26"/>
    <mergeCell ref="A27:B27"/>
    <mergeCell ref="A28:B28"/>
    <mergeCell ref="A29:B29"/>
    <mergeCell ref="A30:B30"/>
    <mergeCell ref="A36:B36"/>
    <mergeCell ref="A37:B37"/>
    <mergeCell ref="A57:A58"/>
    <mergeCell ref="A59:B59"/>
    <mergeCell ref="A61:B62"/>
    <mergeCell ref="A63:B63"/>
    <mergeCell ref="A64:B64"/>
    <mergeCell ref="A65:B65"/>
    <mergeCell ref="A66:A72"/>
    <mergeCell ref="AX191:AX192"/>
    <mergeCell ref="T348:U349"/>
    <mergeCell ref="Q165:Q166"/>
    <mergeCell ref="R165:R166"/>
    <mergeCell ref="N191:O191"/>
    <mergeCell ref="P191:Q191"/>
    <mergeCell ref="R191:S191"/>
    <mergeCell ref="T191:U191"/>
    <mergeCell ref="V191:W191"/>
    <mergeCell ref="X191:Y191"/>
    <mergeCell ref="P178:P179"/>
    <mergeCell ref="Q178:Q179"/>
    <mergeCell ref="N178:O178"/>
    <mergeCell ref="AW243:AW244"/>
    <mergeCell ref="AX243:AX244"/>
    <mergeCell ref="AQ303:AR304"/>
    <mergeCell ref="AS303:AS305"/>
    <mergeCell ref="AT303:AT305"/>
    <mergeCell ref="AU303:AU305"/>
    <mergeCell ref="AV303:AV305"/>
    <mergeCell ref="AU326:AU328"/>
    <mergeCell ref="AV326:AV328"/>
    <mergeCell ref="AW326:AW328"/>
    <mergeCell ref="F326:AQ326"/>
    <mergeCell ref="AR143:AR145"/>
    <mergeCell ref="A6:P6"/>
    <mergeCell ref="A9:B10"/>
    <mergeCell ref="C9:C10"/>
    <mergeCell ref="O9:O10"/>
    <mergeCell ref="A16:B17"/>
    <mergeCell ref="C16:C17"/>
    <mergeCell ref="D16:D17"/>
    <mergeCell ref="E16:E17"/>
    <mergeCell ref="F16:F17"/>
    <mergeCell ref="D9:N9"/>
    <mergeCell ref="P9:P10"/>
    <mergeCell ref="C61:C62"/>
    <mergeCell ref="D61:P61"/>
    <mergeCell ref="P101:Q101"/>
    <mergeCell ref="N101:O101"/>
    <mergeCell ref="L101:M101"/>
    <mergeCell ref="V101:W101"/>
    <mergeCell ref="X101:Y101"/>
    <mergeCell ref="Z101:AA101"/>
    <mergeCell ref="AB101:AC101"/>
    <mergeCell ref="AD101:AG101"/>
    <mergeCell ref="AH101:AI101"/>
    <mergeCell ref="AD100:AI100"/>
    <mergeCell ref="Q61:Q62"/>
    <mergeCell ref="A88:B88"/>
    <mergeCell ref="A89:B89"/>
    <mergeCell ref="C100:E101"/>
    <mergeCell ref="A100:B102"/>
    <mergeCell ref="AI116:AI118"/>
    <mergeCell ref="AH130:AK130"/>
    <mergeCell ref="AL130:AL132"/>
    <mergeCell ref="AJ131:AJ132"/>
    <mergeCell ref="AK131:AK132"/>
    <mergeCell ref="L109:M109"/>
    <mergeCell ref="X100:AC100"/>
    <mergeCell ref="R100:W100"/>
    <mergeCell ref="A73:A74"/>
    <mergeCell ref="AK100:AK102"/>
    <mergeCell ref="AJ100:AJ102"/>
    <mergeCell ref="AL100:AL102"/>
    <mergeCell ref="R101:S101"/>
    <mergeCell ref="T101:U101"/>
    <mergeCell ref="A106:B106"/>
    <mergeCell ref="A105:B105"/>
    <mergeCell ref="A104:B104"/>
    <mergeCell ref="A103:B103"/>
    <mergeCell ref="A112:B112"/>
    <mergeCell ref="A113:B113"/>
    <mergeCell ref="A114:B114"/>
    <mergeCell ref="A116:B118"/>
    <mergeCell ref="A47:A48"/>
    <mergeCell ref="A50:B50"/>
    <mergeCell ref="A51:B51"/>
    <mergeCell ref="A49:B49"/>
    <mergeCell ref="A83:B83"/>
    <mergeCell ref="A81:A82"/>
    <mergeCell ref="A91:B94"/>
    <mergeCell ref="C116:E117"/>
    <mergeCell ref="A108:B110"/>
    <mergeCell ref="C108:E109"/>
    <mergeCell ref="F116:AG116"/>
    <mergeCell ref="AH116:AH118"/>
    <mergeCell ref="F117:G117"/>
    <mergeCell ref="H117:I117"/>
    <mergeCell ref="J117:K117"/>
    <mergeCell ref="L117:M117"/>
    <mergeCell ref="N117:O117"/>
    <mergeCell ref="P117:Q117"/>
    <mergeCell ref="R117:S117"/>
    <mergeCell ref="AF117:AG117"/>
    <mergeCell ref="T117:U117"/>
    <mergeCell ref="V117:W117"/>
    <mergeCell ref="X117:Y117"/>
    <mergeCell ref="Z117:AA117"/>
    <mergeCell ref="AB117:AC117"/>
    <mergeCell ref="AD117:AE117"/>
    <mergeCell ref="F108:M108"/>
    <mergeCell ref="A111:B111"/>
    <mergeCell ref="F109:G109"/>
    <mergeCell ref="H109:I109"/>
    <mergeCell ref="J109:K109"/>
    <mergeCell ref="A119:B119"/>
    <mergeCell ref="A120:A127"/>
    <mergeCell ref="A128:B128"/>
    <mergeCell ref="A130:B132"/>
    <mergeCell ref="C130:E131"/>
    <mergeCell ref="F130:AG130"/>
    <mergeCell ref="T131:U131"/>
    <mergeCell ref="V131:W131"/>
    <mergeCell ref="X131:Y131"/>
    <mergeCell ref="F131:G131"/>
    <mergeCell ref="H131:I131"/>
    <mergeCell ref="J131:K131"/>
    <mergeCell ref="L131:M131"/>
    <mergeCell ref="N131:O131"/>
    <mergeCell ref="P131:Q131"/>
    <mergeCell ref="R131:S131"/>
    <mergeCell ref="A133:B133"/>
    <mergeCell ref="A134:A141"/>
    <mergeCell ref="A143:B145"/>
    <mergeCell ref="C143:E144"/>
    <mergeCell ref="F143:AM143"/>
    <mergeCell ref="T144:U144"/>
    <mergeCell ref="V144:W144"/>
    <mergeCell ref="X144:Y144"/>
    <mergeCell ref="Z131:AA131"/>
    <mergeCell ref="AB131:AC131"/>
    <mergeCell ref="AD131:AE131"/>
    <mergeCell ref="AF131:AG131"/>
    <mergeCell ref="AH131:AH132"/>
    <mergeCell ref="AI131:AI132"/>
    <mergeCell ref="F144:G144"/>
    <mergeCell ref="H144:I144"/>
    <mergeCell ref="J144:K144"/>
    <mergeCell ref="L144:M144"/>
    <mergeCell ref="N144:O144"/>
    <mergeCell ref="P144:Q144"/>
    <mergeCell ref="R144:S144"/>
    <mergeCell ref="AL144:AM144"/>
    <mergeCell ref="AM130:AM132"/>
    <mergeCell ref="A146:B146"/>
    <mergeCell ref="A147:B147"/>
    <mergeCell ref="Z144:AA144"/>
    <mergeCell ref="AB144:AC144"/>
    <mergeCell ref="AD144:AE144"/>
    <mergeCell ref="AF144:AG144"/>
    <mergeCell ref="AH144:AI144"/>
    <mergeCell ref="AJ144:AK144"/>
    <mergeCell ref="J152:K152"/>
    <mergeCell ref="L152:M152"/>
    <mergeCell ref="N152:N153"/>
    <mergeCell ref="O152:O153"/>
    <mergeCell ref="A154:A156"/>
    <mergeCell ref="A157:B157"/>
    <mergeCell ref="A148:A149"/>
    <mergeCell ref="A150:B150"/>
    <mergeCell ref="A152:B153"/>
    <mergeCell ref="C152:E152"/>
    <mergeCell ref="F152:G152"/>
    <mergeCell ref="H152:I152"/>
    <mergeCell ref="H165:I165"/>
    <mergeCell ref="J165:K165"/>
    <mergeCell ref="L165:M165"/>
    <mergeCell ref="A180:A183"/>
    <mergeCell ref="A184:A187"/>
    <mergeCell ref="N165:P165"/>
    <mergeCell ref="A158:A161"/>
    <mergeCell ref="A162:B162"/>
    <mergeCell ref="A163:B163"/>
    <mergeCell ref="A165:B166"/>
    <mergeCell ref="C165:E165"/>
    <mergeCell ref="F165:G165"/>
    <mergeCell ref="A167:A169"/>
    <mergeCell ref="A170:B170"/>
    <mergeCell ref="J191:K191"/>
    <mergeCell ref="L191:M191"/>
    <mergeCell ref="C178:E178"/>
    <mergeCell ref="F178:G178"/>
    <mergeCell ref="H178:I178"/>
    <mergeCell ref="J178:K178"/>
    <mergeCell ref="L178:M178"/>
    <mergeCell ref="A171:A174"/>
    <mergeCell ref="A175:B175"/>
    <mergeCell ref="A176:B176"/>
    <mergeCell ref="A178:B179"/>
    <mergeCell ref="AT191:AU191"/>
    <mergeCell ref="AV191:AW191"/>
    <mergeCell ref="A193:B193"/>
    <mergeCell ref="A194:B194"/>
    <mergeCell ref="A199:A200"/>
    <mergeCell ref="A201:B201"/>
    <mergeCell ref="AL191:AM191"/>
    <mergeCell ref="AN191:AN192"/>
    <mergeCell ref="AO191:AO192"/>
    <mergeCell ref="AP191:AQ191"/>
    <mergeCell ref="AR191:AR192"/>
    <mergeCell ref="AS191:AS192"/>
    <mergeCell ref="Z191:AA191"/>
    <mergeCell ref="AB191:AC191"/>
    <mergeCell ref="AD191:AE191"/>
    <mergeCell ref="AF191:AG191"/>
    <mergeCell ref="AH191:AI191"/>
    <mergeCell ref="AJ191:AK191"/>
    <mergeCell ref="A197:A198"/>
    <mergeCell ref="A195:A196"/>
    <mergeCell ref="A191:B192"/>
    <mergeCell ref="C191:E191"/>
    <mergeCell ref="F191:G191"/>
    <mergeCell ref="H191:I191"/>
    <mergeCell ref="A230:B230"/>
    <mergeCell ref="A231:B231"/>
    <mergeCell ref="A232:B232"/>
    <mergeCell ref="A233:B233"/>
    <mergeCell ref="A234:B234"/>
    <mergeCell ref="A235:A239"/>
    <mergeCell ref="A202:A203"/>
    <mergeCell ref="A205:A212"/>
    <mergeCell ref="A213:A217"/>
    <mergeCell ref="A218:A221"/>
    <mergeCell ref="A222:A226"/>
    <mergeCell ref="A227:A229"/>
    <mergeCell ref="N243:O243"/>
    <mergeCell ref="P243:Q243"/>
    <mergeCell ref="R243:S243"/>
    <mergeCell ref="T243:U243"/>
    <mergeCell ref="A240:B240"/>
    <mergeCell ref="A241:B241"/>
    <mergeCell ref="A243:B244"/>
    <mergeCell ref="C243:E243"/>
    <mergeCell ref="F243:G243"/>
    <mergeCell ref="H243:I243"/>
    <mergeCell ref="A246:B246"/>
    <mergeCell ref="A251:A252"/>
    <mergeCell ref="A253:B253"/>
    <mergeCell ref="A254:A255"/>
    <mergeCell ref="A257:A264"/>
    <mergeCell ref="A265:A269"/>
    <mergeCell ref="AS243:AT243"/>
    <mergeCell ref="AU243:AU244"/>
    <mergeCell ref="AV243:AV244"/>
    <mergeCell ref="A245:B245"/>
    <mergeCell ref="AH243:AI243"/>
    <mergeCell ref="AJ243:AK243"/>
    <mergeCell ref="AL243:AM243"/>
    <mergeCell ref="AN243:AP243"/>
    <mergeCell ref="AQ243:AQ244"/>
    <mergeCell ref="AR243:AR244"/>
    <mergeCell ref="V243:W243"/>
    <mergeCell ref="X243:Y243"/>
    <mergeCell ref="Z243:AA243"/>
    <mergeCell ref="AB243:AC243"/>
    <mergeCell ref="AD243:AE243"/>
    <mergeCell ref="AF243:AG243"/>
    <mergeCell ref="J243:K243"/>
    <mergeCell ref="L243:M243"/>
    <mergeCell ref="A285:B285"/>
    <mergeCell ref="A286:B286"/>
    <mergeCell ref="A287:A291"/>
    <mergeCell ref="A292:B292"/>
    <mergeCell ref="A293:B293"/>
    <mergeCell ref="A295:A297"/>
    <mergeCell ref="B295:B297"/>
    <mergeCell ref="A270:A273"/>
    <mergeCell ref="A274:A278"/>
    <mergeCell ref="A279:A281"/>
    <mergeCell ref="A282:B282"/>
    <mergeCell ref="A283:B283"/>
    <mergeCell ref="A284:B284"/>
    <mergeCell ref="C295:E296"/>
    <mergeCell ref="F295:AK295"/>
    <mergeCell ref="AL295:AL297"/>
    <mergeCell ref="AM295:AM297"/>
    <mergeCell ref="AN295:AN297"/>
    <mergeCell ref="AO295:AO297"/>
    <mergeCell ref="F296:G296"/>
    <mergeCell ref="H296:I296"/>
    <mergeCell ref="J296:K296"/>
    <mergeCell ref="L296:M296"/>
    <mergeCell ref="Z296:AA296"/>
    <mergeCell ref="AB296:AC296"/>
    <mergeCell ref="AD296:AE296"/>
    <mergeCell ref="AF296:AG296"/>
    <mergeCell ref="AH296:AI296"/>
    <mergeCell ref="AJ296:AK296"/>
    <mergeCell ref="N296:O296"/>
    <mergeCell ref="P296:Q296"/>
    <mergeCell ref="R296:S296"/>
    <mergeCell ref="T296:U296"/>
    <mergeCell ref="V296:W296"/>
    <mergeCell ref="X296:Y296"/>
    <mergeCell ref="A298:A299"/>
    <mergeCell ref="A300:A301"/>
    <mergeCell ref="A303:B305"/>
    <mergeCell ref="C303:E304"/>
    <mergeCell ref="F303:AM303"/>
    <mergeCell ref="AN303:AP303"/>
    <mergeCell ref="P304:Q304"/>
    <mergeCell ref="R304:S304"/>
    <mergeCell ref="T304:U304"/>
    <mergeCell ref="V304:W304"/>
    <mergeCell ref="F304:G304"/>
    <mergeCell ref="H304:I304"/>
    <mergeCell ref="J304:K304"/>
    <mergeCell ref="L304:M304"/>
    <mergeCell ref="N304:O304"/>
    <mergeCell ref="AJ304:AK304"/>
    <mergeCell ref="AL304:AM304"/>
    <mergeCell ref="AN304:AN305"/>
    <mergeCell ref="AO304:AO305"/>
    <mergeCell ref="AP304:AP305"/>
    <mergeCell ref="A306:B306"/>
    <mergeCell ref="X304:Y304"/>
    <mergeCell ref="Z304:AA304"/>
    <mergeCell ref="AB304:AC304"/>
    <mergeCell ref="AD304:AE304"/>
    <mergeCell ref="AF304:AG304"/>
    <mergeCell ref="AH304:AI304"/>
    <mergeCell ref="A307:A315"/>
    <mergeCell ref="A316:A324"/>
    <mergeCell ref="AR326:AS327"/>
    <mergeCell ref="R327:S327"/>
    <mergeCell ref="T327:U327"/>
    <mergeCell ref="V327:W327"/>
    <mergeCell ref="X327:Y327"/>
    <mergeCell ref="AT326:AT328"/>
    <mergeCell ref="A329:A330"/>
    <mergeCell ref="A331:B331"/>
    <mergeCell ref="A332:B332"/>
    <mergeCell ref="Z327:AA327"/>
    <mergeCell ref="AB327:AC327"/>
    <mergeCell ref="AD327:AE327"/>
    <mergeCell ref="AF327:AG327"/>
    <mergeCell ref="AH327:AI327"/>
    <mergeCell ref="AJ327:AK327"/>
    <mergeCell ref="A326:B328"/>
    <mergeCell ref="C326:E327"/>
    <mergeCell ref="F327:G327"/>
    <mergeCell ref="H327:I327"/>
    <mergeCell ref="J327:K327"/>
    <mergeCell ref="L327:M327"/>
    <mergeCell ref="N327:O327"/>
    <mergeCell ref="P327:Q327"/>
    <mergeCell ref="AL327:AM327"/>
    <mergeCell ref="A333:B333"/>
    <mergeCell ref="A334:B334"/>
    <mergeCell ref="A335:A339"/>
    <mergeCell ref="A341:B343"/>
    <mergeCell ref="C341:E342"/>
    <mergeCell ref="F341:AG341"/>
    <mergeCell ref="T342:U342"/>
    <mergeCell ref="V342:W342"/>
    <mergeCell ref="X342:Y342"/>
    <mergeCell ref="Z342:AA342"/>
    <mergeCell ref="AB342:AC342"/>
    <mergeCell ref="AD342:AE342"/>
    <mergeCell ref="AF342:AG342"/>
    <mergeCell ref="AH341:AI342"/>
    <mergeCell ref="AJ341:AJ343"/>
    <mergeCell ref="AK341:AK343"/>
    <mergeCell ref="F342:G342"/>
    <mergeCell ref="H342:I342"/>
    <mergeCell ref="J342:K342"/>
    <mergeCell ref="L342:M342"/>
    <mergeCell ref="N342:O342"/>
    <mergeCell ref="P342:Q342"/>
    <mergeCell ref="R342:S342"/>
    <mergeCell ref="A357:A359"/>
    <mergeCell ref="A360:A362"/>
    <mergeCell ref="A363:A366"/>
    <mergeCell ref="AB355:AC355"/>
    <mergeCell ref="AJ355:AJ356"/>
    <mergeCell ref="AK355:AK356"/>
    <mergeCell ref="A354:A356"/>
    <mergeCell ref="B354:B356"/>
    <mergeCell ref="C354:E355"/>
    <mergeCell ref="F355:G355"/>
    <mergeCell ref="H355:I355"/>
    <mergeCell ref="J355:K355"/>
    <mergeCell ref="L355:M355"/>
    <mergeCell ref="N355:O355"/>
    <mergeCell ref="P355:Q355"/>
    <mergeCell ref="R355:S355"/>
    <mergeCell ref="F354:AG354"/>
    <mergeCell ref="AH354:AH356"/>
    <mergeCell ref="T355:U355"/>
    <mergeCell ref="V355:W355"/>
    <mergeCell ref="X355:Y355"/>
    <mergeCell ref="Z355:AA355"/>
    <mergeCell ref="AD355:AE355"/>
    <mergeCell ref="AF355:AG355"/>
    <mergeCell ref="A344:B344"/>
    <mergeCell ref="A345:B345"/>
    <mergeCell ref="A346:B346"/>
    <mergeCell ref="M349:N349"/>
    <mergeCell ref="P348:P350"/>
    <mergeCell ref="A348:A350"/>
    <mergeCell ref="B348:D349"/>
    <mergeCell ref="E348:M348"/>
    <mergeCell ref="S348:S350"/>
    <mergeCell ref="E349:F349"/>
    <mergeCell ref="G349:H349"/>
    <mergeCell ref="I349:J349"/>
    <mergeCell ref="K349:L349"/>
    <mergeCell ref="Q348:Q350"/>
    <mergeCell ref="O348:O350"/>
    <mergeCell ref="R348:R350"/>
    <mergeCell ref="AU91:AU94"/>
    <mergeCell ref="A95:B95"/>
    <mergeCell ref="A96:B96"/>
    <mergeCell ref="A97:B97"/>
    <mergeCell ref="C91:E93"/>
    <mergeCell ref="F91:AC91"/>
    <mergeCell ref="AB93:AC93"/>
    <mergeCell ref="AV91:AV94"/>
    <mergeCell ref="AW91:AW94"/>
    <mergeCell ref="F92:Q92"/>
    <mergeCell ref="R92:W92"/>
    <mergeCell ref="X92:AC92"/>
    <mergeCell ref="AD92:AO92"/>
    <mergeCell ref="AP92:AP94"/>
    <mergeCell ref="AQ92:AQ94"/>
    <mergeCell ref="AR92:AR94"/>
    <mergeCell ref="AS92:AS94"/>
    <mergeCell ref="AT92:AT94"/>
    <mergeCell ref="F93:G93"/>
    <mergeCell ref="H93:I93"/>
    <mergeCell ref="J93:K93"/>
    <mergeCell ref="L93:M93"/>
    <mergeCell ref="N93:O93"/>
    <mergeCell ref="P93:Q93"/>
    <mergeCell ref="F101:G101"/>
    <mergeCell ref="H101:I101"/>
    <mergeCell ref="J101:K101"/>
    <mergeCell ref="F100:Q100"/>
    <mergeCell ref="AJ93:AK93"/>
    <mergeCell ref="AL93:AM93"/>
    <mergeCell ref="AN93:AO93"/>
    <mergeCell ref="A98:B98"/>
    <mergeCell ref="AD91:AT91"/>
    <mergeCell ref="R93:S93"/>
    <mergeCell ref="T93:U93"/>
    <mergeCell ref="V93:W93"/>
    <mergeCell ref="X93:Y93"/>
    <mergeCell ref="Z93:AA93"/>
    <mergeCell ref="AD93:AE93"/>
    <mergeCell ref="AF93:AG93"/>
  </mergeCells>
  <dataValidations count="12">
    <dataValidation allowBlank="1" showInputMessage="1" showErrorMessage="1" errorTitle="Error de ingreso" error="Debe ingresar sólo números enteros positivos." sqref="AA33:AA34 X33 X53:X54 U53" xr:uid="{00000000-0002-0000-0500-000000000000}"/>
    <dataValidation type="whole" operator="greaterThanOrEqual" allowBlank="1" showInputMessage="1" showErrorMessage="1" sqref="F344:AK346 C18:F31 F357:AM366 H247:AX247 B86:D86 F133:AM141 F119:AI128 F111:M114 F154:O156 F158:O161 F146:AR150 D89:E89 F167:R169 F298:AO301 F245:AX245 D55:X59 F193:AX193 D52:U52 F171:R174 F103:AL106 D11:P14 R11:X14 Q13" xr:uid="{00CD00AA-0092-4A0B-A9F0-00A100E200B3}">
      <formula1>0</formula1>
    </dataValidation>
    <dataValidation type="whole" allowBlank="1" showInputMessage="1" showErrorMessage="1" sqref="E351:U352 F247:G293 H248:AX293" xr:uid="{00BF0091-00B2-4BB1-A2FE-00E9006900D1}">
      <formula1>0</formula1>
      <formula2>9.99999999999999E+35</formula2>
    </dataValidation>
    <dataValidation type="whole" allowBlank="1" showInputMessage="1" showErrorMessage="1" sqref="F307:AV324 F180:Q182 F184:Q187" xr:uid="{00410014-00B0-4BCF-BC6C-0073002C0087}">
      <formula1>0</formula1>
      <formula2>9.99999999999999E+38</formula2>
    </dataValidation>
    <dataValidation type="whole" operator="greaterThanOrEqual" allowBlank="1" showInputMessage="1" showErrorMessage="1" error="Valor no Permitido" sqref="C399:U399 B384:AS389 B372:AS373 B375:AS376 B378:AS382 K395:U395 B395:B402 C395:I395 B409:B411" xr:uid="{00310069-004E-414E-8969-00030013005C}">
      <formula1>0</formula1>
    </dataValidation>
    <dataValidation type="whole" operator="equal" allowBlank="1" showInputMessage="1" showErrorMessage="1" sqref="C246:AX246 D208 D329 C194:AX194 N37 Q11:Q12 Q14 AD208:AN208" xr:uid="{001F008B-0064-49BB-959E-00E200DC003E}">
      <formula1>0</formula1>
    </dataValidation>
    <dataValidation type="whole" operator="equal" allowBlank="1" showInputMessage="1" showErrorMessage="1" error="Valor no Permitido" sqref="B371:AS371 B374:AS374 B377:AS377 B383:AS383 J395" xr:uid="{00CE00B9-005D-43C9-81A3-005D009800FA}">
      <formula1>0</formula1>
    </dataValidation>
    <dataValidation type="whole" allowBlank="1" showInputMessage="1" showErrorMessage="1" sqref="D36:M51 O36:AA51 N36 N38:N51" xr:uid="{00B700F4-00B8-49CD-AF88-0043002C00C5}">
      <formula1>0</formula1>
      <formula2>9.99999999999999E+32</formula2>
    </dataValidation>
    <dataValidation type="whole" allowBlank="1" showInputMessage="1" showErrorMessage="1" sqref="D64:R83" xr:uid="{00870084-0088-4C40-BF4E-006B00D100B6}">
      <formula1>0</formula1>
      <formula2>9.99999999999999E+28</formula2>
    </dataValidation>
    <dataValidation type="whole" allowBlank="1" showInputMessage="1" showErrorMessage="1" sqref="F95:AW98" xr:uid="{009C0074-00F4-4C41-9B6C-002C00940049}">
      <formula1>0</formula1>
      <formula2>9.99999999999999E+39</formula2>
    </dataValidation>
    <dataValidation type="whole" allowBlank="1" showInputMessage="1" showErrorMessage="1" sqref="F329:AW339 F195:AC241 AO195:AX241 AD195:AN207 AD209:AN241" xr:uid="{008C0011-00B8-4611-954D-00E400D600DE}">
      <formula1>0</formula1>
      <formula2>9.99999999999999E+37</formula2>
    </dataValidation>
    <dataValidation type="whole" allowBlank="1" showInputMessage="1" showErrorMessage="1" sqref="C394:U394 C396:U398 C400:U404 C409:F411" xr:uid="{009E006F-00A2-4B95-91CC-007100CD0038}">
      <formula1>0</formula1>
      <formula2>9.99999999999999E+34</formula2>
    </dataValidation>
  </dataValidations>
  <pageMargins left="0.7" right="0.7" top="0.75" bottom="0.75" header="0.3" footer="0.3"/>
  <pageSetup paperSize="9" orientation="portrait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7"/>
  <dimension ref="A1:DJ205"/>
  <sheetViews>
    <sheetView showGridLines="0" workbookViewId="0"/>
  </sheetViews>
  <sheetFormatPr baseColWidth="10" defaultColWidth="11.42578125" defaultRowHeight="15"/>
  <cols>
    <col min="1" max="1" width="48.140625" customWidth="1"/>
    <col min="2" max="2" width="32.140625" customWidth="1"/>
    <col min="3" max="4" width="18.85546875" customWidth="1"/>
    <col min="5" max="5" width="17.140625" customWidth="1"/>
    <col min="6" max="6" width="13.85546875" customWidth="1"/>
    <col min="7" max="7" width="14.140625" customWidth="1"/>
    <col min="8" max="8" width="13.42578125" customWidth="1"/>
    <col min="9" max="9" width="13.28515625" customWidth="1"/>
    <col min="10" max="10" width="12.28515625" customWidth="1"/>
    <col min="11" max="11" width="13.42578125" customWidth="1"/>
    <col min="12" max="13" width="12" customWidth="1"/>
    <col min="18" max="45" width="11.42578125" customWidth="1"/>
    <col min="46" max="46" width="11" customWidth="1"/>
    <col min="47" max="77" width="11.42578125" customWidth="1"/>
    <col min="78" max="91" width="11.42578125" hidden="1" customWidth="1"/>
    <col min="92" max="95" width="12.140625" hidden="1" customWidth="1"/>
    <col min="96" max="96" width="12.28515625" hidden="1" customWidth="1"/>
    <col min="97" max="114" width="11.42578125" hidden="1" customWidth="1"/>
    <col min="115" max="148" width="11.42578125" customWidth="1"/>
  </cols>
  <sheetData>
    <row r="1" spans="1:97">
      <c r="A1" s="378" t="s">
        <v>37</v>
      </c>
    </row>
    <row r="2" spans="1:97">
      <c r="A2" s="378" t="str">
        <f>CONCATENATE("COMUNA: ",NOMBRE!B2, " (",NOMBRE!C2,NOMBRE!D2,NOMBRE!E2,NOMBRE!F2,NOMBRE!G2,")")</f>
        <v>COMUNA: MAIPU (13119)</v>
      </c>
    </row>
    <row r="3" spans="1:97">
      <c r="A3" s="378" t="str">
        <f>CONCATENATE("ESTABLECIMIENTO/ESTRATEGIA: ", NOMBRE!B3, " (",NOMBRE!C3,NOMBRE!D3,NOMBRE!E3,NOMBRE!F3,NOMBRE!G3,NOMBRE!H3,")")</f>
        <v>ESTABLECIMIENTO/ESTRATEGIA: CESFAM DR. CARLOS GODOY (111380)</v>
      </c>
    </row>
    <row r="4" spans="1:97">
      <c r="A4" s="378" t="str">
        <f>CONCATENATE("MES: ",NOMBRE!B6, " (",NOMBRE!C6,NOMBRE!D6,")")</f>
        <v>MES: MARZO (03)</v>
      </c>
    </row>
    <row r="5" spans="1:97">
      <c r="A5" s="378" t="str">
        <f>CONCATENATE("AÑO: ",NOMBRE!B7)</f>
        <v>AÑO: 2026</v>
      </c>
    </row>
    <row r="6" spans="1:97" s="379" customFormat="1" ht="18" customHeight="1">
      <c r="A6" s="5704" t="s">
        <v>1059</v>
      </c>
      <c r="B6" s="5704"/>
      <c r="C6" s="5704"/>
      <c r="D6" s="5704"/>
      <c r="E6" s="5704"/>
      <c r="F6" s="5704"/>
      <c r="G6" s="5704"/>
      <c r="H6" s="5704"/>
      <c r="I6" s="5704"/>
      <c r="J6" s="5704"/>
      <c r="K6" s="5704"/>
      <c r="L6" s="5704"/>
      <c r="M6" s="5704"/>
      <c r="N6" s="5704"/>
      <c r="O6" s="5704"/>
      <c r="P6" s="5704"/>
      <c r="Q6" s="5704"/>
      <c r="R6" s="5704"/>
      <c r="S6" s="5704"/>
      <c r="T6" s="5704"/>
      <c r="U6" s="5704"/>
      <c r="V6" s="5704"/>
      <c r="W6" s="5704"/>
      <c r="X6" s="382"/>
      <c r="Y6" s="382"/>
      <c r="Z6" s="382"/>
      <c r="AA6" s="382"/>
      <c r="AB6" s="382"/>
      <c r="AC6" s="382"/>
      <c r="AD6" s="382"/>
      <c r="AE6" s="382"/>
      <c r="AF6" s="382"/>
      <c r="AG6" s="382"/>
      <c r="AH6" s="382"/>
      <c r="AI6" s="382"/>
      <c r="AJ6" s="382"/>
      <c r="AK6" s="382"/>
      <c r="AL6" s="382"/>
      <c r="AM6" s="382"/>
      <c r="AN6" s="382"/>
      <c r="AO6" s="382"/>
      <c r="AP6" s="382"/>
      <c r="AQ6" s="383"/>
      <c r="AR6" s="383"/>
      <c r="AS6" s="383"/>
      <c r="AT6" s="383"/>
      <c r="AU6" s="383"/>
    </row>
    <row r="8" spans="1:97" s="385" customFormat="1" ht="18" customHeight="1">
      <c r="A8" s="2101" t="s">
        <v>1060</v>
      </c>
      <c r="B8" s="2102"/>
      <c r="C8" s="2102"/>
      <c r="D8" s="2102"/>
      <c r="E8" s="2102"/>
      <c r="F8" s="2102"/>
      <c r="G8" s="2102"/>
      <c r="H8" s="2102"/>
      <c r="I8" s="2102"/>
      <c r="J8" s="2102"/>
      <c r="K8" s="2103"/>
      <c r="L8" s="2102"/>
      <c r="M8" s="2102"/>
      <c r="N8" s="2102"/>
      <c r="O8" s="1582"/>
      <c r="P8" s="1582"/>
      <c r="Q8" s="1582"/>
      <c r="R8" s="1582"/>
      <c r="S8" s="1582"/>
      <c r="T8" s="1582"/>
      <c r="U8" s="1582"/>
      <c r="V8" s="2103"/>
      <c r="W8" s="1582"/>
      <c r="X8" s="1582"/>
      <c r="Y8" s="1582"/>
      <c r="Z8" s="1582"/>
      <c r="AA8" s="1582"/>
      <c r="AB8" s="1582"/>
      <c r="AC8" s="1582"/>
      <c r="AD8" s="1582"/>
      <c r="AE8" s="1582"/>
      <c r="AF8" s="1582"/>
      <c r="AG8" s="1582"/>
      <c r="AH8" s="1582"/>
      <c r="AI8" s="1582"/>
      <c r="AJ8" s="1582"/>
      <c r="AK8" s="1582"/>
      <c r="AL8" s="1582"/>
      <c r="AM8" s="1582"/>
      <c r="AN8" s="1582"/>
      <c r="AO8" s="1582"/>
      <c r="AP8" s="439"/>
      <c r="AQ8" s="439"/>
      <c r="AR8" s="439"/>
      <c r="AS8" s="439"/>
      <c r="AT8" s="439"/>
      <c r="AU8" s="439"/>
      <c r="AV8" s="1493"/>
    </row>
    <row r="9" spans="1:97" ht="15.75" customHeight="1">
      <c r="A9" s="6298" t="s">
        <v>236</v>
      </c>
      <c r="B9" s="6298" t="s">
        <v>41</v>
      </c>
      <c r="C9" s="6140" t="s">
        <v>475</v>
      </c>
      <c r="D9" s="6139"/>
      <c r="E9" s="6119"/>
      <c r="F9" s="5710" t="s">
        <v>115</v>
      </c>
      <c r="G9" s="6106"/>
      <c r="H9" s="6106"/>
      <c r="I9" s="6106"/>
      <c r="J9" s="6106"/>
      <c r="K9" s="6106"/>
      <c r="L9" s="6106"/>
      <c r="M9" s="6106"/>
      <c r="N9" s="6106"/>
      <c r="O9" s="6106"/>
      <c r="P9" s="6106"/>
      <c r="Q9" s="6106"/>
      <c r="R9" s="6106"/>
      <c r="S9" s="6106"/>
      <c r="T9" s="6106"/>
      <c r="U9" s="6106"/>
      <c r="V9" s="6106"/>
      <c r="W9" s="6106"/>
      <c r="X9" s="6106"/>
      <c r="Y9" s="6106"/>
      <c r="Z9" s="6106"/>
      <c r="AA9" s="6106"/>
      <c r="AB9" s="6106"/>
      <c r="AC9" s="6106"/>
      <c r="AD9" s="6106"/>
      <c r="AE9" s="6106"/>
      <c r="AF9" s="6106"/>
      <c r="AG9" s="6106"/>
      <c r="AH9" s="6106"/>
      <c r="AI9" s="6106"/>
      <c r="AJ9" s="6106"/>
      <c r="AK9" s="6106"/>
      <c r="AL9" s="6106"/>
      <c r="AM9" s="5716"/>
      <c r="AN9" s="6350" t="s">
        <v>625</v>
      </c>
      <c r="AO9" s="6135" t="s">
        <v>48</v>
      </c>
      <c r="AP9" s="6307" t="s">
        <v>49</v>
      </c>
      <c r="AQ9" s="6318" t="s">
        <v>50</v>
      </c>
      <c r="AR9" s="6347" t="s">
        <v>51</v>
      </c>
      <c r="AS9" s="6119" t="s">
        <v>1061</v>
      </c>
      <c r="AT9" s="6152" t="s">
        <v>1062</v>
      </c>
      <c r="AU9" s="6154"/>
      <c r="AV9" s="5718" t="s">
        <v>1063</v>
      </c>
    </row>
    <row r="10" spans="1:97">
      <c r="A10" s="6299"/>
      <c r="B10" s="6299"/>
      <c r="C10" s="6114"/>
      <c r="D10" s="6115"/>
      <c r="E10" s="6116"/>
      <c r="F10" s="5710" t="s">
        <v>364</v>
      </c>
      <c r="G10" s="5712"/>
      <c r="H10" s="5710" t="s">
        <v>347</v>
      </c>
      <c r="I10" s="5712"/>
      <c r="J10" s="5710" t="s">
        <v>108</v>
      </c>
      <c r="K10" s="5712"/>
      <c r="L10" s="5710" t="s">
        <v>58</v>
      </c>
      <c r="M10" s="5712"/>
      <c r="N10" s="5710" t="s">
        <v>59</v>
      </c>
      <c r="O10" s="5712"/>
      <c r="P10" s="5707" t="s">
        <v>60</v>
      </c>
      <c r="Q10" s="5709"/>
      <c r="R10" s="5707" t="s">
        <v>61</v>
      </c>
      <c r="S10" s="5709"/>
      <c r="T10" s="5707" t="s">
        <v>62</v>
      </c>
      <c r="U10" s="5709"/>
      <c r="V10" s="5707" t="s">
        <v>63</v>
      </c>
      <c r="W10" s="5709"/>
      <c r="X10" s="5707" t="s">
        <v>64</v>
      </c>
      <c r="Y10" s="5709"/>
      <c r="Z10" s="5707" t="s">
        <v>65</v>
      </c>
      <c r="AA10" s="5709"/>
      <c r="AB10" s="5707" t="s">
        <v>66</v>
      </c>
      <c r="AC10" s="5709"/>
      <c r="AD10" s="5707" t="s">
        <v>67</v>
      </c>
      <c r="AE10" s="5709"/>
      <c r="AF10" s="5707" t="s">
        <v>68</v>
      </c>
      <c r="AG10" s="5709"/>
      <c r="AH10" s="5707" t="s">
        <v>69</v>
      </c>
      <c r="AI10" s="5709"/>
      <c r="AJ10" s="5707" t="s">
        <v>70</v>
      </c>
      <c r="AK10" s="5709"/>
      <c r="AL10" s="5707" t="s">
        <v>71</v>
      </c>
      <c r="AM10" s="6147"/>
      <c r="AN10" s="6351"/>
      <c r="AO10" s="6302"/>
      <c r="AP10" s="6308"/>
      <c r="AQ10" s="6319"/>
      <c r="AR10" s="6348"/>
      <c r="AS10" s="6120"/>
      <c r="AT10" s="6345" t="s">
        <v>483</v>
      </c>
      <c r="AU10" s="6346" t="s">
        <v>484</v>
      </c>
      <c r="AV10" s="6110"/>
    </row>
    <row r="11" spans="1:97" ht="38.25" customHeight="1">
      <c r="A11" s="6300"/>
      <c r="B11" s="6300"/>
      <c r="C11" s="1471" t="s">
        <v>93</v>
      </c>
      <c r="D11" s="1702" t="s">
        <v>72</v>
      </c>
      <c r="E11" s="1394" t="s">
        <v>73</v>
      </c>
      <c r="F11" s="1395" t="s">
        <v>72</v>
      </c>
      <c r="G11" s="1394" t="s">
        <v>73</v>
      </c>
      <c r="H11" s="1395" t="s">
        <v>72</v>
      </c>
      <c r="I11" s="1394" t="s">
        <v>73</v>
      </c>
      <c r="J11" s="1395" t="s">
        <v>72</v>
      </c>
      <c r="K11" s="1394" t="s">
        <v>73</v>
      </c>
      <c r="L11" s="1395" t="s">
        <v>72</v>
      </c>
      <c r="M11" s="1394" t="s">
        <v>73</v>
      </c>
      <c r="N11" s="1395" t="s">
        <v>72</v>
      </c>
      <c r="O11" s="1394" t="s">
        <v>73</v>
      </c>
      <c r="P11" s="1395" t="s">
        <v>72</v>
      </c>
      <c r="Q11" s="1394" t="s">
        <v>73</v>
      </c>
      <c r="R11" s="1395" t="s">
        <v>72</v>
      </c>
      <c r="S11" s="1394" t="s">
        <v>73</v>
      </c>
      <c r="T11" s="1395" t="s">
        <v>72</v>
      </c>
      <c r="U11" s="1394" t="s">
        <v>73</v>
      </c>
      <c r="V11" s="1395" t="s">
        <v>72</v>
      </c>
      <c r="W11" s="1394" t="s">
        <v>73</v>
      </c>
      <c r="X11" s="1395" t="s">
        <v>72</v>
      </c>
      <c r="Y11" s="1394" t="s">
        <v>73</v>
      </c>
      <c r="Z11" s="1395" t="s">
        <v>72</v>
      </c>
      <c r="AA11" s="1394" t="s">
        <v>73</v>
      </c>
      <c r="AB11" s="1395" t="s">
        <v>72</v>
      </c>
      <c r="AC11" s="1394" t="s">
        <v>73</v>
      </c>
      <c r="AD11" s="1395" t="s">
        <v>72</v>
      </c>
      <c r="AE11" s="1394" t="s">
        <v>73</v>
      </c>
      <c r="AF11" s="1395" t="s">
        <v>72</v>
      </c>
      <c r="AG11" s="1394" t="s">
        <v>73</v>
      </c>
      <c r="AH11" s="1395" t="s">
        <v>72</v>
      </c>
      <c r="AI11" s="1394" t="s">
        <v>73</v>
      </c>
      <c r="AJ11" s="1395" t="s">
        <v>72</v>
      </c>
      <c r="AK11" s="1394" t="s">
        <v>73</v>
      </c>
      <c r="AL11" s="1395" t="s">
        <v>72</v>
      </c>
      <c r="AM11" s="2107" t="s">
        <v>73</v>
      </c>
      <c r="AN11" s="6352"/>
      <c r="AO11" s="6136"/>
      <c r="AP11" s="6309"/>
      <c r="AQ11" s="6320"/>
      <c r="AR11" s="6349"/>
      <c r="AS11" s="6116"/>
      <c r="AT11" s="6345"/>
      <c r="AU11" s="6346"/>
      <c r="AV11" s="5719"/>
    </row>
    <row r="12" spans="1:97" ht="15" customHeight="1">
      <c r="A12" s="6127" t="s">
        <v>1064</v>
      </c>
      <c r="B12" s="2108" t="s">
        <v>78</v>
      </c>
      <c r="C12" s="1988">
        <f t="shared" ref="C12:C26" si="0">SUM(D12+E12)</f>
        <v>0</v>
      </c>
      <c r="D12" s="2109">
        <f t="shared" ref="D12:E26" si="1">SUM(F12+H12+J12+L12+N12+P12+R12+T12+V12+X12+Z12+AB12+AD12+AF12+AH12+AJ12+AL12)</f>
        <v>0</v>
      </c>
      <c r="E12" s="1736">
        <f>SUM(G12+I12+K12+M12+O12+Q12+S12+U12+W12+Y12+AA12+AC12+AE12+AG12+AI12+AK12+AM12)</f>
        <v>0</v>
      </c>
      <c r="F12" s="1424"/>
      <c r="G12" s="1436"/>
      <c r="H12" s="1424"/>
      <c r="I12" s="1436"/>
      <c r="J12" s="1424"/>
      <c r="K12" s="1676"/>
      <c r="L12" s="1424"/>
      <c r="M12" s="1676"/>
      <c r="N12" s="1424"/>
      <c r="O12" s="1676"/>
      <c r="P12" s="1424"/>
      <c r="Q12" s="1676"/>
      <c r="R12" s="1424"/>
      <c r="S12" s="1676"/>
      <c r="T12" s="1424"/>
      <c r="U12" s="1676"/>
      <c r="V12" s="1424"/>
      <c r="W12" s="1676"/>
      <c r="X12" s="1424"/>
      <c r="Y12" s="1676"/>
      <c r="Z12" s="1424"/>
      <c r="AA12" s="1676"/>
      <c r="AB12" s="1424"/>
      <c r="AC12" s="1676"/>
      <c r="AD12" s="1424"/>
      <c r="AE12" s="1676"/>
      <c r="AF12" s="1424"/>
      <c r="AG12" s="1676"/>
      <c r="AH12" s="1424"/>
      <c r="AI12" s="1676"/>
      <c r="AJ12" s="1424"/>
      <c r="AK12" s="1676"/>
      <c r="AL12" s="1653"/>
      <c r="AM12" s="1428"/>
      <c r="AN12" s="2110"/>
      <c r="AO12" s="1426"/>
      <c r="AP12" s="2111"/>
      <c r="AQ12" s="2112"/>
      <c r="AR12" s="2113"/>
      <c r="AS12" s="1436"/>
      <c r="AT12" s="1424"/>
      <c r="AU12" s="1676"/>
      <c r="AV12" s="1436"/>
      <c r="AW12" t="str">
        <f t="shared" ref="AW12:AW26" si="2">CA12&amp;CB12&amp;CC12&amp;CD12&amp;CE12&amp;CF12&amp;CG12&amp;CH12&amp;CI12</f>
        <v/>
      </c>
      <c r="CA12" s="1708" t="str">
        <f t="shared" ref="CA12:CA26" si="3">IF(AND($C12&gt;0,AN12="")," *No olvide digitar la variable Beneficiarios. Digite Cero si no tiene.",IF(AN12&gt;$C12," *La variable Beneficiarios No puede ser mayor al Total Ambos Sexos.",""))</f>
        <v/>
      </c>
      <c r="CB12" s="1708" t="str">
        <f t="shared" ref="CB12:CB26" si="4">IF(AND($C12&gt;0,AO12="")," *No olvide digitar la variable SENAME/ Servicio Nacional de Reinserción social Juvenil. Digite Cero si no tiene.",IF(AO12&gt;$C12," *La variable SENAME/ Servicio Nacional de Reinserción social Juvenil No puede ser mayor al Total Ambos Sexos.",""))</f>
        <v/>
      </c>
      <c r="CC12" s="1708" t="str">
        <f t="shared" ref="CC12:CC21" si="5">IF(AND($C12&gt;0,AP12="")," *No olvide digitar la variable Servicio Nacional Protección Especializada a la Niñez y Adolescencia. Digite Cero si no tiene.",IF(AP12&gt;$C12," *La variable Servicio Nacional Protección Especializada a la Niñez y Adolescencia, No puede ser mayor al Total Ambos Sexos.",""))</f>
        <v/>
      </c>
      <c r="CD12" s="1708" t="str">
        <f t="shared" ref="CD12:CD26" si="6">IF(AND($C12&gt;0,AQ12="")," *No olvide digitar la variable Pueblos originarios. Digite Cero si no tiene.",IF(AQ12&gt;$C12," *La variable Pueblos Originarios No puede ser mayor al Total Ambos Sexos.",""))</f>
        <v/>
      </c>
      <c r="CE12" s="1708" t="str">
        <f t="shared" ref="CE12:CE26" si="7">IF(AND($C12&gt;0,AR12="")," *No olvide digitar la variable Migrantes. Digite Cero si no tiene.",IF(AR12&gt;$C12," *La variable Migrantes No puede ser mayor al Total Ambos Sexos.",""))</f>
        <v/>
      </c>
      <c r="CF12" s="1708" t="str">
        <f t="shared" ref="CF12:CF26" si="8">IF(AND($C12&gt;0,AS12="")," *No olvide digitar la variable Demencia. Digite Cero si no tiene.",IF(AS12&gt;$C12," *La variable Demencia No puede ser mayor al Total Ambos Sexos.",""))</f>
        <v/>
      </c>
      <c r="CG12" s="1708" t="str">
        <f t="shared" ref="CG12:CG26" si="9">IF(AND($E12&gt;0,OR(AT12=""))," *No olvide digitar la variable Trans (Masculino). Digite Cero si no tiene.",IF((AT12)&gt;$E12," *La variable Trans (Masculino) No puede ser mayor al Total Mujeres.",""))</f>
        <v/>
      </c>
      <c r="CH12" s="1708" t="str">
        <f t="shared" ref="CH12:CH26" si="10">IF(AND(D12&gt;0,OR(AU12=""))," *No olvide digitar la variable Trans (Femenino). Digite Cero si no tiene.",IF((AU12)&gt;D12," *La variable Trans (Femenino) No puede ser mayor al Total Hombres.",""))</f>
        <v/>
      </c>
      <c r="CI12" s="1708" t="str">
        <f t="shared" ref="CI12:CI26" si="11">IF(AND($C12&gt;0,AV12="")," *No olvide digitar la variable Cuidadores de personas con demencia. Digite Cero si no tiene.",IF(AV12&gt;$C12," *La variable Cuidadores de personas con demencia No puede ser mayor al Total Ambos Sexos.",""))</f>
        <v/>
      </c>
      <c r="CK12" s="419">
        <f t="shared" ref="CK12:CP12" si="12">IF(AND($C12&gt;0,AN12=""),1,IF(AN12&gt;$C12,1,0))</f>
        <v>0</v>
      </c>
      <c r="CL12" s="419">
        <f t="shared" si="12"/>
        <v>0</v>
      </c>
      <c r="CM12" s="419">
        <f t="shared" si="12"/>
        <v>0</v>
      </c>
      <c r="CN12" s="419">
        <f t="shared" si="12"/>
        <v>0</v>
      </c>
      <c r="CO12" s="419">
        <f t="shared" si="12"/>
        <v>0</v>
      </c>
      <c r="CP12" s="419">
        <f t="shared" si="12"/>
        <v>0</v>
      </c>
      <c r="CQ12" s="419">
        <f>IF(AND($E12&gt;0,OR(AT12="")),1,IF((AT12)&gt;$E12,1,0))</f>
        <v>0</v>
      </c>
      <c r="CR12" s="419">
        <f>IF(AND($D12&gt;0,OR(AU12="")),1,IF((AU12)&gt;$D12,1,0))</f>
        <v>0</v>
      </c>
      <c r="CS12" s="419">
        <f t="shared" ref="CS12:CS26" si="13">IF(AND($C12&gt;0,AV12=""),1,IF(AV12&gt;$C12,1,0))</f>
        <v>0</v>
      </c>
    </row>
    <row r="13" spans="1:97" ht="15" customHeight="1">
      <c r="A13" s="6128"/>
      <c r="B13" s="2114" t="s">
        <v>1065</v>
      </c>
      <c r="C13" s="1991">
        <f t="shared" si="0"/>
        <v>0</v>
      </c>
      <c r="D13" s="2115">
        <f t="shared" si="1"/>
        <v>0</v>
      </c>
      <c r="E13" s="1739">
        <f t="shared" si="1"/>
        <v>0</v>
      </c>
      <c r="F13" s="1440"/>
      <c r="G13" s="1452"/>
      <c r="H13" s="1440"/>
      <c r="I13" s="1452"/>
      <c r="J13" s="1440"/>
      <c r="K13" s="1680"/>
      <c r="L13" s="1440"/>
      <c r="M13" s="1680"/>
      <c r="N13" s="1440"/>
      <c r="O13" s="1680"/>
      <c r="P13" s="1440"/>
      <c r="Q13" s="1680"/>
      <c r="R13" s="1440"/>
      <c r="S13" s="1680"/>
      <c r="T13" s="1440"/>
      <c r="U13" s="1680"/>
      <c r="V13" s="1440"/>
      <c r="W13" s="1680"/>
      <c r="X13" s="1440"/>
      <c r="Y13" s="1680"/>
      <c r="Z13" s="1440"/>
      <c r="AA13" s="1680"/>
      <c r="AB13" s="1440"/>
      <c r="AC13" s="1680"/>
      <c r="AD13" s="1440"/>
      <c r="AE13" s="1680"/>
      <c r="AF13" s="1440"/>
      <c r="AG13" s="1680"/>
      <c r="AH13" s="1440"/>
      <c r="AI13" s="1680"/>
      <c r="AJ13" s="1440"/>
      <c r="AK13" s="1680"/>
      <c r="AL13" s="1657"/>
      <c r="AM13" s="1444"/>
      <c r="AN13" s="2116"/>
      <c r="AO13" s="1442"/>
      <c r="AP13" s="2117"/>
      <c r="AQ13" s="2118"/>
      <c r="AR13" s="2119"/>
      <c r="AS13" s="1452"/>
      <c r="AT13" s="1440"/>
      <c r="AU13" s="1680"/>
      <c r="AV13" s="1452"/>
      <c r="AW13" t="str">
        <f t="shared" si="2"/>
        <v/>
      </c>
      <c r="CA13" s="1708" t="str">
        <f t="shared" si="3"/>
        <v/>
      </c>
      <c r="CB13" s="1708" t="str">
        <f t="shared" si="4"/>
        <v/>
      </c>
      <c r="CC13" s="1708" t="str">
        <f t="shared" si="5"/>
        <v/>
      </c>
      <c r="CD13" s="1708" t="str">
        <f t="shared" si="6"/>
        <v/>
      </c>
      <c r="CE13" s="1708" t="str">
        <f t="shared" si="7"/>
        <v/>
      </c>
      <c r="CF13" s="1708" t="str">
        <f t="shared" si="8"/>
        <v/>
      </c>
      <c r="CG13" s="1708" t="str">
        <f t="shared" si="9"/>
        <v/>
      </c>
      <c r="CH13" s="1708" t="str">
        <f t="shared" si="10"/>
        <v/>
      </c>
      <c r="CI13" s="1708" t="str">
        <f t="shared" si="11"/>
        <v/>
      </c>
      <c r="CK13" s="419">
        <f t="shared" ref="CK13:CK26" si="14">IF(AND(C13&gt;0,AN13=""),1,IF(AN13&gt;C13,1,0))</f>
        <v>0</v>
      </c>
      <c r="CL13" s="419">
        <f t="shared" ref="CL13:CL26" si="15">IF(AND(C13&gt;0,AO13=""),1,IF(AO13&gt;C13,1,0))</f>
        <v>0</v>
      </c>
      <c r="CM13" s="419">
        <f t="shared" ref="CM13:CM26" si="16">IF(AND(C13&gt;0,AP13=""),1,IF(AP13&gt;C13,1,0))</f>
        <v>0</v>
      </c>
      <c r="CN13" s="419">
        <f t="shared" ref="CN13:CN26" si="17">IF(AND(C13&gt;0,AQ13=""),1,IF(AQ13&gt;C13,1,0))</f>
        <v>0</v>
      </c>
      <c r="CO13" s="419">
        <f t="shared" ref="CO13:CO26" si="18">IF(AND(C13&gt;0,AR13=""),1,IF(AR13&gt;C13,1,0))</f>
        <v>0</v>
      </c>
      <c r="CP13" s="419">
        <f t="shared" ref="CP13:CP26" si="19">IF(AND(C13&gt;0,AS13=""),1,IF(AS13&gt;C13,1,0))</f>
        <v>0</v>
      </c>
      <c r="CQ13" s="419">
        <f t="shared" ref="CQ13:CQ26" si="20">IF(AND(E13&gt;0,OR(AT13="")),1,IF((AT13)&gt;E13,1,0))</f>
        <v>0</v>
      </c>
      <c r="CR13" s="419">
        <f t="shared" ref="CR13:CR26" si="21">IF(AND(D13&gt;0,OR(AU13="")),1,IF((AU13)&gt;D13,1,0))</f>
        <v>0</v>
      </c>
      <c r="CS13" s="419">
        <f t="shared" si="13"/>
        <v>0</v>
      </c>
    </row>
    <row r="14" spans="1:97" ht="15" customHeight="1">
      <c r="A14" s="6128"/>
      <c r="B14" s="2114" t="s">
        <v>112</v>
      </c>
      <c r="C14" s="1991">
        <f t="shared" si="0"/>
        <v>0</v>
      </c>
      <c r="D14" s="2115">
        <f t="shared" si="1"/>
        <v>0</v>
      </c>
      <c r="E14" s="1739">
        <f t="shared" si="1"/>
        <v>0</v>
      </c>
      <c r="F14" s="1440"/>
      <c r="G14" s="1452"/>
      <c r="H14" s="1440"/>
      <c r="I14" s="1452"/>
      <c r="J14" s="1440"/>
      <c r="K14" s="1680"/>
      <c r="L14" s="1440"/>
      <c r="M14" s="1680"/>
      <c r="N14" s="1440"/>
      <c r="O14" s="1680"/>
      <c r="P14" s="1440"/>
      <c r="Q14" s="1680"/>
      <c r="R14" s="1440"/>
      <c r="S14" s="1680"/>
      <c r="T14" s="1440"/>
      <c r="U14" s="1680"/>
      <c r="V14" s="1440"/>
      <c r="W14" s="1680"/>
      <c r="X14" s="1440"/>
      <c r="Y14" s="1680"/>
      <c r="Z14" s="1440"/>
      <c r="AA14" s="1680"/>
      <c r="AB14" s="1440"/>
      <c r="AC14" s="1680"/>
      <c r="AD14" s="1440"/>
      <c r="AE14" s="1680"/>
      <c r="AF14" s="1440"/>
      <c r="AG14" s="1680"/>
      <c r="AH14" s="1440"/>
      <c r="AI14" s="1680"/>
      <c r="AJ14" s="1440"/>
      <c r="AK14" s="1680"/>
      <c r="AL14" s="1657"/>
      <c r="AM14" s="1444"/>
      <c r="AN14" s="2116"/>
      <c r="AO14" s="1442"/>
      <c r="AP14" s="2117"/>
      <c r="AQ14" s="2118"/>
      <c r="AR14" s="2119"/>
      <c r="AS14" s="1452"/>
      <c r="AT14" s="1440"/>
      <c r="AU14" s="1680"/>
      <c r="AV14" s="1452"/>
      <c r="AW14" t="str">
        <f t="shared" si="2"/>
        <v/>
      </c>
      <c r="CA14" s="1708" t="str">
        <f t="shared" si="3"/>
        <v/>
      </c>
      <c r="CB14" s="1708" t="str">
        <f t="shared" si="4"/>
        <v/>
      </c>
      <c r="CC14" s="1708" t="str">
        <f t="shared" si="5"/>
        <v/>
      </c>
      <c r="CD14" s="1708" t="str">
        <f t="shared" si="6"/>
        <v/>
      </c>
      <c r="CE14" s="1708" t="str">
        <f t="shared" si="7"/>
        <v/>
      </c>
      <c r="CF14" s="1708" t="str">
        <f t="shared" si="8"/>
        <v/>
      </c>
      <c r="CG14" s="1708" t="str">
        <f t="shared" si="9"/>
        <v/>
      </c>
      <c r="CH14" s="1708" t="str">
        <f t="shared" si="10"/>
        <v/>
      </c>
      <c r="CI14" s="1708" t="str">
        <f t="shared" si="11"/>
        <v/>
      </c>
      <c r="CK14" s="419">
        <f t="shared" si="14"/>
        <v>0</v>
      </c>
      <c r="CL14" s="419">
        <f t="shared" si="15"/>
        <v>0</v>
      </c>
      <c r="CM14" s="419">
        <f t="shared" si="16"/>
        <v>0</v>
      </c>
      <c r="CN14" s="419">
        <f t="shared" si="17"/>
        <v>0</v>
      </c>
      <c r="CO14" s="419">
        <f t="shared" si="18"/>
        <v>0</v>
      </c>
      <c r="CP14" s="419">
        <f t="shared" si="19"/>
        <v>0</v>
      </c>
      <c r="CQ14" s="419">
        <f t="shared" si="20"/>
        <v>0</v>
      </c>
      <c r="CR14" s="419">
        <f t="shared" si="21"/>
        <v>0</v>
      </c>
      <c r="CS14" s="419">
        <f t="shared" si="13"/>
        <v>0</v>
      </c>
    </row>
    <row r="15" spans="1:97" ht="15" customHeight="1">
      <c r="A15" s="6128"/>
      <c r="B15" s="2114" t="s">
        <v>79</v>
      </c>
      <c r="C15" s="1991">
        <f t="shared" si="0"/>
        <v>0</v>
      </c>
      <c r="D15" s="2115">
        <f t="shared" si="1"/>
        <v>0</v>
      </c>
      <c r="E15" s="1739">
        <f t="shared" si="1"/>
        <v>0</v>
      </c>
      <c r="F15" s="1440"/>
      <c r="G15" s="1452"/>
      <c r="H15" s="1440"/>
      <c r="I15" s="1452"/>
      <c r="J15" s="1440"/>
      <c r="K15" s="1680"/>
      <c r="L15" s="1440"/>
      <c r="M15" s="1680"/>
      <c r="N15" s="1440"/>
      <c r="O15" s="1680"/>
      <c r="P15" s="1440"/>
      <c r="Q15" s="1680"/>
      <c r="R15" s="1440"/>
      <c r="S15" s="1680"/>
      <c r="T15" s="1440"/>
      <c r="U15" s="1680"/>
      <c r="V15" s="1440"/>
      <c r="W15" s="1680"/>
      <c r="X15" s="1440"/>
      <c r="Y15" s="1680"/>
      <c r="Z15" s="1440"/>
      <c r="AA15" s="1680"/>
      <c r="AB15" s="1440"/>
      <c r="AC15" s="1680"/>
      <c r="AD15" s="1440"/>
      <c r="AE15" s="1680"/>
      <c r="AF15" s="1440"/>
      <c r="AG15" s="1680"/>
      <c r="AH15" s="1440"/>
      <c r="AI15" s="1680"/>
      <c r="AJ15" s="1440"/>
      <c r="AK15" s="1680"/>
      <c r="AL15" s="1657"/>
      <c r="AM15" s="1444"/>
      <c r="AN15" s="2116"/>
      <c r="AO15" s="1442"/>
      <c r="AP15" s="2117"/>
      <c r="AQ15" s="2118"/>
      <c r="AR15" s="2119"/>
      <c r="AS15" s="1452"/>
      <c r="AT15" s="1440"/>
      <c r="AU15" s="1680"/>
      <c r="AV15" s="1452"/>
      <c r="AW15" t="str">
        <f t="shared" si="2"/>
        <v/>
      </c>
      <c r="CA15" s="1708" t="str">
        <f t="shared" si="3"/>
        <v/>
      </c>
      <c r="CB15" s="1708" t="str">
        <f t="shared" si="4"/>
        <v/>
      </c>
      <c r="CC15" s="1708" t="str">
        <f t="shared" si="5"/>
        <v/>
      </c>
      <c r="CD15" s="1708" t="str">
        <f t="shared" si="6"/>
        <v/>
      </c>
      <c r="CE15" s="1708" t="str">
        <f t="shared" si="7"/>
        <v/>
      </c>
      <c r="CF15" s="1708" t="str">
        <f t="shared" si="8"/>
        <v/>
      </c>
      <c r="CG15" s="1708" t="str">
        <f t="shared" si="9"/>
        <v/>
      </c>
      <c r="CH15" s="1708" t="str">
        <f t="shared" si="10"/>
        <v/>
      </c>
      <c r="CI15" s="1708" t="str">
        <f t="shared" si="11"/>
        <v/>
      </c>
      <c r="CK15" s="419">
        <f t="shared" si="14"/>
        <v>0</v>
      </c>
      <c r="CL15" s="419">
        <f t="shared" si="15"/>
        <v>0</v>
      </c>
      <c r="CM15" s="419">
        <f t="shared" si="16"/>
        <v>0</v>
      </c>
      <c r="CN15" s="419">
        <f t="shared" si="17"/>
        <v>0</v>
      </c>
      <c r="CO15" s="419">
        <f t="shared" si="18"/>
        <v>0</v>
      </c>
      <c r="CP15" s="419">
        <f t="shared" si="19"/>
        <v>0</v>
      </c>
      <c r="CQ15" s="419">
        <f t="shared" si="20"/>
        <v>0</v>
      </c>
      <c r="CR15" s="419">
        <f t="shared" si="21"/>
        <v>0</v>
      </c>
      <c r="CS15" s="419">
        <f t="shared" si="13"/>
        <v>0</v>
      </c>
    </row>
    <row r="16" spans="1:97" ht="15" customHeight="1">
      <c r="A16" s="6128"/>
      <c r="B16" s="2114" t="s">
        <v>1066</v>
      </c>
      <c r="C16" s="1991">
        <f t="shared" si="0"/>
        <v>0</v>
      </c>
      <c r="D16" s="2115">
        <f t="shared" si="1"/>
        <v>0</v>
      </c>
      <c r="E16" s="1739">
        <f t="shared" si="1"/>
        <v>0</v>
      </c>
      <c r="F16" s="1440"/>
      <c r="G16" s="1452"/>
      <c r="H16" s="1440"/>
      <c r="I16" s="1452"/>
      <c r="J16" s="1440"/>
      <c r="K16" s="1680"/>
      <c r="L16" s="1440"/>
      <c r="M16" s="1680"/>
      <c r="N16" s="1440"/>
      <c r="O16" s="1680"/>
      <c r="P16" s="1440"/>
      <c r="Q16" s="1680"/>
      <c r="R16" s="1440"/>
      <c r="S16" s="1680"/>
      <c r="T16" s="1440"/>
      <c r="U16" s="1680"/>
      <c r="V16" s="1440"/>
      <c r="W16" s="1680"/>
      <c r="X16" s="1440"/>
      <c r="Y16" s="1680"/>
      <c r="Z16" s="1440"/>
      <c r="AA16" s="1680"/>
      <c r="AB16" s="1440"/>
      <c r="AC16" s="1680"/>
      <c r="AD16" s="1440"/>
      <c r="AE16" s="1680"/>
      <c r="AF16" s="1440"/>
      <c r="AG16" s="1680"/>
      <c r="AH16" s="1440"/>
      <c r="AI16" s="1680"/>
      <c r="AJ16" s="1440"/>
      <c r="AK16" s="1680"/>
      <c r="AL16" s="1657"/>
      <c r="AM16" s="1444"/>
      <c r="AN16" s="2116"/>
      <c r="AO16" s="1442"/>
      <c r="AP16" s="2117"/>
      <c r="AQ16" s="2118"/>
      <c r="AR16" s="2119"/>
      <c r="AS16" s="1452"/>
      <c r="AT16" s="1440"/>
      <c r="AU16" s="1680"/>
      <c r="AV16" s="1452"/>
      <c r="AW16" t="str">
        <f t="shared" si="2"/>
        <v/>
      </c>
      <c r="CA16" s="1708" t="str">
        <f t="shared" si="3"/>
        <v/>
      </c>
      <c r="CB16" s="1708" t="str">
        <f t="shared" si="4"/>
        <v/>
      </c>
      <c r="CC16" s="1708" t="str">
        <f t="shared" si="5"/>
        <v/>
      </c>
      <c r="CD16" s="1708" t="str">
        <f t="shared" si="6"/>
        <v/>
      </c>
      <c r="CE16" s="1708" t="str">
        <f t="shared" si="7"/>
        <v/>
      </c>
      <c r="CF16" s="1708" t="str">
        <f t="shared" si="8"/>
        <v/>
      </c>
      <c r="CG16" s="1708" t="str">
        <f t="shared" si="9"/>
        <v/>
      </c>
      <c r="CH16" s="1708" t="str">
        <f t="shared" si="10"/>
        <v/>
      </c>
      <c r="CI16" s="1708" t="str">
        <f t="shared" si="11"/>
        <v/>
      </c>
      <c r="CK16" s="419">
        <f t="shared" si="14"/>
        <v>0</v>
      </c>
      <c r="CL16" s="419">
        <f t="shared" si="15"/>
        <v>0</v>
      </c>
      <c r="CM16" s="419">
        <f t="shared" si="16"/>
        <v>0</v>
      </c>
      <c r="CN16" s="419">
        <f t="shared" si="17"/>
        <v>0</v>
      </c>
      <c r="CO16" s="419">
        <f t="shared" si="18"/>
        <v>0</v>
      </c>
      <c r="CP16" s="419">
        <f t="shared" si="19"/>
        <v>0</v>
      </c>
      <c r="CQ16" s="419">
        <f t="shared" si="20"/>
        <v>0</v>
      </c>
      <c r="CR16" s="419">
        <f t="shared" si="21"/>
        <v>0</v>
      </c>
      <c r="CS16" s="419">
        <f t="shared" si="13"/>
        <v>0</v>
      </c>
    </row>
    <row r="17" spans="1:97" ht="21">
      <c r="A17" s="6128"/>
      <c r="B17" s="2114" t="s">
        <v>1067</v>
      </c>
      <c r="C17" s="1991">
        <f t="shared" si="0"/>
        <v>0</v>
      </c>
      <c r="D17" s="2115">
        <f t="shared" si="1"/>
        <v>0</v>
      </c>
      <c r="E17" s="1739">
        <f t="shared" si="1"/>
        <v>0</v>
      </c>
      <c r="F17" s="1440"/>
      <c r="G17" s="1452"/>
      <c r="H17" s="1440"/>
      <c r="I17" s="1452"/>
      <c r="J17" s="1440"/>
      <c r="K17" s="1680"/>
      <c r="L17" s="1440"/>
      <c r="M17" s="1680"/>
      <c r="N17" s="1440"/>
      <c r="O17" s="1680"/>
      <c r="P17" s="1440"/>
      <c r="Q17" s="1680"/>
      <c r="R17" s="1440"/>
      <c r="S17" s="1680"/>
      <c r="T17" s="1440"/>
      <c r="U17" s="1680"/>
      <c r="V17" s="1440"/>
      <c r="W17" s="1680"/>
      <c r="X17" s="1440"/>
      <c r="Y17" s="1680"/>
      <c r="Z17" s="1440"/>
      <c r="AA17" s="1680"/>
      <c r="AB17" s="1440"/>
      <c r="AC17" s="1680"/>
      <c r="AD17" s="1440"/>
      <c r="AE17" s="1680"/>
      <c r="AF17" s="1440"/>
      <c r="AG17" s="1680"/>
      <c r="AH17" s="1440"/>
      <c r="AI17" s="1680"/>
      <c r="AJ17" s="1440"/>
      <c r="AK17" s="1680"/>
      <c r="AL17" s="1657"/>
      <c r="AM17" s="1444"/>
      <c r="AN17" s="2116"/>
      <c r="AO17" s="1442"/>
      <c r="AP17" s="2117"/>
      <c r="AQ17" s="2118"/>
      <c r="AR17" s="2119"/>
      <c r="AS17" s="1452"/>
      <c r="AT17" s="1440"/>
      <c r="AU17" s="1680"/>
      <c r="AV17" s="1452"/>
      <c r="AW17" t="str">
        <f t="shared" si="2"/>
        <v/>
      </c>
      <c r="CA17" s="1708" t="str">
        <f t="shared" si="3"/>
        <v/>
      </c>
      <c r="CB17" s="1708" t="str">
        <f t="shared" si="4"/>
        <v/>
      </c>
      <c r="CC17" s="1708" t="str">
        <f t="shared" si="5"/>
        <v/>
      </c>
      <c r="CD17" s="1708" t="str">
        <f t="shared" si="6"/>
        <v/>
      </c>
      <c r="CE17" s="1708" t="str">
        <f t="shared" si="7"/>
        <v/>
      </c>
      <c r="CF17" s="1708" t="str">
        <f t="shared" si="8"/>
        <v/>
      </c>
      <c r="CG17" s="1708" t="str">
        <f t="shared" si="9"/>
        <v/>
      </c>
      <c r="CH17" s="1708" t="str">
        <f t="shared" si="10"/>
        <v/>
      </c>
      <c r="CI17" s="1708" t="str">
        <f t="shared" si="11"/>
        <v/>
      </c>
      <c r="CK17" s="419">
        <f t="shared" si="14"/>
        <v>0</v>
      </c>
      <c r="CL17" s="419">
        <f t="shared" si="15"/>
        <v>0</v>
      </c>
      <c r="CM17" s="419">
        <f t="shared" si="16"/>
        <v>0</v>
      </c>
      <c r="CN17" s="419">
        <f t="shared" si="17"/>
        <v>0</v>
      </c>
      <c r="CO17" s="419">
        <f t="shared" si="18"/>
        <v>0</v>
      </c>
      <c r="CP17" s="419">
        <f t="shared" si="19"/>
        <v>0</v>
      </c>
      <c r="CQ17" s="419">
        <f t="shared" si="20"/>
        <v>0</v>
      </c>
      <c r="CR17" s="419">
        <f t="shared" si="21"/>
        <v>0</v>
      </c>
      <c r="CS17" s="419">
        <f t="shared" si="13"/>
        <v>0</v>
      </c>
    </row>
    <row r="18" spans="1:97" ht="15" customHeight="1">
      <c r="A18" s="6128"/>
      <c r="B18" s="2114" t="s">
        <v>1068</v>
      </c>
      <c r="C18" s="1995">
        <f t="shared" si="0"/>
        <v>0</v>
      </c>
      <c r="D18" s="2120">
        <f t="shared" si="1"/>
        <v>0</v>
      </c>
      <c r="E18" s="1742">
        <f t="shared" si="1"/>
        <v>0</v>
      </c>
      <c r="F18" s="1485"/>
      <c r="G18" s="1692"/>
      <c r="H18" s="1485"/>
      <c r="I18" s="1692"/>
      <c r="J18" s="1485"/>
      <c r="K18" s="1824"/>
      <c r="L18" s="1485"/>
      <c r="M18" s="1824"/>
      <c r="N18" s="1485"/>
      <c r="O18" s="1824"/>
      <c r="P18" s="1485"/>
      <c r="Q18" s="1824"/>
      <c r="R18" s="1485"/>
      <c r="S18" s="1824"/>
      <c r="T18" s="1485"/>
      <c r="U18" s="1824"/>
      <c r="V18" s="1485"/>
      <c r="W18" s="1824"/>
      <c r="X18" s="1485"/>
      <c r="Y18" s="1824"/>
      <c r="Z18" s="1485"/>
      <c r="AA18" s="1824"/>
      <c r="AB18" s="1485"/>
      <c r="AC18" s="1824"/>
      <c r="AD18" s="1485"/>
      <c r="AE18" s="1824"/>
      <c r="AF18" s="1485"/>
      <c r="AG18" s="1824"/>
      <c r="AH18" s="1485"/>
      <c r="AI18" s="1824"/>
      <c r="AJ18" s="1485"/>
      <c r="AK18" s="1824"/>
      <c r="AL18" s="2121"/>
      <c r="AM18" s="1486"/>
      <c r="AN18" s="2122"/>
      <c r="AO18" s="1712"/>
      <c r="AP18" s="2123"/>
      <c r="AQ18" s="2124"/>
      <c r="AR18" s="2125"/>
      <c r="AS18" s="1692"/>
      <c r="AT18" s="1485"/>
      <c r="AU18" s="1824"/>
      <c r="AV18" s="1692"/>
      <c r="AW18" t="str">
        <f t="shared" si="2"/>
        <v/>
      </c>
      <c r="CA18" s="1708" t="str">
        <f t="shared" si="3"/>
        <v/>
      </c>
      <c r="CB18" s="1708" t="str">
        <f t="shared" si="4"/>
        <v/>
      </c>
      <c r="CC18" s="1708" t="str">
        <f t="shared" si="5"/>
        <v/>
      </c>
      <c r="CD18" s="1708" t="str">
        <f t="shared" si="6"/>
        <v/>
      </c>
      <c r="CE18" s="1708" t="str">
        <f t="shared" si="7"/>
        <v/>
      </c>
      <c r="CF18" s="1708" t="str">
        <f t="shared" si="8"/>
        <v/>
      </c>
      <c r="CG18" s="1708" t="str">
        <f t="shared" si="9"/>
        <v/>
      </c>
      <c r="CH18" s="1708" t="str">
        <f t="shared" si="10"/>
        <v/>
      </c>
      <c r="CI18" s="1708" t="str">
        <f t="shared" si="11"/>
        <v/>
      </c>
      <c r="CK18" s="419">
        <f t="shared" si="14"/>
        <v>0</v>
      </c>
      <c r="CL18" s="419">
        <f t="shared" si="15"/>
        <v>0</v>
      </c>
      <c r="CM18" s="419">
        <f t="shared" si="16"/>
        <v>0</v>
      </c>
      <c r="CN18" s="419">
        <f t="shared" si="17"/>
        <v>0</v>
      </c>
      <c r="CO18" s="419">
        <f t="shared" si="18"/>
        <v>0</v>
      </c>
      <c r="CP18" s="419">
        <f t="shared" si="19"/>
        <v>0</v>
      </c>
      <c r="CQ18" s="419">
        <f t="shared" si="20"/>
        <v>0</v>
      </c>
      <c r="CR18" s="419">
        <f t="shared" si="21"/>
        <v>0</v>
      </c>
      <c r="CS18" s="419">
        <f t="shared" si="13"/>
        <v>0</v>
      </c>
    </row>
    <row r="19" spans="1:97" ht="21">
      <c r="A19" s="6128"/>
      <c r="B19" s="2114" t="s">
        <v>1069</v>
      </c>
      <c r="C19" s="1995">
        <f t="shared" si="0"/>
        <v>0</v>
      </c>
      <c r="D19" s="2120">
        <f t="shared" si="1"/>
        <v>0</v>
      </c>
      <c r="E19" s="1742">
        <f t="shared" si="1"/>
        <v>0</v>
      </c>
      <c r="F19" s="1485"/>
      <c r="G19" s="1692"/>
      <c r="H19" s="1485"/>
      <c r="I19" s="1692"/>
      <c r="J19" s="1485"/>
      <c r="K19" s="1824"/>
      <c r="L19" s="1485"/>
      <c r="M19" s="1824"/>
      <c r="N19" s="1485"/>
      <c r="O19" s="1824"/>
      <c r="P19" s="1485"/>
      <c r="Q19" s="1824"/>
      <c r="R19" s="1485"/>
      <c r="S19" s="1824"/>
      <c r="T19" s="1485"/>
      <c r="U19" s="1824"/>
      <c r="V19" s="1485"/>
      <c r="W19" s="1824"/>
      <c r="X19" s="1485"/>
      <c r="Y19" s="1824"/>
      <c r="Z19" s="1485"/>
      <c r="AA19" s="1824"/>
      <c r="AB19" s="1485"/>
      <c r="AC19" s="1824"/>
      <c r="AD19" s="1485"/>
      <c r="AE19" s="1824"/>
      <c r="AF19" s="1485"/>
      <c r="AG19" s="1824"/>
      <c r="AH19" s="1485"/>
      <c r="AI19" s="1824"/>
      <c r="AJ19" s="1485"/>
      <c r="AK19" s="1824"/>
      <c r="AL19" s="2121"/>
      <c r="AM19" s="1486"/>
      <c r="AN19" s="2122"/>
      <c r="AO19" s="1712"/>
      <c r="AP19" s="2123"/>
      <c r="AQ19" s="2124"/>
      <c r="AR19" s="2125"/>
      <c r="AS19" s="1692"/>
      <c r="AT19" s="1485"/>
      <c r="AU19" s="1824"/>
      <c r="AV19" s="1692"/>
      <c r="AW19" t="str">
        <f t="shared" si="2"/>
        <v/>
      </c>
      <c r="CA19" s="1708" t="str">
        <f t="shared" si="3"/>
        <v/>
      </c>
      <c r="CB19" s="1708" t="str">
        <f t="shared" si="4"/>
        <v/>
      </c>
      <c r="CC19" s="1708" t="str">
        <f t="shared" si="5"/>
        <v/>
      </c>
      <c r="CD19" s="1708" t="str">
        <f t="shared" si="6"/>
        <v/>
      </c>
      <c r="CE19" s="1708" t="str">
        <f t="shared" si="7"/>
        <v/>
      </c>
      <c r="CF19" s="1708" t="str">
        <f t="shared" si="8"/>
        <v/>
      </c>
      <c r="CG19" s="1708" t="str">
        <f t="shared" si="9"/>
        <v/>
      </c>
      <c r="CH19" s="1708" t="str">
        <f t="shared" si="10"/>
        <v/>
      </c>
      <c r="CI19" s="1708" t="str">
        <f t="shared" si="11"/>
        <v/>
      </c>
      <c r="CK19" s="419">
        <f t="shared" si="14"/>
        <v>0</v>
      </c>
      <c r="CL19" s="419">
        <f t="shared" si="15"/>
        <v>0</v>
      </c>
      <c r="CM19" s="419">
        <f t="shared" si="16"/>
        <v>0</v>
      </c>
      <c r="CN19" s="419">
        <f t="shared" si="17"/>
        <v>0</v>
      </c>
      <c r="CO19" s="419">
        <f t="shared" si="18"/>
        <v>0</v>
      </c>
      <c r="CP19" s="419">
        <f t="shared" si="19"/>
        <v>0</v>
      </c>
      <c r="CQ19" s="419">
        <f t="shared" si="20"/>
        <v>0</v>
      </c>
      <c r="CR19" s="419">
        <f t="shared" si="21"/>
        <v>0</v>
      </c>
      <c r="CS19" s="419">
        <f t="shared" si="13"/>
        <v>0</v>
      </c>
    </row>
    <row r="20" spans="1:97" ht="15" customHeight="1">
      <c r="A20" s="6128"/>
      <c r="B20" s="2114" t="s">
        <v>1070</v>
      </c>
      <c r="C20" s="1995">
        <f t="shared" si="0"/>
        <v>0</v>
      </c>
      <c r="D20" s="2120">
        <f t="shared" si="1"/>
        <v>0</v>
      </c>
      <c r="E20" s="1742">
        <f t="shared" si="1"/>
        <v>0</v>
      </c>
      <c r="F20" s="1485"/>
      <c r="G20" s="1692"/>
      <c r="H20" s="1485"/>
      <c r="I20" s="1692"/>
      <c r="J20" s="1485"/>
      <c r="K20" s="1824"/>
      <c r="L20" s="1485"/>
      <c r="M20" s="1824"/>
      <c r="N20" s="1485"/>
      <c r="O20" s="1824"/>
      <c r="P20" s="1485"/>
      <c r="Q20" s="1824"/>
      <c r="R20" s="1485"/>
      <c r="S20" s="1824"/>
      <c r="T20" s="1485"/>
      <c r="U20" s="1824"/>
      <c r="V20" s="1485"/>
      <c r="W20" s="1824"/>
      <c r="X20" s="1485"/>
      <c r="Y20" s="1824"/>
      <c r="Z20" s="1485"/>
      <c r="AA20" s="1824"/>
      <c r="AB20" s="1485"/>
      <c r="AC20" s="1824"/>
      <c r="AD20" s="1485"/>
      <c r="AE20" s="1824"/>
      <c r="AF20" s="1485"/>
      <c r="AG20" s="1824"/>
      <c r="AH20" s="1485"/>
      <c r="AI20" s="1824"/>
      <c r="AJ20" s="1485"/>
      <c r="AK20" s="1824"/>
      <c r="AL20" s="2121"/>
      <c r="AM20" s="1486"/>
      <c r="AN20" s="2122"/>
      <c r="AO20" s="1712"/>
      <c r="AP20" s="2123"/>
      <c r="AQ20" s="2124"/>
      <c r="AR20" s="2125"/>
      <c r="AS20" s="1692"/>
      <c r="AT20" s="1485"/>
      <c r="AU20" s="1824"/>
      <c r="AV20" s="1692"/>
      <c r="AW20" t="str">
        <f t="shared" si="2"/>
        <v/>
      </c>
      <c r="CA20" s="1708" t="str">
        <f t="shared" si="3"/>
        <v/>
      </c>
      <c r="CB20" s="1708" t="str">
        <f t="shared" si="4"/>
        <v/>
      </c>
      <c r="CC20" s="1708" t="str">
        <f t="shared" si="5"/>
        <v/>
      </c>
      <c r="CD20" s="1708" t="str">
        <f t="shared" si="6"/>
        <v/>
      </c>
      <c r="CE20" s="1708" t="str">
        <f t="shared" si="7"/>
        <v/>
      </c>
      <c r="CF20" s="1708" t="str">
        <f t="shared" si="8"/>
        <v/>
      </c>
      <c r="CG20" s="1708" t="str">
        <f t="shared" si="9"/>
        <v/>
      </c>
      <c r="CH20" s="1708" t="str">
        <f t="shared" si="10"/>
        <v/>
      </c>
      <c r="CI20" s="1708" t="str">
        <f t="shared" si="11"/>
        <v/>
      </c>
      <c r="CK20" s="419">
        <f t="shared" si="14"/>
        <v>0</v>
      </c>
      <c r="CL20" s="419">
        <f t="shared" si="15"/>
        <v>0</v>
      </c>
      <c r="CM20" s="419">
        <f t="shared" si="16"/>
        <v>0</v>
      </c>
      <c r="CN20" s="419">
        <f t="shared" si="17"/>
        <v>0</v>
      </c>
      <c r="CO20" s="419">
        <f t="shared" si="18"/>
        <v>0</v>
      </c>
      <c r="CP20" s="419">
        <f t="shared" si="19"/>
        <v>0</v>
      </c>
      <c r="CQ20" s="419">
        <f t="shared" si="20"/>
        <v>0</v>
      </c>
      <c r="CR20" s="419">
        <f t="shared" si="21"/>
        <v>0</v>
      </c>
      <c r="CS20" s="419">
        <f t="shared" si="13"/>
        <v>0</v>
      </c>
    </row>
    <row r="21" spans="1:97" ht="21">
      <c r="A21" s="6128"/>
      <c r="B21" s="2114" t="s">
        <v>1071</v>
      </c>
      <c r="C21" s="1995">
        <f t="shared" si="0"/>
        <v>0</v>
      </c>
      <c r="D21" s="1929">
        <f t="shared" si="1"/>
        <v>0</v>
      </c>
      <c r="E21" s="1742">
        <f t="shared" si="1"/>
        <v>0</v>
      </c>
      <c r="F21" s="1485"/>
      <c r="G21" s="1692"/>
      <c r="H21" s="1485"/>
      <c r="I21" s="1692"/>
      <c r="J21" s="1485"/>
      <c r="K21" s="1824"/>
      <c r="L21" s="1485"/>
      <c r="M21" s="1824"/>
      <c r="N21" s="1485"/>
      <c r="O21" s="1824"/>
      <c r="P21" s="1485"/>
      <c r="Q21" s="1824"/>
      <c r="R21" s="1485"/>
      <c r="S21" s="1824"/>
      <c r="T21" s="1485"/>
      <c r="U21" s="1824"/>
      <c r="V21" s="1485"/>
      <c r="W21" s="1824"/>
      <c r="X21" s="1485"/>
      <c r="Y21" s="1824"/>
      <c r="Z21" s="1485"/>
      <c r="AA21" s="1824"/>
      <c r="AB21" s="1485"/>
      <c r="AC21" s="1824"/>
      <c r="AD21" s="1485"/>
      <c r="AE21" s="1824"/>
      <c r="AF21" s="1485"/>
      <c r="AG21" s="1824"/>
      <c r="AH21" s="1485"/>
      <c r="AI21" s="1824"/>
      <c r="AJ21" s="1485"/>
      <c r="AK21" s="1824"/>
      <c r="AL21" s="2121"/>
      <c r="AM21" s="1486"/>
      <c r="AN21" s="2122"/>
      <c r="AO21" s="1712"/>
      <c r="AP21" s="2123"/>
      <c r="AQ21" s="2124"/>
      <c r="AR21" s="2125"/>
      <c r="AS21" s="1692"/>
      <c r="AT21" s="1485"/>
      <c r="AU21" s="1824"/>
      <c r="AV21" s="1692"/>
      <c r="AW21" t="str">
        <f t="shared" si="2"/>
        <v/>
      </c>
      <c r="CA21" s="1708" t="str">
        <f t="shared" si="3"/>
        <v/>
      </c>
      <c r="CB21" s="1708" t="str">
        <f t="shared" si="4"/>
        <v/>
      </c>
      <c r="CC21" s="1708" t="str">
        <f t="shared" si="5"/>
        <v/>
      </c>
      <c r="CD21" s="1708" t="str">
        <f t="shared" si="6"/>
        <v/>
      </c>
      <c r="CE21" s="1708" t="str">
        <f t="shared" si="7"/>
        <v/>
      </c>
      <c r="CF21" s="1708" t="str">
        <f t="shared" si="8"/>
        <v/>
      </c>
      <c r="CG21" s="1708" t="str">
        <f t="shared" si="9"/>
        <v/>
      </c>
      <c r="CH21" s="1708" t="str">
        <f t="shared" si="10"/>
        <v/>
      </c>
      <c r="CI21" s="1708" t="str">
        <f t="shared" si="11"/>
        <v/>
      </c>
      <c r="CK21" s="419">
        <f t="shared" si="14"/>
        <v>0</v>
      </c>
      <c r="CL21" s="419">
        <f t="shared" si="15"/>
        <v>0</v>
      </c>
      <c r="CM21" s="419">
        <f t="shared" si="16"/>
        <v>0</v>
      </c>
      <c r="CN21" s="419">
        <f t="shared" si="17"/>
        <v>0</v>
      </c>
      <c r="CO21" s="419">
        <f t="shared" si="18"/>
        <v>0</v>
      </c>
      <c r="CP21" s="419">
        <f t="shared" si="19"/>
        <v>0</v>
      </c>
      <c r="CQ21" s="419">
        <f t="shared" si="20"/>
        <v>0</v>
      </c>
      <c r="CR21" s="419">
        <f t="shared" si="21"/>
        <v>0</v>
      </c>
      <c r="CS21" s="419">
        <f t="shared" si="13"/>
        <v>0</v>
      </c>
    </row>
    <row r="22" spans="1:97" ht="15" customHeight="1">
      <c r="A22" s="6129"/>
      <c r="B22" s="1715" t="s">
        <v>91</v>
      </c>
      <c r="C22" s="1743">
        <f t="shared" si="0"/>
        <v>0</v>
      </c>
      <c r="D22" s="1744">
        <f t="shared" si="1"/>
        <v>0</v>
      </c>
      <c r="E22" s="1745">
        <f>SUM(G22+I22+K22+M22+O22+Q22+S22+U22+W22+Y22+AA22+AC22+AE22+AG22+AI22+AK22+AM22)</f>
        <v>0</v>
      </c>
      <c r="F22" s="401">
        <f>SUM(F12:F21)</f>
        <v>0</v>
      </c>
      <c r="G22" s="392">
        <f t="shared" ref="G22:AS22" si="22">SUM(G12:G21)</f>
        <v>0</v>
      </c>
      <c r="H22" s="401">
        <f t="shared" si="22"/>
        <v>0</v>
      </c>
      <c r="I22" s="392">
        <f t="shared" si="22"/>
        <v>0</v>
      </c>
      <c r="J22" s="401">
        <f t="shared" si="22"/>
        <v>0</v>
      </c>
      <c r="K22" s="403">
        <f t="shared" si="22"/>
        <v>0</v>
      </c>
      <c r="L22" s="401">
        <f t="shared" si="22"/>
        <v>0</v>
      </c>
      <c r="M22" s="403">
        <f t="shared" si="22"/>
        <v>0</v>
      </c>
      <c r="N22" s="401">
        <f t="shared" si="22"/>
        <v>0</v>
      </c>
      <c r="O22" s="403">
        <f t="shared" si="22"/>
        <v>0</v>
      </c>
      <c r="P22" s="401">
        <f t="shared" si="22"/>
        <v>0</v>
      </c>
      <c r="Q22" s="403">
        <f t="shared" si="22"/>
        <v>0</v>
      </c>
      <c r="R22" s="401">
        <f t="shared" si="22"/>
        <v>0</v>
      </c>
      <c r="S22" s="403">
        <f t="shared" si="22"/>
        <v>0</v>
      </c>
      <c r="T22" s="401">
        <f t="shared" si="22"/>
        <v>0</v>
      </c>
      <c r="U22" s="403">
        <f t="shared" si="22"/>
        <v>0</v>
      </c>
      <c r="V22" s="401">
        <f t="shared" si="22"/>
        <v>0</v>
      </c>
      <c r="W22" s="403">
        <f t="shared" si="22"/>
        <v>0</v>
      </c>
      <c r="X22" s="401">
        <f t="shared" si="22"/>
        <v>0</v>
      </c>
      <c r="Y22" s="403">
        <f t="shared" si="22"/>
        <v>0</v>
      </c>
      <c r="Z22" s="401">
        <f t="shared" si="22"/>
        <v>0</v>
      </c>
      <c r="AA22" s="403">
        <f t="shared" si="22"/>
        <v>0</v>
      </c>
      <c r="AB22" s="401">
        <f t="shared" si="22"/>
        <v>0</v>
      </c>
      <c r="AC22" s="403">
        <f t="shared" si="22"/>
        <v>0</v>
      </c>
      <c r="AD22" s="401">
        <f t="shared" si="22"/>
        <v>0</v>
      </c>
      <c r="AE22" s="403">
        <f t="shared" si="22"/>
        <v>0</v>
      </c>
      <c r="AF22" s="401">
        <f t="shared" si="22"/>
        <v>0</v>
      </c>
      <c r="AG22" s="403">
        <f t="shared" si="22"/>
        <v>0</v>
      </c>
      <c r="AH22" s="401">
        <f t="shared" si="22"/>
        <v>0</v>
      </c>
      <c r="AI22" s="403">
        <f t="shared" si="22"/>
        <v>0</v>
      </c>
      <c r="AJ22" s="401">
        <f t="shared" si="22"/>
        <v>0</v>
      </c>
      <c r="AK22" s="403">
        <f t="shared" si="22"/>
        <v>0</v>
      </c>
      <c r="AL22" s="1555">
        <f t="shared" si="22"/>
        <v>0</v>
      </c>
      <c r="AM22" s="440">
        <f t="shared" si="22"/>
        <v>0</v>
      </c>
      <c r="AN22" s="2126">
        <f t="shared" si="22"/>
        <v>0</v>
      </c>
      <c r="AO22" s="1501">
        <f t="shared" si="22"/>
        <v>0</v>
      </c>
      <c r="AP22" s="2127">
        <f>SUM(AP12:AP21)</f>
        <v>0</v>
      </c>
      <c r="AQ22" s="2128">
        <f t="shared" si="22"/>
        <v>0</v>
      </c>
      <c r="AR22" s="2129">
        <f t="shared" si="22"/>
        <v>0</v>
      </c>
      <c r="AS22" s="392">
        <f t="shared" si="22"/>
        <v>0</v>
      </c>
      <c r="AT22" s="401">
        <f>SUM(AT12:AT21)</f>
        <v>0</v>
      </c>
      <c r="AU22" s="403">
        <f>SUM(AU12:AU21)</f>
        <v>0</v>
      </c>
      <c r="AV22" s="392">
        <f>SUM(AV12:AV21)</f>
        <v>0</v>
      </c>
      <c r="CC22" t="str">
        <f>IF(AND($C22&gt;0,AP22="")," * No olvide digitar la variable Servicio Nacional Protección Especializada a la Niñez y Adolescencia. Digite Cero si no tiene.",IF(AP22&gt;$C22," * La variable Servicio Nacional Protección Especializada a la Niñez y Adolescencia, No puede ser mayor al Total Ambos Sexos.",""))</f>
        <v/>
      </c>
    </row>
    <row r="23" spans="1:97" ht="15" customHeight="1">
      <c r="A23" s="6214" t="s">
        <v>1072</v>
      </c>
      <c r="B23" s="6215"/>
      <c r="C23" s="2130">
        <f t="shared" si="0"/>
        <v>0</v>
      </c>
      <c r="D23" s="2131">
        <f t="shared" si="1"/>
        <v>0</v>
      </c>
      <c r="E23" s="1745">
        <f t="shared" si="1"/>
        <v>0</v>
      </c>
      <c r="F23" s="1475"/>
      <c r="G23" s="1539"/>
      <c r="H23" s="1475"/>
      <c r="I23" s="1539"/>
      <c r="J23" s="1475"/>
      <c r="K23" s="1786"/>
      <c r="L23" s="1475"/>
      <c r="M23" s="1786"/>
      <c r="N23" s="1475"/>
      <c r="O23" s="1786"/>
      <c r="P23" s="1475"/>
      <c r="Q23" s="1786"/>
      <c r="R23" s="1475"/>
      <c r="S23" s="1786"/>
      <c r="T23" s="1475"/>
      <c r="U23" s="1786"/>
      <c r="V23" s="1475"/>
      <c r="W23" s="1786"/>
      <c r="X23" s="1475"/>
      <c r="Y23" s="1786"/>
      <c r="Z23" s="1475"/>
      <c r="AA23" s="1786"/>
      <c r="AB23" s="1475"/>
      <c r="AC23" s="1786"/>
      <c r="AD23" s="1475"/>
      <c r="AE23" s="1786"/>
      <c r="AF23" s="1475"/>
      <c r="AG23" s="1786"/>
      <c r="AH23" s="1475"/>
      <c r="AI23" s="1786"/>
      <c r="AJ23" s="1475"/>
      <c r="AK23" s="1786"/>
      <c r="AL23" s="1975"/>
      <c r="AM23" s="1476"/>
      <c r="AN23" s="2132"/>
      <c r="AO23" s="1535"/>
      <c r="AP23" s="2133"/>
      <c r="AQ23" s="2134"/>
      <c r="AR23" s="2135"/>
      <c r="AS23" s="1539"/>
      <c r="AT23" s="1475"/>
      <c r="AU23" s="1786"/>
      <c r="AV23" s="1539"/>
      <c r="AW23" t="str">
        <f t="shared" si="2"/>
        <v/>
      </c>
      <c r="CA23" s="1708" t="str">
        <f t="shared" si="3"/>
        <v/>
      </c>
      <c r="CB23" s="1708" t="str">
        <f t="shared" si="4"/>
        <v/>
      </c>
      <c r="CC23" s="1708" t="str">
        <f t="shared" ref="CC23:CC26" si="23">IF(AND($C23&gt;0,AP23="")," *No olvide digitar la variable Servicio Nacional Protección Especializada a la Niñez y Adolescencia. Digite Cero si no tiene.",IF(AP23&gt;$C23," *La variable Servicio Nacional Protección Especializada a la Niñez y Adolescencia, No puede ser mayor al Total Ambos Sexos.",""))</f>
        <v/>
      </c>
      <c r="CD23" s="1708" t="str">
        <f t="shared" si="6"/>
        <v/>
      </c>
      <c r="CE23" s="1708" t="str">
        <f t="shared" si="7"/>
        <v/>
      </c>
      <c r="CF23" s="1708" t="str">
        <f t="shared" si="8"/>
        <v/>
      </c>
      <c r="CG23" s="1708" t="str">
        <f t="shared" si="9"/>
        <v/>
      </c>
      <c r="CH23" s="1708" t="str">
        <f t="shared" si="10"/>
        <v/>
      </c>
      <c r="CI23" s="1708" t="str">
        <f t="shared" si="11"/>
        <v/>
      </c>
      <c r="CK23" s="419">
        <f t="shared" si="14"/>
        <v>0</v>
      </c>
      <c r="CL23" s="419">
        <f t="shared" si="15"/>
        <v>0</v>
      </c>
      <c r="CM23" s="419">
        <f t="shared" si="16"/>
        <v>0</v>
      </c>
      <c r="CN23" s="419">
        <f t="shared" si="17"/>
        <v>0</v>
      </c>
      <c r="CO23" s="419">
        <f t="shared" si="18"/>
        <v>0</v>
      </c>
      <c r="CP23" s="419">
        <f t="shared" si="19"/>
        <v>0</v>
      </c>
      <c r="CQ23" s="419">
        <f t="shared" si="20"/>
        <v>0</v>
      </c>
      <c r="CR23" s="419">
        <f t="shared" si="21"/>
        <v>0</v>
      </c>
      <c r="CS23" s="419">
        <f t="shared" si="13"/>
        <v>0</v>
      </c>
    </row>
    <row r="24" spans="1:97" ht="15" customHeight="1">
      <c r="A24" s="1509" t="s">
        <v>1073</v>
      </c>
      <c r="B24" s="2136" t="s">
        <v>1065</v>
      </c>
      <c r="C24" s="1924">
        <f t="shared" si="0"/>
        <v>0</v>
      </c>
      <c r="D24" s="1925">
        <f t="shared" si="1"/>
        <v>0</v>
      </c>
      <c r="E24" s="2137">
        <f t="shared" si="1"/>
        <v>0</v>
      </c>
      <c r="F24" s="1405"/>
      <c r="G24" s="1417"/>
      <c r="H24" s="1405"/>
      <c r="I24" s="1417"/>
      <c r="J24" s="1405"/>
      <c r="K24" s="1846"/>
      <c r="L24" s="1405"/>
      <c r="M24" s="1846"/>
      <c r="N24" s="1405"/>
      <c r="O24" s="1846"/>
      <c r="P24" s="1405"/>
      <c r="Q24" s="1846"/>
      <c r="R24" s="1405"/>
      <c r="S24" s="1846"/>
      <c r="T24" s="1405"/>
      <c r="U24" s="1846"/>
      <c r="V24" s="1405"/>
      <c r="W24" s="1846"/>
      <c r="X24" s="1405"/>
      <c r="Y24" s="1846"/>
      <c r="Z24" s="1405"/>
      <c r="AA24" s="1846"/>
      <c r="AB24" s="1405"/>
      <c r="AC24" s="1846"/>
      <c r="AD24" s="1405"/>
      <c r="AE24" s="1846"/>
      <c r="AF24" s="1405"/>
      <c r="AG24" s="1846"/>
      <c r="AH24" s="1405"/>
      <c r="AI24" s="1846"/>
      <c r="AJ24" s="1405"/>
      <c r="AK24" s="1846"/>
      <c r="AL24" s="2138"/>
      <c r="AM24" s="1409"/>
      <c r="AN24" s="2139"/>
      <c r="AO24" s="1407"/>
      <c r="AP24" s="2140"/>
      <c r="AQ24" s="2141"/>
      <c r="AR24" s="2142"/>
      <c r="AS24" s="1417"/>
      <c r="AT24" s="1405"/>
      <c r="AU24" s="1846"/>
      <c r="AV24" s="1417"/>
      <c r="AW24" t="str">
        <f t="shared" si="2"/>
        <v/>
      </c>
      <c r="CA24" s="1708" t="str">
        <f t="shared" si="3"/>
        <v/>
      </c>
      <c r="CB24" s="1708" t="str">
        <f t="shared" si="4"/>
        <v/>
      </c>
      <c r="CC24" s="1708" t="str">
        <f t="shared" si="23"/>
        <v/>
      </c>
      <c r="CD24" s="1708" t="str">
        <f t="shared" si="6"/>
        <v/>
      </c>
      <c r="CE24" s="1708" t="str">
        <f t="shared" si="7"/>
        <v/>
      </c>
      <c r="CF24" s="1708" t="str">
        <f t="shared" si="8"/>
        <v/>
      </c>
      <c r="CG24" s="1708" t="str">
        <f t="shared" si="9"/>
        <v/>
      </c>
      <c r="CH24" s="1708" t="str">
        <f t="shared" si="10"/>
        <v/>
      </c>
      <c r="CI24" s="1708" t="str">
        <f t="shared" si="11"/>
        <v/>
      </c>
      <c r="CK24" s="419">
        <f t="shared" si="14"/>
        <v>0</v>
      </c>
      <c r="CL24" s="419">
        <f t="shared" si="15"/>
        <v>0</v>
      </c>
      <c r="CM24" s="419">
        <f t="shared" si="16"/>
        <v>0</v>
      </c>
      <c r="CN24" s="419">
        <f t="shared" si="17"/>
        <v>0</v>
      </c>
      <c r="CO24" s="419">
        <f t="shared" si="18"/>
        <v>0</v>
      </c>
      <c r="CP24" s="419">
        <f t="shared" si="19"/>
        <v>0</v>
      </c>
      <c r="CQ24" s="419">
        <f t="shared" si="20"/>
        <v>0</v>
      </c>
      <c r="CR24" s="419">
        <f t="shared" si="21"/>
        <v>0</v>
      </c>
      <c r="CS24" s="419">
        <f t="shared" si="13"/>
        <v>0</v>
      </c>
    </row>
    <row r="25" spans="1:97" ht="15" customHeight="1">
      <c r="A25" s="6127" t="s">
        <v>1074</v>
      </c>
      <c r="B25" s="457" t="s">
        <v>1065</v>
      </c>
      <c r="C25" s="1988">
        <f t="shared" si="0"/>
        <v>0</v>
      </c>
      <c r="D25" s="2109">
        <f t="shared" si="1"/>
        <v>0</v>
      </c>
      <c r="E25" s="1736">
        <f t="shared" si="1"/>
        <v>0</v>
      </c>
      <c r="F25" s="1424"/>
      <c r="G25" s="1436"/>
      <c r="H25" s="1424"/>
      <c r="I25" s="1436"/>
      <c r="J25" s="1424"/>
      <c r="K25" s="1676"/>
      <c r="L25" s="1424"/>
      <c r="M25" s="1676"/>
      <c r="N25" s="1424"/>
      <c r="O25" s="1676"/>
      <c r="P25" s="1424"/>
      <c r="Q25" s="1676"/>
      <c r="R25" s="1424"/>
      <c r="S25" s="1676"/>
      <c r="T25" s="1424"/>
      <c r="U25" s="1676"/>
      <c r="V25" s="1424"/>
      <c r="W25" s="1676"/>
      <c r="X25" s="1424"/>
      <c r="Y25" s="1676"/>
      <c r="Z25" s="1424"/>
      <c r="AA25" s="1676"/>
      <c r="AB25" s="1424"/>
      <c r="AC25" s="1676"/>
      <c r="AD25" s="1424"/>
      <c r="AE25" s="1676"/>
      <c r="AF25" s="1424"/>
      <c r="AG25" s="1676"/>
      <c r="AH25" s="1424"/>
      <c r="AI25" s="1676"/>
      <c r="AJ25" s="1424"/>
      <c r="AK25" s="1676"/>
      <c r="AL25" s="1653"/>
      <c r="AM25" s="1428"/>
      <c r="AN25" s="2110"/>
      <c r="AO25" s="1426"/>
      <c r="AP25" s="2111"/>
      <c r="AQ25" s="2112"/>
      <c r="AR25" s="2113"/>
      <c r="AS25" s="1436"/>
      <c r="AT25" s="1424"/>
      <c r="AU25" s="1676"/>
      <c r="AV25" s="1436"/>
      <c r="AW25" t="str">
        <f t="shared" si="2"/>
        <v/>
      </c>
      <c r="CA25" s="1708" t="str">
        <f t="shared" si="3"/>
        <v/>
      </c>
      <c r="CB25" s="1708" t="str">
        <f t="shared" si="4"/>
        <v/>
      </c>
      <c r="CC25" s="1708" t="str">
        <f t="shared" si="23"/>
        <v/>
      </c>
      <c r="CD25" s="1708" t="str">
        <f t="shared" si="6"/>
        <v/>
      </c>
      <c r="CE25" s="1708" t="str">
        <f t="shared" si="7"/>
        <v/>
      </c>
      <c r="CF25" s="1708" t="str">
        <f t="shared" si="8"/>
        <v/>
      </c>
      <c r="CG25" s="1708" t="str">
        <f t="shared" si="9"/>
        <v/>
      </c>
      <c r="CH25" s="1708" t="str">
        <f t="shared" si="10"/>
        <v/>
      </c>
      <c r="CI25" s="1708" t="str">
        <f t="shared" si="11"/>
        <v/>
      </c>
      <c r="CK25" s="419">
        <f t="shared" si="14"/>
        <v>0</v>
      </c>
      <c r="CL25" s="419">
        <f t="shared" si="15"/>
        <v>0</v>
      </c>
      <c r="CM25" s="419">
        <f t="shared" si="16"/>
        <v>0</v>
      </c>
      <c r="CN25" s="419">
        <f t="shared" si="17"/>
        <v>0</v>
      </c>
      <c r="CO25" s="419">
        <f t="shared" si="18"/>
        <v>0</v>
      </c>
      <c r="CP25" s="419">
        <f t="shared" si="19"/>
        <v>0</v>
      </c>
      <c r="CQ25" s="419">
        <f t="shared" si="20"/>
        <v>0</v>
      </c>
      <c r="CR25" s="419">
        <f t="shared" si="21"/>
        <v>0</v>
      </c>
      <c r="CS25" s="419">
        <f t="shared" si="13"/>
        <v>0</v>
      </c>
    </row>
    <row r="26" spans="1:97" ht="15" customHeight="1">
      <c r="A26" s="6129"/>
      <c r="B26" s="2143" t="s">
        <v>1075</v>
      </c>
      <c r="C26" s="2144">
        <f t="shared" si="0"/>
        <v>0</v>
      </c>
      <c r="D26" s="2145">
        <f t="shared" si="1"/>
        <v>0</v>
      </c>
      <c r="E26" s="1758">
        <f t="shared" si="1"/>
        <v>0</v>
      </c>
      <c r="F26" s="1455"/>
      <c r="G26" s="1534"/>
      <c r="H26" s="1455"/>
      <c r="I26" s="1684"/>
      <c r="J26" s="1455"/>
      <c r="K26" s="1684"/>
      <c r="L26" s="1455"/>
      <c r="M26" s="1684"/>
      <c r="N26" s="1455"/>
      <c r="O26" s="1467"/>
      <c r="P26" s="1455"/>
      <c r="Q26" s="1534"/>
      <c r="R26" s="2146"/>
      <c r="S26" s="1684"/>
      <c r="T26" s="1455"/>
      <c r="U26" s="1684"/>
      <c r="V26" s="1455"/>
      <c r="W26" s="1684"/>
      <c r="X26" s="1455"/>
      <c r="Y26" s="1534"/>
      <c r="Z26" s="1455"/>
      <c r="AA26" s="1534"/>
      <c r="AB26" s="1455"/>
      <c r="AC26" s="1684"/>
      <c r="AD26" s="1455"/>
      <c r="AE26" s="1534"/>
      <c r="AF26" s="1455"/>
      <c r="AG26" s="1534"/>
      <c r="AH26" s="1455"/>
      <c r="AI26" s="1684"/>
      <c r="AJ26" s="1455"/>
      <c r="AK26" s="1684"/>
      <c r="AL26" s="1664"/>
      <c r="AM26" s="1459"/>
      <c r="AN26" s="2147"/>
      <c r="AO26" s="1457"/>
      <c r="AP26" s="2148"/>
      <c r="AQ26" s="2149"/>
      <c r="AR26" s="2150"/>
      <c r="AS26" s="1467"/>
      <c r="AT26" s="1455"/>
      <c r="AU26" s="1684"/>
      <c r="AV26" s="1467"/>
      <c r="AW26" t="str">
        <f t="shared" si="2"/>
        <v/>
      </c>
      <c r="CA26" s="1708" t="str">
        <f t="shared" si="3"/>
        <v/>
      </c>
      <c r="CB26" s="1708" t="str">
        <f t="shared" si="4"/>
        <v/>
      </c>
      <c r="CC26" s="1708" t="str">
        <f t="shared" si="23"/>
        <v/>
      </c>
      <c r="CD26" s="1708" t="str">
        <f t="shared" si="6"/>
        <v/>
      </c>
      <c r="CE26" s="1708" t="str">
        <f t="shared" si="7"/>
        <v/>
      </c>
      <c r="CF26" s="1708" t="str">
        <f t="shared" si="8"/>
        <v/>
      </c>
      <c r="CG26" s="1708" t="str">
        <f t="shared" si="9"/>
        <v/>
      </c>
      <c r="CH26" s="1708" t="str">
        <f t="shared" si="10"/>
        <v/>
      </c>
      <c r="CI26" s="1708" t="str">
        <f t="shared" si="11"/>
        <v/>
      </c>
      <c r="CK26" s="419">
        <f t="shared" si="14"/>
        <v>0</v>
      </c>
      <c r="CL26" s="419">
        <f t="shared" si="15"/>
        <v>0</v>
      </c>
      <c r="CM26" s="419">
        <f t="shared" si="16"/>
        <v>0</v>
      </c>
      <c r="CN26" s="419">
        <f t="shared" si="17"/>
        <v>0</v>
      </c>
      <c r="CO26" s="419">
        <f t="shared" si="18"/>
        <v>0</v>
      </c>
      <c r="CP26" s="419">
        <f t="shared" si="19"/>
        <v>0</v>
      </c>
      <c r="CQ26" s="419">
        <f t="shared" si="20"/>
        <v>0</v>
      </c>
      <c r="CR26" s="419">
        <f t="shared" si="21"/>
        <v>0</v>
      </c>
      <c r="CS26" s="419">
        <f t="shared" si="13"/>
        <v>0</v>
      </c>
    </row>
    <row r="27" spans="1:97" s="385" customFormat="1" ht="18" customHeight="1">
      <c r="A27" s="1468" t="s">
        <v>1076</v>
      </c>
      <c r="B27" s="1468"/>
      <c r="C27" s="2101"/>
      <c r="D27" s="1468"/>
      <c r="E27" s="1468"/>
      <c r="F27" s="1468"/>
      <c r="G27" s="1468"/>
      <c r="H27" s="1468"/>
      <c r="I27" s="1468"/>
      <c r="J27" s="1468"/>
      <c r="K27" s="1468"/>
      <c r="L27" s="1468"/>
      <c r="M27" s="1468"/>
      <c r="N27" s="1468"/>
      <c r="O27" s="1493"/>
      <c r="P27" s="1493"/>
      <c r="Q27" s="1493"/>
      <c r="R27" s="1493"/>
      <c r="S27" s="1493"/>
      <c r="T27" s="1493"/>
      <c r="U27" s="1493"/>
      <c r="V27" s="2151"/>
      <c r="W27" s="1493"/>
      <c r="X27" s="1493"/>
      <c r="Y27" s="1493"/>
      <c r="Z27" s="1493"/>
      <c r="AA27" s="1493"/>
      <c r="AB27" s="1493"/>
      <c r="AC27" s="1493"/>
      <c r="AD27" s="1493"/>
      <c r="AE27" s="1493"/>
      <c r="AF27" s="1493"/>
      <c r="AG27" s="1493"/>
      <c r="AH27" s="1493"/>
      <c r="AI27" s="1493"/>
      <c r="AJ27" s="1493"/>
      <c r="AK27" s="1493"/>
      <c r="AL27" s="1493"/>
      <c r="AM27" s="1493"/>
      <c r="AN27" s="1493"/>
      <c r="AO27" s="1493"/>
      <c r="AP27" s="1493"/>
      <c r="AQ27" s="1493"/>
      <c r="AR27" s="1493"/>
      <c r="AS27" s="1493"/>
      <c r="AT27" s="1493"/>
      <c r="AU27" s="1493"/>
    </row>
    <row r="28" spans="1:97" ht="21.75" customHeight="1">
      <c r="A28" s="5718" t="s">
        <v>236</v>
      </c>
      <c r="B28" s="5718" t="s">
        <v>1077</v>
      </c>
      <c r="C28" s="5710" t="s">
        <v>1078</v>
      </c>
      <c r="D28" s="5712"/>
      <c r="E28" s="5710" t="s">
        <v>1079</v>
      </c>
      <c r="F28" s="6106"/>
      <c r="G28" s="5712"/>
      <c r="H28" s="5710" t="s">
        <v>364</v>
      </c>
      <c r="I28" s="5712"/>
      <c r="J28" s="5710" t="s">
        <v>347</v>
      </c>
      <c r="K28" s="5712"/>
      <c r="L28" s="5710" t="s">
        <v>108</v>
      </c>
      <c r="M28" s="5712"/>
      <c r="N28" s="5710" t="s">
        <v>58</v>
      </c>
      <c r="O28" s="5712"/>
      <c r="P28" s="5710" t="s">
        <v>59</v>
      </c>
      <c r="Q28" s="5712"/>
      <c r="R28" s="5707" t="s">
        <v>60</v>
      </c>
      <c r="S28" s="5709"/>
      <c r="T28" s="5707" t="s">
        <v>61</v>
      </c>
      <c r="U28" s="5709"/>
      <c r="V28" s="5707" t="s">
        <v>62</v>
      </c>
      <c r="W28" s="5709"/>
      <c r="X28" s="5707" t="s">
        <v>63</v>
      </c>
      <c r="Y28" s="5709"/>
      <c r="Z28" s="5707" t="s">
        <v>64</v>
      </c>
      <c r="AA28" s="5709"/>
      <c r="AB28" s="5707" t="s">
        <v>65</v>
      </c>
      <c r="AC28" s="5709"/>
      <c r="AD28" s="5707" t="s">
        <v>66</v>
      </c>
      <c r="AE28" s="5709"/>
      <c r="AF28" s="5707" t="s">
        <v>67</v>
      </c>
      <c r="AG28" s="5709"/>
      <c r="AH28" s="5707" t="s">
        <v>68</v>
      </c>
      <c r="AI28" s="5709"/>
      <c r="AJ28" s="5707" t="s">
        <v>69</v>
      </c>
      <c r="AK28" s="5709"/>
      <c r="AL28" s="5707" t="s">
        <v>70</v>
      </c>
      <c r="AM28" s="5709"/>
      <c r="AN28" s="5707" t="s">
        <v>71</v>
      </c>
      <c r="AO28" s="6147"/>
      <c r="AP28" s="6203" t="s">
        <v>50</v>
      </c>
      <c r="AQ28" s="6135" t="s">
        <v>51</v>
      </c>
      <c r="AR28" s="6135" t="s">
        <v>514</v>
      </c>
      <c r="AS28" s="6135" t="s">
        <v>49</v>
      </c>
      <c r="AT28" s="6135" t="s">
        <v>1080</v>
      </c>
      <c r="AU28" s="6119" t="s">
        <v>1081</v>
      </c>
    </row>
    <row r="29" spans="1:97" ht="40.5" customHeight="1">
      <c r="A29" s="5719"/>
      <c r="B29" s="5719"/>
      <c r="C29" s="395" t="s">
        <v>1082</v>
      </c>
      <c r="D29" s="395" t="s">
        <v>1083</v>
      </c>
      <c r="E29" s="1395" t="s">
        <v>93</v>
      </c>
      <c r="F29" s="1646" t="s">
        <v>72</v>
      </c>
      <c r="G29" s="393" t="s">
        <v>73</v>
      </c>
      <c r="H29" s="1395" t="s">
        <v>72</v>
      </c>
      <c r="I29" s="393" t="s">
        <v>73</v>
      </c>
      <c r="J29" s="1395" t="s">
        <v>72</v>
      </c>
      <c r="K29" s="393" t="s">
        <v>73</v>
      </c>
      <c r="L29" s="1395" t="s">
        <v>72</v>
      </c>
      <c r="M29" s="393" t="s">
        <v>73</v>
      </c>
      <c r="N29" s="1395" t="s">
        <v>72</v>
      </c>
      <c r="O29" s="393" t="s">
        <v>73</v>
      </c>
      <c r="P29" s="1395" t="s">
        <v>72</v>
      </c>
      <c r="Q29" s="393" t="s">
        <v>73</v>
      </c>
      <c r="R29" s="1395" t="s">
        <v>72</v>
      </c>
      <c r="S29" s="393" t="s">
        <v>73</v>
      </c>
      <c r="T29" s="1395" t="s">
        <v>72</v>
      </c>
      <c r="U29" s="1495" t="s">
        <v>73</v>
      </c>
      <c r="V29" s="1395" t="s">
        <v>72</v>
      </c>
      <c r="W29" s="393" t="s">
        <v>73</v>
      </c>
      <c r="X29" s="1395" t="s">
        <v>72</v>
      </c>
      <c r="Y29" s="393" t="s">
        <v>73</v>
      </c>
      <c r="Z29" s="1395" t="s">
        <v>72</v>
      </c>
      <c r="AA29" s="393" t="s">
        <v>73</v>
      </c>
      <c r="AB29" s="1395" t="s">
        <v>72</v>
      </c>
      <c r="AC29" s="393" t="s">
        <v>73</v>
      </c>
      <c r="AD29" s="1395" t="s">
        <v>72</v>
      </c>
      <c r="AE29" s="393" t="s">
        <v>73</v>
      </c>
      <c r="AF29" s="1395" t="s">
        <v>72</v>
      </c>
      <c r="AG29" s="393" t="s">
        <v>73</v>
      </c>
      <c r="AH29" s="1395" t="s">
        <v>72</v>
      </c>
      <c r="AI29" s="393" t="s">
        <v>73</v>
      </c>
      <c r="AJ29" s="1395" t="s">
        <v>72</v>
      </c>
      <c r="AK29" s="393" t="s">
        <v>73</v>
      </c>
      <c r="AL29" s="1395" t="s">
        <v>72</v>
      </c>
      <c r="AM29" s="393" t="s">
        <v>73</v>
      </c>
      <c r="AN29" s="1395" t="s">
        <v>72</v>
      </c>
      <c r="AO29" s="394" t="s">
        <v>73</v>
      </c>
      <c r="AP29" s="6204"/>
      <c r="AQ29" s="6136"/>
      <c r="AR29" s="6136"/>
      <c r="AS29" s="6136"/>
      <c r="AT29" s="6136"/>
      <c r="AU29" s="6116"/>
    </row>
    <row r="30" spans="1:97">
      <c r="A30" s="457" t="s">
        <v>1084</v>
      </c>
      <c r="B30" s="2152">
        <f t="shared" ref="B30:B31" si="24">SUM(C30:D30)</f>
        <v>0</v>
      </c>
      <c r="C30" s="1436"/>
      <c r="D30" s="1430"/>
      <c r="E30" s="409">
        <f t="shared" ref="E30:E31" si="25">SUM(F30+G30)</f>
        <v>0</v>
      </c>
      <c r="F30" s="1716">
        <f t="shared" ref="F30:F31" si="26">SUM(H30+J30+L30+N30+P30+R30+T30+V30+X30+Z30+AB30+AD30+AF30+AH30+AJ30+AL30+AN30)</f>
        <v>0</v>
      </c>
      <c r="G30" s="410">
        <f t="shared" ref="G30:G31" si="27">SUM(I30+K30+M30+O30+Q30+S30+U30+W30+Y30+AA30+AC30+AE30+AG30+AI30+AK30+AM30+AO30)</f>
        <v>0</v>
      </c>
      <c r="H30" s="1424"/>
      <c r="I30" s="1436"/>
      <c r="J30" s="1424"/>
      <c r="K30" s="1676"/>
      <c r="L30" s="1424"/>
      <c r="M30" s="1676"/>
      <c r="N30" s="1424"/>
      <c r="O30" s="1676"/>
      <c r="P30" s="1424"/>
      <c r="Q30" s="1436"/>
      <c r="R30" s="1424"/>
      <c r="S30" s="1436"/>
      <c r="T30" s="1653"/>
      <c r="U30" s="1676"/>
      <c r="V30" s="1424"/>
      <c r="W30" s="1676"/>
      <c r="X30" s="1424"/>
      <c r="Y30" s="1676"/>
      <c r="Z30" s="1424"/>
      <c r="AA30" s="1436"/>
      <c r="AB30" s="1424"/>
      <c r="AC30" s="1436"/>
      <c r="AD30" s="1424"/>
      <c r="AE30" s="1676"/>
      <c r="AF30" s="1424"/>
      <c r="AG30" s="1436"/>
      <c r="AH30" s="1424"/>
      <c r="AI30" s="1436"/>
      <c r="AJ30" s="1424"/>
      <c r="AK30" s="1676"/>
      <c r="AL30" s="1424"/>
      <c r="AM30" s="1676"/>
      <c r="AN30" s="1653"/>
      <c r="AO30" s="1428"/>
      <c r="AP30" s="1707"/>
      <c r="AQ30" s="1426"/>
      <c r="AR30" s="1426"/>
      <c r="AS30" s="1426"/>
      <c r="AT30" s="1426"/>
      <c r="AU30" s="1436"/>
      <c r="AV30" t="str">
        <f t="shared" ref="AV30:AV31" si="28">CA30&amp;CB30&amp;CC30&amp;CD30&amp;CE30&amp;CF30</f>
        <v/>
      </c>
      <c r="CA30" s="1708" t="str">
        <f t="shared" ref="CA30:CA31" si="29">IF(AND($E30&gt;0,AP30="")," *No olvide digitar la variable Pueblos originarios. Digite Cero si no tiene.",IF(AP30&gt;E30," *La variable Pueblos originarios No puede ser mayor al Total Ambos Sexos.",""))</f>
        <v/>
      </c>
      <c r="CB30" s="1708" t="str">
        <f t="shared" ref="CB30:CB31" si="30">IF(AND($E30&gt;0,AQ30="")," *No olvide digitar la variable Migrantes. Digite Cero si no tiene.",IF(AQ30&gt;$E30," *La variable Migrantes No puede ser mayor al Total Ambos Sexos.",""))</f>
        <v/>
      </c>
      <c r="CC30" s="1708" t="str">
        <f t="shared" ref="CC30:CC31" si="31">IF(AND($E30&gt;0,AR30="")," *No olvide digitar la variable SENAME/ Servicio Nacional de Reinserción social Juvenil. Digite Cero si no tiene.",IF(AR30&gt;$E30," *La variable SENAME/ Servicio Nacional de Reinserción social Juvenil No puede ser mayor al Total Ambos Sexos.",""))</f>
        <v/>
      </c>
      <c r="CD30" s="1708" t="str">
        <f t="shared" ref="CD30:CD31" si="32">IF(AND($E30&gt;0,AS30="")," *No olvide digitar la variable Servicio Nacional Protección Especializada a la Niñez y Adolescencia. Digite Cero si no tiene.",IF(AS30&gt;$E30," *La variable Servicio Nacional Protección Especializada a la Niñez y Adolescencia, No puede ser mayor al Total Ambos Sexos.",""))</f>
        <v/>
      </c>
      <c r="CE30" s="1708" t="str">
        <f t="shared" ref="CE30:CE31" si="33">IF(AND($E30&gt;0,AT30="")," *No olvide digitar la variable Personas con sospecha de demencia. Digite Cero si no tiene.",IF(AT30&gt;$E30," *La variable Personas con sospecha de demencia No puede ser mayor al Total Ambos Sexos.",""))</f>
        <v/>
      </c>
      <c r="CF30" s="1708" t="str">
        <f t="shared" ref="CF30:CF31" si="34">IF(AND($E30&gt;0,AU30="")," *No olvide digitar la variable Personas con diagnóstico de demencia. Digite Cero si no tiene.",IF(AU30&gt;$E30," *La variable Personas con diagnóstico de demencia No puede ser mayor al Total Ambos Sexos.",""))</f>
        <v/>
      </c>
      <c r="CK30" s="419">
        <f t="shared" ref="CK30:CK31" si="35">IF(AND(E30&gt;0,AP30=""),1,IF(AP30&gt;E30,1,0))</f>
        <v>0</v>
      </c>
      <c r="CL30" s="419">
        <f t="shared" ref="CL30:CL31" si="36">IF(AND(E30&gt;0,AQ30=""),1,IF(AQ30&gt;E30,1,0))</f>
        <v>0</v>
      </c>
      <c r="CM30" s="419">
        <f t="shared" ref="CM30:CM31" si="37">IF(AND(E30&gt;0,AR30=""),1,IF(AR30&gt;E30,1,0))</f>
        <v>0</v>
      </c>
      <c r="CN30" s="419">
        <f t="shared" ref="CN30:CN31" si="38">IF(AND(E30&gt;0,AS30=""),1,IF(AS30&gt;E30,1,0))</f>
        <v>0</v>
      </c>
      <c r="CO30" s="419">
        <f t="shared" ref="CO30:CO31" si="39">IF(AND(E30&gt;0,AT30=""),1,IF(AT30&gt;E30,1,0))</f>
        <v>0</v>
      </c>
      <c r="CP30" s="419">
        <f t="shared" ref="CP30:CP31" si="40">IF(AND(E30&gt;0,AU30=""),1,IF(AU30&gt;E30,1,0))</f>
        <v>0</v>
      </c>
    </row>
    <row r="31" spans="1:97">
      <c r="A31" s="2153" t="s">
        <v>1085</v>
      </c>
      <c r="B31" s="2154">
        <f t="shared" si="24"/>
        <v>0</v>
      </c>
      <c r="C31" s="1467"/>
      <c r="D31" s="1461"/>
      <c r="E31" s="430">
        <f t="shared" si="25"/>
        <v>0</v>
      </c>
      <c r="F31" s="1713">
        <f t="shared" si="26"/>
        <v>0</v>
      </c>
      <c r="G31" s="431">
        <f t="shared" si="27"/>
        <v>0</v>
      </c>
      <c r="H31" s="1455"/>
      <c r="I31" s="1467"/>
      <c r="J31" s="1455"/>
      <c r="K31" s="1684"/>
      <c r="L31" s="1455"/>
      <c r="M31" s="1684"/>
      <c r="N31" s="1455"/>
      <c r="O31" s="1684"/>
      <c r="P31" s="1455"/>
      <c r="Q31" s="1467"/>
      <c r="R31" s="1455"/>
      <c r="S31" s="1467"/>
      <c r="T31" s="1664"/>
      <c r="U31" s="1684"/>
      <c r="V31" s="1455"/>
      <c r="W31" s="1684"/>
      <c r="X31" s="1455"/>
      <c r="Y31" s="1684"/>
      <c r="Z31" s="1455"/>
      <c r="AA31" s="1467"/>
      <c r="AB31" s="1455"/>
      <c r="AC31" s="1467"/>
      <c r="AD31" s="1455"/>
      <c r="AE31" s="1684"/>
      <c r="AF31" s="1455"/>
      <c r="AG31" s="1467"/>
      <c r="AH31" s="1455"/>
      <c r="AI31" s="1467"/>
      <c r="AJ31" s="1455"/>
      <c r="AK31" s="1684"/>
      <c r="AL31" s="1455"/>
      <c r="AM31" s="1684"/>
      <c r="AN31" s="1664"/>
      <c r="AO31" s="1459"/>
      <c r="AP31" s="1714"/>
      <c r="AQ31" s="1457"/>
      <c r="AR31" s="1457"/>
      <c r="AS31" s="1457"/>
      <c r="AT31" s="1457"/>
      <c r="AU31" s="1467"/>
      <c r="AV31" t="str">
        <f t="shared" si="28"/>
        <v/>
      </c>
      <c r="CA31" s="1708" t="str">
        <f t="shared" si="29"/>
        <v/>
      </c>
      <c r="CB31" s="1708" t="str">
        <f t="shared" si="30"/>
        <v/>
      </c>
      <c r="CC31" s="1708" t="str">
        <f t="shared" si="31"/>
        <v/>
      </c>
      <c r="CD31" s="1708" t="str">
        <f t="shared" si="32"/>
        <v/>
      </c>
      <c r="CE31" s="1708" t="str">
        <f t="shared" si="33"/>
        <v/>
      </c>
      <c r="CF31" s="1708" t="str">
        <f t="shared" si="34"/>
        <v/>
      </c>
      <c r="CK31" s="419">
        <f t="shared" si="35"/>
        <v>0</v>
      </c>
      <c r="CL31" s="419">
        <f t="shared" si="36"/>
        <v>0</v>
      </c>
      <c r="CM31" s="419">
        <f t="shared" si="37"/>
        <v>0</v>
      </c>
      <c r="CN31" s="419">
        <f t="shared" si="38"/>
        <v>0</v>
      </c>
      <c r="CO31" s="419">
        <f t="shared" si="39"/>
        <v>0</v>
      </c>
      <c r="CP31" s="419">
        <f t="shared" si="40"/>
        <v>0</v>
      </c>
    </row>
    <row r="32" spans="1:97" s="1470" customFormat="1" ht="15" customHeight="1">
      <c r="A32" s="2155" t="s">
        <v>91</v>
      </c>
      <c r="B32" s="406">
        <f t="shared" ref="B32:H32" si="41">SUM(B30:B31)</f>
        <v>0</v>
      </c>
      <c r="C32" s="392">
        <f t="shared" si="41"/>
        <v>0</v>
      </c>
      <c r="D32" s="406">
        <f t="shared" si="41"/>
        <v>0</v>
      </c>
      <c r="E32" s="402">
        <f t="shared" si="41"/>
        <v>0</v>
      </c>
      <c r="F32" s="402">
        <f t="shared" si="41"/>
        <v>0</v>
      </c>
      <c r="G32" s="402">
        <f t="shared" si="41"/>
        <v>0</v>
      </c>
      <c r="H32" s="401">
        <f t="shared" si="41"/>
        <v>0</v>
      </c>
      <c r="I32" s="402">
        <f t="shared" ref="I32:AU32" si="42">SUM(I30:I31)</f>
        <v>0</v>
      </c>
      <c r="J32" s="401">
        <f t="shared" si="42"/>
        <v>0</v>
      </c>
      <c r="K32" s="402">
        <f t="shared" si="42"/>
        <v>0</v>
      </c>
      <c r="L32" s="401">
        <f t="shared" si="42"/>
        <v>0</v>
      </c>
      <c r="M32" s="402">
        <f t="shared" si="42"/>
        <v>0</v>
      </c>
      <c r="N32" s="401">
        <f t="shared" si="42"/>
        <v>0</v>
      </c>
      <c r="O32" s="402">
        <f t="shared" si="42"/>
        <v>0</v>
      </c>
      <c r="P32" s="401">
        <f t="shared" si="42"/>
        <v>0</v>
      </c>
      <c r="Q32" s="402">
        <f t="shared" si="42"/>
        <v>0</v>
      </c>
      <c r="R32" s="401">
        <f t="shared" si="42"/>
        <v>0</v>
      </c>
      <c r="S32" s="402">
        <f t="shared" si="42"/>
        <v>0</v>
      </c>
      <c r="T32" s="401">
        <f t="shared" si="42"/>
        <v>0</v>
      </c>
      <c r="U32" s="402">
        <f t="shared" si="42"/>
        <v>0</v>
      </c>
      <c r="V32" s="401">
        <f t="shared" si="42"/>
        <v>0</v>
      </c>
      <c r="W32" s="402">
        <f t="shared" si="42"/>
        <v>0</v>
      </c>
      <c r="X32" s="401">
        <f t="shared" si="42"/>
        <v>0</v>
      </c>
      <c r="Y32" s="402">
        <f t="shared" si="42"/>
        <v>0</v>
      </c>
      <c r="Z32" s="401">
        <f t="shared" si="42"/>
        <v>0</v>
      </c>
      <c r="AA32" s="402">
        <f t="shared" si="42"/>
        <v>0</v>
      </c>
      <c r="AB32" s="401">
        <f t="shared" si="42"/>
        <v>0</v>
      </c>
      <c r="AC32" s="402">
        <f t="shared" si="42"/>
        <v>0</v>
      </c>
      <c r="AD32" s="401">
        <f t="shared" si="42"/>
        <v>0</v>
      </c>
      <c r="AE32" s="402">
        <f t="shared" si="42"/>
        <v>0</v>
      </c>
      <c r="AF32" s="401">
        <f t="shared" si="42"/>
        <v>0</v>
      </c>
      <c r="AG32" s="402">
        <f t="shared" si="42"/>
        <v>0</v>
      </c>
      <c r="AH32" s="401">
        <f t="shared" si="42"/>
        <v>0</v>
      </c>
      <c r="AI32" s="402">
        <f t="shared" si="42"/>
        <v>0</v>
      </c>
      <c r="AJ32" s="401">
        <f t="shared" si="42"/>
        <v>0</v>
      </c>
      <c r="AK32" s="402">
        <f t="shared" si="42"/>
        <v>0</v>
      </c>
      <c r="AL32" s="401">
        <f t="shared" si="42"/>
        <v>0</v>
      </c>
      <c r="AM32" s="402">
        <f t="shared" si="42"/>
        <v>0</v>
      </c>
      <c r="AN32" s="401">
        <f t="shared" si="42"/>
        <v>0</v>
      </c>
      <c r="AO32" s="1556">
        <f t="shared" si="42"/>
        <v>0</v>
      </c>
      <c r="AP32" s="2060">
        <f t="shared" si="42"/>
        <v>0</v>
      </c>
      <c r="AQ32" s="1501">
        <f t="shared" si="42"/>
        <v>0</v>
      </c>
      <c r="AR32" s="1501">
        <f t="shared" si="42"/>
        <v>0</v>
      </c>
      <c r="AS32" s="1501">
        <f t="shared" si="42"/>
        <v>0</v>
      </c>
      <c r="AT32" s="1501">
        <f t="shared" si="42"/>
        <v>0</v>
      </c>
      <c r="AU32" s="392">
        <f t="shared" si="42"/>
        <v>0</v>
      </c>
    </row>
    <row r="33" spans="1:42" s="385" customFormat="1" ht="18" customHeight="1">
      <c r="A33" s="1468" t="s">
        <v>1086</v>
      </c>
      <c r="B33" s="1468"/>
      <c r="C33" s="2101"/>
      <c r="D33" s="1468"/>
      <c r="E33" s="1468"/>
      <c r="F33" s="1468"/>
      <c r="G33" s="1468"/>
      <c r="H33" s="1468"/>
      <c r="I33" s="1468"/>
      <c r="J33" s="1468"/>
      <c r="K33" s="1468"/>
      <c r="L33" s="1468"/>
      <c r="M33" s="1468"/>
    </row>
    <row r="34" spans="1:42" ht="24" customHeight="1">
      <c r="A34" s="5718" t="s">
        <v>236</v>
      </c>
      <c r="B34" s="5718" t="s">
        <v>1087</v>
      </c>
      <c r="C34" s="5710" t="s">
        <v>1088</v>
      </c>
      <c r="D34" s="5712"/>
      <c r="E34" s="5710" t="s">
        <v>1079</v>
      </c>
      <c r="F34" s="6106"/>
      <c r="G34" s="5712"/>
      <c r="H34" s="6342" t="s">
        <v>1089</v>
      </c>
      <c r="I34" s="6343"/>
      <c r="J34" s="6343"/>
      <c r="K34" s="6343"/>
      <c r="L34" s="6343"/>
      <c r="M34" s="6344"/>
    </row>
    <row r="35" spans="1:42" ht="42">
      <c r="A35" s="5719"/>
      <c r="B35" s="5719"/>
      <c r="C35" s="1395" t="s">
        <v>1082</v>
      </c>
      <c r="D35" s="1402" t="s">
        <v>1090</v>
      </c>
      <c r="E35" s="1395" t="s">
        <v>93</v>
      </c>
      <c r="F35" s="1646" t="s">
        <v>72</v>
      </c>
      <c r="G35" s="2156" t="s">
        <v>73</v>
      </c>
      <c r="H35" s="1497" t="s">
        <v>1091</v>
      </c>
      <c r="I35" s="1498" t="s">
        <v>1092</v>
      </c>
      <c r="J35" s="1498" t="s">
        <v>1093</v>
      </c>
      <c r="K35" s="1498" t="s">
        <v>1094</v>
      </c>
      <c r="L35" s="1498" t="s">
        <v>1095</v>
      </c>
      <c r="M35" s="1594" t="s">
        <v>1096</v>
      </c>
    </row>
    <row r="36" spans="1:42" ht="15" customHeight="1">
      <c r="A36" s="457" t="s">
        <v>1084</v>
      </c>
      <c r="B36" s="2152">
        <f t="shared" ref="B36:B37" si="43">SUM(C36:D36)</f>
        <v>0</v>
      </c>
      <c r="C36" s="1424"/>
      <c r="D36" s="1436"/>
      <c r="E36" s="447">
        <f t="shared" ref="E36:E37" si="44">SUM(F36:G36)</f>
        <v>0</v>
      </c>
      <c r="F36" s="1425"/>
      <c r="G36" s="1436"/>
      <c r="H36" s="1424"/>
      <c r="I36" s="1426"/>
      <c r="J36" s="1426"/>
      <c r="K36" s="1426"/>
      <c r="L36" s="1426"/>
      <c r="M36" s="1676"/>
    </row>
    <row r="37" spans="1:42" ht="15" customHeight="1">
      <c r="A37" s="458" t="s">
        <v>1085</v>
      </c>
      <c r="B37" s="2047">
        <f t="shared" si="43"/>
        <v>0</v>
      </c>
      <c r="C37" s="1528"/>
      <c r="D37" s="1534"/>
      <c r="E37" s="1658">
        <f t="shared" si="44"/>
        <v>0</v>
      </c>
      <c r="F37" s="1552"/>
      <c r="G37" s="1534"/>
      <c r="H37" s="1528"/>
      <c r="I37" s="1529"/>
      <c r="J37" s="1529"/>
      <c r="K37" s="1529"/>
      <c r="L37" s="1529"/>
      <c r="M37" s="1801"/>
    </row>
    <row r="38" spans="1:42" ht="15" customHeight="1">
      <c r="A38" s="2155" t="s">
        <v>91</v>
      </c>
      <c r="B38" s="406">
        <f t="shared" ref="B38:M38" si="45">SUM(B36:B37)</f>
        <v>0</v>
      </c>
      <c r="C38" s="2157">
        <f t="shared" si="45"/>
        <v>0</v>
      </c>
      <c r="D38" s="2158">
        <f t="shared" si="45"/>
        <v>0</v>
      </c>
      <c r="E38" s="2157">
        <f t="shared" si="45"/>
        <v>0</v>
      </c>
      <c r="F38" s="2159">
        <f t="shared" si="45"/>
        <v>0</v>
      </c>
      <c r="G38" s="2159">
        <f t="shared" si="45"/>
        <v>0</v>
      </c>
      <c r="H38" s="2157">
        <f t="shared" si="45"/>
        <v>0</v>
      </c>
      <c r="I38" s="2160">
        <f t="shared" si="45"/>
        <v>0</v>
      </c>
      <c r="J38" s="2160">
        <f t="shared" si="45"/>
        <v>0</v>
      </c>
      <c r="K38" s="2160">
        <f t="shared" si="45"/>
        <v>0</v>
      </c>
      <c r="L38" s="2160">
        <f t="shared" si="45"/>
        <v>0</v>
      </c>
      <c r="M38" s="2161">
        <f t="shared" si="45"/>
        <v>0</v>
      </c>
    </row>
    <row r="39" spans="1:42" s="385" customFormat="1" ht="18" customHeight="1">
      <c r="A39" s="2162" t="s">
        <v>1097</v>
      </c>
      <c r="B39" s="2102"/>
      <c r="C39" s="2102"/>
    </row>
    <row r="40" spans="1:42">
      <c r="A40" s="2104" t="s">
        <v>236</v>
      </c>
      <c r="B40" s="387" t="s">
        <v>41</v>
      </c>
      <c r="C40" s="387" t="s">
        <v>475</v>
      </c>
    </row>
    <row r="41" spans="1:42">
      <c r="A41" s="6127" t="s">
        <v>1098</v>
      </c>
      <c r="B41" s="2136" t="s">
        <v>1075</v>
      </c>
      <c r="C41" s="1411"/>
    </row>
    <row r="42" spans="1:42">
      <c r="A42" s="6129"/>
      <c r="B42" s="1878" t="s">
        <v>1065</v>
      </c>
      <c r="C42" s="1446"/>
    </row>
    <row r="43" spans="1:42">
      <c r="A43" s="6127" t="s">
        <v>1099</v>
      </c>
      <c r="B43" s="2136" t="s">
        <v>1075</v>
      </c>
      <c r="C43" s="1411"/>
    </row>
    <row r="44" spans="1:42">
      <c r="A44" s="6129"/>
      <c r="B44" s="453" t="s">
        <v>1065</v>
      </c>
      <c r="C44" s="1461"/>
    </row>
    <row r="45" spans="1:42" s="385" customFormat="1" ht="18" customHeight="1">
      <c r="A45" s="1468" t="s">
        <v>1100</v>
      </c>
      <c r="B45" s="2163"/>
      <c r="C45" s="2163"/>
      <c r="D45" s="2164"/>
      <c r="E45" s="2164"/>
      <c r="F45" s="2164"/>
      <c r="G45" s="2164"/>
      <c r="H45" s="2164"/>
      <c r="I45" s="2164"/>
      <c r="J45" s="2164"/>
      <c r="K45" s="2164"/>
      <c r="L45" s="2165"/>
      <c r="M45" s="2166"/>
      <c r="N45" s="2167"/>
      <c r="O45" s="2168"/>
      <c r="P45" s="2168"/>
      <c r="Q45" s="2168"/>
      <c r="R45" s="2168"/>
      <c r="S45" s="2168"/>
      <c r="T45" s="2168"/>
      <c r="U45" s="2168"/>
      <c r="V45" s="2169"/>
      <c r="W45" s="2168"/>
      <c r="X45" s="2168"/>
      <c r="Y45" s="2168"/>
      <c r="Z45" s="2168"/>
      <c r="AA45" s="2168"/>
      <c r="AB45" s="2168"/>
      <c r="AC45" s="2168"/>
      <c r="AD45" s="2168"/>
      <c r="AE45" s="2168"/>
      <c r="AF45" s="2168"/>
      <c r="AG45" s="2168"/>
      <c r="AH45" s="2168"/>
      <c r="AI45" s="2168"/>
      <c r="AJ45" s="2168"/>
      <c r="AK45" s="2168"/>
      <c r="AL45" s="2168"/>
      <c r="AM45" s="2168"/>
      <c r="AN45" s="2170"/>
      <c r="AO45" s="2171"/>
      <c r="AP45" s="2171"/>
    </row>
    <row r="46" spans="1:42" ht="15" customHeight="1">
      <c r="A46" s="6332" t="s">
        <v>296</v>
      </c>
      <c r="B46" s="6333"/>
      <c r="C46" s="6292" t="s">
        <v>475</v>
      </c>
      <c r="D46" s="6338"/>
      <c r="E46" s="6290"/>
      <c r="F46" s="5710" t="s">
        <v>115</v>
      </c>
      <c r="G46" s="6106"/>
      <c r="H46" s="6106"/>
      <c r="I46" s="6106"/>
      <c r="J46" s="6106"/>
      <c r="K46" s="6106"/>
      <c r="L46" s="6106"/>
      <c r="M46" s="6106"/>
      <c r="N46" s="6106"/>
      <c r="O46" s="6106"/>
      <c r="P46" s="6106"/>
      <c r="Q46" s="6106"/>
      <c r="R46" s="6106"/>
      <c r="S46" s="6106"/>
      <c r="T46" s="6106"/>
      <c r="U46" s="6106"/>
      <c r="V46" s="6106"/>
      <c r="W46" s="6106"/>
      <c r="X46" s="6106"/>
      <c r="Y46" s="6106"/>
      <c r="Z46" s="6106"/>
      <c r="AA46" s="6106"/>
      <c r="AB46" s="6106"/>
      <c r="AC46" s="6106"/>
      <c r="AD46" s="6106"/>
      <c r="AE46" s="6106"/>
      <c r="AF46" s="6106"/>
      <c r="AG46" s="6106"/>
      <c r="AH46" s="6106"/>
      <c r="AI46" s="6106"/>
      <c r="AJ46" s="6106"/>
      <c r="AK46" s="5716"/>
      <c r="AL46" s="6203" t="s">
        <v>625</v>
      </c>
      <c r="AM46" s="6135" t="s">
        <v>50</v>
      </c>
      <c r="AN46" s="6119" t="s">
        <v>51</v>
      </c>
    </row>
    <row r="47" spans="1:42">
      <c r="A47" s="6334"/>
      <c r="B47" s="6335"/>
      <c r="C47" s="6293"/>
      <c r="D47" s="6339"/>
      <c r="E47" s="6291"/>
      <c r="F47" s="5710" t="s">
        <v>347</v>
      </c>
      <c r="G47" s="5712"/>
      <c r="H47" s="5710" t="s">
        <v>108</v>
      </c>
      <c r="I47" s="5712"/>
      <c r="J47" s="5710" t="s">
        <v>58</v>
      </c>
      <c r="K47" s="5712"/>
      <c r="L47" s="5710" t="s">
        <v>59</v>
      </c>
      <c r="M47" s="5712"/>
      <c r="N47" s="5707" t="s">
        <v>60</v>
      </c>
      <c r="O47" s="5709"/>
      <c r="P47" s="5707" t="s">
        <v>61</v>
      </c>
      <c r="Q47" s="5709"/>
      <c r="R47" s="5707" t="s">
        <v>62</v>
      </c>
      <c r="S47" s="5709"/>
      <c r="T47" s="5707" t="s">
        <v>63</v>
      </c>
      <c r="U47" s="5709"/>
      <c r="V47" s="5707" t="s">
        <v>64</v>
      </c>
      <c r="W47" s="5709"/>
      <c r="X47" s="5707" t="s">
        <v>65</v>
      </c>
      <c r="Y47" s="5709"/>
      <c r="Z47" s="5707" t="s">
        <v>66</v>
      </c>
      <c r="AA47" s="5709"/>
      <c r="AB47" s="5707" t="s">
        <v>67</v>
      </c>
      <c r="AC47" s="5709"/>
      <c r="AD47" s="5707" t="s">
        <v>68</v>
      </c>
      <c r="AE47" s="5709"/>
      <c r="AF47" s="5707" t="s">
        <v>69</v>
      </c>
      <c r="AG47" s="5709"/>
      <c r="AH47" s="5707" t="s">
        <v>70</v>
      </c>
      <c r="AI47" s="5709"/>
      <c r="AJ47" s="5707" t="s">
        <v>71</v>
      </c>
      <c r="AK47" s="6147"/>
      <c r="AL47" s="6268"/>
      <c r="AM47" s="6302"/>
      <c r="AN47" s="6120"/>
    </row>
    <row r="48" spans="1:42">
      <c r="A48" s="6336"/>
      <c r="B48" s="6337"/>
      <c r="C48" s="1919" t="s">
        <v>93</v>
      </c>
      <c r="D48" s="2173" t="s">
        <v>72</v>
      </c>
      <c r="E48" s="2172" t="s">
        <v>73</v>
      </c>
      <c r="F48" s="1395" t="s">
        <v>72</v>
      </c>
      <c r="G48" s="393" t="s">
        <v>73</v>
      </c>
      <c r="H48" s="1395" t="s">
        <v>72</v>
      </c>
      <c r="I48" s="393" t="s">
        <v>73</v>
      </c>
      <c r="J48" s="1395" t="s">
        <v>72</v>
      </c>
      <c r="K48" s="393" t="s">
        <v>73</v>
      </c>
      <c r="L48" s="1395" t="s">
        <v>72</v>
      </c>
      <c r="M48" s="393" t="s">
        <v>73</v>
      </c>
      <c r="N48" s="1395" t="s">
        <v>72</v>
      </c>
      <c r="O48" s="393" t="s">
        <v>73</v>
      </c>
      <c r="P48" s="1395" t="s">
        <v>72</v>
      </c>
      <c r="Q48" s="393" t="s">
        <v>73</v>
      </c>
      <c r="R48" s="1395" t="s">
        <v>72</v>
      </c>
      <c r="S48" s="393" t="s">
        <v>73</v>
      </c>
      <c r="T48" s="1395" t="s">
        <v>72</v>
      </c>
      <c r="U48" s="393" t="s">
        <v>73</v>
      </c>
      <c r="V48" s="1395" t="s">
        <v>72</v>
      </c>
      <c r="W48" s="393" t="s">
        <v>73</v>
      </c>
      <c r="X48" s="1395" t="s">
        <v>72</v>
      </c>
      <c r="Y48" s="393" t="s">
        <v>73</v>
      </c>
      <c r="Z48" s="1395" t="s">
        <v>72</v>
      </c>
      <c r="AA48" s="393" t="s">
        <v>73</v>
      </c>
      <c r="AB48" s="1395" t="s">
        <v>72</v>
      </c>
      <c r="AC48" s="393" t="s">
        <v>73</v>
      </c>
      <c r="AD48" s="1395" t="s">
        <v>72</v>
      </c>
      <c r="AE48" s="393" t="s">
        <v>73</v>
      </c>
      <c r="AF48" s="1395" t="s">
        <v>72</v>
      </c>
      <c r="AG48" s="393" t="s">
        <v>73</v>
      </c>
      <c r="AH48" s="1395" t="s">
        <v>72</v>
      </c>
      <c r="AI48" s="393" t="s">
        <v>73</v>
      </c>
      <c r="AJ48" s="1396" t="s">
        <v>72</v>
      </c>
      <c r="AK48" s="394" t="s">
        <v>73</v>
      </c>
      <c r="AL48" s="6204"/>
      <c r="AM48" s="6136"/>
      <c r="AN48" s="6116"/>
    </row>
    <row r="49" spans="1:91">
      <c r="A49" s="2174" t="s">
        <v>943</v>
      </c>
      <c r="B49" s="2174" t="s">
        <v>1101</v>
      </c>
      <c r="C49" s="1988">
        <f t="shared" ref="C49:C76" si="46">SUM(D49+E49)</f>
        <v>0</v>
      </c>
      <c r="D49" s="2109">
        <f t="shared" ref="D49:E60" si="47">SUM(F49+H49+J49+L49+N49+P49+R49+T49+V49+X49+Z49+AB49+AD49+AF49+AH49+AJ49)</f>
        <v>0</v>
      </c>
      <c r="E49" s="1736">
        <f t="shared" ref="E49:E50" si="48">SUM(G49+I49+K49+M49+O49+Q49+S49+U49+W49+Y49+AA49+AC49+AE49+AG49+AI49+AK49)</f>
        <v>0</v>
      </c>
      <c r="F49" s="1424"/>
      <c r="G49" s="1425"/>
      <c r="H49" s="1424"/>
      <c r="I49" s="1425"/>
      <c r="J49" s="1424"/>
      <c r="K49" s="1676"/>
      <c r="L49" s="1424"/>
      <c r="M49" s="1676"/>
      <c r="N49" s="1653"/>
      <c r="O49" s="1676"/>
      <c r="P49" s="1653"/>
      <c r="Q49" s="1676"/>
      <c r="R49" s="1653"/>
      <c r="S49" s="1676"/>
      <c r="T49" s="1653"/>
      <c r="U49" s="1676"/>
      <c r="V49" s="1653"/>
      <c r="W49" s="1676"/>
      <c r="X49" s="1653"/>
      <c r="Y49" s="1676"/>
      <c r="Z49" s="1653"/>
      <c r="AA49" s="1676"/>
      <c r="AB49" s="1653"/>
      <c r="AC49" s="1676"/>
      <c r="AD49" s="1653"/>
      <c r="AE49" s="1676"/>
      <c r="AF49" s="1653"/>
      <c r="AG49" s="1676"/>
      <c r="AH49" s="1653"/>
      <c r="AI49" s="1676"/>
      <c r="AJ49" s="1652"/>
      <c r="AK49" s="1428"/>
      <c r="AL49" s="2175"/>
      <c r="AM49" s="2176"/>
      <c r="AN49" s="2177"/>
      <c r="AO49" t="str">
        <f t="shared" ref="AO49:AO50" si="49">CA49&amp;CB49&amp;CC49&amp;CD49</f>
        <v/>
      </c>
      <c r="CA49" s="1708" t="str">
        <f t="shared" ref="CA49:CA50" si="50">IF(AND($C49&gt;0,AL49="")," * No olvide digitar la variable Beneficiarios. Digite Cero si no tiene.",IF(AL49&gt;$C49,"  * La variable Beneficiarios No puede ser mayor al Total Ambos Sexos.",""))</f>
        <v/>
      </c>
      <c r="CB49" s="1708" t="str">
        <f t="shared" ref="CB49:CB50" si="51">IF(AND($C49&gt;0,AM49=""),"  * No olvide digitar la variable Pueblos originarios. Digite Cero si no tiene.",IF(AM49&gt;$C49,"  * La variable Pueblos originarios No puede ser mayor al Total Ambos Sexos.",""))</f>
        <v/>
      </c>
      <c r="CC49" s="1708" t="str">
        <f t="shared" ref="CC49:CC50" si="52">IF(AND($C49&gt;0,AN49="")," * No olvide digitar la variable Migrantes. Digite Cero si no tiene.",IF(AN49&gt;$C49,"  * La variable Migrantes No puede ser mayor al Total Ambos Sexos.",""))</f>
        <v/>
      </c>
      <c r="CK49" s="419">
        <f t="shared" ref="CK49:CK76" si="53">IF(AND(C49&gt;0,AL49=""),1,IF(AL49&gt;C49,1,0))</f>
        <v>0</v>
      </c>
      <c r="CL49" s="419">
        <f t="shared" ref="CL49:CL76" si="54">IF(AND(C49&gt;0,AM49=""),1,IF(AM49&gt;C49,1,0))</f>
        <v>0</v>
      </c>
      <c r="CM49" s="419">
        <f t="shared" ref="CM49:CM50" si="55">IF(AND(C49&gt;0,AN49=""),1,IF(AN49&gt;C49,1,0))</f>
        <v>0</v>
      </c>
    </row>
    <row r="50" spans="1:91">
      <c r="A50" s="1926" t="s">
        <v>1102</v>
      </c>
      <c r="B50" s="1926" t="s">
        <v>1101</v>
      </c>
      <c r="C50" s="2144">
        <f t="shared" si="46"/>
        <v>0</v>
      </c>
      <c r="D50" s="2145">
        <f t="shared" si="47"/>
        <v>0</v>
      </c>
      <c r="E50" s="1757">
        <f t="shared" si="48"/>
        <v>0</v>
      </c>
      <c r="F50" s="1528"/>
      <c r="G50" s="1552"/>
      <c r="H50" s="1528"/>
      <c r="I50" s="1552"/>
      <c r="J50" s="1528"/>
      <c r="K50" s="1801"/>
      <c r="L50" s="1528"/>
      <c r="M50" s="1801"/>
      <c r="N50" s="2146"/>
      <c r="O50" s="1801"/>
      <c r="P50" s="2146"/>
      <c r="Q50" s="1801"/>
      <c r="R50" s="2146"/>
      <c r="S50" s="1801"/>
      <c r="T50" s="2146"/>
      <c r="U50" s="1801"/>
      <c r="V50" s="2146"/>
      <c r="W50" s="1801"/>
      <c r="X50" s="2146"/>
      <c r="Y50" s="1801"/>
      <c r="Z50" s="2146"/>
      <c r="AA50" s="1801"/>
      <c r="AB50" s="2146"/>
      <c r="AC50" s="1801"/>
      <c r="AD50" s="2146"/>
      <c r="AE50" s="1801"/>
      <c r="AF50" s="2146"/>
      <c r="AG50" s="1801"/>
      <c r="AH50" s="2146"/>
      <c r="AI50" s="1801"/>
      <c r="AJ50" s="1800"/>
      <c r="AK50" s="1553"/>
      <c r="AL50" s="2178"/>
      <c r="AM50" s="2179"/>
      <c r="AN50" s="2180"/>
      <c r="AO50" t="str">
        <f t="shared" si="49"/>
        <v/>
      </c>
      <c r="CA50" s="1708" t="str">
        <f t="shared" si="50"/>
        <v/>
      </c>
      <c r="CB50" s="1708" t="str">
        <f t="shared" si="51"/>
        <v/>
      </c>
      <c r="CC50" s="1708" t="str">
        <f t="shared" si="52"/>
        <v/>
      </c>
      <c r="CK50" s="419">
        <f t="shared" si="53"/>
        <v>0</v>
      </c>
      <c r="CL50" s="419">
        <f t="shared" si="54"/>
        <v>0</v>
      </c>
      <c r="CM50" s="419">
        <f t="shared" si="55"/>
        <v>0</v>
      </c>
    </row>
    <row r="51" spans="1:91" s="385" customFormat="1" ht="18" customHeight="1">
      <c r="A51" s="6331" t="s">
        <v>1103</v>
      </c>
      <c r="B51" s="6331"/>
      <c r="C51" s="6331"/>
      <c r="D51" s="6331"/>
      <c r="E51" s="6331"/>
      <c r="F51" s="6331"/>
      <c r="G51" s="6331"/>
      <c r="H51" s="6331"/>
      <c r="I51" s="6331"/>
      <c r="J51" s="6331"/>
      <c r="K51" s="6331"/>
      <c r="L51" s="6331"/>
      <c r="M51" s="6331"/>
      <c r="N51" s="2182"/>
      <c r="O51" s="2183"/>
      <c r="P51" s="2183"/>
      <c r="Q51" s="2183"/>
      <c r="R51" s="2183"/>
      <c r="S51" s="2183"/>
      <c r="T51" s="2183"/>
      <c r="U51" s="2183"/>
      <c r="V51" s="2184"/>
      <c r="W51" s="2183"/>
      <c r="X51" s="2183"/>
      <c r="Y51" s="2183"/>
      <c r="Z51" s="2183"/>
      <c r="AA51" s="2183"/>
      <c r="AB51" s="2183"/>
      <c r="AC51" s="2183"/>
      <c r="AD51" s="2183"/>
      <c r="AE51" s="2183"/>
      <c r="AF51" s="2183"/>
      <c r="AG51" s="2183"/>
      <c r="AH51" s="2183"/>
      <c r="AI51" s="2183"/>
      <c r="AJ51" s="2183"/>
      <c r="AK51" s="2183"/>
      <c r="AL51" s="2183"/>
      <c r="AM51" s="2183"/>
      <c r="AN51" s="2183"/>
      <c r="AO51" s="2185"/>
    </row>
    <row r="52" spans="1:91" ht="15" customHeight="1">
      <c r="A52" s="6332" t="s">
        <v>236</v>
      </c>
      <c r="B52" s="6333"/>
      <c r="C52" s="6338" t="s">
        <v>475</v>
      </c>
      <c r="D52" s="6338"/>
      <c r="E52" s="6290"/>
      <c r="F52" s="6326" t="s">
        <v>115</v>
      </c>
      <c r="G52" s="6340"/>
      <c r="H52" s="6340"/>
      <c r="I52" s="6340"/>
      <c r="J52" s="6340"/>
      <c r="K52" s="6340"/>
      <c r="L52" s="6340"/>
      <c r="M52" s="6340"/>
      <c r="N52" s="6340"/>
      <c r="O52" s="6340"/>
      <c r="P52" s="6340"/>
      <c r="Q52" s="6340"/>
      <c r="R52" s="6340"/>
      <c r="S52" s="6340"/>
      <c r="T52" s="6340"/>
      <c r="U52" s="6340"/>
      <c r="V52" s="6340"/>
      <c r="W52" s="6340"/>
      <c r="X52" s="6340"/>
      <c r="Y52" s="6340"/>
      <c r="Z52" s="6340"/>
      <c r="AA52" s="6340"/>
      <c r="AB52" s="6340"/>
      <c r="AC52" s="6340"/>
      <c r="AD52" s="6340"/>
      <c r="AE52" s="6340"/>
      <c r="AF52" s="6340"/>
      <c r="AG52" s="6340"/>
      <c r="AH52" s="6340"/>
      <c r="AI52" s="6340"/>
      <c r="AJ52" s="6340"/>
      <c r="AK52" s="6341"/>
      <c r="AL52" s="6203" t="s">
        <v>50</v>
      </c>
      <c r="AM52" s="6119" t="s">
        <v>51</v>
      </c>
    </row>
    <row r="53" spans="1:91">
      <c r="A53" s="6334"/>
      <c r="B53" s="6335"/>
      <c r="C53" s="6339"/>
      <c r="D53" s="6339"/>
      <c r="E53" s="6291"/>
      <c r="F53" s="5710" t="s">
        <v>347</v>
      </c>
      <c r="G53" s="5712"/>
      <c r="H53" s="5710" t="s">
        <v>108</v>
      </c>
      <c r="I53" s="5712"/>
      <c r="J53" s="5710" t="s">
        <v>58</v>
      </c>
      <c r="K53" s="5712"/>
      <c r="L53" s="5710" t="s">
        <v>59</v>
      </c>
      <c r="M53" s="5712"/>
      <c r="N53" s="5707" t="s">
        <v>60</v>
      </c>
      <c r="O53" s="5709"/>
      <c r="P53" s="5707" t="s">
        <v>61</v>
      </c>
      <c r="Q53" s="5709"/>
      <c r="R53" s="5707" t="s">
        <v>62</v>
      </c>
      <c r="S53" s="5709"/>
      <c r="T53" s="5707" t="s">
        <v>63</v>
      </c>
      <c r="U53" s="5709"/>
      <c r="V53" s="5707" t="s">
        <v>64</v>
      </c>
      <c r="W53" s="5709"/>
      <c r="X53" s="5707" t="s">
        <v>65</v>
      </c>
      <c r="Y53" s="5709"/>
      <c r="Z53" s="5707" t="s">
        <v>66</v>
      </c>
      <c r="AA53" s="5709"/>
      <c r="AB53" s="5707" t="s">
        <v>67</v>
      </c>
      <c r="AC53" s="5709"/>
      <c r="AD53" s="5707" t="s">
        <v>68</v>
      </c>
      <c r="AE53" s="5709"/>
      <c r="AF53" s="5707" t="s">
        <v>69</v>
      </c>
      <c r="AG53" s="5709"/>
      <c r="AH53" s="5707" t="s">
        <v>70</v>
      </c>
      <c r="AI53" s="5709"/>
      <c r="AJ53" s="5707" t="s">
        <v>71</v>
      </c>
      <c r="AK53" s="6147"/>
      <c r="AL53" s="6268"/>
      <c r="AM53" s="6120"/>
    </row>
    <row r="54" spans="1:91">
      <c r="A54" s="6336"/>
      <c r="B54" s="6337"/>
      <c r="C54" s="1921" t="s">
        <v>93</v>
      </c>
      <c r="D54" s="2187" t="s">
        <v>72</v>
      </c>
      <c r="E54" s="2188" t="s">
        <v>73</v>
      </c>
      <c r="F54" s="1471" t="s">
        <v>72</v>
      </c>
      <c r="G54" s="1391" t="s">
        <v>73</v>
      </c>
      <c r="H54" s="1471" t="s">
        <v>72</v>
      </c>
      <c r="I54" s="1391" t="s">
        <v>73</v>
      </c>
      <c r="J54" s="1471" t="s">
        <v>72</v>
      </c>
      <c r="K54" s="1391" t="s">
        <v>73</v>
      </c>
      <c r="L54" s="1471" t="s">
        <v>72</v>
      </c>
      <c r="M54" s="1391" t="s">
        <v>73</v>
      </c>
      <c r="N54" s="1471" t="s">
        <v>72</v>
      </c>
      <c r="O54" s="1391" t="s">
        <v>73</v>
      </c>
      <c r="P54" s="1471" t="s">
        <v>72</v>
      </c>
      <c r="Q54" s="1391" t="s">
        <v>73</v>
      </c>
      <c r="R54" s="1471" t="s">
        <v>72</v>
      </c>
      <c r="S54" s="1391" t="s">
        <v>73</v>
      </c>
      <c r="T54" s="1471" t="s">
        <v>72</v>
      </c>
      <c r="U54" s="1391" t="s">
        <v>73</v>
      </c>
      <c r="V54" s="1471" t="s">
        <v>72</v>
      </c>
      <c r="W54" s="1391" t="s">
        <v>73</v>
      </c>
      <c r="X54" s="1471" t="s">
        <v>72</v>
      </c>
      <c r="Y54" s="1391" t="s">
        <v>73</v>
      </c>
      <c r="Z54" s="1471" t="s">
        <v>72</v>
      </c>
      <c r="AA54" s="1391" t="s">
        <v>73</v>
      </c>
      <c r="AB54" s="1471" t="s">
        <v>72</v>
      </c>
      <c r="AC54" s="1391" t="s">
        <v>73</v>
      </c>
      <c r="AD54" s="1471" t="s">
        <v>72</v>
      </c>
      <c r="AE54" s="1391" t="s">
        <v>73</v>
      </c>
      <c r="AF54" s="1471" t="s">
        <v>72</v>
      </c>
      <c r="AG54" s="1391" t="s">
        <v>73</v>
      </c>
      <c r="AH54" s="1471" t="s">
        <v>72</v>
      </c>
      <c r="AI54" s="1391" t="s">
        <v>73</v>
      </c>
      <c r="AJ54" s="1645" t="s">
        <v>72</v>
      </c>
      <c r="AK54" s="2189" t="s">
        <v>73</v>
      </c>
      <c r="AL54" s="6204"/>
      <c r="AM54" s="6116"/>
    </row>
    <row r="55" spans="1:91">
      <c r="A55" s="6161" t="s">
        <v>1104</v>
      </c>
      <c r="B55" s="2190" t="s">
        <v>78</v>
      </c>
      <c r="C55" s="1988">
        <f t="shared" si="46"/>
        <v>0</v>
      </c>
      <c r="D55" s="2109">
        <f t="shared" si="47"/>
        <v>0</v>
      </c>
      <c r="E55" s="1736">
        <f t="shared" si="47"/>
        <v>0</v>
      </c>
      <c r="F55" s="1424"/>
      <c r="G55" s="1436"/>
      <c r="H55" s="1424"/>
      <c r="I55" s="1676"/>
      <c r="J55" s="1424"/>
      <c r="K55" s="1676"/>
      <c r="L55" s="1424"/>
      <c r="M55" s="1676"/>
      <c r="N55" s="1653"/>
      <c r="O55" s="1676"/>
      <c r="P55" s="1653"/>
      <c r="Q55" s="1676"/>
      <c r="R55" s="1653"/>
      <c r="S55" s="1676"/>
      <c r="T55" s="1653"/>
      <c r="U55" s="1676"/>
      <c r="V55" s="1653"/>
      <c r="W55" s="1676"/>
      <c r="X55" s="1653"/>
      <c r="Y55" s="1676"/>
      <c r="Z55" s="1653"/>
      <c r="AA55" s="1676"/>
      <c r="AB55" s="1653"/>
      <c r="AC55" s="1676"/>
      <c r="AD55" s="1653"/>
      <c r="AE55" s="1676"/>
      <c r="AF55" s="1653"/>
      <c r="AG55" s="1676"/>
      <c r="AH55" s="1653"/>
      <c r="AI55" s="1676"/>
      <c r="AJ55" s="1653"/>
      <c r="AK55" s="1428"/>
      <c r="AL55" s="2175"/>
      <c r="AM55" s="2177"/>
      <c r="AN55" t="str">
        <f t="shared" ref="AN55:AN76" si="56">CA55&amp;CB55&amp;CC55</f>
        <v/>
      </c>
      <c r="CA55" s="1708" t="str">
        <f t="shared" ref="CA55:CA76" si="57">IF(AND($C55&gt;0,AL55="")," * No olvide digitar la variable Pueblos Originarios. Digite cero si no tiene.",IF(AL55&gt;$C55," * La variable Pueblos Originarios no puede ser mayor al Total Ambos Sexos.",""))</f>
        <v/>
      </c>
      <c r="CB55" s="1708" t="str">
        <f t="shared" ref="CB55:CB76" si="58">IF(AND($C55&gt;0,AM55="")," * No olvide digitar la variable Migrantes. Digite cero si no tiene.",IF(AM55&gt;$C55," * La variable Migrantes no puede ser mayor al Total Ambos Sexos.",""))</f>
        <v/>
      </c>
      <c r="CK55" s="419">
        <f t="shared" si="53"/>
        <v>0</v>
      </c>
      <c r="CL55" s="419">
        <f t="shared" si="54"/>
        <v>0</v>
      </c>
    </row>
    <row r="56" spans="1:91">
      <c r="A56" s="6330"/>
      <c r="B56" s="2191" t="s">
        <v>1075</v>
      </c>
      <c r="C56" s="1991">
        <f t="shared" si="46"/>
        <v>0</v>
      </c>
      <c r="D56" s="2115">
        <f t="shared" si="47"/>
        <v>0</v>
      </c>
      <c r="E56" s="1739">
        <f t="shared" si="47"/>
        <v>0</v>
      </c>
      <c r="F56" s="1440"/>
      <c r="G56" s="1452"/>
      <c r="H56" s="1440"/>
      <c r="I56" s="1680"/>
      <c r="J56" s="1440"/>
      <c r="K56" s="1680"/>
      <c r="L56" s="1440"/>
      <c r="M56" s="1680"/>
      <c r="N56" s="1657"/>
      <c r="O56" s="1680"/>
      <c r="P56" s="1657"/>
      <c r="Q56" s="1680"/>
      <c r="R56" s="1657"/>
      <c r="S56" s="1680"/>
      <c r="T56" s="1657"/>
      <c r="U56" s="1680"/>
      <c r="V56" s="1657"/>
      <c r="W56" s="1680"/>
      <c r="X56" s="1657"/>
      <c r="Y56" s="1680"/>
      <c r="Z56" s="1657"/>
      <c r="AA56" s="1680"/>
      <c r="AB56" s="1657"/>
      <c r="AC56" s="1680"/>
      <c r="AD56" s="1657"/>
      <c r="AE56" s="1680"/>
      <c r="AF56" s="1657"/>
      <c r="AG56" s="1680"/>
      <c r="AH56" s="1657"/>
      <c r="AI56" s="1680"/>
      <c r="AJ56" s="1657"/>
      <c r="AK56" s="1444"/>
      <c r="AL56" s="2192"/>
      <c r="AM56" s="2193"/>
      <c r="AN56" t="str">
        <f t="shared" si="56"/>
        <v/>
      </c>
      <c r="CA56" s="1708" t="str">
        <f t="shared" si="57"/>
        <v/>
      </c>
      <c r="CB56" s="1708" t="str">
        <f t="shared" si="58"/>
        <v/>
      </c>
      <c r="CK56" s="419">
        <f t="shared" si="53"/>
        <v>0</v>
      </c>
      <c r="CL56" s="419">
        <f t="shared" si="54"/>
        <v>0</v>
      </c>
    </row>
    <row r="57" spans="1:91">
      <c r="A57" s="6330"/>
      <c r="B57" s="2191" t="s">
        <v>1065</v>
      </c>
      <c r="C57" s="1991">
        <f t="shared" si="46"/>
        <v>0</v>
      </c>
      <c r="D57" s="2115">
        <f t="shared" si="47"/>
        <v>0</v>
      </c>
      <c r="E57" s="1739">
        <f t="shared" si="47"/>
        <v>0</v>
      </c>
      <c r="F57" s="1440"/>
      <c r="G57" s="1452"/>
      <c r="H57" s="1440"/>
      <c r="I57" s="1680"/>
      <c r="J57" s="1440"/>
      <c r="K57" s="1680"/>
      <c r="L57" s="1440"/>
      <c r="M57" s="1680"/>
      <c r="N57" s="1657"/>
      <c r="O57" s="1680"/>
      <c r="P57" s="1657"/>
      <c r="Q57" s="1680"/>
      <c r="R57" s="1657"/>
      <c r="S57" s="1680"/>
      <c r="T57" s="1657"/>
      <c r="U57" s="1680"/>
      <c r="V57" s="1657"/>
      <c r="W57" s="1680"/>
      <c r="X57" s="1657"/>
      <c r="Y57" s="1680"/>
      <c r="Z57" s="1657"/>
      <c r="AA57" s="1680"/>
      <c r="AB57" s="1657"/>
      <c r="AC57" s="1680"/>
      <c r="AD57" s="1657"/>
      <c r="AE57" s="1680"/>
      <c r="AF57" s="1657"/>
      <c r="AG57" s="1680"/>
      <c r="AH57" s="1657"/>
      <c r="AI57" s="1680"/>
      <c r="AJ57" s="1657"/>
      <c r="AK57" s="1444"/>
      <c r="AL57" s="2192"/>
      <c r="AM57" s="2193"/>
      <c r="AN57" t="str">
        <f t="shared" si="56"/>
        <v/>
      </c>
      <c r="CA57" s="1708" t="str">
        <f t="shared" si="57"/>
        <v/>
      </c>
      <c r="CB57" s="1708" t="str">
        <f t="shared" si="58"/>
        <v/>
      </c>
      <c r="CK57" s="419">
        <f t="shared" si="53"/>
        <v>0</v>
      </c>
      <c r="CL57" s="419">
        <f t="shared" si="54"/>
        <v>0</v>
      </c>
    </row>
    <row r="58" spans="1:91">
      <c r="A58" s="6330"/>
      <c r="B58" s="2191" t="s">
        <v>1105</v>
      </c>
      <c r="C58" s="1991">
        <f t="shared" si="46"/>
        <v>0</v>
      </c>
      <c r="D58" s="2115">
        <f t="shared" si="47"/>
        <v>0</v>
      </c>
      <c r="E58" s="1739">
        <f t="shared" si="47"/>
        <v>0</v>
      </c>
      <c r="F58" s="1440"/>
      <c r="G58" s="1452"/>
      <c r="H58" s="1440"/>
      <c r="I58" s="1680"/>
      <c r="J58" s="1440"/>
      <c r="K58" s="1680"/>
      <c r="L58" s="1440"/>
      <c r="M58" s="1680"/>
      <c r="N58" s="1657"/>
      <c r="O58" s="1680"/>
      <c r="P58" s="1657"/>
      <c r="Q58" s="1680"/>
      <c r="R58" s="1657"/>
      <c r="S58" s="1680"/>
      <c r="T58" s="1657"/>
      <c r="U58" s="1680"/>
      <c r="V58" s="1657"/>
      <c r="W58" s="1680"/>
      <c r="X58" s="1657"/>
      <c r="Y58" s="1680"/>
      <c r="Z58" s="1657"/>
      <c r="AA58" s="1680"/>
      <c r="AB58" s="1657"/>
      <c r="AC58" s="1680"/>
      <c r="AD58" s="1657"/>
      <c r="AE58" s="1680"/>
      <c r="AF58" s="1657"/>
      <c r="AG58" s="1680"/>
      <c r="AH58" s="1657"/>
      <c r="AI58" s="1680"/>
      <c r="AJ58" s="1657"/>
      <c r="AK58" s="1444"/>
      <c r="AL58" s="2192"/>
      <c r="AM58" s="2193"/>
      <c r="AN58" t="str">
        <f t="shared" si="56"/>
        <v/>
      </c>
      <c r="CA58" s="1708" t="str">
        <f t="shared" si="57"/>
        <v/>
      </c>
      <c r="CB58" s="1708" t="str">
        <f t="shared" si="58"/>
        <v/>
      </c>
      <c r="CK58" s="419">
        <f t="shared" si="53"/>
        <v>0</v>
      </c>
      <c r="CL58" s="419">
        <f t="shared" si="54"/>
        <v>0</v>
      </c>
    </row>
    <row r="59" spans="1:91">
      <c r="A59" s="6330"/>
      <c r="B59" s="2191" t="s">
        <v>1066</v>
      </c>
      <c r="C59" s="1991">
        <f t="shared" si="46"/>
        <v>0</v>
      </c>
      <c r="D59" s="2115">
        <f t="shared" si="47"/>
        <v>0</v>
      </c>
      <c r="E59" s="1739">
        <f t="shared" si="47"/>
        <v>0</v>
      </c>
      <c r="F59" s="1440"/>
      <c r="G59" s="1452"/>
      <c r="H59" s="1440"/>
      <c r="I59" s="1680"/>
      <c r="J59" s="1440"/>
      <c r="K59" s="1680"/>
      <c r="L59" s="1440"/>
      <c r="M59" s="1680"/>
      <c r="N59" s="1657"/>
      <c r="O59" s="1680"/>
      <c r="P59" s="1657"/>
      <c r="Q59" s="1680"/>
      <c r="R59" s="1657"/>
      <c r="S59" s="1680"/>
      <c r="T59" s="1657"/>
      <c r="U59" s="1680"/>
      <c r="V59" s="1657"/>
      <c r="W59" s="1680"/>
      <c r="X59" s="1657"/>
      <c r="Y59" s="1680"/>
      <c r="Z59" s="1657"/>
      <c r="AA59" s="1680"/>
      <c r="AB59" s="1657"/>
      <c r="AC59" s="1680"/>
      <c r="AD59" s="1657"/>
      <c r="AE59" s="1680"/>
      <c r="AF59" s="1657"/>
      <c r="AG59" s="1680"/>
      <c r="AH59" s="1657"/>
      <c r="AI59" s="1680"/>
      <c r="AJ59" s="1657"/>
      <c r="AK59" s="1444"/>
      <c r="AL59" s="2192"/>
      <c r="AM59" s="2193"/>
      <c r="AN59" t="str">
        <f t="shared" si="56"/>
        <v/>
      </c>
      <c r="CA59" s="1708" t="str">
        <f t="shared" si="57"/>
        <v/>
      </c>
      <c r="CB59" s="1708" t="str">
        <f t="shared" si="58"/>
        <v/>
      </c>
      <c r="CK59" s="419">
        <f t="shared" si="53"/>
        <v>0</v>
      </c>
      <c r="CL59" s="419">
        <f t="shared" si="54"/>
        <v>0</v>
      </c>
    </row>
    <row r="60" spans="1:91">
      <c r="A60" s="6162"/>
      <c r="B60" s="2194" t="s">
        <v>1106</v>
      </c>
      <c r="C60" s="1928">
        <f t="shared" si="46"/>
        <v>0</v>
      </c>
      <c r="D60" s="1929">
        <f t="shared" si="47"/>
        <v>0</v>
      </c>
      <c r="E60" s="1775">
        <f t="shared" si="47"/>
        <v>0</v>
      </c>
      <c r="F60" s="1455"/>
      <c r="G60" s="1467"/>
      <c r="H60" s="1455"/>
      <c r="I60" s="1684"/>
      <c r="J60" s="1455"/>
      <c r="K60" s="1684"/>
      <c r="L60" s="1455"/>
      <c r="M60" s="1684"/>
      <c r="N60" s="1664"/>
      <c r="O60" s="1684"/>
      <c r="P60" s="1664"/>
      <c r="Q60" s="1684"/>
      <c r="R60" s="1664"/>
      <c r="S60" s="1684"/>
      <c r="T60" s="1664"/>
      <c r="U60" s="1684"/>
      <c r="V60" s="1664"/>
      <c r="W60" s="1684"/>
      <c r="X60" s="1664"/>
      <c r="Y60" s="1684"/>
      <c r="Z60" s="1664"/>
      <c r="AA60" s="1684"/>
      <c r="AB60" s="1664"/>
      <c r="AC60" s="1684"/>
      <c r="AD60" s="1664"/>
      <c r="AE60" s="1684"/>
      <c r="AF60" s="1664"/>
      <c r="AG60" s="1684"/>
      <c r="AH60" s="1664"/>
      <c r="AI60" s="1684"/>
      <c r="AJ60" s="1664"/>
      <c r="AK60" s="1459"/>
      <c r="AL60" s="2195"/>
      <c r="AM60" s="2196"/>
      <c r="AN60" t="str">
        <f t="shared" si="56"/>
        <v/>
      </c>
      <c r="CA60" s="1708" t="str">
        <f t="shared" si="57"/>
        <v/>
      </c>
      <c r="CB60" s="1708" t="str">
        <f t="shared" si="58"/>
        <v/>
      </c>
      <c r="CK60" s="419">
        <f t="shared" si="53"/>
        <v>0</v>
      </c>
      <c r="CL60" s="419">
        <f t="shared" si="54"/>
        <v>0</v>
      </c>
    </row>
    <row r="61" spans="1:91">
      <c r="A61" s="6161" t="s">
        <v>1107</v>
      </c>
      <c r="B61" s="2190" t="s">
        <v>1065</v>
      </c>
      <c r="C61" s="1988">
        <f t="shared" si="46"/>
        <v>0</v>
      </c>
      <c r="D61" s="2109">
        <f t="shared" ref="D61:E66" si="59">SUM(H61+J61+L61)</f>
        <v>0</v>
      </c>
      <c r="E61" s="1736">
        <f t="shared" si="59"/>
        <v>0</v>
      </c>
      <c r="F61" s="2197"/>
      <c r="G61" s="2198"/>
      <c r="H61" s="1424"/>
      <c r="I61" s="1676"/>
      <c r="J61" s="1424"/>
      <c r="K61" s="1676"/>
      <c r="L61" s="1424"/>
      <c r="M61" s="1676"/>
      <c r="N61" s="2199"/>
      <c r="O61" s="2200"/>
      <c r="P61" s="2199"/>
      <c r="Q61" s="2200"/>
      <c r="R61" s="2199"/>
      <c r="S61" s="2200"/>
      <c r="T61" s="2199"/>
      <c r="U61" s="2200"/>
      <c r="V61" s="2199"/>
      <c r="W61" s="2200"/>
      <c r="X61" s="2199"/>
      <c r="Y61" s="2200"/>
      <c r="Z61" s="2199"/>
      <c r="AA61" s="2200"/>
      <c r="AB61" s="2199"/>
      <c r="AC61" s="2200"/>
      <c r="AD61" s="2199"/>
      <c r="AE61" s="2200"/>
      <c r="AF61" s="2199"/>
      <c r="AG61" s="2200"/>
      <c r="AH61" s="2197"/>
      <c r="AI61" s="2200"/>
      <c r="AJ61" s="2199"/>
      <c r="AK61" s="2201"/>
      <c r="AL61" s="2175"/>
      <c r="AM61" s="2177"/>
      <c r="AN61" t="str">
        <f t="shared" si="56"/>
        <v/>
      </c>
      <c r="CA61" s="1708" t="str">
        <f t="shared" si="57"/>
        <v/>
      </c>
      <c r="CB61" s="1708" t="str">
        <f t="shared" si="58"/>
        <v/>
      </c>
      <c r="CK61" s="419">
        <f t="shared" si="53"/>
        <v>0</v>
      </c>
      <c r="CL61" s="419">
        <f t="shared" si="54"/>
        <v>0</v>
      </c>
    </row>
    <row r="62" spans="1:91">
      <c r="A62" s="6162"/>
      <c r="B62" s="2191" t="s">
        <v>1066</v>
      </c>
      <c r="C62" s="1928">
        <f t="shared" si="46"/>
        <v>0</v>
      </c>
      <c r="D62" s="1929">
        <f t="shared" si="59"/>
        <v>0</v>
      </c>
      <c r="E62" s="1775">
        <f t="shared" si="59"/>
        <v>0</v>
      </c>
      <c r="F62" s="1765"/>
      <c r="G62" s="1766"/>
      <c r="H62" s="1455"/>
      <c r="I62" s="1684"/>
      <c r="J62" s="1455"/>
      <c r="K62" s="1684"/>
      <c r="L62" s="1455"/>
      <c r="M62" s="1684"/>
      <c r="N62" s="1969"/>
      <c r="O62" s="2202"/>
      <c r="P62" s="1969"/>
      <c r="Q62" s="2202"/>
      <c r="R62" s="1969"/>
      <c r="S62" s="2202"/>
      <c r="T62" s="1969"/>
      <c r="U62" s="2202"/>
      <c r="V62" s="1969"/>
      <c r="W62" s="2202"/>
      <c r="X62" s="1969"/>
      <c r="Y62" s="2202"/>
      <c r="Z62" s="1969"/>
      <c r="AA62" s="2202"/>
      <c r="AB62" s="1969"/>
      <c r="AC62" s="2202"/>
      <c r="AD62" s="1969"/>
      <c r="AE62" s="2202"/>
      <c r="AF62" s="1969"/>
      <c r="AG62" s="2202"/>
      <c r="AH62" s="1765"/>
      <c r="AI62" s="2202"/>
      <c r="AJ62" s="1969"/>
      <c r="AK62" s="2203"/>
      <c r="AL62" s="2195"/>
      <c r="AM62" s="2196"/>
      <c r="AN62" t="str">
        <f t="shared" si="56"/>
        <v/>
      </c>
      <c r="CA62" s="1708" t="str">
        <f t="shared" si="57"/>
        <v/>
      </c>
      <c r="CB62" s="1708" t="str">
        <f t="shared" si="58"/>
        <v/>
      </c>
      <c r="CK62" s="419">
        <f t="shared" si="53"/>
        <v>0</v>
      </c>
      <c r="CL62" s="419">
        <f t="shared" si="54"/>
        <v>0</v>
      </c>
    </row>
    <row r="63" spans="1:91">
      <c r="A63" s="6161" t="s">
        <v>1108</v>
      </c>
      <c r="B63" s="2190" t="s">
        <v>78</v>
      </c>
      <c r="C63" s="1988">
        <f t="shared" si="46"/>
        <v>0</v>
      </c>
      <c r="D63" s="2109">
        <f t="shared" si="59"/>
        <v>0</v>
      </c>
      <c r="E63" s="1736">
        <f t="shared" si="59"/>
        <v>0</v>
      </c>
      <c r="F63" s="2197"/>
      <c r="G63" s="2198"/>
      <c r="H63" s="1424"/>
      <c r="I63" s="1676"/>
      <c r="J63" s="1424"/>
      <c r="K63" s="1676"/>
      <c r="L63" s="1424"/>
      <c r="M63" s="1676"/>
      <c r="N63" s="2199"/>
      <c r="O63" s="2200"/>
      <c r="P63" s="2199"/>
      <c r="Q63" s="2200"/>
      <c r="R63" s="2199"/>
      <c r="S63" s="2200"/>
      <c r="T63" s="2199"/>
      <c r="U63" s="2200"/>
      <c r="V63" s="2199"/>
      <c r="W63" s="2200"/>
      <c r="X63" s="2199"/>
      <c r="Y63" s="2200"/>
      <c r="Z63" s="2199"/>
      <c r="AA63" s="2200"/>
      <c r="AB63" s="2199"/>
      <c r="AC63" s="2200"/>
      <c r="AD63" s="2199"/>
      <c r="AE63" s="2200"/>
      <c r="AF63" s="2199"/>
      <c r="AG63" s="2200"/>
      <c r="AH63" s="2197"/>
      <c r="AI63" s="2200"/>
      <c r="AJ63" s="2199"/>
      <c r="AK63" s="2201"/>
      <c r="AL63" s="2175"/>
      <c r="AM63" s="2177"/>
      <c r="AN63" t="str">
        <f t="shared" si="56"/>
        <v/>
      </c>
      <c r="CA63" s="1708" t="str">
        <f t="shared" si="57"/>
        <v/>
      </c>
      <c r="CB63" s="1708" t="str">
        <f t="shared" si="58"/>
        <v/>
      </c>
      <c r="CK63" s="419">
        <f t="shared" si="53"/>
        <v>0</v>
      </c>
      <c r="CL63" s="419">
        <f t="shared" si="54"/>
        <v>0</v>
      </c>
    </row>
    <row r="64" spans="1:91">
      <c r="A64" s="6330"/>
      <c r="B64" s="2191" t="s">
        <v>1075</v>
      </c>
      <c r="C64" s="1991">
        <f t="shared" si="46"/>
        <v>0</v>
      </c>
      <c r="D64" s="2115">
        <f t="shared" si="59"/>
        <v>0</v>
      </c>
      <c r="E64" s="1739">
        <f t="shared" si="59"/>
        <v>0</v>
      </c>
      <c r="F64" s="1763"/>
      <c r="G64" s="1764"/>
      <c r="H64" s="1440"/>
      <c r="I64" s="1680"/>
      <c r="J64" s="1440"/>
      <c r="K64" s="1680"/>
      <c r="L64" s="1440"/>
      <c r="M64" s="1680"/>
      <c r="N64" s="2204"/>
      <c r="O64" s="2205"/>
      <c r="P64" s="2204"/>
      <c r="Q64" s="2205"/>
      <c r="R64" s="2204"/>
      <c r="S64" s="2205"/>
      <c r="T64" s="2204"/>
      <c r="U64" s="2205"/>
      <c r="V64" s="2204"/>
      <c r="W64" s="2205"/>
      <c r="X64" s="2204"/>
      <c r="Y64" s="2205"/>
      <c r="Z64" s="2204"/>
      <c r="AA64" s="2205"/>
      <c r="AB64" s="2204"/>
      <c r="AC64" s="2205"/>
      <c r="AD64" s="2204"/>
      <c r="AE64" s="2205"/>
      <c r="AF64" s="2204"/>
      <c r="AG64" s="2205"/>
      <c r="AH64" s="1763"/>
      <c r="AI64" s="2205"/>
      <c r="AJ64" s="2204"/>
      <c r="AK64" s="2206"/>
      <c r="AL64" s="2192"/>
      <c r="AM64" s="2193"/>
      <c r="AN64" t="str">
        <f t="shared" si="56"/>
        <v/>
      </c>
      <c r="CA64" s="1708" t="str">
        <f t="shared" si="57"/>
        <v/>
      </c>
      <c r="CB64" s="1708" t="str">
        <f t="shared" si="58"/>
        <v/>
      </c>
      <c r="CK64" s="419">
        <f t="shared" si="53"/>
        <v>0</v>
      </c>
      <c r="CL64" s="419">
        <f t="shared" si="54"/>
        <v>0</v>
      </c>
    </row>
    <row r="65" spans="1:90">
      <c r="A65" s="6330"/>
      <c r="B65" s="2191" t="s">
        <v>1065</v>
      </c>
      <c r="C65" s="1991">
        <f t="shared" si="46"/>
        <v>0</v>
      </c>
      <c r="D65" s="2115">
        <f t="shared" si="59"/>
        <v>0</v>
      </c>
      <c r="E65" s="1739">
        <f t="shared" si="59"/>
        <v>0</v>
      </c>
      <c r="F65" s="1763"/>
      <c r="G65" s="1764"/>
      <c r="H65" s="1440"/>
      <c r="I65" s="1680"/>
      <c r="J65" s="1440"/>
      <c r="K65" s="1680"/>
      <c r="L65" s="1440"/>
      <c r="M65" s="1680"/>
      <c r="N65" s="2204"/>
      <c r="O65" s="2205"/>
      <c r="P65" s="2204"/>
      <c r="Q65" s="2205"/>
      <c r="R65" s="2204"/>
      <c r="S65" s="2205"/>
      <c r="T65" s="2204"/>
      <c r="U65" s="2205"/>
      <c r="V65" s="2204"/>
      <c r="W65" s="2205"/>
      <c r="X65" s="2204"/>
      <c r="Y65" s="2205"/>
      <c r="Z65" s="2204"/>
      <c r="AA65" s="2205"/>
      <c r="AB65" s="2204"/>
      <c r="AC65" s="2205"/>
      <c r="AD65" s="2204"/>
      <c r="AE65" s="2205"/>
      <c r="AF65" s="2204"/>
      <c r="AG65" s="2205"/>
      <c r="AH65" s="1763"/>
      <c r="AI65" s="2205"/>
      <c r="AJ65" s="2204"/>
      <c r="AK65" s="2206"/>
      <c r="AL65" s="2192"/>
      <c r="AM65" s="2193"/>
      <c r="AN65" t="str">
        <f t="shared" si="56"/>
        <v/>
      </c>
      <c r="CA65" s="1708" t="str">
        <f t="shared" si="57"/>
        <v/>
      </c>
      <c r="CB65" s="1708" t="str">
        <f t="shared" si="58"/>
        <v/>
      </c>
      <c r="CK65" s="419">
        <f t="shared" si="53"/>
        <v>0</v>
      </c>
      <c r="CL65" s="419">
        <f t="shared" si="54"/>
        <v>0</v>
      </c>
    </row>
    <row r="66" spans="1:90">
      <c r="A66" s="6162"/>
      <c r="B66" s="2191" t="s">
        <v>1066</v>
      </c>
      <c r="C66" s="1928">
        <f t="shared" si="46"/>
        <v>0</v>
      </c>
      <c r="D66" s="1929">
        <f t="shared" si="59"/>
        <v>0</v>
      </c>
      <c r="E66" s="1775">
        <f t="shared" si="59"/>
        <v>0</v>
      </c>
      <c r="F66" s="1765"/>
      <c r="G66" s="1766"/>
      <c r="H66" s="1455"/>
      <c r="I66" s="1684"/>
      <c r="J66" s="1455"/>
      <c r="K66" s="1684"/>
      <c r="L66" s="1455"/>
      <c r="M66" s="1684"/>
      <c r="N66" s="1969"/>
      <c r="O66" s="2202"/>
      <c r="P66" s="1969"/>
      <c r="Q66" s="2202"/>
      <c r="R66" s="1969"/>
      <c r="S66" s="2202"/>
      <c r="T66" s="1969"/>
      <c r="U66" s="2202"/>
      <c r="V66" s="1969"/>
      <c r="W66" s="2202"/>
      <c r="X66" s="1969"/>
      <c r="Y66" s="2202"/>
      <c r="Z66" s="1969"/>
      <c r="AA66" s="2202"/>
      <c r="AB66" s="1969"/>
      <c r="AC66" s="2202"/>
      <c r="AD66" s="1969"/>
      <c r="AE66" s="2202"/>
      <c r="AF66" s="1969"/>
      <c r="AG66" s="2202"/>
      <c r="AH66" s="1765"/>
      <c r="AI66" s="2202"/>
      <c r="AJ66" s="1969"/>
      <c r="AK66" s="2203"/>
      <c r="AL66" s="2195"/>
      <c r="AM66" s="2196"/>
      <c r="AN66" t="str">
        <f t="shared" si="56"/>
        <v/>
      </c>
      <c r="CA66" s="1708" t="str">
        <f t="shared" si="57"/>
        <v/>
      </c>
      <c r="CB66" s="1708" t="str">
        <f t="shared" si="58"/>
        <v/>
      </c>
      <c r="CK66" s="419">
        <f t="shared" si="53"/>
        <v>0</v>
      </c>
      <c r="CL66" s="419">
        <f t="shared" si="54"/>
        <v>0</v>
      </c>
    </row>
    <row r="67" spans="1:90">
      <c r="A67" s="6161" t="s">
        <v>1109</v>
      </c>
      <c r="B67" s="2190" t="s">
        <v>78</v>
      </c>
      <c r="C67" s="1988">
        <f t="shared" si="46"/>
        <v>0</v>
      </c>
      <c r="D67" s="2109">
        <f t="shared" ref="D67:D76" si="60">SUM(H67+J67+L67+N67+P67+R67+T67+V67+X67+Z67+AB67+AD67+AF67+AH67+AJ67)</f>
        <v>0</v>
      </c>
      <c r="E67" s="1736">
        <f t="shared" ref="E67:E76" si="61">SUM(I67+K67+M67+O67+Q67+S67+U67+W67+Y67+AA67+AC67+AE67+AG67+AI67+AK67)</f>
        <v>0</v>
      </c>
      <c r="F67" s="2197"/>
      <c r="G67" s="2200"/>
      <c r="H67" s="1424"/>
      <c r="I67" s="1676"/>
      <c r="J67" s="1424"/>
      <c r="K67" s="1676"/>
      <c r="L67" s="1424"/>
      <c r="M67" s="1676"/>
      <c r="N67" s="1424"/>
      <c r="O67" s="1676"/>
      <c r="P67" s="1424"/>
      <c r="Q67" s="1676"/>
      <c r="R67" s="1424"/>
      <c r="S67" s="1676"/>
      <c r="T67" s="1424"/>
      <c r="U67" s="1676"/>
      <c r="V67" s="1424"/>
      <c r="W67" s="1676"/>
      <c r="X67" s="1424"/>
      <c r="Y67" s="1676"/>
      <c r="Z67" s="1424"/>
      <c r="AA67" s="1676"/>
      <c r="AB67" s="1424"/>
      <c r="AC67" s="1676"/>
      <c r="AD67" s="1424"/>
      <c r="AE67" s="1676"/>
      <c r="AF67" s="1424"/>
      <c r="AG67" s="1676"/>
      <c r="AH67" s="1424"/>
      <c r="AI67" s="1676"/>
      <c r="AJ67" s="1424"/>
      <c r="AK67" s="1428"/>
      <c r="AL67" s="2175"/>
      <c r="AM67" s="2177"/>
      <c r="AN67" t="str">
        <f t="shared" si="56"/>
        <v/>
      </c>
      <c r="CA67" s="1708" t="str">
        <f t="shared" si="57"/>
        <v/>
      </c>
      <c r="CB67" s="1708" t="str">
        <f t="shared" si="58"/>
        <v/>
      </c>
      <c r="CK67" s="419">
        <f t="shared" si="53"/>
        <v>0</v>
      </c>
      <c r="CL67" s="419">
        <f t="shared" si="54"/>
        <v>0</v>
      </c>
    </row>
    <row r="68" spans="1:90">
      <c r="A68" s="6162"/>
      <c r="B68" s="2191" t="s">
        <v>1075</v>
      </c>
      <c r="C68" s="1995">
        <f t="shared" si="46"/>
        <v>0</v>
      </c>
      <c r="D68" s="2120">
        <f t="shared" si="60"/>
        <v>0</v>
      </c>
      <c r="E68" s="1775">
        <f t="shared" si="61"/>
        <v>0</v>
      </c>
      <c r="F68" s="1765"/>
      <c r="G68" s="2202"/>
      <c r="H68" s="1455"/>
      <c r="I68" s="1684"/>
      <c r="J68" s="1455"/>
      <c r="K68" s="1684"/>
      <c r="L68" s="1455"/>
      <c r="M68" s="1684"/>
      <c r="N68" s="1455"/>
      <c r="O68" s="1684"/>
      <c r="P68" s="1455"/>
      <c r="Q68" s="1684"/>
      <c r="R68" s="1455"/>
      <c r="S68" s="1684"/>
      <c r="T68" s="1455"/>
      <c r="U68" s="1684"/>
      <c r="V68" s="1455"/>
      <c r="W68" s="1684"/>
      <c r="X68" s="1455"/>
      <c r="Y68" s="1684"/>
      <c r="Z68" s="1455"/>
      <c r="AA68" s="1684"/>
      <c r="AB68" s="1455"/>
      <c r="AC68" s="1684"/>
      <c r="AD68" s="1455"/>
      <c r="AE68" s="1684"/>
      <c r="AF68" s="1455"/>
      <c r="AG68" s="1684"/>
      <c r="AH68" s="1455"/>
      <c r="AI68" s="1684"/>
      <c r="AJ68" s="1455"/>
      <c r="AK68" s="1459"/>
      <c r="AL68" s="2195"/>
      <c r="AM68" s="2196"/>
      <c r="AN68" t="str">
        <f t="shared" si="56"/>
        <v/>
      </c>
      <c r="CA68" s="1708" t="str">
        <f t="shared" si="57"/>
        <v/>
      </c>
      <c r="CB68" s="1708" t="str">
        <f t="shared" si="58"/>
        <v/>
      </c>
      <c r="CK68" s="419">
        <f t="shared" si="53"/>
        <v>0</v>
      </c>
      <c r="CL68" s="419">
        <f t="shared" si="54"/>
        <v>0</v>
      </c>
    </row>
    <row r="69" spans="1:90">
      <c r="A69" s="6161" t="s">
        <v>1110</v>
      </c>
      <c r="B69" s="2190" t="s">
        <v>78</v>
      </c>
      <c r="C69" s="1988">
        <f t="shared" si="46"/>
        <v>0</v>
      </c>
      <c r="D69" s="2109">
        <f t="shared" si="60"/>
        <v>0</v>
      </c>
      <c r="E69" s="1736">
        <f t="shared" si="61"/>
        <v>0</v>
      </c>
      <c r="F69" s="2197"/>
      <c r="G69" s="2198"/>
      <c r="H69" s="1424"/>
      <c r="I69" s="1676"/>
      <c r="J69" s="1424"/>
      <c r="K69" s="1676"/>
      <c r="L69" s="1424"/>
      <c r="M69" s="1676"/>
      <c r="N69" s="1424"/>
      <c r="O69" s="1676"/>
      <c r="P69" s="1424"/>
      <c r="Q69" s="1676"/>
      <c r="R69" s="1424"/>
      <c r="S69" s="1676"/>
      <c r="T69" s="1424"/>
      <c r="U69" s="1676"/>
      <c r="V69" s="1424"/>
      <c r="W69" s="1676"/>
      <c r="X69" s="1424"/>
      <c r="Y69" s="1676"/>
      <c r="Z69" s="1424"/>
      <c r="AA69" s="1676"/>
      <c r="AB69" s="1424"/>
      <c r="AC69" s="1676"/>
      <c r="AD69" s="1424"/>
      <c r="AE69" s="1676"/>
      <c r="AF69" s="1424"/>
      <c r="AG69" s="1676"/>
      <c r="AH69" s="1424"/>
      <c r="AI69" s="1676"/>
      <c r="AJ69" s="1424"/>
      <c r="AK69" s="1428"/>
      <c r="AL69" s="2175"/>
      <c r="AM69" s="2177"/>
      <c r="AN69" t="str">
        <f t="shared" si="56"/>
        <v/>
      </c>
      <c r="CA69" s="1708" t="str">
        <f t="shared" si="57"/>
        <v/>
      </c>
      <c r="CB69" s="1708" t="str">
        <f t="shared" si="58"/>
        <v/>
      </c>
      <c r="CK69" s="419">
        <f t="shared" si="53"/>
        <v>0</v>
      </c>
      <c r="CL69" s="419">
        <f t="shared" si="54"/>
        <v>0</v>
      </c>
    </row>
    <row r="70" spans="1:90">
      <c r="A70" s="6162"/>
      <c r="B70" s="2191" t="s">
        <v>1075</v>
      </c>
      <c r="C70" s="1928">
        <f t="shared" si="46"/>
        <v>0</v>
      </c>
      <c r="D70" s="1929">
        <f t="shared" si="60"/>
        <v>0</v>
      </c>
      <c r="E70" s="1775">
        <f t="shared" si="61"/>
        <v>0</v>
      </c>
      <c r="F70" s="1765"/>
      <c r="G70" s="1766"/>
      <c r="H70" s="1455"/>
      <c r="I70" s="1684"/>
      <c r="J70" s="1455"/>
      <c r="K70" s="1684"/>
      <c r="L70" s="1455"/>
      <c r="M70" s="1684"/>
      <c r="N70" s="1455"/>
      <c r="O70" s="1684"/>
      <c r="P70" s="1455"/>
      <c r="Q70" s="1684"/>
      <c r="R70" s="1455"/>
      <c r="S70" s="1684"/>
      <c r="T70" s="1455"/>
      <c r="U70" s="1684"/>
      <c r="V70" s="1455"/>
      <c r="W70" s="1684"/>
      <c r="X70" s="1455"/>
      <c r="Y70" s="1684"/>
      <c r="Z70" s="1455"/>
      <c r="AA70" s="1684"/>
      <c r="AB70" s="1455"/>
      <c r="AC70" s="1684"/>
      <c r="AD70" s="1455"/>
      <c r="AE70" s="1684"/>
      <c r="AF70" s="1455"/>
      <c r="AG70" s="1684"/>
      <c r="AH70" s="1455"/>
      <c r="AI70" s="1684"/>
      <c r="AJ70" s="1455"/>
      <c r="AK70" s="1459"/>
      <c r="AL70" s="2195"/>
      <c r="AM70" s="2196"/>
      <c r="AN70" t="str">
        <f t="shared" si="56"/>
        <v/>
      </c>
      <c r="CA70" s="1708" t="str">
        <f t="shared" si="57"/>
        <v/>
      </c>
      <c r="CB70" s="1708" t="str">
        <f t="shared" si="58"/>
        <v/>
      </c>
      <c r="CK70" s="419">
        <f t="shared" si="53"/>
        <v>0</v>
      </c>
      <c r="CL70" s="419">
        <f t="shared" si="54"/>
        <v>0</v>
      </c>
    </row>
    <row r="71" spans="1:90">
      <c r="A71" s="6161" t="s">
        <v>1111</v>
      </c>
      <c r="B71" s="2190" t="s">
        <v>78</v>
      </c>
      <c r="C71" s="1988">
        <f t="shared" si="46"/>
        <v>0</v>
      </c>
      <c r="D71" s="2109">
        <f t="shared" si="60"/>
        <v>0</v>
      </c>
      <c r="E71" s="1736">
        <f t="shared" si="61"/>
        <v>0</v>
      </c>
      <c r="F71" s="2197"/>
      <c r="G71" s="2198"/>
      <c r="H71" s="1424"/>
      <c r="I71" s="1676"/>
      <c r="J71" s="1424"/>
      <c r="K71" s="1676"/>
      <c r="L71" s="1424"/>
      <c r="M71" s="1676"/>
      <c r="N71" s="1424"/>
      <c r="O71" s="1676"/>
      <c r="P71" s="1424"/>
      <c r="Q71" s="1676"/>
      <c r="R71" s="1424"/>
      <c r="S71" s="1676"/>
      <c r="T71" s="1424"/>
      <c r="U71" s="1676"/>
      <c r="V71" s="1424"/>
      <c r="W71" s="1676"/>
      <c r="X71" s="1424"/>
      <c r="Y71" s="1676"/>
      <c r="Z71" s="1424"/>
      <c r="AA71" s="1676"/>
      <c r="AB71" s="1424"/>
      <c r="AC71" s="1676"/>
      <c r="AD71" s="1424"/>
      <c r="AE71" s="1676"/>
      <c r="AF71" s="1424"/>
      <c r="AG71" s="1676"/>
      <c r="AH71" s="1424"/>
      <c r="AI71" s="1676"/>
      <c r="AJ71" s="1424"/>
      <c r="AK71" s="1428"/>
      <c r="AL71" s="2175"/>
      <c r="AM71" s="2177"/>
      <c r="AN71" t="str">
        <f t="shared" si="56"/>
        <v/>
      </c>
      <c r="CA71" s="1708" t="str">
        <f t="shared" si="57"/>
        <v/>
      </c>
      <c r="CB71" s="1708" t="str">
        <f t="shared" si="58"/>
        <v/>
      </c>
      <c r="CK71" s="419">
        <f t="shared" si="53"/>
        <v>0</v>
      </c>
      <c r="CL71" s="419">
        <f t="shared" si="54"/>
        <v>0</v>
      </c>
    </row>
    <row r="72" spans="1:90">
      <c r="A72" s="6330"/>
      <c r="B72" s="2191" t="s">
        <v>1075</v>
      </c>
      <c r="C72" s="1991">
        <f t="shared" si="46"/>
        <v>0</v>
      </c>
      <c r="D72" s="2115">
        <f t="shared" si="60"/>
        <v>0</v>
      </c>
      <c r="E72" s="1739">
        <f t="shared" si="61"/>
        <v>0</v>
      </c>
      <c r="F72" s="1763"/>
      <c r="G72" s="1764"/>
      <c r="H72" s="1440"/>
      <c r="I72" s="1680"/>
      <c r="J72" s="1440"/>
      <c r="K72" s="1680"/>
      <c r="L72" s="1440"/>
      <c r="M72" s="1680"/>
      <c r="N72" s="1440"/>
      <c r="O72" s="1680"/>
      <c r="P72" s="1440"/>
      <c r="Q72" s="1680"/>
      <c r="R72" s="1440"/>
      <c r="S72" s="1680"/>
      <c r="T72" s="1440"/>
      <c r="U72" s="1680"/>
      <c r="V72" s="1440"/>
      <c r="W72" s="1680"/>
      <c r="X72" s="1440"/>
      <c r="Y72" s="1680"/>
      <c r="Z72" s="1440"/>
      <c r="AA72" s="1680"/>
      <c r="AB72" s="1440"/>
      <c r="AC72" s="1680"/>
      <c r="AD72" s="1440"/>
      <c r="AE72" s="1680"/>
      <c r="AF72" s="1440"/>
      <c r="AG72" s="1680"/>
      <c r="AH72" s="1440"/>
      <c r="AI72" s="1680"/>
      <c r="AJ72" s="1440"/>
      <c r="AK72" s="1444"/>
      <c r="AL72" s="2192"/>
      <c r="AM72" s="2193"/>
      <c r="AN72" t="str">
        <f t="shared" si="56"/>
        <v/>
      </c>
      <c r="CA72" s="1708" t="str">
        <f t="shared" si="57"/>
        <v/>
      </c>
      <c r="CB72" s="1708" t="str">
        <f t="shared" si="58"/>
        <v/>
      </c>
      <c r="CK72" s="419">
        <f t="shared" si="53"/>
        <v>0</v>
      </c>
      <c r="CL72" s="419">
        <f t="shared" si="54"/>
        <v>0</v>
      </c>
    </row>
    <row r="73" spans="1:90">
      <c r="A73" s="6330"/>
      <c r="B73" s="2191" t="s">
        <v>1065</v>
      </c>
      <c r="C73" s="1991">
        <f t="shared" si="46"/>
        <v>0</v>
      </c>
      <c r="D73" s="2115">
        <f t="shared" si="60"/>
        <v>0</v>
      </c>
      <c r="E73" s="1739">
        <f t="shared" si="61"/>
        <v>0</v>
      </c>
      <c r="F73" s="1763"/>
      <c r="G73" s="1764"/>
      <c r="H73" s="1440"/>
      <c r="I73" s="1680"/>
      <c r="J73" s="1440"/>
      <c r="K73" s="1680"/>
      <c r="L73" s="1440"/>
      <c r="M73" s="1680"/>
      <c r="N73" s="1440"/>
      <c r="O73" s="1680"/>
      <c r="P73" s="1440"/>
      <c r="Q73" s="1680"/>
      <c r="R73" s="1440"/>
      <c r="S73" s="1680"/>
      <c r="T73" s="1440"/>
      <c r="U73" s="1680"/>
      <c r="V73" s="1440"/>
      <c r="W73" s="1680"/>
      <c r="X73" s="1440"/>
      <c r="Y73" s="1680"/>
      <c r="Z73" s="1440"/>
      <c r="AA73" s="1680"/>
      <c r="AB73" s="1440"/>
      <c r="AC73" s="1680"/>
      <c r="AD73" s="1440"/>
      <c r="AE73" s="1680"/>
      <c r="AF73" s="1440"/>
      <c r="AG73" s="1680"/>
      <c r="AH73" s="1440"/>
      <c r="AI73" s="1680"/>
      <c r="AJ73" s="1440"/>
      <c r="AK73" s="1444"/>
      <c r="AL73" s="2192"/>
      <c r="AM73" s="2193"/>
      <c r="AN73" t="str">
        <f t="shared" si="56"/>
        <v/>
      </c>
      <c r="CA73" s="1708" t="str">
        <f t="shared" si="57"/>
        <v/>
      </c>
      <c r="CB73" s="1708" t="str">
        <f t="shared" si="58"/>
        <v/>
      </c>
      <c r="CK73" s="419">
        <f t="shared" si="53"/>
        <v>0</v>
      </c>
      <c r="CL73" s="419">
        <f t="shared" si="54"/>
        <v>0</v>
      </c>
    </row>
    <row r="74" spans="1:90">
      <c r="A74" s="6330"/>
      <c r="B74" s="2191" t="s">
        <v>1105</v>
      </c>
      <c r="C74" s="1991">
        <f t="shared" si="46"/>
        <v>0</v>
      </c>
      <c r="D74" s="2115">
        <f t="shared" si="60"/>
        <v>0</v>
      </c>
      <c r="E74" s="1739">
        <f t="shared" si="61"/>
        <v>0</v>
      </c>
      <c r="F74" s="1763"/>
      <c r="G74" s="1764"/>
      <c r="H74" s="1440"/>
      <c r="I74" s="1680"/>
      <c r="J74" s="1440"/>
      <c r="K74" s="1680"/>
      <c r="L74" s="1440"/>
      <c r="M74" s="1680"/>
      <c r="N74" s="1440"/>
      <c r="O74" s="1680"/>
      <c r="P74" s="1440"/>
      <c r="Q74" s="1680"/>
      <c r="R74" s="1440"/>
      <c r="S74" s="1680"/>
      <c r="T74" s="1440"/>
      <c r="U74" s="1680"/>
      <c r="V74" s="1440"/>
      <c r="W74" s="1680"/>
      <c r="X74" s="1440"/>
      <c r="Y74" s="1680"/>
      <c r="Z74" s="1440"/>
      <c r="AA74" s="1680"/>
      <c r="AB74" s="1440"/>
      <c r="AC74" s="1680"/>
      <c r="AD74" s="1440"/>
      <c r="AE74" s="1680"/>
      <c r="AF74" s="1440"/>
      <c r="AG74" s="1680"/>
      <c r="AH74" s="1440"/>
      <c r="AI74" s="1680"/>
      <c r="AJ74" s="1440"/>
      <c r="AK74" s="1444"/>
      <c r="AL74" s="2192"/>
      <c r="AM74" s="2193"/>
      <c r="AN74" t="str">
        <f t="shared" si="56"/>
        <v/>
      </c>
      <c r="CA74" s="1708" t="str">
        <f t="shared" si="57"/>
        <v/>
      </c>
      <c r="CB74" s="1708" t="str">
        <f t="shared" si="58"/>
        <v/>
      </c>
      <c r="CK74" s="419">
        <f t="shared" si="53"/>
        <v>0</v>
      </c>
      <c r="CL74" s="419">
        <f t="shared" si="54"/>
        <v>0</v>
      </c>
    </row>
    <row r="75" spans="1:90">
      <c r="A75" s="6330"/>
      <c r="B75" s="2191" t="s">
        <v>1066</v>
      </c>
      <c r="C75" s="1991">
        <f t="shared" si="46"/>
        <v>0</v>
      </c>
      <c r="D75" s="2115">
        <f t="shared" si="60"/>
        <v>0</v>
      </c>
      <c r="E75" s="1739">
        <f t="shared" si="61"/>
        <v>0</v>
      </c>
      <c r="F75" s="1763"/>
      <c r="G75" s="1764"/>
      <c r="H75" s="1440"/>
      <c r="I75" s="1680"/>
      <c r="J75" s="1440"/>
      <c r="K75" s="1680"/>
      <c r="L75" s="1440"/>
      <c r="M75" s="1680"/>
      <c r="N75" s="1440"/>
      <c r="O75" s="1680"/>
      <c r="P75" s="1440"/>
      <c r="Q75" s="1680"/>
      <c r="R75" s="1440"/>
      <c r="S75" s="1680"/>
      <c r="T75" s="1440"/>
      <c r="U75" s="1680"/>
      <c r="V75" s="1440"/>
      <c r="W75" s="1680"/>
      <c r="X75" s="1440"/>
      <c r="Y75" s="1680"/>
      <c r="Z75" s="1440"/>
      <c r="AA75" s="1680"/>
      <c r="AB75" s="1440"/>
      <c r="AC75" s="1680"/>
      <c r="AD75" s="1440"/>
      <c r="AE75" s="1680"/>
      <c r="AF75" s="1440"/>
      <c r="AG75" s="1680"/>
      <c r="AH75" s="1440"/>
      <c r="AI75" s="1680"/>
      <c r="AJ75" s="1440"/>
      <c r="AK75" s="1444"/>
      <c r="AL75" s="2192"/>
      <c r="AM75" s="2193"/>
      <c r="AN75" t="str">
        <f t="shared" si="56"/>
        <v/>
      </c>
      <c r="CA75" s="1708" t="str">
        <f t="shared" si="57"/>
        <v/>
      </c>
      <c r="CB75" s="1708" t="str">
        <f t="shared" si="58"/>
        <v/>
      </c>
      <c r="CK75" s="419">
        <f t="shared" si="53"/>
        <v>0</v>
      </c>
      <c r="CL75" s="419">
        <f t="shared" si="54"/>
        <v>0</v>
      </c>
    </row>
    <row r="76" spans="1:90">
      <c r="A76" s="6162"/>
      <c r="B76" s="2194" t="s">
        <v>1106</v>
      </c>
      <c r="C76" s="1928">
        <f t="shared" si="46"/>
        <v>0</v>
      </c>
      <c r="D76" s="1929">
        <f t="shared" si="60"/>
        <v>0</v>
      </c>
      <c r="E76" s="1775">
        <f t="shared" si="61"/>
        <v>0</v>
      </c>
      <c r="F76" s="1765"/>
      <c r="G76" s="1766"/>
      <c r="H76" s="1455"/>
      <c r="I76" s="1684"/>
      <c r="J76" s="1455"/>
      <c r="K76" s="1684"/>
      <c r="L76" s="1455"/>
      <c r="M76" s="1684"/>
      <c r="N76" s="1455"/>
      <c r="O76" s="1684"/>
      <c r="P76" s="1455"/>
      <c r="Q76" s="1684"/>
      <c r="R76" s="1455"/>
      <c r="S76" s="1684"/>
      <c r="T76" s="1455"/>
      <c r="U76" s="1684"/>
      <c r="V76" s="1455"/>
      <c r="W76" s="1684"/>
      <c r="X76" s="1455"/>
      <c r="Y76" s="1684"/>
      <c r="Z76" s="1455"/>
      <c r="AA76" s="1684"/>
      <c r="AB76" s="1455"/>
      <c r="AC76" s="1684"/>
      <c r="AD76" s="1455"/>
      <c r="AE76" s="1684"/>
      <c r="AF76" s="1455"/>
      <c r="AG76" s="1684"/>
      <c r="AH76" s="1455"/>
      <c r="AI76" s="1684"/>
      <c r="AJ76" s="1455"/>
      <c r="AK76" s="1459"/>
      <c r="AL76" s="2195"/>
      <c r="AM76" s="2196"/>
      <c r="AN76" t="str">
        <f t="shared" si="56"/>
        <v/>
      </c>
      <c r="CA76" s="1708" t="str">
        <f t="shared" si="57"/>
        <v/>
      </c>
      <c r="CB76" s="1708" t="str">
        <f t="shared" si="58"/>
        <v/>
      </c>
      <c r="CK76" s="419">
        <f t="shared" si="53"/>
        <v>0</v>
      </c>
      <c r="CL76" s="419">
        <f t="shared" si="54"/>
        <v>0</v>
      </c>
    </row>
    <row r="77" spans="1:90" s="385" customFormat="1" ht="18" customHeight="1">
      <c r="A77" s="2207" t="s">
        <v>1112</v>
      </c>
      <c r="B77" s="2181"/>
      <c r="C77" s="2181"/>
      <c r="D77" s="2208"/>
      <c r="E77" s="2208"/>
      <c r="F77" s="2208"/>
      <c r="G77" s="2184"/>
      <c r="H77" s="2184"/>
      <c r="I77" s="2184"/>
    </row>
    <row r="78" spans="1:90" ht="23.25" customHeight="1">
      <c r="A78" s="6176" t="s">
        <v>1113</v>
      </c>
      <c r="B78" s="6328" t="s">
        <v>1114</v>
      </c>
      <c r="C78" s="6328"/>
      <c r="D78" s="6328" t="s">
        <v>1115</v>
      </c>
      <c r="E78" s="6329"/>
      <c r="F78" s="6327" t="s">
        <v>1116</v>
      </c>
      <c r="G78" s="6328"/>
      <c r="H78" s="6327" t="s">
        <v>1117</v>
      </c>
      <c r="I78" s="6328"/>
    </row>
    <row r="79" spans="1:90" ht="23.25" customHeight="1">
      <c r="A79" s="6178"/>
      <c r="B79" s="2211" t="s">
        <v>1118</v>
      </c>
      <c r="C79" s="2212" t="s">
        <v>734</v>
      </c>
      <c r="D79" s="2211" t="s">
        <v>1118</v>
      </c>
      <c r="E79" s="2213" t="s">
        <v>734</v>
      </c>
      <c r="F79" s="2214" t="s">
        <v>1118</v>
      </c>
      <c r="G79" s="2212" t="s">
        <v>734</v>
      </c>
      <c r="H79" s="2214" t="s">
        <v>1118</v>
      </c>
      <c r="I79" s="2212" t="s">
        <v>734</v>
      </c>
    </row>
    <row r="80" spans="1:90" ht="15" customHeight="1">
      <c r="A80" s="2215" t="s">
        <v>1119</v>
      </c>
      <c r="B80" s="2216"/>
      <c r="C80" s="2217"/>
      <c r="D80" s="2216"/>
      <c r="E80" s="2218"/>
      <c r="F80" s="2219"/>
      <c r="G80" s="2217"/>
      <c r="H80" s="2219"/>
      <c r="I80" s="2217"/>
    </row>
    <row r="81" spans="1:9" ht="15" customHeight="1">
      <c r="A81" s="2220" t="s">
        <v>1120</v>
      </c>
      <c r="B81" s="2221"/>
      <c r="C81" s="2222"/>
      <c r="D81" s="2221"/>
      <c r="E81" s="2223"/>
      <c r="F81" s="2224"/>
      <c r="G81" s="2222"/>
      <c r="H81" s="2224"/>
      <c r="I81" s="2222"/>
    </row>
    <row r="82" spans="1:9" ht="15" customHeight="1">
      <c r="A82" s="2220" t="s">
        <v>1121</v>
      </c>
      <c r="B82" s="2221"/>
      <c r="C82" s="2222"/>
      <c r="D82" s="2221"/>
      <c r="E82" s="2223"/>
      <c r="F82" s="2224"/>
      <c r="G82" s="2222"/>
      <c r="H82" s="2224"/>
      <c r="I82" s="2222"/>
    </row>
    <row r="83" spans="1:9" ht="15" customHeight="1">
      <c r="A83" s="2225" t="s">
        <v>1122</v>
      </c>
      <c r="B83" s="1455"/>
      <c r="C83" s="2202"/>
      <c r="D83" s="1455"/>
      <c r="E83" s="2203"/>
      <c r="F83" s="1456"/>
      <c r="G83" s="2202"/>
      <c r="H83" s="1456"/>
      <c r="I83" s="2202"/>
    </row>
    <row r="84" spans="1:9" s="385" customFormat="1" ht="18" customHeight="1">
      <c r="A84" s="1468" t="s">
        <v>1123</v>
      </c>
      <c r="B84" s="2164"/>
      <c r="C84" s="2164"/>
      <c r="D84" s="2164"/>
    </row>
    <row r="85" spans="1:9" ht="31.5">
      <c r="A85" s="2209" t="s">
        <v>1124</v>
      </c>
      <c r="B85" s="1916" t="s">
        <v>1125</v>
      </c>
      <c r="C85" s="1917" t="s">
        <v>1126</v>
      </c>
      <c r="D85" s="2226" t="s">
        <v>1127</v>
      </c>
    </row>
    <row r="86" spans="1:9">
      <c r="A86" s="2227" t="s">
        <v>1128</v>
      </c>
      <c r="B86" s="2228"/>
      <c r="C86" s="448"/>
      <c r="D86" s="2229"/>
    </row>
    <row r="87" spans="1:9">
      <c r="A87" s="2220" t="s">
        <v>1129</v>
      </c>
      <c r="B87" s="2230"/>
      <c r="C87" s="425"/>
      <c r="D87" s="2231"/>
    </row>
    <row r="88" spans="1:9">
      <c r="A88" s="2220" t="s">
        <v>1130</v>
      </c>
      <c r="B88" s="2230"/>
      <c r="C88" s="425"/>
      <c r="D88" s="2231"/>
    </row>
    <row r="89" spans="1:9">
      <c r="A89" s="2232" t="s">
        <v>1131</v>
      </c>
      <c r="B89" s="2230"/>
      <c r="C89" s="425"/>
      <c r="D89" s="2231"/>
    </row>
    <row r="90" spans="1:9" ht="22.5">
      <c r="A90" s="1691" t="s">
        <v>1132</v>
      </c>
      <c r="B90" s="2230"/>
      <c r="C90" s="425"/>
      <c r="D90" s="2231"/>
    </row>
    <row r="91" spans="1:9" ht="22.5">
      <c r="A91" s="1691" t="s">
        <v>1133</v>
      </c>
      <c r="B91" s="2233"/>
      <c r="C91" s="425"/>
      <c r="D91" s="2231"/>
    </row>
    <row r="92" spans="1:9" ht="22.5">
      <c r="A92" s="1691" t="s">
        <v>1134</v>
      </c>
      <c r="B92" s="2230"/>
      <c r="C92" s="425"/>
      <c r="D92" s="2231"/>
    </row>
    <row r="93" spans="1:9">
      <c r="A93" s="1883" t="s">
        <v>1135</v>
      </c>
      <c r="B93" s="2234"/>
      <c r="C93" s="432"/>
      <c r="D93" s="2235"/>
    </row>
    <row r="94" spans="1:9" s="385" customFormat="1" ht="18" customHeight="1">
      <c r="A94" s="2167" t="s">
        <v>1136</v>
      </c>
      <c r="B94" s="2170"/>
      <c r="C94" s="2170"/>
      <c r="D94" s="2170"/>
      <c r="E94" s="1582"/>
      <c r="F94" s="2170"/>
    </row>
    <row r="95" spans="1:9">
      <c r="A95" s="5718" t="s">
        <v>1137</v>
      </c>
      <c r="B95" s="6288" t="s">
        <v>1138</v>
      </c>
      <c r="C95" s="6324" t="s">
        <v>1139</v>
      </c>
      <c r="D95" s="6290" t="s">
        <v>1140</v>
      </c>
      <c r="E95" s="6326" t="s">
        <v>1141</v>
      </c>
      <c r="F95" s="6327"/>
    </row>
    <row r="96" spans="1:9">
      <c r="A96" s="5719"/>
      <c r="B96" s="6289"/>
      <c r="C96" s="6325"/>
      <c r="D96" s="6291"/>
      <c r="E96" s="2211" t="s">
        <v>1142</v>
      </c>
      <c r="F96" s="2210" t="s">
        <v>1143</v>
      </c>
    </row>
    <row r="97" spans="1:16">
      <c r="A97" s="2236" t="s">
        <v>1144</v>
      </c>
      <c r="B97" s="1440"/>
      <c r="C97" s="1442"/>
      <c r="D97" s="1436"/>
      <c r="E97" s="1424"/>
      <c r="F97" s="1436"/>
    </row>
    <row r="98" spans="1:16">
      <c r="A98" s="2237" t="s">
        <v>1145</v>
      </c>
      <c r="B98" s="1440"/>
      <c r="C98" s="1442"/>
      <c r="D98" s="1452"/>
      <c r="E98" s="1440"/>
      <c r="F98" s="1452"/>
    </row>
    <row r="99" spans="1:16">
      <c r="A99" s="2237" t="s">
        <v>1146</v>
      </c>
      <c r="B99" s="1440"/>
      <c r="C99" s="1442"/>
      <c r="D99" s="1452"/>
      <c r="E99" s="1440"/>
      <c r="F99" s="1452"/>
    </row>
    <row r="100" spans="1:16">
      <c r="A100" s="2237" t="s">
        <v>1147</v>
      </c>
      <c r="B100" s="1440"/>
      <c r="C100" s="1442"/>
      <c r="D100" s="1452"/>
      <c r="E100" s="1440"/>
      <c r="F100" s="1452"/>
    </row>
    <row r="101" spans="1:16">
      <c r="A101" s="2237" t="s">
        <v>1148</v>
      </c>
      <c r="B101" s="1440"/>
      <c r="C101" s="1442"/>
      <c r="D101" s="1452"/>
      <c r="E101" s="1440"/>
      <c r="F101" s="1452"/>
    </row>
    <row r="102" spans="1:16">
      <c r="A102" s="2186" t="s">
        <v>91</v>
      </c>
      <c r="B102" s="2238">
        <f>SUM(B97:B101)</f>
        <v>0</v>
      </c>
      <c r="C102" s="2239">
        <f>SUM(C97:C101)</f>
        <v>0</v>
      </c>
      <c r="D102" s="2240">
        <f>SUM(D97:D101)</f>
        <v>0</v>
      </c>
      <c r="E102" s="2238">
        <f>SUM(E97:E101)</f>
        <v>0</v>
      </c>
      <c r="F102" s="2241">
        <f>SUM(F97:F101)</f>
        <v>0</v>
      </c>
    </row>
    <row r="103" spans="1:16">
      <c r="A103" s="2167" t="s">
        <v>1149</v>
      </c>
      <c r="B103" s="2170"/>
      <c r="C103" s="2170"/>
      <c r="D103" s="2170"/>
      <c r="E103" s="1582"/>
      <c r="F103" s="2170"/>
    </row>
    <row r="104" spans="1:16">
      <c r="A104" s="5718" t="s">
        <v>1150</v>
      </c>
      <c r="B104" s="6288" t="s">
        <v>1138</v>
      </c>
      <c r="C104" s="6290" t="s">
        <v>1139</v>
      </c>
      <c r="D104" s="6292" t="s">
        <v>1140</v>
      </c>
      <c r="E104" s="6294" t="s">
        <v>48</v>
      </c>
      <c r="F104" s="6296" t="s">
        <v>49</v>
      </c>
    </row>
    <row r="105" spans="1:16" ht="41.25" customHeight="1">
      <c r="A105" s="5719"/>
      <c r="B105" s="6289"/>
      <c r="C105" s="6291"/>
      <c r="D105" s="6293"/>
      <c r="E105" s="6295"/>
      <c r="F105" s="6297"/>
    </row>
    <row r="106" spans="1:16">
      <c r="A106" s="2236" t="s">
        <v>1151</v>
      </c>
      <c r="B106" s="1424"/>
      <c r="C106" s="1452"/>
      <c r="D106" s="1990"/>
      <c r="E106" s="1707"/>
      <c r="F106" s="1436"/>
    </row>
    <row r="107" spans="1:16" ht="21">
      <c r="A107" s="2237" t="s">
        <v>1152</v>
      </c>
      <c r="B107" s="1440"/>
      <c r="C107" s="1452"/>
      <c r="D107" s="1994"/>
      <c r="E107" s="1709"/>
      <c r="F107" s="1452"/>
    </row>
    <row r="108" spans="1:16">
      <c r="A108" s="2237" t="s">
        <v>1153</v>
      </c>
      <c r="B108" s="1440"/>
      <c r="C108" s="1452"/>
      <c r="D108" s="1994"/>
      <c r="E108" s="1441"/>
      <c r="F108" s="1452"/>
    </row>
    <row r="109" spans="1:16">
      <c r="A109" s="2186" t="s">
        <v>91</v>
      </c>
      <c r="B109" s="2238">
        <f>SUM(B106:B108)</f>
        <v>0</v>
      </c>
      <c r="C109" s="2240">
        <f>SUM(C106:C108)</f>
        <v>0</v>
      </c>
      <c r="D109" s="2242">
        <f>SUM(D106:D108)</f>
        <v>0</v>
      </c>
      <c r="E109" s="2243">
        <f>SUM(E106:E108)</f>
        <v>0</v>
      </c>
      <c r="F109" s="2241">
        <f>SUM(F106:F108)</f>
        <v>0</v>
      </c>
    </row>
    <row r="110" spans="1:16" s="385" customFormat="1" ht="18" customHeight="1">
      <c r="A110" s="2244" t="s">
        <v>1154</v>
      </c>
      <c r="B110" s="1493"/>
      <c r="C110" s="1493"/>
      <c r="D110" s="1493"/>
      <c r="E110" s="2168"/>
      <c r="F110" s="1960"/>
      <c r="G110" s="2168"/>
      <c r="H110" s="2168"/>
      <c r="I110" s="2168"/>
      <c r="J110" s="2168"/>
      <c r="K110" s="2168"/>
      <c r="L110" s="2168"/>
      <c r="M110" s="2168"/>
      <c r="N110" s="2170"/>
      <c r="O110" s="2170"/>
      <c r="P110" s="2170"/>
    </row>
    <row r="111" spans="1:16">
      <c r="A111" s="6298" t="s">
        <v>236</v>
      </c>
      <c r="B111" s="6140" t="s">
        <v>475</v>
      </c>
      <c r="C111" s="6139"/>
      <c r="D111" s="6119"/>
      <c r="E111" s="5710" t="s">
        <v>115</v>
      </c>
      <c r="F111" s="6106"/>
      <c r="G111" s="6106"/>
      <c r="H111" s="6106"/>
      <c r="I111" s="6106"/>
      <c r="J111" s="6106"/>
      <c r="K111" s="6106"/>
      <c r="L111" s="6106"/>
      <c r="M111" s="6106"/>
      <c r="N111" s="2245"/>
      <c r="O111" s="6318" t="s">
        <v>50</v>
      </c>
      <c r="P111" s="6321" t="s">
        <v>51</v>
      </c>
    </row>
    <row r="112" spans="1:16">
      <c r="A112" s="6299"/>
      <c r="B112" s="6114"/>
      <c r="C112" s="6115"/>
      <c r="D112" s="6116"/>
      <c r="E112" s="5710" t="s">
        <v>364</v>
      </c>
      <c r="F112" s="5712"/>
      <c r="G112" s="5710" t="s">
        <v>347</v>
      </c>
      <c r="H112" s="5712"/>
      <c r="I112" s="5710" t="s">
        <v>108</v>
      </c>
      <c r="J112" s="5712"/>
      <c r="K112" s="5710" t="s">
        <v>58</v>
      </c>
      <c r="L112" s="5712"/>
      <c r="M112" s="5710" t="s">
        <v>59</v>
      </c>
      <c r="N112" s="5716"/>
      <c r="O112" s="6319"/>
      <c r="P112" s="6322"/>
    </row>
    <row r="113" spans="1:90">
      <c r="A113" s="6300"/>
      <c r="B113" s="396" t="s">
        <v>93</v>
      </c>
      <c r="C113" s="397" t="s">
        <v>72</v>
      </c>
      <c r="D113" s="1402" t="s">
        <v>73</v>
      </c>
      <c r="E113" s="1395" t="s">
        <v>72</v>
      </c>
      <c r="F113" s="393" t="s">
        <v>73</v>
      </c>
      <c r="G113" s="1395" t="s">
        <v>72</v>
      </c>
      <c r="H113" s="393" t="s">
        <v>73</v>
      </c>
      <c r="I113" s="1395" t="s">
        <v>72</v>
      </c>
      <c r="J113" s="393" t="s">
        <v>73</v>
      </c>
      <c r="K113" s="1395" t="s">
        <v>72</v>
      </c>
      <c r="L113" s="393" t="s">
        <v>73</v>
      </c>
      <c r="M113" s="1395" t="s">
        <v>72</v>
      </c>
      <c r="N113" s="394" t="s">
        <v>73</v>
      </c>
      <c r="O113" s="6320"/>
      <c r="P113" s="6323"/>
    </row>
    <row r="114" spans="1:90">
      <c r="A114" s="457" t="s">
        <v>1155</v>
      </c>
      <c r="B114" s="1988">
        <f t="shared" ref="B114:B130" si="62">SUM(C114:D114)</f>
        <v>0</v>
      </c>
      <c r="C114" s="1980">
        <f t="shared" ref="C114:D116" si="63">SUM(E114+G114+I114+K114+M114)</f>
        <v>0</v>
      </c>
      <c r="D114" s="1736">
        <f>SUM(F114+H114+J114+L114+N114)</f>
        <v>0</v>
      </c>
      <c r="E114" s="448"/>
      <c r="F114" s="2229"/>
      <c r="G114" s="448"/>
      <c r="H114" s="2229"/>
      <c r="I114" s="448"/>
      <c r="J114" s="449"/>
      <c r="K114" s="448"/>
      <c r="L114" s="449"/>
      <c r="M114" s="2246"/>
      <c r="N114" s="450"/>
      <c r="O114" s="2247"/>
      <c r="P114" s="2248"/>
      <c r="Q114" t="str">
        <f t="shared" ref="Q114:Q116" si="64">CA114&amp;CB114</f>
        <v/>
      </c>
      <c r="CA114" s="1708" t="str">
        <f t="shared" ref="CA114:CA116" si="65">IF(AND($B114&gt;0,O114="")," * No olvide digitar la variable Pueblos Originarios. Digite cero si no tiene.",IF(O114&gt;$B114,"* La variable Pueblos Originarios no puede ser mayor al Total Ambos Sexos.",""))</f>
        <v/>
      </c>
      <c r="CB114" s="1708" t="str">
        <f t="shared" ref="CB114:CB116" si="66">IF(AND($B114&gt;0,P114="")," * No olvide digitar la variable Migrantes. Digite cero si no tiene.",IF(P114&gt;$B114,"* La variable Migrantes no puede ser mayor al Total Ambos Sexos.",""))</f>
        <v/>
      </c>
      <c r="CK114" s="419">
        <f t="shared" ref="CK114:CK116" si="67">IF(AND(B114&gt;0,O114=""),1,IF(O114&gt;B114,1,0))</f>
        <v>0</v>
      </c>
      <c r="CL114" s="419">
        <f t="shared" ref="CL114:CL116" si="68">IF(AND(B114&gt;0,P114=""),1,IF(P114&gt;B114,1,0))</f>
        <v>0</v>
      </c>
    </row>
    <row r="115" spans="1:90" ht="21.75" customHeight="1">
      <c r="A115" s="2237" t="s">
        <v>1156</v>
      </c>
      <c r="B115" s="1991">
        <f t="shared" si="62"/>
        <v>0</v>
      </c>
      <c r="C115" s="1992">
        <f t="shared" si="63"/>
        <v>0</v>
      </c>
      <c r="D115" s="1739">
        <f t="shared" si="63"/>
        <v>0</v>
      </c>
      <c r="E115" s="425"/>
      <c r="F115" s="2231"/>
      <c r="G115" s="425"/>
      <c r="H115" s="2231"/>
      <c r="I115" s="425"/>
      <c r="J115" s="2231"/>
      <c r="K115" s="425"/>
      <c r="L115" s="2231"/>
      <c r="M115" s="2249"/>
      <c r="N115" s="426"/>
      <c r="O115" s="2250"/>
      <c r="P115" s="2251"/>
      <c r="Q115" t="str">
        <f t="shared" si="64"/>
        <v/>
      </c>
      <c r="CA115" s="1708" t="str">
        <f t="shared" si="65"/>
        <v/>
      </c>
      <c r="CB115" s="1708" t="str">
        <f t="shared" si="66"/>
        <v/>
      </c>
      <c r="CK115" s="419">
        <f t="shared" si="67"/>
        <v>0</v>
      </c>
      <c r="CL115" s="419">
        <f t="shared" si="68"/>
        <v>0</v>
      </c>
    </row>
    <row r="116" spans="1:90" ht="21.75" customHeight="1">
      <c r="A116" s="458" t="s">
        <v>1157</v>
      </c>
      <c r="B116" s="2144">
        <f t="shared" si="62"/>
        <v>0</v>
      </c>
      <c r="C116" s="1985">
        <f t="shared" si="63"/>
        <v>0</v>
      </c>
      <c r="D116" s="1757">
        <f t="shared" si="63"/>
        <v>0</v>
      </c>
      <c r="E116" s="435"/>
      <c r="F116" s="2252"/>
      <c r="G116" s="435"/>
      <c r="H116" s="434"/>
      <c r="I116" s="435"/>
      <c r="J116" s="2252"/>
      <c r="K116" s="435"/>
      <c r="L116" s="2252"/>
      <c r="M116" s="2253"/>
      <c r="N116" s="436"/>
      <c r="O116" s="2254"/>
      <c r="P116" s="2255"/>
      <c r="Q116" t="str">
        <f t="shared" si="64"/>
        <v/>
      </c>
      <c r="CA116" s="1708" t="str">
        <f t="shared" si="65"/>
        <v/>
      </c>
      <c r="CB116" s="1708" t="str">
        <f t="shared" si="66"/>
        <v/>
      </c>
      <c r="CK116" s="419">
        <f t="shared" si="67"/>
        <v>0</v>
      </c>
      <c r="CL116" s="419">
        <f t="shared" si="68"/>
        <v>0</v>
      </c>
    </row>
    <row r="117" spans="1:90" s="385" customFormat="1" ht="18" customHeight="1">
      <c r="A117" s="2101" t="s">
        <v>1158</v>
      </c>
      <c r="D117" s="1493"/>
    </row>
    <row r="118" spans="1:90">
      <c r="A118" s="5718" t="s">
        <v>1159</v>
      </c>
      <c r="B118" s="5707" t="s">
        <v>1160</v>
      </c>
      <c r="C118" s="5708"/>
      <c r="D118" s="6147"/>
      <c r="E118" s="6316" t="s">
        <v>1161</v>
      </c>
    </row>
    <row r="119" spans="1:90">
      <c r="A119" s="5719"/>
      <c r="B119" s="396" t="s">
        <v>1162</v>
      </c>
      <c r="C119" s="1397" t="s">
        <v>1163</v>
      </c>
      <c r="D119" s="1392" t="s">
        <v>1164</v>
      </c>
      <c r="E119" s="6317"/>
    </row>
    <row r="120" spans="1:90">
      <c r="A120" s="2186" t="s">
        <v>91</v>
      </c>
      <c r="B120" s="2256"/>
      <c r="C120" s="2257"/>
      <c r="D120" s="2258"/>
      <c r="E120" s="2259"/>
    </row>
    <row r="121" spans="1:90" s="385" customFormat="1" ht="18" customHeight="1">
      <c r="A121" s="2244" t="s">
        <v>1165</v>
      </c>
      <c r="B121" s="1493"/>
      <c r="C121" s="1493"/>
      <c r="D121" s="1582"/>
      <c r="E121" s="1582"/>
      <c r="F121" s="1582"/>
      <c r="G121" s="1582"/>
      <c r="H121" s="2168"/>
      <c r="I121" s="2168"/>
      <c r="J121" s="2168"/>
    </row>
    <row r="122" spans="1:90">
      <c r="A122" s="6298" t="s">
        <v>236</v>
      </c>
      <c r="B122" s="6140" t="s">
        <v>475</v>
      </c>
      <c r="C122" s="6139"/>
      <c r="D122" s="6119"/>
      <c r="E122" s="6137" t="s">
        <v>1166</v>
      </c>
      <c r="F122" s="6137"/>
      <c r="G122" s="6137" t="s">
        <v>1167</v>
      </c>
      <c r="H122" s="6137"/>
      <c r="I122" s="6137" t="s">
        <v>1168</v>
      </c>
      <c r="J122" s="6137"/>
    </row>
    <row r="123" spans="1:90">
      <c r="A123" s="6300"/>
      <c r="B123" s="396" t="s">
        <v>93</v>
      </c>
      <c r="C123" s="1397" t="s">
        <v>72</v>
      </c>
      <c r="D123" s="393" t="s">
        <v>73</v>
      </c>
      <c r="E123" s="1395" t="s">
        <v>72</v>
      </c>
      <c r="F123" s="393" t="s">
        <v>73</v>
      </c>
      <c r="G123" s="1395" t="s">
        <v>72</v>
      </c>
      <c r="H123" s="393" t="s">
        <v>73</v>
      </c>
      <c r="I123" s="1395" t="s">
        <v>72</v>
      </c>
      <c r="J123" s="393" t="s">
        <v>73</v>
      </c>
    </row>
    <row r="124" spans="1:90" ht="21">
      <c r="A124" s="2153" t="s">
        <v>1169</v>
      </c>
      <c r="B124" s="1988">
        <f t="shared" si="62"/>
        <v>0</v>
      </c>
      <c r="C124" s="1980">
        <f t="shared" ref="C124:D126" si="69">+E124+G124+I124</f>
        <v>0</v>
      </c>
      <c r="D124" s="1736">
        <f>+F124+H124+J124</f>
        <v>0</v>
      </c>
      <c r="E124" s="448"/>
      <c r="F124" s="2229"/>
      <c r="G124" s="448"/>
      <c r="H124" s="2229"/>
      <c r="I124" s="448"/>
      <c r="J124" s="449"/>
    </row>
    <row r="125" spans="1:90" ht="21">
      <c r="A125" s="2260" t="s">
        <v>1170</v>
      </c>
      <c r="B125" s="2002">
        <f t="shared" si="62"/>
        <v>0</v>
      </c>
      <c r="C125" s="2003">
        <f t="shared" si="69"/>
        <v>0</v>
      </c>
      <c r="D125" s="1753">
        <f t="shared" si="69"/>
        <v>0</v>
      </c>
      <c r="E125" s="413"/>
      <c r="F125" s="2261"/>
      <c r="G125" s="413"/>
      <c r="H125" s="2261"/>
      <c r="I125" s="413"/>
      <c r="J125" s="412"/>
    </row>
    <row r="126" spans="1:90" ht="31.5">
      <c r="A126" s="453" t="s">
        <v>1171</v>
      </c>
      <c r="B126" s="2144">
        <f t="shared" si="62"/>
        <v>0</v>
      </c>
      <c r="C126" s="1985">
        <f t="shared" si="69"/>
        <v>0</v>
      </c>
      <c r="D126" s="1757">
        <f t="shared" si="69"/>
        <v>0</v>
      </c>
      <c r="E126" s="435"/>
      <c r="F126" s="2252"/>
      <c r="G126" s="435"/>
      <c r="H126" s="434"/>
      <c r="I126" s="435"/>
      <c r="J126" s="2252"/>
    </row>
    <row r="127" spans="1:90" s="385" customFormat="1" ht="18" customHeight="1">
      <c r="A127" s="2244" t="s">
        <v>1172</v>
      </c>
      <c r="B127" s="2262"/>
      <c r="C127" s="2263"/>
      <c r="D127" s="2263"/>
      <c r="E127" s="1582"/>
      <c r="F127" s="2264"/>
      <c r="G127" s="2265"/>
      <c r="H127" s="2265"/>
    </row>
    <row r="128" spans="1:90" ht="23.25" customHeight="1">
      <c r="A128" s="6119" t="s">
        <v>236</v>
      </c>
      <c r="B128" s="6298" t="s">
        <v>91</v>
      </c>
      <c r="C128" s="6140" t="s">
        <v>1173</v>
      </c>
      <c r="D128" s="6119"/>
      <c r="E128" s="6140" t="s">
        <v>1174</v>
      </c>
      <c r="F128" s="6119"/>
      <c r="G128" s="5710" t="s">
        <v>1175</v>
      </c>
      <c r="H128" s="6106"/>
      <c r="I128" s="5712"/>
    </row>
    <row r="129" spans="1:93" ht="42">
      <c r="A129" s="6116"/>
      <c r="B129" s="6300"/>
      <c r="C129" s="1395" t="s">
        <v>72</v>
      </c>
      <c r="D129" s="1584" t="s">
        <v>73</v>
      </c>
      <c r="E129" s="1396" t="s">
        <v>1176</v>
      </c>
      <c r="F129" s="393" t="s">
        <v>1177</v>
      </c>
      <c r="G129" s="1396" t="s">
        <v>1178</v>
      </c>
      <c r="H129" s="1646" t="s">
        <v>1179</v>
      </c>
      <c r="I129" s="393" t="s">
        <v>1180</v>
      </c>
    </row>
    <row r="130" spans="1:93">
      <c r="A130" s="2266" t="s">
        <v>1181</v>
      </c>
      <c r="B130" s="2267">
        <f t="shared" si="62"/>
        <v>0</v>
      </c>
      <c r="C130" s="2268"/>
      <c r="D130" s="2269"/>
      <c r="E130" s="2268"/>
      <c r="F130" s="2270"/>
      <c r="G130" s="2268"/>
      <c r="H130" s="2268"/>
      <c r="I130" s="2270"/>
    </row>
    <row r="131" spans="1:93" s="385" customFormat="1" ht="18" customHeight="1">
      <c r="A131" s="2271" t="s">
        <v>1182</v>
      </c>
      <c r="C131" s="1582"/>
      <c r="E131" s="1582"/>
      <c r="F131" s="1582"/>
      <c r="G131" s="1582"/>
      <c r="H131" s="1582"/>
      <c r="I131" s="1582"/>
      <c r="J131" s="1582"/>
      <c r="K131" s="1582"/>
      <c r="L131" s="1582"/>
      <c r="M131" s="1582"/>
      <c r="N131" s="1582"/>
      <c r="O131" s="1582"/>
      <c r="P131" s="1582"/>
      <c r="Q131" s="1582"/>
      <c r="R131" s="1582"/>
      <c r="S131" s="1582"/>
      <c r="T131" s="1582"/>
      <c r="U131" s="1582"/>
      <c r="V131" s="1582"/>
      <c r="W131" s="1582"/>
      <c r="X131" s="1582"/>
      <c r="Y131" s="1582"/>
      <c r="Z131" s="1582"/>
      <c r="AA131" s="1582"/>
      <c r="AB131" s="1582"/>
      <c r="AC131" s="1582"/>
      <c r="AD131" s="1582"/>
      <c r="AE131" s="1582"/>
      <c r="AF131" s="1582"/>
      <c r="AG131" s="1582"/>
      <c r="AH131" s="1582"/>
      <c r="AI131" s="1582"/>
      <c r="AJ131" s="1582"/>
      <c r="AK131" s="1582"/>
      <c r="AL131" s="1582"/>
      <c r="AM131" s="1582"/>
      <c r="AN131" s="1582"/>
      <c r="AO131" s="1582"/>
      <c r="AP131" s="1582"/>
      <c r="AQ131" s="1582"/>
      <c r="AR131" s="1582"/>
    </row>
    <row r="132" spans="1:93">
      <c r="A132" s="6298" t="s">
        <v>236</v>
      </c>
      <c r="B132" s="6298" t="s">
        <v>41</v>
      </c>
      <c r="C132" s="6140" t="s">
        <v>475</v>
      </c>
      <c r="D132" s="6139"/>
      <c r="E132" s="6119"/>
      <c r="F132" s="5710" t="s">
        <v>115</v>
      </c>
      <c r="G132" s="6106"/>
      <c r="H132" s="6106"/>
      <c r="I132" s="6106"/>
      <c r="J132" s="6106"/>
      <c r="K132" s="6106"/>
      <c r="L132" s="6106"/>
      <c r="M132" s="6106"/>
      <c r="N132" s="6106"/>
      <c r="O132" s="6106"/>
      <c r="P132" s="6106"/>
      <c r="Q132" s="6106"/>
      <c r="R132" s="6106"/>
      <c r="S132" s="6106"/>
      <c r="T132" s="6106"/>
      <c r="U132" s="6106"/>
      <c r="V132" s="6106"/>
      <c r="W132" s="6106"/>
      <c r="X132" s="6106"/>
      <c r="Y132" s="6106"/>
      <c r="Z132" s="6106"/>
      <c r="AA132" s="6106"/>
      <c r="AB132" s="6106"/>
      <c r="AC132" s="6106"/>
      <c r="AD132" s="6106"/>
      <c r="AE132" s="6106"/>
      <c r="AF132" s="6106"/>
      <c r="AG132" s="6106"/>
      <c r="AH132" s="6106"/>
      <c r="AI132" s="6106"/>
      <c r="AJ132" s="6106"/>
      <c r="AK132" s="6106"/>
      <c r="AL132" s="6106"/>
      <c r="AM132" s="5716"/>
      <c r="AN132" s="5714" t="s">
        <v>625</v>
      </c>
      <c r="AO132" s="6304" t="s">
        <v>48</v>
      </c>
      <c r="AP132" s="6307" t="s">
        <v>49</v>
      </c>
      <c r="AQ132" s="6135" t="s">
        <v>50</v>
      </c>
      <c r="AR132" s="6119" t="s">
        <v>51</v>
      </c>
    </row>
    <row r="133" spans="1:93">
      <c r="A133" s="6299"/>
      <c r="B133" s="6299"/>
      <c r="C133" s="6114"/>
      <c r="D133" s="6115"/>
      <c r="E133" s="6116"/>
      <c r="F133" s="5710" t="s">
        <v>364</v>
      </c>
      <c r="G133" s="5712"/>
      <c r="H133" s="5710" t="s">
        <v>347</v>
      </c>
      <c r="I133" s="5712"/>
      <c r="J133" s="5710" t="s">
        <v>108</v>
      </c>
      <c r="K133" s="5712"/>
      <c r="L133" s="5710" t="s">
        <v>58</v>
      </c>
      <c r="M133" s="5712"/>
      <c r="N133" s="5710" t="s">
        <v>59</v>
      </c>
      <c r="O133" s="5712"/>
      <c r="P133" s="5707" t="s">
        <v>60</v>
      </c>
      <c r="Q133" s="5709"/>
      <c r="R133" s="5707" t="s">
        <v>61</v>
      </c>
      <c r="S133" s="5709"/>
      <c r="T133" s="5707" t="s">
        <v>62</v>
      </c>
      <c r="U133" s="5709"/>
      <c r="V133" s="5707" t="s">
        <v>63</v>
      </c>
      <c r="W133" s="5709"/>
      <c r="X133" s="5707" t="s">
        <v>64</v>
      </c>
      <c r="Y133" s="5709"/>
      <c r="Z133" s="5707" t="s">
        <v>65</v>
      </c>
      <c r="AA133" s="5709"/>
      <c r="AB133" s="5707" t="s">
        <v>66</v>
      </c>
      <c r="AC133" s="5709"/>
      <c r="AD133" s="5707" t="s">
        <v>67</v>
      </c>
      <c r="AE133" s="5709"/>
      <c r="AF133" s="5707" t="s">
        <v>68</v>
      </c>
      <c r="AG133" s="5709"/>
      <c r="AH133" s="5707" t="s">
        <v>69</v>
      </c>
      <c r="AI133" s="5709"/>
      <c r="AJ133" s="5707" t="s">
        <v>70</v>
      </c>
      <c r="AK133" s="5709"/>
      <c r="AL133" s="5707" t="s">
        <v>497</v>
      </c>
      <c r="AM133" s="6147"/>
      <c r="AN133" s="6138"/>
      <c r="AO133" s="6305"/>
      <c r="AP133" s="6308"/>
      <c r="AQ133" s="6302"/>
      <c r="AR133" s="6120"/>
    </row>
    <row r="134" spans="1:93" ht="58.5" customHeight="1">
      <c r="A134" s="6300"/>
      <c r="B134" s="6300"/>
      <c r="C134" s="1471" t="s">
        <v>93</v>
      </c>
      <c r="D134" s="1702" t="s">
        <v>72</v>
      </c>
      <c r="E134" s="1394" t="s">
        <v>73</v>
      </c>
      <c r="F134" s="1395" t="s">
        <v>72</v>
      </c>
      <c r="G134" s="1394" t="s">
        <v>73</v>
      </c>
      <c r="H134" s="1395" t="s">
        <v>72</v>
      </c>
      <c r="I134" s="1394" t="s">
        <v>73</v>
      </c>
      <c r="J134" s="1395" t="s">
        <v>72</v>
      </c>
      <c r="K134" s="1394" t="s">
        <v>73</v>
      </c>
      <c r="L134" s="1395" t="s">
        <v>72</v>
      </c>
      <c r="M134" s="1394" t="s">
        <v>73</v>
      </c>
      <c r="N134" s="1395" t="s">
        <v>72</v>
      </c>
      <c r="O134" s="1394" t="s">
        <v>73</v>
      </c>
      <c r="P134" s="1395" t="s">
        <v>72</v>
      </c>
      <c r="Q134" s="1394" t="s">
        <v>73</v>
      </c>
      <c r="R134" s="1395" t="s">
        <v>72</v>
      </c>
      <c r="S134" s="1394" t="s">
        <v>73</v>
      </c>
      <c r="T134" s="1395" t="s">
        <v>72</v>
      </c>
      <c r="U134" s="1394" t="s">
        <v>73</v>
      </c>
      <c r="V134" s="1395" t="s">
        <v>72</v>
      </c>
      <c r="W134" s="1394" t="s">
        <v>73</v>
      </c>
      <c r="X134" s="1395" t="s">
        <v>72</v>
      </c>
      <c r="Y134" s="1394" t="s">
        <v>73</v>
      </c>
      <c r="Z134" s="1395" t="s">
        <v>72</v>
      </c>
      <c r="AA134" s="1394" t="s">
        <v>73</v>
      </c>
      <c r="AB134" s="1395" t="s">
        <v>72</v>
      </c>
      <c r="AC134" s="1394" t="s">
        <v>73</v>
      </c>
      <c r="AD134" s="1395" t="s">
        <v>72</v>
      </c>
      <c r="AE134" s="1394" t="s">
        <v>73</v>
      </c>
      <c r="AF134" s="1395" t="s">
        <v>72</v>
      </c>
      <c r="AG134" s="1394" t="s">
        <v>73</v>
      </c>
      <c r="AH134" s="1395" t="s">
        <v>72</v>
      </c>
      <c r="AI134" s="1394" t="s">
        <v>73</v>
      </c>
      <c r="AJ134" s="1395" t="s">
        <v>72</v>
      </c>
      <c r="AK134" s="1394" t="s">
        <v>73</v>
      </c>
      <c r="AL134" s="1395" t="s">
        <v>72</v>
      </c>
      <c r="AM134" s="2107" t="s">
        <v>73</v>
      </c>
      <c r="AN134" s="5715"/>
      <c r="AO134" s="6306"/>
      <c r="AP134" s="6309"/>
      <c r="AQ134" s="6136"/>
      <c r="AR134" s="6116"/>
    </row>
    <row r="135" spans="1:93">
      <c r="A135" s="6313" t="s">
        <v>1183</v>
      </c>
      <c r="B135" s="2272" t="s">
        <v>1184</v>
      </c>
      <c r="C135" s="2273">
        <f t="shared" ref="C135:C138" si="70">SUM(D135+E135)</f>
        <v>0</v>
      </c>
      <c r="D135" s="2274">
        <f t="shared" ref="D135:E138" si="71">SUM(F135+H135+J135+L135+N135+P135+R135+T135+V135+X135+Z135+AB135+AD135+AF135+AH135+AJ135+AL135)</f>
        <v>0</v>
      </c>
      <c r="E135" s="2275">
        <f t="shared" si="71"/>
        <v>0</v>
      </c>
      <c r="F135" s="1424"/>
      <c r="G135" s="1676"/>
      <c r="H135" s="1424"/>
      <c r="I135" s="1676"/>
      <c r="J135" s="1424"/>
      <c r="K135" s="1676"/>
      <c r="L135" s="1424"/>
      <c r="M135" s="1676"/>
      <c r="N135" s="1424"/>
      <c r="O135" s="1676"/>
      <c r="P135" s="1424"/>
      <c r="Q135" s="1676"/>
      <c r="R135" s="1424"/>
      <c r="S135" s="1676"/>
      <c r="T135" s="1424"/>
      <c r="U135" s="1676"/>
      <c r="V135" s="1424"/>
      <c r="W135" s="1676"/>
      <c r="X135" s="1424"/>
      <c r="Y135" s="1676"/>
      <c r="Z135" s="1424"/>
      <c r="AA135" s="1676"/>
      <c r="AB135" s="1424"/>
      <c r="AC135" s="1676"/>
      <c r="AD135" s="1424"/>
      <c r="AE135" s="1676"/>
      <c r="AF135" s="1424"/>
      <c r="AG135" s="1676"/>
      <c r="AH135" s="1424"/>
      <c r="AI135" s="1676"/>
      <c r="AJ135" s="1424"/>
      <c r="AK135" s="1676"/>
      <c r="AL135" s="1424"/>
      <c r="AM135" s="1428"/>
      <c r="AN135" s="1429"/>
      <c r="AO135" s="2276"/>
      <c r="AP135" s="2111"/>
      <c r="AQ135" s="1426"/>
      <c r="AR135" s="1436"/>
      <c r="AS135" t="str">
        <f t="shared" ref="AS135:AS137" si="72">CA135&amp;CB135&amp;CC135&amp;CD135&amp;CE135&amp;CF135&amp;CG135</f>
        <v/>
      </c>
      <c r="CA135" s="1708" t="str">
        <f t="shared" ref="CA135:CA137" si="73">IF(AND($C135&gt;0,AN135=""), " *No olvide digitar la variable Beneficiarios. Digite cero si no tiene.",IF(AN135&gt;$C135," *La variable Beneficiarios no puede ser mayor al Total Ambos sexos.",""))</f>
        <v/>
      </c>
      <c r="CB135" s="1708" t="str">
        <f t="shared" ref="CB135:CB137" si="74">IF(AND($C135&gt;0,AO135="")," *No olvide digitar la variable SENAME/ Servicio Nacional de Reinserción social Juvenil. Digite cero si no tiene.",IF(AO135&gt;$C135," *La variable SENAME/ Servicio Nacional de Reinserción social Juvenil, no puede ser mayor al Total Ambos sexos.",""))</f>
        <v/>
      </c>
      <c r="CC135" s="1708" t="str">
        <f t="shared" ref="CC135:CC137" si="75">IF(AND($C135&gt;0,AP135="")," *No olvide digitar la variable Servicio Nacional Protección Especializada a la Niñez y Adolescencia. Digite cero si no tiene.",IF(AP135&gt;$C135," *La variable Servicio Nacional Protección Especializada a la Niñez y Adolescencia, no puede ser mayor al Total Ambos sexos.",""))</f>
        <v/>
      </c>
      <c r="CD135" s="1708" t="str">
        <f t="shared" ref="CD135:CD137" si="76">IF(AND($C135&gt;0,AQ135="")," *No olvide digitar la variable Pueblos originarios. Digite cero si no tiene.",IF(AQ135&gt;$C135," *La variable Pueblos originarios no puede ser mayor al Total Ambos sexos.",""))</f>
        <v/>
      </c>
      <c r="CE135" s="1708" t="str">
        <f t="shared" ref="CE135:CE137" si="77">IF(AND($C135&gt;0,AR135="")," *No olvide digitar la variable Migrantes. Digite cero si no tiene.",IF(AR135&gt;$C135," *La variable Migrantes no puede ser mayor al Total Ambos sexos.",""))</f>
        <v/>
      </c>
      <c r="CK135" s="419">
        <f t="shared" ref="CK135:CK137" si="78">IF(AND(C135&gt;0,AN135=""),1,IF(AN135&gt;C135,1,0))</f>
        <v>0</v>
      </c>
      <c r="CL135" s="419">
        <f t="shared" ref="CL135:CL137" si="79">IF(AND(C135&gt;0,AO135=""),1,IF(AO135&gt;C135,1,0))</f>
        <v>0</v>
      </c>
      <c r="CM135" s="419">
        <f t="shared" ref="CM135:CM137" si="80">IF(AND(C135&gt;0,AP135=""),1,IF(AP135&gt;C135,1,0))</f>
        <v>0</v>
      </c>
      <c r="CN135" s="419">
        <f t="shared" ref="CN135:CN137" si="81">IF(AND(C135&gt;0,AQ135=""),1,IF(AQ135&gt;C135,1,0))</f>
        <v>0</v>
      </c>
      <c r="CO135" s="419">
        <f t="shared" ref="CO135:CO137" si="82">IF(AND(C135&gt;0,AR135=""),1,IF(AR135&gt;C135,1,0))</f>
        <v>0</v>
      </c>
    </row>
    <row r="136" spans="1:93">
      <c r="A136" s="6314"/>
      <c r="B136" s="2277" t="s">
        <v>1185</v>
      </c>
      <c r="C136" s="2278">
        <f t="shared" si="70"/>
        <v>0</v>
      </c>
      <c r="D136" s="2279">
        <f t="shared" si="71"/>
        <v>0</v>
      </c>
      <c r="E136" s="2280">
        <f t="shared" si="71"/>
        <v>0</v>
      </c>
      <c r="F136" s="1440"/>
      <c r="G136" s="1680"/>
      <c r="H136" s="1440"/>
      <c r="I136" s="1680"/>
      <c r="J136" s="1440"/>
      <c r="K136" s="1680"/>
      <c r="L136" s="1440"/>
      <c r="M136" s="1680"/>
      <c r="N136" s="1440"/>
      <c r="O136" s="1680"/>
      <c r="P136" s="1440"/>
      <c r="Q136" s="1680"/>
      <c r="R136" s="1440"/>
      <c r="S136" s="1680"/>
      <c r="T136" s="1440"/>
      <c r="U136" s="1680"/>
      <c r="V136" s="1440"/>
      <c r="W136" s="1680"/>
      <c r="X136" s="1440"/>
      <c r="Y136" s="1680"/>
      <c r="Z136" s="1440"/>
      <c r="AA136" s="1680"/>
      <c r="AB136" s="1440"/>
      <c r="AC136" s="1680"/>
      <c r="AD136" s="1440"/>
      <c r="AE136" s="1680"/>
      <c r="AF136" s="1440"/>
      <c r="AG136" s="1680"/>
      <c r="AH136" s="1440"/>
      <c r="AI136" s="1680"/>
      <c r="AJ136" s="1440"/>
      <c r="AK136" s="1680"/>
      <c r="AL136" s="1440"/>
      <c r="AM136" s="1444"/>
      <c r="AN136" s="1445"/>
      <c r="AO136" s="2281"/>
      <c r="AP136" s="2117"/>
      <c r="AQ136" s="1442"/>
      <c r="AR136" s="1452"/>
      <c r="AS136" t="str">
        <f t="shared" si="72"/>
        <v/>
      </c>
      <c r="CA136" s="1708" t="str">
        <f t="shared" si="73"/>
        <v/>
      </c>
      <c r="CB136" s="1708" t="str">
        <f t="shared" si="74"/>
        <v/>
      </c>
      <c r="CC136" s="1708" t="str">
        <f t="shared" si="75"/>
        <v/>
      </c>
      <c r="CD136" s="1708" t="str">
        <f t="shared" si="76"/>
        <v/>
      </c>
      <c r="CE136" s="1708" t="str">
        <f t="shared" si="77"/>
        <v/>
      </c>
      <c r="CK136" s="419">
        <f t="shared" si="78"/>
        <v>0</v>
      </c>
      <c r="CL136" s="419">
        <f t="shared" si="79"/>
        <v>0</v>
      </c>
      <c r="CM136" s="419">
        <f t="shared" si="80"/>
        <v>0</v>
      </c>
      <c r="CN136" s="419">
        <f t="shared" si="81"/>
        <v>0</v>
      </c>
      <c r="CO136" s="419">
        <f t="shared" si="82"/>
        <v>0</v>
      </c>
    </row>
    <row r="137" spans="1:93">
      <c r="A137" s="6314"/>
      <c r="B137" s="2277" t="s">
        <v>1186</v>
      </c>
      <c r="C137" s="2278">
        <f t="shared" si="70"/>
        <v>0</v>
      </c>
      <c r="D137" s="2279">
        <f t="shared" si="71"/>
        <v>0</v>
      </c>
      <c r="E137" s="2280">
        <f t="shared" si="71"/>
        <v>0</v>
      </c>
      <c r="F137" s="1455"/>
      <c r="G137" s="1684"/>
      <c r="H137" s="1455"/>
      <c r="I137" s="1684"/>
      <c r="J137" s="1455"/>
      <c r="K137" s="1684"/>
      <c r="L137" s="1455"/>
      <c r="M137" s="1684"/>
      <c r="N137" s="1455"/>
      <c r="O137" s="1684"/>
      <c r="P137" s="1455"/>
      <c r="Q137" s="1684"/>
      <c r="R137" s="1455"/>
      <c r="S137" s="1684"/>
      <c r="T137" s="1455"/>
      <c r="U137" s="1684"/>
      <c r="V137" s="1455"/>
      <c r="W137" s="1684"/>
      <c r="X137" s="1455"/>
      <c r="Y137" s="1684"/>
      <c r="Z137" s="1455"/>
      <c r="AA137" s="1684"/>
      <c r="AB137" s="1455"/>
      <c r="AC137" s="1684"/>
      <c r="AD137" s="1455"/>
      <c r="AE137" s="1684"/>
      <c r="AF137" s="1455"/>
      <c r="AG137" s="1684"/>
      <c r="AH137" s="1455"/>
      <c r="AI137" s="1684"/>
      <c r="AJ137" s="1455"/>
      <c r="AK137" s="1684"/>
      <c r="AL137" s="1455"/>
      <c r="AM137" s="1459"/>
      <c r="AN137" s="1460"/>
      <c r="AO137" s="2282"/>
      <c r="AP137" s="2148"/>
      <c r="AQ137" s="1457"/>
      <c r="AR137" s="1467"/>
      <c r="AS137" t="str">
        <f t="shared" si="72"/>
        <v/>
      </c>
      <c r="CA137" s="1708" t="str">
        <f t="shared" si="73"/>
        <v/>
      </c>
      <c r="CB137" s="1708" t="str">
        <f t="shared" si="74"/>
        <v/>
      </c>
      <c r="CC137" s="1708" t="str">
        <f t="shared" si="75"/>
        <v/>
      </c>
      <c r="CD137" s="1708" t="str">
        <f t="shared" si="76"/>
        <v/>
      </c>
      <c r="CE137" s="1708" t="str">
        <f t="shared" si="77"/>
        <v/>
      </c>
      <c r="CK137" s="419">
        <f t="shared" si="78"/>
        <v>0</v>
      </c>
      <c r="CL137" s="419">
        <f t="shared" si="79"/>
        <v>0</v>
      </c>
      <c r="CM137" s="419">
        <f t="shared" si="80"/>
        <v>0</v>
      </c>
      <c r="CN137" s="419">
        <f t="shared" si="81"/>
        <v>0</v>
      </c>
      <c r="CO137" s="419">
        <f t="shared" si="82"/>
        <v>0</v>
      </c>
    </row>
    <row r="138" spans="1:93">
      <c r="A138" s="6315"/>
      <c r="B138" s="1715" t="s">
        <v>91</v>
      </c>
      <c r="C138" s="1743">
        <f t="shared" si="70"/>
        <v>0</v>
      </c>
      <c r="D138" s="1744">
        <f t="shared" si="71"/>
        <v>0</v>
      </c>
      <c r="E138" s="1745">
        <f t="shared" si="71"/>
        <v>0</v>
      </c>
      <c r="F138" s="401">
        <f>SUM(F135:F137)</f>
        <v>0</v>
      </c>
      <c r="G138" s="392">
        <f t="shared" ref="G138:AR138" si="83">SUM(G135:G137)</f>
        <v>0</v>
      </c>
      <c r="H138" s="401">
        <f t="shared" si="83"/>
        <v>0</v>
      </c>
      <c r="I138" s="392">
        <f t="shared" si="83"/>
        <v>0</v>
      </c>
      <c r="J138" s="401">
        <f t="shared" si="83"/>
        <v>0</v>
      </c>
      <c r="K138" s="403">
        <f t="shared" si="83"/>
        <v>0</v>
      </c>
      <c r="L138" s="401">
        <f t="shared" si="83"/>
        <v>0</v>
      </c>
      <c r="M138" s="403">
        <f t="shared" si="83"/>
        <v>0</v>
      </c>
      <c r="N138" s="401">
        <f t="shared" si="83"/>
        <v>0</v>
      </c>
      <c r="O138" s="403">
        <f t="shared" si="83"/>
        <v>0</v>
      </c>
      <c r="P138" s="401">
        <f t="shared" si="83"/>
        <v>0</v>
      </c>
      <c r="Q138" s="403">
        <f t="shared" si="83"/>
        <v>0</v>
      </c>
      <c r="R138" s="401">
        <f t="shared" si="83"/>
        <v>0</v>
      </c>
      <c r="S138" s="403">
        <f t="shared" si="83"/>
        <v>0</v>
      </c>
      <c r="T138" s="401">
        <f t="shared" si="83"/>
        <v>0</v>
      </c>
      <c r="U138" s="403">
        <f t="shared" si="83"/>
        <v>0</v>
      </c>
      <c r="V138" s="401">
        <f t="shared" si="83"/>
        <v>0</v>
      </c>
      <c r="W138" s="403">
        <f t="shared" si="83"/>
        <v>0</v>
      </c>
      <c r="X138" s="401">
        <f t="shared" si="83"/>
        <v>0</v>
      </c>
      <c r="Y138" s="403">
        <f t="shared" si="83"/>
        <v>0</v>
      </c>
      <c r="Z138" s="401">
        <f t="shared" si="83"/>
        <v>0</v>
      </c>
      <c r="AA138" s="403">
        <f t="shared" si="83"/>
        <v>0</v>
      </c>
      <c r="AB138" s="401">
        <f t="shared" si="83"/>
        <v>0</v>
      </c>
      <c r="AC138" s="403">
        <f t="shared" si="83"/>
        <v>0</v>
      </c>
      <c r="AD138" s="401">
        <f t="shared" si="83"/>
        <v>0</v>
      </c>
      <c r="AE138" s="403">
        <f t="shared" si="83"/>
        <v>0</v>
      </c>
      <c r="AF138" s="401">
        <f t="shared" si="83"/>
        <v>0</v>
      </c>
      <c r="AG138" s="403">
        <f t="shared" si="83"/>
        <v>0</v>
      </c>
      <c r="AH138" s="401">
        <f t="shared" si="83"/>
        <v>0</v>
      </c>
      <c r="AI138" s="403">
        <f t="shared" si="83"/>
        <v>0</v>
      </c>
      <c r="AJ138" s="401">
        <f t="shared" si="83"/>
        <v>0</v>
      </c>
      <c r="AK138" s="403">
        <f t="shared" si="83"/>
        <v>0</v>
      </c>
      <c r="AL138" s="1555">
        <f t="shared" si="83"/>
        <v>0</v>
      </c>
      <c r="AM138" s="440">
        <f t="shared" si="83"/>
        <v>0</v>
      </c>
      <c r="AN138" s="2060">
        <f t="shared" si="83"/>
        <v>0</v>
      </c>
      <c r="AO138" s="1501">
        <f t="shared" si="83"/>
        <v>0</v>
      </c>
      <c r="AP138" s="1501">
        <f>SUM(AP135:AP137)</f>
        <v>0</v>
      </c>
      <c r="AQ138" s="1501">
        <f t="shared" si="83"/>
        <v>0</v>
      </c>
      <c r="AR138" s="392">
        <f t="shared" si="83"/>
        <v>0</v>
      </c>
    </row>
    <row r="139" spans="1:93" s="385" customFormat="1" ht="18" customHeight="1">
      <c r="A139" s="2283" t="s">
        <v>1187</v>
      </c>
      <c r="B139" s="2283"/>
      <c r="C139" s="2283"/>
      <c r="D139" s="2283"/>
      <c r="E139" s="2283"/>
      <c r="F139" s="2283"/>
      <c r="G139" s="2283"/>
      <c r="H139" s="1960"/>
      <c r="I139" s="1493"/>
    </row>
    <row r="140" spans="1:93" ht="15" customHeight="1">
      <c r="A140" s="6298" t="s">
        <v>43</v>
      </c>
      <c r="B140" s="5707" t="s">
        <v>1188</v>
      </c>
      <c r="C140" s="5708"/>
      <c r="D140" s="5708"/>
      <c r="E140" s="5708"/>
      <c r="F140" s="5709"/>
      <c r="G140" s="6256" t="s">
        <v>1189</v>
      </c>
      <c r="H140" s="6153" t="s">
        <v>1190</v>
      </c>
      <c r="I140" s="6137"/>
    </row>
    <row r="141" spans="1:93" ht="15" customHeight="1">
      <c r="A141" s="6299"/>
      <c r="B141" s="6152" t="s">
        <v>91</v>
      </c>
      <c r="C141" s="5707" t="s">
        <v>1191</v>
      </c>
      <c r="D141" s="5708"/>
      <c r="E141" s="5708"/>
      <c r="F141" s="5709"/>
      <c r="G141" s="6257"/>
      <c r="H141" s="6156"/>
      <c r="I141" s="6137"/>
    </row>
    <row r="142" spans="1:93" ht="31.5">
      <c r="A142" s="6300"/>
      <c r="B142" s="6155"/>
      <c r="C142" s="1395" t="s">
        <v>1192</v>
      </c>
      <c r="D142" s="1396" t="s">
        <v>113</v>
      </c>
      <c r="E142" s="1646" t="s">
        <v>1193</v>
      </c>
      <c r="F142" s="1584" t="s">
        <v>1194</v>
      </c>
      <c r="G142" s="6258"/>
      <c r="H142" s="1733" t="s">
        <v>1195</v>
      </c>
      <c r="I142" s="393" t="s">
        <v>1189</v>
      </c>
    </row>
    <row r="143" spans="1:93" ht="15" customHeight="1">
      <c r="A143" s="1947" t="s">
        <v>496</v>
      </c>
      <c r="B143" s="2284">
        <f t="shared" ref="B143:B150" si="84">SUM(C143:F143)+H143</f>
        <v>0</v>
      </c>
      <c r="C143" s="1440"/>
      <c r="D143" s="1441"/>
      <c r="E143" s="1442"/>
      <c r="F143" s="1680"/>
      <c r="G143" s="1657"/>
      <c r="H143" s="1709"/>
      <c r="I143" s="1452"/>
    </row>
    <row r="144" spans="1:93" ht="15" customHeight="1">
      <c r="A144" s="1947" t="s">
        <v>347</v>
      </c>
      <c r="B144" s="2284">
        <f t="shared" si="84"/>
        <v>0</v>
      </c>
      <c r="C144" s="1440"/>
      <c r="D144" s="1441"/>
      <c r="E144" s="1442"/>
      <c r="F144" s="1680"/>
      <c r="G144" s="1657"/>
      <c r="H144" s="1709"/>
      <c r="I144" s="1452"/>
    </row>
    <row r="145" spans="1:95" ht="15" customHeight="1">
      <c r="A145" s="2285" t="s">
        <v>108</v>
      </c>
      <c r="B145" s="2284">
        <f t="shared" si="84"/>
        <v>0</v>
      </c>
      <c r="C145" s="1440"/>
      <c r="D145" s="1441"/>
      <c r="E145" s="1442"/>
      <c r="F145" s="1680"/>
      <c r="G145" s="1657"/>
      <c r="H145" s="1709"/>
      <c r="I145" s="1452"/>
    </row>
    <row r="146" spans="1:95" ht="15" customHeight="1">
      <c r="A146" s="2285" t="s">
        <v>58</v>
      </c>
      <c r="B146" s="2284">
        <f t="shared" si="84"/>
        <v>0</v>
      </c>
      <c r="C146" s="1440"/>
      <c r="D146" s="1441"/>
      <c r="E146" s="1442"/>
      <c r="F146" s="1680"/>
      <c r="G146" s="1657"/>
      <c r="H146" s="1709"/>
      <c r="I146" s="1452"/>
    </row>
    <row r="147" spans="1:95" ht="15" customHeight="1">
      <c r="A147" s="1947" t="s">
        <v>59</v>
      </c>
      <c r="B147" s="2284">
        <f t="shared" si="84"/>
        <v>0</v>
      </c>
      <c r="C147" s="1440"/>
      <c r="D147" s="1441"/>
      <c r="E147" s="1442"/>
      <c r="F147" s="1680"/>
      <c r="G147" s="1657"/>
      <c r="H147" s="1709"/>
      <c r="I147" s="1452"/>
    </row>
    <row r="148" spans="1:95" ht="15" customHeight="1">
      <c r="A148" s="1947" t="s">
        <v>348</v>
      </c>
      <c r="B148" s="2284">
        <f t="shared" si="84"/>
        <v>0</v>
      </c>
      <c r="C148" s="1440"/>
      <c r="D148" s="1441"/>
      <c r="E148" s="1442"/>
      <c r="F148" s="1680"/>
      <c r="G148" s="1657"/>
      <c r="H148" s="1709"/>
      <c r="I148" s="1452"/>
    </row>
    <row r="149" spans="1:95" ht="15" customHeight="1">
      <c r="A149" s="1512" t="s">
        <v>481</v>
      </c>
      <c r="B149" s="2286">
        <f t="shared" si="84"/>
        <v>0</v>
      </c>
      <c r="C149" s="1485"/>
      <c r="D149" s="1826"/>
      <c r="E149" s="1712"/>
      <c r="F149" s="1824"/>
      <c r="G149" s="2121"/>
      <c r="H149" s="1711"/>
      <c r="I149" s="1692"/>
    </row>
    <row r="150" spans="1:95" ht="15" customHeight="1">
      <c r="A150" s="1718" t="s">
        <v>71</v>
      </c>
      <c r="B150" s="2287">
        <f t="shared" si="84"/>
        <v>0</v>
      </c>
      <c r="C150" s="1455"/>
      <c r="D150" s="1456"/>
      <c r="E150" s="1457"/>
      <c r="F150" s="1684"/>
      <c r="G150" s="1664"/>
      <c r="H150" s="1714"/>
      <c r="I150" s="1467"/>
    </row>
    <row r="151" spans="1:95" ht="18" customHeight="1">
      <c r="A151" s="378" t="s">
        <v>1196</v>
      </c>
    </row>
    <row r="152" spans="1:95" s="385" customFormat="1" ht="18" customHeight="1">
      <c r="A152" s="2288" t="s">
        <v>1197</v>
      </c>
      <c r="B152" s="1582"/>
      <c r="C152" s="1582"/>
    </row>
    <row r="153" spans="1:95" ht="21">
      <c r="A153" s="2289" t="s">
        <v>1198</v>
      </c>
      <c r="B153" s="2290" t="s">
        <v>1199</v>
      </c>
      <c r="C153" s="2290" t="s">
        <v>1200</v>
      </c>
    </row>
    <row r="154" spans="1:95" ht="21">
      <c r="A154" s="2291" t="s">
        <v>1201</v>
      </c>
      <c r="B154" s="1452"/>
      <c r="C154" s="1446"/>
    </row>
    <row r="155" spans="1:95">
      <c r="A155" s="2292" t="s">
        <v>1202</v>
      </c>
      <c r="B155" s="1467"/>
      <c r="C155" s="1461"/>
    </row>
    <row r="156" spans="1:95" s="385" customFormat="1" ht="18" customHeight="1">
      <c r="A156" s="6312" t="s">
        <v>1203</v>
      </c>
      <c r="B156" s="6312"/>
      <c r="C156" s="6312"/>
      <c r="D156" s="6312"/>
      <c r="E156" s="6312"/>
      <c r="F156" s="1582"/>
      <c r="G156" s="1582"/>
      <c r="H156" s="1582"/>
      <c r="I156" s="1582"/>
      <c r="J156" s="1582"/>
      <c r="K156" s="1582"/>
      <c r="L156" s="1582"/>
      <c r="M156" s="1582"/>
      <c r="N156" s="1582"/>
      <c r="O156" s="1582"/>
      <c r="P156" s="1493"/>
      <c r="Q156" s="1493"/>
      <c r="R156" s="1582"/>
      <c r="S156" s="1582"/>
      <c r="T156" s="1582"/>
      <c r="U156" s="1582"/>
      <c r="V156" s="1582"/>
      <c r="W156" s="1582"/>
      <c r="X156" s="1582"/>
      <c r="Y156" s="1582"/>
      <c r="Z156" s="1582"/>
      <c r="AA156" s="1582"/>
      <c r="AB156" s="1582"/>
      <c r="AC156" s="1582"/>
      <c r="AD156" s="1582"/>
      <c r="AE156" s="1582"/>
      <c r="AF156" s="1582"/>
      <c r="AG156" s="1582"/>
      <c r="AH156" s="1582"/>
      <c r="AI156" s="1582"/>
      <c r="AJ156" s="1582"/>
      <c r="AK156" s="1582"/>
      <c r="AL156" s="1582"/>
      <c r="AM156" s="1582"/>
      <c r="AN156" s="1582"/>
      <c r="AO156" s="1582"/>
      <c r="AP156" s="1582"/>
      <c r="AQ156" s="1582"/>
      <c r="AR156" s="1582"/>
      <c r="AS156" s="1582"/>
    </row>
    <row r="157" spans="1:95" ht="15" customHeight="1">
      <c r="A157" s="6298" t="s">
        <v>236</v>
      </c>
      <c r="B157" s="6298" t="s">
        <v>41</v>
      </c>
      <c r="C157" s="6140" t="s">
        <v>1204</v>
      </c>
      <c r="D157" s="6139"/>
      <c r="E157" s="6119"/>
      <c r="F157" s="6137" t="s">
        <v>115</v>
      </c>
      <c r="G157" s="6137"/>
      <c r="H157" s="6137"/>
      <c r="I157" s="6137"/>
      <c r="J157" s="6137"/>
      <c r="K157" s="6137"/>
      <c r="L157" s="6137"/>
      <c r="M157" s="6148"/>
      <c r="N157" s="6203" t="s">
        <v>1205</v>
      </c>
      <c r="O157" s="6135" t="s">
        <v>1206</v>
      </c>
      <c r="P157" s="6135" t="s">
        <v>1207</v>
      </c>
      <c r="Q157" s="6221" t="s">
        <v>1208</v>
      </c>
      <c r="R157" s="5714" t="s">
        <v>625</v>
      </c>
      <c r="S157" s="6304" t="s">
        <v>49</v>
      </c>
      <c r="T157" s="6307" t="s">
        <v>48</v>
      </c>
      <c r="U157" s="6133" t="s">
        <v>50</v>
      </c>
      <c r="V157" s="6119" t="s">
        <v>51</v>
      </c>
      <c r="W157" s="5710" t="s">
        <v>478</v>
      </c>
      <c r="X157" s="5712"/>
    </row>
    <row r="158" spans="1:95">
      <c r="A158" s="6299"/>
      <c r="B158" s="6299"/>
      <c r="C158" s="6114"/>
      <c r="D158" s="6115"/>
      <c r="E158" s="6116"/>
      <c r="F158" s="6137" t="s">
        <v>479</v>
      </c>
      <c r="G158" s="6137"/>
      <c r="H158" s="6137" t="s">
        <v>1209</v>
      </c>
      <c r="I158" s="6137"/>
      <c r="J158" s="6137" t="s">
        <v>1210</v>
      </c>
      <c r="K158" s="6137"/>
      <c r="L158" s="6137" t="s">
        <v>1211</v>
      </c>
      <c r="M158" s="6148"/>
      <c r="N158" s="6268"/>
      <c r="O158" s="6302"/>
      <c r="P158" s="6302"/>
      <c r="Q158" s="6303"/>
      <c r="R158" s="6138"/>
      <c r="S158" s="6305"/>
      <c r="T158" s="6308"/>
      <c r="U158" s="6235"/>
      <c r="V158" s="6120"/>
      <c r="W158" s="6187" t="s">
        <v>483</v>
      </c>
      <c r="X158" s="6119" t="s">
        <v>484</v>
      </c>
    </row>
    <row r="159" spans="1:95" ht="53.25" customHeight="1">
      <c r="A159" s="6300"/>
      <c r="B159" s="6300"/>
      <c r="C159" s="1471" t="s">
        <v>93</v>
      </c>
      <c r="D159" s="1702" t="s">
        <v>72</v>
      </c>
      <c r="E159" s="1394" t="s">
        <v>73</v>
      </c>
      <c r="F159" s="1395" t="s">
        <v>72</v>
      </c>
      <c r="G159" s="393" t="s">
        <v>73</v>
      </c>
      <c r="H159" s="1395" t="s">
        <v>72</v>
      </c>
      <c r="I159" s="393" t="s">
        <v>73</v>
      </c>
      <c r="J159" s="1395" t="s">
        <v>72</v>
      </c>
      <c r="K159" s="393" t="s">
        <v>73</v>
      </c>
      <c r="L159" s="1395" t="s">
        <v>72</v>
      </c>
      <c r="M159" s="394" t="s">
        <v>73</v>
      </c>
      <c r="N159" s="6204"/>
      <c r="O159" s="6136"/>
      <c r="P159" s="6136"/>
      <c r="Q159" s="6222"/>
      <c r="R159" s="5715"/>
      <c r="S159" s="6306"/>
      <c r="T159" s="6309"/>
      <c r="U159" s="6134"/>
      <c r="V159" s="6116"/>
      <c r="W159" s="6188"/>
      <c r="X159" s="6116"/>
    </row>
    <row r="160" spans="1:95">
      <c r="A160" s="6205" t="s">
        <v>1212</v>
      </c>
      <c r="B160" s="2108" t="s">
        <v>78</v>
      </c>
      <c r="C160" s="1988">
        <f t="shared" ref="C160:C162" si="85">SUM(D160:E160)</f>
        <v>0</v>
      </c>
      <c r="D160" s="2109">
        <f t="shared" ref="D160:D162" si="86">SUM(F160+H160+J160+L160)</f>
        <v>0</v>
      </c>
      <c r="E160" s="2294">
        <f t="shared" ref="E160:E162" si="87">SUM(G160+I160+K160+M160)</f>
        <v>0</v>
      </c>
      <c r="F160" s="1424"/>
      <c r="G160" s="1425"/>
      <c r="H160" s="1424"/>
      <c r="I160" s="1425"/>
      <c r="J160" s="1424"/>
      <c r="K160" s="1425"/>
      <c r="L160" s="1424"/>
      <c r="M160" s="1650"/>
      <c r="N160" s="1707"/>
      <c r="O160" s="1426"/>
      <c r="P160" s="1426"/>
      <c r="Q160" s="1650"/>
      <c r="R160" s="1429"/>
      <c r="S160" s="2276"/>
      <c r="T160" s="2111"/>
      <c r="U160" s="1425"/>
      <c r="V160" s="1436"/>
      <c r="W160" s="1424"/>
      <c r="X160" s="1436"/>
      <c r="Y160" t="str">
        <f t="shared" ref="Y160:Y168" si="88">CA160&amp;CB160&amp;CC160&amp;CD160&amp;CE160&amp;CF160&amp;CG160</f>
        <v/>
      </c>
      <c r="CA160" s="1708" t="str">
        <f t="shared" ref="CA160:CA168" si="89">IF(AND($C160&gt;0,R160="")," *No olvide digitar la variable Beneficiarios. Digite cero si no tiene.",IF(R160&gt;$C160," *La variable Beneficiarios no puede ser mayor al Total Ambos Sexos.",""))</f>
        <v/>
      </c>
      <c r="CB160" s="1708" t="str">
        <f t="shared" ref="CB160:CB162" si="90">IF(AND($C160&gt;0,S160="")," *No olvide digitar la variable Servicio Nacional Protección Especializada a la Niñez y Adolescencia. Digite cero si no tiene.",IF(S160&gt;$C160," *La variable Servicio Nacional Protección Especializada a la Niñez y Adolescencia no puede ser mayor al Total Ambos Sexos.",""))</f>
        <v/>
      </c>
      <c r="CC160" s="1708" t="str">
        <f t="shared" ref="CC160:CC162" si="91">IF(AND($C160&gt;0,T160="")," *No olvide digitar la variable SENAME/Servicio Nacional de Reinserción social Juvenil. Digite cero si no tiene.",IF(T160&gt;$C160," *La variable SENAME/ Servicio Nacional de Reinserción social Juvenil  no puede ser mayor al Total Ambos Sexos.",""))</f>
        <v/>
      </c>
      <c r="CD160" s="1708" t="str">
        <f t="shared" ref="CD160:CD168" si="92">IF(AND($C160&gt;0,U160="")," *No olvide digitar la variable Pueblos Originarios. Digite cero si no tiene.",IF(U160&gt;$C160," *La variable Pueblos Originarios no puede ser mayor al Total Ambos Sexos.",""))</f>
        <v/>
      </c>
      <c r="CE160" s="1708" t="str">
        <f t="shared" ref="CE160:CE168" si="93">IF(AND($C160&gt;0,V160="")," *No olvide digitar la variable Migrantes. Digite cero si no tiene.",IF(V160&gt;$C160," *La variable Migrantes no puede ser mayor al Total Ambos Sexos.",""))</f>
        <v/>
      </c>
      <c r="CF160" s="1708" t="str">
        <f t="shared" ref="CF160:CF168" si="94">IF(AND($E160&gt;0,OR(W160=""))," *No olvide digitar la variable Trans (Masculino). Digite cero si no tiene.",IF((W160)&gt;$E160," *La variable Trans (Masculino) no puede ser mayor al Total Mujeres.",""))</f>
        <v/>
      </c>
      <c r="CG160" s="1708" t="str">
        <f t="shared" ref="CG160:CG168" si="95">IF(AND($D160&gt;0,OR(X160=""))," *No olvide digitar la variable Trans (Femenino). Digite cero si no tiene.",IF((X160)&gt;$D160," *La variable Trans (Femenino) no puede ser mayor al Total Hombres.",""))</f>
        <v/>
      </c>
      <c r="CK160" s="419">
        <f t="shared" ref="CK160:CK168" si="96">IF(AND(C160&gt;0,R160=""),1,IF(R160&gt;C160,1,0))</f>
        <v>0</v>
      </c>
      <c r="CL160" s="419">
        <f t="shared" ref="CL160:CL168" si="97">IF(AND(C160&gt;0,S160=""),1,IF(S160&gt;C160,1,0))</f>
        <v>0</v>
      </c>
      <c r="CM160" s="419">
        <f t="shared" ref="CM160:CM168" si="98">IF(AND(C160&gt;0,T160=""),1,IF(T160&gt;C160,1,0))</f>
        <v>0</v>
      </c>
      <c r="CN160" s="419">
        <f t="shared" ref="CN160:CN168" si="99">IF(AND(C160&gt;0,U160=""),1,IF(U160&gt;C160,1,0))</f>
        <v>0</v>
      </c>
      <c r="CO160" s="419">
        <f t="shared" ref="CO160:CO168" si="100">IF(AND(C160&gt;0,V160=""),1,IF(V160&gt;C160,1,0))</f>
        <v>0</v>
      </c>
      <c r="CP160" s="419">
        <f t="shared" ref="CP160:CP168" si="101">IF(AND(E160&gt;0,OR(W160="")),1,IF((W160)&gt;E160,1,0))</f>
        <v>0</v>
      </c>
      <c r="CQ160" s="419">
        <f t="shared" ref="CQ160:CQ168" si="102">IF(AND(D160&gt;0,OR(X160="")),1,IF((X160)&gt;D160,1,0))</f>
        <v>0</v>
      </c>
    </row>
    <row r="161" spans="1:95">
      <c r="A161" s="6205"/>
      <c r="B161" s="2114" t="s">
        <v>988</v>
      </c>
      <c r="C161" s="1991">
        <f t="shared" si="85"/>
        <v>0</v>
      </c>
      <c r="D161" s="2115">
        <f t="shared" si="86"/>
        <v>0</v>
      </c>
      <c r="E161" s="2295">
        <f t="shared" si="87"/>
        <v>0</v>
      </c>
      <c r="F161" s="1440"/>
      <c r="G161" s="1441"/>
      <c r="H161" s="1440"/>
      <c r="I161" s="1441"/>
      <c r="J161" s="1440"/>
      <c r="K161" s="1441"/>
      <c r="L161" s="1440"/>
      <c r="M161" s="1655"/>
      <c r="N161" s="1709"/>
      <c r="O161" s="1442"/>
      <c r="P161" s="1442"/>
      <c r="Q161" s="1655"/>
      <c r="R161" s="1445"/>
      <c r="S161" s="2281"/>
      <c r="T161" s="2117"/>
      <c r="U161" s="1441"/>
      <c r="V161" s="1452"/>
      <c r="W161" s="1440"/>
      <c r="X161" s="1452"/>
      <c r="Y161" t="str">
        <f t="shared" si="88"/>
        <v/>
      </c>
      <c r="CA161" s="1708" t="str">
        <f t="shared" si="89"/>
        <v/>
      </c>
      <c r="CB161" s="1708" t="str">
        <f t="shared" si="90"/>
        <v/>
      </c>
      <c r="CC161" s="1708" t="str">
        <f t="shared" si="91"/>
        <v/>
      </c>
      <c r="CD161" s="1708" t="str">
        <f t="shared" si="92"/>
        <v/>
      </c>
      <c r="CE161" s="1708" t="str">
        <f t="shared" si="93"/>
        <v/>
      </c>
      <c r="CF161" s="1708" t="str">
        <f t="shared" si="94"/>
        <v/>
      </c>
      <c r="CG161" s="1708" t="str">
        <f t="shared" si="95"/>
        <v/>
      </c>
      <c r="CK161" s="419">
        <f t="shared" si="96"/>
        <v>0</v>
      </c>
      <c r="CL161" s="419">
        <f t="shared" si="97"/>
        <v>0</v>
      </c>
      <c r="CM161" s="419">
        <f t="shared" si="98"/>
        <v>0</v>
      </c>
      <c r="CN161" s="419">
        <f t="shared" si="99"/>
        <v>0</v>
      </c>
      <c r="CO161" s="419">
        <f t="shared" si="100"/>
        <v>0</v>
      </c>
      <c r="CP161" s="419">
        <f t="shared" si="101"/>
        <v>0</v>
      </c>
      <c r="CQ161" s="419">
        <f t="shared" si="102"/>
        <v>0</v>
      </c>
    </row>
    <row r="162" spans="1:95">
      <c r="A162" s="6205"/>
      <c r="B162" s="2114" t="s">
        <v>113</v>
      </c>
      <c r="C162" s="1928">
        <f t="shared" si="85"/>
        <v>0</v>
      </c>
      <c r="D162" s="1929">
        <f t="shared" si="86"/>
        <v>0</v>
      </c>
      <c r="E162" s="2296">
        <f t="shared" si="87"/>
        <v>0</v>
      </c>
      <c r="F162" s="1440"/>
      <c r="G162" s="1441"/>
      <c r="H162" s="1440"/>
      <c r="I162" s="1441"/>
      <c r="J162" s="1440"/>
      <c r="K162" s="1441"/>
      <c r="L162" s="1440"/>
      <c r="M162" s="1655"/>
      <c r="N162" s="1709"/>
      <c r="O162" s="1442"/>
      <c r="P162" s="1442"/>
      <c r="Q162" s="1655"/>
      <c r="R162" s="1445"/>
      <c r="S162" s="2281"/>
      <c r="T162" s="2117"/>
      <c r="U162" s="1441"/>
      <c r="V162" s="1452"/>
      <c r="W162" s="1440"/>
      <c r="X162" s="1452"/>
      <c r="Y162" t="str">
        <f t="shared" si="88"/>
        <v/>
      </c>
      <c r="CA162" s="1708" t="str">
        <f t="shared" si="89"/>
        <v/>
      </c>
      <c r="CB162" s="1708" t="str">
        <f t="shared" si="90"/>
        <v/>
      </c>
      <c r="CC162" s="1708" t="str">
        <f t="shared" si="91"/>
        <v/>
      </c>
      <c r="CD162" s="1708" t="str">
        <f t="shared" si="92"/>
        <v/>
      </c>
      <c r="CE162" s="1708" t="str">
        <f t="shared" si="93"/>
        <v/>
      </c>
      <c r="CF162" s="1708" t="str">
        <f t="shared" si="94"/>
        <v/>
      </c>
      <c r="CG162" s="1708" t="str">
        <f t="shared" si="95"/>
        <v/>
      </c>
      <c r="CK162" s="419">
        <f t="shared" si="96"/>
        <v>0</v>
      </c>
      <c r="CL162" s="419">
        <f t="shared" si="97"/>
        <v>0</v>
      </c>
      <c r="CM162" s="419">
        <f t="shared" si="98"/>
        <v>0</v>
      </c>
      <c r="CN162" s="419">
        <f t="shared" si="99"/>
        <v>0</v>
      </c>
      <c r="CO162" s="419">
        <f t="shared" si="100"/>
        <v>0</v>
      </c>
      <c r="CP162" s="419">
        <f t="shared" si="101"/>
        <v>0</v>
      </c>
      <c r="CQ162" s="419">
        <f t="shared" si="102"/>
        <v>0</v>
      </c>
    </row>
    <row r="163" spans="1:95">
      <c r="A163" s="2089"/>
      <c r="B163" s="1715" t="s">
        <v>91</v>
      </c>
      <c r="C163" s="1743">
        <f>SUM(C160:C162)</f>
        <v>0</v>
      </c>
      <c r="D163" s="1744">
        <f t="shared" ref="D163:Q163" si="103">SUM(D160:D162)</f>
        <v>0</v>
      </c>
      <c r="E163" s="2297">
        <f t="shared" si="103"/>
        <v>0</v>
      </c>
      <c r="F163" s="401">
        <f t="shared" si="103"/>
        <v>0</v>
      </c>
      <c r="G163" s="402">
        <f t="shared" si="103"/>
        <v>0</v>
      </c>
      <c r="H163" s="401">
        <f t="shared" si="103"/>
        <v>0</v>
      </c>
      <c r="I163" s="402">
        <f t="shared" si="103"/>
        <v>0</v>
      </c>
      <c r="J163" s="401">
        <f t="shared" si="103"/>
        <v>0</v>
      </c>
      <c r="K163" s="402">
        <f t="shared" si="103"/>
        <v>0</v>
      </c>
      <c r="L163" s="401">
        <f t="shared" si="103"/>
        <v>0</v>
      </c>
      <c r="M163" s="1556">
        <f t="shared" si="103"/>
        <v>0</v>
      </c>
      <c r="N163" s="2060">
        <f t="shared" si="103"/>
        <v>0</v>
      </c>
      <c r="O163" s="1501">
        <f t="shared" si="103"/>
        <v>0</v>
      </c>
      <c r="P163" s="1501">
        <f t="shared" si="103"/>
        <v>0</v>
      </c>
      <c r="Q163" s="1556">
        <f t="shared" si="103"/>
        <v>0</v>
      </c>
      <c r="R163" s="405">
        <f>SUM(R160:R162)</f>
        <v>0</v>
      </c>
      <c r="S163" s="2298">
        <f t="shared" ref="S163:X167" si="104">SUM(S160:S162)</f>
        <v>0</v>
      </c>
      <c r="T163" s="2127">
        <f t="shared" si="104"/>
        <v>0</v>
      </c>
      <c r="U163" s="402">
        <f t="shared" si="104"/>
        <v>0</v>
      </c>
      <c r="V163" s="392">
        <f t="shared" si="104"/>
        <v>0</v>
      </c>
      <c r="W163" s="401">
        <f t="shared" si="104"/>
        <v>0</v>
      </c>
      <c r="X163" s="392">
        <f t="shared" si="104"/>
        <v>0</v>
      </c>
      <c r="CB163" t="str">
        <f t="shared" ref="CB163:CB167" si="105">IF(AND($C163&gt;0,S163="")," * No olvide digitar la variable Servicio Nacional Protección Especializada a la Niñez y Adolescencia. Digite cero si no tiene.",IF(S163&gt;$C163," * La variable Servicio Nacional Protección Especializada a la Niñez y Adolescencia no puede ser mayor al Total Ambos Sexos.",""))</f>
        <v/>
      </c>
      <c r="CC163" t="str">
        <f t="shared" ref="CC163:CC167" si="106">IF(AND($C163&gt;0,T163="")," * No olvide digitar la variable SENAME/ Servicio Nacional de Reinserción social Juvenil . Digite cero si no tiene.",IF(T163&gt;$C163," * La variable SENAME/ Servicio Nacional de Reinserción social Juvenil  no puede ser mayor al Total Ambos Sexos.",""))</f>
        <v/>
      </c>
    </row>
    <row r="164" spans="1:95">
      <c r="A164" s="6205" t="s">
        <v>1213</v>
      </c>
      <c r="B164" s="2108" t="s">
        <v>78</v>
      </c>
      <c r="C164" s="2002">
        <f t="shared" ref="C164:C168" si="107">SUM(D164:E164)</f>
        <v>0</v>
      </c>
      <c r="D164" s="2299">
        <f t="shared" ref="D164:D180" si="108">SUM(F164+H164+J164+L164)</f>
        <v>0</v>
      </c>
      <c r="E164" s="2300">
        <f t="shared" ref="E164:E168" si="109">SUM(G164+I164+K164+M164)</f>
        <v>0</v>
      </c>
      <c r="F164" s="1424"/>
      <c r="G164" s="1425"/>
      <c r="H164" s="1424"/>
      <c r="I164" s="1425"/>
      <c r="J164" s="1424"/>
      <c r="K164" s="1425"/>
      <c r="L164" s="1424"/>
      <c r="M164" s="1650"/>
      <c r="N164" s="1709"/>
      <c r="O164" s="1442"/>
      <c r="P164" s="1442"/>
      <c r="Q164" s="1655"/>
      <c r="R164" s="1445"/>
      <c r="S164" s="2281"/>
      <c r="T164" s="2117"/>
      <c r="U164" s="1441"/>
      <c r="V164" s="1452"/>
      <c r="W164" s="1440"/>
      <c r="X164" s="1452"/>
      <c r="Y164" t="str">
        <f t="shared" si="88"/>
        <v/>
      </c>
      <c r="CA164" s="1708" t="str">
        <f t="shared" si="89"/>
        <v/>
      </c>
      <c r="CB164" s="1708" t="str">
        <f t="shared" ref="CB164:CB166" si="110">IF(AND($C164&gt;0,S164="")," *No olvide digitar la variable Servicio Nacional Protección Especializada a la Niñez y Adolescencia. Digite cero si no tiene.",IF(S164&gt;$C164," *La variable Servicio Nacional Protección Especializada a la Niñez y Adolescencia no puede ser mayor al Total Ambos Sexos.",""))</f>
        <v/>
      </c>
      <c r="CC164" s="1708" t="str">
        <f t="shared" ref="CC164:CC166" si="111">IF(AND($C164&gt;0,T164="")," *No olvide digitar la variable SENAME/Servicio Nacional de Reinserción social Juvenil. Digite cero si no tiene.",IF(T164&gt;$C164," *La variable SENAME/ Servicio Nacional de Reinserción social Juvenil  no puede ser mayor al Total Ambos Sexos.",""))</f>
        <v/>
      </c>
      <c r="CD164" s="1708" t="str">
        <f t="shared" si="92"/>
        <v/>
      </c>
      <c r="CE164" s="1708" t="str">
        <f t="shared" si="93"/>
        <v/>
      </c>
      <c r="CF164" s="1708" t="str">
        <f t="shared" si="94"/>
        <v/>
      </c>
      <c r="CG164" s="1708" t="str">
        <f t="shared" si="95"/>
        <v/>
      </c>
      <c r="CK164" s="419">
        <f t="shared" si="96"/>
        <v>0</v>
      </c>
      <c r="CL164" s="419">
        <f t="shared" si="97"/>
        <v>0</v>
      </c>
      <c r="CM164" s="419">
        <f t="shared" si="98"/>
        <v>0</v>
      </c>
      <c r="CN164" s="419">
        <f t="shared" si="99"/>
        <v>0</v>
      </c>
      <c r="CO164" s="419">
        <f t="shared" si="100"/>
        <v>0</v>
      </c>
      <c r="CP164" s="419">
        <f t="shared" si="101"/>
        <v>0</v>
      </c>
      <c r="CQ164" s="419">
        <f t="shared" si="102"/>
        <v>0</v>
      </c>
    </row>
    <row r="165" spans="1:95">
      <c r="A165" s="6205"/>
      <c r="B165" s="2114" t="s">
        <v>988</v>
      </c>
      <c r="C165" s="1991">
        <f t="shared" si="107"/>
        <v>0</v>
      </c>
      <c r="D165" s="2115">
        <f t="shared" si="108"/>
        <v>0</v>
      </c>
      <c r="E165" s="2295">
        <f t="shared" si="109"/>
        <v>0</v>
      </c>
      <c r="F165" s="1440"/>
      <c r="G165" s="1441"/>
      <c r="H165" s="1440"/>
      <c r="I165" s="1441"/>
      <c r="J165" s="1440"/>
      <c r="K165" s="1441"/>
      <c r="L165" s="1440"/>
      <c r="M165" s="1655"/>
      <c r="N165" s="1709"/>
      <c r="O165" s="1442"/>
      <c r="P165" s="1442"/>
      <c r="Q165" s="1655"/>
      <c r="R165" s="1445"/>
      <c r="S165" s="2281"/>
      <c r="T165" s="2117"/>
      <c r="U165" s="1441"/>
      <c r="V165" s="1452"/>
      <c r="W165" s="1440"/>
      <c r="X165" s="1452"/>
      <c r="Y165" t="str">
        <f t="shared" si="88"/>
        <v/>
      </c>
      <c r="CA165" s="1708" t="str">
        <f t="shared" si="89"/>
        <v/>
      </c>
      <c r="CB165" s="1708" t="str">
        <f t="shared" si="110"/>
        <v/>
      </c>
      <c r="CC165" s="1708" t="str">
        <f t="shared" si="111"/>
        <v/>
      </c>
      <c r="CD165" s="1708" t="str">
        <f t="shared" si="92"/>
        <v/>
      </c>
      <c r="CE165" s="1708" t="str">
        <f t="shared" si="93"/>
        <v/>
      </c>
      <c r="CF165" s="1708" t="str">
        <f t="shared" si="94"/>
        <v/>
      </c>
      <c r="CG165" s="1708" t="str">
        <f t="shared" si="95"/>
        <v/>
      </c>
      <c r="CK165" s="419">
        <f t="shared" si="96"/>
        <v>0</v>
      </c>
      <c r="CL165" s="419">
        <f t="shared" si="97"/>
        <v>0</v>
      </c>
      <c r="CM165" s="419">
        <f t="shared" si="98"/>
        <v>0</v>
      </c>
      <c r="CN165" s="419">
        <f t="shared" si="99"/>
        <v>0</v>
      </c>
      <c r="CO165" s="419">
        <f t="shared" si="100"/>
        <v>0</v>
      </c>
      <c r="CP165" s="419">
        <f t="shared" si="101"/>
        <v>0</v>
      </c>
      <c r="CQ165" s="419">
        <f t="shared" si="102"/>
        <v>0</v>
      </c>
    </row>
    <row r="166" spans="1:95">
      <c r="A166" s="6205"/>
      <c r="B166" s="2114" t="s">
        <v>113</v>
      </c>
      <c r="C166" s="1928">
        <f t="shared" si="107"/>
        <v>0</v>
      </c>
      <c r="D166" s="1929">
        <f t="shared" si="108"/>
        <v>0</v>
      </c>
      <c r="E166" s="2296">
        <f t="shared" si="109"/>
        <v>0</v>
      </c>
      <c r="F166" s="1440"/>
      <c r="G166" s="1441"/>
      <c r="H166" s="1440"/>
      <c r="I166" s="1441"/>
      <c r="J166" s="1440"/>
      <c r="K166" s="1441"/>
      <c r="L166" s="1440"/>
      <c r="M166" s="1655"/>
      <c r="N166" s="1709"/>
      <c r="O166" s="1442"/>
      <c r="P166" s="1442"/>
      <c r="Q166" s="1655"/>
      <c r="R166" s="1445"/>
      <c r="S166" s="2281"/>
      <c r="T166" s="2117"/>
      <c r="U166" s="1441"/>
      <c r="V166" s="1452"/>
      <c r="W166" s="1440"/>
      <c r="X166" s="1452"/>
      <c r="Y166" t="str">
        <f t="shared" si="88"/>
        <v/>
      </c>
      <c r="CA166" s="1708" t="str">
        <f t="shared" si="89"/>
        <v/>
      </c>
      <c r="CB166" s="1708" t="str">
        <f t="shared" si="110"/>
        <v/>
      </c>
      <c r="CC166" s="1708" t="str">
        <f t="shared" si="111"/>
        <v/>
      </c>
      <c r="CD166" s="1708" t="str">
        <f t="shared" si="92"/>
        <v/>
      </c>
      <c r="CE166" s="1708" t="str">
        <f t="shared" si="93"/>
        <v/>
      </c>
      <c r="CF166" s="1708" t="str">
        <f t="shared" si="94"/>
        <v/>
      </c>
      <c r="CG166" s="1708" t="str">
        <f t="shared" si="95"/>
        <v/>
      </c>
      <c r="CK166" s="419">
        <f t="shared" si="96"/>
        <v>0</v>
      </c>
      <c r="CL166" s="419">
        <f t="shared" si="97"/>
        <v>0</v>
      </c>
      <c r="CM166" s="419">
        <f t="shared" si="98"/>
        <v>0</v>
      </c>
      <c r="CN166" s="419">
        <f t="shared" si="99"/>
        <v>0</v>
      </c>
      <c r="CO166" s="419">
        <f t="shared" si="100"/>
        <v>0</v>
      </c>
      <c r="CP166" s="419">
        <f t="shared" si="101"/>
        <v>0</v>
      </c>
      <c r="CQ166" s="419">
        <f t="shared" si="102"/>
        <v>0</v>
      </c>
    </row>
    <row r="167" spans="1:95">
      <c r="A167" s="2089"/>
      <c r="B167" s="1715" t="s">
        <v>91</v>
      </c>
      <c r="C167" s="1928">
        <f t="shared" si="107"/>
        <v>0</v>
      </c>
      <c r="D167" s="1929">
        <f t="shared" si="108"/>
        <v>0</v>
      </c>
      <c r="E167" s="2296">
        <f t="shared" si="109"/>
        <v>0</v>
      </c>
      <c r="F167" s="401">
        <f t="shared" ref="F167:Q167" si="112">SUM(F164:F166)</f>
        <v>0</v>
      </c>
      <c r="G167" s="402">
        <f t="shared" si="112"/>
        <v>0</v>
      </c>
      <c r="H167" s="401">
        <f t="shared" si="112"/>
        <v>0</v>
      </c>
      <c r="I167" s="402">
        <f t="shared" si="112"/>
        <v>0</v>
      </c>
      <c r="J167" s="401">
        <f t="shared" si="112"/>
        <v>0</v>
      </c>
      <c r="K167" s="402">
        <f t="shared" si="112"/>
        <v>0</v>
      </c>
      <c r="L167" s="401">
        <f t="shared" si="112"/>
        <v>0</v>
      </c>
      <c r="M167" s="1556">
        <f t="shared" si="112"/>
        <v>0</v>
      </c>
      <c r="N167" s="2060">
        <f t="shared" si="112"/>
        <v>0</v>
      </c>
      <c r="O167" s="1501">
        <f t="shared" si="112"/>
        <v>0</v>
      </c>
      <c r="P167" s="1501">
        <f t="shared" si="112"/>
        <v>0</v>
      </c>
      <c r="Q167" s="1556">
        <f t="shared" si="112"/>
        <v>0</v>
      </c>
      <c r="R167" s="405">
        <f>SUM(R164:R166)</f>
        <v>0</v>
      </c>
      <c r="S167" s="2298">
        <f t="shared" si="104"/>
        <v>0</v>
      </c>
      <c r="T167" s="2127">
        <f t="shared" si="104"/>
        <v>0</v>
      </c>
      <c r="U167" s="402">
        <f t="shared" si="104"/>
        <v>0</v>
      </c>
      <c r="V167" s="392">
        <f t="shared" si="104"/>
        <v>0</v>
      </c>
      <c r="W167" s="401">
        <f t="shared" si="104"/>
        <v>0</v>
      </c>
      <c r="X167" s="392">
        <f t="shared" si="104"/>
        <v>0</v>
      </c>
      <c r="CB167" t="str">
        <f t="shared" si="105"/>
        <v/>
      </c>
      <c r="CC167" t="str">
        <f t="shared" si="106"/>
        <v/>
      </c>
    </row>
    <row r="168" spans="1:95">
      <c r="A168" s="6205" t="s">
        <v>1072</v>
      </c>
      <c r="B168" s="6205"/>
      <c r="C168" s="1928">
        <f t="shared" si="107"/>
        <v>0</v>
      </c>
      <c r="D168" s="1929">
        <f t="shared" si="108"/>
        <v>0</v>
      </c>
      <c r="E168" s="2296">
        <f t="shared" si="109"/>
        <v>0</v>
      </c>
      <c r="F168" s="1475"/>
      <c r="G168" s="1539"/>
      <c r="H168" s="1475"/>
      <c r="I168" s="1539"/>
      <c r="J168" s="1475"/>
      <c r="K168" s="1539"/>
      <c r="L168" s="1475"/>
      <c r="M168" s="1967"/>
      <c r="N168" s="2048"/>
      <c r="O168" s="1535"/>
      <c r="P168" s="1535"/>
      <c r="Q168" s="1967"/>
      <c r="R168" s="1538"/>
      <c r="S168" s="2301"/>
      <c r="T168" s="2133"/>
      <c r="U168" s="1585"/>
      <c r="V168" s="1539"/>
      <c r="W168" s="1475"/>
      <c r="X168" s="1539"/>
      <c r="Y168" t="str">
        <f t="shared" si="88"/>
        <v/>
      </c>
      <c r="CA168" s="1708" t="str">
        <f t="shared" si="89"/>
        <v/>
      </c>
      <c r="CB168" s="1708" t="str">
        <f>IF(AND($C168&gt;0,S168="")," *No olvide digitar la variable Servicio Nacional Protección Especializada a la Niñez y Adolescencia. Digite cero si no tiene.",IF(S168&gt;$C168," *La variable Servicio Nacional Protección Especializada a la Niñez y Adolescencia no puede ser mayor al Total Ambos Sexos.",""))</f>
        <v/>
      </c>
      <c r="CC168" s="1708" t="str">
        <f>IF(AND($C168&gt;0,T168="")," *No olvide digitar la variable SENAME/Servicio Nacional de Reinserción social Juvenil. Digite cero si no tiene.",IF(T168&gt;$C168," *La variable SENAME/ Servicio Nacional de Reinserción social Juvenil  no puede ser mayor al Total Ambos Sexos.",""))</f>
        <v/>
      </c>
      <c r="CD168" s="1708" t="str">
        <f t="shared" si="92"/>
        <v/>
      </c>
      <c r="CE168" s="1708" t="str">
        <f t="shared" si="93"/>
        <v/>
      </c>
      <c r="CF168" s="1708" t="str">
        <f t="shared" si="94"/>
        <v/>
      </c>
      <c r="CG168" s="1708" t="str">
        <f t="shared" si="95"/>
        <v/>
      </c>
      <c r="CK168" s="419">
        <f t="shared" si="96"/>
        <v>0</v>
      </c>
      <c r="CL168" s="419">
        <f t="shared" si="97"/>
        <v>0</v>
      </c>
      <c r="CM168" s="419">
        <f t="shared" si="98"/>
        <v>0</v>
      </c>
      <c r="CN168" s="419">
        <f t="shared" si="99"/>
        <v>0</v>
      </c>
      <c r="CO168" s="419">
        <f t="shared" si="100"/>
        <v>0</v>
      </c>
      <c r="CP168" s="419">
        <f t="shared" si="101"/>
        <v>0</v>
      </c>
      <c r="CQ168" s="419">
        <f t="shared" si="102"/>
        <v>0</v>
      </c>
    </row>
    <row r="169" spans="1:95" ht="18" customHeight="1">
      <c r="A169" s="1468" t="s">
        <v>1214</v>
      </c>
      <c r="B169" s="2302"/>
      <c r="C169" s="2302"/>
      <c r="D169" s="2302"/>
    </row>
    <row r="170" spans="1:95">
      <c r="A170" s="5718" t="s">
        <v>1124</v>
      </c>
      <c r="B170" s="5718" t="s">
        <v>1125</v>
      </c>
      <c r="C170" s="6310" t="s">
        <v>1215</v>
      </c>
      <c r="D170" s="6248" t="s">
        <v>1216</v>
      </c>
    </row>
    <row r="171" spans="1:95" ht="18.75" customHeight="1">
      <c r="A171" s="5719"/>
      <c r="B171" s="5719"/>
      <c r="C171" s="6311"/>
      <c r="D171" s="6249"/>
    </row>
    <row r="172" spans="1:95">
      <c r="A172" s="2056" t="s">
        <v>1128</v>
      </c>
      <c r="B172" s="2228"/>
      <c r="C172" s="448"/>
      <c r="D172" s="2229"/>
    </row>
    <row r="173" spans="1:95">
      <c r="A173" s="2057" t="s">
        <v>1217</v>
      </c>
      <c r="B173" s="2230"/>
      <c r="C173" s="425"/>
      <c r="D173" s="2231"/>
    </row>
    <row r="174" spans="1:95">
      <c r="A174" s="2303" t="s">
        <v>1218</v>
      </c>
      <c r="B174" s="2234"/>
      <c r="C174" s="432"/>
      <c r="D174" s="2235"/>
    </row>
    <row r="175" spans="1:95" ht="18" customHeight="1">
      <c r="A175" s="1468" t="s">
        <v>1219</v>
      </c>
    </row>
    <row r="176" spans="1:95">
      <c r="A176" s="6298" t="s">
        <v>1220</v>
      </c>
      <c r="B176" s="6140" t="s">
        <v>1204</v>
      </c>
      <c r="C176" s="6139"/>
      <c r="D176" s="6119"/>
      <c r="E176" s="5710" t="s">
        <v>115</v>
      </c>
      <c r="F176" s="6106"/>
      <c r="G176" s="6106"/>
      <c r="H176" s="6106"/>
      <c r="I176" s="6106"/>
      <c r="J176" s="6106"/>
      <c r="K176" s="6106"/>
      <c r="L176" s="2304"/>
      <c r="M176" s="6133" t="s">
        <v>609</v>
      </c>
      <c r="N176" s="6119" t="s">
        <v>608</v>
      </c>
    </row>
    <row r="177" spans="1:14">
      <c r="A177" s="6299"/>
      <c r="B177" s="6114"/>
      <c r="C177" s="6115"/>
      <c r="D177" s="6116"/>
      <c r="E177" s="5710" t="s">
        <v>1221</v>
      </c>
      <c r="F177" s="5712"/>
      <c r="G177" s="5710" t="s">
        <v>1222</v>
      </c>
      <c r="H177" s="5712"/>
      <c r="I177" s="5710" t="s">
        <v>1223</v>
      </c>
      <c r="J177" s="5712"/>
      <c r="K177" s="5710" t="s">
        <v>1211</v>
      </c>
      <c r="L177" s="6301"/>
      <c r="M177" s="6235"/>
      <c r="N177" s="6120"/>
    </row>
    <row r="178" spans="1:14">
      <c r="A178" s="6300"/>
      <c r="B178" s="1471" t="s">
        <v>93</v>
      </c>
      <c r="C178" s="1933" t="s">
        <v>72</v>
      </c>
      <c r="D178" s="1394" t="s">
        <v>73</v>
      </c>
      <c r="E178" s="1395" t="s">
        <v>72</v>
      </c>
      <c r="F178" s="393" t="s">
        <v>73</v>
      </c>
      <c r="G178" s="1395" t="s">
        <v>72</v>
      </c>
      <c r="H178" s="393" t="s">
        <v>73</v>
      </c>
      <c r="I178" s="1395" t="s">
        <v>72</v>
      </c>
      <c r="J178" s="393" t="s">
        <v>73</v>
      </c>
      <c r="K178" s="1395" t="s">
        <v>72</v>
      </c>
      <c r="L178" s="2305" t="s">
        <v>73</v>
      </c>
      <c r="M178" s="6134"/>
      <c r="N178" s="6116"/>
    </row>
    <row r="179" spans="1:14">
      <c r="A179" s="2056" t="s">
        <v>1224</v>
      </c>
      <c r="B179" s="1988">
        <f t="shared" ref="B179:B180" si="113">SUM(C179:D179)</f>
        <v>0</v>
      </c>
      <c r="C179" s="2109">
        <f t="shared" ref="C179:C180" si="114">SUM(E179+G179+I179+K179)</f>
        <v>0</v>
      </c>
      <c r="D179" s="1736">
        <f t="shared" si="108"/>
        <v>0</v>
      </c>
      <c r="E179" s="1424"/>
      <c r="F179" s="1425"/>
      <c r="G179" s="1424"/>
      <c r="H179" s="1425"/>
      <c r="I179" s="1424"/>
      <c r="J179" s="1425"/>
      <c r="K179" s="1424"/>
      <c r="L179" s="2306"/>
      <c r="M179" s="2307"/>
      <c r="N179" s="2229"/>
    </row>
    <row r="180" spans="1:14">
      <c r="A180" s="2089" t="s">
        <v>1225</v>
      </c>
      <c r="B180" s="1928">
        <f t="shared" si="113"/>
        <v>0</v>
      </c>
      <c r="C180" s="2115">
        <f t="shared" si="114"/>
        <v>0</v>
      </c>
      <c r="D180" s="1739">
        <f t="shared" si="108"/>
        <v>0</v>
      </c>
      <c r="E180" s="1440"/>
      <c r="F180" s="1441"/>
      <c r="G180" s="1440"/>
      <c r="H180" s="1441"/>
      <c r="I180" s="1440"/>
      <c r="J180" s="1441"/>
      <c r="K180" s="1440"/>
      <c r="L180" s="2308"/>
      <c r="M180" s="423"/>
      <c r="N180" s="2231"/>
    </row>
    <row r="181" spans="1:14">
      <c r="A181" s="395" t="s">
        <v>91</v>
      </c>
      <c r="B181" s="1743">
        <f>SUM(B179:B180)</f>
        <v>0</v>
      </c>
      <c r="C181" s="1744">
        <f t="shared" ref="C181:N181" si="115">SUM(C179:C180)</f>
        <v>0</v>
      </c>
      <c r="D181" s="1746">
        <f t="shared" si="115"/>
        <v>0</v>
      </c>
      <c r="E181" s="1743">
        <f>SUM(E179:E180)</f>
        <v>0</v>
      </c>
      <c r="F181" s="1746">
        <f t="shared" si="115"/>
        <v>0</v>
      </c>
      <c r="G181" s="1743">
        <f t="shared" si="115"/>
        <v>0</v>
      </c>
      <c r="H181" s="1746">
        <f t="shared" si="115"/>
        <v>0</v>
      </c>
      <c r="I181" s="1743">
        <f t="shared" si="115"/>
        <v>0</v>
      </c>
      <c r="J181" s="1746">
        <f t="shared" si="115"/>
        <v>0</v>
      </c>
      <c r="K181" s="1743">
        <f t="shared" si="115"/>
        <v>0</v>
      </c>
      <c r="L181" s="2309">
        <f t="shared" si="115"/>
        <v>0</v>
      </c>
      <c r="M181" s="2310">
        <f t="shared" si="115"/>
        <v>0</v>
      </c>
      <c r="N181" s="1745">
        <f t="shared" si="115"/>
        <v>0</v>
      </c>
    </row>
    <row r="205" spans="1:2" ht="48.75" hidden="1" customHeight="1">
      <c r="A205" s="2099">
        <f>SUM(C12:C21,C23:C26,B30:B32,E30:E32,B36:B38,E36:E38,C41:C44,C49:C50,C55:C76,B80:I83,B86:D93,B97:F101,B106:F108,B114:B116,B120:E120,B124:B126,B130,C135:C138,B143:B150,B154:C155,C160:C168,B172:D174,B179:B181)</f>
        <v>0</v>
      </c>
      <c r="B205" s="2100">
        <f>SUM(CK12:CS168)</f>
        <v>0</v>
      </c>
    </row>
  </sheetData>
  <sheetProtection algorithmName="SHA-512" hashValue="4kAll1yKUYI6bOG6ZhfMZfCRitn43FYrymmy+6Fi3LSbzI8usXrfSi7fVGDWKp28/SfTwNi8X/a5k/4KjTQbTw==" saltValue="km4ecX41z66MXs9SVmahwQ==" spinCount="100000" sheet="1" objects="1" scenarios="1"/>
  <mergeCells count="228">
    <mergeCell ref="A6:W6"/>
    <mergeCell ref="A9:A11"/>
    <mergeCell ref="B9:B11"/>
    <mergeCell ref="C9:E10"/>
    <mergeCell ref="F9:AM9"/>
    <mergeCell ref="AN9:AN11"/>
    <mergeCell ref="F10:G10"/>
    <mergeCell ref="H10:I10"/>
    <mergeCell ref="J10:K10"/>
    <mergeCell ref="L10:M10"/>
    <mergeCell ref="AL10:AM10"/>
    <mergeCell ref="AT10:AT11"/>
    <mergeCell ref="AU10:AU11"/>
    <mergeCell ref="A12:A22"/>
    <mergeCell ref="A23:B23"/>
    <mergeCell ref="A25:A26"/>
    <mergeCell ref="Z10:AA10"/>
    <mergeCell ref="AB10:AC10"/>
    <mergeCell ref="AD10:AE10"/>
    <mergeCell ref="AF10:AG10"/>
    <mergeCell ref="AH10:AI10"/>
    <mergeCell ref="AJ10:AK10"/>
    <mergeCell ref="N10:O10"/>
    <mergeCell ref="P10:Q10"/>
    <mergeCell ref="R10:S10"/>
    <mergeCell ref="T10:U10"/>
    <mergeCell ref="V10:W10"/>
    <mergeCell ref="X10:Y10"/>
    <mergeCell ref="AO9:AO11"/>
    <mergeCell ref="AP9:AP11"/>
    <mergeCell ref="AQ9:AQ11"/>
    <mergeCell ref="AR9:AR11"/>
    <mergeCell ref="AS9:AS11"/>
    <mergeCell ref="AT9:AU9"/>
    <mergeCell ref="L28:M28"/>
    <mergeCell ref="N28:O28"/>
    <mergeCell ref="P28:Q28"/>
    <mergeCell ref="R28:S28"/>
    <mergeCell ref="T28:U28"/>
    <mergeCell ref="V28:W28"/>
    <mergeCell ref="A28:A29"/>
    <mergeCell ref="B28:B29"/>
    <mergeCell ref="C28:D28"/>
    <mergeCell ref="E28:G28"/>
    <mergeCell ref="H28:I28"/>
    <mergeCell ref="J28:K28"/>
    <mergeCell ref="A41:A42"/>
    <mergeCell ref="A43:A44"/>
    <mergeCell ref="A46:B48"/>
    <mergeCell ref="C46:E47"/>
    <mergeCell ref="AS28:AS29"/>
    <mergeCell ref="AT28:AT29"/>
    <mergeCell ref="AU28:AU29"/>
    <mergeCell ref="A34:A35"/>
    <mergeCell ref="B34:B35"/>
    <mergeCell ref="C34:D34"/>
    <mergeCell ref="E34:G34"/>
    <mergeCell ref="H34:M34"/>
    <mergeCell ref="AJ28:AK28"/>
    <mergeCell ref="AL28:AM28"/>
    <mergeCell ref="AN28:AO28"/>
    <mergeCell ref="AP28:AP29"/>
    <mergeCell ref="AQ28:AQ29"/>
    <mergeCell ref="AR28:AR29"/>
    <mergeCell ref="X28:Y28"/>
    <mergeCell ref="Z28:AA28"/>
    <mergeCell ref="AB28:AC28"/>
    <mergeCell ref="AD28:AE28"/>
    <mergeCell ref="AF28:AG28"/>
    <mergeCell ref="AH28:AI28"/>
    <mergeCell ref="F46:AK46"/>
    <mergeCell ref="AL46:AL48"/>
    <mergeCell ref="AM46:AM48"/>
    <mergeCell ref="AN46:AN48"/>
    <mergeCell ref="F47:G47"/>
    <mergeCell ref="H47:I47"/>
    <mergeCell ref="J47:K47"/>
    <mergeCell ref="L47:M47"/>
    <mergeCell ref="N47:O47"/>
    <mergeCell ref="P47:Q47"/>
    <mergeCell ref="AD47:AE47"/>
    <mergeCell ref="AF47:AG47"/>
    <mergeCell ref="AH47:AI47"/>
    <mergeCell ref="AJ47:AK47"/>
    <mergeCell ref="A51:M51"/>
    <mergeCell ref="A52:B54"/>
    <mergeCell ref="C52:E53"/>
    <mergeCell ref="F52:AK52"/>
    <mergeCell ref="V53:W53"/>
    <mergeCell ref="X53:Y53"/>
    <mergeCell ref="R47:S47"/>
    <mergeCell ref="T47:U47"/>
    <mergeCell ref="V47:W47"/>
    <mergeCell ref="X47:Y47"/>
    <mergeCell ref="Z47:AA47"/>
    <mergeCell ref="AB47:AC47"/>
    <mergeCell ref="Z53:AA53"/>
    <mergeCell ref="AB53:AC53"/>
    <mergeCell ref="AD53:AE53"/>
    <mergeCell ref="AF53:AG53"/>
    <mergeCell ref="AH53:AI53"/>
    <mergeCell ref="AJ53:AK53"/>
    <mergeCell ref="A55:A60"/>
    <mergeCell ref="A61:A62"/>
    <mergeCell ref="A63:A66"/>
    <mergeCell ref="A67:A68"/>
    <mergeCell ref="A69:A70"/>
    <mergeCell ref="A71:A76"/>
    <mergeCell ref="AL52:AL54"/>
    <mergeCell ref="AM52:AM54"/>
    <mergeCell ref="F53:G53"/>
    <mergeCell ref="H53:I53"/>
    <mergeCell ref="J53:K53"/>
    <mergeCell ref="L53:M53"/>
    <mergeCell ref="N53:O53"/>
    <mergeCell ref="P53:Q53"/>
    <mergeCell ref="R53:S53"/>
    <mergeCell ref="T53:U53"/>
    <mergeCell ref="A95:A96"/>
    <mergeCell ref="B95:B96"/>
    <mergeCell ref="C95:C96"/>
    <mergeCell ref="D95:D96"/>
    <mergeCell ref="E95:F95"/>
    <mergeCell ref="A111:A113"/>
    <mergeCell ref="B111:D112"/>
    <mergeCell ref="E111:M111"/>
    <mergeCell ref="A78:A79"/>
    <mergeCell ref="B78:C78"/>
    <mergeCell ref="D78:E78"/>
    <mergeCell ref="F78:G78"/>
    <mergeCell ref="H78:I78"/>
    <mergeCell ref="A118:A119"/>
    <mergeCell ref="B118:D118"/>
    <mergeCell ref="E118:E119"/>
    <mergeCell ref="A122:A123"/>
    <mergeCell ref="B122:D122"/>
    <mergeCell ref="E122:F122"/>
    <mergeCell ref="O111:O113"/>
    <mergeCell ref="P111:P113"/>
    <mergeCell ref="E112:F112"/>
    <mergeCell ref="G112:H112"/>
    <mergeCell ref="I112:J112"/>
    <mergeCell ref="K112:L112"/>
    <mergeCell ref="M112:N112"/>
    <mergeCell ref="AD133:AE133"/>
    <mergeCell ref="AF133:AG133"/>
    <mergeCell ref="AH133:AI133"/>
    <mergeCell ref="AJ133:AK133"/>
    <mergeCell ref="AL133:AM133"/>
    <mergeCell ref="G122:H122"/>
    <mergeCell ref="I122:J122"/>
    <mergeCell ref="A128:A129"/>
    <mergeCell ref="B128:B129"/>
    <mergeCell ref="C128:D128"/>
    <mergeCell ref="E128:F128"/>
    <mergeCell ref="G128:I128"/>
    <mergeCell ref="AQ132:AQ134"/>
    <mergeCell ref="AR132:AR134"/>
    <mergeCell ref="AN132:AN134"/>
    <mergeCell ref="AO132:AO134"/>
    <mergeCell ref="A156:E156"/>
    <mergeCell ref="A157:A159"/>
    <mergeCell ref="B157:B159"/>
    <mergeCell ref="C157:E158"/>
    <mergeCell ref="F157:M157"/>
    <mergeCell ref="N157:N159"/>
    <mergeCell ref="A135:A138"/>
    <mergeCell ref="A140:A142"/>
    <mergeCell ref="B140:F140"/>
    <mergeCell ref="G140:G142"/>
    <mergeCell ref="H140:I141"/>
    <mergeCell ref="B141:B142"/>
    <mergeCell ref="C141:F141"/>
    <mergeCell ref="W157:X157"/>
    <mergeCell ref="F158:G158"/>
    <mergeCell ref="H158:I158"/>
    <mergeCell ref="J158:K158"/>
    <mergeCell ref="L158:M158"/>
    <mergeCell ref="W158:W159"/>
    <mergeCell ref="F133:G133"/>
    <mergeCell ref="A160:A162"/>
    <mergeCell ref="A164:A166"/>
    <mergeCell ref="A168:B168"/>
    <mergeCell ref="A170:A171"/>
    <mergeCell ref="B170:B171"/>
    <mergeCell ref="C170:C171"/>
    <mergeCell ref="U157:U159"/>
    <mergeCell ref="V157:V159"/>
    <mergeCell ref="AP132:AP134"/>
    <mergeCell ref="H133:I133"/>
    <mergeCell ref="J133:K133"/>
    <mergeCell ref="L133:M133"/>
    <mergeCell ref="N133:O133"/>
    <mergeCell ref="P133:Q133"/>
    <mergeCell ref="R133:S133"/>
    <mergeCell ref="A132:A134"/>
    <mergeCell ref="B132:B134"/>
    <mergeCell ref="C132:E133"/>
    <mergeCell ref="F132:AM132"/>
    <mergeCell ref="T133:U133"/>
    <mergeCell ref="V133:W133"/>
    <mergeCell ref="X133:Y133"/>
    <mergeCell ref="Z133:AA133"/>
    <mergeCell ref="AB133:AC133"/>
    <mergeCell ref="AV9:AV11"/>
    <mergeCell ref="A104:A105"/>
    <mergeCell ref="B104:B105"/>
    <mergeCell ref="C104:C105"/>
    <mergeCell ref="D104:D105"/>
    <mergeCell ref="E104:E105"/>
    <mergeCell ref="F104:F105"/>
    <mergeCell ref="A176:A178"/>
    <mergeCell ref="B176:D177"/>
    <mergeCell ref="E176:K176"/>
    <mergeCell ref="M176:M178"/>
    <mergeCell ref="N176:N178"/>
    <mergeCell ref="E177:F177"/>
    <mergeCell ref="G177:H177"/>
    <mergeCell ref="I177:J177"/>
    <mergeCell ref="K177:L177"/>
    <mergeCell ref="X158:X159"/>
    <mergeCell ref="O157:O159"/>
    <mergeCell ref="P157:P159"/>
    <mergeCell ref="Q157:Q159"/>
    <mergeCell ref="R157:R159"/>
    <mergeCell ref="S157:S159"/>
    <mergeCell ref="T157:T159"/>
    <mergeCell ref="D170:D171"/>
  </mergeCells>
  <dataValidations count="4">
    <dataValidation type="whole" allowBlank="1" showInputMessage="1" showErrorMessage="1" sqref="F156:AS156" xr:uid="{004E00E4-0016-4ED7-85BD-00BB000100FF}">
      <formula1>0</formula1>
      <formula2>1E+30</formula2>
    </dataValidation>
    <dataValidation type="whole" operator="greaterThanOrEqual" allowBlank="1" showInputMessage="1" showErrorMessage="1" sqref="B172:D174 B97:F101 B86:D93 B106:F108 E114:P116 B120:E120 E124:J126 C130:I130 F135:AR137 C143:I150 C41:C44 F49:AN50 B154:C155 F168:X168 F12:AV26 C30:AU31 C36:M37 F160:X162 F164:X166 E179:N180" xr:uid="{00CE008B-008A-4C85-8268-002800D0003E}">
      <formula1>0</formula1>
    </dataValidation>
    <dataValidation type="whole" allowBlank="1" showInputMessage="1" showErrorMessage="1" sqref="F55:AM76" xr:uid="{008000C2-000A-4671-9204-002600EB00E5}">
      <formula1>0</formula1>
      <formula2>9.99999999999999E+36</formula2>
    </dataValidation>
    <dataValidation type="whole" allowBlank="1" showInputMessage="1" showErrorMessage="1" sqref="B80:I83" xr:uid="{007D00AC-00B6-4E0F-A440-00A500D60048}">
      <formula1>0</formula1>
      <formula2>9.99999999999999E+38</formula2>
    </dataValidation>
  </dataValidations>
  <pageMargins left="0.7" right="0.7" top="0.75" bottom="0.75" header="0.3" footer="0.3"/>
  <pageSetup paperSize="9" orientation="portrait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8"/>
  <dimension ref="A1:CX239"/>
  <sheetViews>
    <sheetView showGridLines="0" workbookViewId="0"/>
  </sheetViews>
  <sheetFormatPr baseColWidth="10" defaultColWidth="11.42578125" defaultRowHeight="15"/>
  <cols>
    <col min="1" max="1" width="55.42578125" customWidth="1"/>
    <col min="2" max="2" width="24.42578125" customWidth="1"/>
    <col min="3" max="46" width="15.7109375" customWidth="1"/>
    <col min="47" max="55" width="14.42578125" customWidth="1"/>
    <col min="56" max="56" width="11.42578125" customWidth="1"/>
    <col min="76" max="78" width="11.42578125" customWidth="1"/>
    <col min="79" max="79" width="16" customWidth="1"/>
    <col min="80" max="80" width="11.42578125" style="1470" hidden="1" customWidth="1"/>
    <col min="81" max="84" width="13.42578125" style="1470" hidden="1" customWidth="1"/>
    <col min="85" max="96" width="11.42578125" style="1470" hidden="1" customWidth="1"/>
    <col min="97" max="97" width="9" style="1470" hidden="1" customWidth="1"/>
    <col min="98" max="98" width="11.42578125" style="1470" hidden="1" customWidth="1"/>
    <col min="99" max="100" width="11.42578125" hidden="1" customWidth="1"/>
    <col min="101" max="141" width="11.42578125" customWidth="1"/>
  </cols>
  <sheetData>
    <row r="1" spans="1:98">
      <c r="A1" s="378" t="s">
        <v>37</v>
      </c>
    </row>
    <row r="2" spans="1:98">
      <c r="A2" s="378" t="str">
        <f>CONCATENATE("COMUNA: ",NOMBRE!B2, " (",NOMBRE!C2,NOMBRE!D2,NOMBRE!E2,NOMBRE!F2,NOMBRE!G2,")")</f>
        <v>COMUNA: MAIPU (13119)</v>
      </c>
    </row>
    <row r="3" spans="1:98">
      <c r="A3" s="378" t="str">
        <f>CONCATENATE("ESTABLECIMIENTO/ESTRATEGIA: ", NOMBRE!B3, " (",NOMBRE!C3,NOMBRE!D3,NOMBRE!E3,NOMBRE!F3,NOMBRE!G3,NOMBRE!H3,")")</f>
        <v>ESTABLECIMIENTO/ESTRATEGIA: CESFAM DR. CARLOS GODOY (111380)</v>
      </c>
    </row>
    <row r="4" spans="1:98">
      <c r="A4" s="378" t="str">
        <f>CONCATENATE("MES: ",NOMBRE!B6, " (",NOMBRE!C6,NOMBRE!D6,")")</f>
        <v>MES: MARZO (03)</v>
      </c>
    </row>
    <row r="5" spans="1:98">
      <c r="A5" s="378" t="str">
        <f>CONCATENATE("AÑO: ",NOMBRE!B7)</f>
        <v>AÑO: 2026</v>
      </c>
    </row>
    <row r="6" spans="1:98" s="383" customFormat="1" ht="18" customHeight="1">
      <c r="A6" s="6443" t="s">
        <v>1226</v>
      </c>
      <c r="B6" s="6443"/>
      <c r="C6" s="6443"/>
      <c r="D6" s="6443"/>
      <c r="E6" s="6443"/>
      <c r="F6" s="6443"/>
      <c r="G6" s="6443"/>
      <c r="H6" s="6443"/>
      <c r="I6" s="6443"/>
      <c r="J6" s="6443"/>
      <c r="K6" s="6443"/>
      <c r="L6" s="6443"/>
      <c r="M6" s="6443"/>
      <c r="N6" s="6443"/>
      <c r="O6" s="6443"/>
      <c r="P6" s="6443"/>
      <c r="Q6" s="6443"/>
      <c r="R6" s="6443"/>
      <c r="S6" s="6443"/>
      <c r="T6" s="6443"/>
      <c r="U6" s="2311"/>
      <c r="V6" s="2311"/>
      <c r="W6" s="2311"/>
      <c r="X6" s="2311"/>
      <c r="Y6" s="2311"/>
      <c r="Z6" s="2311"/>
      <c r="AA6" s="2311"/>
      <c r="AB6" s="2311"/>
      <c r="AC6" s="2311"/>
      <c r="AD6" s="2311"/>
      <c r="AE6" s="382"/>
      <c r="AF6" s="382"/>
      <c r="AG6" s="382"/>
      <c r="AH6" s="2312"/>
      <c r="AI6" s="382"/>
      <c r="AJ6" s="382"/>
      <c r="AK6" s="2312"/>
      <c r="AL6" s="382"/>
      <c r="AM6" s="382"/>
      <c r="AN6" s="2313"/>
      <c r="AP6"/>
      <c r="AQ6"/>
      <c r="AR6"/>
      <c r="CA6" s="379"/>
      <c r="CB6" s="441"/>
      <c r="CC6" s="441"/>
      <c r="CD6" s="441"/>
      <c r="CE6" s="441"/>
      <c r="CF6" s="441"/>
      <c r="CG6" s="441"/>
      <c r="CH6" s="382"/>
      <c r="CI6" s="382"/>
      <c r="CJ6" s="382"/>
      <c r="CK6" s="441"/>
      <c r="CL6" s="441"/>
      <c r="CM6" s="441"/>
      <c r="CN6" s="382"/>
      <c r="CO6" s="382"/>
      <c r="CP6" s="382"/>
      <c r="CQ6" s="382"/>
      <c r="CR6" s="382"/>
      <c r="CS6" s="382"/>
      <c r="CT6" s="382"/>
    </row>
    <row r="8" spans="1:98" s="385" customFormat="1" ht="18" customHeight="1">
      <c r="A8" s="1468" t="s">
        <v>1227</v>
      </c>
      <c r="B8" s="2102"/>
      <c r="C8" s="2314"/>
      <c r="D8" s="2314"/>
      <c r="E8" s="2314"/>
      <c r="F8" s="2314"/>
      <c r="G8" s="2314"/>
      <c r="H8" s="2314"/>
      <c r="I8" s="2314"/>
      <c r="J8" s="2314"/>
      <c r="K8" s="2314"/>
      <c r="L8" s="2314"/>
      <c r="M8" s="2314"/>
      <c r="N8" s="2314"/>
      <c r="O8" s="2314"/>
      <c r="P8" s="2314"/>
      <c r="Q8" s="2314"/>
      <c r="R8" s="2314"/>
      <c r="S8" s="2314"/>
      <c r="T8" s="2314"/>
      <c r="U8" s="2314"/>
      <c r="V8" s="2314"/>
      <c r="W8" s="2314"/>
      <c r="X8" s="2314"/>
      <c r="Y8" s="2314"/>
      <c r="Z8" s="2314"/>
      <c r="AA8" s="2314"/>
      <c r="AB8" s="2314"/>
      <c r="AC8" s="2314"/>
      <c r="AD8" s="2315"/>
      <c r="AE8" s="1582"/>
      <c r="AF8" s="1582"/>
      <c r="CB8" s="1470"/>
      <c r="CC8" s="1470"/>
      <c r="CD8" s="1470"/>
      <c r="CE8" s="1470"/>
      <c r="CF8" s="1470"/>
      <c r="CG8" s="1470"/>
      <c r="CH8" s="1470"/>
      <c r="CI8" s="1470"/>
      <c r="CJ8" s="1470"/>
      <c r="CK8" s="1470"/>
      <c r="CL8" s="1470"/>
      <c r="CM8" s="1470"/>
      <c r="CN8" s="1470"/>
      <c r="CO8" s="1470"/>
      <c r="CP8" s="1470"/>
      <c r="CQ8" s="1470"/>
      <c r="CR8" s="1470"/>
      <c r="CS8" s="1470"/>
      <c r="CT8" s="1470"/>
    </row>
    <row r="9" spans="1:98" ht="15" customHeight="1">
      <c r="A9" s="6140" t="s">
        <v>1228</v>
      </c>
      <c r="B9" s="5707" t="s">
        <v>1229</v>
      </c>
      <c r="C9" s="5708"/>
      <c r="D9" s="5708"/>
      <c r="E9" s="5708"/>
      <c r="F9" s="5708"/>
      <c r="G9" s="5708"/>
      <c r="H9" s="5708"/>
      <c r="I9" s="5708"/>
      <c r="J9" s="5708"/>
      <c r="K9" s="5708"/>
      <c r="L9" s="5708"/>
      <c r="M9" s="5708"/>
      <c r="N9" s="5708"/>
      <c r="O9" s="5708"/>
      <c r="P9" s="5708"/>
      <c r="Q9" s="5708"/>
      <c r="R9" s="5708"/>
      <c r="S9" s="5708"/>
      <c r="T9" s="5708"/>
      <c r="U9" s="5718" t="s">
        <v>625</v>
      </c>
      <c r="V9" s="6153" t="s">
        <v>1230</v>
      </c>
      <c r="W9" s="6388"/>
      <c r="X9" s="6191" t="s">
        <v>1231</v>
      </c>
      <c r="Y9" s="6106"/>
      <c r="Z9" s="6106"/>
      <c r="AA9" s="6106"/>
      <c r="AB9" s="6106"/>
      <c r="AC9" s="6106"/>
      <c r="AD9" s="6106"/>
      <c r="AE9" s="5716"/>
      <c r="AF9" s="6390" t="s">
        <v>1232</v>
      </c>
      <c r="AG9" s="6391"/>
    </row>
    <row r="10" spans="1:98" ht="15" customHeight="1">
      <c r="A10" s="6141"/>
      <c r="B10" s="6110" t="s">
        <v>475</v>
      </c>
      <c r="C10" s="5710" t="s">
        <v>43</v>
      </c>
      <c r="D10" s="6106"/>
      <c r="E10" s="6106"/>
      <c r="F10" s="6106"/>
      <c r="G10" s="6106"/>
      <c r="H10" s="6106"/>
      <c r="I10" s="6106"/>
      <c r="J10" s="6106"/>
      <c r="K10" s="6106"/>
      <c r="L10" s="6106"/>
      <c r="M10" s="6106"/>
      <c r="N10" s="6106"/>
      <c r="O10" s="6106"/>
      <c r="P10" s="6106"/>
      <c r="Q10" s="6106"/>
      <c r="R10" s="6106"/>
      <c r="S10" s="6106"/>
      <c r="T10" s="6106"/>
      <c r="U10" s="6110"/>
      <c r="V10" s="6156"/>
      <c r="W10" s="6389"/>
      <c r="X10" s="6444" t="s">
        <v>1233</v>
      </c>
      <c r="Y10" s="5708"/>
      <c r="Z10" s="5708"/>
      <c r="AA10" s="6445"/>
      <c r="AB10" s="5708" t="s">
        <v>1234</v>
      </c>
      <c r="AC10" s="5708"/>
      <c r="AD10" s="5708"/>
      <c r="AE10" s="6147"/>
      <c r="AF10" s="6392"/>
      <c r="AG10" s="6393"/>
    </row>
    <row r="11" spans="1:98" ht="24.75" customHeight="1">
      <c r="A11" s="6114"/>
      <c r="B11" s="5719"/>
      <c r="C11" s="1395" t="s">
        <v>364</v>
      </c>
      <c r="D11" s="1396" t="s">
        <v>347</v>
      </c>
      <c r="E11" s="1646" t="s">
        <v>108</v>
      </c>
      <c r="F11" s="1646" t="s">
        <v>1235</v>
      </c>
      <c r="G11" s="1646" t="s">
        <v>1236</v>
      </c>
      <c r="H11" s="1646" t="s">
        <v>59</v>
      </c>
      <c r="I11" s="1397" t="s">
        <v>60</v>
      </c>
      <c r="J11" s="1397" t="s">
        <v>61</v>
      </c>
      <c r="K11" s="1397" t="s">
        <v>62</v>
      </c>
      <c r="L11" s="1397" t="s">
        <v>63</v>
      </c>
      <c r="M11" s="1397" t="s">
        <v>64</v>
      </c>
      <c r="N11" s="1397" t="s">
        <v>65</v>
      </c>
      <c r="O11" s="1397" t="s">
        <v>66</v>
      </c>
      <c r="P11" s="1397" t="s">
        <v>67</v>
      </c>
      <c r="Q11" s="1397" t="s">
        <v>68</v>
      </c>
      <c r="R11" s="1397" t="s">
        <v>69</v>
      </c>
      <c r="S11" s="1397" t="s">
        <v>70</v>
      </c>
      <c r="T11" s="2320" t="s">
        <v>71</v>
      </c>
      <c r="U11" s="5719"/>
      <c r="V11" s="1495" t="s">
        <v>72</v>
      </c>
      <c r="W11" s="1398" t="s">
        <v>73</v>
      </c>
      <c r="X11" s="2318" t="s">
        <v>947</v>
      </c>
      <c r="Y11" s="396" t="s">
        <v>1036</v>
      </c>
      <c r="Z11" s="1646" t="s">
        <v>1237</v>
      </c>
      <c r="AA11" s="2321" t="s">
        <v>1238</v>
      </c>
      <c r="AB11" s="397" t="s">
        <v>947</v>
      </c>
      <c r="AC11" s="396" t="s">
        <v>1036</v>
      </c>
      <c r="AD11" s="1646" t="s">
        <v>1237</v>
      </c>
      <c r="AE11" s="1398" t="s">
        <v>576</v>
      </c>
      <c r="AF11" s="1396" t="s">
        <v>689</v>
      </c>
      <c r="AG11" s="1584" t="s">
        <v>1234</v>
      </c>
    </row>
    <row r="12" spans="1:98">
      <c r="A12" s="1946" t="s">
        <v>1239</v>
      </c>
      <c r="B12" s="1540">
        <f t="shared" ref="B12:B13" si="0">SUM(C12:T12)</f>
        <v>0</v>
      </c>
      <c r="C12" s="1424"/>
      <c r="D12" s="1426"/>
      <c r="E12" s="1426"/>
      <c r="F12" s="1426"/>
      <c r="G12" s="1426"/>
      <c r="H12" s="2322"/>
      <c r="I12" s="2322"/>
      <c r="J12" s="2322"/>
      <c r="K12" s="2322"/>
      <c r="L12" s="2322"/>
      <c r="M12" s="2322"/>
      <c r="N12" s="2322"/>
      <c r="O12" s="2322"/>
      <c r="P12" s="2322"/>
      <c r="Q12" s="2322"/>
      <c r="R12" s="2322"/>
      <c r="S12" s="2322"/>
      <c r="T12" s="2323"/>
      <c r="U12" s="1545"/>
      <c r="V12" s="1480"/>
      <c r="W12" s="1481"/>
      <c r="X12" s="2324">
        <f t="shared" ref="X12:X66" si="1">SUM(Y12+Z12+AA12)</f>
        <v>0</v>
      </c>
      <c r="Y12" s="1480"/>
      <c r="Z12" s="1541"/>
      <c r="AA12" s="2325"/>
      <c r="AB12" s="410">
        <f t="shared" ref="AB12:AB66" si="2">SUM(AC12+AD12+AE12)</f>
        <v>0</v>
      </c>
      <c r="AC12" s="1480"/>
      <c r="AD12" s="1541"/>
      <c r="AE12" s="1481"/>
      <c r="AF12" s="1447"/>
      <c r="AG12" s="1680"/>
      <c r="AH12" t="str">
        <f t="shared" ref="AH12:AH66" si="3">CB12&amp;CC12&amp;CD12</f>
        <v/>
      </c>
      <c r="CB12" s="1418" t="str">
        <f t="shared" ref="CB12:CB66" si="4">IF(V12+W12&lt;&gt;B12," *La suma por Sexo (Hombres + Mujeres) NO DEBEN ser diferente al Total","")</f>
        <v/>
      </c>
      <c r="CC12" s="1418" t="str">
        <f t="shared" ref="CC12:CC66" si="5">IF(AND(B12&gt;0,U12="")," *No olvide digitar la variable Beneficiarios. Digite CERO si no tiene",IF(U12&gt;B12," *La variable Beneficiarios No puede ser mayor al Total.",""))</f>
        <v/>
      </c>
      <c r="CD12" s="1418" t="str">
        <f t="shared" ref="CD12:CD66" si="6">IF((X12+AB12)&gt;B12," *La suma del Total de Consultas Nuevas según Origen NO DEBE ser MAYOR que el total de Consultas y Controles médicos.","")</f>
        <v/>
      </c>
      <c r="CM12" s="1420">
        <f t="shared" ref="CM12:CM66" si="7">IF(V12+W12&lt;&gt;B12,1,0)</f>
        <v>0</v>
      </c>
      <c r="CN12" s="1420">
        <f t="shared" ref="CN12:CN66" si="8">IF(AND(B12&gt;0,U12=""),1,IF(U12&gt;B12,1,0))</f>
        <v>0</v>
      </c>
      <c r="CO12" s="1420">
        <f t="shared" ref="CO12:CO66" si="9">IF((X12+AB12)&gt;B12,1,0)</f>
        <v>0</v>
      </c>
    </row>
    <row r="13" spans="1:98">
      <c r="A13" s="1947" t="s">
        <v>1240</v>
      </c>
      <c r="B13" s="1540">
        <f t="shared" si="0"/>
        <v>0</v>
      </c>
      <c r="C13" s="1440"/>
      <c r="D13" s="1442"/>
      <c r="E13" s="1442"/>
      <c r="F13" s="1442"/>
      <c r="G13" s="1442"/>
      <c r="H13" s="1442"/>
      <c r="I13" s="1442"/>
      <c r="J13" s="1442"/>
      <c r="K13" s="1442"/>
      <c r="L13" s="1442"/>
      <c r="M13" s="1442"/>
      <c r="N13" s="1442"/>
      <c r="O13" s="1442"/>
      <c r="P13" s="1442"/>
      <c r="Q13" s="1442"/>
      <c r="R13" s="1442"/>
      <c r="S13" s="1442"/>
      <c r="T13" s="1444"/>
      <c r="U13" s="1452"/>
      <c r="V13" s="1440"/>
      <c r="W13" s="1444"/>
      <c r="X13" s="2326">
        <f t="shared" si="1"/>
        <v>0</v>
      </c>
      <c r="Y13" s="1440"/>
      <c r="Z13" s="1442"/>
      <c r="AA13" s="2117"/>
      <c r="AB13" s="422">
        <f t="shared" si="2"/>
        <v>0</v>
      </c>
      <c r="AC13" s="1440"/>
      <c r="AD13" s="1441"/>
      <c r="AE13" s="1444"/>
      <c r="AF13" s="1447"/>
      <c r="AG13" s="1680"/>
      <c r="AH13" t="str">
        <f t="shared" si="3"/>
        <v/>
      </c>
      <c r="CB13" s="1418" t="str">
        <f t="shared" si="4"/>
        <v/>
      </c>
      <c r="CC13" s="1418" t="str">
        <f t="shared" si="5"/>
        <v/>
      </c>
      <c r="CD13" s="1418" t="str">
        <f t="shared" si="6"/>
        <v/>
      </c>
      <c r="CM13" s="1420">
        <f t="shared" si="7"/>
        <v>0</v>
      </c>
      <c r="CN13" s="1420">
        <f t="shared" si="8"/>
        <v>0</v>
      </c>
      <c r="CO13" s="1420">
        <f t="shared" si="9"/>
        <v>0</v>
      </c>
    </row>
    <row r="14" spans="1:98">
      <c r="A14" s="1947" t="s">
        <v>1241</v>
      </c>
      <c r="B14" s="1540">
        <f>SUM(C14:D14)</f>
        <v>0</v>
      </c>
      <c r="C14" s="1440"/>
      <c r="D14" s="1442"/>
      <c r="E14" s="2327"/>
      <c r="F14" s="2327"/>
      <c r="G14" s="2327"/>
      <c r="H14" s="2327"/>
      <c r="I14" s="2327"/>
      <c r="J14" s="2327"/>
      <c r="K14" s="2327"/>
      <c r="L14" s="2327"/>
      <c r="M14" s="2327"/>
      <c r="N14" s="2327"/>
      <c r="O14" s="2327"/>
      <c r="P14" s="2327"/>
      <c r="Q14" s="2327"/>
      <c r="R14" s="2327"/>
      <c r="S14" s="2327"/>
      <c r="T14" s="2206"/>
      <c r="U14" s="1452"/>
      <c r="V14" s="1440"/>
      <c r="W14" s="1444"/>
      <c r="X14" s="2326">
        <f t="shared" si="1"/>
        <v>0</v>
      </c>
      <c r="Y14" s="1440"/>
      <c r="Z14" s="1442"/>
      <c r="AA14" s="2117"/>
      <c r="AB14" s="422">
        <f t="shared" si="2"/>
        <v>0</v>
      </c>
      <c r="AC14" s="1440"/>
      <c r="AD14" s="1441"/>
      <c r="AE14" s="1444"/>
      <c r="AF14" s="1447"/>
      <c r="AG14" s="1680"/>
      <c r="AH14" t="str">
        <f t="shared" si="3"/>
        <v/>
      </c>
      <c r="CB14" s="1418" t="str">
        <f t="shared" si="4"/>
        <v/>
      </c>
      <c r="CC14" s="1418" t="str">
        <f t="shared" si="5"/>
        <v/>
      </c>
      <c r="CD14" s="1418" t="str">
        <f t="shared" si="6"/>
        <v/>
      </c>
      <c r="CM14" s="1420">
        <f t="shared" si="7"/>
        <v>0</v>
      </c>
      <c r="CN14" s="1420">
        <f t="shared" si="8"/>
        <v>0</v>
      </c>
      <c r="CO14" s="1420">
        <f t="shared" si="9"/>
        <v>0</v>
      </c>
    </row>
    <row r="15" spans="1:98">
      <c r="A15" s="1947" t="s">
        <v>1242</v>
      </c>
      <c r="B15" s="1540">
        <f t="shared" ref="B15:B34" si="10">SUM(C15:T15)</f>
        <v>0</v>
      </c>
      <c r="C15" s="1440"/>
      <c r="D15" s="1442"/>
      <c r="E15" s="1442"/>
      <c r="F15" s="1442"/>
      <c r="G15" s="1442"/>
      <c r="H15" s="1442"/>
      <c r="I15" s="1442"/>
      <c r="J15" s="1442"/>
      <c r="K15" s="1442"/>
      <c r="L15" s="1442"/>
      <c r="M15" s="1442"/>
      <c r="N15" s="1442"/>
      <c r="O15" s="1442"/>
      <c r="P15" s="1442"/>
      <c r="Q15" s="1442"/>
      <c r="R15" s="1442"/>
      <c r="S15" s="1442"/>
      <c r="T15" s="1444"/>
      <c r="U15" s="1452"/>
      <c r="V15" s="1440"/>
      <c r="W15" s="1444"/>
      <c r="X15" s="2326">
        <f t="shared" si="1"/>
        <v>0</v>
      </c>
      <c r="Y15" s="1440"/>
      <c r="Z15" s="1442"/>
      <c r="AA15" s="2117"/>
      <c r="AB15" s="422">
        <f t="shared" si="2"/>
        <v>0</v>
      </c>
      <c r="AC15" s="1440"/>
      <c r="AD15" s="1441"/>
      <c r="AE15" s="1444"/>
      <c r="AF15" s="1447"/>
      <c r="AG15" s="1680"/>
      <c r="AH15" t="str">
        <f t="shared" si="3"/>
        <v/>
      </c>
      <c r="CB15" s="1418" t="str">
        <f t="shared" si="4"/>
        <v/>
      </c>
      <c r="CC15" s="1418" t="str">
        <f t="shared" si="5"/>
        <v/>
      </c>
      <c r="CD15" s="1418" t="str">
        <f t="shared" si="6"/>
        <v/>
      </c>
      <c r="CM15" s="1420">
        <f t="shared" si="7"/>
        <v>0</v>
      </c>
      <c r="CN15" s="1420">
        <f t="shared" si="8"/>
        <v>0</v>
      </c>
      <c r="CO15" s="1420">
        <f t="shared" si="9"/>
        <v>0</v>
      </c>
    </row>
    <row r="16" spans="1:98">
      <c r="A16" s="1947" t="s">
        <v>1243</v>
      </c>
      <c r="B16" s="1540">
        <f t="shared" si="10"/>
        <v>0</v>
      </c>
      <c r="C16" s="1440"/>
      <c r="D16" s="1442"/>
      <c r="E16" s="1442"/>
      <c r="F16" s="1442"/>
      <c r="G16" s="1442"/>
      <c r="H16" s="1442"/>
      <c r="I16" s="1442"/>
      <c r="J16" s="1442"/>
      <c r="K16" s="1442"/>
      <c r="L16" s="1442"/>
      <c r="M16" s="1442"/>
      <c r="N16" s="1442"/>
      <c r="O16" s="1442"/>
      <c r="P16" s="1442"/>
      <c r="Q16" s="1442"/>
      <c r="R16" s="1442"/>
      <c r="S16" s="1442"/>
      <c r="T16" s="1444"/>
      <c r="U16" s="1452"/>
      <c r="V16" s="1440"/>
      <c r="W16" s="1444"/>
      <c r="X16" s="2326">
        <f t="shared" si="1"/>
        <v>0</v>
      </c>
      <c r="Y16" s="1440"/>
      <c r="Z16" s="1442"/>
      <c r="AA16" s="2117"/>
      <c r="AB16" s="421">
        <f t="shared" si="2"/>
        <v>0</v>
      </c>
      <c r="AC16" s="1440"/>
      <c r="AD16" s="1441"/>
      <c r="AE16" s="1444"/>
      <c r="AF16" s="1447"/>
      <c r="AG16" s="1680"/>
      <c r="AH16" t="str">
        <f t="shared" si="3"/>
        <v/>
      </c>
      <c r="CB16" s="1418" t="str">
        <f t="shared" si="4"/>
        <v/>
      </c>
      <c r="CC16" s="1418" t="str">
        <f t="shared" si="5"/>
        <v/>
      </c>
      <c r="CD16" s="1418" t="str">
        <f t="shared" si="6"/>
        <v/>
      </c>
      <c r="CM16" s="1420">
        <f t="shared" si="7"/>
        <v>0</v>
      </c>
      <c r="CN16" s="1420">
        <f t="shared" si="8"/>
        <v>0</v>
      </c>
      <c r="CO16" s="1420">
        <f t="shared" si="9"/>
        <v>0</v>
      </c>
    </row>
    <row r="17" spans="1:93">
      <c r="A17" s="1947" t="s">
        <v>1244</v>
      </c>
      <c r="B17" s="1540">
        <f t="shared" si="10"/>
        <v>0</v>
      </c>
      <c r="C17" s="1440"/>
      <c r="D17" s="1442"/>
      <c r="E17" s="1442"/>
      <c r="F17" s="1442"/>
      <c r="G17" s="1442"/>
      <c r="H17" s="1442"/>
      <c r="I17" s="1442"/>
      <c r="J17" s="1442"/>
      <c r="K17" s="1442"/>
      <c r="L17" s="1442"/>
      <c r="M17" s="1442"/>
      <c r="N17" s="1442"/>
      <c r="O17" s="1442"/>
      <c r="P17" s="1442"/>
      <c r="Q17" s="1442"/>
      <c r="R17" s="1442"/>
      <c r="S17" s="1442"/>
      <c r="T17" s="1444"/>
      <c r="U17" s="1452"/>
      <c r="V17" s="1440"/>
      <c r="W17" s="1444"/>
      <c r="X17" s="2326">
        <f t="shared" si="1"/>
        <v>0</v>
      </c>
      <c r="Y17" s="1440"/>
      <c r="Z17" s="1442"/>
      <c r="AA17" s="2117"/>
      <c r="AB17" s="421">
        <f t="shared" si="2"/>
        <v>0</v>
      </c>
      <c r="AC17" s="1440"/>
      <c r="AD17" s="1441"/>
      <c r="AE17" s="1444"/>
      <c r="AF17" s="1447"/>
      <c r="AG17" s="1680"/>
      <c r="AH17" t="str">
        <f t="shared" si="3"/>
        <v/>
      </c>
      <c r="CB17" s="1418" t="str">
        <f t="shared" si="4"/>
        <v/>
      </c>
      <c r="CC17" s="1418" t="str">
        <f t="shared" si="5"/>
        <v/>
      </c>
      <c r="CD17" s="1418" t="str">
        <f t="shared" si="6"/>
        <v/>
      </c>
      <c r="CM17" s="1420">
        <f t="shared" si="7"/>
        <v>0</v>
      </c>
      <c r="CN17" s="1420">
        <f t="shared" si="8"/>
        <v>0</v>
      </c>
      <c r="CO17" s="1420">
        <f t="shared" si="9"/>
        <v>0</v>
      </c>
    </row>
    <row r="18" spans="1:93">
      <c r="A18" s="1947" t="s">
        <v>1245</v>
      </c>
      <c r="B18" s="1540">
        <f t="shared" si="10"/>
        <v>0</v>
      </c>
      <c r="C18" s="1440"/>
      <c r="D18" s="1442"/>
      <c r="E18" s="1442"/>
      <c r="F18" s="1442"/>
      <c r="G18" s="1442"/>
      <c r="H18" s="1442"/>
      <c r="I18" s="1442"/>
      <c r="J18" s="1442"/>
      <c r="K18" s="1442"/>
      <c r="L18" s="1442"/>
      <c r="M18" s="1442"/>
      <c r="N18" s="1442"/>
      <c r="O18" s="1442"/>
      <c r="P18" s="1442"/>
      <c r="Q18" s="1442"/>
      <c r="R18" s="1442"/>
      <c r="S18" s="1442"/>
      <c r="T18" s="1444"/>
      <c r="U18" s="1452"/>
      <c r="V18" s="1440"/>
      <c r="W18" s="1444"/>
      <c r="X18" s="2326">
        <f t="shared" si="1"/>
        <v>0</v>
      </c>
      <c r="Y18" s="1440"/>
      <c r="Z18" s="1442"/>
      <c r="AA18" s="2117"/>
      <c r="AB18" s="421">
        <f t="shared" si="2"/>
        <v>0</v>
      </c>
      <c r="AC18" s="1440"/>
      <c r="AD18" s="1441"/>
      <c r="AE18" s="1444"/>
      <c r="AF18" s="1447"/>
      <c r="AG18" s="1680"/>
      <c r="AH18" t="str">
        <f t="shared" si="3"/>
        <v/>
      </c>
      <c r="CB18" s="1418" t="str">
        <f t="shared" si="4"/>
        <v/>
      </c>
      <c r="CC18" s="1418" t="str">
        <f t="shared" si="5"/>
        <v/>
      </c>
      <c r="CD18" s="1418" t="str">
        <f t="shared" si="6"/>
        <v/>
      </c>
      <c r="CM18" s="1420">
        <f t="shared" si="7"/>
        <v>0</v>
      </c>
      <c r="CN18" s="1420">
        <f t="shared" si="8"/>
        <v>0</v>
      </c>
      <c r="CO18" s="1420">
        <f t="shared" si="9"/>
        <v>0</v>
      </c>
    </row>
    <row r="19" spans="1:93">
      <c r="A19" s="1947" t="s">
        <v>1246</v>
      </c>
      <c r="B19" s="1540">
        <f t="shared" si="10"/>
        <v>0</v>
      </c>
      <c r="C19" s="1440"/>
      <c r="D19" s="1442"/>
      <c r="E19" s="1442"/>
      <c r="F19" s="1442"/>
      <c r="G19" s="1442"/>
      <c r="H19" s="1442"/>
      <c r="I19" s="1442"/>
      <c r="J19" s="1442"/>
      <c r="K19" s="1442"/>
      <c r="L19" s="1442"/>
      <c r="M19" s="1442"/>
      <c r="N19" s="1442"/>
      <c r="O19" s="1442"/>
      <c r="P19" s="1442"/>
      <c r="Q19" s="1442"/>
      <c r="R19" s="1442"/>
      <c r="S19" s="1442"/>
      <c r="T19" s="1444"/>
      <c r="U19" s="1452"/>
      <c r="V19" s="1440"/>
      <c r="W19" s="1444"/>
      <c r="X19" s="2326">
        <f t="shared" si="1"/>
        <v>0</v>
      </c>
      <c r="Y19" s="1440"/>
      <c r="Z19" s="1442"/>
      <c r="AA19" s="2117"/>
      <c r="AB19" s="421">
        <f t="shared" si="2"/>
        <v>0</v>
      </c>
      <c r="AC19" s="1440"/>
      <c r="AD19" s="1441"/>
      <c r="AE19" s="1444"/>
      <c r="AF19" s="1447"/>
      <c r="AG19" s="1680"/>
      <c r="AH19" t="str">
        <f t="shared" si="3"/>
        <v/>
      </c>
      <c r="CB19" s="1418" t="str">
        <f t="shared" si="4"/>
        <v/>
      </c>
      <c r="CC19" s="1418" t="str">
        <f t="shared" si="5"/>
        <v/>
      </c>
      <c r="CD19" s="1418" t="str">
        <f t="shared" si="6"/>
        <v/>
      </c>
      <c r="CM19" s="1420">
        <f t="shared" si="7"/>
        <v>0</v>
      </c>
      <c r="CN19" s="1420">
        <f t="shared" si="8"/>
        <v>0</v>
      </c>
      <c r="CO19" s="1420">
        <f t="shared" si="9"/>
        <v>0</v>
      </c>
    </row>
    <row r="20" spans="1:93">
      <c r="A20" s="1947" t="s">
        <v>1247</v>
      </c>
      <c r="B20" s="1540">
        <f t="shared" si="10"/>
        <v>0</v>
      </c>
      <c r="C20" s="1440"/>
      <c r="D20" s="1442"/>
      <c r="E20" s="1442"/>
      <c r="F20" s="1442"/>
      <c r="G20" s="1442"/>
      <c r="H20" s="1442"/>
      <c r="I20" s="1442"/>
      <c r="J20" s="1442"/>
      <c r="K20" s="1442"/>
      <c r="L20" s="1442"/>
      <c r="M20" s="1442"/>
      <c r="N20" s="1442"/>
      <c r="O20" s="1442"/>
      <c r="P20" s="1442"/>
      <c r="Q20" s="1442"/>
      <c r="R20" s="1442"/>
      <c r="S20" s="1442"/>
      <c r="T20" s="1444"/>
      <c r="U20" s="1452"/>
      <c r="V20" s="1440"/>
      <c r="W20" s="1444"/>
      <c r="X20" s="2326">
        <f t="shared" si="1"/>
        <v>0</v>
      </c>
      <c r="Y20" s="1440"/>
      <c r="Z20" s="1442"/>
      <c r="AA20" s="2117"/>
      <c r="AB20" s="421">
        <f t="shared" si="2"/>
        <v>0</v>
      </c>
      <c r="AC20" s="1440"/>
      <c r="AD20" s="1441"/>
      <c r="AE20" s="1444"/>
      <c r="AF20" s="1447"/>
      <c r="AG20" s="1680"/>
      <c r="AH20" t="str">
        <f t="shared" si="3"/>
        <v/>
      </c>
      <c r="CB20" s="1418" t="str">
        <f t="shared" si="4"/>
        <v/>
      </c>
      <c r="CC20" s="1418" t="str">
        <f t="shared" si="5"/>
        <v/>
      </c>
      <c r="CD20" s="1418" t="str">
        <f t="shared" si="6"/>
        <v/>
      </c>
      <c r="CM20" s="1420">
        <f t="shared" si="7"/>
        <v>0</v>
      </c>
      <c r="CN20" s="1420">
        <f t="shared" si="8"/>
        <v>0</v>
      </c>
      <c r="CO20" s="1420">
        <f t="shared" si="9"/>
        <v>0</v>
      </c>
    </row>
    <row r="21" spans="1:93">
      <c r="A21" s="1947" t="s">
        <v>1248</v>
      </c>
      <c r="B21" s="1540">
        <f t="shared" si="10"/>
        <v>0</v>
      </c>
      <c r="C21" s="1440"/>
      <c r="D21" s="1442"/>
      <c r="E21" s="1442"/>
      <c r="F21" s="1442"/>
      <c r="G21" s="1442"/>
      <c r="H21" s="1442"/>
      <c r="I21" s="1442"/>
      <c r="J21" s="1442"/>
      <c r="K21" s="1442"/>
      <c r="L21" s="1442"/>
      <c r="M21" s="1442"/>
      <c r="N21" s="1442"/>
      <c r="O21" s="1442"/>
      <c r="P21" s="1442"/>
      <c r="Q21" s="1442"/>
      <c r="R21" s="1442"/>
      <c r="S21" s="1442"/>
      <c r="T21" s="1444"/>
      <c r="U21" s="1452"/>
      <c r="V21" s="1440"/>
      <c r="W21" s="1444"/>
      <c r="X21" s="2326">
        <f t="shared" si="1"/>
        <v>0</v>
      </c>
      <c r="Y21" s="1440"/>
      <c r="Z21" s="1442"/>
      <c r="AA21" s="2117"/>
      <c r="AB21" s="421">
        <f t="shared" si="2"/>
        <v>0</v>
      </c>
      <c r="AC21" s="1440"/>
      <c r="AD21" s="1441"/>
      <c r="AE21" s="1444"/>
      <c r="AF21" s="1447"/>
      <c r="AG21" s="1680"/>
      <c r="AH21" t="str">
        <f t="shared" si="3"/>
        <v/>
      </c>
      <c r="CB21" s="1418" t="str">
        <f t="shared" si="4"/>
        <v/>
      </c>
      <c r="CC21" s="1418" t="str">
        <f t="shared" si="5"/>
        <v/>
      </c>
      <c r="CD21" s="1418" t="str">
        <f t="shared" si="6"/>
        <v/>
      </c>
      <c r="CM21" s="1420">
        <f t="shared" si="7"/>
        <v>0</v>
      </c>
      <c r="CN21" s="1420">
        <f t="shared" si="8"/>
        <v>0</v>
      </c>
      <c r="CO21" s="1420">
        <f t="shared" si="9"/>
        <v>0</v>
      </c>
    </row>
    <row r="22" spans="1:93">
      <c r="A22" s="1947" t="s">
        <v>1249</v>
      </c>
      <c r="B22" s="1540">
        <f t="shared" si="10"/>
        <v>0</v>
      </c>
      <c r="C22" s="1440"/>
      <c r="D22" s="1442"/>
      <c r="E22" s="1442"/>
      <c r="F22" s="1442"/>
      <c r="G22" s="1442"/>
      <c r="H22" s="1442"/>
      <c r="I22" s="1442"/>
      <c r="J22" s="1442"/>
      <c r="K22" s="1442"/>
      <c r="L22" s="1442"/>
      <c r="M22" s="1442"/>
      <c r="N22" s="1442"/>
      <c r="O22" s="1442"/>
      <c r="P22" s="1442"/>
      <c r="Q22" s="1442"/>
      <c r="R22" s="1442"/>
      <c r="S22" s="1442"/>
      <c r="T22" s="1444"/>
      <c r="U22" s="1452"/>
      <c r="V22" s="1440"/>
      <c r="W22" s="1444"/>
      <c r="X22" s="2326">
        <f t="shared" si="1"/>
        <v>0</v>
      </c>
      <c r="Y22" s="1440"/>
      <c r="Z22" s="1442"/>
      <c r="AA22" s="2117"/>
      <c r="AB22" s="421">
        <f t="shared" si="2"/>
        <v>0</v>
      </c>
      <c r="AC22" s="1440"/>
      <c r="AD22" s="1441"/>
      <c r="AE22" s="1444"/>
      <c r="AF22" s="1447"/>
      <c r="AG22" s="1680"/>
      <c r="AH22" t="str">
        <f t="shared" si="3"/>
        <v/>
      </c>
      <c r="CB22" s="1418" t="str">
        <f t="shared" si="4"/>
        <v/>
      </c>
      <c r="CC22" s="1418" t="str">
        <f t="shared" si="5"/>
        <v/>
      </c>
      <c r="CD22" s="1418" t="str">
        <f t="shared" si="6"/>
        <v/>
      </c>
      <c r="CM22" s="1420">
        <f t="shared" si="7"/>
        <v>0</v>
      </c>
      <c r="CN22" s="1420">
        <f t="shared" si="8"/>
        <v>0</v>
      </c>
      <c r="CO22" s="1420">
        <f t="shared" si="9"/>
        <v>0</v>
      </c>
    </row>
    <row r="23" spans="1:93">
      <c r="A23" s="1947" t="s">
        <v>1250</v>
      </c>
      <c r="B23" s="1540">
        <f t="shared" si="10"/>
        <v>0</v>
      </c>
      <c r="C23" s="1440"/>
      <c r="D23" s="1442"/>
      <c r="E23" s="1442"/>
      <c r="F23" s="1442"/>
      <c r="G23" s="1442"/>
      <c r="H23" s="1442"/>
      <c r="I23" s="1442"/>
      <c r="J23" s="1442"/>
      <c r="K23" s="1442"/>
      <c r="L23" s="1442"/>
      <c r="M23" s="1442"/>
      <c r="N23" s="1442"/>
      <c r="O23" s="1442"/>
      <c r="P23" s="1442"/>
      <c r="Q23" s="1442"/>
      <c r="R23" s="1442"/>
      <c r="S23" s="1442"/>
      <c r="T23" s="1444"/>
      <c r="U23" s="1452"/>
      <c r="V23" s="1440"/>
      <c r="W23" s="1444"/>
      <c r="X23" s="2326">
        <f t="shared" si="1"/>
        <v>0</v>
      </c>
      <c r="Y23" s="1440"/>
      <c r="Z23" s="1442"/>
      <c r="AA23" s="2117"/>
      <c r="AB23" s="421">
        <f t="shared" si="2"/>
        <v>0</v>
      </c>
      <c r="AC23" s="1440"/>
      <c r="AD23" s="1441"/>
      <c r="AE23" s="1444"/>
      <c r="AF23" s="1447"/>
      <c r="AG23" s="1680"/>
      <c r="AH23" t="str">
        <f t="shared" si="3"/>
        <v/>
      </c>
      <c r="CB23" s="1418" t="str">
        <f t="shared" si="4"/>
        <v/>
      </c>
      <c r="CC23" s="1418" t="str">
        <f t="shared" si="5"/>
        <v/>
      </c>
      <c r="CD23" s="1418" t="str">
        <f t="shared" si="6"/>
        <v/>
      </c>
      <c r="CM23" s="1420">
        <f t="shared" si="7"/>
        <v>0</v>
      </c>
      <c r="CN23" s="1420">
        <f t="shared" si="8"/>
        <v>0</v>
      </c>
      <c r="CO23" s="1420">
        <f t="shared" si="9"/>
        <v>0</v>
      </c>
    </row>
    <row r="24" spans="1:93">
      <c r="A24" s="1947" t="s">
        <v>1251</v>
      </c>
      <c r="B24" s="1540">
        <f t="shared" si="10"/>
        <v>0</v>
      </c>
      <c r="C24" s="1440"/>
      <c r="D24" s="1442"/>
      <c r="E24" s="1442"/>
      <c r="F24" s="1442"/>
      <c r="G24" s="1442"/>
      <c r="H24" s="1442"/>
      <c r="I24" s="1442"/>
      <c r="J24" s="1442"/>
      <c r="K24" s="1442"/>
      <c r="L24" s="1442"/>
      <c r="M24" s="1442"/>
      <c r="N24" s="1442"/>
      <c r="O24" s="1442"/>
      <c r="P24" s="1442"/>
      <c r="Q24" s="1442"/>
      <c r="R24" s="1442"/>
      <c r="S24" s="1442"/>
      <c r="T24" s="1444"/>
      <c r="U24" s="1452"/>
      <c r="V24" s="1440"/>
      <c r="W24" s="1444"/>
      <c r="X24" s="2326">
        <f t="shared" si="1"/>
        <v>0</v>
      </c>
      <c r="Y24" s="1440"/>
      <c r="Z24" s="1442"/>
      <c r="AA24" s="2117"/>
      <c r="AB24" s="421">
        <f t="shared" si="2"/>
        <v>0</v>
      </c>
      <c r="AC24" s="1440"/>
      <c r="AD24" s="1441"/>
      <c r="AE24" s="1444"/>
      <c r="AF24" s="1447"/>
      <c r="AG24" s="1680"/>
      <c r="AH24" t="str">
        <f t="shared" si="3"/>
        <v/>
      </c>
      <c r="CB24" s="1418" t="str">
        <f t="shared" si="4"/>
        <v/>
      </c>
      <c r="CC24" s="1418" t="str">
        <f t="shared" si="5"/>
        <v/>
      </c>
      <c r="CD24" s="1418" t="str">
        <f t="shared" si="6"/>
        <v/>
      </c>
      <c r="CM24" s="1420">
        <f t="shared" si="7"/>
        <v>0</v>
      </c>
      <c r="CN24" s="1420">
        <f t="shared" si="8"/>
        <v>0</v>
      </c>
      <c r="CO24" s="1420">
        <f t="shared" si="9"/>
        <v>0</v>
      </c>
    </row>
    <row r="25" spans="1:93">
      <c r="A25" s="2328" t="s">
        <v>1252</v>
      </c>
      <c r="B25" s="1540">
        <f t="shared" si="10"/>
        <v>0</v>
      </c>
      <c r="C25" s="1440"/>
      <c r="D25" s="1442"/>
      <c r="E25" s="1442"/>
      <c r="F25" s="1442"/>
      <c r="G25" s="1442"/>
      <c r="H25" s="1442"/>
      <c r="I25" s="1442"/>
      <c r="J25" s="1442"/>
      <c r="K25" s="1442"/>
      <c r="L25" s="1442"/>
      <c r="M25" s="1442"/>
      <c r="N25" s="1442"/>
      <c r="O25" s="1442"/>
      <c r="P25" s="1442"/>
      <c r="Q25" s="1442"/>
      <c r="R25" s="1442"/>
      <c r="S25" s="1442"/>
      <c r="T25" s="1444"/>
      <c r="U25" s="1452"/>
      <c r="V25" s="1440"/>
      <c r="W25" s="1444"/>
      <c r="X25" s="2326">
        <f t="shared" si="1"/>
        <v>0</v>
      </c>
      <c r="Y25" s="1440"/>
      <c r="Z25" s="1442"/>
      <c r="AA25" s="2117"/>
      <c r="AB25" s="421">
        <f t="shared" si="2"/>
        <v>0</v>
      </c>
      <c r="AC25" s="1440"/>
      <c r="AD25" s="1441"/>
      <c r="AE25" s="1444"/>
      <c r="AF25" s="1447"/>
      <c r="AG25" s="1680"/>
      <c r="AH25" t="str">
        <f t="shared" si="3"/>
        <v/>
      </c>
      <c r="CB25" s="1418" t="str">
        <f t="shared" si="4"/>
        <v/>
      </c>
      <c r="CC25" s="1418" t="str">
        <f t="shared" si="5"/>
        <v/>
      </c>
      <c r="CD25" s="1418" t="str">
        <f t="shared" si="6"/>
        <v/>
      </c>
      <c r="CM25" s="1420">
        <f t="shared" si="7"/>
        <v>0</v>
      </c>
      <c r="CN25" s="1420">
        <f t="shared" si="8"/>
        <v>0</v>
      </c>
      <c r="CO25" s="1420">
        <f t="shared" si="9"/>
        <v>0</v>
      </c>
    </row>
    <row r="26" spans="1:93">
      <c r="A26" s="1947" t="s">
        <v>1253</v>
      </c>
      <c r="B26" s="1540">
        <f t="shared" si="10"/>
        <v>0</v>
      </c>
      <c r="C26" s="1440"/>
      <c r="D26" s="1442"/>
      <c r="E26" s="1442"/>
      <c r="F26" s="1442"/>
      <c r="G26" s="1442"/>
      <c r="H26" s="1442"/>
      <c r="I26" s="1442"/>
      <c r="J26" s="1442"/>
      <c r="K26" s="1442"/>
      <c r="L26" s="1442"/>
      <c r="M26" s="1442"/>
      <c r="N26" s="1442"/>
      <c r="O26" s="1442"/>
      <c r="P26" s="1442"/>
      <c r="Q26" s="1442"/>
      <c r="R26" s="1442"/>
      <c r="S26" s="1442"/>
      <c r="T26" s="1444"/>
      <c r="U26" s="1452"/>
      <c r="V26" s="1440"/>
      <c r="W26" s="1444"/>
      <c r="X26" s="2326">
        <f t="shared" si="1"/>
        <v>0</v>
      </c>
      <c r="Y26" s="1440"/>
      <c r="Z26" s="1442"/>
      <c r="AA26" s="2117"/>
      <c r="AB26" s="421">
        <f t="shared" si="2"/>
        <v>0</v>
      </c>
      <c r="AC26" s="1440"/>
      <c r="AD26" s="1441"/>
      <c r="AE26" s="1444"/>
      <c r="AF26" s="1447"/>
      <c r="AG26" s="1680"/>
      <c r="AH26" t="str">
        <f t="shared" si="3"/>
        <v/>
      </c>
      <c r="CB26" s="1418" t="str">
        <f t="shared" si="4"/>
        <v/>
      </c>
      <c r="CC26" s="1418" t="str">
        <f t="shared" si="5"/>
        <v/>
      </c>
      <c r="CD26" s="1418" t="str">
        <f t="shared" si="6"/>
        <v/>
      </c>
      <c r="CM26" s="1420">
        <f t="shared" si="7"/>
        <v>0</v>
      </c>
      <c r="CN26" s="1420">
        <f t="shared" si="8"/>
        <v>0</v>
      </c>
      <c r="CO26" s="1420">
        <f t="shared" si="9"/>
        <v>0</v>
      </c>
    </row>
    <row r="27" spans="1:93">
      <c r="A27" s="1947" t="s">
        <v>1254</v>
      </c>
      <c r="B27" s="1540">
        <f t="shared" si="10"/>
        <v>0</v>
      </c>
      <c r="C27" s="1440"/>
      <c r="D27" s="1442"/>
      <c r="E27" s="1442"/>
      <c r="F27" s="1442"/>
      <c r="G27" s="1442"/>
      <c r="H27" s="1442"/>
      <c r="I27" s="1442"/>
      <c r="J27" s="1442"/>
      <c r="K27" s="1442"/>
      <c r="L27" s="1442"/>
      <c r="M27" s="1442"/>
      <c r="N27" s="1442"/>
      <c r="O27" s="1442"/>
      <c r="P27" s="1442"/>
      <c r="Q27" s="1442"/>
      <c r="R27" s="1442"/>
      <c r="S27" s="1442"/>
      <c r="T27" s="1444"/>
      <c r="U27" s="1452"/>
      <c r="V27" s="1440"/>
      <c r="W27" s="1444"/>
      <c r="X27" s="2326">
        <f t="shared" si="1"/>
        <v>0</v>
      </c>
      <c r="Y27" s="1440"/>
      <c r="Z27" s="1442"/>
      <c r="AA27" s="2117"/>
      <c r="AB27" s="421">
        <f t="shared" si="2"/>
        <v>0</v>
      </c>
      <c r="AC27" s="1440"/>
      <c r="AD27" s="1441"/>
      <c r="AE27" s="1444"/>
      <c r="AF27" s="1447"/>
      <c r="AG27" s="1680"/>
      <c r="AH27" t="str">
        <f t="shared" si="3"/>
        <v/>
      </c>
      <c r="CB27" s="1418" t="str">
        <f t="shared" si="4"/>
        <v/>
      </c>
      <c r="CC27" s="1418" t="str">
        <f t="shared" si="5"/>
        <v/>
      </c>
      <c r="CD27" s="1418" t="str">
        <f t="shared" si="6"/>
        <v/>
      </c>
      <c r="CM27" s="1420">
        <f t="shared" si="7"/>
        <v>0</v>
      </c>
      <c r="CN27" s="1420">
        <f t="shared" si="8"/>
        <v>0</v>
      </c>
      <c r="CO27" s="1420">
        <f t="shared" si="9"/>
        <v>0</v>
      </c>
    </row>
    <row r="28" spans="1:93">
      <c r="A28" s="1947" t="s">
        <v>1255</v>
      </c>
      <c r="B28" s="1540">
        <f t="shared" si="10"/>
        <v>0</v>
      </c>
      <c r="C28" s="1440"/>
      <c r="D28" s="1442"/>
      <c r="E28" s="1442"/>
      <c r="F28" s="1442"/>
      <c r="G28" s="1442"/>
      <c r="H28" s="1442"/>
      <c r="I28" s="1442"/>
      <c r="J28" s="1442"/>
      <c r="K28" s="1442"/>
      <c r="L28" s="1442"/>
      <c r="M28" s="1442"/>
      <c r="N28" s="1442"/>
      <c r="O28" s="1442"/>
      <c r="P28" s="1442"/>
      <c r="Q28" s="1442"/>
      <c r="R28" s="1442"/>
      <c r="S28" s="1442"/>
      <c r="T28" s="1444"/>
      <c r="U28" s="1452"/>
      <c r="V28" s="1440"/>
      <c r="W28" s="1444"/>
      <c r="X28" s="2326">
        <f t="shared" si="1"/>
        <v>0</v>
      </c>
      <c r="Y28" s="1440"/>
      <c r="Z28" s="1442"/>
      <c r="AA28" s="2117"/>
      <c r="AB28" s="421">
        <f t="shared" si="2"/>
        <v>0</v>
      </c>
      <c r="AC28" s="1440"/>
      <c r="AD28" s="1441"/>
      <c r="AE28" s="1444"/>
      <c r="AF28" s="1447"/>
      <c r="AG28" s="1680"/>
      <c r="AH28" t="str">
        <f t="shared" si="3"/>
        <v/>
      </c>
      <c r="CB28" s="1418" t="str">
        <f t="shared" si="4"/>
        <v/>
      </c>
      <c r="CC28" s="1418" t="str">
        <f t="shared" si="5"/>
        <v/>
      </c>
      <c r="CD28" s="1418" t="str">
        <f t="shared" si="6"/>
        <v/>
      </c>
      <c r="CM28" s="1420">
        <f t="shared" si="7"/>
        <v>0</v>
      </c>
      <c r="CN28" s="1420">
        <f t="shared" si="8"/>
        <v>0</v>
      </c>
      <c r="CO28" s="1420">
        <f t="shared" si="9"/>
        <v>0</v>
      </c>
    </row>
    <row r="29" spans="1:93">
      <c r="A29" s="1947" t="s">
        <v>1256</v>
      </c>
      <c r="B29" s="1540">
        <f t="shared" si="10"/>
        <v>0</v>
      </c>
      <c r="C29" s="1440"/>
      <c r="D29" s="1442"/>
      <c r="E29" s="1442"/>
      <c r="F29" s="1442"/>
      <c r="G29" s="1442"/>
      <c r="H29" s="1442"/>
      <c r="I29" s="1442"/>
      <c r="J29" s="1442"/>
      <c r="K29" s="1442"/>
      <c r="L29" s="1442"/>
      <c r="M29" s="1442"/>
      <c r="N29" s="1442"/>
      <c r="O29" s="1442"/>
      <c r="P29" s="1442"/>
      <c r="Q29" s="1442"/>
      <c r="R29" s="1442"/>
      <c r="S29" s="1442"/>
      <c r="T29" s="1444"/>
      <c r="U29" s="1452"/>
      <c r="V29" s="1440"/>
      <c r="W29" s="1444"/>
      <c r="X29" s="2326">
        <f t="shared" si="1"/>
        <v>0</v>
      </c>
      <c r="Y29" s="1440"/>
      <c r="Z29" s="1442"/>
      <c r="AA29" s="2117"/>
      <c r="AB29" s="421">
        <f t="shared" si="2"/>
        <v>0</v>
      </c>
      <c r="AC29" s="1440"/>
      <c r="AD29" s="1441"/>
      <c r="AE29" s="1444"/>
      <c r="AF29" s="1447"/>
      <c r="AG29" s="1680"/>
      <c r="AH29" t="str">
        <f t="shared" si="3"/>
        <v/>
      </c>
      <c r="CB29" s="1418" t="str">
        <f t="shared" si="4"/>
        <v/>
      </c>
      <c r="CC29" s="1418" t="str">
        <f t="shared" si="5"/>
        <v/>
      </c>
      <c r="CD29" s="1418" t="str">
        <f t="shared" si="6"/>
        <v/>
      </c>
      <c r="CM29" s="1420">
        <f t="shared" si="7"/>
        <v>0</v>
      </c>
      <c r="CN29" s="1420">
        <f t="shared" si="8"/>
        <v>0</v>
      </c>
      <c r="CO29" s="1420">
        <f t="shared" si="9"/>
        <v>0</v>
      </c>
    </row>
    <row r="30" spans="1:93">
      <c r="A30" s="1947" t="s">
        <v>1257</v>
      </c>
      <c r="B30" s="1540">
        <f t="shared" si="10"/>
        <v>0</v>
      </c>
      <c r="C30" s="1440"/>
      <c r="D30" s="1442"/>
      <c r="E30" s="1442"/>
      <c r="F30" s="1442"/>
      <c r="G30" s="1442"/>
      <c r="H30" s="1442"/>
      <c r="I30" s="1442"/>
      <c r="J30" s="1442"/>
      <c r="K30" s="1442"/>
      <c r="L30" s="1442"/>
      <c r="M30" s="1442"/>
      <c r="N30" s="1442"/>
      <c r="O30" s="1442"/>
      <c r="P30" s="1442"/>
      <c r="Q30" s="1442"/>
      <c r="R30" s="1442"/>
      <c r="S30" s="1442"/>
      <c r="T30" s="1444"/>
      <c r="U30" s="1452"/>
      <c r="V30" s="1440"/>
      <c r="W30" s="1444"/>
      <c r="X30" s="2326">
        <f t="shared" si="1"/>
        <v>0</v>
      </c>
      <c r="Y30" s="1440"/>
      <c r="Z30" s="1442"/>
      <c r="AA30" s="2117"/>
      <c r="AB30" s="421">
        <f t="shared" si="2"/>
        <v>0</v>
      </c>
      <c r="AC30" s="1440"/>
      <c r="AD30" s="1441"/>
      <c r="AE30" s="1444"/>
      <c r="AF30" s="1447"/>
      <c r="AG30" s="1680"/>
      <c r="AH30" t="str">
        <f t="shared" si="3"/>
        <v/>
      </c>
      <c r="CB30" s="1418" t="str">
        <f t="shared" si="4"/>
        <v/>
      </c>
      <c r="CC30" s="1418" t="str">
        <f t="shared" si="5"/>
        <v/>
      </c>
      <c r="CD30" s="1418" t="str">
        <f t="shared" si="6"/>
        <v/>
      </c>
      <c r="CM30" s="1420">
        <f t="shared" si="7"/>
        <v>0</v>
      </c>
      <c r="CN30" s="1420">
        <f t="shared" si="8"/>
        <v>0</v>
      </c>
      <c r="CO30" s="1420">
        <f t="shared" si="9"/>
        <v>0</v>
      </c>
    </row>
    <row r="31" spans="1:93">
      <c r="A31" s="2329" t="s">
        <v>1258</v>
      </c>
      <c r="B31" s="1540">
        <f t="shared" si="10"/>
        <v>0</v>
      </c>
      <c r="C31" s="1440"/>
      <c r="D31" s="1442"/>
      <c r="E31" s="1442"/>
      <c r="F31" s="1442"/>
      <c r="G31" s="1442"/>
      <c r="H31" s="1442"/>
      <c r="I31" s="1442"/>
      <c r="J31" s="1442"/>
      <c r="K31" s="1442"/>
      <c r="L31" s="1442"/>
      <c r="M31" s="1442"/>
      <c r="N31" s="1442"/>
      <c r="O31" s="1442"/>
      <c r="P31" s="1442"/>
      <c r="Q31" s="1442"/>
      <c r="R31" s="1442"/>
      <c r="S31" s="1442"/>
      <c r="T31" s="1444"/>
      <c r="U31" s="1452"/>
      <c r="V31" s="1440"/>
      <c r="W31" s="1444"/>
      <c r="X31" s="2326">
        <f t="shared" si="1"/>
        <v>0</v>
      </c>
      <c r="Y31" s="1440"/>
      <c r="Z31" s="1442"/>
      <c r="AA31" s="2117"/>
      <c r="AB31" s="421">
        <f t="shared" si="2"/>
        <v>0</v>
      </c>
      <c r="AC31" s="1440"/>
      <c r="AD31" s="1441"/>
      <c r="AE31" s="1444"/>
      <c r="AF31" s="1447"/>
      <c r="AG31" s="1680"/>
      <c r="AH31" t="str">
        <f t="shared" si="3"/>
        <v/>
      </c>
      <c r="CB31" s="1418" t="str">
        <f t="shared" si="4"/>
        <v/>
      </c>
      <c r="CC31" s="1418" t="str">
        <f t="shared" si="5"/>
        <v/>
      </c>
      <c r="CD31" s="1418" t="str">
        <f t="shared" si="6"/>
        <v/>
      </c>
      <c r="CM31" s="1420">
        <f t="shared" si="7"/>
        <v>0</v>
      </c>
      <c r="CN31" s="1420">
        <f t="shared" si="8"/>
        <v>0</v>
      </c>
      <c r="CO31" s="1420">
        <f t="shared" si="9"/>
        <v>0</v>
      </c>
    </row>
    <row r="32" spans="1:93">
      <c r="A32" s="1947" t="s">
        <v>1259</v>
      </c>
      <c r="B32" s="1540">
        <f t="shared" si="10"/>
        <v>0</v>
      </c>
      <c r="C32" s="1440"/>
      <c r="D32" s="1442"/>
      <c r="E32" s="1442"/>
      <c r="F32" s="1442"/>
      <c r="G32" s="1442"/>
      <c r="H32" s="1442"/>
      <c r="I32" s="1442"/>
      <c r="J32" s="1442"/>
      <c r="K32" s="1442"/>
      <c r="L32" s="1442"/>
      <c r="M32" s="1442"/>
      <c r="N32" s="1442"/>
      <c r="O32" s="1442"/>
      <c r="P32" s="1442"/>
      <c r="Q32" s="1442"/>
      <c r="R32" s="1442"/>
      <c r="S32" s="1442"/>
      <c r="T32" s="1444"/>
      <c r="U32" s="1452"/>
      <c r="V32" s="1440"/>
      <c r="W32" s="1444"/>
      <c r="X32" s="2326">
        <f t="shared" si="1"/>
        <v>0</v>
      </c>
      <c r="Y32" s="1440"/>
      <c r="Z32" s="1442"/>
      <c r="AA32" s="2117"/>
      <c r="AB32" s="421">
        <f t="shared" si="2"/>
        <v>0</v>
      </c>
      <c r="AC32" s="1440"/>
      <c r="AD32" s="1441"/>
      <c r="AE32" s="1444"/>
      <c r="AF32" s="1447"/>
      <c r="AG32" s="1680"/>
      <c r="AH32" t="str">
        <f t="shared" si="3"/>
        <v/>
      </c>
      <c r="CB32" s="1418" t="str">
        <f t="shared" si="4"/>
        <v/>
      </c>
      <c r="CC32" s="1418" t="str">
        <f t="shared" si="5"/>
        <v/>
      </c>
      <c r="CD32" s="1418" t="str">
        <f t="shared" si="6"/>
        <v/>
      </c>
      <c r="CM32" s="1420">
        <f t="shared" si="7"/>
        <v>0</v>
      </c>
      <c r="CN32" s="1420">
        <f t="shared" si="8"/>
        <v>0</v>
      </c>
      <c r="CO32" s="1420">
        <f t="shared" si="9"/>
        <v>0</v>
      </c>
    </row>
    <row r="33" spans="1:93">
      <c r="A33" s="1947" t="s">
        <v>1260</v>
      </c>
      <c r="B33" s="1540">
        <f t="shared" si="10"/>
        <v>0</v>
      </c>
      <c r="C33" s="1440"/>
      <c r="D33" s="1442"/>
      <c r="E33" s="1442"/>
      <c r="F33" s="1442"/>
      <c r="G33" s="1442"/>
      <c r="H33" s="1442"/>
      <c r="I33" s="1442"/>
      <c r="J33" s="1442"/>
      <c r="K33" s="1442"/>
      <c r="L33" s="1442"/>
      <c r="M33" s="1442"/>
      <c r="N33" s="1442"/>
      <c r="O33" s="1442"/>
      <c r="P33" s="1442"/>
      <c r="Q33" s="1442"/>
      <c r="R33" s="1442"/>
      <c r="S33" s="1442"/>
      <c r="T33" s="1444"/>
      <c r="U33" s="1452"/>
      <c r="V33" s="1440"/>
      <c r="W33" s="1444"/>
      <c r="X33" s="2326">
        <f t="shared" si="1"/>
        <v>0</v>
      </c>
      <c r="Y33" s="1440"/>
      <c r="Z33" s="1442"/>
      <c r="AA33" s="2117"/>
      <c r="AB33" s="421">
        <f t="shared" si="2"/>
        <v>0</v>
      </c>
      <c r="AC33" s="1440"/>
      <c r="AD33" s="1441"/>
      <c r="AE33" s="1444"/>
      <c r="AF33" s="1447"/>
      <c r="AG33" s="1680"/>
      <c r="AH33" t="str">
        <f t="shared" si="3"/>
        <v/>
      </c>
      <c r="CB33" s="1418" t="str">
        <f t="shared" si="4"/>
        <v/>
      </c>
      <c r="CC33" s="1418" t="str">
        <f t="shared" si="5"/>
        <v/>
      </c>
      <c r="CD33" s="1418" t="str">
        <f t="shared" si="6"/>
        <v/>
      </c>
      <c r="CM33" s="1420">
        <f t="shared" si="7"/>
        <v>0</v>
      </c>
      <c r="CN33" s="1420">
        <f t="shared" si="8"/>
        <v>0</v>
      </c>
      <c r="CO33" s="1420">
        <f t="shared" si="9"/>
        <v>0</v>
      </c>
    </row>
    <row r="34" spans="1:93">
      <c r="A34" s="1947" t="s">
        <v>1261</v>
      </c>
      <c r="B34" s="1540">
        <f t="shared" si="10"/>
        <v>0</v>
      </c>
      <c r="C34" s="1440"/>
      <c r="D34" s="1442"/>
      <c r="E34" s="1442"/>
      <c r="F34" s="1442"/>
      <c r="G34" s="1442"/>
      <c r="H34" s="1442"/>
      <c r="I34" s="1442"/>
      <c r="J34" s="1442"/>
      <c r="K34" s="1442"/>
      <c r="L34" s="1442"/>
      <c r="M34" s="1442"/>
      <c r="N34" s="1442"/>
      <c r="O34" s="1442"/>
      <c r="P34" s="1442"/>
      <c r="Q34" s="1442"/>
      <c r="R34" s="1442"/>
      <c r="S34" s="1442"/>
      <c r="T34" s="1444"/>
      <c r="U34" s="1452"/>
      <c r="V34" s="1440"/>
      <c r="W34" s="1444"/>
      <c r="X34" s="2326">
        <f t="shared" si="1"/>
        <v>0</v>
      </c>
      <c r="Y34" s="1440"/>
      <c r="Z34" s="1442"/>
      <c r="AA34" s="2117"/>
      <c r="AB34" s="421">
        <f t="shared" si="2"/>
        <v>0</v>
      </c>
      <c r="AC34" s="1440"/>
      <c r="AD34" s="1441"/>
      <c r="AE34" s="1444"/>
      <c r="AF34" s="1447"/>
      <c r="AG34" s="1680"/>
      <c r="AH34" t="str">
        <f t="shared" si="3"/>
        <v/>
      </c>
      <c r="CB34" s="1418" t="str">
        <f t="shared" si="4"/>
        <v/>
      </c>
      <c r="CC34" s="1418" t="str">
        <f t="shared" si="5"/>
        <v/>
      </c>
      <c r="CD34" s="1418" t="str">
        <f t="shared" si="6"/>
        <v/>
      </c>
      <c r="CM34" s="1420">
        <f t="shared" si="7"/>
        <v>0</v>
      </c>
      <c r="CN34" s="1420">
        <f t="shared" si="8"/>
        <v>0</v>
      </c>
      <c r="CO34" s="1420">
        <f t="shared" si="9"/>
        <v>0</v>
      </c>
    </row>
    <row r="35" spans="1:93">
      <c r="A35" s="1947" t="s">
        <v>1262</v>
      </c>
      <c r="B35" s="1540">
        <f>SUM(P35:T35)</f>
        <v>0</v>
      </c>
      <c r="C35" s="1763"/>
      <c r="D35" s="2327"/>
      <c r="E35" s="2327"/>
      <c r="F35" s="2327"/>
      <c r="G35" s="2327"/>
      <c r="H35" s="2327"/>
      <c r="I35" s="2327"/>
      <c r="J35" s="2327"/>
      <c r="K35" s="2327"/>
      <c r="L35" s="2327"/>
      <c r="M35" s="2327"/>
      <c r="N35" s="2327"/>
      <c r="O35" s="2327"/>
      <c r="P35" s="1442"/>
      <c r="Q35" s="1442"/>
      <c r="R35" s="1442"/>
      <c r="S35" s="1442"/>
      <c r="T35" s="1444"/>
      <c r="U35" s="1452"/>
      <c r="V35" s="1440"/>
      <c r="W35" s="1444"/>
      <c r="X35" s="2326">
        <f t="shared" si="1"/>
        <v>0</v>
      </c>
      <c r="Y35" s="1440"/>
      <c r="Z35" s="1442"/>
      <c r="AA35" s="2117"/>
      <c r="AB35" s="421">
        <f t="shared" si="2"/>
        <v>0</v>
      </c>
      <c r="AC35" s="1440"/>
      <c r="AD35" s="1441"/>
      <c r="AE35" s="1444"/>
      <c r="AF35" s="1447"/>
      <c r="AG35" s="1680"/>
      <c r="AH35" t="str">
        <f t="shared" si="3"/>
        <v/>
      </c>
      <c r="CB35" s="1418" t="str">
        <f t="shared" si="4"/>
        <v/>
      </c>
      <c r="CC35" s="1418" t="str">
        <f t="shared" si="5"/>
        <v/>
      </c>
      <c r="CD35" s="1418" t="str">
        <f t="shared" si="6"/>
        <v/>
      </c>
      <c r="CM35" s="1420">
        <f t="shared" si="7"/>
        <v>0</v>
      </c>
      <c r="CN35" s="1420">
        <f t="shared" si="8"/>
        <v>0</v>
      </c>
      <c r="CO35" s="1420">
        <f t="shared" si="9"/>
        <v>0</v>
      </c>
    </row>
    <row r="36" spans="1:93">
      <c r="A36" s="1947" t="s">
        <v>1263</v>
      </c>
      <c r="B36" s="1540">
        <f t="shared" ref="B36:B66" si="11">SUM(C36:T36)</f>
        <v>0</v>
      </c>
      <c r="C36" s="1440"/>
      <c r="D36" s="1442"/>
      <c r="E36" s="1442"/>
      <c r="F36" s="1442"/>
      <c r="G36" s="2330"/>
      <c r="H36" s="2330"/>
      <c r="I36" s="2330"/>
      <c r="J36" s="2330"/>
      <c r="K36" s="2330"/>
      <c r="L36" s="2330"/>
      <c r="M36" s="1442"/>
      <c r="N36" s="1442"/>
      <c r="O36" s="1442"/>
      <c r="P36" s="1442"/>
      <c r="Q36" s="1442"/>
      <c r="R36" s="1442"/>
      <c r="S36" s="1442"/>
      <c r="T36" s="1444"/>
      <c r="U36" s="1452"/>
      <c r="V36" s="1440"/>
      <c r="W36" s="1444"/>
      <c r="X36" s="2326">
        <f t="shared" si="1"/>
        <v>0</v>
      </c>
      <c r="Y36" s="1440"/>
      <c r="Z36" s="1442"/>
      <c r="AA36" s="2117"/>
      <c r="AB36" s="421">
        <f t="shared" si="2"/>
        <v>0</v>
      </c>
      <c r="AC36" s="1440"/>
      <c r="AD36" s="1441"/>
      <c r="AE36" s="1444"/>
      <c r="AF36" s="1447"/>
      <c r="AG36" s="1680"/>
      <c r="AH36" t="str">
        <f t="shared" si="3"/>
        <v/>
      </c>
      <c r="CB36" s="1418" t="str">
        <f t="shared" si="4"/>
        <v/>
      </c>
      <c r="CC36" s="1418" t="str">
        <f t="shared" si="5"/>
        <v/>
      </c>
      <c r="CD36" s="1418" t="str">
        <f t="shared" si="6"/>
        <v/>
      </c>
      <c r="CM36" s="1420">
        <f t="shared" si="7"/>
        <v>0</v>
      </c>
      <c r="CN36" s="1420">
        <f t="shared" si="8"/>
        <v>0</v>
      </c>
      <c r="CO36" s="1420">
        <f t="shared" si="9"/>
        <v>0</v>
      </c>
    </row>
    <row r="37" spans="1:93">
      <c r="A37" s="2329" t="s">
        <v>1264</v>
      </c>
      <c r="B37" s="1540">
        <f t="shared" si="11"/>
        <v>0</v>
      </c>
      <c r="C37" s="2331"/>
      <c r="D37" s="2330"/>
      <c r="E37" s="2330"/>
      <c r="F37" s="2330"/>
      <c r="G37" s="2330"/>
      <c r="H37" s="1442"/>
      <c r="I37" s="1442"/>
      <c r="J37" s="1442"/>
      <c r="K37" s="1442"/>
      <c r="L37" s="1442"/>
      <c r="M37" s="1442"/>
      <c r="N37" s="1442"/>
      <c r="O37" s="1442"/>
      <c r="P37" s="1442"/>
      <c r="Q37" s="1442"/>
      <c r="R37" s="1442"/>
      <c r="S37" s="1442"/>
      <c r="T37" s="1444"/>
      <c r="U37" s="1452"/>
      <c r="V37" s="1440"/>
      <c r="W37" s="1444"/>
      <c r="X37" s="2326">
        <f t="shared" si="1"/>
        <v>0</v>
      </c>
      <c r="Y37" s="1440"/>
      <c r="Z37" s="1442"/>
      <c r="AA37" s="2117"/>
      <c r="AB37" s="421">
        <f t="shared" si="2"/>
        <v>0</v>
      </c>
      <c r="AC37" s="1440"/>
      <c r="AD37" s="1441"/>
      <c r="AE37" s="1444"/>
      <c r="AF37" s="1447"/>
      <c r="AG37" s="1680"/>
      <c r="AH37" t="str">
        <f t="shared" si="3"/>
        <v/>
      </c>
      <c r="CB37" s="1418" t="str">
        <f t="shared" si="4"/>
        <v/>
      </c>
      <c r="CC37" s="1418" t="str">
        <f t="shared" si="5"/>
        <v/>
      </c>
      <c r="CD37" s="1418" t="str">
        <f t="shared" si="6"/>
        <v/>
      </c>
      <c r="CM37" s="1420">
        <f t="shared" si="7"/>
        <v>0</v>
      </c>
      <c r="CN37" s="1420">
        <f t="shared" si="8"/>
        <v>0</v>
      </c>
      <c r="CO37" s="1420">
        <f t="shared" si="9"/>
        <v>0</v>
      </c>
    </row>
    <row r="38" spans="1:93">
      <c r="A38" s="1947" t="s">
        <v>1265</v>
      </c>
      <c r="B38" s="1540">
        <f t="shared" si="11"/>
        <v>0</v>
      </c>
      <c r="C38" s="2331"/>
      <c r="D38" s="2330"/>
      <c r="E38" s="2330"/>
      <c r="F38" s="2330"/>
      <c r="G38" s="2330"/>
      <c r="H38" s="2330"/>
      <c r="I38" s="2330"/>
      <c r="J38" s="2330"/>
      <c r="K38" s="2330"/>
      <c r="L38" s="2330"/>
      <c r="M38" s="1442"/>
      <c r="N38" s="1442"/>
      <c r="O38" s="1442"/>
      <c r="P38" s="1442"/>
      <c r="Q38" s="1442"/>
      <c r="R38" s="1442"/>
      <c r="S38" s="1442"/>
      <c r="T38" s="1444"/>
      <c r="U38" s="1452"/>
      <c r="V38" s="1440"/>
      <c r="W38" s="1444"/>
      <c r="X38" s="2326">
        <f t="shared" si="1"/>
        <v>0</v>
      </c>
      <c r="Y38" s="1440"/>
      <c r="Z38" s="1442"/>
      <c r="AA38" s="2117"/>
      <c r="AB38" s="421">
        <f t="shared" si="2"/>
        <v>0</v>
      </c>
      <c r="AC38" s="1440"/>
      <c r="AD38" s="1441"/>
      <c r="AE38" s="1444"/>
      <c r="AF38" s="1447"/>
      <c r="AG38" s="1680"/>
      <c r="AH38" t="str">
        <f t="shared" si="3"/>
        <v/>
      </c>
      <c r="CB38" s="1418" t="str">
        <f t="shared" si="4"/>
        <v/>
      </c>
      <c r="CC38" s="1418" t="str">
        <f t="shared" si="5"/>
        <v/>
      </c>
      <c r="CD38" s="1418" t="str">
        <f t="shared" si="6"/>
        <v/>
      </c>
      <c r="CM38" s="1420">
        <f t="shared" si="7"/>
        <v>0</v>
      </c>
      <c r="CN38" s="1420">
        <f t="shared" si="8"/>
        <v>0</v>
      </c>
      <c r="CO38" s="1420">
        <f t="shared" si="9"/>
        <v>0</v>
      </c>
    </row>
    <row r="39" spans="1:93">
      <c r="A39" s="1947" t="s">
        <v>1266</v>
      </c>
      <c r="B39" s="1540">
        <f t="shared" si="11"/>
        <v>0</v>
      </c>
      <c r="C39" s="2331"/>
      <c r="D39" s="2330"/>
      <c r="E39" s="2330"/>
      <c r="F39" s="2330"/>
      <c r="G39" s="1442"/>
      <c r="H39" s="1442"/>
      <c r="I39" s="1442"/>
      <c r="J39" s="1442"/>
      <c r="K39" s="1442"/>
      <c r="L39" s="1442"/>
      <c r="M39" s="1442"/>
      <c r="N39" s="1442"/>
      <c r="O39" s="1442"/>
      <c r="P39" s="1442"/>
      <c r="Q39" s="1442"/>
      <c r="R39" s="1442"/>
      <c r="S39" s="1442"/>
      <c r="T39" s="1444"/>
      <c r="U39" s="1452"/>
      <c r="V39" s="1440"/>
      <c r="W39" s="1444"/>
      <c r="X39" s="2326">
        <f t="shared" si="1"/>
        <v>0</v>
      </c>
      <c r="Y39" s="1440"/>
      <c r="Z39" s="1442"/>
      <c r="AA39" s="2117"/>
      <c r="AB39" s="421">
        <f t="shared" si="2"/>
        <v>0</v>
      </c>
      <c r="AC39" s="1440"/>
      <c r="AD39" s="1441"/>
      <c r="AE39" s="1444"/>
      <c r="AF39" s="1447"/>
      <c r="AG39" s="1680"/>
      <c r="AH39" t="str">
        <f t="shared" si="3"/>
        <v/>
      </c>
      <c r="CB39" s="1418" t="str">
        <f t="shared" si="4"/>
        <v/>
      </c>
      <c r="CC39" s="1418" t="str">
        <f t="shared" si="5"/>
        <v/>
      </c>
      <c r="CD39" s="1418" t="str">
        <f t="shared" si="6"/>
        <v/>
      </c>
      <c r="CM39" s="1420">
        <f t="shared" si="7"/>
        <v>0</v>
      </c>
      <c r="CN39" s="1420">
        <f t="shared" si="8"/>
        <v>0</v>
      </c>
      <c r="CO39" s="1420">
        <f t="shared" si="9"/>
        <v>0</v>
      </c>
    </row>
    <row r="40" spans="1:93">
      <c r="A40" s="1947" t="s">
        <v>1267</v>
      </c>
      <c r="B40" s="1540">
        <f t="shared" si="11"/>
        <v>0</v>
      </c>
      <c r="C40" s="2331"/>
      <c r="D40" s="2330"/>
      <c r="E40" s="2330"/>
      <c r="F40" s="2330"/>
      <c r="G40" s="1442"/>
      <c r="H40" s="1442"/>
      <c r="I40" s="1442"/>
      <c r="J40" s="1442"/>
      <c r="K40" s="1442"/>
      <c r="L40" s="1442"/>
      <c r="M40" s="1442"/>
      <c r="N40" s="1442"/>
      <c r="O40" s="1442"/>
      <c r="P40" s="1442"/>
      <c r="Q40" s="1442"/>
      <c r="R40" s="1442"/>
      <c r="S40" s="1442"/>
      <c r="T40" s="1444"/>
      <c r="U40" s="1452"/>
      <c r="V40" s="1440"/>
      <c r="W40" s="1444"/>
      <c r="X40" s="2326">
        <f t="shared" si="1"/>
        <v>0</v>
      </c>
      <c r="Y40" s="1440"/>
      <c r="Z40" s="1442"/>
      <c r="AA40" s="2117"/>
      <c r="AB40" s="421">
        <f t="shared" si="2"/>
        <v>0</v>
      </c>
      <c r="AC40" s="1440"/>
      <c r="AD40" s="1441"/>
      <c r="AE40" s="1444"/>
      <c r="AF40" s="1447"/>
      <c r="AG40" s="1680"/>
      <c r="AH40" t="str">
        <f t="shared" si="3"/>
        <v/>
      </c>
      <c r="CB40" s="1418" t="str">
        <f t="shared" si="4"/>
        <v/>
      </c>
      <c r="CC40" s="1418" t="str">
        <f t="shared" si="5"/>
        <v/>
      </c>
      <c r="CD40" s="1418" t="str">
        <f t="shared" si="6"/>
        <v/>
      </c>
      <c r="CM40" s="1420">
        <f t="shared" si="7"/>
        <v>0</v>
      </c>
      <c r="CN40" s="1420">
        <f t="shared" si="8"/>
        <v>0</v>
      </c>
      <c r="CO40" s="1420">
        <f t="shared" si="9"/>
        <v>0</v>
      </c>
    </row>
    <row r="41" spans="1:93">
      <c r="A41" s="1947" t="s">
        <v>1268</v>
      </c>
      <c r="B41" s="1540">
        <f t="shared" si="11"/>
        <v>0</v>
      </c>
      <c r="C41" s="2331"/>
      <c r="D41" s="2330"/>
      <c r="E41" s="2330"/>
      <c r="F41" s="2330"/>
      <c r="G41" s="1442"/>
      <c r="H41" s="1442"/>
      <c r="I41" s="1442"/>
      <c r="J41" s="1442"/>
      <c r="K41" s="1442"/>
      <c r="L41" s="1442"/>
      <c r="M41" s="1442"/>
      <c r="N41" s="1442"/>
      <c r="O41" s="1442"/>
      <c r="P41" s="1442"/>
      <c r="Q41" s="1442"/>
      <c r="R41" s="1442"/>
      <c r="S41" s="1442"/>
      <c r="T41" s="1444"/>
      <c r="U41" s="1452"/>
      <c r="V41" s="1440"/>
      <c r="W41" s="1444"/>
      <c r="X41" s="2326">
        <f t="shared" si="1"/>
        <v>0</v>
      </c>
      <c r="Y41" s="1440"/>
      <c r="Z41" s="1442"/>
      <c r="AA41" s="2117"/>
      <c r="AB41" s="421">
        <f t="shared" si="2"/>
        <v>0</v>
      </c>
      <c r="AC41" s="1440"/>
      <c r="AD41" s="1441"/>
      <c r="AE41" s="1444"/>
      <c r="AF41" s="1447"/>
      <c r="AG41" s="1680"/>
      <c r="AH41" t="str">
        <f t="shared" si="3"/>
        <v/>
      </c>
      <c r="CB41" s="1418" t="str">
        <f t="shared" si="4"/>
        <v/>
      </c>
      <c r="CC41" s="1418" t="str">
        <f t="shared" si="5"/>
        <v/>
      </c>
      <c r="CD41" s="1418" t="str">
        <f t="shared" si="6"/>
        <v/>
      </c>
      <c r="CM41" s="1420">
        <f t="shared" si="7"/>
        <v>0</v>
      </c>
      <c r="CN41" s="1420">
        <f t="shared" si="8"/>
        <v>0</v>
      </c>
      <c r="CO41" s="1420">
        <f t="shared" si="9"/>
        <v>0</v>
      </c>
    </row>
    <row r="42" spans="1:93">
      <c r="A42" s="1947" t="s">
        <v>1269</v>
      </c>
      <c r="B42" s="1540">
        <f t="shared" si="11"/>
        <v>0</v>
      </c>
      <c r="C42" s="1440"/>
      <c r="D42" s="1442"/>
      <c r="E42" s="1442"/>
      <c r="F42" s="1442"/>
      <c r="G42" s="1442"/>
      <c r="H42" s="1442"/>
      <c r="I42" s="1442"/>
      <c r="J42" s="1442"/>
      <c r="K42" s="1442"/>
      <c r="L42" s="1442"/>
      <c r="M42" s="1442"/>
      <c r="N42" s="1442"/>
      <c r="O42" s="1442"/>
      <c r="P42" s="1442"/>
      <c r="Q42" s="1442"/>
      <c r="R42" s="1442"/>
      <c r="S42" s="1442"/>
      <c r="T42" s="1444"/>
      <c r="U42" s="1452"/>
      <c r="V42" s="1440"/>
      <c r="W42" s="1444"/>
      <c r="X42" s="2326">
        <f t="shared" si="1"/>
        <v>0</v>
      </c>
      <c r="Y42" s="1440"/>
      <c r="Z42" s="1442"/>
      <c r="AA42" s="2117"/>
      <c r="AB42" s="421">
        <f t="shared" si="2"/>
        <v>0</v>
      </c>
      <c r="AC42" s="1440"/>
      <c r="AD42" s="1441"/>
      <c r="AE42" s="1444"/>
      <c r="AF42" s="1447"/>
      <c r="AG42" s="1680"/>
      <c r="AH42" t="str">
        <f t="shared" si="3"/>
        <v/>
      </c>
      <c r="CB42" s="1418" t="str">
        <f t="shared" si="4"/>
        <v/>
      </c>
      <c r="CC42" s="1418" t="str">
        <f t="shared" si="5"/>
        <v/>
      </c>
      <c r="CD42" s="1418" t="str">
        <f t="shared" si="6"/>
        <v/>
      </c>
      <c r="CM42" s="1420">
        <f t="shared" si="7"/>
        <v>0</v>
      </c>
      <c r="CN42" s="1420">
        <f t="shared" si="8"/>
        <v>0</v>
      </c>
      <c r="CO42" s="1420">
        <f t="shared" si="9"/>
        <v>0</v>
      </c>
    </row>
    <row r="43" spans="1:93">
      <c r="A43" s="2332" t="s">
        <v>1270</v>
      </c>
      <c r="B43" s="1540">
        <f t="shared" si="11"/>
        <v>0</v>
      </c>
      <c r="C43" s="1440"/>
      <c r="D43" s="1442"/>
      <c r="E43" s="1442"/>
      <c r="F43" s="1442"/>
      <c r="G43" s="1442"/>
      <c r="H43" s="1442"/>
      <c r="I43" s="1442"/>
      <c r="J43" s="1442"/>
      <c r="K43" s="1442"/>
      <c r="L43" s="1442"/>
      <c r="M43" s="1442"/>
      <c r="N43" s="1442"/>
      <c r="O43" s="1442"/>
      <c r="P43" s="1442"/>
      <c r="Q43" s="1442"/>
      <c r="R43" s="1442"/>
      <c r="S43" s="1442"/>
      <c r="T43" s="1444"/>
      <c r="U43" s="1452"/>
      <c r="V43" s="1440"/>
      <c r="W43" s="1444"/>
      <c r="X43" s="2326">
        <f t="shared" si="1"/>
        <v>0</v>
      </c>
      <c r="Y43" s="1440"/>
      <c r="Z43" s="1442"/>
      <c r="AA43" s="2117"/>
      <c r="AB43" s="421">
        <f t="shared" si="2"/>
        <v>0</v>
      </c>
      <c r="AC43" s="1440"/>
      <c r="AD43" s="1441"/>
      <c r="AE43" s="1444"/>
      <c r="AF43" s="1447"/>
      <c r="AG43" s="1680"/>
      <c r="AH43" t="str">
        <f t="shared" si="3"/>
        <v/>
      </c>
      <c r="CB43" s="1418" t="str">
        <f t="shared" si="4"/>
        <v/>
      </c>
      <c r="CC43" s="1418" t="str">
        <f t="shared" si="5"/>
        <v/>
      </c>
      <c r="CD43" s="1418" t="str">
        <f t="shared" si="6"/>
        <v/>
      </c>
      <c r="CM43" s="1420">
        <f t="shared" si="7"/>
        <v>0</v>
      </c>
      <c r="CN43" s="1420">
        <f t="shared" si="8"/>
        <v>0</v>
      </c>
      <c r="CO43" s="1420">
        <f t="shared" si="9"/>
        <v>0</v>
      </c>
    </row>
    <row r="44" spans="1:93">
      <c r="A44" s="1947" t="s">
        <v>1271</v>
      </c>
      <c r="B44" s="1540">
        <f t="shared" si="11"/>
        <v>0</v>
      </c>
      <c r="C44" s="1440"/>
      <c r="D44" s="1442"/>
      <c r="E44" s="1442"/>
      <c r="F44" s="1442"/>
      <c r="G44" s="1442"/>
      <c r="H44" s="1442"/>
      <c r="I44" s="1442"/>
      <c r="J44" s="1442"/>
      <c r="K44" s="1442"/>
      <c r="L44" s="1442"/>
      <c r="M44" s="1442"/>
      <c r="N44" s="1442"/>
      <c r="O44" s="1442"/>
      <c r="P44" s="1442"/>
      <c r="Q44" s="1442"/>
      <c r="R44" s="1442"/>
      <c r="S44" s="1442"/>
      <c r="T44" s="1444"/>
      <c r="U44" s="1452"/>
      <c r="V44" s="1440"/>
      <c r="W44" s="1444"/>
      <c r="X44" s="2326">
        <f t="shared" si="1"/>
        <v>0</v>
      </c>
      <c r="Y44" s="1440"/>
      <c r="Z44" s="1442"/>
      <c r="AA44" s="2117"/>
      <c r="AB44" s="421">
        <f t="shared" si="2"/>
        <v>0</v>
      </c>
      <c r="AC44" s="1440"/>
      <c r="AD44" s="1441"/>
      <c r="AE44" s="1444"/>
      <c r="AF44" s="1447"/>
      <c r="AG44" s="1680"/>
      <c r="AH44" t="str">
        <f t="shared" si="3"/>
        <v/>
      </c>
      <c r="CB44" s="1418" t="str">
        <f t="shared" si="4"/>
        <v/>
      </c>
      <c r="CC44" s="1418" t="str">
        <f t="shared" si="5"/>
        <v/>
      </c>
      <c r="CD44" s="1418" t="str">
        <f t="shared" si="6"/>
        <v/>
      </c>
      <c r="CM44" s="1420">
        <f t="shared" si="7"/>
        <v>0</v>
      </c>
      <c r="CN44" s="1420">
        <f t="shared" si="8"/>
        <v>0</v>
      </c>
      <c r="CO44" s="1420">
        <f t="shared" si="9"/>
        <v>0</v>
      </c>
    </row>
    <row r="45" spans="1:93">
      <c r="A45" s="441" t="s">
        <v>1272</v>
      </c>
      <c r="B45" s="1540">
        <f t="shared" si="11"/>
        <v>0</v>
      </c>
      <c r="C45" s="2331"/>
      <c r="D45" s="2330"/>
      <c r="E45" s="2330"/>
      <c r="F45" s="2330"/>
      <c r="G45" s="2330"/>
      <c r="H45" s="1442"/>
      <c r="I45" s="1442"/>
      <c r="J45" s="1442"/>
      <c r="K45" s="1442"/>
      <c r="L45" s="1442"/>
      <c r="M45" s="1442"/>
      <c r="N45" s="1442"/>
      <c r="O45" s="1442"/>
      <c r="P45" s="1442"/>
      <c r="Q45" s="1442"/>
      <c r="R45" s="1442"/>
      <c r="S45" s="1442"/>
      <c r="T45" s="1444"/>
      <c r="U45" s="1452"/>
      <c r="V45" s="1440"/>
      <c r="W45" s="1444"/>
      <c r="X45" s="2326">
        <f t="shared" si="1"/>
        <v>0</v>
      </c>
      <c r="Y45" s="1440"/>
      <c r="Z45" s="1442"/>
      <c r="AA45" s="2117"/>
      <c r="AB45" s="421">
        <f t="shared" si="2"/>
        <v>0</v>
      </c>
      <c r="AC45" s="1440"/>
      <c r="AD45" s="1441"/>
      <c r="AE45" s="1444"/>
      <c r="AF45" s="1447"/>
      <c r="AG45" s="1680"/>
      <c r="AH45" t="str">
        <f t="shared" si="3"/>
        <v/>
      </c>
      <c r="CB45" s="1418" t="str">
        <f t="shared" si="4"/>
        <v/>
      </c>
      <c r="CC45" s="1418" t="str">
        <f t="shared" si="5"/>
        <v/>
      </c>
      <c r="CD45" s="1418" t="str">
        <f t="shared" si="6"/>
        <v/>
      </c>
      <c r="CM45" s="1420">
        <f t="shared" si="7"/>
        <v>0</v>
      </c>
      <c r="CN45" s="1420">
        <f t="shared" si="8"/>
        <v>0</v>
      </c>
      <c r="CO45" s="1420">
        <f t="shared" si="9"/>
        <v>0</v>
      </c>
    </row>
    <row r="46" spans="1:93">
      <c r="A46" s="1437" t="s">
        <v>1273</v>
      </c>
      <c r="B46" s="1540">
        <f t="shared" si="11"/>
        <v>0</v>
      </c>
      <c r="C46" s="2331"/>
      <c r="D46" s="2330"/>
      <c r="E46" s="2330"/>
      <c r="F46" s="2330"/>
      <c r="G46" s="2330"/>
      <c r="H46" s="1442"/>
      <c r="I46" s="1442"/>
      <c r="J46" s="1442"/>
      <c r="K46" s="1442"/>
      <c r="L46" s="1442"/>
      <c r="M46" s="1442"/>
      <c r="N46" s="1442"/>
      <c r="O46" s="1442"/>
      <c r="P46" s="1442"/>
      <c r="Q46" s="1442"/>
      <c r="R46" s="1442"/>
      <c r="S46" s="1442"/>
      <c r="T46" s="1444"/>
      <c r="U46" s="1452"/>
      <c r="V46" s="1440"/>
      <c r="W46" s="1444"/>
      <c r="X46" s="2326">
        <f t="shared" si="1"/>
        <v>0</v>
      </c>
      <c r="Y46" s="1440"/>
      <c r="Z46" s="1442"/>
      <c r="AA46" s="2117"/>
      <c r="AB46" s="421">
        <f t="shared" si="2"/>
        <v>0</v>
      </c>
      <c r="AC46" s="1440"/>
      <c r="AD46" s="1441"/>
      <c r="AE46" s="1444"/>
      <c r="AF46" s="1447"/>
      <c r="AG46" s="1680"/>
      <c r="AH46" t="str">
        <f t="shared" si="3"/>
        <v/>
      </c>
      <c r="CB46" s="1418" t="str">
        <f t="shared" si="4"/>
        <v/>
      </c>
      <c r="CC46" s="1418" t="str">
        <f t="shared" si="5"/>
        <v/>
      </c>
      <c r="CD46" s="1418" t="str">
        <f t="shared" si="6"/>
        <v/>
      </c>
      <c r="CM46" s="1420">
        <f t="shared" si="7"/>
        <v>0</v>
      </c>
      <c r="CN46" s="1420">
        <f t="shared" si="8"/>
        <v>0</v>
      </c>
      <c r="CO46" s="1420">
        <f t="shared" si="9"/>
        <v>0</v>
      </c>
    </row>
    <row r="47" spans="1:93">
      <c r="A47" s="1947" t="s">
        <v>1274</v>
      </c>
      <c r="B47" s="1540">
        <f t="shared" si="11"/>
        <v>0</v>
      </c>
      <c r="C47" s="2331"/>
      <c r="D47" s="2330"/>
      <c r="E47" s="2330"/>
      <c r="F47" s="2330"/>
      <c r="G47" s="2330"/>
      <c r="H47" s="2330"/>
      <c r="I47" s="2330"/>
      <c r="J47" s="2330"/>
      <c r="K47" s="2330"/>
      <c r="L47" s="2330"/>
      <c r="M47" s="1442"/>
      <c r="N47" s="1442"/>
      <c r="O47" s="1442"/>
      <c r="P47" s="1442"/>
      <c r="Q47" s="1442"/>
      <c r="R47" s="1442"/>
      <c r="S47" s="1442"/>
      <c r="T47" s="1444"/>
      <c r="U47" s="1452"/>
      <c r="V47" s="1440"/>
      <c r="W47" s="1444"/>
      <c r="X47" s="2326">
        <f t="shared" si="1"/>
        <v>0</v>
      </c>
      <c r="Y47" s="1440"/>
      <c r="Z47" s="1442"/>
      <c r="AA47" s="2117"/>
      <c r="AB47" s="421">
        <f t="shared" si="2"/>
        <v>0</v>
      </c>
      <c r="AC47" s="1440"/>
      <c r="AD47" s="1441"/>
      <c r="AE47" s="1444"/>
      <c r="AF47" s="1447"/>
      <c r="AG47" s="1680"/>
      <c r="AH47" t="str">
        <f t="shared" si="3"/>
        <v/>
      </c>
      <c r="CB47" s="1418" t="str">
        <f t="shared" si="4"/>
        <v/>
      </c>
      <c r="CC47" s="1418" t="str">
        <f t="shared" si="5"/>
        <v/>
      </c>
      <c r="CD47" s="1418" t="str">
        <f t="shared" si="6"/>
        <v/>
      </c>
      <c r="CM47" s="1420">
        <f t="shared" si="7"/>
        <v>0</v>
      </c>
      <c r="CN47" s="1420">
        <f t="shared" si="8"/>
        <v>0</v>
      </c>
      <c r="CO47" s="1420">
        <f t="shared" si="9"/>
        <v>0</v>
      </c>
    </row>
    <row r="48" spans="1:93">
      <c r="A48" s="1947" t="s">
        <v>1275</v>
      </c>
      <c r="B48" s="1540">
        <f t="shared" si="11"/>
        <v>0</v>
      </c>
      <c r="C48" s="2331"/>
      <c r="D48" s="2330"/>
      <c r="E48" s="2330"/>
      <c r="F48" s="2330"/>
      <c r="G48" s="2330"/>
      <c r="H48" s="1442"/>
      <c r="I48" s="1442"/>
      <c r="J48" s="1442"/>
      <c r="K48" s="1442"/>
      <c r="L48" s="1442"/>
      <c r="M48" s="1442"/>
      <c r="N48" s="1442"/>
      <c r="O48" s="1442"/>
      <c r="P48" s="1442"/>
      <c r="Q48" s="1442"/>
      <c r="R48" s="1442"/>
      <c r="S48" s="1442"/>
      <c r="T48" s="1444"/>
      <c r="U48" s="1545"/>
      <c r="V48" s="1480"/>
      <c r="W48" s="1481"/>
      <c r="X48" s="2324">
        <f t="shared" si="1"/>
        <v>0</v>
      </c>
      <c r="Y48" s="1440"/>
      <c r="Z48" s="1442"/>
      <c r="AA48" s="2117"/>
      <c r="AB48" s="421">
        <f t="shared" si="2"/>
        <v>0</v>
      </c>
      <c r="AC48" s="1440"/>
      <c r="AD48" s="1441"/>
      <c r="AE48" s="1444"/>
      <c r="AF48" s="1447"/>
      <c r="AG48" s="1680"/>
      <c r="AH48" t="str">
        <f t="shared" si="3"/>
        <v/>
      </c>
      <c r="CB48" s="1418" t="str">
        <f t="shared" si="4"/>
        <v/>
      </c>
      <c r="CC48" s="1418" t="str">
        <f t="shared" si="5"/>
        <v/>
      </c>
      <c r="CD48" s="1418" t="str">
        <f t="shared" si="6"/>
        <v/>
      </c>
      <c r="CM48" s="1420">
        <f t="shared" si="7"/>
        <v>0</v>
      </c>
      <c r="CN48" s="1420">
        <f t="shared" si="8"/>
        <v>0</v>
      </c>
      <c r="CO48" s="1420">
        <f t="shared" si="9"/>
        <v>0</v>
      </c>
    </row>
    <row r="49" spans="1:93">
      <c r="A49" s="1947" t="s">
        <v>1276</v>
      </c>
      <c r="B49" s="1540">
        <f t="shared" si="11"/>
        <v>0</v>
      </c>
      <c r="C49" s="1440"/>
      <c r="D49" s="1442"/>
      <c r="E49" s="1442"/>
      <c r="F49" s="1442"/>
      <c r="G49" s="1442"/>
      <c r="H49" s="1442"/>
      <c r="I49" s="1442"/>
      <c r="J49" s="1442"/>
      <c r="K49" s="1442"/>
      <c r="L49" s="1442"/>
      <c r="M49" s="1442"/>
      <c r="N49" s="1442"/>
      <c r="O49" s="1442"/>
      <c r="P49" s="1442"/>
      <c r="Q49" s="1442"/>
      <c r="R49" s="1442"/>
      <c r="S49" s="1442"/>
      <c r="T49" s="1444"/>
      <c r="U49" s="1452"/>
      <c r="V49" s="1440"/>
      <c r="W49" s="1444"/>
      <c r="X49" s="2326">
        <f t="shared" si="1"/>
        <v>0</v>
      </c>
      <c r="Y49" s="1440"/>
      <c r="Z49" s="1442"/>
      <c r="AA49" s="2117"/>
      <c r="AB49" s="421">
        <f t="shared" si="2"/>
        <v>0</v>
      </c>
      <c r="AC49" s="1440"/>
      <c r="AD49" s="1441"/>
      <c r="AE49" s="1444"/>
      <c r="AF49" s="1447"/>
      <c r="AG49" s="1680"/>
      <c r="AH49" t="str">
        <f t="shared" si="3"/>
        <v/>
      </c>
      <c r="CB49" s="1418" t="str">
        <f t="shared" si="4"/>
        <v/>
      </c>
      <c r="CC49" s="1418" t="str">
        <f t="shared" si="5"/>
        <v/>
      </c>
      <c r="CD49" s="1418" t="str">
        <f t="shared" si="6"/>
        <v/>
      </c>
      <c r="CM49" s="1420">
        <f t="shared" si="7"/>
        <v>0</v>
      </c>
      <c r="CN49" s="1420">
        <f t="shared" si="8"/>
        <v>0</v>
      </c>
      <c r="CO49" s="1420">
        <f t="shared" si="9"/>
        <v>0</v>
      </c>
    </row>
    <row r="50" spans="1:93">
      <c r="A50" s="1947" t="s">
        <v>1277</v>
      </c>
      <c r="B50" s="1540">
        <f t="shared" si="11"/>
        <v>0</v>
      </c>
      <c r="C50" s="1440"/>
      <c r="D50" s="1442"/>
      <c r="E50" s="1442"/>
      <c r="F50" s="1442"/>
      <c r="G50" s="1442"/>
      <c r="H50" s="1442"/>
      <c r="I50" s="1442"/>
      <c r="J50" s="1442"/>
      <c r="K50" s="1442"/>
      <c r="L50" s="1442"/>
      <c r="M50" s="1442"/>
      <c r="N50" s="1442"/>
      <c r="O50" s="1442"/>
      <c r="P50" s="1442"/>
      <c r="Q50" s="1442"/>
      <c r="R50" s="1442"/>
      <c r="S50" s="1442"/>
      <c r="T50" s="1444"/>
      <c r="U50" s="1452"/>
      <c r="V50" s="1440"/>
      <c r="W50" s="1444"/>
      <c r="X50" s="2326">
        <f t="shared" si="1"/>
        <v>0</v>
      </c>
      <c r="Y50" s="1440"/>
      <c r="Z50" s="1442"/>
      <c r="AA50" s="2117"/>
      <c r="AB50" s="421">
        <f t="shared" si="2"/>
        <v>0</v>
      </c>
      <c r="AC50" s="1440"/>
      <c r="AD50" s="1441"/>
      <c r="AE50" s="1444"/>
      <c r="AF50" s="1447"/>
      <c r="AG50" s="1680"/>
      <c r="AH50" t="str">
        <f t="shared" si="3"/>
        <v/>
      </c>
      <c r="CB50" s="1418" t="str">
        <f t="shared" si="4"/>
        <v/>
      </c>
      <c r="CC50" s="1418" t="str">
        <f t="shared" si="5"/>
        <v/>
      </c>
      <c r="CD50" s="1418" t="str">
        <f t="shared" si="6"/>
        <v/>
      </c>
      <c r="CM50" s="1420">
        <f t="shared" si="7"/>
        <v>0</v>
      </c>
      <c r="CN50" s="1420">
        <f t="shared" si="8"/>
        <v>0</v>
      </c>
      <c r="CO50" s="1420">
        <f t="shared" si="9"/>
        <v>0</v>
      </c>
    </row>
    <row r="51" spans="1:93">
      <c r="A51" s="1947" t="s">
        <v>1278</v>
      </c>
      <c r="B51" s="1540">
        <f t="shared" si="11"/>
        <v>0</v>
      </c>
      <c r="C51" s="1440"/>
      <c r="D51" s="1442"/>
      <c r="E51" s="1442"/>
      <c r="F51" s="1442"/>
      <c r="G51" s="1442"/>
      <c r="H51" s="1442"/>
      <c r="I51" s="1442"/>
      <c r="J51" s="1442"/>
      <c r="K51" s="1442"/>
      <c r="L51" s="1442"/>
      <c r="M51" s="1442"/>
      <c r="N51" s="1442"/>
      <c r="O51" s="1442"/>
      <c r="P51" s="1442"/>
      <c r="Q51" s="1442"/>
      <c r="R51" s="1442"/>
      <c r="S51" s="1442"/>
      <c r="T51" s="1444"/>
      <c r="U51" s="1452"/>
      <c r="V51" s="1440"/>
      <c r="W51" s="1444"/>
      <c r="X51" s="2326">
        <f t="shared" si="1"/>
        <v>0</v>
      </c>
      <c r="Y51" s="1440"/>
      <c r="Z51" s="1442"/>
      <c r="AA51" s="2117"/>
      <c r="AB51" s="421">
        <f t="shared" si="2"/>
        <v>0</v>
      </c>
      <c r="AC51" s="1440"/>
      <c r="AD51" s="1441"/>
      <c r="AE51" s="1444"/>
      <c r="AF51" s="1447"/>
      <c r="AG51" s="1680"/>
      <c r="AH51" t="str">
        <f t="shared" si="3"/>
        <v/>
      </c>
      <c r="CB51" s="1418" t="str">
        <f t="shared" si="4"/>
        <v/>
      </c>
      <c r="CC51" s="1418" t="str">
        <f t="shared" si="5"/>
        <v/>
      </c>
      <c r="CD51" s="1418" t="str">
        <f t="shared" si="6"/>
        <v/>
      </c>
      <c r="CM51" s="1420">
        <f t="shared" si="7"/>
        <v>0</v>
      </c>
      <c r="CN51" s="1420">
        <f t="shared" si="8"/>
        <v>0</v>
      </c>
      <c r="CO51" s="1420">
        <f t="shared" si="9"/>
        <v>0</v>
      </c>
    </row>
    <row r="52" spans="1:93">
      <c r="A52" s="1947" t="s">
        <v>1279</v>
      </c>
      <c r="B52" s="1540">
        <f t="shared" si="11"/>
        <v>0</v>
      </c>
      <c r="C52" s="1440"/>
      <c r="D52" s="1442"/>
      <c r="E52" s="1442"/>
      <c r="F52" s="1442"/>
      <c r="G52" s="1442"/>
      <c r="H52" s="1442"/>
      <c r="I52" s="1442"/>
      <c r="J52" s="1442"/>
      <c r="K52" s="1442"/>
      <c r="L52" s="1442"/>
      <c r="M52" s="1442"/>
      <c r="N52" s="1442"/>
      <c r="O52" s="1442"/>
      <c r="P52" s="1442"/>
      <c r="Q52" s="1442"/>
      <c r="R52" s="1442"/>
      <c r="S52" s="1442"/>
      <c r="T52" s="1444"/>
      <c r="U52" s="1452"/>
      <c r="V52" s="1440"/>
      <c r="W52" s="1444"/>
      <c r="X52" s="2326">
        <f t="shared" si="1"/>
        <v>0</v>
      </c>
      <c r="Y52" s="1440"/>
      <c r="Z52" s="1442"/>
      <c r="AA52" s="2117"/>
      <c r="AB52" s="421">
        <f t="shared" si="2"/>
        <v>0</v>
      </c>
      <c r="AC52" s="1440"/>
      <c r="AD52" s="1441"/>
      <c r="AE52" s="1444"/>
      <c r="AF52" s="1447"/>
      <c r="AG52" s="1680"/>
      <c r="AH52" t="str">
        <f t="shared" si="3"/>
        <v/>
      </c>
      <c r="CB52" s="1418" t="str">
        <f t="shared" si="4"/>
        <v/>
      </c>
      <c r="CC52" s="1418" t="str">
        <f t="shared" si="5"/>
        <v/>
      </c>
      <c r="CD52" s="1418" t="str">
        <f t="shared" si="6"/>
        <v/>
      </c>
      <c r="CM52" s="1420">
        <f t="shared" si="7"/>
        <v>0</v>
      </c>
      <c r="CN52" s="1420">
        <f t="shared" si="8"/>
        <v>0</v>
      </c>
      <c r="CO52" s="1420">
        <f t="shared" si="9"/>
        <v>0</v>
      </c>
    </row>
    <row r="53" spans="1:93">
      <c r="A53" s="1947" t="s">
        <v>1280</v>
      </c>
      <c r="B53" s="1540">
        <f t="shared" si="11"/>
        <v>0</v>
      </c>
      <c r="C53" s="1440"/>
      <c r="D53" s="1442"/>
      <c r="E53" s="1442"/>
      <c r="F53" s="1442"/>
      <c r="G53" s="1442"/>
      <c r="H53" s="1442"/>
      <c r="I53" s="1442"/>
      <c r="J53" s="1442"/>
      <c r="K53" s="1442"/>
      <c r="L53" s="1442"/>
      <c r="M53" s="1442"/>
      <c r="N53" s="1442"/>
      <c r="O53" s="1442"/>
      <c r="P53" s="1442"/>
      <c r="Q53" s="1442"/>
      <c r="R53" s="1442"/>
      <c r="S53" s="1442"/>
      <c r="T53" s="1444"/>
      <c r="U53" s="1452"/>
      <c r="V53" s="1440"/>
      <c r="W53" s="1444"/>
      <c r="X53" s="2326">
        <f t="shared" si="1"/>
        <v>0</v>
      </c>
      <c r="Y53" s="1440"/>
      <c r="Z53" s="1442"/>
      <c r="AA53" s="2117"/>
      <c r="AB53" s="421">
        <f t="shared" si="2"/>
        <v>0</v>
      </c>
      <c r="AC53" s="1440"/>
      <c r="AD53" s="1441"/>
      <c r="AE53" s="1444"/>
      <c r="AF53" s="1447"/>
      <c r="AG53" s="1680"/>
      <c r="AH53" t="str">
        <f t="shared" si="3"/>
        <v/>
      </c>
      <c r="CB53" s="1418" t="str">
        <f t="shared" si="4"/>
        <v/>
      </c>
      <c r="CC53" s="1418" t="str">
        <f t="shared" si="5"/>
        <v/>
      </c>
      <c r="CD53" s="1418" t="str">
        <f t="shared" si="6"/>
        <v/>
      </c>
      <c r="CM53" s="1420">
        <f t="shared" si="7"/>
        <v>0</v>
      </c>
      <c r="CN53" s="1420">
        <f t="shared" si="8"/>
        <v>0</v>
      </c>
      <c r="CO53" s="1420">
        <f t="shared" si="9"/>
        <v>0</v>
      </c>
    </row>
    <row r="54" spans="1:93">
      <c r="A54" s="1946" t="s">
        <v>1281</v>
      </c>
      <c r="B54" s="1540">
        <f t="shared" si="11"/>
        <v>0</v>
      </c>
      <c r="C54" s="1440"/>
      <c r="D54" s="1442"/>
      <c r="E54" s="1442"/>
      <c r="F54" s="1442"/>
      <c r="G54" s="1442"/>
      <c r="H54" s="1442"/>
      <c r="I54" s="1442"/>
      <c r="J54" s="1442"/>
      <c r="K54" s="1442"/>
      <c r="L54" s="1442"/>
      <c r="M54" s="1442"/>
      <c r="N54" s="1442"/>
      <c r="O54" s="1442"/>
      <c r="P54" s="1442"/>
      <c r="Q54" s="1442"/>
      <c r="R54" s="1442"/>
      <c r="S54" s="1442"/>
      <c r="T54" s="1444"/>
      <c r="U54" s="1452"/>
      <c r="V54" s="1440"/>
      <c r="W54" s="1444"/>
      <c r="X54" s="2326">
        <f t="shared" si="1"/>
        <v>0</v>
      </c>
      <c r="Y54" s="1440"/>
      <c r="Z54" s="1442"/>
      <c r="AA54" s="2117"/>
      <c r="AB54" s="421">
        <f t="shared" si="2"/>
        <v>0</v>
      </c>
      <c r="AC54" s="1440"/>
      <c r="AD54" s="1441"/>
      <c r="AE54" s="1444"/>
      <c r="AF54" s="1447"/>
      <c r="AG54" s="1680"/>
      <c r="AH54" t="str">
        <f t="shared" si="3"/>
        <v/>
      </c>
      <c r="CB54" s="1418" t="str">
        <f t="shared" si="4"/>
        <v/>
      </c>
      <c r="CC54" s="1418" t="str">
        <f t="shared" si="5"/>
        <v/>
      </c>
      <c r="CD54" s="1418" t="str">
        <f t="shared" si="6"/>
        <v/>
      </c>
      <c r="CM54" s="1420">
        <f t="shared" si="7"/>
        <v>0</v>
      </c>
      <c r="CN54" s="1420">
        <f t="shared" si="8"/>
        <v>0</v>
      </c>
      <c r="CO54" s="1420">
        <f t="shared" si="9"/>
        <v>0</v>
      </c>
    </row>
    <row r="55" spans="1:93">
      <c r="A55" s="1437" t="s">
        <v>1282</v>
      </c>
      <c r="B55" s="1540">
        <f t="shared" si="11"/>
        <v>0</v>
      </c>
      <c r="C55" s="1440"/>
      <c r="D55" s="1442"/>
      <c r="E55" s="1442"/>
      <c r="F55" s="1442"/>
      <c r="G55" s="1442"/>
      <c r="H55" s="1442"/>
      <c r="I55" s="1442"/>
      <c r="J55" s="1442"/>
      <c r="K55" s="1442"/>
      <c r="L55" s="1442"/>
      <c r="M55" s="1442"/>
      <c r="N55" s="1442"/>
      <c r="O55" s="1442"/>
      <c r="P55" s="1442"/>
      <c r="Q55" s="1442"/>
      <c r="R55" s="1442"/>
      <c r="S55" s="1442"/>
      <c r="T55" s="1444"/>
      <c r="U55" s="1452"/>
      <c r="V55" s="1440"/>
      <c r="W55" s="1444"/>
      <c r="X55" s="2326">
        <f t="shared" si="1"/>
        <v>0</v>
      </c>
      <c r="Y55" s="1440"/>
      <c r="Z55" s="1442"/>
      <c r="AA55" s="2117"/>
      <c r="AB55" s="421">
        <f t="shared" si="2"/>
        <v>0</v>
      </c>
      <c r="AC55" s="1440"/>
      <c r="AD55" s="1441"/>
      <c r="AE55" s="1444"/>
      <c r="AF55" s="1447"/>
      <c r="AG55" s="1680"/>
      <c r="AH55" t="str">
        <f t="shared" si="3"/>
        <v/>
      </c>
      <c r="CB55" s="1418" t="str">
        <f t="shared" si="4"/>
        <v/>
      </c>
      <c r="CC55" s="1418" t="str">
        <f t="shared" si="5"/>
        <v/>
      </c>
      <c r="CD55" s="1418" t="str">
        <f t="shared" si="6"/>
        <v/>
      </c>
      <c r="CM55" s="1420">
        <f t="shared" si="7"/>
        <v>0</v>
      </c>
      <c r="CN55" s="1420">
        <f t="shared" si="8"/>
        <v>0</v>
      </c>
      <c r="CO55" s="1420">
        <f t="shared" si="9"/>
        <v>0</v>
      </c>
    </row>
    <row r="56" spans="1:93">
      <c r="A56" s="1437" t="s">
        <v>1283</v>
      </c>
      <c r="B56" s="1540">
        <f t="shared" si="11"/>
        <v>0</v>
      </c>
      <c r="C56" s="1440"/>
      <c r="D56" s="1442"/>
      <c r="E56" s="1442"/>
      <c r="F56" s="1442"/>
      <c r="G56" s="1442"/>
      <c r="H56" s="1442"/>
      <c r="I56" s="1442"/>
      <c r="J56" s="1442"/>
      <c r="K56" s="1442"/>
      <c r="L56" s="1442"/>
      <c r="M56" s="1442"/>
      <c r="N56" s="1442"/>
      <c r="O56" s="1442"/>
      <c r="P56" s="1442"/>
      <c r="Q56" s="1442"/>
      <c r="R56" s="1442"/>
      <c r="S56" s="1442"/>
      <c r="T56" s="1444"/>
      <c r="U56" s="1452"/>
      <c r="V56" s="1440"/>
      <c r="W56" s="1444"/>
      <c r="X56" s="2326">
        <f t="shared" si="1"/>
        <v>0</v>
      </c>
      <c r="Y56" s="1440"/>
      <c r="Z56" s="1442"/>
      <c r="AA56" s="2117"/>
      <c r="AB56" s="421">
        <f t="shared" si="2"/>
        <v>0</v>
      </c>
      <c r="AC56" s="1440"/>
      <c r="AD56" s="1441"/>
      <c r="AE56" s="1444"/>
      <c r="AF56" s="1447"/>
      <c r="AG56" s="1680"/>
      <c r="AH56" t="str">
        <f t="shared" si="3"/>
        <v/>
      </c>
      <c r="CB56" s="1418" t="str">
        <f t="shared" si="4"/>
        <v/>
      </c>
      <c r="CC56" s="1418" t="str">
        <f t="shared" si="5"/>
        <v/>
      </c>
      <c r="CD56" s="1418" t="str">
        <f t="shared" si="6"/>
        <v/>
      </c>
      <c r="CM56" s="1420">
        <f t="shared" si="7"/>
        <v>0</v>
      </c>
      <c r="CN56" s="1420">
        <f t="shared" si="8"/>
        <v>0</v>
      </c>
      <c r="CO56" s="1420">
        <f t="shared" si="9"/>
        <v>0</v>
      </c>
    </row>
    <row r="57" spans="1:93">
      <c r="A57" s="2329" t="s">
        <v>1284</v>
      </c>
      <c r="B57" s="1540">
        <f t="shared" si="11"/>
        <v>0</v>
      </c>
      <c r="C57" s="1440"/>
      <c r="D57" s="1442"/>
      <c r="E57" s="1442"/>
      <c r="F57" s="1442"/>
      <c r="G57" s="1442"/>
      <c r="H57" s="1442"/>
      <c r="I57" s="1442"/>
      <c r="J57" s="1442"/>
      <c r="K57" s="1442"/>
      <c r="L57" s="1442"/>
      <c r="M57" s="1442"/>
      <c r="N57" s="1442"/>
      <c r="O57" s="1442"/>
      <c r="P57" s="1442"/>
      <c r="Q57" s="1442"/>
      <c r="R57" s="1442"/>
      <c r="S57" s="1442"/>
      <c r="T57" s="1444"/>
      <c r="U57" s="1452"/>
      <c r="V57" s="1440"/>
      <c r="W57" s="1444"/>
      <c r="X57" s="2326">
        <f t="shared" si="1"/>
        <v>0</v>
      </c>
      <c r="Y57" s="1440"/>
      <c r="Z57" s="1442"/>
      <c r="AA57" s="2117"/>
      <c r="AB57" s="421">
        <f t="shared" si="2"/>
        <v>0</v>
      </c>
      <c r="AC57" s="1440"/>
      <c r="AD57" s="1441"/>
      <c r="AE57" s="1444"/>
      <c r="AF57" s="1447"/>
      <c r="AG57" s="1680"/>
      <c r="AH57" t="str">
        <f t="shared" si="3"/>
        <v/>
      </c>
      <c r="CB57" s="1418" t="str">
        <f t="shared" si="4"/>
        <v/>
      </c>
      <c r="CC57" s="1418" t="str">
        <f t="shared" si="5"/>
        <v/>
      </c>
      <c r="CD57" s="1418" t="str">
        <f t="shared" si="6"/>
        <v/>
      </c>
      <c r="CM57" s="1420">
        <f t="shared" si="7"/>
        <v>0</v>
      </c>
      <c r="CN57" s="1420">
        <f t="shared" si="8"/>
        <v>0</v>
      </c>
      <c r="CO57" s="1420">
        <f t="shared" si="9"/>
        <v>0</v>
      </c>
    </row>
    <row r="58" spans="1:93">
      <c r="A58" s="1947" t="s">
        <v>1285</v>
      </c>
      <c r="B58" s="1540">
        <f t="shared" si="11"/>
        <v>0</v>
      </c>
      <c r="C58" s="1440"/>
      <c r="D58" s="1442"/>
      <c r="E58" s="1442"/>
      <c r="F58" s="1442"/>
      <c r="G58" s="1442"/>
      <c r="H58" s="1442"/>
      <c r="I58" s="1442"/>
      <c r="J58" s="1442"/>
      <c r="K58" s="1442"/>
      <c r="L58" s="1442"/>
      <c r="M58" s="1442"/>
      <c r="N58" s="1442"/>
      <c r="O58" s="1442"/>
      <c r="P58" s="1442"/>
      <c r="Q58" s="1442"/>
      <c r="R58" s="1442"/>
      <c r="S58" s="1442"/>
      <c r="T58" s="1444"/>
      <c r="U58" s="1452"/>
      <c r="V58" s="1440"/>
      <c r="W58" s="1444"/>
      <c r="X58" s="2326">
        <f t="shared" si="1"/>
        <v>0</v>
      </c>
      <c r="Y58" s="1440"/>
      <c r="Z58" s="1442"/>
      <c r="AA58" s="2117"/>
      <c r="AB58" s="421">
        <f t="shared" si="2"/>
        <v>0</v>
      </c>
      <c r="AC58" s="1440"/>
      <c r="AD58" s="1441"/>
      <c r="AE58" s="1444"/>
      <c r="AF58" s="1447"/>
      <c r="AG58" s="1680"/>
      <c r="AH58" t="str">
        <f t="shared" si="3"/>
        <v/>
      </c>
      <c r="CB58" s="1418" t="str">
        <f t="shared" si="4"/>
        <v/>
      </c>
      <c r="CC58" s="1418" t="str">
        <f t="shared" si="5"/>
        <v/>
      </c>
      <c r="CD58" s="1418" t="str">
        <f t="shared" si="6"/>
        <v/>
      </c>
      <c r="CM58" s="1420">
        <f t="shared" si="7"/>
        <v>0</v>
      </c>
      <c r="CN58" s="1420">
        <f t="shared" si="8"/>
        <v>0</v>
      </c>
      <c r="CO58" s="1420">
        <f t="shared" si="9"/>
        <v>0</v>
      </c>
    </row>
    <row r="59" spans="1:93">
      <c r="A59" s="1947" t="s">
        <v>1286</v>
      </c>
      <c r="B59" s="1540">
        <f t="shared" si="11"/>
        <v>0</v>
      </c>
      <c r="C59" s="1440"/>
      <c r="D59" s="1442"/>
      <c r="E59" s="1442"/>
      <c r="F59" s="1442"/>
      <c r="G59" s="1442"/>
      <c r="H59" s="1442"/>
      <c r="I59" s="1442"/>
      <c r="J59" s="1442"/>
      <c r="K59" s="1442"/>
      <c r="L59" s="1442"/>
      <c r="M59" s="1442"/>
      <c r="N59" s="1442"/>
      <c r="O59" s="1442"/>
      <c r="P59" s="1442"/>
      <c r="Q59" s="1442"/>
      <c r="R59" s="1442"/>
      <c r="S59" s="1442"/>
      <c r="T59" s="1444"/>
      <c r="U59" s="1452"/>
      <c r="V59" s="1440"/>
      <c r="W59" s="1444"/>
      <c r="X59" s="2326">
        <f t="shared" si="1"/>
        <v>0</v>
      </c>
      <c r="Y59" s="1440"/>
      <c r="Z59" s="1442"/>
      <c r="AA59" s="2117"/>
      <c r="AB59" s="421">
        <f t="shared" si="2"/>
        <v>0</v>
      </c>
      <c r="AC59" s="1440"/>
      <c r="AD59" s="1441"/>
      <c r="AE59" s="1444"/>
      <c r="AF59" s="1447"/>
      <c r="AG59" s="1680"/>
      <c r="AH59" t="str">
        <f t="shared" si="3"/>
        <v/>
      </c>
      <c r="CB59" s="1418" t="str">
        <f t="shared" si="4"/>
        <v/>
      </c>
      <c r="CC59" s="1418" t="str">
        <f t="shared" si="5"/>
        <v/>
      </c>
      <c r="CD59" s="1418" t="str">
        <f t="shared" si="6"/>
        <v/>
      </c>
      <c r="CM59" s="1420">
        <f t="shared" si="7"/>
        <v>0</v>
      </c>
      <c r="CN59" s="1420">
        <f t="shared" si="8"/>
        <v>0</v>
      </c>
      <c r="CO59" s="1420">
        <f t="shared" si="9"/>
        <v>0</v>
      </c>
    </row>
    <row r="60" spans="1:93">
      <c r="A60" s="1947" t="s">
        <v>1287</v>
      </c>
      <c r="B60" s="1540">
        <f t="shared" si="11"/>
        <v>0</v>
      </c>
      <c r="C60" s="1440"/>
      <c r="D60" s="1442"/>
      <c r="E60" s="1442"/>
      <c r="F60" s="1442"/>
      <c r="G60" s="1442"/>
      <c r="H60" s="1442"/>
      <c r="I60" s="1442"/>
      <c r="J60" s="1442"/>
      <c r="K60" s="1442"/>
      <c r="L60" s="1442"/>
      <c r="M60" s="1442"/>
      <c r="N60" s="1442"/>
      <c r="O60" s="1442"/>
      <c r="P60" s="1442"/>
      <c r="Q60" s="1442"/>
      <c r="R60" s="1442"/>
      <c r="S60" s="1442"/>
      <c r="T60" s="1444"/>
      <c r="U60" s="1452"/>
      <c r="V60" s="1440"/>
      <c r="W60" s="1444"/>
      <c r="X60" s="2326">
        <f t="shared" si="1"/>
        <v>0</v>
      </c>
      <c r="Y60" s="1440"/>
      <c r="Z60" s="1442"/>
      <c r="AA60" s="2117"/>
      <c r="AB60" s="421">
        <f t="shared" si="2"/>
        <v>0</v>
      </c>
      <c r="AC60" s="1440"/>
      <c r="AD60" s="1441"/>
      <c r="AE60" s="1444"/>
      <c r="AF60" s="1447"/>
      <c r="AG60" s="1680"/>
      <c r="AH60" t="str">
        <f t="shared" si="3"/>
        <v/>
      </c>
      <c r="CB60" s="1418" t="str">
        <f t="shared" si="4"/>
        <v/>
      </c>
      <c r="CC60" s="1418" t="str">
        <f t="shared" si="5"/>
        <v/>
      </c>
      <c r="CD60" s="1418" t="str">
        <f t="shared" si="6"/>
        <v/>
      </c>
      <c r="CM60" s="1420">
        <f t="shared" si="7"/>
        <v>0</v>
      </c>
      <c r="CN60" s="1420">
        <f t="shared" si="8"/>
        <v>0</v>
      </c>
      <c r="CO60" s="1420">
        <f t="shared" si="9"/>
        <v>0</v>
      </c>
    </row>
    <row r="61" spans="1:93">
      <c r="A61" s="1947" t="s">
        <v>1288</v>
      </c>
      <c r="B61" s="1540">
        <f t="shared" si="11"/>
        <v>0</v>
      </c>
      <c r="C61" s="1440"/>
      <c r="D61" s="1442"/>
      <c r="E61" s="1442"/>
      <c r="F61" s="1442"/>
      <c r="G61" s="1442"/>
      <c r="H61" s="1442"/>
      <c r="I61" s="1442"/>
      <c r="J61" s="1442"/>
      <c r="K61" s="1442"/>
      <c r="L61" s="1442"/>
      <c r="M61" s="1442"/>
      <c r="N61" s="1442"/>
      <c r="O61" s="1442"/>
      <c r="P61" s="1442"/>
      <c r="Q61" s="1442"/>
      <c r="R61" s="1442"/>
      <c r="S61" s="1442"/>
      <c r="T61" s="1444"/>
      <c r="U61" s="1452"/>
      <c r="V61" s="1440"/>
      <c r="W61" s="1444"/>
      <c r="X61" s="2326">
        <f t="shared" si="1"/>
        <v>0</v>
      </c>
      <c r="Y61" s="1440"/>
      <c r="Z61" s="1442"/>
      <c r="AA61" s="2117"/>
      <c r="AB61" s="421">
        <f t="shared" si="2"/>
        <v>0</v>
      </c>
      <c r="AC61" s="1440"/>
      <c r="AD61" s="1441"/>
      <c r="AE61" s="1444"/>
      <c r="AF61" s="1447"/>
      <c r="AG61" s="1680"/>
      <c r="AH61" t="str">
        <f t="shared" si="3"/>
        <v/>
      </c>
      <c r="CB61" s="1418" t="str">
        <f t="shared" si="4"/>
        <v/>
      </c>
      <c r="CC61" s="1418" t="str">
        <f t="shared" si="5"/>
        <v/>
      </c>
      <c r="CD61" s="1418" t="str">
        <f t="shared" si="6"/>
        <v/>
      </c>
      <c r="CM61" s="1420">
        <f t="shared" si="7"/>
        <v>0</v>
      </c>
      <c r="CN61" s="1420">
        <f t="shared" si="8"/>
        <v>0</v>
      </c>
      <c r="CO61" s="1420">
        <f t="shared" si="9"/>
        <v>0</v>
      </c>
    </row>
    <row r="62" spans="1:93">
      <c r="A62" s="1947" t="s">
        <v>1289</v>
      </c>
      <c r="B62" s="1540">
        <f t="shared" si="11"/>
        <v>0</v>
      </c>
      <c r="C62" s="1440"/>
      <c r="D62" s="1442"/>
      <c r="E62" s="1442"/>
      <c r="F62" s="1442"/>
      <c r="G62" s="1442"/>
      <c r="H62" s="1442"/>
      <c r="I62" s="1442"/>
      <c r="J62" s="1442"/>
      <c r="K62" s="1442"/>
      <c r="L62" s="1442"/>
      <c r="M62" s="1442"/>
      <c r="N62" s="1442"/>
      <c r="O62" s="1442"/>
      <c r="P62" s="1442"/>
      <c r="Q62" s="1442"/>
      <c r="R62" s="1442"/>
      <c r="S62" s="1442"/>
      <c r="T62" s="1444"/>
      <c r="U62" s="1452"/>
      <c r="V62" s="1440"/>
      <c r="W62" s="1444"/>
      <c r="X62" s="2326">
        <f t="shared" si="1"/>
        <v>0</v>
      </c>
      <c r="Y62" s="1440"/>
      <c r="Z62" s="1442"/>
      <c r="AA62" s="2117"/>
      <c r="AB62" s="421">
        <f t="shared" si="2"/>
        <v>0</v>
      </c>
      <c r="AC62" s="1440"/>
      <c r="AD62" s="1441"/>
      <c r="AE62" s="1444"/>
      <c r="AF62" s="1447"/>
      <c r="AG62" s="1680"/>
      <c r="AH62" t="str">
        <f t="shared" si="3"/>
        <v/>
      </c>
      <c r="CB62" s="1418" t="str">
        <f t="shared" si="4"/>
        <v/>
      </c>
      <c r="CC62" s="1418" t="str">
        <f t="shared" si="5"/>
        <v/>
      </c>
      <c r="CD62" s="1418" t="str">
        <f t="shared" si="6"/>
        <v/>
      </c>
      <c r="CM62" s="1420">
        <f t="shared" si="7"/>
        <v>0</v>
      </c>
      <c r="CN62" s="1420">
        <f t="shared" si="8"/>
        <v>0</v>
      </c>
      <c r="CO62" s="1420">
        <f t="shared" si="9"/>
        <v>0</v>
      </c>
    </row>
    <row r="63" spans="1:93">
      <c r="A63" s="1947" t="s">
        <v>1290</v>
      </c>
      <c r="B63" s="1540">
        <f t="shared" si="11"/>
        <v>0</v>
      </c>
      <c r="C63" s="1440"/>
      <c r="D63" s="1442"/>
      <c r="E63" s="1442"/>
      <c r="F63" s="1442"/>
      <c r="G63" s="1442"/>
      <c r="H63" s="1442"/>
      <c r="I63" s="1442"/>
      <c r="J63" s="1442"/>
      <c r="K63" s="1442"/>
      <c r="L63" s="1442"/>
      <c r="M63" s="1442"/>
      <c r="N63" s="1442"/>
      <c r="O63" s="1442"/>
      <c r="P63" s="1442"/>
      <c r="Q63" s="1442"/>
      <c r="R63" s="1442"/>
      <c r="S63" s="1442"/>
      <c r="T63" s="1444"/>
      <c r="U63" s="1452"/>
      <c r="V63" s="1440"/>
      <c r="W63" s="1444"/>
      <c r="X63" s="2326">
        <f t="shared" si="1"/>
        <v>0</v>
      </c>
      <c r="Y63" s="1440"/>
      <c r="Z63" s="1442"/>
      <c r="AA63" s="2117"/>
      <c r="AB63" s="421">
        <f t="shared" si="2"/>
        <v>0</v>
      </c>
      <c r="AC63" s="1440"/>
      <c r="AD63" s="1441"/>
      <c r="AE63" s="1444"/>
      <c r="AF63" s="1447"/>
      <c r="AG63" s="1680"/>
      <c r="AH63" t="str">
        <f t="shared" si="3"/>
        <v/>
      </c>
      <c r="CB63" s="1418" t="str">
        <f t="shared" si="4"/>
        <v/>
      </c>
      <c r="CC63" s="1418" t="str">
        <f t="shared" si="5"/>
        <v/>
      </c>
      <c r="CD63" s="1418" t="str">
        <f t="shared" si="6"/>
        <v/>
      </c>
      <c r="CM63" s="1420">
        <f t="shared" si="7"/>
        <v>0</v>
      </c>
      <c r="CN63" s="1420">
        <f t="shared" si="8"/>
        <v>0</v>
      </c>
      <c r="CO63" s="1420">
        <f t="shared" si="9"/>
        <v>0</v>
      </c>
    </row>
    <row r="64" spans="1:93">
      <c r="A64" s="1947" t="s">
        <v>1291</v>
      </c>
      <c r="B64" s="1540">
        <f t="shared" si="11"/>
        <v>0</v>
      </c>
      <c r="C64" s="1440"/>
      <c r="D64" s="1442"/>
      <c r="E64" s="1442"/>
      <c r="F64" s="1442"/>
      <c r="G64" s="1442"/>
      <c r="H64" s="1442"/>
      <c r="I64" s="1442"/>
      <c r="J64" s="1442"/>
      <c r="K64" s="1442"/>
      <c r="L64" s="1442"/>
      <c r="M64" s="1442"/>
      <c r="N64" s="1442"/>
      <c r="O64" s="1442"/>
      <c r="P64" s="1442"/>
      <c r="Q64" s="1442"/>
      <c r="R64" s="1442"/>
      <c r="S64" s="1442"/>
      <c r="T64" s="1444"/>
      <c r="U64" s="1452"/>
      <c r="V64" s="1440"/>
      <c r="W64" s="1444"/>
      <c r="X64" s="2326">
        <f t="shared" si="1"/>
        <v>0</v>
      </c>
      <c r="Y64" s="1440"/>
      <c r="Z64" s="1442"/>
      <c r="AA64" s="2117"/>
      <c r="AB64" s="421">
        <f t="shared" si="2"/>
        <v>0</v>
      </c>
      <c r="AC64" s="1440"/>
      <c r="AD64" s="1441"/>
      <c r="AE64" s="1444"/>
      <c r="AF64" s="1447"/>
      <c r="AG64" s="1680"/>
      <c r="AH64" t="str">
        <f t="shared" si="3"/>
        <v/>
      </c>
      <c r="CB64" s="1418" t="str">
        <f t="shared" si="4"/>
        <v/>
      </c>
      <c r="CC64" s="1418" t="str">
        <f t="shared" si="5"/>
        <v/>
      </c>
      <c r="CD64" s="1418" t="str">
        <f t="shared" si="6"/>
        <v/>
      </c>
      <c r="CM64" s="1420">
        <f t="shared" si="7"/>
        <v>0</v>
      </c>
      <c r="CN64" s="1420">
        <f t="shared" si="8"/>
        <v>0</v>
      </c>
      <c r="CO64" s="1420">
        <f t="shared" si="9"/>
        <v>0</v>
      </c>
    </row>
    <row r="65" spans="1:98">
      <c r="A65" s="1946" t="s">
        <v>1292</v>
      </c>
      <c r="B65" s="1540">
        <f t="shared" si="11"/>
        <v>0</v>
      </c>
      <c r="C65" s="1440"/>
      <c r="D65" s="1442"/>
      <c r="E65" s="1442"/>
      <c r="F65" s="1442"/>
      <c r="G65" s="1442"/>
      <c r="H65" s="1442"/>
      <c r="I65" s="1442"/>
      <c r="J65" s="1442"/>
      <c r="K65" s="1442"/>
      <c r="L65" s="1442"/>
      <c r="M65" s="1442"/>
      <c r="N65" s="1442"/>
      <c r="O65" s="1442"/>
      <c r="P65" s="1442"/>
      <c r="Q65" s="1442"/>
      <c r="R65" s="1442"/>
      <c r="S65" s="1442"/>
      <c r="T65" s="1444"/>
      <c r="U65" s="1545"/>
      <c r="V65" s="1768"/>
      <c r="W65" s="1481"/>
      <c r="X65" s="2324">
        <f t="shared" si="1"/>
        <v>0</v>
      </c>
      <c r="Y65" s="1440"/>
      <c r="Z65" s="1442"/>
      <c r="AA65" s="2117"/>
      <c r="AB65" s="2333">
        <f t="shared" si="2"/>
        <v>0</v>
      </c>
      <c r="AC65" s="1440"/>
      <c r="AD65" s="1441"/>
      <c r="AE65" s="1444"/>
      <c r="AF65" s="1447"/>
      <c r="AG65" s="1680"/>
      <c r="AH65" t="str">
        <f t="shared" si="3"/>
        <v/>
      </c>
      <c r="CB65" s="1418" t="str">
        <f t="shared" si="4"/>
        <v/>
      </c>
      <c r="CC65" s="1418" t="str">
        <f t="shared" si="5"/>
        <v/>
      </c>
      <c r="CD65" s="1418" t="str">
        <f t="shared" si="6"/>
        <v/>
      </c>
      <c r="CM65" s="1420">
        <f t="shared" si="7"/>
        <v>0</v>
      </c>
      <c r="CN65" s="1420">
        <f t="shared" si="8"/>
        <v>0</v>
      </c>
      <c r="CO65" s="1420">
        <f t="shared" si="9"/>
        <v>0</v>
      </c>
    </row>
    <row r="66" spans="1:98">
      <c r="A66" s="2328" t="s">
        <v>1293</v>
      </c>
      <c r="B66" s="1516">
        <f t="shared" si="11"/>
        <v>0</v>
      </c>
      <c r="C66" s="1455"/>
      <c r="D66" s="1457"/>
      <c r="E66" s="1457"/>
      <c r="F66" s="1457"/>
      <c r="G66" s="1457"/>
      <c r="H66" s="1457"/>
      <c r="I66" s="1457"/>
      <c r="J66" s="1457"/>
      <c r="K66" s="1457"/>
      <c r="L66" s="1457"/>
      <c r="M66" s="1457"/>
      <c r="N66" s="1457"/>
      <c r="O66" s="1457"/>
      <c r="P66" s="1457"/>
      <c r="Q66" s="1457"/>
      <c r="R66" s="1457"/>
      <c r="S66" s="1457"/>
      <c r="T66" s="1459"/>
      <c r="U66" s="1467"/>
      <c r="V66" s="1664"/>
      <c r="W66" s="1459"/>
      <c r="X66" s="2334">
        <f t="shared" si="1"/>
        <v>0</v>
      </c>
      <c r="Y66" s="1455"/>
      <c r="Z66" s="1457"/>
      <c r="AA66" s="2148"/>
      <c r="AB66" s="430">
        <f t="shared" si="2"/>
        <v>0</v>
      </c>
      <c r="AC66" s="1455"/>
      <c r="AD66" s="1456"/>
      <c r="AE66" s="1459"/>
      <c r="AF66" s="1490"/>
      <c r="AG66" s="1684"/>
      <c r="AH66" t="str">
        <f t="shared" si="3"/>
        <v/>
      </c>
      <c r="CB66" s="1418" t="str">
        <f t="shared" si="4"/>
        <v/>
      </c>
      <c r="CC66" s="1418" t="str">
        <f t="shared" si="5"/>
        <v/>
      </c>
      <c r="CD66" s="1418" t="str">
        <f t="shared" si="6"/>
        <v/>
      </c>
      <c r="CM66" s="1420">
        <f t="shared" si="7"/>
        <v>0</v>
      </c>
      <c r="CN66" s="1420">
        <f t="shared" si="8"/>
        <v>0</v>
      </c>
      <c r="CO66" s="1420">
        <f t="shared" si="9"/>
        <v>0</v>
      </c>
    </row>
    <row r="67" spans="1:98">
      <c r="A67" s="388" t="s">
        <v>91</v>
      </c>
      <c r="B67" s="406">
        <f t="shared" ref="B67:AG67" si="12">SUM(B12:B66)</f>
        <v>0</v>
      </c>
      <c r="C67" s="1658">
        <f t="shared" si="12"/>
        <v>0</v>
      </c>
      <c r="D67" s="1720">
        <f t="shared" si="12"/>
        <v>0</v>
      </c>
      <c r="E67" s="1720">
        <f t="shared" si="12"/>
        <v>0</v>
      </c>
      <c r="F67" s="1720">
        <f t="shared" si="12"/>
        <v>0</v>
      </c>
      <c r="G67" s="1720">
        <f t="shared" si="12"/>
        <v>0</v>
      </c>
      <c r="H67" s="1720">
        <f t="shared" si="12"/>
        <v>0</v>
      </c>
      <c r="I67" s="1720">
        <f t="shared" si="12"/>
        <v>0</v>
      </c>
      <c r="J67" s="1720">
        <f t="shared" si="12"/>
        <v>0</v>
      </c>
      <c r="K67" s="1720">
        <f t="shared" si="12"/>
        <v>0</v>
      </c>
      <c r="L67" s="1720">
        <f t="shared" si="12"/>
        <v>0</v>
      </c>
      <c r="M67" s="1720">
        <f t="shared" si="12"/>
        <v>0</v>
      </c>
      <c r="N67" s="1720">
        <f t="shared" si="12"/>
        <v>0</v>
      </c>
      <c r="O67" s="1720">
        <f t="shared" si="12"/>
        <v>0</v>
      </c>
      <c r="P67" s="1720">
        <f t="shared" si="12"/>
        <v>0</v>
      </c>
      <c r="Q67" s="1720">
        <f t="shared" si="12"/>
        <v>0</v>
      </c>
      <c r="R67" s="1720">
        <f t="shared" si="12"/>
        <v>0</v>
      </c>
      <c r="S67" s="1720">
        <f t="shared" si="12"/>
        <v>0</v>
      </c>
      <c r="T67" s="1767">
        <f t="shared" si="12"/>
        <v>0</v>
      </c>
      <c r="U67" s="2335">
        <f t="shared" si="12"/>
        <v>0</v>
      </c>
      <c r="V67" s="1718">
        <f t="shared" si="12"/>
        <v>0</v>
      </c>
      <c r="W67" s="1767">
        <f t="shared" si="12"/>
        <v>0</v>
      </c>
      <c r="X67" s="1731">
        <f t="shared" si="12"/>
        <v>0</v>
      </c>
      <c r="Y67" s="1718">
        <f t="shared" si="12"/>
        <v>0</v>
      </c>
      <c r="Z67" s="1720">
        <f t="shared" si="12"/>
        <v>0</v>
      </c>
      <c r="AA67" s="1730">
        <f t="shared" si="12"/>
        <v>0</v>
      </c>
      <c r="AB67" s="2054">
        <f t="shared" si="12"/>
        <v>0</v>
      </c>
      <c r="AC67" s="1718">
        <f t="shared" si="12"/>
        <v>0</v>
      </c>
      <c r="AD67" s="1720">
        <f t="shared" si="12"/>
        <v>0</v>
      </c>
      <c r="AE67" s="1767">
        <f t="shared" si="12"/>
        <v>0</v>
      </c>
      <c r="AF67" s="2336">
        <f t="shared" si="12"/>
        <v>0</v>
      </c>
      <c r="AG67" s="2337">
        <f t="shared" si="12"/>
        <v>0</v>
      </c>
    </row>
    <row r="68" spans="1:98" s="385" customFormat="1" ht="18" customHeight="1">
      <c r="A68" s="2338" t="s">
        <v>1294</v>
      </c>
      <c r="B68" s="1582"/>
      <c r="C68" s="1582"/>
      <c r="D68" s="1582"/>
      <c r="E68" s="1582"/>
      <c r="F68" s="1582"/>
      <c r="G68" s="1582"/>
      <c r="H68" s="1582"/>
      <c r="I68" s="1582"/>
      <c r="J68" s="1582"/>
      <c r="K68" s="1582"/>
      <c r="L68" s="1582"/>
      <c r="M68" s="1582"/>
      <c r="N68" s="1582"/>
      <c r="O68" s="1582"/>
      <c r="P68" s="1582"/>
      <c r="Q68" s="1582"/>
      <c r="R68" s="1582"/>
      <c r="S68" s="1582"/>
      <c r="T68" s="1582"/>
      <c r="U68" s="1582"/>
      <c r="V68" s="1582"/>
      <c r="W68" s="1582"/>
      <c r="X68" s="439"/>
      <c r="Y68" s="439"/>
      <c r="Z68" s="439"/>
      <c r="AA68" s="439"/>
      <c r="AB68" s="439"/>
      <c r="AC68" s="439"/>
      <c r="AD68" s="439"/>
      <c r="AE68" s="439"/>
      <c r="AF68" s="439"/>
      <c r="AG68" s="439"/>
      <c r="AH68" s="439"/>
      <c r="AI68" s="439"/>
      <c r="CB68" s="1470"/>
      <c r="CC68" s="1470"/>
      <c r="CD68" s="1470"/>
      <c r="CE68" s="1470"/>
      <c r="CF68" s="1470"/>
      <c r="CG68" s="1470"/>
      <c r="CH68" s="1470"/>
      <c r="CI68" s="1470"/>
      <c r="CJ68" s="1470"/>
      <c r="CK68" s="1470"/>
      <c r="CL68" s="1470"/>
      <c r="CM68" s="1470"/>
      <c r="CN68" s="1470"/>
      <c r="CO68" s="1470"/>
      <c r="CP68" s="1470"/>
      <c r="CQ68" s="1470"/>
      <c r="CR68" s="1470"/>
      <c r="CS68" s="1470"/>
      <c r="CT68" s="1470"/>
    </row>
    <row r="69" spans="1:98" ht="31.5" customHeight="1">
      <c r="A69" s="5718" t="s">
        <v>1295</v>
      </c>
      <c r="B69" s="6396" t="s">
        <v>1296</v>
      </c>
      <c r="C69" s="6390"/>
      <c r="D69" s="6390"/>
      <c r="E69" s="6391"/>
      <c r="F69" s="6396" t="s">
        <v>1297</v>
      </c>
      <c r="G69" s="6390"/>
      <c r="H69" s="6390"/>
      <c r="I69" s="6391"/>
      <c r="J69" s="6390" t="s">
        <v>1298</v>
      </c>
      <c r="K69" s="6390"/>
      <c r="L69" s="6390"/>
      <c r="M69" s="6391"/>
      <c r="N69" s="6397" t="s">
        <v>1299</v>
      </c>
      <c r="O69" s="6398"/>
      <c r="P69" s="6399"/>
      <c r="Q69" s="6140" t="s">
        <v>1300</v>
      </c>
      <c r="R69" s="6119"/>
      <c r="S69" s="6140" t="s">
        <v>1301</v>
      </c>
      <c r="T69" s="6119"/>
      <c r="U69" s="6140" t="s">
        <v>1302</v>
      </c>
      <c r="V69" s="6119"/>
      <c r="W69" s="5718" t="s">
        <v>1303</v>
      </c>
      <c r="X69" s="6140" t="s">
        <v>1304</v>
      </c>
      <c r="Y69" s="6119"/>
      <c r="Z69" s="6140" t="s">
        <v>1305</v>
      </c>
      <c r="AA69" s="6119"/>
      <c r="AB69" s="5710" t="s">
        <v>1306</v>
      </c>
      <c r="AC69" s="5712"/>
      <c r="AD69" s="5718" t="s">
        <v>1307</v>
      </c>
      <c r="AE69" s="6400" t="s">
        <v>1308</v>
      </c>
      <c r="AF69" s="6401"/>
      <c r="AG69" s="6137" t="s">
        <v>1309</v>
      </c>
      <c r="AH69" s="6137"/>
      <c r="AI69" s="6137"/>
    </row>
    <row r="70" spans="1:98" ht="34.5" customHeight="1">
      <c r="A70" s="5719"/>
      <c r="B70" s="2317" t="s">
        <v>947</v>
      </c>
      <c r="C70" s="2340" t="s">
        <v>1036</v>
      </c>
      <c r="D70" s="2341" t="s">
        <v>1310</v>
      </c>
      <c r="E70" s="2342" t="s">
        <v>576</v>
      </c>
      <c r="F70" s="1643" t="s">
        <v>947</v>
      </c>
      <c r="G70" s="2340" t="s">
        <v>1036</v>
      </c>
      <c r="H70" s="2341" t="s">
        <v>1310</v>
      </c>
      <c r="I70" s="2342" t="s">
        <v>576</v>
      </c>
      <c r="J70" s="2317" t="s">
        <v>947</v>
      </c>
      <c r="K70" s="2340" t="s">
        <v>1036</v>
      </c>
      <c r="L70" s="2341" t="s">
        <v>1310</v>
      </c>
      <c r="M70" s="2341" t="s">
        <v>576</v>
      </c>
      <c r="N70" s="2009" t="s">
        <v>947</v>
      </c>
      <c r="O70" s="2343" t="s">
        <v>1311</v>
      </c>
      <c r="P70" s="2319" t="s">
        <v>1139</v>
      </c>
      <c r="Q70" s="1395" t="s">
        <v>1312</v>
      </c>
      <c r="R70" s="1584" t="s">
        <v>1313</v>
      </c>
      <c r="S70" s="1395" t="s">
        <v>1312</v>
      </c>
      <c r="T70" s="1584" t="s">
        <v>1313</v>
      </c>
      <c r="U70" s="1395" t="s">
        <v>1314</v>
      </c>
      <c r="V70" s="1584" t="s">
        <v>1315</v>
      </c>
      <c r="W70" s="5719"/>
      <c r="X70" s="1395" t="s">
        <v>1312</v>
      </c>
      <c r="Y70" s="1584" t="s">
        <v>1313</v>
      </c>
      <c r="Z70" s="1574" t="s">
        <v>1316</v>
      </c>
      <c r="AA70" s="1574" t="s">
        <v>1317</v>
      </c>
      <c r="AB70" s="395" t="s">
        <v>1318</v>
      </c>
      <c r="AC70" s="395" t="s">
        <v>1319</v>
      </c>
      <c r="AD70" s="5719"/>
      <c r="AE70" s="2344" t="s">
        <v>689</v>
      </c>
      <c r="AF70" s="2345" t="s">
        <v>1234</v>
      </c>
      <c r="AG70" s="2211" t="s">
        <v>1320</v>
      </c>
      <c r="AH70" s="2346" t="s">
        <v>1321</v>
      </c>
      <c r="AI70" s="2210" t="s">
        <v>1322</v>
      </c>
    </row>
    <row r="71" spans="1:98">
      <c r="A71" s="1946" t="s">
        <v>1239</v>
      </c>
      <c r="B71" s="2347">
        <f t="shared" ref="B71:B125" si="13">SUM(C71:E71)</f>
        <v>0</v>
      </c>
      <c r="C71" s="1405"/>
      <c r="D71" s="1407"/>
      <c r="E71" s="1407"/>
      <c r="F71" s="2347">
        <f t="shared" ref="F71:F125" si="14">SUM(G71:I71)</f>
        <v>0</v>
      </c>
      <c r="G71" s="1405"/>
      <c r="H71" s="1407"/>
      <c r="I71" s="1407"/>
      <c r="J71" s="2347">
        <f t="shared" ref="J71:J125" si="15">SUM(K71:M71)</f>
        <v>0</v>
      </c>
      <c r="K71" s="1405"/>
      <c r="L71" s="1407"/>
      <c r="M71" s="1408"/>
      <c r="N71" s="2348">
        <f t="shared" ref="N71:N125" si="16">SUM(O71:P71)</f>
        <v>0</v>
      </c>
      <c r="O71" s="1881"/>
      <c r="P71" s="1770"/>
      <c r="Q71" s="1657"/>
      <c r="R71" s="1680"/>
      <c r="S71" s="1424"/>
      <c r="T71" s="1676"/>
      <c r="U71" s="1425"/>
      <c r="V71" s="1676"/>
      <c r="W71" s="1447"/>
      <c r="X71" s="1657"/>
      <c r="Y71" s="1680"/>
      <c r="Z71" s="1769"/>
      <c r="AA71" s="1769"/>
      <c r="AB71" s="1769"/>
      <c r="AC71" s="1769"/>
      <c r="AD71" s="1769"/>
      <c r="AE71" s="2349"/>
      <c r="AF71" s="2350"/>
      <c r="AG71" s="1424"/>
      <c r="AH71" s="1426"/>
      <c r="AI71" s="1545"/>
    </row>
    <row r="72" spans="1:98">
      <c r="A72" s="1947" t="s">
        <v>1240</v>
      </c>
      <c r="B72" s="2351">
        <f t="shared" si="13"/>
        <v>0</v>
      </c>
      <c r="C72" s="1485"/>
      <c r="D72" s="1712"/>
      <c r="E72" s="1712"/>
      <c r="F72" s="2351">
        <f t="shared" si="14"/>
        <v>0</v>
      </c>
      <c r="G72" s="1485"/>
      <c r="H72" s="1712"/>
      <c r="I72" s="1712"/>
      <c r="J72" s="2351">
        <f t="shared" si="15"/>
        <v>0</v>
      </c>
      <c r="K72" s="1485"/>
      <c r="L72" s="1712"/>
      <c r="M72" s="2352"/>
      <c r="N72" s="2353">
        <f t="shared" si="16"/>
        <v>0</v>
      </c>
      <c r="O72" s="1826"/>
      <c r="P72" s="1487"/>
      <c r="Q72" s="1657"/>
      <c r="R72" s="1680"/>
      <c r="S72" s="1440"/>
      <c r="T72" s="1680"/>
      <c r="U72" s="1441"/>
      <c r="V72" s="1680"/>
      <c r="W72" s="1447"/>
      <c r="X72" s="1657"/>
      <c r="Y72" s="1680"/>
      <c r="Z72" s="1769"/>
      <c r="AA72" s="1769"/>
      <c r="AB72" s="1769"/>
      <c r="AC72" s="1769"/>
      <c r="AD72" s="1769"/>
      <c r="AE72" s="2349"/>
      <c r="AF72" s="2350"/>
      <c r="AG72" s="1480"/>
      <c r="AH72" s="1541"/>
      <c r="AI72" s="1545"/>
    </row>
    <row r="73" spans="1:98">
      <c r="A73" s="1947" t="s">
        <v>1241</v>
      </c>
      <c r="B73" s="2353">
        <f t="shared" si="13"/>
        <v>0</v>
      </c>
      <c r="C73" s="1440"/>
      <c r="D73" s="1442"/>
      <c r="E73" s="1442"/>
      <c r="F73" s="2353">
        <f t="shared" si="14"/>
        <v>0</v>
      </c>
      <c r="G73" s="1440"/>
      <c r="H73" s="1442"/>
      <c r="I73" s="1442"/>
      <c r="J73" s="2353">
        <f t="shared" si="15"/>
        <v>0</v>
      </c>
      <c r="K73" s="1440"/>
      <c r="L73" s="1442"/>
      <c r="M73" s="1443"/>
      <c r="N73" s="2353">
        <f t="shared" si="16"/>
        <v>0</v>
      </c>
      <c r="O73" s="1441"/>
      <c r="P73" s="1447"/>
      <c r="Q73" s="1657"/>
      <c r="R73" s="1680"/>
      <c r="S73" s="1440"/>
      <c r="T73" s="1680"/>
      <c r="U73" s="1441"/>
      <c r="V73" s="1680"/>
      <c r="W73" s="1447"/>
      <c r="X73" s="1657"/>
      <c r="Y73" s="1680"/>
      <c r="Z73" s="1769"/>
      <c r="AA73" s="1769"/>
      <c r="AB73" s="1769"/>
      <c r="AC73" s="1769"/>
      <c r="AD73" s="1769"/>
      <c r="AE73" s="2349"/>
      <c r="AF73" s="2350"/>
      <c r="AG73" s="1480"/>
      <c r="AH73" s="1541"/>
      <c r="AI73" s="1545"/>
    </row>
    <row r="74" spans="1:98">
      <c r="A74" s="1947" t="s">
        <v>1242</v>
      </c>
      <c r="B74" s="2353">
        <f t="shared" si="13"/>
        <v>0</v>
      </c>
      <c r="C74" s="1440"/>
      <c r="D74" s="1442"/>
      <c r="E74" s="1442"/>
      <c r="F74" s="2353">
        <f t="shared" si="14"/>
        <v>0</v>
      </c>
      <c r="G74" s="1440"/>
      <c r="H74" s="1442"/>
      <c r="I74" s="1442"/>
      <c r="J74" s="2353">
        <f t="shared" si="15"/>
        <v>0</v>
      </c>
      <c r="K74" s="1440"/>
      <c r="L74" s="1442"/>
      <c r="M74" s="1443"/>
      <c r="N74" s="2353">
        <f t="shared" si="16"/>
        <v>0</v>
      </c>
      <c r="O74" s="1441"/>
      <c r="P74" s="1447"/>
      <c r="Q74" s="1657"/>
      <c r="R74" s="1680"/>
      <c r="S74" s="1440"/>
      <c r="T74" s="1680"/>
      <c r="U74" s="1441"/>
      <c r="V74" s="1680"/>
      <c r="W74" s="1447"/>
      <c r="X74" s="1657"/>
      <c r="Y74" s="1680"/>
      <c r="Z74" s="1769"/>
      <c r="AA74" s="1769"/>
      <c r="AB74" s="1769"/>
      <c r="AC74" s="1769"/>
      <c r="AD74" s="1769"/>
      <c r="AE74" s="2349"/>
      <c r="AF74" s="2350"/>
      <c r="AG74" s="1480"/>
      <c r="AH74" s="1541"/>
      <c r="AI74" s="1545"/>
    </row>
    <row r="75" spans="1:98">
      <c r="A75" s="1947" t="s">
        <v>1243</v>
      </c>
      <c r="B75" s="2353">
        <f t="shared" si="13"/>
        <v>0</v>
      </c>
      <c r="C75" s="1440"/>
      <c r="D75" s="1442"/>
      <c r="E75" s="1442"/>
      <c r="F75" s="2353">
        <f t="shared" si="14"/>
        <v>0</v>
      </c>
      <c r="G75" s="1440"/>
      <c r="H75" s="1442"/>
      <c r="I75" s="1442"/>
      <c r="J75" s="2353">
        <f t="shared" si="15"/>
        <v>0</v>
      </c>
      <c r="K75" s="1440"/>
      <c r="L75" s="1442"/>
      <c r="M75" s="1443"/>
      <c r="N75" s="2353">
        <f t="shared" si="16"/>
        <v>0</v>
      </c>
      <c r="O75" s="1441"/>
      <c r="P75" s="1447"/>
      <c r="Q75" s="1657"/>
      <c r="R75" s="1680"/>
      <c r="S75" s="1440"/>
      <c r="T75" s="1680"/>
      <c r="U75" s="1441"/>
      <c r="V75" s="1680"/>
      <c r="W75" s="1447"/>
      <c r="X75" s="1657"/>
      <c r="Y75" s="1680"/>
      <c r="Z75" s="1769"/>
      <c r="AA75" s="1769"/>
      <c r="AB75" s="1769"/>
      <c r="AC75" s="1769"/>
      <c r="AD75" s="1769"/>
      <c r="AE75" s="2349"/>
      <c r="AF75" s="2350"/>
      <c r="AG75" s="1480"/>
      <c r="AH75" s="1541"/>
      <c r="AI75" s="1545"/>
    </row>
    <row r="76" spans="1:98">
      <c r="A76" s="1947" t="s">
        <v>1323</v>
      </c>
      <c r="B76" s="2353">
        <f t="shared" si="13"/>
        <v>0</v>
      </c>
      <c r="C76" s="1440"/>
      <c r="D76" s="1442"/>
      <c r="E76" s="1442"/>
      <c r="F76" s="2353">
        <f t="shared" si="14"/>
        <v>0</v>
      </c>
      <c r="G76" s="1440"/>
      <c r="H76" s="1442"/>
      <c r="I76" s="1442"/>
      <c r="J76" s="2353">
        <f t="shared" si="15"/>
        <v>0</v>
      </c>
      <c r="K76" s="1440"/>
      <c r="L76" s="1442"/>
      <c r="M76" s="1443"/>
      <c r="N76" s="2353">
        <f t="shared" si="16"/>
        <v>0</v>
      </c>
      <c r="O76" s="1441"/>
      <c r="P76" s="1447"/>
      <c r="Q76" s="1657"/>
      <c r="R76" s="1680"/>
      <c r="S76" s="1440"/>
      <c r="T76" s="1680"/>
      <c r="U76" s="1441"/>
      <c r="V76" s="1680"/>
      <c r="W76" s="1447"/>
      <c r="X76" s="1657"/>
      <c r="Y76" s="1680"/>
      <c r="Z76" s="1769"/>
      <c r="AA76" s="1769"/>
      <c r="AB76" s="1769"/>
      <c r="AC76" s="1769"/>
      <c r="AD76" s="1769"/>
      <c r="AE76" s="2349"/>
      <c r="AF76" s="2350"/>
      <c r="AG76" s="1480"/>
      <c r="AH76" s="1541"/>
      <c r="AI76" s="1545"/>
    </row>
    <row r="77" spans="1:98">
      <c r="A77" s="2329" t="s">
        <v>1245</v>
      </c>
      <c r="B77" s="2353">
        <f t="shared" si="13"/>
        <v>0</v>
      </c>
      <c r="C77" s="1440"/>
      <c r="D77" s="1442"/>
      <c r="E77" s="1442"/>
      <c r="F77" s="2353">
        <f t="shared" si="14"/>
        <v>0</v>
      </c>
      <c r="G77" s="1440"/>
      <c r="H77" s="1442"/>
      <c r="I77" s="1442"/>
      <c r="J77" s="2353">
        <f t="shared" si="15"/>
        <v>0</v>
      </c>
      <c r="K77" s="1440"/>
      <c r="L77" s="1442"/>
      <c r="M77" s="1443"/>
      <c r="N77" s="2353">
        <f t="shared" si="16"/>
        <v>0</v>
      </c>
      <c r="O77" s="1441"/>
      <c r="P77" s="1447"/>
      <c r="Q77" s="1657"/>
      <c r="R77" s="1680"/>
      <c r="S77" s="1440"/>
      <c r="T77" s="1680"/>
      <c r="U77" s="1441"/>
      <c r="V77" s="1680"/>
      <c r="W77" s="1447"/>
      <c r="X77" s="1657"/>
      <c r="Y77" s="1680"/>
      <c r="Z77" s="1769"/>
      <c r="AA77" s="1769"/>
      <c r="AB77" s="1769"/>
      <c r="AC77" s="1769"/>
      <c r="AD77" s="1769"/>
      <c r="AE77" s="2349"/>
      <c r="AF77" s="2350"/>
      <c r="AG77" s="1480"/>
      <c r="AH77" s="1541"/>
      <c r="AI77" s="1545"/>
    </row>
    <row r="78" spans="1:98">
      <c r="A78" s="1947" t="s">
        <v>1246</v>
      </c>
      <c r="B78" s="2353">
        <f t="shared" si="13"/>
        <v>0</v>
      </c>
      <c r="C78" s="1440"/>
      <c r="D78" s="1442"/>
      <c r="E78" s="1442"/>
      <c r="F78" s="2353">
        <f t="shared" si="14"/>
        <v>0</v>
      </c>
      <c r="G78" s="1440"/>
      <c r="H78" s="1442"/>
      <c r="I78" s="1442"/>
      <c r="J78" s="2353">
        <f t="shared" si="15"/>
        <v>0</v>
      </c>
      <c r="K78" s="1440"/>
      <c r="L78" s="1442"/>
      <c r="M78" s="1443"/>
      <c r="N78" s="2353">
        <f t="shared" si="16"/>
        <v>0</v>
      </c>
      <c r="O78" s="1441"/>
      <c r="P78" s="1447"/>
      <c r="Q78" s="1657"/>
      <c r="R78" s="1680"/>
      <c r="S78" s="1440"/>
      <c r="T78" s="1680"/>
      <c r="U78" s="1441"/>
      <c r="V78" s="1680"/>
      <c r="W78" s="1447"/>
      <c r="X78" s="1657"/>
      <c r="Y78" s="1680"/>
      <c r="Z78" s="1769"/>
      <c r="AA78" s="1769"/>
      <c r="AB78" s="1769"/>
      <c r="AC78" s="1769"/>
      <c r="AD78" s="1769"/>
      <c r="AE78" s="2349"/>
      <c r="AF78" s="2350"/>
      <c r="AG78" s="1480"/>
      <c r="AH78" s="1541"/>
      <c r="AI78" s="1545"/>
    </row>
    <row r="79" spans="1:98">
      <c r="A79" s="1947" t="s">
        <v>1247</v>
      </c>
      <c r="B79" s="2353">
        <f t="shared" si="13"/>
        <v>0</v>
      </c>
      <c r="C79" s="1440"/>
      <c r="D79" s="1442"/>
      <c r="E79" s="1442"/>
      <c r="F79" s="2353">
        <f t="shared" si="14"/>
        <v>0</v>
      </c>
      <c r="G79" s="1440"/>
      <c r="H79" s="1442"/>
      <c r="I79" s="1442"/>
      <c r="J79" s="2353">
        <f t="shared" si="15"/>
        <v>0</v>
      </c>
      <c r="K79" s="1440"/>
      <c r="L79" s="1442"/>
      <c r="M79" s="1443"/>
      <c r="N79" s="2353">
        <f t="shared" si="16"/>
        <v>0</v>
      </c>
      <c r="O79" s="1441"/>
      <c r="P79" s="1447"/>
      <c r="Q79" s="1657"/>
      <c r="R79" s="1680"/>
      <c r="S79" s="1440"/>
      <c r="T79" s="1680"/>
      <c r="U79" s="1441"/>
      <c r="V79" s="1680"/>
      <c r="W79" s="1447"/>
      <c r="X79" s="1657"/>
      <c r="Y79" s="1680"/>
      <c r="Z79" s="1769"/>
      <c r="AA79" s="1769"/>
      <c r="AB79" s="1769"/>
      <c r="AC79" s="1769"/>
      <c r="AD79" s="1769"/>
      <c r="AE79" s="2349"/>
      <c r="AF79" s="2350"/>
      <c r="AG79" s="1480"/>
      <c r="AH79" s="1541"/>
      <c r="AI79" s="1545"/>
    </row>
    <row r="80" spans="1:98">
      <c r="A80" s="1947" t="s">
        <v>1248</v>
      </c>
      <c r="B80" s="2353">
        <f t="shared" si="13"/>
        <v>0</v>
      </c>
      <c r="C80" s="1440"/>
      <c r="D80" s="1442"/>
      <c r="E80" s="1442"/>
      <c r="F80" s="2353">
        <f t="shared" si="14"/>
        <v>0</v>
      </c>
      <c r="G80" s="1440"/>
      <c r="H80" s="1442"/>
      <c r="I80" s="1442"/>
      <c r="J80" s="2353">
        <f t="shared" si="15"/>
        <v>0</v>
      </c>
      <c r="K80" s="1440"/>
      <c r="L80" s="1442"/>
      <c r="M80" s="1443"/>
      <c r="N80" s="2353">
        <f t="shared" si="16"/>
        <v>0</v>
      </c>
      <c r="O80" s="1441"/>
      <c r="P80" s="1447"/>
      <c r="Q80" s="1657"/>
      <c r="R80" s="1680"/>
      <c r="S80" s="1440"/>
      <c r="T80" s="1680"/>
      <c r="U80" s="1441"/>
      <c r="V80" s="1680"/>
      <c r="W80" s="1447"/>
      <c r="X80" s="1657"/>
      <c r="Y80" s="1680"/>
      <c r="Z80" s="1769"/>
      <c r="AA80" s="1769"/>
      <c r="AB80" s="1769"/>
      <c r="AC80" s="1769"/>
      <c r="AD80" s="1769"/>
      <c r="AE80" s="2349"/>
      <c r="AF80" s="2350"/>
      <c r="AG80" s="1480"/>
      <c r="AH80" s="1541"/>
      <c r="AI80" s="1545"/>
    </row>
    <row r="81" spans="1:35">
      <c r="A81" s="1947" t="s">
        <v>1249</v>
      </c>
      <c r="B81" s="2353">
        <f t="shared" si="13"/>
        <v>0</v>
      </c>
      <c r="C81" s="1440"/>
      <c r="D81" s="1442"/>
      <c r="E81" s="1442"/>
      <c r="F81" s="2353">
        <f t="shared" si="14"/>
        <v>0</v>
      </c>
      <c r="G81" s="1440"/>
      <c r="H81" s="1442"/>
      <c r="I81" s="1442"/>
      <c r="J81" s="2353">
        <f t="shared" si="15"/>
        <v>0</v>
      </c>
      <c r="K81" s="1440"/>
      <c r="L81" s="1442"/>
      <c r="M81" s="1443"/>
      <c r="N81" s="2353">
        <f t="shared" si="16"/>
        <v>0</v>
      </c>
      <c r="O81" s="1441"/>
      <c r="P81" s="1447"/>
      <c r="Q81" s="1657"/>
      <c r="R81" s="1680"/>
      <c r="S81" s="1440"/>
      <c r="T81" s="1680"/>
      <c r="U81" s="1441"/>
      <c r="V81" s="1680"/>
      <c r="W81" s="1447"/>
      <c r="X81" s="1657"/>
      <c r="Y81" s="1680"/>
      <c r="Z81" s="1769"/>
      <c r="AA81" s="1769"/>
      <c r="AB81" s="1769"/>
      <c r="AC81" s="1769"/>
      <c r="AD81" s="1769"/>
      <c r="AE81" s="2349"/>
      <c r="AF81" s="2350"/>
      <c r="AG81" s="1480"/>
      <c r="AH81" s="1541"/>
      <c r="AI81" s="1545"/>
    </row>
    <row r="82" spans="1:35">
      <c r="A82" s="1947" t="s">
        <v>1250</v>
      </c>
      <c r="B82" s="2353">
        <f t="shared" si="13"/>
        <v>0</v>
      </c>
      <c r="C82" s="1440"/>
      <c r="D82" s="1442"/>
      <c r="E82" s="1442"/>
      <c r="F82" s="2353">
        <f t="shared" si="14"/>
        <v>0</v>
      </c>
      <c r="G82" s="1440"/>
      <c r="H82" s="1442"/>
      <c r="I82" s="1442"/>
      <c r="J82" s="2353">
        <f t="shared" si="15"/>
        <v>0</v>
      </c>
      <c r="K82" s="1440"/>
      <c r="L82" s="1442"/>
      <c r="M82" s="1443"/>
      <c r="N82" s="2353">
        <f t="shared" si="16"/>
        <v>0</v>
      </c>
      <c r="O82" s="1441"/>
      <c r="P82" s="1447"/>
      <c r="Q82" s="1657"/>
      <c r="R82" s="1680"/>
      <c r="S82" s="1440"/>
      <c r="T82" s="1680"/>
      <c r="U82" s="1441"/>
      <c r="V82" s="1680"/>
      <c r="W82" s="1447"/>
      <c r="X82" s="1657"/>
      <c r="Y82" s="1680"/>
      <c r="Z82" s="1769"/>
      <c r="AA82" s="1769"/>
      <c r="AB82" s="1769"/>
      <c r="AC82" s="1769"/>
      <c r="AD82" s="1769"/>
      <c r="AE82" s="2349"/>
      <c r="AF82" s="2350"/>
      <c r="AG82" s="1480"/>
      <c r="AH82" s="1541"/>
      <c r="AI82" s="1545"/>
    </row>
    <row r="83" spans="1:35">
      <c r="A83" s="1947" t="s">
        <v>1251</v>
      </c>
      <c r="B83" s="2353">
        <f t="shared" si="13"/>
        <v>0</v>
      </c>
      <c r="C83" s="1440"/>
      <c r="D83" s="1442"/>
      <c r="E83" s="1442"/>
      <c r="F83" s="2353">
        <f t="shared" si="14"/>
        <v>0</v>
      </c>
      <c r="G83" s="1440"/>
      <c r="H83" s="1442"/>
      <c r="I83" s="1442"/>
      <c r="J83" s="2353">
        <f t="shared" si="15"/>
        <v>0</v>
      </c>
      <c r="K83" s="1440"/>
      <c r="L83" s="1442"/>
      <c r="M83" s="1443"/>
      <c r="N83" s="2353">
        <f t="shared" si="16"/>
        <v>0</v>
      </c>
      <c r="O83" s="1441"/>
      <c r="P83" s="1447"/>
      <c r="Q83" s="1657"/>
      <c r="R83" s="1680"/>
      <c r="S83" s="1440"/>
      <c r="T83" s="1680"/>
      <c r="U83" s="1441"/>
      <c r="V83" s="1680"/>
      <c r="W83" s="1447"/>
      <c r="X83" s="1657"/>
      <c r="Y83" s="1680"/>
      <c r="Z83" s="1769"/>
      <c r="AA83" s="1769"/>
      <c r="AB83" s="1769"/>
      <c r="AC83" s="1769"/>
      <c r="AD83" s="1769"/>
      <c r="AE83" s="2349"/>
      <c r="AF83" s="2350"/>
      <c r="AG83" s="1480"/>
      <c r="AH83" s="1541"/>
      <c r="AI83" s="1545"/>
    </row>
    <row r="84" spans="1:35">
      <c r="A84" s="2328" t="s">
        <v>1252</v>
      </c>
      <c r="B84" s="2353">
        <f t="shared" si="13"/>
        <v>0</v>
      </c>
      <c r="C84" s="1440"/>
      <c r="D84" s="1442"/>
      <c r="E84" s="1442"/>
      <c r="F84" s="2353">
        <f t="shared" si="14"/>
        <v>0</v>
      </c>
      <c r="G84" s="1440"/>
      <c r="H84" s="1442"/>
      <c r="I84" s="1442"/>
      <c r="J84" s="2353">
        <f t="shared" si="15"/>
        <v>0</v>
      </c>
      <c r="K84" s="1440"/>
      <c r="L84" s="1442"/>
      <c r="M84" s="1443"/>
      <c r="N84" s="2353">
        <f t="shared" si="16"/>
        <v>0</v>
      </c>
      <c r="O84" s="1441"/>
      <c r="P84" s="1447"/>
      <c r="Q84" s="1657"/>
      <c r="R84" s="1680"/>
      <c r="S84" s="1440"/>
      <c r="T84" s="1680"/>
      <c r="U84" s="1441"/>
      <c r="V84" s="1680"/>
      <c r="W84" s="1447"/>
      <c r="X84" s="1657"/>
      <c r="Y84" s="1680"/>
      <c r="Z84" s="1769"/>
      <c r="AA84" s="1769"/>
      <c r="AB84" s="1769"/>
      <c r="AC84" s="1769"/>
      <c r="AD84" s="1769"/>
      <c r="AE84" s="2349"/>
      <c r="AF84" s="2350"/>
      <c r="AG84" s="1480"/>
      <c r="AH84" s="1541"/>
      <c r="AI84" s="1545"/>
    </row>
    <row r="85" spans="1:35">
      <c r="A85" s="1947" t="s">
        <v>1253</v>
      </c>
      <c r="B85" s="2353">
        <f t="shared" si="13"/>
        <v>0</v>
      </c>
      <c r="C85" s="1440"/>
      <c r="D85" s="1442"/>
      <c r="E85" s="1442"/>
      <c r="F85" s="2353">
        <f t="shared" si="14"/>
        <v>0</v>
      </c>
      <c r="G85" s="1440"/>
      <c r="H85" s="1442"/>
      <c r="I85" s="1442"/>
      <c r="J85" s="2353">
        <f t="shared" si="15"/>
        <v>0</v>
      </c>
      <c r="K85" s="1440"/>
      <c r="L85" s="1442"/>
      <c r="M85" s="1443"/>
      <c r="N85" s="2353">
        <f t="shared" si="16"/>
        <v>0</v>
      </c>
      <c r="O85" s="1441"/>
      <c r="P85" s="1447"/>
      <c r="Q85" s="1657"/>
      <c r="R85" s="1680"/>
      <c r="S85" s="1440"/>
      <c r="T85" s="1680"/>
      <c r="U85" s="1441"/>
      <c r="V85" s="1680"/>
      <c r="W85" s="1447"/>
      <c r="X85" s="1657"/>
      <c r="Y85" s="1680"/>
      <c r="Z85" s="1769"/>
      <c r="AA85" s="1769"/>
      <c r="AB85" s="1769"/>
      <c r="AC85" s="1769"/>
      <c r="AD85" s="1769"/>
      <c r="AE85" s="2349"/>
      <c r="AF85" s="2350"/>
      <c r="AG85" s="1480"/>
      <c r="AH85" s="1541"/>
      <c r="AI85" s="1545"/>
    </row>
    <row r="86" spans="1:35">
      <c r="A86" s="1947" t="s">
        <v>1254</v>
      </c>
      <c r="B86" s="2353">
        <f t="shared" si="13"/>
        <v>0</v>
      </c>
      <c r="C86" s="1440"/>
      <c r="D86" s="1442"/>
      <c r="E86" s="1442"/>
      <c r="F86" s="2353">
        <f t="shared" si="14"/>
        <v>0</v>
      </c>
      <c r="G86" s="1440"/>
      <c r="H86" s="1442"/>
      <c r="I86" s="1442"/>
      <c r="J86" s="2353">
        <f t="shared" si="15"/>
        <v>0</v>
      </c>
      <c r="K86" s="1440"/>
      <c r="L86" s="1442"/>
      <c r="M86" s="1443"/>
      <c r="N86" s="2353">
        <f t="shared" si="16"/>
        <v>0</v>
      </c>
      <c r="O86" s="1441"/>
      <c r="P86" s="1447"/>
      <c r="Q86" s="1657"/>
      <c r="R86" s="1680"/>
      <c r="S86" s="1440"/>
      <c r="T86" s="1680"/>
      <c r="U86" s="1441"/>
      <c r="V86" s="1680"/>
      <c r="W86" s="1447"/>
      <c r="X86" s="1657"/>
      <c r="Y86" s="1680"/>
      <c r="Z86" s="1769"/>
      <c r="AA86" s="1769"/>
      <c r="AB86" s="1769"/>
      <c r="AC86" s="1769"/>
      <c r="AD86" s="1769"/>
      <c r="AE86" s="2349"/>
      <c r="AF86" s="2350"/>
      <c r="AG86" s="1480"/>
      <c r="AH86" s="1541"/>
      <c r="AI86" s="1545"/>
    </row>
    <row r="87" spans="1:35">
      <c r="A87" s="1947" t="s">
        <v>1255</v>
      </c>
      <c r="B87" s="2353">
        <f t="shared" si="13"/>
        <v>0</v>
      </c>
      <c r="C87" s="1440"/>
      <c r="D87" s="1442"/>
      <c r="E87" s="1442"/>
      <c r="F87" s="2353">
        <f t="shared" si="14"/>
        <v>0</v>
      </c>
      <c r="G87" s="1440"/>
      <c r="H87" s="1442"/>
      <c r="I87" s="1442"/>
      <c r="J87" s="2353">
        <f t="shared" si="15"/>
        <v>0</v>
      </c>
      <c r="K87" s="1440"/>
      <c r="L87" s="1442"/>
      <c r="M87" s="1443"/>
      <c r="N87" s="2353">
        <f t="shared" si="16"/>
        <v>0</v>
      </c>
      <c r="O87" s="1441"/>
      <c r="P87" s="1447"/>
      <c r="Q87" s="1657"/>
      <c r="R87" s="1680"/>
      <c r="S87" s="1440"/>
      <c r="T87" s="1680"/>
      <c r="U87" s="1441"/>
      <c r="V87" s="1680"/>
      <c r="W87" s="1447"/>
      <c r="X87" s="1657"/>
      <c r="Y87" s="1680"/>
      <c r="Z87" s="1769"/>
      <c r="AA87" s="1769"/>
      <c r="AB87" s="1769"/>
      <c r="AC87" s="1769"/>
      <c r="AD87" s="1769"/>
      <c r="AE87" s="2349"/>
      <c r="AF87" s="2350"/>
      <c r="AG87" s="1480"/>
      <c r="AH87" s="1541"/>
      <c r="AI87" s="1545"/>
    </row>
    <row r="88" spans="1:35">
      <c r="A88" s="2329" t="s">
        <v>1256</v>
      </c>
      <c r="B88" s="2353">
        <f t="shared" si="13"/>
        <v>0</v>
      </c>
      <c r="C88" s="1440"/>
      <c r="D88" s="1442"/>
      <c r="E88" s="1442"/>
      <c r="F88" s="2353">
        <f t="shared" si="14"/>
        <v>0</v>
      </c>
      <c r="G88" s="1440"/>
      <c r="H88" s="1442"/>
      <c r="I88" s="1442"/>
      <c r="J88" s="2353">
        <f t="shared" si="15"/>
        <v>0</v>
      </c>
      <c r="K88" s="1440"/>
      <c r="L88" s="1442"/>
      <c r="M88" s="1443"/>
      <c r="N88" s="2353">
        <f t="shared" si="16"/>
        <v>0</v>
      </c>
      <c r="O88" s="1441"/>
      <c r="P88" s="1447"/>
      <c r="Q88" s="1657"/>
      <c r="R88" s="1680"/>
      <c r="S88" s="1440"/>
      <c r="T88" s="1680"/>
      <c r="U88" s="1441"/>
      <c r="V88" s="1680"/>
      <c r="W88" s="1447"/>
      <c r="X88" s="1657"/>
      <c r="Y88" s="1680"/>
      <c r="Z88" s="1769"/>
      <c r="AA88" s="1769"/>
      <c r="AB88" s="1769"/>
      <c r="AC88" s="1769"/>
      <c r="AD88" s="1769"/>
      <c r="AE88" s="2349"/>
      <c r="AF88" s="2350"/>
      <c r="AG88" s="1480"/>
      <c r="AH88" s="1541"/>
      <c r="AI88" s="1545"/>
    </row>
    <row r="89" spans="1:35">
      <c r="A89" s="1947" t="s">
        <v>1324</v>
      </c>
      <c r="B89" s="2353">
        <f t="shared" si="13"/>
        <v>0</v>
      </c>
      <c r="C89" s="1440"/>
      <c r="D89" s="1442"/>
      <c r="E89" s="1442"/>
      <c r="F89" s="2353">
        <f t="shared" si="14"/>
        <v>0</v>
      </c>
      <c r="G89" s="1440"/>
      <c r="H89" s="1442"/>
      <c r="I89" s="1442"/>
      <c r="J89" s="2353">
        <f t="shared" si="15"/>
        <v>0</v>
      </c>
      <c r="K89" s="1440"/>
      <c r="L89" s="1442"/>
      <c r="M89" s="1443"/>
      <c r="N89" s="2353">
        <f t="shared" si="16"/>
        <v>0</v>
      </c>
      <c r="O89" s="1441"/>
      <c r="P89" s="1447"/>
      <c r="Q89" s="1657"/>
      <c r="R89" s="1680"/>
      <c r="S89" s="1440"/>
      <c r="T89" s="1680"/>
      <c r="U89" s="1441"/>
      <c r="V89" s="1680"/>
      <c r="W89" s="1447"/>
      <c r="X89" s="1657"/>
      <c r="Y89" s="1680"/>
      <c r="Z89" s="1769"/>
      <c r="AA89" s="1769"/>
      <c r="AB89" s="1769"/>
      <c r="AC89" s="1769"/>
      <c r="AD89" s="1769"/>
      <c r="AE89" s="2349"/>
      <c r="AF89" s="2350"/>
      <c r="AG89" s="1480"/>
      <c r="AH89" s="1541"/>
      <c r="AI89" s="1545"/>
    </row>
    <row r="90" spans="1:35">
      <c r="A90" s="1947" t="s">
        <v>1258</v>
      </c>
      <c r="B90" s="2353">
        <f t="shared" si="13"/>
        <v>0</v>
      </c>
      <c r="C90" s="1440"/>
      <c r="D90" s="1442"/>
      <c r="E90" s="1442"/>
      <c r="F90" s="2353">
        <f t="shared" si="14"/>
        <v>0</v>
      </c>
      <c r="G90" s="1440"/>
      <c r="H90" s="1442"/>
      <c r="I90" s="1442"/>
      <c r="J90" s="2353">
        <f t="shared" si="15"/>
        <v>0</v>
      </c>
      <c r="K90" s="1440"/>
      <c r="L90" s="1442"/>
      <c r="M90" s="1443"/>
      <c r="N90" s="2353">
        <f t="shared" si="16"/>
        <v>0</v>
      </c>
      <c r="O90" s="1441"/>
      <c r="P90" s="1447"/>
      <c r="Q90" s="1657"/>
      <c r="R90" s="1680"/>
      <c r="S90" s="1440"/>
      <c r="T90" s="1680"/>
      <c r="U90" s="1441"/>
      <c r="V90" s="1680"/>
      <c r="W90" s="1447"/>
      <c r="X90" s="1657"/>
      <c r="Y90" s="1680"/>
      <c r="Z90" s="1769"/>
      <c r="AA90" s="1769"/>
      <c r="AB90" s="1769"/>
      <c r="AC90" s="1769"/>
      <c r="AD90" s="1769"/>
      <c r="AE90" s="2349"/>
      <c r="AF90" s="2350"/>
      <c r="AG90" s="1480"/>
      <c r="AH90" s="1541"/>
      <c r="AI90" s="1545"/>
    </row>
    <row r="91" spans="1:35">
      <c r="A91" s="1947" t="s">
        <v>1259</v>
      </c>
      <c r="B91" s="2353">
        <f t="shared" si="13"/>
        <v>0</v>
      </c>
      <c r="C91" s="1440"/>
      <c r="D91" s="1442"/>
      <c r="E91" s="1442"/>
      <c r="F91" s="2353">
        <f t="shared" si="14"/>
        <v>0</v>
      </c>
      <c r="G91" s="1440"/>
      <c r="H91" s="1442"/>
      <c r="I91" s="1442"/>
      <c r="J91" s="2353">
        <f t="shared" si="15"/>
        <v>0</v>
      </c>
      <c r="K91" s="1440"/>
      <c r="L91" s="1442"/>
      <c r="M91" s="1443"/>
      <c r="N91" s="2353">
        <f t="shared" si="16"/>
        <v>0</v>
      </c>
      <c r="O91" s="1441"/>
      <c r="P91" s="1447"/>
      <c r="Q91" s="1657"/>
      <c r="R91" s="1680"/>
      <c r="S91" s="1440"/>
      <c r="T91" s="1680"/>
      <c r="U91" s="1441"/>
      <c r="V91" s="1680"/>
      <c r="W91" s="1447"/>
      <c r="X91" s="1657"/>
      <c r="Y91" s="1680"/>
      <c r="Z91" s="1769"/>
      <c r="AA91" s="1769"/>
      <c r="AB91" s="1769"/>
      <c r="AC91" s="1769"/>
      <c r="AD91" s="1769"/>
      <c r="AE91" s="2349"/>
      <c r="AF91" s="2350"/>
      <c r="AG91" s="1480"/>
      <c r="AH91" s="1541"/>
      <c r="AI91" s="1545"/>
    </row>
    <row r="92" spans="1:35">
      <c r="A92" s="1947" t="s">
        <v>1260</v>
      </c>
      <c r="B92" s="2353">
        <f t="shared" si="13"/>
        <v>0</v>
      </c>
      <c r="C92" s="1440"/>
      <c r="D92" s="1442"/>
      <c r="E92" s="1442"/>
      <c r="F92" s="2353">
        <f t="shared" si="14"/>
        <v>0</v>
      </c>
      <c r="G92" s="1440"/>
      <c r="H92" s="1442"/>
      <c r="I92" s="1442"/>
      <c r="J92" s="2353">
        <f t="shared" si="15"/>
        <v>0</v>
      </c>
      <c r="K92" s="1440"/>
      <c r="L92" s="1442"/>
      <c r="M92" s="1443"/>
      <c r="N92" s="2353">
        <f t="shared" si="16"/>
        <v>0</v>
      </c>
      <c r="O92" s="1441"/>
      <c r="P92" s="1447"/>
      <c r="Q92" s="1657"/>
      <c r="R92" s="1680"/>
      <c r="S92" s="1440"/>
      <c r="T92" s="1680"/>
      <c r="U92" s="1441"/>
      <c r="V92" s="1680"/>
      <c r="W92" s="1447"/>
      <c r="X92" s="1657"/>
      <c r="Y92" s="1680"/>
      <c r="Z92" s="1769"/>
      <c r="AA92" s="1769"/>
      <c r="AB92" s="1769"/>
      <c r="AC92" s="1769"/>
      <c r="AD92" s="1769"/>
      <c r="AE92" s="2349"/>
      <c r="AF92" s="2350"/>
      <c r="AG92" s="1480"/>
      <c r="AH92" s="1541"/>
      <c r="AI92" s="1545"/>
    </row>
    <row r="93" spans="1:35">
      <c r="A93" s="1947" t="s">
        <v>1261</v>
      </c>
      <c r="B93" s="2353">
        <f t="shared" si="13"/>
        <v>0</v>
      </c>
      <c r="C93" s="1440"/>
      <c r="D93" s="1442"/>
      <c r="E93" s="1442"/>
      <c r="F93" s="2353">
        <f t="shared" si="14"/>
        <v>0</v>
      </c>
      <c r="G93" s="1440"/>
      <c r="H93" s="1442"/>
      <c r="I93" s="1442"/>
      <c r="J93" s="2353">
        <f t="shared" si="15"/>
        <v>0</v>
      </c>
      <c r="K93" s="1440"/>
      <c r="L93" s="1442"/>
      <c r="M93" s="1443"/>
      <c r="N93" s="2353">
        <f t="shared" si="16"/>
        <v>0</v>
      </c>
      <c r="O93" s="1441"/>
      <c r="P93" s="1447"/>
      <c r="Q93" s="1657"/>
      <c r="R93" s="1680"/>
      <c r="S93" s="1440"/>
      <c r="T93" s="1680"/>
      <c r="U93" s="1441"/>
      <c r="V93" s="1680"/>
      <c r="W93" s="1447"/>
      <c r="X93" s="1657"/>
      <c r="Y93" s="1680"/>
      <c r="Z93" s="1769"/>
      <c r="AA93" s="1769"/>
      <c r="AB93" s="1769"/>
      <c r="AC93" s="1769"/>
      <c r="AD93" s="1769"/>
      <c r="AE93" s="2349"/>
      <c r="AF93" s="2350"/>
      <c r="AG93" s="1480"/>
      <c r="AH93" s="1541"/>
      <c r="AI93" s="1545"/>
    </row>
    <row r="94" spans="1:35">
      <c r="A94" s="1947" t="s">
        <v>1262</v>
      </c>
      <c r="B94" s="2353">
        <f t="shared" si="13"/>
        <v>0</v>
      </c>
      <c r="C94" s="1440"/>
      <c r="D94" s="1442"/>
      <c r="E94" s="1442"/>
      <c r="F94" s="2353">
        <f t="shared" si="14"/>
        <v>0</v>
      </c>
      <c r="G94" s="1440"/>
      <c r="H94" s="1442"/>
      <c r="I94" s="1442"/>
      <c r="J94" s="2353">
        <f t="shared" si="15"/>
        <v>0</v>
      </c>
      <c r="K94" s="1440"/>
      <c r="L94" s="1442"/>
      <c r="M94" s="1443"/>
      <c r="N94" s="2353">
        <f t="shared" si="16"/>
        <v>0</v>
      </c>
      <c r="O94" s="1441"/>
      <c r="P94" s="1447"/>
      <c r="Q94" s="1657"/>
      <c r="R94" s="1680"/>
      <c r="S94" s="1440"/>
      <c r="T94" s="1680"/>
      <c r="U94" s="1441"/>
      <c r="V94" s="1680"/>
      <c r="W94" s="1447"/>
      <c r="X94" s="1657"/>
      <c r="Y94" s="1680"/>
      <c r="Z94" s="1769"/>
      <c r="AA94" s="1769"/>
      <c r="AB94" s="1769"/>
      <c r="AC94" s="1769"/>
      <c r="AD94" s="1769"/>
      <c r="AE94" s="2349"/>
      <c r="AF94" s="2350"/>
      <c r="AG94" s="1480"/>
      <c r="AH94" s="1541"/>
      <c r="AI94" s="1545"/>
    </row>
    <row r="95" spans="1:35">
      <c r="A95" s="1947" t="s">
        <v>1263</v>
      </c>
      <c r="B95" s="2353">
        <f t="shared" si="13"/>
        <v>0</v>
      </c>
      <c r="C95" s="1440"/>
      <c r="D95" s="1442"/>
      <c r="E95" s="1442"/>
      <c r="F95" s="2353">
        <f t="shared" si="14"/>
        <v>0</v>
      </c>
      <c r="G95" s="1440"/>
      <c r="H95" s="1442"/>
      <c r="I95" s="1442"/>
      <c r="J95" s="2353">
        <f t="shared" si="15"/>
        <v>0</v>
      </c>
      <c r="K95" s="1440"/>
      <c r="L95" s="1442"/>
      <c r="M95" s="1443"/>
      <c r="N95" s="2353">
        <f t="shared" si="16"/>
        <v>0</v>
      </c>
      <c r="O95" s="1441"/>
      <c r="P95" s="1447"/>
      <c r="Q95" s="1657"/>
      <c r="R95" s="1680"/>
      <c r="S95" s="1440"/>
      <c r="T95" s="1680"/>
      <c r="U95" s="1441"/>
      <c r="V95" s="1680"/>
      <c r="W95" s="1447"/>
      <c r="X95" s="1657"/>
      <c r="Y95" s="1680"/>
      <c r="Z95" s="1769"/>
      <c r="AA95" s="1769"/>
      <c r="AB95" s="1769"/>
      <c r="AC95" s="1769"/>
      <c r="AD95" s="1769"/>
      <c r="AE95" s="2349"/>
      <c r="AF95" s="2350"/>
      <c r="AG95" s="1480"/>
      <c r="AH95" s="1541"/>
      <c r="AI95" s="1545"/>
    </row>
    <row r="96" spans="1:35">
      <c r="A96" s="2329" t="s">
        <v>1264</v>
      </c>
      <c r="B96" s="2353">
        <f t="shared" si="13"/>
        <v>0</v>
      </c>
      <c r="C96" s="1440"/>
      <c r="D96" s="1442"/>
      <c r="E96" s="1442"/>
      <c r="F96" s="2353">
        <f t="shared" si="14"/>
        <v>0</v>
      </c>
      <c r="G96" s="1440"/>
      <c r="H96" s="1442"/>
      <c r="I96" s="1442"/>
      <c r="J96" s="2353">
        <f t="shared" si="15"/>
        <v>0</v>
      </c>
      <c r="K96" s="1440"/>
      <c r="L96" s="1442"/>
      <c r="M96" s="1443"/>
      <c r="N96" s="2353">
        <f t="shared" si="16"/>
        <v>0</v>
      </c>
      <c r="O96" s="1441"/>
      <c r="P96" s="1447"/>
      <c r="Q96" s="1657"/>
      <c r="R96" s="1680"/>
      <c r="S96" s="1440"/>
      <c r="T96" s="1680"/>
      <c r="U96" s="1441"/>
      <c r="V96" s="1680"/>
      <c r="W96" s="1447"/>
      <c r="X96" s="1657"/>
      <c r="Y96" s="1680"/>
      <c r="Z96" s="1769"/>
      <c r="AA96" s="1769"/>
      <c r="AB96" s="1769"/>
      <c r="AC96" s="1769"/>
      <c r="AD96" s="1769"/>
      <c r="AE96" s="2349"/>
      <c r="AF96" s="2350"/>
      <c r="AG96" s="1480"/>
      <c r="AH96" s="1541"/>
      <c r="AI96" s="1545"/>
    </row>
    <row r="97" spans="1:35">
      <c r="A97" s="1947" t="s">
        <v>1265</v>
      </c>
      <c r="B97" s="2353">
        <f t="shared" si="13"/>
        <v>0</v>
      </c>
      <c r="C97" s="1440"/>
      <c r="D97" s="1442"/>
      <c r="E97" s="1442"/>
      <c r="F97" s="2353">
        <f t="shared" si="14"/>
        <v>0</v>
      </c>
      <c r="G97" s="1440"/>
      <c r="H97" s="1442"/>
      <c r="I97" s="1442"/>
      <c r="J97" s="2353">
        <f t="shared" si="15"/>
        <v>0</v>
      </c>
      <c r="K97" s="1440"/>
      <c r="L97" s="1442"/>
      <c r="M97" s="1443"/>
      <c r="N97" s="2353">
        <f t="shared" si="16"/>
        <v>0</v>
      </c>
      <c r="O97" s="1441"/>
      <c r="P97" s="1447"/>
      <c r="Q97" s="1657"/>
      <c r="R97" s="1680"/>
      <c r="S97" s="1440"/>
      <c r="T97" s="1680"/>
      <c r="U97" s="1441"/>
      <c r="V97" s="1680"/>
      <c r="W97" s="1447"/>
      <c r="X97" s="1657"/>
      <c r="Y97" s="1680"/>
      <c r="Z97" s="1769"/>
      <c r="AA97" s="1769"/>
      <c r="AB97" s="1769"/>
      <c r="AC97" s="1769"/>
      <c r="AD97" s="1769"/>
      <c r="AE97" s="2349"/>
      <c r="AF97" s="2350"/>
      <c r="AG97" s="1480"/>
      <c r="AH97" s="1541"/>
      <c r="AI97" s="1545"/>
    </row>
    <row r="98" spans="1:35">
      <c r="A98" s="1947" t="s">
        <v>1266</v>
      </c>
      <c r="B98" s="2354">
        <f t="shared" si="13"/>
        <v>0</v>
      </c>
      <c r="C98" s="1517"/>
      <c r="D98" s="1518"/>
      <c r="E98" s="1518"/>
      <c r="F98" s="2354">
        <f t="shared" si="14"/>
        <v>0</v>
      </c>
      <c r="G98" s="1517"/>
      <c r="H98" s="1518"/>
      <c r="I98" s="1518"/>
      <c r="J98" s="2354">
        <f t="shared" si="15"/>
        <v>0</v>
      </c>
      <c r="K98" s="1517"/>
      <c r="L98" s="1518"/>
      <c r="M98" s="2355"/>
      <c r="N98" s="2353">
        <f t="shared" si="16"/>
        <v>0</v>
      </c>
      <c r="O98" s="1881"/>
      <c r="P98" s="1770"/>
      <c r="Q98" s="1657"/>
      <c r="R98" s="1680"/>
      <c r="S98" s="1440"/>
      <c r="T98" s="1680"/>
      <c r="U98" s="1441"/>
      <c r="V98" s="1680"/>
      <c r="W98" s="1447"/>
      <c r="X98" s="1657"/>
      <c r="Y98" s="1680"/>
      <c r="Z98" s="1769"/>
      <c r="AA98" s="1769"/>
      <c r="AB98" s="1769"/>
      <c r="AC98" s="1769"/>
      <c r="AD98" s="1769"/>
      <c r="AE98" s="2349"/>
      <c r="AF98" s="2350"/>
      <c r="AG98" s="1480"/>
      <c r="AH98" s="1541"/>
      <c r="AI98" s="1545"/>
    </row>
    <row r="99" spans="1:35">
      <c r="A99" s="1947" t="s">
        <v>1267</v>
      </c>
      <c r="B99" s="2353">
        <f t="shared" si="13"/>
        <v>0</v>
      </c>
      <c r="C99" s="1440"/>
      <c r="D99" s="1442"/>
      <c r="E99" s="1442"/>
      <c r="F99" s="2353">
        <f t="shared" si="14"/>
        <v>0</v>
      </c>
      <c r="G99" s="1440"/>
      <c r="H99" s="1442"/>
      <c r="I99" s="1442"/>
      <c r="J99" s="2353">
        <f t="shared" si="15"/>
        <v>0</v>
      </c>
      <c r="K99" s="1440"/>
      <c r="L99" s="1442"/>
      <c r="M99" s="1443"/>
      <c r="N99" s="2353">
        <f t="shared" si="16"/>
        <v>0</v>
      </c>
      <c r="O99" s="1441"/>
      <c r="P99" s="1447"/>
      <c r="Q99" s="1657"/>
      <c r="R99" s="1680"/>
      <c r="S99" s="1440"/>
      <c r="T99" s="1680"/>
      <c r="U99" s="1441"/>
      <c r="V99" s="1680"/>
      <c r="W99" s="1447"/>
      <c r="X99" s="1657"/>
      <c r="Y99" s="1680"/>
      <c r="Z99" s="1769"/>
      <c r="AA99" s="1769"/>
      <c r="AB99" s="1769"/>
      <c r="AC99" s="1769"/>
      <c r="AD99" s="1769"/>
      <c r="AE99" s="2349"/>
      <c r="AF99" s="2350"/>
      <c r="AG99" s="1480"/>
      <c r="AH99" s="1541"/>
      <c r="AI99" s="1545"/>
    </row>
    <row r="100" spans="1:35">
      <c r="A100" s="1947" t="s">
        <v>1325</v>
      </c>
      <c r="B100" s="2353">
        <f t="shared" si="13"/>
        <v>0</v>
      </c>
      <c r="C100" s="1440"/>
      <c r="D100" s="1442"/>
      <c r="E100" s="1442"/>
      <c r="F100" s="2353">
        <f t="shared" si="14"/>
        <v>0</v>
      </c>
      <c r="G100" s="1440"/>
      <c r="H100" s="1442"/>
      <c r="I100" s="1442"/>
      <c r="J100" s="2353">
        <f t="shared" si="15"/>
        <v>0</v>
      </c>
      <c r="K100" s="1440"/>
      <c r="L100" s="1442"/>
      <c r="M100" s="1443"/>
      <c r="N100" s="2353">
        <f t="shared" si="16"/>
        <v>0</v>
      </c>
      <c r="O100" s="1441"/>
      <c r="P100" s="1447"/>
      <c r="Q100" s="1657"/>
      <c r="R100" s="1680"/>
      <c r="S100" s="1440"/>
      <c r="T100" s="1680"/>
      <c r="U100" s="1441"/>
      <c r="V100" s="1680"/>
      <c r="W100" s="1447"/>
      <c r="X100" s="1657"/>
      <c r="Y100" s="1680"/>
      <c r="Z100" s="1769"/>
      <c r="AA100" s="1769"/>
      <c r="AB100" s="1769"/>
      <c r="AC100" s="1769"/>
      <c r="AD100" s="1769"/>
      <c r="AE100" s="2349"/>
      <c r="AF100" s="2350"/>
      <c r="AG100" s="1480"/>
      <c r="AH100" s="1541"/>
      <c r="AI100" s="1545"/>
    </row>
    <row r="101" spans="1:35">
      <c r="A101" s="1947" t="s">
        <v>1269</v>
      </c>
      <c r="B101" s="2353">
        <f t="shared" si="13"/>
        <v>0</v>
      </c>
      <c r="C101" s="1440"/>
      <c r="D101" s="1442"/>
      <c r="E101" s="1442"/>
      <c r="F101" s="2353">
        <f t="shared" si="14"/>
        <v>0</v>
      </c>
      <c r="G101" s="1440"/>
      <c r="H101" s="1442"/>
      <c r="I101" s="1442"/>
      <c r="J101" s="2353">
        <f t="shared" si="15"/>
        <v>0</v>
      </c>
      <c r="K101" s="1440"/>
      <c r="L101" s="1442"/>
      <c r="M101" s="1443"/>
      <c r="N101" s="2353">
        <f t="shared" si="16"/>
        <v>0</v>
      </c>
      <c r="O101" s="1441"/>
      <c r="P101" s="1447"/>
      <c r="Q101" s="1657"/>
      <c r="R101" s="1680"/>
      <c r="S101" s="1440"/>
      <c r="T101" s="1680"/>
      <c r="U101" s="1441"/>
      <c r="V101" s="1680"/>
      <c r="W101" s="1447"/>
      <c r="X101" s="1657"/>
      <c r="Y101" s="1680"/>
      <c r="Z101" s="1769"/>
      <c r="AA101" s="1769"/>
      <c r="AB101" s="1769"/>
      <c r="AC101" s="1769"/>
      <c r="AD101" s="1769"/>
      <c r="AE101" s="2349"/>
      <c r="AF101" s="2350"/>
      <c r="AG101" s="1480"/>
      <c r="AH101" s="1541"/>
      <c r="AI101" s="1545"/>
    </row>
    <row r="102" spans="1:35">
      <c r="A102" s="1947" t="s">
        <v>1270</v>
      </c>
      <c r="B102" s="2356">
        <f t="shared" si="13"/>
        <v>0</v>
      </c>
      <c r="C102" s="1480"/>
      <c r="D102" s="1541"/>
      <c r="E102" s="1541"/>
      <c r="F102" s="2356">
        <f t="shared" si="14"/>
        <v>0</v>
      </c>
      <c r="G102" s="1480"/>
      <c r="H102" s="1541"/>
      <c r="I102" s="1541"/>
      <c r="J102" s="2356">
        <f t="shared" si="15"/>
        <v>0</v>
      </c>
      <c r="K102" s="1480"/>
      <c r="L102" s="1541"/>
      <c r="M102" s="1959"/>
      <c r="N102" s="2353">
        <f t="shared" si="16"/>
        <v>0</v>
      </c>
      <c r="O102" s="1796"/>
      <c r="P102" s="1482"/>
      <c r="Q102" s="1657"/>
      <c r="R102" s="1680"/>
      <c r="S102" s="1440"/>
      <c r="T102" s="1680"/>
      <c r="U102" s="1441"/>
      <c r="V102" s="1680"/>
      <c r="W102" s="1447"/>
      <c r="X102" s="1657"/>
      <c r="Y102" s="1680"/>
      <c r="Z102" s="1769"/>
      <c r="AA102" s="1769"/>
      <c r="AB102" s="1769"/>
      <c r="AC102" s="1769"/>
      <c r="AD102" s="1769"/>
      <c r="AE102" s="2349"/>
      <c r="AF102" s="2350"/>
      <c r="AG102" s="1480"/>
      <c r="AH102" s="1541"/>
      <c r="AI102" s="1545"/>
    </row>
    <row r="103" spans="1:35">
      <c r="A103" s="1947" t="s">
        <v>1326</v>
      </c>
      <c r="B103" s="2354">
        <f t="shared" si="13"/>
        <v>0</v>
      </c>
      <c r="C103" s="1517"/>
      <c r="D103" s="1518"/>
      <c r="E103" s="1518"/>
      <c r="F103" s="2354">
        <f t="shared" si="14"/>
        <v>0</v>
      </c>
      <c r="G103" s="1517"/>
      <c r="H103" s="1518"/>
      <c r="I103" s="1518"/>
      <c r="J103" s="2354">
        <f t="shared" si="15"/>
        <v>0</v>
      </c>
      <c r="K103" s="1517"/>
      <c r="L103" s="1518"/>
      <c r="M103" s="2355"/>
      <c r="N103" s="2353">
        <f t="shared" si="16"/>
        <v>0</v>
      </c>
      <c r="O103" s="1881"/>
      <c r="P103" s="1770"/>
      <c r="Q103" s="1657"/>
      <c r="R103" s="1680"/>
      <c r="S103" s="1440"/>
      <c r="T103" s="1680"/>
      <c r="U103" s="1441"/>
      <c r="V103" s="1680"/>
      <c r="W103" s="1452"/>
      <c r="X103" s="1657"/>
      <c r="Y103" s="1680"/>
      <c r="Z103" s="1769"/>
      <c r="AA103" s="1769"/>
      <c r="AB103" s="1769"/>
      <c r="AC103" s="1769"/>
      <c r="AD103" s="1769"/>
      <c r="AE103" s="2349"/>
      <c r="AF103" s="2350"/>
      <c r="AG103" s="1480"/>
      <c r="AH103" s="1541"/>
      <c r="AI103" s="1545"/>
    </row>
    <row r="104" spans="1:35">
      <c r="A104" s="441" t="s">
        <v>1272</v>
      </c>
      <c r="B104" s="2353">
        <f t="shared" si="13"/>
        <v>0</v>
      </c>
      <c r="C104" s="1440"/>
      <c r="D104" s="1442"/>
      <c r="E104" s="1442"/>
      <c r="F104" s="2353">
        <f t="shared" si="14"/>
        <v>0</v>
      </c>
      <c r="G104" s="1440"/>
      <c r="H104" s="1442"/>
      <c r="I104" s="1442"/>
      <c r="J104" s="2353">
        <f t="shared" si="15"/>
        <v>0</v>
      </c>
      <c r="K104" s="1440"/>
      <c r="L104" s="1442"/>
      <c r="M104" s="1443"/>
      <c r="N104" s="2353">
        <f t="shared" si="16"/>
        <v>0</v>
      </c>
      <c r="O104" s="1441"/>
      <c r="P104" s="1447"/>
      <c r="Q104" s="1657"/>
      <c r="R104" s="1680"/>
      <c r="S104" s="1440"/>
      <c r="T104" s="1680"/>
      <c r="U104" s="1441"/>
      <c r="V104" s="1680"/>
      <c r="W104" s="1447"/>
      <c r="X104" s="1657"/>
      <c r="Y104" s="1680"/>
      <c r="Z104" s="1769"/>
      <c r="AA104" s="1769"/>
      <c r="AB104" s="1769"/>
      <c r="AC104" s="1769"/>
      <c r="AD104" s="1769"/>
      <c r="AE104" s="2349"/>
      <c r="AF104" s="2350"/>
      <c r="AG104" s="1480"/>
      <c r="AH104" s="1541"/>
      <c r="AI104" s="1545"/>
    </row>
    <row r="105" spans="1:35">
      <c r="A105" s="1437" t="s">
        <v>1273</v>
      </c>
      <c r="B105" s="2354">
        <f t="shared" si="13"/>
        <v>0</v>
      </c>
      <c r="C105" s="1517"/>
      <c r="D105" s="1518"/>
      <c r="E105" s="1518"/>
      <c r="F105" s="2354">
        <f t="shared" si="14"/>
        <v>0</v>
      </c>
      <c r="G105" s="1517"/>
      <c r="H105" s="1518"/>
      <c r="I105" s="1518"/>
      <c r="J105" s="2354">
        <f t="shared" si="15"/>
        <v>0</v>
      </c>
      <c r="K105" s="1517"/>
      <c r="L105" s="1518"/>
      <c r="M105" s="2355"/>
      <c r="N105" s="2353">
        <f t="shared" si="16"/>
        <v>0</v>
      </c>
      <c r="O105" s="1881"/>
      <c r="P105" s="1770"/>
      <c r="Q105" s="1657"/>
      <c r="R105" s="1680"/>
      <c r="S105" s="1440"/>
      <c r="T105" s="1680"/>
      <c r="U105" s="1441"/>
      <c r="V105" s="1680"/>
      <c r="W105" s="1447"/>
      <c r="X105" s="1657"/>
      <c r="Y105" s="1680"/>
      <c r="Z105" s="1769"/>
      <c r="AA105" s="1769"/>
      <c r="AB105" s="1769"/>
      <c r="AC105" s="1769"/>
      <c r="AD105" s="1769"/>
      <c r="AE105" s="2349"/>
      <c r="AF105" s="2350"/>
      <c r="AG105" s="1480"/>
      <c r="AH105" s="1541"/>
      <c r="AI105" s="1545"/>
    </row>
    <row r="106" spans="1:35">
      <c r="A106" s="1947" t="s">
        <v>1274</v>
      </c>
      <c r="B106" s="2353">
        <f t="shared" si="13"/>
        <v>0</v>
      </c>
      <c r="C106" s="1440"/>
      <c r="D106" s="1442"/>
      <c r="E106" s="1442"/>
      <c r="F106" s="2353">
        <f t="shared" si="14"/>
        <v>0</v>
      </c>
      <c r="G106" s="1440"/>
      <c r="H106" s="1442"/>
      <c r="I106" s="1442"/>
      <c r="J106" s="2353">
        <f t="shared" si="15"/>
        <v>0</v>
      </c>
      <c r="K106" s="1440"/>
      <c r="L106" s="1442"/>
      <c r="M106" s="1443"/>
      <c r="N106" s="2353">
        <f t="shared" si="16"/>
        <v>0</v>
      </c>
      <c r="O106" s="1441"/>
      <c r="P106" s="1447"/>
      <c r="Q106" s="1657"/>
      <c r="R106" s="1680"/>
      <c r="S106" s="1440"/>
      <c r="T106" s="1680"/>
      <c r="U106" s="1441"/>
      <c r="V106" s="1680"/>
      <c r="W106" s="1447"/>
      <c r="X106" s="1657"/>
      <c r="Y106" s="1680"/>
      <c r="Z106" s="1769"/>
      <c r="AA106" s="1769"/>
      <c r="AB106" s="1769"/>
      <c r="AC106" s="1769"/>
      <c r="AD106" s="1769"/>
      <c r="AE106" s="2349"/>
      <c r="AF106" s="2350"/>
      <c r="AG106" s="1480"/>
      <c r="AH106" s="1541"/>
      <c r="AI106" s="1545"/>
    </row>
    <row r="107" spans="1:35">
      <c r="A107" s="1947" t="s">
        <v>1275</v>
      </c>
      <c r="B107" s="2353">
        <f t="shared" si="13"/>
        <v>0</v>
      </c>
      <c r="C107" s="1440"/>
      <c r="D107" s="1442"/>
      <c r="E107" s="1442"/>
      <c r="F107" s="2353">
        <f t="shared" si="14"/>
        <v>0</v>
      </c>
      <c r="G107" s="1440"/>
      <c r="H107" s="1442"/>
      <c r="I107" s="1442"/>
      <c r="J107" s="2353">
        <f t="shared" si="15"/>
        <v>0</v>
      </c>
      <c r="K107" s="1440"/>
      <c r="L107" s="1442"/>
      <c r="M107" s="1443"/>
      <c r="N107" s="2353">
        <f t="shared" si="16"/>
        <v>0</v>
      </c>
      <c r="O107" s="1441"/>
      <c r="P107" s="1447"/>
      <c r="Q107" s="1657"/>
      <c r="R107" s="1680"/>
      <c r="S107" s="1440"/>
      <c r="T107" s="1680"/>
      <c r="U107" s="1441"/>
      <c r="V107" s="1680"/>
      <c r="W107" s="1447"/>
      <c r="X107" s="1657"/>
      <c r="Y107" s="1680"/>
      <c r="Z107" s="1769"/>
      <c r="AA107" s="1769"/>
      <c r="AB107" s="1769"/>
      <c r="AC107" s="1769"/>
      <c r="AD107" s="1769"/>
      <c r="AE107" s="2349"/>
      <c r="AF107" s="2350"/>
      <c r="AG107" s="1480"/>
      <c r="AH107" s="1541"/>
      <c r="AI107" s="1545"/>
    </row>
    <row r="108" spans="1:35">
      <c r="A108" s="1947" t="s">
        <v>1276</v>
      </c>
      <c r="B108" s="2354">
        <f t="shared" si="13"/>
        <v>0</v>
      </c>
      <c r="C108" s="1517"/>
      <c r="D108" s="1518"/>
      <c r="E108" s="1518"/>
      <c r="F108" s="2354">
        <f t="shared" si="14"/>
        <v>0</v>
      </c>
      <c r="G108" s="1517"/>
      <c r="H108" s="1518"/>
      <c r="I108" s="1518"/>
      <c r="J108" s="2354">
        <f t="shared" si="15"/>
        <v>0</v>
      </c>
      <c r="K108" s="1517"/>
      <c r="L108" s="1518"/>
      <c r="M108" s="2355"/>
      <c r="N108" s="2353">
        <f t="shared" si="16"/>
        <v>0</v>
      </c>
      <c r="O108" s="1881"/>
      <c r="P108" s="1770"/>
      <c r="Q108" s="1657"/>
      <c r="R108" s="1680"/>
      <c r="S108" s="1440"/>
      <c r="T108" s="1680"/>
      <c r="U108" s="1441"/>
      <c r="V108" s="1680"/>
      <c r="W108" s="1447"/>
      <c r="X108" s="1657"/>
      <c r="Y108" s="1680"/>
      <c r="Z108" s="1769"/>
      <c r="AA108" s="1769"/>
      <c r="AB108" s="1769"/>
      <c r="AC108" s="1769"/>
      <c r="AD108" s="1769"/>
      <c r="AE108" s="2349"/>
      <c r="AF108" s="2350"/>
      <c r="AG108" s="1480"/>
      <c r="AH108" s="1541"/>
      <c r="AI108" s="1545"/>
    </row>
    <row r="109" spans="1:35">
      <c r="A109" s="1947" t="s">
        <v>1277</v>
      </c>
      <c r="B109" s="2353">
        <f t="shared" si="13"/>
        <v>0</v>
      </c>
      <c r="C109" s="1440"/>
      <c r="D109" s="1442"/>
      <c r="E109" s="1442"/>
      <c r="F109" s="2353">
        <f t="shared" si="14"/>
        <v>0</v>
      </c>
      <c r="G109" s="1440"/>
      <c r="H109" s="1442"/>
      <c r="I109" s="1442"/>
      <c r="J109" s="2353">
        <f t="shared" si="15"/>
        <v>0</v>
      </c>
      <c r="K109" s="1440"/>
      <c r="L109" s="1442"/>
      <c r="M109" s="1443"/>
      <c r="N109" s="2353">
        <f t="shared" si="16"/>
        <v>0</v>
      </c>
      <c r="O109" s="1441"/>
      <c r="P109" s="1447"/>
      <c r="Q109" s="1657"/>
      <c r="R109" s="1680"/>
      <c r="S109" s="1440"/>
      <c r="T109" s="1680"/>
      <c r="U109" s="1441"/>
      <c r="V109" s="1680"/>
      <c r="W109" s="1447"/>
      <c r="X109" s="1657"/>
      <c r="Y109" s="1680"/>
      <c r="Z109" s="1769"/>
      <c r="AA109" s="1769"/>
      <c r="AB109" s="1769"/>
      <c r="AC109" s="1769"/>
      <c r="AD109" s="1769"/>
      <c r="AE109" s="2349"/>
      <c r="AF109" s="2350"/>
      <c r="AG109" s="1480"/>
      <c r="AH109" s="1541"/>
      <c r="AI109" s="1545"/>
    </row>
    <row r="110" spans="1:35">
      <c r="A110" s="1947" t="s">
        <v>1278</v>
      </c>
      <c r="B110" s="2351">
        <f t="shared" si="13"/>
        <v>0</v>
      </c>
      <c r="C110" s="1485"/>
      <c r="D110" s="1712"/>
      <c r="E110" s="1712"/>
      <c r="F110" s="2351">
        <f t="shared" si="14"/>
        <v>0</v>
      </c>
      <c r="G110" s="1485"/>
      <c r="H110" s="1712"/>
      <c r="I110" s="1712"/>
      <c r="J110" s="2351">
        <f t="shared" si="15"/>
        <v>0</v>
      </c>
      <c r="K110" s="1485"/>
      <c r="L110" s="1712"/>
      <c r="M110" s="2352"/>
      <c r="N110" s="2353">
        <f t="shared" si="16"/>
        <v>0</v>
      </c>
      <c r="O110" s="1826"/>
      <c r="P110" s="1487"/>
      <c r="Q110" s="1657"/>
      <c r="R110" s="1680"/>
      <c r="S110" s="1440"/>
      <c r="T110" s="1680"/>
      <c r="U110" s="1441"/>
      <c r="V110" s="1680"/>
      <c r="W110" s="1447"/>
      <c r="X110" s="1657"/>
      <c r="Y110" s="1680"/>
      <c r="Z110" s="1446"/>
      <c r="AA110" s="1680"/>
      <c r="AB110" s="1769"/>
      <c r="AC110" s="1769"/>
      <c r="AD110" s="1769"/>
      <c r="AE110" s="2349"/>
      <c r="AF110" s="2350"/>
      <c r="AG110" s="1480"/>
      <c r="AH110" s="1541"/>
      <c r="AI110" s="1545"/>
    </row>
    <row r="111" spans="1:35">
      <c r="A111" s="1947" t="s">
        <v>1279</v>
      </c>
      <c r="B111" s="2351">
        <f t="shared" si="13"/>
        <v>0</v>
      </c>
      <c r="C111" s="1485"/>
      <c r="D111" s="1712"/>
      <c r="E111" s="1712"/>
      <c r="F111" s="2351">
        <f t="shared" si="14"/>
        <v>0</v>
      </c>
      <c r="G111" s="1485"/>
      <c r="H111" s="1712"/>
      <c r="I111" s="1712"/>
      <c r="J111" s="2351">
        <f t="shared" si="15"/>
        <v>0</v>
      </c>
      <c r="K111" s="1485"/>
      <c r="L111" s="1712"/>
      <c r="M111" s="2352"/>
      <c r="N111" s="2353">
        <f t="shared" si="16"/>
        <v>0</v>
      </c>
      <c r="O111" s="1826"/>
      <c r="P111" s="1487"/>
      <c r="Q111" s="1657"/>
      <c r="R111" s="1680"/>
      <c r="S111" s="1440"/>
      <c r="T111" s="1680"/>
      <c r="U111" s="1441"/>
      <c r="V111" s="1680"/>
      <c r="W111" s="1447"/>
      <c r="X111" s="1657"/>
      <c r="Y111" s="1680"/>
      <c r="Z111" s="1446"/>
      <c r="AA111" s="1680"/>
      <c r="AB111" s="1769"/>
      <c r="AC111" s="1769"/>
      <c r="AD111" s="1769"/>
      <c r="AE111" s="2349"/>
      <c r="AF111" s="2350"/>
      <c r="AG111" s="1480"/>
      <c r="AH111" s="1541"/>
      <c r="AI111" s="1545"/>
    </row>
    <row r="112" spans="1:35">
      <c r="A112" s="1947" t="s">
        <v>1280</v>
      </c>
      <c r="B112" s="2351">
        <f t="shared" si="13"/>
        <v>0</v>
      </c>
      <c r="C112" s="1485"/>
      <c r="D112" s="1712"/>
      <c r="E112" s="1712"/>
      <c r="F112" s="2351">
        <f t="shared" si="14"/>
        <v>0</v>
      </c>
      <c r="G112" s="1485"/>
      <c r="H112" s="1712"/>
      <c r="I112" s="1712"/>
      <c r="J112" s="2351">
        <f t="shared" si="15"/>
        <v>0</v>
      </c>
      <c r="K112" s="1485"/>
      <c r="L112" s="1712"/>
      <c r="M112" s="2352"/>
      <c r="N112" s="2353">
        <f t="shared" si="16"/>
        <v>0</v>
      </c>
      <c r="O112" s="1826"/>
      <c r="P112" s="1487"/>
      <c r="Q112" s="1657"/>
      <c r="R112" s="1680"/>
      <c r="S112" s="1440"/>
      <c r="T112" s="1680"/>
      <c r="U112" s="1441"/>
      <c r="V112" s="1680"/>
      <c r="W112" s="1447"/>
      <c r="X112" s="1657"/>
      <c r="Y112" s="1680"/>
      <c r="Z112" s="1446"/>
      <c r="AA112" s="1680"/>
      <c r="AB112" s="1769"/>
      <c r="AC112" s="1769"/>
      <c r="AD112" s="1769"/>
      <c r="AE112" s="2349"/>
      <c r="AF112" s="2350"/>
      <c r="AG112" s="1480"/>
      <c r="AH112" s="1541"/>
      <c r="AI112" s="1545"/>
    </row>
    <row r="113" spans="1:98">
      <c r="A113" s="1946" t="s">
        <v>1281</v>
      </c>
      <c r="B113" s="2351">
        <f t="shared" si="13"/>
        <v>0</v>
      </c>
      <c r="C113" s="1485"/>
      <c r="D113" s="1712"/>
      <c r="E113" s="1712"/>
      <c r="F113" s="2351">
        <f t="shared" si="14"/>
        <v>0</v>
      </c>
      <c r="G113" s="1485"/>
      <c r="H113" s="1712"/>
      <c r="I113" s="1712"/>
      <c r="J113" s="2351">
        <f t="shared" si="15"/>
        <v>0</v>
      </c>
      <c r="K113" s="1485"/>
      <c r="L113" s="1712"/>
      <c r="M113" s="2352"/>
      <c r="N113" s="2353">
        <f t="shared" si="16"/>
        <v>0</v>
      </c>
      <c r="O113" s="1826"/>
      <c r="P113" s="1487"/>
      <c r="Q113" s="1657"/>
      <c r="R113" s="1680"/>
      <c r="S113" s="1440"/>
      <c r="T113" s="1680"/>
      <c r="U113" s="1441"/>
      <c r="V113" s="1680"/>
      <c r="W113" s="1447"/>
      <c r="X113" s="1657"/>
      <c r="Y113" s="1680"/>
      <c r="Z113" s="1446"/>
      <c r="AA113" s="1680"/>
      <c r="AB113" s="1769"/>
      <c r="AC113" s="1769"/>
      <c r="AD113" s="1769"/>
      <c r="AE113" s="2349"/>
      <c r="AF113" s="2350"/>
      <c r="AG113" s="1480"/>
      <c r="AH113" s="1541"/>
      <c r="AI113" s="1545"/>
    </row>
    <row r="114" spans="1:98">
      <c r="A114" s="1437" t="s">
        <v>1282</v>
      </c>
      <c r="B114" s="2351">
        <f t="shared" si="13"/>
        <v>0</v>
      </c>
      <c r="C114" s="1485"/>
      <c r="D114" s="1712"/>
      <c r="E114" s="1712"/>
      <c r="F114" s="2351">
        <f t="shared" si="14"/>
        <v>0</v>
      </c>
      <c r="G114" s="1485"/>
      <c r="H114" s="1712"/>
      <c r="I114" s="1712"/>
      <c r="J114" s="2351">
        <f t="shared" si="15"/>
        <v>0</v>
      </c>
      <c r="K114" s="1485"/>
      <c r="L114" s="1712"/>
      <c r="M114" s="2352"/>
      <c r="N114" s="2353">
        <f t="shared" si="16"/>
        <v>0</v>
      </c>
      <c r="O114" s="1826"/>
      <c r="P114" s="1487"/>
      <c r="Q114" s="1657"/>
      <c r="R114" s="1680"/>
      <c r="S114" s="1440"/>
      <c r="T114" s="1680"/>
      <c r="U114" s="1441"/>
      <c r="V114" s="1680"/>
      <c r="W114" s="1447"/>
      <c r="X114" s="1657"/>
      <c r="Y114" s="1680"/>
      <c r="Z114" s="1446"/>
      <c r="AA114" s="1680"/>
      <c r="AB114" s="1769"/>
      <c r="AC114" s="1769"/>
      <c r="AD114" s="1769"/>
      <c r="AE114" s="2349"/>
      <c r="AF114" s="2350"/>
      <c r="AG114" s="1480"/>
      <c r="AH114" s="1541"/>
      <c r="AI114" s="1545"/>
    </row>
    <row r="115" spans="1:98">
      <c r="A115" s="1437" t="s">
        <v>1283</v>
      </c>
      <c r="B115" s="2351">
        <f t="shared" si="13"/>
        <v>0</v>
      </c>
      <c r="C115" s="1485"/>
      <c r="D115" s="1712"/>
      <c r="E115" s="1712"/>
      <c r="F115" s="2351">
        <f t="shared" si="14"/>
        <v>0</v>
      </c>
      <c r="G115" s="1485"/>
      <c r="H115" s="1712"/>
      <c r="I115" s="1712"/>
      <c r="J115" s="2351">
        <f t="shared" si="15"/>
        <v>0</v>
      </c>
      <c r="K115" s="1485"/>
      <c r="L115" s="1712"/>
      <c r="M115" s="2352"/>
      <c r="N115" s="2353">
        <f t="shared" si="16"/>
        <v>0</v>
      </c>
      <c r="O115" s="1826"/>
      <c r="P115" s="1487"/>
      <c r="Q115" s="1657"/>
      <c r="R115" s="1680"/>
      <c r="S115" s="1440"/>
      <c r="T115" s="1680"/>
      <c r="U115" s="1441"/>
      <c r="V115" s="1680"/>
      <c r="W115" s="1447"/>
      <c r="X115" s="1657"/>
      <c r="Y115" s="1680"/>
      <c r="Z115" s="1446"/>
      <c r="AA115" s="1680"/>
      <c r="AB115" s="1769"/>
      <c r="AC115" s="1769"/>
      <c r="AD115" s="1769"/>
      <c r="AE115" s="2349"/>
      <c r="AF115" s="2350"/>
      <c r="AG115" s="1480"/>
      <c r="AH115" s="1541"/>
      <c r="AI115" s="1545"/>
    </row>
    <row r="116" spans="1:98">
      <c r="A116" s="1437" t="s">
        <v>1327</v>
      </c>
      <c r="B116" s="2351">
        <f t="shared" si="13"/>
        <v>0</v>
      </c>
      <c r="C116" s="1485"/>
      <c r="D116" s="1712"/>
      <c r="E116" s="1712"/>
      <c r="F116" s="2351">
        <f t="shared" si="14"/>
        <v>0</v>
      </c>
      <c r="G116" s="1485"/>
      <c r="H116" s="1712"/>
      <c r="I116" s="1712"/>
      <c r="J116" s="2351">
        <f t="shared" si="15"/>
        <v>0</v>
      </c>
      <c r="K116" s="1485"/>
      <c r="L116" s="1712"/>
      <c r="M116" s="2352"/>
      <c r="N116" s="2353">
        <f t="shared" si="16"/>
        <v>0</v>
      </c>
      <c r="O116" s="1826"/>
      <c r="P116" s="1487"/>
      <c r="Q116" s="1657"/>
      <c r="R116" s="1680"/>
      <c r="S116" s="1440"/>
      <c r="T116" s="1680"/>
      <c r="U116" s="1441"/>
      <c r="V116" s="1680"/>
      <c r="W116" s="1447"/>
      <c r="X116" s="1657"/>
      <c r="Y116" s="1680"/>
      <c r="Z116" s="1446"/>
      <c r="AA116" s="1680"/>
      <c r="AB116" s="1769"/>
      <c r="AC116" s="1769"/>
      <c r="AD116" s="1769"/>
      <c r="AE116" s="2349"/>
      <c r="AF116" s="2350"/>
      <c r="AG116" s="1480"/>
      <c r="AH116" s="1541"/>
      <c r="AI116" s="1545"/>
    </row>
    <row r="117" spans="1:98">
      <c r="A117" s="1947" t="s">
        <v>1285</v>
      </c>
      <c r="B117" s="2351">
        <f t="shared" si="13"/>
        <v>0</v>
      </c>
      <c r="C117" s="1485"/>
      <c r="D117" s="1712"/>
      <c r="E117" s="1712"/>
      <c r="F117" s="2351">
        <f t="shared" si="14"/>
        <v>0</v>
      </c>
      <c r="G117" s="1485"/>
      <c r="H117" s="1712"/>
      <c r="I117" s="1712"/>
      <c r="J117" s="2351">
        <f t="shared" si="15"/>
        <v>0</v>
      </c>
      <c r="K117" s="1485"/>
      <c r="L117" s="1712"/>
      <c r="M117" s="2352"/>
      <c r="N117" s="2353">
        <f t="shared" si="16"/>
        <v>0</v>
      </c>
      <c r="O117" s="1826"/>
      <c r="P117" s="1487"/>
      <c r="Q117" s="1657"/>
      <c r="R117" s="1680"/>
      <c r="S117" s="1440"/>
      <c r="T117" s="1680"/>
      <c r="U117" s="1441"/>
      <c r="V117" s="1680"/>
      <c r="W117" s="1447"/>
      <c r="X117" s="1657"/>
      <c r="Y117" s="1680"/>
      <c r="Z117" s="1446"/>
      <c r="AA117" s="1680"/>
      <c r="AB117" s="1769"/>
      <c r="AC117" s="1769"/>
      <c r="AD117" s="1769"/>
      <c r="AE117" s="2349"/>
      <c r="AF117" s="2350"/>
      <c r="AG117" s="1480"/>
      <c r="AH117" s="1541"/>
      <c r="AI117" s="1545"/>
    </row>
    <row r="118" spans="1:98">
      <c r="A118" s="1947" t="s">
        <v>1286</v>
      </c>
      <c r="B118" s="2353">
        <f t="shared" si="13"/>
        <v>0</v>
      </c>
      <c r="C118" s="1440"/>
      <c r="D118" s="1442"/>
      <c r="E118" s="1442"/>
      <c r="F118" s="2353">
        <f t="shared" si="14"/>
        <v>0</v>
      </c>
      <c r="G118" s="1440"/>
      <c r="H118" s="1442"/>
      <c r="I118" s="1442"/>
      <c r="J118" s="2353">
        <f t="shared" si="15"/>
        <v>0</v>
      </c>
      <c r="K118" s="1440"/>
      <c r="L118" s="1442"/>
      <c r="M118" s="1443"/>
      <c r="N118" s="2353">
        <f t="shared" si="16"/>
        <v>0</v>
      </c>
      <c r="O118" s="1441"/>
      <c r="P118" s="1447"/>
      <c r="Q118" s="1657"/>
      <c r="R118" s="1680"/>
      <c r="S118" s="1440"/>
      <c r="T118" s="1680"/>
      <c r="U118" s="1441"/>
      <c r="V118" s="1680"/>
      <c r="W118" s="1447"/>
      <c r="X118" s="1657"/>
      <c r="Y118" s="1680"/>
      <c r="Z118" s="1446"/>
      <c r="AA118" s="1680"/>
      <c r="AB118" s="1769"/>
      <c r="AC118" s="1769"/>
      <c r="AD118" s="1769"/>
      <c r="AE118" s="2349"/>
      <c r="AF118" s="2350"/>
      <c r="AG118" s="1480"/>
      <c r="AH118" s="1541"/>
      <c r="AI118" s="1545"/>
    </row>
    <row r="119" spans="1:98">
      <c r="A119" s="1947" t="s">
        <v>1328</v>
      </c>
      <c r="B119" s="2353">
        <f t="shared" si="13"/>
        <v>0</v>
      </c>
      <c r="C119" s="1440"/>
      <c r="D119" s="1442"/>
      <c r="E119" s="1442"/>
      <c r="F119" s="2353">
        <f t="shared" si="14"/>
        <v>0</v>
      </c>
      <c r="G119" s="1440"/>
      <c r="H119" s="1442"/>
      <c r="I119" s="1442"/>
      <c r="J119" s="2353">
        <f t="shared" si="15"/>
        <v>0</v>
      </c>
      <c r="K119" s="1440"/>
      <c r="L119" s="1442"/>
      <c r="M119" s="1443"/>
      <c r="N119" s="2353">
        <f t="shared" si="16"/>
        <v>0</v>
      </c>
      <c r="O119" s="1441"/>
      <c r="P119" s="1447"/>
      <c r="Q119" s="1657"/>
      <c r="R119" s="1680"/>
      <c r="S119" s="1440"/>
      <c r="T119" s="1680"/>
      <c r="U119" s="1441"/>
      <c r="V119" s="1680"/>
      <c r="W119" s="1447"/>
      <c r="X119" s="1657"/>
      <c r="Y119" s="1680"/>
      <c r="Z119" s="1446"/>
      <c r="AA119" s="1680"/>
      <c r="AB119" s="1769"/>
      <c r="AC119" s="1769"/>
      <c r="AD119" s="1769"/>
      <c r="AE119" s="2349"/>
      <c r="AF119" s="2350"/>
      <c r="AG119" s="1480"/>
      <c r="AH119" s="1541"/>
      <c r="AI119" s="1545"/>
    </row>
    <row r="120" spans="1:98">
      <c r="A120" s="1947" t="s">
        <v>1329</v>
      </c>
      <c r="B120" s="2351">
        <f t="shared" si="13"/>
        <v>0</v>
      </c>
      <c r="C120" s="1485"/>
      <c r="D120" s="1712"/>
      <c r="E120" s="1712"/>
      <c r="F120" s="2351">
        <f t="shared" si="14"/>
        <v>0</v>
      </c>
      <c r="G120" s="1485"/>
      <c r="H120" s="1712"/>
      <c r="I120" s="1712"/>
      <c r="J120" s="2351">
        <f t="shared" si="15"/>
        <v>0</v>
      </c>
      <c r="K120" s="1485"/>
      <c r="L120" s="1712"/>
      <c r="M120" s="2352"/>
      <c r="N120" s="2353">
        <f t="shared" si="16"/>
        <v>0</v>
      </c>
      <c r="O120" s="1826"/>
      <c r="P120" s="1487"/>
      <c r="Q120" s="1657"/>
      <c r="R120" s="1680"/>
      <c r="S120" s="1440"/>
      <c r="T120" s="1680"/>
      <c r="U120" s="1441"/>
      <c r="V120" s="1680"/>
      <c r="W120" s="1447"/>
      <c r="X120" s="1657"/>
      <c r="Y120" s="1680"/>
      <c r="Z120" s="1446"/>
      <c r="AA120" s="1680"/>
      <c r="AB120" s="1769"/>
      <c r="AC120" s="1769"/>
      <c r="AD120" s="1769"/>
      <c r="AE120" s="2349"/>
      <c r="AF120" s="2350"/>
      <c r="AG120" s="1480"/>
      <c r="AH120" s="1541"/>
      <c r="AI120" s="1545"/>
    </row>
    <row r="121" spans="1:98">
      <c r="A121" s="1947" t="s">
        <v>1289</v>
      </c>
      <c r="B121" s="2353">
        <f t="shared" si="13"/>
        <v>0</v>
      </c>
      <c r="C121" s="1440"/>
      <c r="D121" s="1442"/>
      <c r="E121" s="1442"/>
      <c r="F121" s="2353">
        <f t="shared" si="14"/>
        <v>0</v>
      </c>
      <c r="G121" s="1440"/>
      <c r="H121" s="1442"/>
      <c r="I121" s="1442"/>
      <c r="J121" s="2353">
        <f t="shared" si="15"/>
        <v>0</v>
      </c>
      <c r="K121" s="1440"/>
      <c r="L121" s="1442"/>
      <c r="M121" s="1443"/>
      <c r="N121" s="2353">
        <f t="shared" si="16"/>
        <v>0</v>
      </c>
      <c r="O121" s="1441"/>
      <c r="P121" s="1447"/>
      <c r="Q121" s="1657"/>
      <c r="R121" s="1680"/>
      <c r="S121" s="1440"/>
      <c r="T121" s="1680"/>
      <c r="U121" s="1441"/>
      <c r="V121" s="1680"/>
      <c r="W121" s="1447"/>
      <c r="X121" s="1657"/>
      <c r="Y121" s="1680"/>
      <c r="Z121" s="1446"/>
      <c r="AA121" s="1680"/>
      <c r="AB121" s="1769"/>
      <c r="AC121" s="1769"/>
      <c r="AD121" s="1769"/>
      <c r="AE121" s="2349"/>
      <c r="AF121" s="2350"/>
      <c r="AG121" s="1480"/>
      <c r="AH121" s="1541"/>
      <c r="AI121" s="1545"/>
    </row>
    <row r="122" spans="1:98">
      <c r="A122" s="1947" t="s">
        <v>1290</v>
      </c>
      <c r="B122" s="2353">
        <f t="shared" si="13"/>
        <v>0</v>
      </c>
      <c r="C122" s="1440"/>
      <c r="D122" s="1442"/>
      <c r="E122" s="1442"/>
      <c r="F122" s="2353">
        <f t="shared" si="14"/>
        <v>0</v>
      </c>
      <c r="G122" s="1440"/>
      <c r="H122" s="1442"/>
      <c r="I122" s="1442"/>
      <c r="J122" s="2353">
        <f t="shared" si="15"/>
        <v>0</v>
      </c>
      <c r="K122" s="1440"/>
      <c r="L122" s="1442"/>
      <c r="M122" s="1443"/>
      <c r="N122" s="2353">
        <f t="shared" si="16"/>
        <v>0</v>
      </c>
      <c r="O122" s="1441"/>
      <c r="P122" s="1447"/>
      <c r="Q122" s="1657"/>
      <c r="R122" s="1680"/>
      <c r="S122" s="1440"/>
      <c r="T122" s="1680"/>
      <c r="U122" s="1441"/>
      <c r="V122" s="1680"/>
      <c r="W122" s="1447"/>
      <c r="X122" s="1657"/>
      <c r="Y122" s="1680"/>
      <c r="Z122" s="1446"/>
      <c r="AA122" s="1680"/>
      <c r="AB122" s="1769"/>
      <c r="AC122" s="1769"/>
      <c r="AD122" s="1769"/>
      <c r="AE122" s="2357"/>
      <c r="AF122" s="2350"/>
      <c r="AG122" s="1480"/>
      <c r="AH122" s="1541"/>
      <c r="AI122" s="1545"/>
    </row>
    <row r="123" spans="1:98">
      <c r="A123" s="1947" t="s">
        <v>1291</v>
      </c>
      <c r="B123" s="2353">
        <f t="shared" si="13"/>
        <v>0</v>
      </c>
      <c r="C123" s="1440"/>
      <c r="D123" s="1442"/>
      <c r="E123" s="1442"/>
      <c r="F123" s="2353">
        <f t="shared" si="14"/>
        <v>0</v>
      </c>
      <c r="G123" s="1440"/>
      <c r="H123" s="1442"/>
      <c r="I123" s="1442"/>
      <c r="J123" s="2353">
        <f t="shared" si="15"/>
        <v>0</v>
      </c>
      <c r="K123" s="1440"/>
      <c r="L123" s="1442"/>
      <c r="M123" s="1443"/>
      <c r="N123" s="2353">
        <f t="shared" si="16"/>
        <v>0</v>
      </c>
      <c r="O123" s="1441"/>
      <c r="P123" s="1447"/>
      <c r="Q123" s="1657"/>
      <c r="R123" s="1680"/>
      <c r="S123" s="1440"/>
      <c r="T123" s="1680"/>
      <c r="U123" s="1441"/>
      <c r="V123" s="1680"/>
      <c r="W123" s="1447"/>
      <c r="X123" s="1657"/>
      <c r="Y123" s="1680"/>
      <c r="Z123" s="1446"/>
      <c r="AA123" s="1680"/>
      <c r="AB123" s="1446"/>
      <c r="AC123" s="1446"/>
      <c r="AD123" s="1680"/>
      <c r="AE123" s="2357"/>
      <c r="AF123" s="2358"/>
      <c r="AG123" s="1440"/>
      <c r="AH123" s="1442"/>
      <c r="AI123" s="1452"/>
    </row>
    <row r="124" spans="1:98">
      <c r="A124" s="1946" t="s">
        <v>1292</v>
      </c>
      <c r="B124" s="2356">
        <f t="shared" si="13"/>
        <v>0</v>
      </c>
      <c r="C124" s="1480"/>
      <c r="D124" s="1541"/>
      <c r="E124" s="1541"/>
      <c r="F124" s="2356">
        <f t="shared" si="14"/>
        <v>0</v>
      </c>
      <c r="G124" s="1480"/>
      <c r="H124" s="1541"/>
      <c r="I124" s="1541"/>
      <c r="J124" s="2356">
        <f t="shared" si="15"/>
        <v>0</v>
      </c>
      <c r="K124" s="1480"/>
      <c r="L124" s="1541"/>
      <c r="M124" s="1959"/>
      <c r="N124" s="2353">
        <f t="shared" si="16"/>
        <v>0</v>
      </c>
      <c r="O124" s="1796"/>
      <c r="P124" s="1482"/>
      <c r="Q124" s="1657"/>
      <c r="R124" s="1680"/>
      <c r="S124" s="1480"/>
      <c r="T124" s="1769"/>
      <c r="U124" s="1796"/>
      <c r="V124" s="1769"/>
      <c r="W124" s="1482"/>
      <c r="X124" s="1657"/>
      <c r="Y124" s="1680"/>
      <c r="Z124" s="1545"/>
      <c r="AA124" s="1545"/>
      <c r="AB124" s="1545"/>
      <c r="AC124" s="1545"/>
      <c r="AD124" s="1545"/>
      <c r="AE124" s="2349"/>
      <c r="AF124" s="2359"/>
      <c r="AG124" s="1480"/>
      <c r="AH124" s="1541"/>
      <c r="AI124" s="1545"/>
    </row>
    <row r="125" spans="1:98">
      <c r="A125" s="2328" t="s">
        <v>1293</v>
      </c>
      <c r="B125" s="2360">
        <f t="shared" si="13"/>
        <v>0</v>
      </c>
      <c r="C125" s="1455"/>
      <c r="D125" s="1457"/>
      <c r="E125" s="1457"/>
      <c r="F125" s="2360">
        <f t="shared" si="14"/>
        <v>0</v>
      </c>
      <c r="G125" s="1455"/>
      <c r="H125" s="1457"/>
      <c r="I125" s="1457"/>
      <c r="J125" s="2360">
        <f t="shared" si="15"/>
        <v>0</v>
      </c>
      <c r="K125" s="1455"/>
      <c r="L125" s="1457"/>
      <c r="M125" s="1458"/>
      <c r="N125" s="2360">
        <f t="shared" si="16"/>
        <v>0</v>
      </c>
      <c r="O125" s="1456"/>
      <c r="P125" s="1490"/>
      <c r="Q125" s="1664"/>
      <c r="R125" s="1684"/>
      <c r="S125" s="1455"/>
      <c r="T125" s="1684"/>
      <c r="U125" s="1456"/>
      <c r="V125" s="1684"/>
      <c r="W125" s="1490"/>
      <c r="X125" s="1664"/>
      <c r="Y125" s="1684"/>
      <c r="Z125" s="1467"/>
      <c r="AA125" s="1467"/>
      <c r="AB125" s="1467"/>
      <c r="AC125" s="1467"/>
      <c r="AD125" s="1467"/>
      <c r="AE125" s="2361"/>
      <c r="AF125" s="2362"/>
      <c r="AG125" s="1455"/>
      <c r="AH125" s="1457"/>
      <c r="AI125" s="1467"/>
    </row>
    <row r="126" spans="1:98">
      <c r="A126" s="400" t="s">
        <v>91</v>
      </c>
      <c r="B126" s="1527">
        <f t="shared" ref="B126:AI126" si="17">SUM(B71:B125)</f>
        <v>0</v>
      </c>
      <c r="C126" s="1658">
        <f t="shared" si="17"/>
        <v>0</v>
      </c>
      <c r="D126" s="1720">
        <f t="shared" si="17"/>
        <v>0</v>
      </c>
      <c r="E126" s="1720">
        <f t="shared" si="17"/>
        <v>0</v>
      </c>
      <c r="F126" s="1527">
        <f t="shared" si="17"/>
        <v>0</v>
      </c>
      <c r="G126" s="1658">
        <f t="shared" si="17"/>
        <v>0</v>
      </c>
      <c r="H126" s="1720">
        <f t="shared" si="17"/>
        <v>0</v>
      </c>
      <c r="I126" s="1720">
        <f t="shared" si="17"/>
        <v>0</v>
      </c>
      <c r="J126" s="1527">
        <f t="shared" si="17"/>
        <v>0</v>
      </c>
      <c r="K126" s="1658">
        <f t="shared" si="17"/>
        <v>0</v>
      </c>
      <c r="L126" s="1720">
        <f t="shared" si="17"/>
        <v>0</v>
      </c>
      <c r="M126" s="1720">
        <f t="shared" si="17"/>
        <v>0</v>
      </c>
      <c r="N126" s="1527">
        <f t="shared" si="17"/>
        <v>0</v>
      </c>
      <c r="O126" s="2054">
        <f t="shared" si="17"/>
        <v>0</v>
      </c>
      <c r="P126" s="2335">
        <f t="shared" si="17"/>
        <v>0</v>
      </c>
      <c r="Q126" s="1658">
        <f t="shared" si="17"/>
        <v>0</v>
      </c>
      <c r="R126" s="1719">
        <f t="shared" si="17"/>
        <v>0</v>
      </c>
      <c r="S126" s="401">
        <f t="shared" si="17"/>
        <v>0</v>
      </c>
      <c r="T126" s="403">
        <f t="shared" si="17"/>
        <v>0</v>
      </c>
      <c r="U126" s="2054">
        <f t="shared" si="17"/>
        <v>0</v>
      </c>
      <c r="V126" s="2363">
        <f t="shared" si="17"/>
        <v>0</v>
      </c>
      <c r="W126" s="1719">
        <f t="shared" si="17"/>
        <v>0</v>
      </c>
      <c r="X126" s="1718">
        <f t="shared" si="17"/>
        <v>0</v>
      </c>
      <c r="Y126" s="2363">
        <f t="shared" si="17"/>
        <v>0</v>
      </c>
      <c r="Z126" s="1719">
        <f t="shared" si="17"/>
        <v>0</v>
      </c>
      <c r="AA126" s="1719">
        <f t="shared" si="17"/>
        <v>0</v>
      </c>
      <c r="AB126" s="1719">
        <f t="shared" si="17"/>
        <v>0</v>
      </c>
      <c r="AC126" s="1719">
        <f t="shared" si="17"/>
        <v>0</v>
      </c>
      <c r="AD126" s="1527">
        <f t="shared" si="17"/>
        <v>0</v>
      </c>
      <c r="AE126" s="1658">
        <f t="shared" si="17"/>
        <v>0</v>
      </c>
      <c r="AF126" s="2335">
        <f t="shared" si="17"/>
        <v>0</v>
      </c>
      <c r="AG126" s="1658">
        <f t="shared" si="17"/>
        <v>0</v>
      </c>
      <c r="AH126" s="1720">
        <f t="shared" si="17"/>
        <v>0</v>
      </c>
      <c r="AI126" s="1719">
        <f t="shared" si="17"/>
        <v>0</v>
      </c>
    </row>
    <row r="127" spans="1:98" s="385" customFormat="1" ht="18" customHeight="1">
      <c r="A127" s="2364" t="s">
        <v>1330</v>
      </c>
      <c r="B127" s="2365"/>
      <c r="C127" s="1493"/>
      <c r="D127" s="1493"/>
      <c r="E127" s="1493"/>
      <c r="F127" s="1493"/>
      <c r="G127" s="1493"/>
      <c r="H127" s="1493"/>
      <c r="I127" s="1493"/>
      <c r="J127" s="1493"/>
      <c r="K127" s="1493"/>
      <c r="L127" s="1493"/>
      <c r="M127" s="1493"/>
      <c r="N127" s="1493"/>
      <c r="O127" s="1493"/>
      <c r="P127" s="1493"/>
      <c r="Q127" s="1493"/>
      <c r="R127" s="1493"/>
      <c r="S127" s="1493"/>
      <c r="T127" s="1493"/>
      <c r="U127" s="1493"/>
      <c r="CB127" s="1470"/>
      <c r="CC127" s="1470"/>
      <c r="CD127" s="1470"/>
      <c r="CE127" s="1470"/>
      <c r="CF127" s="1470"/>
      <c r="CG127" s="1470"/>
      <c r="CH127" s="1470"/>
      <c r="CI127" s="1470"/>
      <c r="CJ127" s="1470"/>
      <c r="CK127" s="1470"/>
      <c r="CL127" s="1470"/>
      <c r="CM127" s="1470"/>
      <c r="CN127" s="1470"/>
      <c r="CO127" s="1470"/>
      <c r="CP127" s="1470"/>
      <c r="CQ127" s="1470"/>
      <c r="CR127" s="1470"/>
      <c r="CS127" s="1470"/>
      <c r="CT127" s="1470"/>
    </row>
    <row r="128" spans="1:98">
      <c r="A128" s="400" t="s">
        <v>1331</v>
      </c>
      <c r="B128" s="1962" t="s">
        <v>91</v>
      </c>
      <c r="C128" s="1395" t="s">
        <v>364</v>
      </c>
      <c r="D128" s="1396" t="s">
        <v>347</v>
      </c>
      <c r="E128" s="1646" t="s">
        <v>108</v>
      </c>
      <c r="F128" s="1646" t="s">
        <v>1235</v>
      </c>
      <c r="G128" s="1646" t="s">
        <v>1332</v>
      </c>
      <c r="H128" s="1646" t="s">
        <v>59</v>
      </c>
      <c r="I128" s="1397" t="s">
        <v>60</v>
      </c>
      <c r="J128" s="1397" t="s">
        <v>61</v>
      </c>
      <c r="K128" s="1397" t="s">
        <v>62</v>
      </c>
      <c r="L128" s="1397" t="s">
        <v>63</v>
      </c>
      <c r="M128" s="1397" t="s">
        <v>64</v>
      </c>
      <c r="N128" s="1397" t="s">
        <v>65</v>
      </c>
      <c r="O128" s="1397" t="s">
        <v>66</v>
      </c>
      <c r="P128" s="1397" t="s">
        <v>67</v>
      </c>
      <c r="Q128" s="1397" t="s">
        <v>68</v>
      </c>
      <c r="R128" s="1397" t="s">
        <v>69</v>
      </c>
      <c r="S128" s="1397" t="s">
        <v>70</v>
      </c>
      <c r="T128" s="1398" t="s">
        <v>1333</v>
      </c>
      <c r="U128" s="393" t="s">
        <v>1334</v>
      </c>
      <c r="V128" s="393" t="s">
        <v>1335</v>
      </c>
    </row>
    <row r="129" spans="1:93" ht="15" customHeight="1">
      <c r="A129" s="1422" t="s">
        <v>1336</v>
      </c>
      <c r="B129" s="410">
        <f t="shared" ref="B129:B145" si="18">SUM(C129:T129)</f>
        <v>0</v>
      </c>
      <c r="C129" s="1424"/>
      <c r="D129" s="1426"/>
      <c r="E129" s="1426"/>
      <c r="F129" s="1426"/>
      <c r="G129" s="1426"/>
      <c r="H129" s="1426"/>
      <c r="I129" s="1426"/>
      <c r="J129" s="1426"/>
      <c r="K129" s="1426"/>
      <c r="L129" s="1426"/>
      <c r="M129" s="1426"/>
      <c r="N129" s="1426"/>
      <c r="O129" s="1426"/>
      <c r="P129" s="1426"/>
      <c r="Q129" s="1426"/>
      <c r="R129" s="1426"/>
      <c r="S129" s="1426"/>
      <c r="T129" s="1428"/>
      <c r="U129" s="1436"/>
      <c r="V129" s="1436"/>
      <c r="W129" t="str">
        <f t="shared" ref="W129:W145" si="19">CB129&amp;CC129&amp;CD129</f>
        <v/>
      </c>
      <c r="CB129" s="1418" t="str">
        <f t="shared" ref="CB129:CB145" si="20">IF(AND(B129&gt;0,U129="")," * No olvide digitar Trans Masculino. (Digite CERO si no tiene).","")</f>
        <v/>
      </c>
      <c r="CC129" s="1418" t="str">
        <f t="shared" ref="CC129:CC145" si="21">IF(AND(B129&gt;0,V129="")," * No olvide digitar Trans Femenino. (Digite CERO si no tiene).","")</f>
        <v/>
      </c>
      <c r="CD129" s="1418" t="str">
        <f t="shared" ref="CD129:CD145" si="22">IF((U129+V129)&gt;B129," * La suma de Trans Masculino + Trans Femenino No puede ser Mayor al Total.","")</f>
        <v/>
      </c>
      <c r="CM129" s="1420">
        <f t="shared" ref="CM129:CM145" si="23">IF(AND(B129&gt;0,U129=""),1,0)</f>
        <v>0</v>
      </c>
      <c r="CN129" s="1420">
        <f t="shared" ref="CN129:CN145" si="24">IF(AND(B129&gt;0,V129=""),1,0)</f>
        <v>0</v>
      </c>
      <c r="CO129" s="1420">
        <f t="shared" ref="CO129:CO145" si="25">IF((U129+V129)&gt;B129,1,0)</f>
        <v>0</v>
      </c>
    </row>
    <row r="130" spans="1:93" ht="15" customHeight="1">
      <c r="A130" s="1512" t="s">
        <v>750</v>
      </c>
      <c r="B130" s="422">
        <f t="shared" si="18"/>
        <v>0</v>
      </c>
      <c r="C130" s="1440"/>
      <c r="D130" s="1442"/>
      <c r="E130" s="1442"/>
      <c r="F130" s="1442"/>
      <c r="G130" s="1442"/>
      <c r="H130" s="1442"/>
      <c r="I130" s="1442"/>
      <c r="J130" s="1442"/>
      <c r="K130" s="1442"/>
      <c r="L130" s="1442"/>
      <c r="M130" s="1442"/>
      <c r="N130" s="1442"/>
      <c r="O130" s="1442"/>
      <c r="P130" s="1442"/>
      <c r="Q130" s="1442"/>
      <c r="R130" s="1442"/>
      <c r="S130" s="1442"/>
      <c r="T130" s="1444"/>
      <c r="U130" s="1452"/>
      <c r="V130" s="1452"/>
      <c r="W130" t="str">
        <f t="shared" si="19"/>
        <v/>
      </c>
      <c r="CB130" s="1418" t="str">
        <f t="shared" si="20"/>
        <v/>
      </c>
      <c r="CC130" s="1418" t="str">
        <f t="shared" si="21"/>
        <v/>
      </c>
      <c r="CD130" s="1418" t="str">
        <f t="shared" si="22"/>
        <v/>
      </c>
      <c r="CM130" s="1420">
        <f t="shared" si="23"/>
        <v>0</v>
      </c>
      <c r="CN130" s="1420">
        <f t="shared" si="24"/>
        <v>0</v>
      </c>
      <c r="CO130" s="1420">
        <f t="shared" si="25"/>
        <v>0</v>
      </c>
    </row>
    <row r="131" spans="1:93" ht="15" customHeight="1">
      <c r="A131" s="1512" t="s">
        <v>1337</v>
      </c>
      <c r="B131" s="422">
        <f t="shared" si="18"/>
        <v>0</v>
      </c>
      <c r="C131" s="1440"/>
      <c r="D131" s="1442"/>
      <c r="E131" s="1442"/>
      <c r="F131" s="1442"/>
      <c r="G131" s="1442"/>
      <c r="H131" s="1442"/>
      <c r="I131" s="1442"/>
      <c r="J131" s="1442"/>
      <c r="K131" s="1442"/>
      <c r="L131" s="1442"/>
      <c r="M131" s="1442"/>
      <c r="N131" s="1442"/>
      <c r="O131" s="1442"/>
      <c r="P131" s="1442"/>
      <c r="Q131" s="1442"/>
      <c r="R131" s="1442"/>
      <c r="S131" s="1442"/>
      <c r="T131" s="1444"/>
      <c r="U131" s="1452"/>
      <c r="V131" s="1452"/>
      <c r="W131" t="str">
        <f t="shared" si="19"/>
        <v/>
      </c>
      <c r="CB131" s="1418" t="str">
        <f t="shared" si="20"/>
        <v/>
      </c>
      <c r="CC131" s="1418" t="str">
        <f t="shared" si="21"/>
        <v/>
      </c>
      <c r="CD131" s="1418" t="str">
        <f t="shared" si="22"/>
        <v/>
      </c>
      <c r="CM131" s="1420">
        <f t="shared" si="23"/>
        <v>0</v>
      </c>
      <c r="CN131" s="1420">
        <f t="shared" si="24"/>
        <v>0</v>
      </c>
      <c r="CO131" s="1420">
        <f t="shared" si="25"/>
        <v>0</v>
      </c>
    </row>
    <row r="132" spans="1:93" ht="15" customHeight="1">
      <c r="A132" s="1512" t="s">
        <v>1338</v>
      </c>
      <c r="B132" s="422">
        <f t="shared" si="18"/>
        <v>0</v>
      </c>
      <c r="C132" s="1440"/>
      <c r="D132" s="1442"/>
      <c r="E132" s="1442"/>
      <c r="F132" s="1442"/>
      <c r="G132" s="1442"/>
      <c r="H132" s="1442"/>
      <c r="I132" s="1442"/>
      <c r="J132" s="1442"/>
      <c r="K132" s="1442"/>
      <c r="L132" s="1442"/>
      <c r="M132" s="1442"/>
      <c r="N132" s="1442"/>
      <c r="O132" s="1442"/>
      <c r="P132" s="1442"/>
      <c r="Q132" s="1442"/>
      <c r="R132" s="1442"/>
      <c r="S132" s="1442"/>
      <c r="T132" s="1444"/>
      <c r="U132" s="1452"/>
      <c r="V132" s="1452"/>
      <c r="W132" t="str">
        <f t="shared" si="19"/>
        <v/>
      </c>
      <c r="CB132" s="1418" t="str">
        <f t="shared" si="20"/>
        <v/>
      </c>
      <c r="CC132" s="1418" t="str">
        <f t="shared" si="21"/>
        <v/>
      </c>
      <c r="CD132" s="1418" t="str">
        <f t="shared" si="22"/>
        <v/>
      </c>
      <c r="CM132" s="1420">
        <f t="shared" si="23"/>
        <v>0</v>
      </c>
      <c r="CN132" s="1420">
        <f t="shared" si="24"/>
        <v>0</v>
      </c>
      <c r="CO132" s="1420">
        <f t="shared" si="25"/>
        <v>0</v>
      </c>
    </row>
    <row r="133" spans="1:93" ht="15" customHeight="1">
      <c r="A133" s="1512" t="s">
        <v>1339</v>
      </c>
      <c r="B133" s="422">
        <f t="shared" si="18"/>
        <v>0</v>
      </c>
      <c r="C133" s="1440"/>
      <c r="D133" s="1442"/>
      <c r="E133" s="1442"/>
      <c r="F133" s="1442"/>
      <c r="G133" s="1442"/>
      <c r="H133" s="1442"/>
      <c r="I133" s="1442"/>
      <c r="J133" s="1442"/>
      <c r="K133" s="1442"/>
      <c r="L133" s="1442"/>
      <c r="M133" s="1442"/>
      <c r="N133" s="1442"/>
      <c r="O133" s="1442"/>
      <c r="P133" s="1442"/>
      <c r="Q133" s="1442"/>
      <c r="R133" s="1442"/>
      <c r="S133" s="1442"/>
      <c r="T133" s="1444"/>
      <c r="U133" s="1452"/>
      <c r="V133" s="1452"/>
      <c r="W133" t="str">
        <f t="shared" si="19"/>
        <v/>
      </c>
      <c r="CB133" s="1418" t="str">
        <f t="shared" si="20"/>
        <v/>
      </c>
      <c r="CC133" s="1418" t="str">
        <f t="shared" si="21"/>
        <v/>
      </c>
      <c r="CD133" s="1418" t="str">
        <f t="shared" si="22"/>
        <v/>
      </c>
      <c r="CM133" s="1420">
        <f t="shared" si="23"/>
        <v>0</v>
      </c>
      <c r="CN133" s="1420">
        <f t="shared" si="24"/>
        <v>0</v>
      </c>
      <c r="CO133" s="1420">
        <f t="shared" si="25"/>
        <v>0</v>
      </c>
    </row>
    <row r="134" spans="1:93" ht="15" customHeight="1">
      <c r="A134" s="1512" t="s">
        <v>1340</v>
      </c>
      <c r="B134" s="422">
        <f t="shared" si="18"/>
        <v>0</v>
      </c>
      <c r="C134" s="1440"/>
      <c r="D134" s="1442"/>
      <c r="E134" s="1442"/>
      <c r="F134" s="1442"/>
      <c r="G134" s="1442"/>
      <c r="H134" s="1442"/>
      <c r="I134" s="1442"/>
      <c r="J134" s="1442"/>
      <c r="K134" s="1442"/>
      <c r="L134" s="1442"/>
      <c r="M134" s="1442"/>
      <c r="N134" s="1442"/>
      <c r="O134" s="1442"/>
      <c r="P134" s="1442"/>
      <c r="Q134" s="1442"/>
      <c r="R134" s="1442"/>
      <c r="S134" s="1442"/>
      <c r="T134" s="1444"/>
      <c r="U134" s="1452"/>
      <c r="V134" s="1452"/>
      <c r="W134" t="str">
        <f t="shared" si="19"/>
        <v/>
      </c>
      <c r="CB134" s="1418" t="str">
        <f t="shared" si="20"/>
        <v/>
      </c>
      <c r="CC134" s="1418" t="str">
        <f t="shared" si="21"/>
        <v/>
      </c>
      <c r="CD134" s="1418" t="str">
        <f t="shared" si="22"/>
        <v/>
      </c>
      <c r="CM134" s="1420">
        <f t="shared" si="23"/>
        <v>0</v>
      </c>
      <c r="CN134" s="1420">
        <f t="shared" si="24"/>
        <v>0</v>
      </c>
      <c r="CO134" s="1420">
        <f t="shared" si="25"/>
        <v>0</v>
      </c>
    </row>
    <row r="135" spans="1:93" ht="15" customHeight="1">
      <c r="A135" s="1512" t="s">
        <v>1341</v>
      </c>
      <c r="B135" s="422">
        <f t="shared" si="18"/>
        <v>0</v>
      </c>
      <c r="C135" s="1440"/>
      <c r="D135" s="1442"/>
      <c r="E135" s="1442"/>
      <c r="F135" s="1442"/>
      <c r="G135" s="1442"/>
      <c r="H135" s="1442"/>
      <c r="I135" s="1442"/>
      <c r="J135" s="1442"/>
      <c r="K135" s="1442"/>
      <c r="L135" s="1442"/>
      <c r="M135" s="1442"/>
      <c r="N135" s="1442"/>
      <c r="O135" s="1442"/>
      <c r="P135" s="1442"/>
      <c r="Q135" s="1442"/>
      <c r="R135" s="1442"/>
      <c r="S135" s="1442"/>
      <c r="T135" s="1444"/>
      <c r="U135" s="1452"/>
      <c r="V135" s="1452"/>
      <c r="W135" t="str">
        <f t="shared" si="19"/>
        <v/>
      </c>
      <c r="CB135" s="1418" t="str">
        <f t="shared" si="20"/>
        <v/>
      </c>
      <c r="CC135" s="1418" t="str">
        <f t="shared" si="21"/>
        <v/>
      </c>
      <c r="CD135" s="1418" t="str">
        <f t="shared" si="22"/>
        <v/>
      </c>
      <c r="CM135" s="1420">
        <f t="shared" si="23"/>
        <v>0</v>
      </c>
      <c r="CN135" s="1420">
        <f t="shared" si="24"/>
        <v>0</v>
      </c>
      <c r="CO135" s="1420">
        <f t="shared" si="25"/>
        <v>0</v>
      </c>
    </row>
    <row r="136" spans="1:93" ht="15" customHeight="1">
      <c r="A136" s="1512" t="s">
        <v>1342</v>
      </c>
      <c r="B136" s="422">
        <f t="shared" si="18"/>
        <v>0</v>
      </c>
      <c r="C136" s="1440"/>
      <c r="D136" s="1442"/>
      <c r="E136" s="1442"/>
      <c r="F136" s="1442"/>
      <c r="G136" s="1442"/>
      <c r="H136" s="1442"/>
      <c r="I136" s="1442"/>
      <c r="J136" s="1442"/>
      <c r="K136" s="1442"/>
      <c r="L136" s="1442"/>
      <c r="M136" s="1442"/>
      <c r="N136" s="1442"/>
      <c r="O136" s="1442"/>
      <c r="P136" s="1442"/>
      <c r="Q136" s="1442"/>
      <c r="R136" s="1442"/>
      <c r="S136" s="1442"/>
      <c r="T136" s="1444"/>
      <c r="U136" s="1452"/>
      <c r="V136" s="1452"/>
      <c r="W136" t="str">
        <f t="shared" si="19"/>
        <v/>
      </c>
      <c r="CB136" s="1418" t="str">
        <f t="shared" si="20"/>
        <v/>
      </c>
      <c r="CC136" s="1418" t="str">
        <f t="shared" si="21"/>
        <v/>
      </c>
      <c r="CD136" s="1418" t="str">
        <f t="shared" si="22"/>
        <v/>
      </c>
      <c r="CM136" s="1420">
        <f t="shared" si="23"/>
        <v>0</v>
      </c>
      <c r="CN136" s="1420">
        <f t="shared" si="24"/>
        <v>0</v>
      </c>
      <c r="CO136" s="1420">
        <f t="shared" si="25"/>
        <v>0</v>
      </c>
    </row>
    <row r="137" spans="1:93" ht="15" customHeight="1">
      <c r="A137" s="1512" t="s">
        <v>1343</v>
      </c>
      <c r="B137" s="422">
        <f t="shared" si="18"/>
        <v>0</v>
      </c>
      <c r="C137" s="1440"/>
      <c r="D137" s="1442"/>
      <c r="E137" s="1442"/>
      <c r="F137" s="1442"/>
      <c r="G137" s="1442"/>
      <c r="H137" s="1442"/>
      <c r="I137" s="1442"/>
      <c r="J137" s="1442"/>
      <c r="K137" s="1442"/>
      <c r="L137" s="1442"/>
      <c r="M137" s="1442"/>
      <c r="N137" s="1442"/>
      <c r="O137" s="1442"/>
      <c r="P137" s="1442"/>
      <c r="Q137" s="1442"/>
      <c r="R137" s="1442"/>
      <c r="S137" s="1442"/>
      <c r="T137" s="1444"/>
      <c r="U137" s="1452"/>
      <c r="V137" s="1452"/>
      <c r="W137" t="str">
        <f t="shared" si="19"/>
        <v/>
      </c>
      <c r="CB137" s="1418" t="str">
        <f t="shared" si="20"/>
        <v/>
      </c>
      <c r="CC137" s="1418" t="str">
        <f t="shared" si="21"/>
        <v/>
      </c>
      <c r="CD137" s="1418" t="str">
        <f t="shared" si="22"/>
        <v/>
      </c>
      <c r="CM137" s="1420">
        <f t="shared" si="23"/>
        <v>0</v>
      </c>
      <c r="CN137" s="1420">
        <f t="shared" si="24"/>
        <v>0</v>
      </c>
      <c r="CO137" s="1420">
        <f t="shared" si="25"/>
        <v>0</v>
      </c>
    </row>
    <row r="138" spans="1:93" ht="15" customHeight="1">
      <c r="A138" s="1512" t="s">
        <v>1344</v>
      </c>
      <c r="B138" s="422">
        <f t="shared" si="18"/>
        <v>0</v>
      </c>
      <c r="C138" s="1440"/>
      <c r="D138" s="1442"/>
      <c r="E138" s="1442"/>
      <c r="F138" s="1442"/>
      <c r="G138" s="1442"/>
      <c r="H138" s="1442"/>
      <c r="I138" s="1442"/>
      <c r="J138" s="1442"/>
      <c r="K138" s="1442"/>
      <c r="L138" s="1442"/>
      <c r="M138" s="1442"/>
      <c r="N138" s="1442"/>
      <c r="O138" s="1442"/>
      <c r="P138" s="1442"/>
      <c r="Q138" s="1442"/>
      <c r="R138" s="1442"/>
      <c r="S138" s="1442"/>
      <c r="T138" s="1444"/>
      <c r="U138" s="1452"/>
      <c r="V138" s="1452"/>
      <c r="W138" t="str">
        <f t="shared" si="19"/>
        <v/>
      </c>
      <c r="CB138" s="1418" t="str">
        <f t="shared" si="20"/>
        <v/>
      </c>
      <c r="CC138" s="1418" t="str">
        <f t="shared" si="21"/>
        <v/>
      </c>
      <c r="CD138" s="1418" t="str">
        <f t="shared" si="22"/>
        <v/>
      </c>
      <c r="CM138" s="1420">
        <f t="shared" si="23"/>
        <v>0</v>
      </c>
      <c r="CN138" s="1420">
        <f t="shared" si="24"/>
        <v>0</v>
      </c>
      <c r="CO138" s="1420">
        <f t="shared" si="25"/>
        <v>0</v>
      </c>
    </row>
    <row r="139" spans="1:93" ht="15" customHeight="1">
      <c r="A139" s="1512" t="s">
        <v>1345</v>
      </c>
      <c r="B139" s="422">
        <f t="shared" si="18"/>
        <v>0</v>
      </c>
      <c r="C139" s="1440"/>
      <c r="D139" s="1442"/>
      <c r="E139" s="1442"/>
      <c r="F139" s="1442"/>
      <c r="G139" s="1442"/>
      <c r="H139" s="1442"/>
      <c r="I139" s="1442"/>
      <c r="J139" s="1442"/>
      <c r="K139" s="1442"/>
      <c r="L139" s="1442"/>
      <c r="M139" s="1442"/>
      <c r="N139" s="1442"/>
      <c r="O139" s="1442"/>
      <c r="P139" s="1442"/>
      <c r="Q139" s="1442"/>
      <c r="R139" s="1442"/>
      <c r="S139" s="1442"/>
      <c r="T139" s="1444"/>
      <c r="U139" s="1452"/>
      <c r="V139" s="1452"/>
      <c r="W139" t="str">
        <f t="shared" si="19"/>
        <v/>
      </c>
      <c r="CB139" s="1418" t="str">
        <f t="shared" si="20"/>
        <v/>
      </c>
      <c r="CC139" s="1418" t="str">
        <f t="shared" si="21"/>
        <v/>
      </c>
      <c r="CD139" s="1418" t="str">
        <f t="shared" si="22"/>
        <v/>
      </c>
      <c r="CM139" s="1420">
        <f t="shared" si="23"/>
        <v>0</v>
      </c>
      <c r="CN139" s="1420">
        <f t="shared" si="24"/>
        <v>0</v>
      </c>
      <c r="CO139" s="1420">
        <f t="shared" si="25"/>
        <v>0</v>
      </c>
    </row>
    <row r="140" spans="1:93" ht="15" customHeight="1">
      <c r="A140" s="1512" t="s">
        <v>1346</v>
      </c>
      <c r="B140" s="422">
        <f t="shared" si="18"/>
        <v>0</v>
      </c>
      <c r="C140" s="1440"/>
      <c r="D140" s="1442"/>
      <c r="E140" s="1442"/>
      <c r="F140" s="1442"/>
      <c r="G140" s="1442"/>
      <c r="H140" s="1442"/>
      <c r="I140" s="1442"/>
      <c r="J140" s="1442"/>
      <c r="K140" s="1442"/>
      <c r="L140" s="1442"/>
      <c r="M140" s="1442"/>
      <c r="N140" s="1442"/>
      <c r="O140" s="1442"/>
      <c r="P140" s="1442"/>
      <c r="Q140" s="1442"/>
      <c r="R140" s="1442"/>
      <c r="S140" s="1442"/>
      <c r="T140" s="1444"/>
      <c r="U140" s="1452"/>
      <c r="V140" s="1452"/>
      <c r="W140" t="str">
        <f t="shared" si="19"/>
        <v/>
      </c>
      <c r="CB140" s="1418" t="str">
        <f t="shared" si="20"/>
        <v/>
      </c>
      <c r="CC140" s="1418" t="str">
        <f t="shared" si="21"/>
        <v/>
      </c>
      <c r="CD140" s="1418" t="str">
        <f t="shared" si="22"/>
        <v/>
      </c>
      <c r="CM140" s="1420">
        <f t="shared" si="23"/>
        <v>0</v>
      </c>
      <c r="CN140" s="1420">
        <f t="shared" si="24"/>
        <v>0</v>
      </c>
      <c r="CO140" s="1420">
        <f t="shared" si="25"/>
        <v>0</v>
      </c>
    </row>
    <row r="141" spans="1:93" ht="15" customHeight="1">
      <c r="A141" s="1512" t="s">
        <v>1347</v>
      </c>
      <c r="B141" s="422">
        <f t="shared" si="18"/>
        <v>0</v>
      </c>
      <c r="C141" s="1440"/>
      <c r="D141" s="1442"/>
      <c r="E141" s="1442"/>
      <c r="F141" s="1442"/>
      <c r="G141" s="1442"/>
      <c r="H141" s="1442"/>
      <c r="I141" s="1442"/>
      <c r="J141" s="1442"/>
      <c r="K141" s="1442"/>
      <c r="L141" s="1442"/>
      <c r="M141" s="1442"/>
      <c r="N141" s="1442"/>
      <c r="O141" s="1442"/>
      <c r="P141" s="1442"/>
      <c r="Q141" s="1442"/>
      <c r="R141" s="1442"/>
      <c r="S141" s="1442"/>
      <c r="T141" s="1444"/>
      <c r="U141" s="1452"/>
      <c r="V141" s="1452"/>
      <c r="W141" t="str">
        <f t="shared" si="19"/>
        <v/>
      </c>
      <c r="CB141" s="1418" t="str">
        <f t="shared" si="20"/>
        <v/>
      </c>
      <c r="CC141" s="1418" t="str">
        <f t="shared" si="21"/>
        <v/>
      </c>
      <c r="CD141" s="1418" t="str">
        <f t="shared" si="22"/>
        <v/>
      </c>
      <c r="CM141" s="1420">
        <f t="shared" si="23"/>
        <v>0</v>
      </c>
      <c r="CN141" s="1420">
        <f t="shared" si="24"/>
        <v>0</v>
      </c>
      <c r="CO141" s="1420">
        <f t="shared" si="25"/>
        <v>0</v>
      </c>
    </row>
    <row r="142" spans="1:93" ht="15" customHeight="1">
      <c r="A142" s="1512" t="s">
        <v>1348</v>
      </c>
      <c r="B142" s="422">
        <f t="shared" si="18"/>
        <v>0</v>
      </c>
      <c r="C142" s="1440"/>
      <c r="D142" s="1442"/>
      <c r="E142" s="1442"/>
      <c r="F142" s="1442"/>
      <c r="G142" s="1442"/>
      <c r="H142" s="1442"/>
      <c r="I142" s="1442"/>
      <c r="J142" s="1442"/>
      <c r="K142" s="1442"/>
      <c r="L142" s="1442"/>
      <c r="M142" s="1442"/>
      <c r="N142" s="1442"/>
      <c r="O142" s="1442"/>
      <c r="P142" s="1442"/>
      <c r="Q142" s="1442"/>
      <c r="R142" s="1442"/>
      <c r="S142" s="1442"/>
      <c r="T142" s="1444"/>
      <c r="U142" s="1452"/>
      <c r="V142" s="1452"/>
      <c r="W142" t="str">
        <f t="shared" si="19"/>
        <v/>
      </c>
      <c r="CB142" s="1418" t="str">
        <f t="shared" si="20"/>
        <v/>
      </c>
      <c r="CC142" s="1418" t="str">
        <f t="shared" si="21"/>
        <v/>
      </c>
      <c r="CD142" s="1418" t="str">
        <f t="shared" si="22"/>
        <v/>
      </c>
      <c r="CM142" s="1420">
        <f t="shared" si="23"/>
        <v>0</v>
      </c>
      <c r="CN142" s="1420">
        <f t="shared" si="24"/>
        <v>0</v>
      </c>
      <c r="CO142" s="1420">
        <f t="shared" si="25"/>
        <v>0</v>
      </c>
    </row>
    <row r="143" spans="1:93" ht="15" customHeight="1">
      <c r="A143" s="1512" t="s">
        <v>1349</v>
      </c>
      <c r="B143" s="1728">
        <f t="shared" si="18"/>
        <v>0</v>
      </c>
      <c r="C143" s="1440"/>
      <c r="D143" s="1442"/>
      <c r="E143" s="1442"/>
      <c r="F143" s="1442"/>
      <c r="G143" s="1442"/>
      <c r="H143" s="1442"/>
      <c r="I143" s="1442"/>
      <c r="J143" s="1442"/>
      <c r="K143" s="1442"/>
      <c r="L143" s="1442"/>
      <c r="M143" s="1442"/>
      <c r="N143" s="1442"/>
      <c r="O143" s="1442"/>
      <c r="P143" s="1442"/>
      <c r="Q143" s="1442"/>
      <c r="R143" s="1442"/>
      <c r="S143" s="1442"/>
      <c r="T143" s="1444"/>
      <c r="U143" s="1452"/>
      <c r="V143" s="1452"/>
      <c r="W143" t="str">
        <f t="shared" si="19"/>
        <v/>
      </c>
      <c r="CB143" s="1418" t="str">
        <f t="shared" si="20"/>
        <v/>
      </c>
      <c r="CC143" s="1418" t="str">
        <f t="shared" si="21"/>
        <v/>
      </c>
      <c r="CD143" s="1418" t="str">
        <f t="shared" si="22"/>
        <v/>
      </c>
      <c r="CM143" s="1420">
        <f t="shared" si="23"/>
        <v>0</v>
      </c>
      <c r="CN143" s="1420">
        <f t="shared" si="24"/>
        <v>0</v>
      </c>
      <c r="CO143" s="1420">
        <f t="shared" si="25"/>
        <v>0</v>
      </c>
    </row>
    <row r="144" spans="1:93" ht="15" customHeight="1">
      <c r="A144" s="1512" t="s">
        <v>1350</v>
      </c>
      <c r="B144" s="422">
        <f t="shared" si="18"/>
        <v>0</v>
      </c>
      <c r="C144" s="1440"/>
      <c r="D144" s="1442"/>
      <c r="E144" s="1442"/>
      <c r="F144" s="1442"/>
      <c r="G144" s="1442"/>
      <c r="H144" s="1442"/>
      <c r="I144" s="1442"/>
      <c r="J144" s="1442"/>
      <c r="K144" s="1442"/>
      <c r="L144" s="1442"/>
      <c r="M144" s="1442"/>
      <c r="N144" s="1442"/>
      <c r="O144" s="1442"/>
      <c r="P144" s="1442"/>
      <c r="Q144" s="1442"/>
      <c r="R144" s="1442"/>
      <c r="S144" s="1442"/>
      <c r="T144" s="1444"/>
      <c r="U144" s="1452"/>
      <c r="V144" s="1452"/>
      <c r="W144" t="str">
        <f t="shared" si="19"/>
        <v/>
      </c>
      <c r="CB144" s="1418" t="str">
        <f t="shared" si="20"/>
        <v/>
      </c>
      <c r="CC144" s="1418" t="str">
        <f t="shared" si="21"/>
        <v/>
      </c>
      <c r="CD144" s="1418" t="str">
        <f t="shared" si="22"/>
        <v/>
      </c>
      <c r="CM144" s="1420">
        <f t="shared" si="23"/>
        <v>0</v>
      </c>
      <c r="CN144" s="1420">
        <f t="shared" si="24"/>
        <v>0</v>
      </c>
      <c r="CO144" s="1420">
        <f t="shared" si="25"/>
        <v>0</v>
      </c>
    </row>
    <row r="145" spans="1:98" ht="23.25" customHeight="1">
      <c r="A145" s="2366" t="s">
        <v>1351</v>
      </c>
      <c r="B145" s="431">
        <f t="shared" si="18"/>
        <v>0</v>
      </c>
      <c r="C145" s="1765"/>
      <c r="D145" s="2367"/>
      <c r="E145" s="2367"/>
      <c r="F145" s="1457"/>
      <c r="G145" s="1457"/>
      <c r="H145" s="1457"/>
      <c r="I145" s="1457"/>
      <c r="J145" s="1457"/>
      <c r="K145" s="1457"/>
      <c r="L145" s="1457"/>
      <c r="M145" s="1457"/>
      <c r="N145" s="1457"/>
      <c r="O145" s="1457"/>
      <c r="P145" s="1457"/>
      <c r="Q145" s="1457"/>
      <c r="R145" s="1457"/>
      <c r="S145" s="1457"/>
      <c r="T145" s="1459"/>
      <c r="U145" s="1467"/>
      <c r="V145" s="1467"/>
      <c r="W145" t="str">
        <f t="shared" si="19"/>
        <v/>
      </c>
      <c r="CB145" s="1418" t="str">
        <f t="shared" si="20"/>
        <v/>
      </c>
      <c r="CC145" s="1418" t="str">
        <f t="shared" si="21"/>
        <v/>
      </c>
      <c r="CD145" s="1418" t="str">
        <f t="shared" si="22"/>
        <v/>
      </c>
      <c r="CM145" s="1420">
        <f t="shared" si="23"/>
        <v>0</v>
      </c>
      <c r="CN145" s="1420">
        <f t="shared" si="24"/>
        <v>0</v>
      </c>
      <c r="CO145" s="1420">
        <f t="shared" si="25"/>
        <v>0</v>
      </c>
    </row>
    <row r="146" spans="1:98" ht="15" customHeight="1">
      <c r="A146" s="2368" t="s">
        <v>209</v>
      </c>
      <c r="B146" s="1527">
        <f t="shared" ref="B146:V146" si="26">SUM(B129:B145)</f>
        <v>0</v>
      </c>
      <c r="C146" s="1658">
        <f t="shared" si="26"/>
        <v>0</v>
      </c>
      <c r="D146" s="1720">
        <f t="shared" si="26"/>
        <v>0</v>
      </c>
      <c r="E146" s="1720">
        <f t="shared" si="26"/>
        <v>0</v>
      </c>
      <c r="F146" s="1720">
        <f t="shared" si="26"/>
        <v>0</v>
      </c>
      <c r="G146" s="1720">
        <f>SUM(G129:G145)</f>
        <v>0</v>
      </c>
      <c r="H146" s="1720">
        <f t="shared" si="26"/>
        <v>0</v>
      </c>
      <c r="I146" s="1720">
        <f t="shared" si="26"/>
        <v>0</v>
      </c>
      <c r="J146" s="1720">
        <f t="shared" si="26"/>
        <v>0</v>
      </c>
      <c r="K146" s="1720">
        <f t="shared" si="26"/>
        <v>0</v>
      </c>
      <c r="L146" s="1720">
        <f t="shared" si="26"/>
        <v>0</v>
      </c>
      <c r="M146" s="1720">
        <f t="shared" si="26"/>
        <v>0</v>
      </c>
      <c r="N146" s="1720">
        <f t="shared" si="26"/>
        <v>0</v>
      </c>
      <c r="O146" s="1720">
        <f t="shared" si="26"/>
        <v>0</v>
      </c>
      <c r="P146" s="1720">
        <f t="shared" si="26"/>
        <v>0</v>
      </c>
      <c r="Q146" s="1720">
        <f t="shared" si="26"/>
        <v>0</v>
      </c>
      <c r="R146" s="1720">
        <f t="shared" si="26"/>
        <v>0</v>
      </c>
      <c r="S146" s="1720">
        <f t="shared" si="26"/>
        <v>0</v>
      </c>
      <c r="T146" s="1767">
        <f t="shared" si="26"/>
        <v>0</v>
      </c>
      <c r="U146" s="1719">
        <f t="shared" si="26"/>
        <v>0</v>
      </c>
      <c r="V146" s="1719">
        <f t="shared" si="26"/>
        <v>0</v>
      </c>
    </row>
    <row r="147" spans="1:98" s="385" customFormat="1" ht="18" customHeight="1">
      <c r="A147" s="2338" t="s">
        <v>1352</v>
      </c>
      <c r="B147" s="2283"/>
      <c r="C147" s="2283"/>
      <c r="D147" s="2283"/>
      <c r="E147" s="2283"/>
      <c r="F147" s="1468"/>
      <c r="G147" s="1493"/>
      <c r="H147" s="1493"/>
      <c r="I147" s="1493"/>
      <c r="J147" s="1493"/>
      <c r="K147" s="1493"/>
      <c r="L147" s="1493"/>
      <c r="M147" s="1493"/>
      <c r="N147" s="1493"/>
      <c r="O147" s="1493"/>
      <c r="P147" s="1493"/>
      <c r="Q147" s="1493"/>
      <c r="R147" s="1493"/>
      <c r="S147" s="1493"/>
      <c r="T147" s="1493"/>
      <c r="U147" s="1493"/>
      <c r="V147" s="1493"/>
      <c r="W147" s="1493"/>
      <c r="X147" s="1493"/>
      <c r="Y147" s="1493"/>
      <c r="Z147" s="1493"/>
      <c r="AA147" s="1493"/>
      <c r="AB147" s="1493"/>
      <c r="AC147" s="1493"/>
      <c r="AD147" s="1493"/>
      <c r="AE147" s="1493"/>
      <c r="AF147" s="1493"/>
      <c r="AG147" s="1493"/>
      <c r="AH147" s="1493"/>
      <c r="AI147" s="1493"/>
      <c r="AJ147" s="1493"/>
      <c r="AK147" s="1493"/>
      <c r="AL147" s="1493"/>
      <c r="AM147" s="1493"/>
      <c r="AN147" s="1493"/>
      <c r="AO147" s="1493"/>
      <c r="AP147" s="1493"/>
      <c r="AQ147" s="1493"/>
      <c r="CB147" s="1470"/>
      <c r="CC147" s="1470"/>
      <c r="CD147" s="1470"/>
      <c r="CE147" s="1470"/>
      <c r="CF147" s="1470"/>
      <c r="CG147" s="1470"/>
      <c r="CH147" s="1470"/>
      <c r="CI147" s="1470"/>
      <c r="CJ147" s="1470"/>
      <c r="CK147" s="1470"/>
      <c r="CL147" s="1470"/>
      <c r="CM147" s="1470"/>
      <c r="CN147" s="1470"/>
      <c r="CO147" s="1470"/>
      <c r="CP147" s="1470"/>
      <c r="CQ147" s="1470"/>
      <c r="CR147" s="1470"/>
      <c r="CS147" s="1470"/>
      <c r="CT147" s="1470"/>
    </row>
    <row r="148" spans="1:98" ht="15" customHeight="1">
      <c r="A148" s="6152" t="s">
        <v>41</v>
      </c>
      <c r="B148" s="6154"/>
      <c r="C148" s="6152" t="s">
        <v>209</v>
      </c>
      <c r="D148" s="6153"/>
      <c r="E148" s="6154"/>
      <c r="F148" s="5707" t="s">
        <v>115</v>
      </c>
      <c r="G148" s="5708"/>
      <c r="H148" s="5708"/>
      <c r="I148" s="5708"/>
      <c r="J148" s="5708"/>
      <c r="K148" s="5708"/>
      <c r="L148" s="5708"/>
      <c r="M148" s="5708"/>
      <c r="N148" s="5708"/>
      <c r="O148" s="5708"/>
      <c r="P148" s="5708"/>
      <c r="Q148" s="5708"/>
      <c r="R148" s="5708"/>
      <c r="S148" s="5708"/>
      <c r="T148" s="5708"/>
      <c r="U148" s="5708"/>
      <c r="V148" s="5708"/>
      <c r="W148" s="5708"/>
      <c r="X148" s="5708"/>
      <c r="Y148" s="5708"/>
      <c r="Z148" s="5708"/>
      <c r="AA148" s="5708"/>
      <c r="AB148" s="5708"/>
      <c r="AC148" s="5708"/>
      <c r="AD148" s="5708"/>
      <c r="AE148" s="5708"/>
      <c r="AF148" s="5708"/>
      <c r="AG148" s="5708"/>
      <c r="AH148" s="5708"/>
      <c r="AI148" s="5708"/>
      <c r="AJ148" s="5708"/>
      <c r="AK148" s="5708"/>
      <c r="AL148" s="5708"/>
      <c r="AM148" s="5708"/>
      <c r="AN148" s="5708"/>
      <c r="AO148" s="6147"/>
      <c r="AP148" s="6203" t="s">
        <v>625</v>
      </c>
      <c r="AQ148" s="6135" t="s">
        <v>1353</v>
      </c>
      <c r="AR148" s="6135" t="s">
        <v>50</v>
      </c>
      <c r="AS148" s="6248" t="s">
        <v>51</v>
      </c>
      <c r="AT148" s="6416" t="s">
        <v>1354</v>
      </c>
      <c r="AU148" s="6417"/>
      <c r="AV148" s="6140" t="s">
        <v>1355</v>
      </c>
      <c r="AW148" s="6119"/>
    </row>
    <row r="149" spans="1:98">
      <c r="A149" s="6447"/>
      <c r="B149" s="6448"/>
      <c r="C149" s="6155"/>
      <c r="D149" s="6156"/>
      <c r="E149" s="6157"/>
      <c r="F149" s="5710" t="s">
        <v>364</v>
      </c>
      <c r="G149" s="5712"/>
      <c r="H149" s="5710" t="s">
        <v>347</v>
      </c>
      <c r="I149" s="5712"/>
      <c r="J149" s="5710" t="s">
        <v>108</v>
      </c>
      <c r="K149" s="5712"/>
      <c r="L149" s="5710" t="s">
        <v>1235</v>
      </c>
      <c r="M149" s="5712"/>
      <c r="N149" s="5710" t="s">
        <v>1356</v>
      </c>
      <c r="O149" s="5712"/>
      <c r="P149" s="5710" t="s">
        <v>59</v>
      </c>
      <c r="Q149" s="5712"/>
      <c r="R149" s="5707" t="s">
        <v>60</v>
      </c>
      <c r="S149" s="5709"/>
      <c r="T149" s="5707" t="s">
        <v>61</v>
      </c>
      <c r="U149" s="5709"/>
      <c r="V149" s="5707" t="s">
        <v>62</v>
      </c>
      <c r="W149" s="5709"/>
      <c r="X149" s="5707" t="s">
        <v>63</v>
      </c>
      <c r="Y149" s="5709"/>
      <c r="Z149" s="5707" t="s">
        <v>64</v>
      </c>
      <c r="AA149" s="5709"/>
      <c r="AB149" s="5707" t="s">
        <v>65</v>
      </c>
      <c r="AC149" s="5709"/>
      <c r="AD149" s="5707" t="s">
        <v>66</v>
      </c>
      <c r="AE149" s="5709"/>
      <c r="AF149" s="5707" t="s">
        <v>67</v>
      </c>
      <c r="AG149" s="5709"/>
      <c r="AH149" s="5707" t="s">
        <v>68</v>
      </c>
      <c r="AI149" s="5709"/>
      <c r="AJ149" s="5707" t="s">
        <v>69</v>
      </c>
      <c r="AK149" s="5709"/>
      <c r="AL149" s="5707" t="s">
        <v>70</v>
      </c>
      <c r="AM149" s="5709"/>
      <c r="AN149" s="5707" t="s">
        <v>71</v>
      </c>
      <c r="AO149" s="6147"/>
      <c r="AP149" s="6268"/>
      <c r="AQ149" s="6302"/>
      <c r="AR149" s="6302"/>
      <c r="AS149" s="6404"/>
      <c r="AT149" s="6418"/>
      <c r="AU149" s="6419"/>
      <c r="AV149" s="6402"/>
      <c r="AW149" s="6403"/>
    </row>
    <row r="150" spans="1:98">
      <c r="A150" s="6155"/>
      <c r="B150" s="6157"/>
      <c r="C150" s="396" t="s">
        <v>93</v>
      </c>
      <c r="D150" s="1397" t="s">
        <v>72</v>
      </c>
      <c r="E150" s="390" t="s">
        <v>73</v>
      </c>
      <c r="F150" s="1395" t="s">
        <v>72</v>
      </c>
      <c r="G150" s="1391" t="s">
        <v>73</v>
      </c>
      <c r="H150" s="1395" t="s">
        <v>72</v>
      </c>
      <c r="I150" s="1391" t="s">
        <v>73</v>
      </c>
      <c r="J150" s="1395" t="s">
        <v>72</v>
      </c>
      <c r="K150" s="1391" t="s">
        <v>73</v>
      </c>
      <c r="L150" s="1395" t="s">
        <v>72</v>
      </c>
      <c r="M150" s="1391" t="s">
        <v>73</v>
      </c>
      <c r="N150" s="1395" t="s">
        <v>72</v>
      </c>
      <c r="O150" s="1391" t="s">
        <v>73</v>
      </c>
      <c r="P150" s="1395" t="s">
        <v>72</v>
      </c>
      <c r="Q150" s="1391" t="s">
        <v>73</v>
      </c>
      <c r="R150" s="1395" t="s">
        <v>72</v>
      </c>
      <c r="S150" s="1391" t="s">
        <v>73</v>
      </c>
      <c r="T150" s="1395" t="s">
        <v>72</v>
      </c>
      <c r="U150" s="1391" t="s">
        <v>73</v>
      </c>
      <c r="V150" s="1395" t="s">
        <v>72</v>
      </c>
      <c r="W150" s="1391" t="s">
        <v>73</v>
      </c>
      <c r="X150" s="1395" t="s">
        <v>72</v>
      </c>
      <c r="Y150" s="1391" t="s">
        <v>73</v>
      </c>
      <c r="Z150" s="1395" t="s">
        <v>72</v>
      </c>
      <c r="AA150" s="1391" t="s">
        <v>73</v>
      </c>
      <c r="AB150" s="1395" t="s">
        <v>72</v>
      </c>
      <c r="AC150" s="1391" t="s">
        <v>73</v>
      </c>
      <c r="AD150" s="1395" t="s">
        <v>72</v>
      </c>
      <c r="AE150" s="1391" t="s">
        <v>73</v>
      </c>
      <c r="AF150" s="1395" t="s">
        <v>72</v>
      </c>
      <c r="AG150" s="1391" t="s">
        <v>73</v>
      </c>
      <c r="AH150" s="1395" t="s">
        <v>72</v>
      </c>
      <c r="AI150" s="1391" t="s">
        <v>73</v>
      </c>
      <c r="AJ150" s="1395" t="s">
        <v>72</v>
      </c>
      <c r="AK150" s="1391" t="s">
        <v>73</v>
      </c>
      <c r="AL150" s="1395" t="s">
        <v>72</v>
      </c>
      <c r="AM150" s="1391" t="s">
        <v>73</v>
      </c>
      <c r="AN150" s="1395" t="s">
        <v>72</v>
      </c>
      <c r="AO150" s="394" t="s">
        <v>73</v>
      </c>
      <c r="AP150" s="6204"/>
      <c r="AQ150" s="6136"/>
      <c r="AR150" s="6136"/>
      <c r="AS150" s="6249"/>
      <c r="AT150" s="2369" t="s">
        <v>1357</v>
      </c>
      <c r="AU150" s="2370" t="s">
        <v>1139</v>
      </c>
      <c r="AV150" s="1473" t="s">
        <v>1358</v>
      </c>
      <c r="AW150" s="1500" t="s">
        <v>1359</v>
      </c>
    </row>
    <row r="151" spans="1:98">
      <c r="A151" s="6446" t="s">
        <v>112</v>
      </c>
      <c r="B151" s="6160"/>
      <c r="C151" s="1743">
        <f>SUM(D151+E151)</f>
        <v>0</v>
      </c>
      <c r="D151" s="2371">
        <f>SUM(F151+H151+J151+L151+N151+P151+R151+T151+V151+X151+Z151+AB151+AD151+AF151+AH151+AJ151+AL151+AN151)</f>
        <v>0</v>
      </c>
      <c r="E151" s="2137">
        <f>SUM(G151+I151+K151+M151+O151+Q151+S151+U151+W151+Y151+AA151+AC151+AE151+AG151+AI151+AK151+AM151+AO151)</f>
        <v>0</v>
      </c>
      <c r="F151" s="1405"/>
      <c r="G151" s="1417"/>
      <c r="H151" s="1405"/>
      <c r="I151" s="1417"/>
      <c r="J151" s="1405"/>
      <c r="K151" s="1846"/>
      <c r="L151" s="1405"/>
      <c r="M151" s="1846"/>
      <c r="N151" s="1405"/>
      <c r="O151" s="1846"/>
      <c r="P151" s="1405"/>
      <c r="Q151" s="1846"/>
      <c r="R151" s="1405"/>
      <c r="S151" s="1846"/>
      <c r="T151" s="1405"/>
      <c r="U151" s="1846"/>
      <c r="V151" s="1405"/>
      <c r="W151" s="1846"/>
      <c r="X151" s="1405"/>
      <c r="Y151" s="1846"/>
      <c r="Z151" s="1405"/>
      <c r="AA151" s="1846"/>
      <c r="AB151" s="1405"/>
      <c r="AC151" s="1846"/>
      <c r="AD151" s="1405"/>
      <c r="AE151" s="1846"/>
      <c r="AF151" s="1405"/>
      <c r="AG151" s="1846"/>
      <c r="AH151" s="1405"/>
      <c r="AI151" s="1846"/>
      <c r="AJ151" s="1405"/>
      <c r="AK151" s="1846"/>
      <c r="AL151" s="1405"/>
      <c r="AM151" s="1846"/>
      <c r="AN151" s="2138"/>
      <c r="AO151" s="1409"/>
      <c r="AP151" s="1907"/>
      <c r="AQ151" s="1518"/>
      <c r="AR151" s="1518"/>
      <c r="AS151" s="1821"/>
      <c r="AT151" s="1405"/>
      <c r="AU151" s="1846"/>
      <c r="AV151" s="2372"/>
      <c r="AW151" s="2373"/>
      <c r="AX151" t="str">
        <f t="shared" ref="AX151:AX156" si="27">CB151&amp;CC151&amp;CD151&amp;CE151&amp;CF151&amp;CG151</f>
        <v/>
      </c>
      <c r="CB151" s="1418" t="str">
        <f t="shared" ref="CB151:CB161" si="28">IF(AND(C151&gt;0,AP151="")," * No olvide digitar la variable Beneficiarios. Digite Cero si no tiene.",IF(AP151&gt;C151," *  La variable Beneficiarios No puede ser mayor al Total Ambos Sexos.",""))</f>
        <v/>
      </c>
      <c r="CC151" s="1418" t="str">
        <f t="shared" ref="CC151:CC161" si="29">IF(AND(C151&gt;0,AQ151="")," * No olvide digitar la variable Total de Controles. Digite Cero si no tiene.",IF(AQ151&gt;C151,"  * La variable Total de Controles No puede ser mayor al Total Ambos Sexos.",""))</f>
        <v/>
      </c>
      <c r="CD151" s="1418" t="str">
        <f t="shared" ref="CD151:CD161" si="30">IF(AND(C151&gt;0,AR151="")," * No olvide digitar la variable Pueblos Originarios. Digite Cero si no tiene.",IF(AR151&gt;C151," * La variable Pueblos Originarios No puede ser mayor al Total Ambos Sexos.",""))</f>
        <v/>
      </c>
      <c r="CE151" s="1418" t="str">
        <f t="shared" ref="CE151:CE161" si="31">IF(AND($C151&gt;0,AS151="")," * No olvide digitar la variable Migrantes. Digite Cero si no tiene.",IF(AS151&gt;$C151," * La variable Migrantes No puede ser mayor al Total Ambos Sexos.",""))</f>
        <v/>
      </c>
      <c r="CF151" s="1418" t="str">
        <f t="shared" ref="CF151:CF161" si="32">IF(AND($C151&gt;0,AT151="",AU151="")," * No olvide digitar la variable Atenciones pacientes oncológicos. Digite Cero si no tiene.",IF(AT151+AU151&gt;$C151," * La suma de las variables Atenciones pacientes oncológicos No puede ser mayor al Total Ambos Sexos.",""))</f>
        <v/>
      </c>
      <c r="CG151" s="1868"/>
      <c r="CN151" s="1420">
        <f t="shared" ref="CN151:CN177" si="33">IF(AND(C151&gt;0,AP151=""),1,IF(AP151&gt;C151,1,0))</f>
        <v>0</v>
      </c>
      <c r="CO151" s="1420">
        <f t="shared" ref="CO151:CO161" si="34">IF(AND(C151&gt;0,AQ151=""),1,IF(AQ151&gt;C151,1,0))</f>
        <v>0</v>
      </c>
      <c r="CP151" s="1420">
        <f t="shared" ref="CP151:CP161" si="35">IF(AND(C151&gt;0,AR151=""),1,IF(AR151&gt;C151,1,0))</f>
        <v>0</v>
      </c>
      <c r="CQ151" s="1420">
        <f t="shared" ref="CQ151:CQ177" si="36">IF(AND(C151&gt;0,AS151=""),1,IF(AS151&gt;C151,1,0))</f>
        <v>0</v>
      </c>
      <c r="CR151" s="1421">
        <f t="shared" ref="CR151:CR161" si="37">IF(AND($C151&gt;0,AT151="",AU151=""),1,IF(AT151+AU151&gt;$C151,1,0))</f>
        <v>0</v>
      </c>
      <c r="CS151" s="1868"/>
    </row>
    <row r="152" spans="1:98">
      <c r="A152" s="5718" t="s">
        <v>79</v>
      </c>
      <c r="B152" s="1422" t="s">
        <v>1360</v>
      </c>
      <c r="C152" s="2002">
        <f t="shared" ref="C152:C153" si="38">SUM(D152:E152)</f>
        <v>0</v>
      </c>
      <c r="D152" s="2374"/>
      <c r="E152" s="2294">
        <f t="shared" ref="E152:E153" si="39">SUM(K152+M152+O152+Q152+S152+U152+W152+Y152+AA152+AC152+AE152+AG152+AI152+AK152+AM152+AO152)</f>
        <v>0</v>
      </c>
      <c r="F152" s="2197"/>
      <c r="G152" s="2198"/>
      <c r="H152" s="2197"/>
      <c r="I152" s="2198"/>
      <c r="J152" s="2197"/>
      <c r="K152" s="1676"/>
      <c r="L152" s="2197"/>
      <c r="M152" s="1676"/>
      <c r="N152" s="2197"/>
      <c r="O152" s="1676"/>
      <c r="P152" s="2197"/>
      <c r="Q152" s="1676"/>
      <c r="R152" s="2197"/>
      <c r="S152" s="1676"/>
      <c r="T152" s="2197"/>
      <c r="U152" s="1676"/>
      <c r="V152" s="2197"/>
      <c r="W152" s="1676"/>
      <c r="X152" s="2197"/>
      <c r="Y152" s="1676"/>
      <c r="Z152" s="2197"/>
      <c r="AA152" s="1676"/>
      <c r="AB152" s="2197"/>
      <c r="AC152" s="1676"/>
      <c r="AD152" s="2197"/>
      <c r="AE152" s="1676"/>
      <c r="AF152" s="2197"/>
      <c r="AG152" s="1676"/>
      <c r="AH152" s="2197"/>
      <c r="AI152" s="1676"/>
      <c r="AJ152" s="2197"/>
      <c r="AK152" s="1676"/>
      <c r="AL152" s="2197"/>
      <c r="AM152" s="1676"/>
      <c r="AN152" s="2197"/>
      <c r="AO152" s="1428"/>
      <c r="AP152" s="1707"/>
      <c r="AQ152" s="1426"/>
      <c r="AR152" s="1426"/>
      <c r="AS152" s="1676"/>
      <c r="AT152" s="1424"/>
      <c r="AU152" s="1676"/>
      <c r="AV152" s="2375"/>
      <c r="AW152" s="2376"/>
      <c r="AX152" t="str">
        <f t="shared" si="27"/>
        <v/>
      </c>
      <c r="CB152" s="1418" t="str">
        <f t="shared" si="28"/>
        <v/>
      </c>
      <c r="CC152" s="1418" t="str">
        <f t="shared" si="29"/>
        <v/>
      </c>
      <c r="CD152" s="1418" t="str">
        <f t="shared" si="30"/>
        <v/>
      </c>
      <c r="CE152" s="1418" t="str">
        <f t="shared" si="31"/>
        <v/>
      </c>
      <c r="CF152" s="1418" t="str">
        <f t="shared" si="32"/>
        <v/>
      </c>
      <c r="CG152" s="1868"/>
      <c r="CN152" s="1420">
        <f t="shared" si="33"/>
        <v>0</v>
      </c>
      <c r="CO152" s="1420">
        <f t="shared" si="34"/>
        <v>0</v>
      </c>
      <c r="CP152" s="1420">
        <f t="shared" si="35"/>
        <v>0</v>
      </c>
      <c r="CQ152" s="1420">
        <f t="shared" si="36"/>
        <v>0</v>
      </c>
      <c r="CR152" s="1421">
        <f t="shared" si="37"/>
        <v>0</v>
      </c>
      <c r="CS152" s="1868"/>
    </row>
    <row r="153" spans="1:98">
      <c r="A153" s="6110"/>
      <c r="B153" s="1512" t="s">
        <v>1361</v>
      </c>
      <c r="C153" s="2002">
        <f t="shared" si="38"/>
        <v>0</v>
      </c>
      <c r="D153" s="2377"/>
      <c r="E153" s="2295">
        <f t="shared" si="39"/>
        <v>0</v>
      </c>
      <c r="F153" s="2378"/>
      <c r="G153" s="2379"/>
      <c r="H153" s="2378"/>
      <c r="I153" s="2379"/>
      <c r="J153" s="2378"/>
      <c r="K153" s="1769"/>
      <c r="L153" s="2378"/>
      <c r="M153" s="1769"/>
      <c r="N153" s="2378"/>
      <c r="O153" s="1769"/>
      <c r="P153" s="2378"/>
      <c r="Q153" s="1769"/>
      <c r="R153" s="2378"/>
      <c r="S153" s="1769"/>
      <c r="T153" s="2378"/>
      <c r="U153" s="1769"/>
      <c r="V153" s="2378"/>
      <c r="W153" s="1769"/>
      <c r="X153" s="2378"/>
      <c r="Y153" s="1769"/>
      <c r="Z153" s="2378"/>
      <c r="AA153" s="1769"/>
      <c r="AB153" s="2378"/>
      <c r="AC153" s="1769"/>
      <c r="AD153" s="2378"/>
      <c r="AE153" s="1769"/>
      <c r="AF153" s="2378"/>
      <c r="AG153" s="1769"/>
      <c r="AH153" s="2378"/>
      <c r="AI153" s="1769"/>
      <c r="AJ153" s="2378"/>
      <c r="AK153" s="1769"/>
      <c r="AL153" s="2378"/>
      <c r="AM153" s="1769"/>
      <c r="AN153" s="2380"/>
      <c r="AO153" s="1481"/>
      <c r="AP153" s="1754"/>
      <c r="AQ153" s="1541"/>
      <c r="AR153" s="1541"/>
      <c r="AS153" s="1769"/>
      <c r="AT153" s="1480"/>
      <c r="AU153" s="1769"/>
      <c r="AV153" s="2381"/>
      <c r="AW153" s="2382"/>
      <c r="AX153" t="str">
        <f t="shared" si="27"/>
        <v/>
      </c>
      <c r="CB153" s="1418" t="str">
        <f t="shared" si="28"/>
        <v/>
      </c>
      <c r="CC153" s="1418" t="str">
        <f t="shared" si="29"/>
        <v/>
      </c>
      <c r="CD153" s="1418" t="str">
        <f t="shared" si="30"/>
        <v/>
      </c>
      <c r="CE153" s="1418" t="str">
        <f t="shared" si="31"/>
        <v/>
      </c>
      <c r="CF153" s="1418" t="str">
        <f t="shared" si="32"/>
        <v/>
      </c>
      <c r="CG153" s="1868"/>
      <c r="CN153" s="1420">
        <f t="shared" si="33"/>
        <v>0</v>
      </c>
      <c r="CO153" s="1420">
        <f t="shared" si="34"/>
        <v>0</v>
      </c>
      <c r="CP153" s="1420">
        <f t="shared" si="35"/>
        <v>0</v>
      </c>
      <c r="CQ153" s="1420">
        <f t="shared" si="36"/>
        <v>0</v>
      </c>
      <c r="CR153" s="1421">
        <f t="shared" si="37"/>
        <v>0</v>
      </c>
      <c r="CS153" s="1868"/>
    </row>
    <row r="154" spans="1:98">
      <c r="A154" s="6110"/>
      <c r="B154" s="1691" t="s">
        <v>1362</v>
      </c>
      <c r="C154" s="1991">
        <f t="shared" ref="C154:C161" si="40">SUM(D154+E154)</f>
        <v>0</v>
      </c>
      <c r="D154" s="1738">
        <f>SUM(F154+H154+J154+L154+N154+P154+R154+T154+V154+X154+Z154+AB154+AD154+AF154+AH154+AJ154+AL154+AN154)</f>
        <v>0</v>
      </c>
      <c r="E154" s="1739">
        <f>SUM(G154+I154+K154+M154+O154+Q154+S154+U154+W154+Y154+AA154+AC154+AE154+AG154+AI154+AK154+AM154+AO154)</f>
        <v>0</v>
      </c>
      <c r="F154" s="1440"/>
      <c r="G154" s="1680"/>
      <c r="H154" s="1440"/>
      <c r="I154" s="1680"/>
      <c r="J154" s="1440"/>
      <c r="K154" s="1680"/>
      <c r="L154" s="1440"/>
      <c r="M154" s="1680"/>
      <c r="N154" s="1440"/>
      <c r="O154" s="1680"/>
      <c r="P154" s="1440"/>
      <c r="Q154" s="1680"/>
      <c r="R154" s="1440"/>
      <c r="S154" s="1680"/>
      <c r="T154" s="1440"/>
      <c r="U154" s="1680"/>
      <c r="V154" s="1440"/>
      <c r="W154" s="1680"/>
      <c r="X154" s="1440"/>
      <c r="Y154" s="1680"/>
      <c r="Z154" s="1440"/>
      <c r="AA154" s="1680"/>
      <c r="AB154" s="1440"/>
      <c r="AC154" s="1680"/>
      <c r="AD154" s="1440"/>
      <c r="AE154" s="1680"/>
      <c r="AF154" s="1440"/>
      <c r="AG154" s="1680"/>
      <c r="AH154" s="1440"/>
      <c r="AI154" s="1680"/>
      <c r="AJ154" s="1440"/>
      <c r="AK154" s="1680"/>
      <c r="AL154" s="1440"/>
      <c r="AM154" s="1680"/>
      <c r="AN154" s="1657"/>
      <c r="AO154" s="1444"/>
      <c r="AP154" s="1709"/>
      <c r="AQ154" s="1442"/>
      <c r="AR154" s="1442"/>
      <c r="AS154" s="1680"/>
      <c r="AT154" s="1440"/>
      <c r="AU154" s="1680"/>
      <c r="AV154" s="2381"/>
      <c r="AW154" s="2382"/>
      <c r="AX154" t="str">
        <f t="shared" si="27"/>
        <v/>
      </c>
      <c r="CB154" s="1418" t="str">
        <f t="shared" si="28"/>
        <v/>
      </c>
      <c r="CC154" s="1418" t="str">
        <f t="shared" si="29"/>
        <v/>
      </c>
      <c r="CD154" s="1418" t="str">
        <f t="shared" si="30"/>
        <v/>
      </c>
      <c r="CE154" s="1418" t="str">
        <f t="shared" si="31"/>
        <v/>
      </c>
      <c r="CF154" s="1418" t="str">
        <f t="shared" si="32"/>
        <v/>
      </c>
      <c r="CG154" s="1868"/>
      <c r="CN154" s="1420">
        <f t="shared" si="33"/>
        <v>0</v>
      </c>
      <c r="CO154" s="1420">
        <f t="shared" si="34"/>
        <v>0</v>
      </c>
      <c r="CP154" s="1420">
        <f t="shared" si="35"/>
        <v>0</v>
      </c>
      <c r="CQ154" s="1420">
        <f t="shared" si="36"/>
        <v>0</v>
      </c>
      <c r="CR154" s="1421">
        <f t="shared" si="37"/>
        <v>0</v>
      </c>
      <c r="CS154" s="1868"/>
    </row>
    <row r="155" spans="1:98">
      <c r="A155" s="5719"/>
      <c r="B155" s="1506" t="s">
        <v>1363</v>
      </c>
      <c r="C155" s="1755">
        <f t="shared" si="40"/>
        <v>0</v>
      </c>
      <c r="D155" s="1756">
        <f>SUM(P155+R155+T155+V155+X155+Z155+AB155+AD155)</f>
        <v>0</v>
      </c>
      <c r="E155" s="1757">
        <f>SUM(Q155+S155+U155+W155+Y155+AA155+AC155+AE155)</f>
        <v>0</v>
      </c>
      <c r="F155" s="1765"/>
      <c r="G155" s="1766"/>
      <c r="H155" s="1765"/>
      <c r="I155" s="1766"/>
      <c r="J155" s="1765"/>
      <c r="K155" s="1766"/>
      <c r="L155" s="1765"/>
      <c r="M155" s="1766"/>
      <c r="N155" s="1765"/>
      <c r="O155" s="1766"/>
      <c r="P155" s="1455"/>
      <c r="Q155" s="1684"/>
      <c r="R155" s="1455"/>
      <c r="S155" s="1684"/>
      <c r="T155" s="1455"/>
      <c r="U155" s="1684"/>
      <c r="V155" s="1455"/>
      <c r="W155" s="1684"/>
      <c r="X155" s="1455"/>
      <c r="Y155" s="1684"/>
      <c r="Z155" s="1455"/>
      <c r="AA155" s="1684"/>
      <c r="AB155" s="1455"/>
      <c r="AC155" s="1467"/>
      <c r="AD155" s="1455"/>
      <c r="AE155" s="1684"/>
      <c r="AF155" s="1765"/>
      <c r="AG155" s="1766"/>
      <c r="AH155" s="1765"/>
      <c r="AI155" s="1766"/>
      <c r="AJ155" s="1765"/>
      <c r="AK155" s="1766"/>
      <c r="AL155" s="1765"/>
      <c r="AM155" s="1766"/>
      <c r="AN155" s="1765"/>
      <c r="AO155" s="2383"/>
      <c r="AP155" s="1714"/>
      <c r="AQ155" s="1457"/>
      <c r="AR155" s="1457"/>
      <c r="AS155" s="1684"/>
      <c r="AT155" s="1455"/>
      <c r="AU155" s="1684"/>
      <c r="AV155" s="2384"/>
      <c r="AW155" s="2385"/>
      <c r="AX155" t="str">
        <f t="shared" si="27"/>
        <v/>
      </c>
      <c r="CB155" s="1418" t="str">
        <f t="shared" si="28"/>
        <v/>
      </c>
      <c r="CC155" s="1418" t="str">
        <f t="shared" si="29"/>
        <v/>
      </c>
      <c r="CD155" s="1418" t="str">
        <f t="shared" si="30"/>
        <v/>
      </c>
      <c r="CE155" s="1418" t="str">
        <f t="shared" si="31"/>
        <v/>
      </c>
      <c r="CF155" s="1418" t="str">
        <f t="shared" si="32"/>
        <v/>
      </c>
      <c r="CG155" s="1868"/>
      <c r="CN155" s="1420">
        <f t="shared" si="33"/>
        <v>0</v>
      </c>
      <c r="CO155" s="1420">
        <f t="shared" si="34"/>
        <v>0</v>
      </c>
      <c r="CP155" s="1420">
        <f t="shared" si="35"/>
        <v>0</v>
      </c>
      <c r="CQ155" s="1420">
        <f t="shared" si="36"/>
        <v>0</v>
      </c>
      <c r="CR155" s="1421">
        <f t="shared" si="37"/>
        <v>0</v>
      </c>
      <c r="CS155" s="1868"/>
    </row>
    <row r="156" spans="1:98">
      <c r="A156" s="6394" t="s">
        <v>119</v>
      </c>
      <c r="B156" s="6395"/>
      <c r="C156" s="1751">
        <f t="shared" si="40"/>
        <v>0</v>
      </c>
      <c r="D156" s="1752">
        <f>SUM(F156+H156+J156+L156+N156+P156+R156+T156+V156+X156+Z156+AB156+AD156+AF156+AH156+AJ156+AL156+AN156)</f>
        <v>0</v>
      </c>
      <c r="E156" s="1739">
        <f t="shared" ref="E156:E161" si="41">SUM(G156+I156+K156+M156+O156+Q156+S156+U156+W156+Y156+AA156+AC156+AE156+AG156+AI156+AK156+AM156+AO156)</f>
        <v>0</v>
      </c>
      <c r="F156" s="1480"/>
      <c r="G156" s="1545"/>
      <c r="H156" s="1480"/>
      <c r="I156" s="1545"/>
      <c r="J156" s="1480"/>
      <c r="K156" s="1769"/>
      <c r="L156" s="1480"/>
      <c r="M156" s="1769"/>
      <c r="N156" s="1480"/>
      <c r="O156" s="1769"/>
      <c r="P156" s="1480"/>
      <c r="Q156" s="1769"/>
      <c r="R156" s="1480"/>
      <c r="S156" s="1769"/>
      <c r="T156" s="1480"/>
      <c r="U156" s="1769"/>
      <c r="V156" s="1480"/>
      <c r="W156" s="1769"/>
      <c r="X156" s="1480"/>
      <c r="Y156" s="1769"/>
      <c r="Z156" s="1480"/>
      <c r="AA156" s="1769"/>
      <c r="AB156" s="1480"/>
      <c r="AC156" s="1769"/>
      <c r="AD156" s="1480"/>
      <c r="AE156" s="1769"/>
      <c r="AF156" s="1480"/>
      <c r="AG156" s="1769"/>
      <c r="AH156" s="1480"/>
      <c r="AI156" s="1769"/>
      <c r="AJ156" s="1480"/>
      <c r="AK156" s="1545"/>
      <c r="AL156" s="1480"/>
      <c r="AM156" s="1545"/>
      <c r="AN156" s="1768"/>
      <c r="AO156" s="1481"/>
      <c r="AP156" s="1754"/>
      <c r="AQ156" s="1541"/>
      <c r="AR156" s="1541"/>
      <c r="AS156" s="1769"/>
      <c r="AT156" s="1480"/>
      <c r="AU156" s="1769"/>
      <c r="AV156" s="2375"/>
      <c r="AW156" s="2376"/>
      <c r="AX156" t="str">
        <f t="shared" si="27"/>
        <v/>
      </c>
      <c r="CB156" s="1418" t="str">
        <f t="shared" si="28"/>
        <v/>
      </c>
      <c r="CC156" s="1418" t="str">
        <f t="shared" si="29"/>
        <v/>
      </c>
      <c r="CD156" s="1418" t="str">
        <f t="shared" si="30"/>
        <v/>
      </c>
      <c r="CE156" s="1418" t="str">
        <f t="shared" si="31"/>
        <v/>
      </c>
      <c r="CF156" s="1418" t="str">
        <f t="shared" si="32"/>
        <v/>
      </c>
      <c r="CG156" s="1868"/>
      <c r="CN156" s="1420">
        <f t="shared" si="33"/>
        <v>0</v>
      </c>
      <c r="CO156" s="1420">
        <f t="shared" si="34"/>
        <v>0</v>
      </c>
      <c r="CP156" s="1420">
        <f t="shared" si="35"/>
        <v>0</v>
      </c>
      <c r="CQ156" s="1420">
        <f t="shared" si="36"/>
        <v>0</v>
      </c>
      <c r="CR156" s="1421">
        <f t="shared" si="37"/>
        <v>0</v>
      </c>
      <c r="CS156" s="1868"/>
    </row>
    <row r="157" spans="1:98">
      <c r="A157" s="6384" t="s">
        <v>1364</v>
      </c>
      <c r="B157" s="6385"/>
      <c r="C157" s="1737">
        <f t="shared" si="40"/>
        <v>0</v>
      </c>
      <c r="D157" s="1738">
        <f t="shared" ref="D157:D160" si="42">SUM(F157+H157+J157+N157+L157+P157+R157+T157+V157+X157+Z157+AB157+AD157+AF157+AH157+AJ157+AL157+AN157)</f>
        <v>0</v>
      </c>
      <c r="E157" s="1739">
        <f t="shared" si="41"/>
        <v>0</v>
      </c>
      <c r="F157" s="1440"/>
      <c r="G157" s="1452"/>
      <c r="H157" s="1440"/>
      <c r="I157" s="1452"/>
      <c r="J157" s="1440"/>
      <c r="K157" s="1680"/>
      <c r="L157" s="1440"/>
      <c r="M157" s="1680"/>
      <c r="N157" s="1440"/>
      <c r="O157" s="1680"/>
      <c r="P157" s="1440"/>
      <c r="Q157" s="1680"/>
      <c r="R157" s="1440"/>
      <c r="S157" s="1680"/>
      <c r="T157" s="1440"/>
      <c r="U157" s="1680"/>
      <c r="V157" s="1440"/>
      <c r="W157" s="1680"/>
      <c r="X157" s="1440"/>
      <c r="Y157" s="1680"/>
      <c r="Z157" s="1440"/>
      <c r="AA157" s="1680"/>
      <c r="AB157" s="1440"/>
      <c r="AC157" s="1680"/>
      <c r="AD157" s="1440"/>
      <c r="AE157" s="1452"/>
      <c r="AF157" s="1440"/>
      <c r="AG157" s="1452"/>
      <c r="AH157" s="1440"/>
      <c r="AI157" s="1452"/>
      <c r="AJ157" s="1440"/>
      <c r="AK157" s="1452"/>
      <c r="AL157" s="1440"/>
      <c r="AM157" s="1452"/>
      <c r="AN157" s="1657"/>
      <c r="AO157" s="1444"/>
      <c r="AP157" s="1709"/>
      <c r="AQ157" s="1442"/>
      <c r="AR157" s="1442"/>
      <c r="AS157" s="1680"/>
      <c r="AT157" s="1440"/>
      <c r="AU157" s="1680"/>
      <c r="AV157" s="1440"/>
      <c r="AW157" s="1680"/>
      <c r="AX157" t="str">
        <f>CB157&amp;CC157&amp;CD157&amp;CE157&amp;CF157&amp;CG157&amp;CH157</f>
        <v/>
      </c>
      <c r="CB157" s="1418" t="str">
        <f t="shared" si="28"/>
        <v/>
      </c>
      <c r="CC157" s="1418" t="str">
        <f t="shared" si="29"/>
        <v/>
      </c>
      <c r="CD157" s="1418" t="str">
        <f t="shared" si="30"/>
        <v/>
      </c>
      <c r="CE157" s="1418" t="str">
        <f t="shared" si="31"/>
        <v/>
      </c>
      <c r="CF157" s="1418" t="str">
        <f t="shared" si="32"/>
        <v/>
      </c>
      <c r="CG157" s="1418" t="str">
        <f>IF(AND(N157+O157+P157+Q157+R157+S157&gt;0,AV157="")," * No olvide digitar la variable Atenciones pacientes PACTOS 18 a 29 años. Digite Cero si no tiene.",IF(AV157&gt;N157+O157+P157+Q157+R157+S157," * La variable Atenciones pacientes PACTOS 18 a 29 años No puede ser mayor la sumatoria de los grupos de edad de 18 a 29 años.",""))</f>
        <v/>
      </c>
      <c r="CH157" s="1418" t="str">
        <f>IF(AND(T157+U157+V157+W157+X157+Y157+Z157+AA157+AB157+AC157+AD157+AE157+AF157+AG157+AH157+AI157+AJ157+AK157+AL157+AM157+AN157+AO157&gt;0,AW157="")," * No olvide digitar la variable Atenciones pacientes PACTOS 30 años y más. Digite Cero si no tiene.",IF(AW157&gt;T157+U157+V157+W157+X157+Y157+Z157+AA157+AB157+AC157+AD157+AE157+AF157+AG157+AH157+AI157+AJ157+AK157+AL157+AM157+AN157+AO157," * La variable Atenciones pacientes PACTOS 30 años y más No puede ser mayor la sumatoria de los grupos de edad de 30 y más años.",""))</f>
        <v/>
      </c>
      <c r="CN157" s="1420">
        <f t="shared" si="33"/>
        <v>0</v>
      </c>
      <c r="CO157" s="1420">
        <f t="shared" si="34"/>
        <v>0</v>
      </c>
      <c r="CP157" s="1420">
        <f t="shared" si="35"/>
        <v>0</v>
      </c>
      <c r="CQ157" s="1420">
        <f t="shared" si="36"/>
        <v>0</v>
      </c>
      <c r="CR157" s="1421">
        <f t="shared" si="37"/>
        <v>0</v>
      </c>
      <c r="CS157" s="1421">
        <f>IF(AND(N157+O157+P157+Q157+R157+S157&gt;0,AV157=""),1,IF(AV157&gt;N157+O157+P157+Q157+R157+S157,1,0))</f>
        <v>0</v>
      </c>
      <c r="CT157" s="1421">
        <f>IF(AND(T157+U157+V157+W157+X157+Y157+Z157+AA157+AB157+AC157+AD157+AE157+AF157+AG157+AH157+AI157+AJ157+AK157+AL157+AM157+AN157+AO157&gt;0,AW157=""),1,IF(AW157&gt;T157+U157+V157+W157+X157+Y157+Z157+AA157+AB157+AC157+AD157+AE157+AF157+AG157+AH157+AI157+AJ157+AK157+AL157+AM157+AN157+AO157,1,0))</f>
        <v>0</v>
      </c>
    </row>
    <row r="158" spans="1:98">
      <c r="A158" s="6449" t="s">
        <v>526</v>
      </c>
      <c r="B158" s="6450"/>
      <c r="C158" s="2389">
        <f t="shared" si="40"/>
        <v>0</v>
      </c>
      <c r="D158" s="1738">
        <f t="shared" si="42"/>
        <v>0</v>
      </c>
      <c r="E158" s="1739">
        <f t="shared" si="41"/>
        <v>0</v>
      </c>
      <c r="F158" s="1440"/>
      <c r="G158" s="1452"/>
      <c r="H158" s="1440"/>
      <c r="I158" s="1452"/>
      <c r="J158" s="1440"/>
      <c r="K158" s="1680"/>
      <c r="L158" s="1440"/>
      <c r="M158" s="1680"/>
      <c r="N158" s="1440"/>
      <c r="O158" s="1680"/>
      <c r="P158" s="1440"/>
      <c r="Q158" s="1680"/>
      <c r="R158" s="1440"/>
      <c r="S158" s="1680"/>
      <c r="T158" s="1440"/>
      <c r="U158" s="1680"/>
      <c r="V158" s="1440"/>
      <c r="W158" s="1680"/>
      <c r="X158" s="1440"/>
      <c r="Y158" s="1680"/>
      <c r="Z158" s="1440"/>
      <c r="AA158" s="1680"/>
      <c r="AB158" s="1440"/>
      <c r="AC158" s="1680"/>
      <c r="AD158" s="1440"/>
      <c r="AE158" s="1452"/>
      <c r="AF158" s="1440"/>
      <c r="AG158" s="1452"/>
      <c r="AH158" s="1440"/>
      <c r="AI158" s="1452"/>
      <c r="AJ158" s="1440"/>
      <c r="AK158" s="1452"/>
      <c r="AL158" s="1440"/>
      <c r="AM158" s="1452"/>
      <c r="AN158" s="1657"/>
      <c r="AO158" s="1444"/>
      <c r="AP158" s="1709"/>
      <c r="AQ158" s="1442"/>
      <c r="AR158" s="1442"/>
      <c r="AS158" s="1680"/>
      <c r="AT158" s="1440"/>
      <c r="AU158" s="1680"/>
      <c r="AV158" s="2381"/>
      <c r="AW158" s="2382"/>
      <c r="AX158" t="str">
        <f>CB158&amp;CC158&amp;CD158&amp;CE158&amp;CF158&amp;CG158</f>
        <v/>
      </c>
      <c r="CB158" s="1418" t="str">
        <f t="shared" si="28"/>
        <v/>
      </c>
      <c r="CC158" s="1418" t="str">
        <f t="shared" si="29"/>
        <v/>
      </c>
      <c r="CD158" s="1418" t="str">
        <f t="shared" si="30"/>
        <v/>
      </c>
      <c r="CE158" s="1418" t="str">
        <f t="shared" si="31"/>
        <v/>
      </c>
      <c r="CF158" s="1418" t="str">
        <f t="shared" si="32"/>
        <v/>
      </c>
      <c r="CG158" s="1868"/>
      <c r="CN158" s="1420">
        <f t="shared" si="33"/>
        <v>0</v>
      </c>
      <c r="CO158" s="1420">
        <f t="shared" si="34"/>
        <v>0</v>
      </c>
      <c r="CP158" s="1420">
        <f t="shared" si="35"/>
        <v>0</v>
      </c>
      <c r="CQ158" s="1420">
        <f t="shared" si="36"/>
        <v>0</v>
      </c>
      <c r="CR158" s="1421">
        <f t="shared" si="37"/>
        <v>0</v>
      </c>
      <c r="CS158" s="1868"/>
    </row>
    <row r="159" spans="1:98">
      <c r="A159" s="6384" t="s">
        <v>1365</v>
      </c>
      <c r="B159" s="6385"/>
      <c r="C159" s="1737">
        <f t="shared" si="40"/>
        <v>0</v>
      </c>
      <c r="D159" s="1738">
        <f t="shared" si="42"/>
        <v>0</v>
      </c>
      <c r="E159" s="1739">
        <f t="shared" si="41"/>
        <v>0</v>
      </c>
      <c r="F159" s="1440"/>
      <c r="G159" s="1452"/>
      <c r="H159" s="1440"/>
      <c r="I159" s="1452"/>
      <c r="J159" s="1440"/>
      <c r="K159" s="1680"/>
      <c r="L159" s="1440"/>
      <c r="M159" s="1680"/>
      <c r="N159" s="1440"/>
      <c r="O159" s="1680"/>
      <c r="P159" s="1440"/>
      <c r="Q159" s="1680"/>
      <c r="R159" s="1440"/>
      <c r="S159" s="1680"/>
      <c r="T159" s="1440"/>
      <c r="U159" s="1680"/>
      <c r="V159" s="1440"/>
      <c r="W159" s="1680"/>
      <c r="X159" s="1440"/>
      <c r="Y159" s="1680"/>
      <c r="Z159" s="1440"/>
      <c r="AA159" s="1680"/>
      <c r="AB159" s="1440"/>
      <c r="AC159" s="1680"/>
      <c r="AD159" s="1440"/>
      <c r="AE159" s="1680"/>
      <c r="AF159" s="1440"/>
      <c r="AG159" s="1680"/>
      <c r="AH159" s="1440"/>
      <c r="AI159" s="1680"/>
      <c r="AJ159" s="1440"/>
      <c r="AK159" s="1452"/>
      <c r="AL159" s="1440"/>
      <c r="AM159" s="1452"/>
      <c r="AN159" s="1657"/>
      <c r="AO159" s="1444"/>
      <c r="AP159" s="1709"/>
      <c r="AQ159" s="1442"/>
      <c r="AR159" s="1442"/>
      <c r="AS159" s="1680"/>
      <c r="AT159" s="1440"/>
      <c r="AU159" s="1680"/>
      <c r="AV159" s="1440"/>
      <c r="AW159" s="1680"/>
      <c r="AX159" t="str">
        <f t="shared" ref="AX159:AX161" si="43">CB159&amp;CC159&amp;CD159&amp;CE159&amp;CF159&amp;CG159&amp;CH159</f>
        <v/>
      </c>
      <c r="CB159" s="1418" t="str">
        <f t="shared" si="28"/>
        <v/>
      </c>
      <c r="CC159" s="1418" t="str">
        <f t="shared" si="29"/>
        <v/>
      </c>
      <c r="CD159" s="1418" t="str">
        <f t="shared" si="30"/>
        <v/>
      </c>
      <c r="CE159" s="1418" t="str">
        <f t="shared" si="31"/>
        <v/>
      </c>
      <c r="CF159" s="1418" t="str">
        <f t="shared" si="32"/>
        <v/>
      </c>
      <c r="CG159" s="1418" t="str">
        <f t="shared" ref="CG159:CG161" si="44">IF(AND(N159+O159+P159+Q159+R159+S159&gt;0,AV159="")," * No olvide digitar la variable Atenciones pacientes PACTOS 18 a 29 años. Digite Cero si no tiene.",IF(AV159&gt;N159+O159+P159+Q159+R159+S159," * La variable Atenciones pacientes PACTOS 18 a 29 años No puede ser mayor la sumatoria de los grupos de edad de 18 a 29 años.",""))</f>
        <v/>
      </c>
      <c r="CH159" s="1418" t="str">
        <f t="shared" ref="CH159:CH161" si="45">IF(AND(T159+U159+V159+W159+X159+Y159+Z159+AA159+AB159+AC159+AD159+AE159+AF159+AG159+AH159+AI159+AJ159+AK159+AL159+AM159+AN159+AO159&gt;0,AW159="")," * No olvide digitar la variable Atenciones pacientes PACTOS 30 años y más. Digite Cero si no tiene.",IF(AW159&gt;T159+U159+V159+W159+X159+Y159+Z159+AA159+AB159+AC159+AD159+AE159+AF159+AG159+AH159+AI159+AJ159+AK159+AL159+AM159+AN159+AO159," * La variable Atenciones pacientes PACTOS 30 años y más No puede ser mayor la sumatoria de los grupos de edad de 30 y más años.",""))</f>
        <v/>
      </c>
      <c r="CN159" s="1420">
        <f t="shared" si="33"/>
        <v>0</v>
      </c>
      <c r="CO159" s="1420">
        <f t="shared" si="34"/>
        <v>0</v>
      </c>
      <c r="CP159" s="1420">
        <f t="shared" si="35"/>
        <v>0</v>
      </c>
      <c r="CQ159" s="1420">
        <f t="shared" si="36"/>
        <v>0</v>
      </c>
      <c r="CR159" s="1421">
        <f t="shared" si="37"/>
        <v>0</v>
      </c>
      <c r="CS159" s="1421">
        <f t="shared" ref="CS159:CS161" si="46">IF(AND(N159+O159+P159+Q159+R159+S159&gt;0,AV159=""),1,IF(AV159&gt;N159+O159+P159+Q159+R159+S159,1,0))</f>
        <v>0</v>
      </c>
      <c r="CT159" s="1421">
        <f t="shared" ref="CT159:CT161" si="47">IF(AND(T159+U159+V159+W159+X159+Y159+Z159+AA159+AB159+AC159+AD159+AE159+AF159+AG159+AH159+AI159+AJ159+AK159+AL159+AM159+AN159+AO159&gt;0,AW159=""),1,IF(AW159&gt;T159+U159+V159+W159+X159+Y159+Z159+AA159+AB159+AC159+AD159+AE159+AF159+AG159+AH159+AI159+AJ159+AK159+AL159+AM159+AN159+AO159,1,0))</f>
        <v>0</v>
      </c>
    </row>
    <row r="160" spans="1:98">
      <c r="A160" s="6384" t="s">
        <v>1066</v>
      </c>
      <c r="B160" s="6385"/>
      <c r="C160" s="1740">
        <f t="shared" si="40"/>
        <v>0</v>
      </c>
      <c r="D160" s="1738">
        <f t="shared" si="42"/>
        <v>0</v>
      </c>
      <c r="E160" s="1739">
        <f t="shared" si="41"/>
        <v>0</v>
      </c>
      <c r="F160" s="1485"/>
      <c r="G160" s="1692"/>
      <c r="H160" s="1485"/>
      <c r="I160" s="1692"/>
      <c r="J160" s="1485"/>
      <c r="K160" s="1824"/>
      <c r="L160" s="1485"/>
      <c r="M160" s="1824"/>
      <c r="N160" s="1485"/>
      <c r="O160" s="1824"/>
      <c r="P160" s="1485"/>
      <c r="Q160" s="1824"/>
      <c r="R160" s="1485"/>
      <c r="S160" s="1824"/>
      <c r="T160" s="1485"/>
      <c r="U160" s="1824"/>
      <c r="V160" s="1485"/>
      <c r="W160" s="1824"/>
      <c r="X160" s="1485"/>
      <c r="Y160" s="1824"/>
      <c r="Z160" s="1485"/>
      <c r="AA160" s="1824"/>
      <c r="AB160" s="1485"/>
      <c r="AC160" s="1824"/>
      <c r="AD160" s="1485"/>
      <c r="AE160" s="1824"/>
      <c r="AF160" s="1485"/>
      <c r="AG160" s="1824"/>
      <c r="AH160" s="1485"/>
      <c r="AI160" s="1824"/>
      <c r="AJ160" s="1485"/>
      <c r="AK160" s="1692"/>
      <c r="AL160" s="1485"/>
      <c r="AM160" s="1692"/>
      <c r="AN160" s="2121"/>
      <c r="AO160" s="1486"/>
      <c r="AP160" s="1711"/>
      <c r="AQ160" s="1712"/>
      <c r="AR160" s="1712"/>
      <c r="AS160" s="1824"/>
      <c r="AT160" s="1485"/>
      <c r="AU160" s="1824"/>
      <c r="AV160" s="1440"/>
      <c r="AW160" s="1680"/>
      <c r="AX160" t="str">
        <f t="shared" si="43"/>
        <v/>
      </c>
      <c r="CB160" s="1418" t="str">
        <f t="shared" si="28"/>
        <v/>
      </c>
      <c r="CC160" s="1418" t="str">
        <f t="shared" si="29"/>
        <v/>
      </c>
      <c r="CD160" s="1418" t="str">
        <f t="shared" si="30"/>
        <v/>
      </c>
      <c r="CE160" s="1418" t="str">
        <f t="shared" si="31"/>
        <v/>
      </c>
      <c r="CF160" s="1418" t="str">
        <f t="shared" si="32"/>
        <v/>
      </c>
      <c r="CG160" s="1418" t="str">
        <f t="shared" si="44"/>
        <v/>
      </c>
      <c r="CH160" s="1418" t="str">
        <f t="shared" si="45"/>
        <v/>
      </c>
      <c r="CN160" s="1420">
        <f t="shared" si="33"/>
        <v>0</v>
      </c>
      <c r="CO160" s="1420">
        <f t="shared" si="34"/>
        <v>0</v>
      </c>
      <c r="CP160" s="1420">
        <f t="shared" si="35"/>
        <v>0</v>
      </c>
      <c r="CQ160" s="1420">
        <f t="shared" si="36"/>
        <v>0</v>
      </c>
      <c r="CR160" s="1421">
        <f t="shared" si="37"/>
        <v>0</v>
      </c>
      <c r="CS160" s="1421">
        <f t="shared" si="46"/>
        <v>0</v>
      </c>
      <c r="CT160" s="1421">
        <f t="shared" si="47"/>
        <v>0</v>
      </c>
    </row>
    <row r="161" spans="1:98">
      <c r="A161" s="6386" t="s">
        <v>1068</v>
      </c>
      <c r="B161" s="6387"/>
      <c r="C161" s="1773">
        <f t="shared" si="40"/>
        <v>0</v>
      </c>
      <c r="D161" s="1774">
        <f>SUM(F161+H161+J161+L161+N161+P161+R161+T161+V161+X161+Z161+AB161+AD161+AF161+AH161+AJ161+AL161+AN161)</f>
        <v>0</v>
      </c>
      <c r="E161" s="1742">
        <f t="shared" si="41"/>
        <v>0</v>
      </c>
      <c r="F161" s="1455"/>
      <c r="G161" s="1467"/>
      <c r="H161" s="1455"/>
      <c r="I161" s="1467"/>
      <c r="J161" s="1455"/>
      <c r="K161" s="1684"/>
      <c r="L161" s="1455"/>
      <c r="M161" s="1684"/>
      <c r="N161" s="1455"/>
      <c r="O161" s="1684"/>
      <c r="P161" s="1455"/>
      <c r="Q161" s="1684"/>
      <c r="R161" s="1455"/>
      <c r="S161" s="1684"/>
      <c r="T161" s="1455"/>
      <c r="U161" s="1684"/>
      <c r="V161" s="1455"/>
      <c r="W161" s="1684"/>
      <c r="X161" s="1455"/>
      <c r="Y161" s="1684"/>
      <c r="Z161" s="1455"/>
      <c r="AA161" s="1684"/>
      <c r="AB161" s="1455"/>
      <c r="AC161" s="1684"/>
      <c r="AD161" s="1455"/>
      <c r="AE161" s="1684"/>
      <c r="AF161" s="1455"/>
      <c r="AG161" s="1684"/>
      <c r="AH161" s="1455"/>
      <c r="AI161" s="1684"/>
      <c r="AJ161" s="1455"/>
      <c r="AK161" s="1684"/>
      <c r="AL161" s="1455"/>
      <c r="AM161" s="1684"/>
      <c r="AN161" s="1664"/>
      <c r="AO161" s="1459"/>
      <c r="AP161" s="1714"/>
      <c r="AQ161" s="1457"/>
      <c r="AR161" s="1457"/>
      <c r="AS161" s="1684"/>
      <c r="AT161" s="1455"/>
      <c r="AU161" s="1684"/>
      <c r="AV161" s="1455"/>
      <c r="AW161" s="1684"/>
      <c r="AX161" t="str">
        <f t="shared" si="43"/>
        <v/>
      </c>
      <c r="CB161" s="1418" t="str">
        <f t="shared" si="28"/>
        <v/>
      </c>
      <c r="CC161" s="1418" t="str">
        <f t="shared" si="29"/>
        <v/>
      </c>
      <c r="CD161" s="1418" t="str">
        <f t="shared" si="30"/>
        <v/>
      </c>
      <c r="CE161" s="1418" t="str">
        <f t="shared" si="31"/>
        <v/>
      </c>
      <c r="CF161" s="1418" t="str">
        <f t="shared" si="32"/>
        <v/>
      </c>
      <c r="CG161" s="1418" t="str">
        <f t="shared" si="44"/>
        <v/>
      </c>
      <c r="CH161" s="1418" t="str">
        <f t="shared" si="45"/>
        <v/>
      </c>
      <c r="CN161" s="1420">
        <f t="shared" si="33"/>
        <v>0</v>
      </c>
      <c r="CO161" s="1420">
        <f t="shared" si="34"/>
        <v>0</v>
      </c>
      <c r="CP161" s="1420">
        <f t="shared" si="35"/>
        <v>0</v>
      </c>
      <c r="CQ161" s="1420">
        <f t="shared" si="36"/>
        <v>0</v>
      </c>
      <c r="CR161" s="1421">
        <f t="shared" si="37"/>
        <v>0</v>
      </c>
      <c r="CS161" s="1421">
        <f t="shared" si="46"/>
        <v>0</v>
      </c>
      <c r="CT161" s="1421">
        <f t="shared" si="47"/>
        <v>0</v>
      </c>
    </row>
    <row r="162" spans="1:98">
      <c r="A162" s="5710" t="s">
        <v>91</v>
      </c>
      <c r="B162" s="5712"/>
      <c r="C162" s="2144">
        <f t="shared" ref="C162:AS162" si="48">SUM(C151:C161)</f>
        <v>0</v>
      </c>
      <c r="D162" s="2145">
        <f t="shared" si="48"/>
        <v>0</v>
      </c>
      <c r="E162" s="2297">
        <f t="shared" si="48"/>
        <v>0</v>
      </c>
      <c r="F162" s="1658">
        <f t="shared" si="48"/>
        <v>0</v>
      </c>
      <c r="G162" s="1719">
        <f t="shared" si="48"/>
        <v>0</v>
      </c>
      <c r="H162" s="1658">
        <f t="shared" si="48"/>
        <v>0</v>
      </c>
      <c r="I162" s="1719">
        <f t="shared" si="48"/>
        <v>0</v>
      </c>
      <c r="J162" s="401">
        <f t="shared" si="48"/>
        <v>0</v>
      </c>
      <c r="K162" s="403">
        <f t="shared" si="48"/>
        <v>0</v>
      </c>
      <c r="L162" s="401">
        <f t="shared" si="48"/>
        <v>0</v>
      </c>
      <c r="M162" s="403">
        <f t="shared" si="48"/>
        <v>0</v>
      </c>
      <c r="N162" s="401">
        <f t="shared" ref="N162:O162" si="49">SUM(N151:N161)</f>
        <v>0</v>
      </c>
      <c r="O162" s="403">
        <f t="shared" si="49"/>
        <v>0</v>
      </c>
      <c r="P162" s="401">
        <f t="shared" si="48"/>
        <v>0</v>
      </c>
      <c r="Q162" s="403">
        <f t="shared" si="48"/>
        <v>0</v>
      </c>
      <c r="R162" s="401">
        <f t="shared" si="48"/>
        <v>0</v>
      </c>
      <c r="S162" s="403">
        <f t="shared" si="48"/>
        <v>0</v>
      </c>
      <c r="T162" s="401">
        <f t="shared" si="48"/>
        <v>0</v>
      </c>
      <c r="U162" s="403">
        <f t="shared" si="48"/>
        <v>0</v>
      </c>
      <c r="V162" s="401">
        <f t="shared" si="48"/>
        <v>0</v>
      </c>
      <c r="W162" s="403">
        <f t="shared" si="48"/>
        <v>0</v>
      </c>
      <c r="X162" s="401">
        <f t="shared" si="48"/>
        <v>0</v>
      </c>
      <c r="Y162" s="403">
        <f t="shared" si="48"/>
        <v>0</v>
      </c>
      <c r="Z162" s="401">
        <f t="shared" si="48"/>
        <v>0</v>
      </c>
      <c r="AA162" s="403">
        <f t="shared" si="48"/>
        <v>0</v>
      </c>
      <c r="AB162" s="401">
        <f t="shared" si="48"/>
        <v>0</v>
      </c>
      <c r="AC162" s="403">
        <f t="shared" si="48"/>
        <v>0</v>
      </c>
      <c r="AD162" s="401">
        <f t="shared" si="48"/>
        <v>0</v>
      </c>
      <c r="AE162" s="403">
        <f t="shared" si="48"/>
        <v>0</v>
      </c>
      <c r="AF162" s="401">
        <f t="shared" si="48"/>
        <v>0</v>
      </c>
      <c r="AG162" s="403">
        <f t="shared" si="48"/>
        <v>0</v>
      </c>
      <c r="AH162" s="401">
        <f t="shared" si="48"/>
        <v>0</v>
      </c>
      <c r="AI162" s="403">
        <f t="shared" si="48"/>
        <v>0</v>
      </c>
      <c r="AJ162" s="401">
        <f t="shared" si="48"/>
        <v>0</v>
      </c>
      <c r="AK162" s="403">
        <f t="shared" si="48"/>
        <v>0</v>
      </c>
      <c r="AL162" s="401">
        <f t="shared" si="48"/>
        <v>0</v>
      </c>
      <c r="AM162" s="403">
        <f t="shared" si="48"/>
        <v>0</v>
      </c>
      <c r="AN162" s="1555">
        <f t="shared" si="48"/>
        <v>0</v>
      </c>
      <c r="AO162" s="440">
        <f t="shared" si="48"/>
        <v>0</v>
      </c>
      <c r="AP162" s="1719">
        <f t="shared" si="48"/>
        <v>0</v>
      </c>
      <c r="AQ162" s="1527">
        <f t="shared" si="48"/>
        <v>0</v>
      </c>
      <c r="AR162" s="1527">
        <f t="shared" si="48"/>
        <v>0</v>
      </c>
      <c r="AS162" s="1719">
        <f t="shared" si="48"/>
        <v>0</v>
      </c>
      <c r="AT162" s="406">
        <f>SUM(AT151:AT161)</f>
        <v>0</v>
      </c>
      <c r="AU162" s="406">
        <f>SUM(AU151:AU161)</f>
        <v>0</v>
      </c>
      <c r="AV162" s="1527">
        <f>SUM(AV159:AV161)+AV157</f>
        <v>0</v>
      </c>
      <c r="AW162" s="1527">
        <f>SUM(AW159:AW161)+AW157</f>
        <v>0</v>
      </c>
    </row>
    <row r="163" spans="1:98" s="385" customFormat="1" ht="18" customHeight="1">
      <c r="A163" s="2283" t="s">
        <v>1366</v>
      </c>
      <c r="B163" s="1782"/>
      <c r="C163" s="1782"/>
      <c r="D163" s="1782"/>
      <c r="E163" s="1782"/>
      <c r="F163" s="2390"/>
      <c r="G163" s="2390"/>
      <c r="H163" s="2390"/>
      <c r="I163" s="2390"/>
      <c r="J163" s="1493"/>
      <c r="K163" s="1493"/>
      <c r="L163" s="1493"/>
      <c r="M163" s="1493"/>
      <c r="N163" s="1493"/>
      <c r="O163" s="1493"/>
      <c r="P163" s="1493"/>
      <c r="Q163" s="1493"/>
      <c r="R163" s="1493"/>
      <c r="S163" s="1493"/>
      <c r="T163" s="1493"/>
      <c r="U163" s="1493"/>
      <c r="V163" s="1493"/>
      <c r="W163" s="1493"/>
      <c r="X163" s="1493"/>
      <c r="Y163" s="1493"/>
      <c r="Z163" s="1493"/>
      <c r="AA163" s="1493"/>
      <c r="AB163" s="1493"/>
      <c r="AC163" s="1493"/>
      <c r="AD163" s="1493"/>
      <c r="AE163" s="1493"/>
      <c r="AF163" s="1493"/>
      <c r="AG163" s="1493"/>
      <c r="AH163" s="1493"/>
      <c r="AI163" s="1493"/>
      <c r="AJ163" s="1493"/>
      <c r="AK163" s="1493"/>
      <c r="AL163" s="1493"/>
      <c r="AM163" s="1493"/>
      <c r="AN163" s="1493"/>
      <c r="AO163" s="1493"/>
      <c r="AP163" s="1493"/>
      <c r="AQ163" s="1493"/>
      <c r="AR163" s="1493"/>
      <c r="AS163" s="1493"/>
      <c r="AT163" s="1493"/>
      <c r="CB163" s="1470"/>
      <c r="CC163" s="1470"/>
      <c r="CD163" s="1470"/>
      <c r="CE163" s="1470"/>
      <c r="CF163" s="1470"/>
      <c r="CG163" s="1470"/>
      <c r="CH163" s="1470"/>
      <c r="CJ163" s="1470"/>
      <c r="CK163" s="1470"/>
      <c r="CL163" s="1470"/>
      <c r="CM163" s="1470"/>
      <c r="CN163" s="1470"/>
      <c r="CO163" s="1470"/>
      <c r="CP163" s="1470"/>
      <c r="CQ163" s="1470"/>
      <c r="CR163" s="1470"/>
      <c r="CS163" s="1470"/>
      <c r="CT163" s="1470"/>
    </row>
    <row r="164" spans="1:98" ht="15" customHeight="1">
      <c r="A164" s="6298" t="s">
        <v>236</v>
      </c>
      <c r="B164" s="5718" t="s">
        <v>41</v>
      </c>
      <c r="C164" s="6152" t="s">
        <v>209</v>
      </c>
      <c r="D164" s="6153"/>
      <c r="E164" s="6154"/>
      <c r="F164" s="5707" t="s">
        <v>115</v>
      </c>
      <c r="G164" s="5708"/>
      <c r="H164" s="5708"/>
      <c r="I164" s="5708"/>
      <c r="J164" s="5708"/>
      <c r="K164" s="5708"/>
      <c r="L164" s="5708"/>
      <c r="M164" s="5708"/>
      <c r="N164" s="5708"/>
      <c r="O164" s="5708"/>
      <c r="P164" s="5708"/>
      <c r="Q164" s="5708"/>
      <c r="R164" s="5708"/>
      <c r="S164" s="5708"/>
      <c r="T164" s="5708"/>
      <c r="U164" s="5708"/>
      <c r="V164" s="5708"/>
      <c r="W164" s="5708"/>
      <c r="X164" s="5708"/>
      <c r="Y164" s="5708"/>
      <c r="Z164" s="5708"/>
      <c r="AA164" s="5708"/>
      <c r="AB164" s="5708"/>
      <c r="AC164" s="5708"/>
      <c r="AD164" s="5708"/>
      <c r="AE164" s="5708"/>
      <c r="AF164" s="5708"/>
      <c r="AG164" s="5708"/>
      <c r="AH164" s="5708"/>
      <c r="AI164" s="5708"/>
      <c r="AJ164" s="5708"/>
      <c r="AK164" s="5708"/>
      <c r="AL164" s="5708"/>
      <c r="AM164" s="5708"/>
      <c r="AN164" s="5708"/>
      <c r="AO164" s="6147"/>
      <c r="AP164" s="6119" t="s">
        <v>625</v>
      </c>
      <c r="AQ164" s="6140" t="s">
        <v>478</v>
      </c>
      <c r="AR164" s="6119"/>
      <c r="AS164" s="6381" t="s">
        <v>50</v>
      </c>
      <c r="AT164" s="6413" t="s">
        <v>51</v>
      </c>
      <c r="AU164" s="6451" t="s">
        <v>48</v>
      </c>
      <c r="AV164" s="6321" t="s">
        <v>49</v>
      </c>
    </row>
    <row r="165" spans="1:98">
      <c r="A165" s="6299"/>
      <c r="B165" s="6110"/>
      <c r="C165" s="6155"/>
      <c r="D165" s="6156"/>
      <c r="E165" s="6157"/>
      <c r="F165" s="5710" t="s">
        <v>364</v>
      </c>
      <c r="G165" s="5712"/>
      <c r="H165" s="5710" t="s">
        <v>347</v>
      </c>
      <c r="I165" s="5712"/>
      <c r="J165" s="5710" t="s">
        <v>108</v>
      </c>
      <c r="K165" s="5712"/>
      <c r="L165" s="5710" t="s">
        <v>1235</v>
      </c>
      <c r="M165" s="5712"/>
      <c r="N165" s="5710" t="s">
        <v>1236</v>
      </c>
      <c r="O165" s="5712"/>
      <c r="P165" s="5710" t="s">
        <v>59</v>
      </c>
      <c r="Q165" s="5712"/>
      <c r="R165" s="5707" t="s">
        <v>60</v>
      </c>
      <c r="S165" s="5709"/>
      <c r="T165" s="5707" t="s">
        <v>61</v>
      </c>
      <c r="U165" s="5709"/>
      <c r="V165" s="5707" t="s">
        <v>62</v>
      </c>
      <c r="W165" s="5709"/>
      <c r="X165" s="5707" t="s">
        <v>63</v>
      </c>
      <c r="Y165" s="5709"/>
      <c r="Z165" s="5707" t="s">
        <v>64</v>
      </c>
      <c r="AA165" s="5709"/>
      <c r="AB165" s="5707" t="s">
        <v>65</v>
      </c>
      <c r="AC165" s="5709"/>
      <c r="AD165" s="5707" t="s">
        <v>66</v>
      </c>
      <c r="AE165" s="5709"/>
      <c r="AF165" s="5707" t="s">
        <v>67</v>
      </c>
      <c r="AG165" s="5709"/>
      <c r="AH165" s="5707" t="s">
        <v>68</v>
      </c>
      <c r="AI165" s="5709"/>
      <c r="AJ165" s="5707" t="s">
        <v>69</v>
      </c>
      <c r="AK165" s="5709"/>
      <c r="AL165" s="5707" t="s">
        <v>70</v>
      </c>
      <c r="AM165" s="5709"/>
      <c r="AN165" s="5707" t="s">
        <v>71</v>
      </c>
      <c r="AO165" s="6147"/>
      <c r="AP165" s="6120"/>
      <c r="AQ165" s="6114"/>
      <c r="AR165" s="6116"/>
      <c r="AS165" s="6382"/>
      <c r="AT165" s="6414"/>
      <c r="AU165" s="6452"/>
      <c r="AV165" s="6322"/>
    </row>
    <row r="166" spans="1:98" ht="26.25" customHeight="1">
      <c r="A166" s="6300"/>
      <c r="B166" s="5719"/>
      <c r="C166" s="1471" t="s">
        <v>93</v>
      </c>
      <c r="D166" s="1702" t="s">
        <v>72</v>
      </c>
      <c r="E166" s="2391" t="s">
        <v>73</v>
      </c>
      <c r="F166" s="1390" t="s">
        <v>544</v>
      </c>
      <c r="G166" s="1584" t="s">
        <v>779</v>
      </c>
      <c r="H166" s="1395" t="s">
        <v>544</v>
      </c>
      <c r="I166" s="1391" t="s">
        <v>779</v>
      </c>
      <c r="J166" s="1390" t="s">
        <v>544</v>
      </c>
      <c r="K166" s="1584" t="s">
        <v>779</v>
      </c>
      <c r="L166" s="1390" t="s">
        <v>544</v>
      </c>
      <c r="M166" s="1584" t="s">
        <v>779</v>
      </c>
      <c r="N166" s="1390" t="s">
        <v>544</v>
      </c>
      <c r="O166" s="1584" t="s">
        <v>779</v>
      </c>
      <c r="P166" s="1390" t="s">
        <v>544</v>
      </c>
      <c r="Q166" s="1584" t="s">
        <v>779</v>
      </c>
      <c r="R166" s="1395" t="s">
        <v>544</v>
      </c>
      <c r="S166" s="1391" t="s">
        <v>779</v>
      </c>
      <c r="T166" s="1395" t="s">
        <v>544</v>
      </c>
      <c r="U166" s="1391" t="s">
        <v>779</v>
      </c>
      <c r="V166" s="1390" t="s">
        <v>544</v>
      </c>
      <c r="W166" s="1584" t="s">
        <v>779</v>
      </c>
      <c r="X166" s="1395" t="s">
        <v>544</v>
      </c>
      <c r="Y166" s="1391" t="s">
        <v>779</v>
      </c>
      <c r="Z166" s="1395" t="s">
        <v>544</v>
      </c>
      <c r="AA166" s="1391" t="s">
        <v>779</v>
      </c>
      <c r="AB166" s="1390" t="s">
        <v>544</v>
      </c>
      <c r="AC166" s="1584" t="s">
        <v>779</v>
      </c>
      <c r="AD166" s="1390" t="s">
        <v>544</v>
      </c>
      <c r="AE166" s="1584" t="s">
        <v>779</v>
      </c>
      <c r="AF166" s="1395" t="s">
        <v>544</v>
      </c>
      <c r="AG166" s="1391" t="s">
        <v>779</v>
      </c>
      <c r="AH166" s="1395" t="s">
        <v>544</v>
      </c>
      <c r="AI166" s="1391" t="s">
        <v>779</v>
      </c>
      <c r="AJ166" s="1390" t="s">
        <v>544</v>
      </c>
      <c r="AK166" s="1584" t="s">
        <v>779</v>
      </c>
      <c r="AL166" s="1395" t="s">
        <v>544</v>
      </c>
      <c r="AM166" s="1391" t="s">
        <v>779</v>
      </c>
      <c r="AN166" s="1390" t="s">
        <v>544</v>
      </c>
      <c r="AO166" s="1398" t="s">
        <v>779</v>
      </c>
      <c r="AP166" s="6116"/>
      <c r="AQ166" s="1393" t="s">
        <v>483</v>
      </c>
      <c r="AR166" s="1584" t="s">
        <v>484</v>
      </c>
      <c r="AS166" s="6383"/>
      <c r="AT166" s="6415"/>
      <c r="AU166" s="6453"/>
      <c r="AV166" s="6323"/>
    </row>
    <row r="167" spans="1:98">
      <c r="A167" s="6467" t="s">
        <v>1367</v>
      </c>
      <c r="B167" s="2392" t="s">
        <v>112</v>
      </c>
      <c r="C167" s="2393">
        <f t="shared" ref="C167:C191" si="50">SUM(D167+E167)</f>
        <v>0</v>
      </c>
      <c r="D167" s="1735">
        <f t="shared" ref="D167:D175" si="51">SUM(F167+H167+J167+L167+N167+P167+R167+T167+V167+X167+Z167+AB167+AD167+AF167+AH167+AJ167+AL167+AN167)</f>
        <v>0</v>
      </c>
      <c r="E167" s="1736">
        <f t="shared" ref="E167:E175" si="52">SUM(G167+I167+K167+M167+O167+Q167+S167+U167+W167+Y167+AA167+AC167+AE167+AG167+AI167+AK167+AM167+AO167)</f>
        <v>0</v>
      </c>
      <c r="F167" s="1424"/>
      <c r="G167" s="1436"/>
      <c r="H167" s="1424"/>
      <c r="I167" s="1436"/>
      <c r="J167" s="1424"/>
      <c r="K167" s="1676"/>
      <c r="L167" s="1424"/>
      <c r="M167" s="1676"/>
      <c r="N167" s="1424"/>
      <c r="O167" s="1676"/>
      <c r="P167" s="1424"/>
      <c r="Q167" s="1676"/>
      <c r="R167" s="1424"/>
      <c r="S167" s="1676"/>
      <c r="T167" s="1424"/>
      <c r="U167" s="1676"/>
      <c r="V167" s="1424"/>
      <c r="W167" s="1676"/>
      <c r="X167" s="1424"/>
      <c r="Y167" s="1676"/>
      <c r="Z167" s="1424"/>
      <c r="AA167" s="1676"/>
      <c r="AB167" s="1424"/>
      <c r="AC167" s="1676"/>
      <c r="AD167" s="1424"/>
      <c r="AE167" s="1676"/>
      <c r="AF167" s="1424"/>
      <c r="AG167" s="1676"/>
      <c r="AH167" s="1424"/>
      <c r="AI167" s="1676"/>
      <c r="AJ167" s="1424"/>
      <c r="AK167" s="1676"/>
      <c r="AL167" s="1424"/>
      <c r="AM167" s="1676"/>
      <c r="AN167" s="1653"/>
      <c r="AO167" s="1428"/>
      <c r="AP167" s="1436"/>
      <c r="AQ167" s="1425"/>
      <c r="AR167" s="1436"/>
      <c r="AS167" s="1424"/>
      <c r="AT167" s="1427"/>
      <c r="AU167" s="2394"/>
      <c r="AV167" s="2395"/>
      <c r="AW167" t="str">
        <f t="shared" ref="AW167:AW177" si="53">CB167&amp;CC167&amp;CD167&amp;CE167&amp;CF167&amp;CG167&amp;CH167</f>
        <v/>
      </c>
      <c r="CB167" s="1418" t="str">
        <f t="shared" ref="CB167:CB177" si="54">IF(AND(C167&gt;0,AP167="")," *No olvide digitar la variable Beneficiarios. Digite Cero si no tiene.",IF(AP167&gt;C167," *La variable Beneficiarios No puede ser mayor al Total Ambos Sexos.",""))</f>
        <v/>
      </c>
      <c r="CC167" s="1418" t="str">
        <f t="shared" ref="CC167:CC177" si="55">IF(AND(E167&gt;0,OR(AQ167=""))," *No olvide digitar la variable Trans (Masculino). Digite Cero si no tiene.",IF((AQ167)&gt;E167," *La variable Trans (Masculino) No puede ser mayor al Total Mujeres.",""))</f>
        <v/>
      </c>
      <c r="CD167" s="1418" t="str">
        <f t="shared" ref="CD167:CD177" si="56">IF(AND(D167&gt;0,OR(AR167=""))," *No olvide digitar la variable Trans (Femenino). Digite Cero si no tiene.",IF((AR167)&gt;D167," *La variable Trans (Femenino) No puede ser mayor al Total Hombres.",""))</f>
        <v/>
      </c>
      <c r="CE167" s="1418" t="str">
        <f t="shared" ref="CE167:CE177" si="57">IF(AND(C167&gt;0,AS167="")," *No olvide digitar la variable Pueblos Originarios. Digite Cero si no tiene.",IF(AS167&gt;C167," *La variable Pueblos Originarios No puede ser mayor al Total Ambos Sexos.",""))</f>
        <v/>
      </c>
      <c r="CF167" s="1418" t="str">
        <f t="shared" ref="CF167:CF177" si="58">IF(AND(C167&gt;0,AT167="")," *No olvide digitar la variable Migrantes. Digite Cero si no tiene.",IF(AT167&gt;C167," *La variable Migrantes No puede ser mayor al Total Ambos Sexos.",""))</f>
        <v/>
      </c>
      <c r="CG167" s="1418" t="str">
        <f t="shared" ref="CG167:CG177" si="59">IF(AND(C167&gt;0,AU167="")," *No olvide digitar la variable SENAME/ Servicio Nacional de Reinserción social Juvenil. Digite Cero si no tiene.",IF(AU167&gt;C167," *La variable SENAME/ Servicio Nacional de Reinserción social Juvenil  No puede ser mayor al Total Ambos Sexos.",""))</f>
        <v/>
      </c>
      <c r="CH167" s="1418" t="str">
        <f t="shared" ref="CH167:CH177" si="60">IF(AND(C167&gt;0,AV167="")," *No olvide digitar la variable Servicio Nacional Protección Especializada a la Niñez y Adolescencia. Digite Cero si no tiene.",IF(AV167&gt;C167," *La variable NServicio Nacional Protección Especializada a la Niñez y Adolescencia No puede ser mayor al Total Ambos Sexos.",""))</f>
        <v/>
      </c>
      <c r="CN167" s="1420">
        <f t="shared" si="33"/>
        <v>0</v>
      </c>
      <c r="CO167" s="1420">
        <f t="shared" ref="CO167:CO177" si="61">IF(AND(E167&gt;0,OR(AQ167="")),1,IF((AQ167)&gt;E167,1,0))</f>
        <v>0</v>
      </c>
      <c r="CP167" s="1420">
        <f t="shared" ref="CP167:CP177" si="62">IF(AND(D167&gt;0,OR(AR167="")),1,IF((AR167)&gt;D167,1,0))</f>
        <v>0</v>
      </c>
      <c r="CQ167" s="1420">
        <f t="shared" si="36"/>
        <v>0</v>
      </c>
      <c r="CR167" s="1420">
        <f t="shared" ref="CR167:CR177" si="63">IF(AND(C167&gt;0,AT167=""),1,IF(AT167&gt;C167,1,0))</f>
        <v>0</v>
      </c>
      <c r="CS167" s="1420">
        <f t="shared" ref="CS167:CS177" si="64">IF(AND(C167&gt;0,AU167=""),1,IF(AU167&gt;C167,1,0))</f>
        <v>0</v>
      </c>
      <c r="CT167" s="1420">
        <f t="shared" ref="CT167:CT177" si="65">IF(AND(C167&gt;0,AV167=""),1,IF(AV167&gt;C167,1,0))</f>
        <v>0</v>
      </c>
    </row>
    <row r="168" spans="1:98">
      <c r="A168" s="6468"/>
      <c r="B168" s="2396" t="s">
        <v>79</v>
      </c>
      <c r="C168" s="1773">
        <f t="shared" si="50"/>
        <v>0</v>
      </c>
      <c r="D168" s="1774">
        <f t="shared" si="51"/>
        <v>0</v>
      </c>
      <c r="E168" s="1775">
        <f t="shared" si="52"/>
        <v>0</v>
      </c>
      <c r="F168" s="1455"/>
      <c r="G168" s="1467"/>
      <c r="H168" s="1455"/>
      <c r="I168" s="1467"/>
      <c r="J168" s="1455"/>
      <c r="K168" s="1684"/>
      <c r="L168" s="1455"/>
      <c r="M168" s="1684"/>
      <c r="N168" s="1455"/>
      <c r="O168" s="1684"/>
      <c r="P168" s="1455"/>
      <c r="Q168" s="1684"/>
      <c r="R168" s="1455"/>
      <c r="S168" s="1684"/>
      <c r="T168" s="1455"/>
      <c r="U168" s="1684"/>
      <c r="V168" s="1455"/>
      <c r="W168" s="1684"/>
      <c r="X168" s="1455"/>
      <c r="Y168" s="1684"/>
      <c r="Z168" s="1455"/>
      <c r="AA168" s="1684"/>
      <c r="AB168" s="1455"/>
      <c r="AC168" s="1684"/>
      <c r="AD168" s="1455"/>
      <c r="AE168" s="1684"/>
      <c r="AF168" s="1455"/>
      <c r="AG168" s="1684"/>
      <c r="AH168" s="1455"/>
      <c r="AI168" s="1684"/>
      <c r="AJ168" s="1455"/>
      <c r="AK168" s="1684"/>
      <c r="AL168" s="1455"/>
      <c r="AM168" s="1684"/>
      <c r="AN168" s="1664"/>
      <c r="AO168" s="1459"/>
      <c r="AP168" s="1467"/>
      <c r="AQ168" s="1456"/>
      <c r="AR168" s="1467"/>
      <c r="AS168" s="1455"/>
      <c r="AT168" s="1458"/>
      <c r="AU168" s="2397"/>
      <c r="AV168" s="2398"/>
      <c r="AW168" t="str">
        <f t="shared" si="53"/>
        <v/>
      </c>
      <c r="CB168" s="1418" t="str">
        <f t="shared" si="54"/>
        <v/>
      </c>
      <c r="CC168" s="1418" t="str">
        <f t="shared" si="55"/>
        <v/>
      </c>
      <c r="CD168" s="1418" t="str">
        <f t="shared" si="56"/>
        <v/>
      </c>
      <c r="CE168" s="1418" t="str">
        <f t="shared" si="57"/>
        <v/>
      </c>
      <c r="CF168" s="1418" t="str">
        <f t="shared" si="58"/>
        <v/>
      </c>
      <c r="CG168" s="1418" t="str">
        <f t="shared" si="59"/>
        <v/>
      </c>
      <c r="CH168" s="1418" t="str">
        <f t="shared" si="60"/>
        <v/>
      </c>
      <c r="CN168" s="1420">
        <f t="shared" si="33"/>
        <v>0</v>
      </c>
      <c r="CO168" s="1420">
        <f t="shared" si="61"/>
        <v>0</v>
      </c>
      <c r="CP168" s="1420">
        <f t="shared" si="62"/>
        <v>0</v>
      </c>
      <c r="CQ168" s="1420">
        <f t="shared" si="36"/>
        <v>0</v>
      </c>
      <c r="CR168" s="1420">
        <f t="shared" si="63"/>
        <v>0</v>
      </c>
      <c r="CS168" s="1420">
        <f t="shared" si="64"/>
        <v>0</v>
      </c>
      <c r="CT168" s="1420">
        <f t="shared" si="65"/>
        <v>0</v>
      </c>
    </row>
    <row r="169" spans="1:98">
      <c r="A169" s="6469" t="s">
        <v>1368</v>
      </c>
      <c r="B169" s="2392" t="s">
        <v>112</v>
      </c>
      <c r="C169" s="2393">
        <f t="shared" si="50"/>
        <v>0</v>
      </c>
      <c r="D169" s="1735">
        <f t="shared" si="51"/>
        <v>0</v>
      </c>
      <c r="E169" s="1736">
        <f t="shared" si="52"/>
        <v>0</v>
      </c>
      <c r="F169" s="1424"/>
      <c r="G169" s="1436"/>
      <c r="H169" s="1424"/>
      <c r="I169" s="1436"/>
      <c r="J169" s="1424"/>
      <c r="K169" s="1676"/>
      <c r="L169" s="1424"/>
      <c r="M169" s="1676"/>
      <c r="N169" s="1424"/>
      <c r="O169" s="1676"/>
      <c r="P169" s="1424"/>
      <c r="Q169" s="1676"/>
      <c r="R169" s="1424"/>
      <c r="S169" s="1676"/>
      <c r="T169" s="1424"/>
      <c r="U169" s="1676"/>
      <c r="V169" s="1424"/>
      <c r="W169" s="1676"/>
      <c r="X169" s="1424"/>
      <c r="Y169" s="1676"/>
      <c r="Z169" s="1424"/>
      <c r="AA169" s="1676"/>
      <c r="AB169" s="1424"/>
      <c r="AC169" s="1676"/>
      <c r="AD169" s="1424"/>
      <c r="AE169" s="1676"/>
      <c r="AF169" s="1424"/>
      <c r="AG169" s="1676"/>
      <c r="AH169" s="1424"/>
      <c r="AI169" s="1676"/>
      <c r="AJ169" s="1424"/>
      <c r="AK169" s="1676"/>
      <c r="AL169" s="1424"/>
      <c r="AM169" s="1676"/>
      <c r="AN169" s="1653"/>
      <c r="AO169" s="1428"/>
      <c r="AP169" s="1436"/>
      <c r="AQ169" s="1425"/>
      <c r="AR169" s="1436"/>
      <c r="AS169" s="1424"/>
      <c r="AT169" s="1427"/>
      <c r="AU169" s="2394"/>
      <c r="AV169" s="2395"/>
      <c r="AW169" t="str">
        <f t="shared" si="53"/>
        <v/>
      </c>
      <c r="CB169" s="1418" t="str">
        <f t="shared" si="54"/>
        <v/>
      </c>
      <c r="CC169" s="1418" t="str">
        <f t="shared" si="55"/>
        <v/>
      </c>
      <c r="CD169" s="1418" t="str">
        <f t="shared" si="56"/>
        <v/>
      </c>
      <c r="CE169" s="1418" t="str">
        <f t="shared" si="57"/>
        <v/>
      </c>
      <c r="CF169" s="1418" t="str">
        <f t="shared" si="58"/>
        <v/>
      </c>
      <c r="CG169" s="1418" t="str">
        <f t="shared" si="59"/>
        <v/>
      </c>
      <c r="CH169" s="1418" t="str">
        <f t="shared" si="60"/>
        <v/>
      </c>
      <c r="CN169" s="1420">
        <f t="shared" si="33"/>
        <v>0</v>
      </c>
      <c r="CO169" s="1420">
        <f t="shared" si="61"/>
        <v>0</v>
      </c>
      <c r="CP169" s="1420">
        <f t="shared" si="62"/>
        <v>0</v>
      </c>
      <c r="CQ169" s="1420">
        <f t="shared" si="36"/>
        <v>0</v>
      </c>
      <c r="CR169" s="1420">
        <f t="shared" si="63"/>
        <v>0</v>
      </c>
      <c r="CS169" s="1420">
        <f t="shared" si="64"/>
        <v>0</v>
      </c>
      <c r="CT169" s="1420">
        <f t="shared" si="65"/>
        <v>0</v>
      </c>
    </row>
    <row r="170" spans="1:98">
      <c r="A170" s="6470"/>
      <c r="B170" s="2399" t="s">
        <v>79</v>
      </c>
      <c r="C170" s="1737">
        <f t="shared" si="50"/>
        <v>0</v>
      </c>
      <c r="D170" s="1738">
        <f t="shared" si="51"/>
        <v>0</v>
      </c>
      <c r="E170" s="1739">
        <f t="shared" si="52"/>
        <v>0</v>
      </c>
      <c r="F170" s="1440"/>
      <c r="G170" s="1452"/>
      <c r="H170" s="1440"/>
      <c r="I170" s="1452"/>
      <c r="J170" s="1440"/>
      <c r="K170" s="1680"/>
      <c r="L170" s="1440"/>
      <c r="M170" s="1680"/>
      <c r="N170" s="1440"/>
      <c r="O170" s="1680"/>
      <c r="P170" s="1440"/>
      <c r="Q170" s="1680"/>
      <c r="R170" s="1440"/>
      <c r="S170" s="1680"/>
      <c r="T170" s="1440"/>
      <c r="U170" s="1680"/>
      <c r="V170" s="1440"/>
      <c r="W170" s="1680"/>
      <c r="X170" s="1440"/>
      <c r="Y170" s="1680"/>
      <c r="Z170" s="1440"/>
      <c r="AA170" s="1680"/>
      <c r="AB170" s="1440"/>
      <c r="AC170" s="1680"/>
      <c r="AD170" s="1440"/>
      <c r="AE170" s="1680"/>
      <c r="AF170" s="1440"/>
      <c r="AG170" s="1680"/>
      <c r="AH170" s="1440"/>
      <c r="AI170" s="1680"/>
      <c r="AJ170" s="1440"/>
      <c r="AK170" s="1680"/>
      <c r="AL170" s="1440"/>
      <c r="AM170" s="1680"/>
      <c r="AN170" s="1657"/>
      <c r="AO170" s="1444"/>
      <c r="AP170" s="1452"/>
      <c r="AQ170" s="1441"/>
      <c r="AR170" s="1452"/>
      <c r="AS170" s="1440"/>
      <c r="AT170" s="1443"/>
      <c r="AU170" s="2400"/>
      <c r="AV170" s="2401"/>
      <c r="AW170" t="str">
        <f t="shared" si="53"/>
        <v/>
      </c>
      <c r="CB170" s="1418" t="str">
        <f t="shared" si="54"/>
        <v/>
      </c>
      <c r="CC170" s="1418" t="str">
        <f t="shared" si="55"/>
        <v/>
      </c>
      <c r="CD170" s="1418" t="str">
        <f t="shared" si="56"/>
        <v/>
      </c>
      <c r="CE170" s="1418" t="str">
        <f t="shared" si="57"/>
        <v/>
      </c>
      <c r="CF170" s="1418" t="str">
        <f t="shared" si="58"/>
        <v/>
      </c>
      <c r="CG170" s="1418" t="str">
        <f t="shared" si="59"/>
        <v/>
      </c>
      <c r="CH170" s="1418" t="str">
        <f t="shared" si="60"/>
        <v/>
      </c>
      <c r="CN170" s="1420">
        <f t="shared" si="33"/>
        <v>0</v>
      </c>
      <c r="CO170" s="1420">
        <f t="shared" si="61"/>
        <v>0</v>
      </c>
      <c r="CP170" s="1420">
        <f t="shared" si="62"/>
        <v>0</v>
      </c>
      <c r="CQ170" s="1420">
        <f t="shared" si="36"/>
        <v>0</v>
      </c>
      <c r="CR170" s="1420">
        <f t="shared" si="63"/>
        <v>0</v>
      </c>
      <c r="CS170" s="1420">
        <f t="shared" si="64"/>
        <v>0</v>
      </c>
      <c r="CT170" s="1420">
        <f t="shared" si="65"/>
        <v>0</v>
      </c>
    </row>
    <row r="171" spans="1:98">
      <c r="A171" s="6471"/>
      <c r="B171" s="2396" t="s">
        <v>1065</v>
      </c>
      <c r="C171" s="1773">
        <f t="shared" si="50"/>
        <v>0</v>
      </c>
      <c r="D171" s="1774">
        <f t="shared" si="51"/>
        <v>0</v>
      </c>
      <c r="E171" s="1775">
        <f t="shared" si="52"/>
        <v>0</v>
      </c>
      <c r="F171" s="1455"/>
      <c r="G171" s="1467"/>
      <c r="H171" s="1455"/>
      <c r="I171" s="1467"/>
      <c r="J171" s="1455"/>
      <c r="K171" s="1684"/>
      <c r="L171" s="1455"/>
      <c r="M171" s="1684"/>
      <c r="N171" s="1455"/>
      <c r="O171" s="1684"/>
      <c r="P171" s="1455"/>
      <c r="Q171" s="1684"/>
      <c r="R171" s="1455"/>
      <c r="S171" s="1684"/>
      <c r="T171" s="1455"/>
      <c r="U171" s="1684"/>
      <c r="V171" s="1455"/>
      <c r="W171" s="1684"/>
      <c r="X171" s="1455"/>
      <c r="Y171" s="1684"/>
      <c r="Z171" s="1455"/>
      <c r="AA171" s="1684"/>
      <c r="AB171" s="1455"/>
      <c r="AC171" s="1684"/>
      <c r="AD171" s="1455"/>
      <c r="AE171" s="1684"/>
      <c r="AF171" s="1455"/>
      <c r="AG171" s="1684"/>
      <c r="AH171" s="1455"/>
      <c r="AI171" s="1684"/>
      <c r="AJ171" s="1455"/>
      <c r="AK171" s="1684"/>
      <c r="AL171" s="1455"/>
      <c r="AM171" s="1684"/>
      <c r="AN171" s="1664"/>
      <c r="AO171" s="1459"/>
      <c r="AP171" s="1467"/>
      <c r="AQ171" s="1456"/>
      <c r="AR171" s="1467"/>
      <c r="AS171" s="1455"/>
      <c r="AT171" s="1458"/>
      <c r="AU171" s="2397"/>
      <c r="AV171" s="2398"/>
      <c r="AW171" t="str">
        <f t="shared" si="53"/>
        <v/>
      </c>
      <c r="CB171" s="1418" t="str">
        <f t="shared" si="54"/>
        <v/>
      </c>
      <c r="CC171" s="1418" t="str">
        <f t="shared" si="55"/>
        <v/>
      </c>
      <c r="CD171" s="1418" t="str">
        <f t="shared" si="56"/>
        <v/>
      </c>
      <c r="CE171" s="1418" t="str">
        <f t="shared" si="57"/>
        <v/>
      </c>
      <c r="CF171" s="1418" t="str">
        <f t="shared" si="58"/>
        <v/>
      </c>
      <c r="CG171" s="1418" t="str">
        <f t="shared" si="59"/>
        <v/>
      </c>
      <c r="CH171" s="1418" t="str">
        <f t="shared" si="60"/>
        <v/>
      </c>
      <c r="CN171" s="1420">
        <f t="shared" si="33"/>
        <v>0</v>
      </c>
      <c r="CO171" s="1420">
        <f t="shared" si="61"/>
        <v>0</v>
      </c>
      <c r="CP171" s="1420">
        <f t="shared" si="62"/>
        <v>0</v>
      </c>
      <c r="CQ171" s="1420">
        <f t="shared" si="36"/>
        <v>0</v>
      </c>
      <c r="CR171" s="1420">
        <f t="shared" si="63"/>
        <v>0</v>
      </c>
      <c r="CS171" s="1420">
        <f t="shared" si="64"/>
        <v>0</v>
      </c>
      <c r="CT171" s="1420">
        <f t="shared" si="65"/>
        <v>0</v>
      </c>
    </row>
    <row r="172" spans="1:98">
      <c r="A172" s="6160" t="s">
        <v>1369</v>
      </c>
      <c r="B172" s="2392" t="s">
        <v>112</v>
      </c>
      <c r="C172" s="2393">
        <f t="shared" si="50"/>
        <v>0</v>
      </c>
      <c r="D172" s="1735">
        <f t="shared" si="51"/>
        <v>0</v>
      </c>
      <c r="E172" s="1736">
        <f t="shared" si="52"/>
        <v>0</v>
      </c>
      <c r="F172" s="1424"/>
      <c r="G172" s="1436"/>
      <c r="H172" s="1424"/>
      <c r="I172" s="1436"/>
      <c r="J172" s="1424"/>
      <c r="K172" s="1676"/>
      <c r="L172" s="1424"/>
      <c r="M172" s="1676"/>
      <c r="N172" s="1424"/>
      <c r="O172" s="1676"/>
      <c r="P172" s="1424"/>
      <c r="Q172" s="1676"/>
      <c r="R172" s="1424"/>
      <c r="S172" s="1676"/>
      <c r="T172" s="1424"/>
      <c r="U172" s="1676"/>
      <c r="V172" s="1424"/>
      <c r="W172" s="1676"/>
      <c r="X172" s="1424"/>
      <c r="Y172" s="1436"/>
      <c r="Z172" s="1424"/>
      <c r="AA172" s="1676"/>
      <c r="AB172" s="1424"/>
      <c r="AC172" s="1676"/>
      <c r="AD172" s="1424"/>
      <c r="AE172" s="1676"/>
      <c r="AF172" s="1424"/>
      <c r="AG172" s="1676"/>
      <c r="AH172" s="1424"/>
      <c r="AI172" s="1676"/>
      <c r="AJ172" s="1424"/>
      <c r="AK172" s="1676"/>
      <c r="AL172" s="1424"/>
      <c r="AM172" s="1676"/>
      <c r="AN172" s="1653"/>
      <c r="AO172" s="1428"/>
      <c r="AP172" s="1436"/>
      <c r="AQ172" s="1425"/>
      <c r="AR172" s="1436"/>
      <c r="AS172" s="1424"/>
      <c r="AT172" s="1427"/>
      <c r="AU172" s="2394"/>
      <c r="AV172" s="2395"/>
      <c r="AW172" t="str">
        <f t="shared" si="53"/>
        <v/>
      </c>
      <c r="CB172" s="1418" t="str">
        <f t="shared" si="54"/>
        <v/>
      </c>
      <c r="CC172" s="1418" t="str">
        <f t="shared" si="55"/>
        <v/>
      </c>
      <c r="CD172" s="1418" t="str">
        <f t="shared" si="56"/>
        <v/>
      </c>
      <c r="CE172" s="1418" t="str">
        <f t="shared" si="57"/>
        <v/>
      </c>
      <c r="CF172" s="1418" t="str">
        <f t="shared" si="58"/>
        <v/>
      </c>
      <c r="CG172" s="1418" t="str">
        <f t="shared" si="59"/>
        <v/>
      </c>
      <c r="CH172" s="1418" t="str">
        <f t="shared" si="60"/>
        <v/>
      </c>
      <c r="CN172" s="1420">
        <f t="shared" si="33"/>
        <v>0</v>
      </c>
      <c r="CO172" s="1420">
        <f t="shared" si="61"/>
        <v>0</v>
      </c>
      <c r="CP172" s="1420">
        <f t="shared" si="62"/>
        <v>0</v>
      </c>
      <c r="CQ172" s="1420">
        <f t="shared" si="36"/>
        <v>0</v>
      </c>
      <c r="CR172" s="1420">
        <f t="shared" si="63"/>
        <v>0</v>
      </c>
      <c r="CS172" s="1420">
        <f t="shared" si="64"/>
        <v>0</v>
      </c>
      <c r="CT172" s="1420">
        <f t="shared" si="65"/>
        <v>0</v>
      </c>
    </row>
    <row r="173" spans="1:98">
      <c r="A173" s="6158"/>
      <c r="B173" s="2396" t="s">
        <v>79</v>
      </c>
      <c r="C173" s="1737">
        <f t="shared" si="50"/>
        <v>0</v>
      </c>
      <c r="D173" s="1774">
        <f t="shared" si="51"/>
        <v>0</v>
      </c>
      <c r="E173" s="1775">
        <f t="shared" si="52"/>
        <v>0</v>
      </c>
      <c r="F173" s="1455"/>
      <c r="G173" s="1467"/>
      <c r="H173" s="1455"/>
      <c r="I173" s="1467"/>
      <c r="J173" s="1455"/>
      <c r="K173" s="1684"/>
      <c r="L173" s="1455"/>
      <c r="M173" s="1684"/>
      <c r="N173" s="1455"/>
      <c r="O173" s="1684"/>
      <c r="P173" s="1455"/>
      <c r="Q173" s="1684"/>
      <c r="R173" s="1455"/>
      <c r="S173" s="1684"/>
      <c r="T173" s="1455"/>
      <c r="U173" s="1684"/>
      <c r="V173" s="1455"/>
      <c r="W173" s="1684"/>
      <c r="X173" s="1455"/>
      <c r="Y173" s="1684"/>
      <c r="Z173" s="1455"/>
      <c r="AA173" s="1684"/>
      <c r="AB173" s="1455"/>
      <c r="AC173" s="1684"/>
      <c r="AD173" s="1455"/>
      <c r="AE173" s="1684"/>
      <c r="AF173" s="1455"/>
      <c r="AG173" s="1684"/>
      <c r="AH173" s="1455"/>
      <c r="AI173" s="1684"/>
      <c r="AJ173" s="1455"/>
      <c r="AK173" s="1684"/>
      <c r="AL173" s="1455"/>
      <c r="AM173" s="1684"/>
      <c r="AN173" s="1664"/>
      <c r="AO173" s="1459"/>
      <c r="AP173" s="1467"/>
      <c r="AQ173" s="1456"/>
      <c r="AR173" s="1467"/>
      <c r="AS173" s="1455"/>
      <c r="AT173" s="1458"/>
      <c r="AU173" s="2397"/>
      <c r="AV173" s="2398"/>
      <c r="AW173" t="str">
        <f t="shared" si="53"/>
        <v/>
      </c>
      <c r="CB173" s="1418" t="str">
        <f t="shared" si="54"/>
        <v/>
      </c>
      <c r="CC173" s="1418" t="str">
        <f t="shared" si="55"/>
        <v/>
      </c>
      <c r="CD173" s="1418" t="str">
        <f t="shared" si="56"/>
        <v/>
      </c>
      <c r="CE173" s="1418" t="str">
        <f t="shared" si="57"/>
        <v/>
      </c>
      <c r="CF173" s="1418" t="str">
        <f t="shared" si="58"/>
        <v/>
      </c>
      <c r="CG173" s="1418" t="str">
        <f t="shared" si="59"/>
        <v/>
      </c>
      <c r="CH173" s="1418" t="str">
        <f t="shared" si="60"/>
        <v/>
      </c>
      <c r="CN173" s="1420">
        <f t="shared" si="33"/>
        <v>0</v>
      </c>
      <c r="CO173" s="1420">
        <f t="shared" si="61"/>
        <v>0</v>
      </c>
      <c r="CP173" s="1420">
        <f t="shared" si="62"/>
        <v>0</v>
      </c>
      <c r="CQ173" s="1420">
        <f t="shared" si="36"/>
        <v>0</v>
      </c>
      <c r="CR173" s="1420">
        <f t="shared" si="63"/>
        <v>0</v>
      </c>
      <c r="CS173" s="1420">
        <f t="shared" si="64"/>
        <v>0</v>
      </c>
      <c r="CT173" s="1420">
        <f t="shared" si="65"/>
        <v>0</v>
      </c>
    </row>
    <row r="174" spans="1:98">
      <c r="A174" s="6160" t="s">
        <v>1370</v>
      </c>
      <c r="B174" s="2392" t="s">
        <v>112</v>
      </c>
      <c r="C174" s="2393">
        <f t="shared" si="50"/>
        <v>0</v>
      </c>
      <c r="D174" s="1735">
        <f t="shared" si="51"/>
        <v>0</v>
      </c>
      <c r="E174" s="1736">
        <f t="shared" si="52"/>
        <v>0</v>
      </c>
      <c r="F174" s="1424"/>
      <c r="G174" s="1436"/>
      <c r="H174" s="1424"/>
      <c r="I174" s="1436"/>
      <c r="J174" s="1424"/>
      <c r="K174" s="1676"/>
      <c r="L174" s="1424"/>
      <c r="M174" s="1676"/>
      <c r="N174" s="1424"/>
      <c r="O174" s="1676"/>
      <c r="P174" s="1424"/>
      <c r="Q174" s="1676"/>
      <c r="R174" s="1424"/>
      <c r="S174" s="1676"/>
      <c r="T174" s="1424"/>
      <c r="U174" s="1676"/>
      <c r="V174" s="1424"/>
      <c r="W174" s="1676"/>
      <c r="X174" s="1480"/>
      <c r="Y174" s="1769"/>
      <c r="Z174" s="1480"/>
      <c r="AA174" s="1769"/>
      <c r="AB174" s="1480"/>
      <c r="AC174" s="1769"/>
      <c r="AD174" s="1480"/>
      <c r="AE174" s="1769"/>
      <c r="AF174" s="1480"/>
      <c r="AG174" s="1769"/>
      <c r="AH174" s="1480"/>
      <c r="AI174" s="1769"/>
      <c r="AJ174" s="1480"/>
      <c r="AK174" s="1769"/>
      <c r="AL174" s="1480"/>
      <c r="AM174" s="1769"/>
      <c r="AN174" s="1768"/>
      <c r="AO174" s="1481"/>
      <c r="AP174" s="1436"/>
      <c r="AQ174" s="1425"/>
      <c r="AR174" s="1436"/>
      <c r="AS174" s="1424"/>
      <c r="AT174" s="1427"/>
      <c r="AU174" s="2394"/>
      <c r="AV174" s="2395"/>
      <c r="AW174" t="str">
        <f t="shared" si="53"/>
        <v/>
      </c>
      <c r="CB174" s="1418" t="str">
        <f t="shared" si="54"/>
        <v/>
      </c>
      <c r="CC174" s="1418" t="str">
        <f t="shared" si="55"/>
        <v/>
      </c>
      <c r="CD174" s="1418" t="str">
        <f t="shared" si="56"/>
        <v/>
      </c>
      <c r="CE174" s="1418" t="str">
        <f t="shared" si="57"/>
        <v/>
      </c>
      <c r="CF174" s="1418" t="str">
        <f t="shared" si="58"/>
        <v/>
      </c>
      <c r="CG174" s="1418" t="str">
        <f t="shared" si="59"/>
        <v/>
      </c>
      <c r="CH174" s="1418" t="str">
        <f t="shared" si="60"/>
        <v/>
      </c>
      <c r="CN174" s="1420">
        <f t="shared" si="33"/>
        <v>0</v>
      </c>
      <c r="CO174" s="1420">
        <f t="shared" si="61"/>
        <v>0</v>
      </c>
      <c r="CP174" s="1420">
        <f t="shared" si="62"/>
        <v>0</v>
      </c>
      <c r="CQ174" s="1420">
        <f t="shared" si="36"/>
        <v>0</v>
      </c>
      <c r="CR174" s="1420">
        <f t="shared" si="63"/>
        <v>0</v>
      </c>
      <c r="CS174" s="1420">
        <f t="shared" si="64"/>
        <v>0</v>
      </c>
      <c r="CT174" s="1420">
        <f t="shared" si="65"/>
        <v>0</v>
      </c>
    </row>
    <row r="175" spans="1:98">
      <c r="A175" s="6158"/>
      <c r="B175" s="2396" t="s">
        <v>79</v>
      </c>
      <c r="C175" s="1737">
        <f t="shared" si="50"/>
        <v>0</v>
      </c>
      <c r="D175" s="1774">
        <f t="shared" si="51"/>
        <v>0</v>
      </c>
      <c r="E175" s="1775">
        <f t="shared" si="52"/>
        <v>0</v>
      </c>
      <c r="F175" s="1455"/>
      <c r="G175" s="1467"/>
      <c r="H175" s="1455"/>
      <c r="I175" s="1467"/>
      <c r="J175" s="1455"/>
      <c r="K175" s="1684"/>
      <c r="L175" s="1455"/>
      <c r="M175" s="1684"/>
      <c r="N175" s="1455"/>
      <c r="O175" s="1684"/>
      <c r="P175" s="1455"/>
      <c r="Q175" s="1684"/>
      <c r="R175" s="1455"/>
      <c r="S175" s="1684"/>
      <c r="T175" s="1455"/>
      <c r="U175" s="1684"/>
      <c r="V175" s="1455"/>
      <c r="W175" s="1684"/>
      <c r="X175" s="1517"/>
      <c r="Y175" s="1545"/>
      <c r="Z175" s="1480"/>
      <c r="AA175" s="1769"/>
      <c r="AB175" s="1480"/>
      <c r="AC175" s="1769"/>
      <c r="AD175" s="1480"/>
      <c r="AE175" s="1769"/>
      <c r="AF175" s="1480"/>
      <c r="AG175" s="1769"/>
      <c r="AH175" s="1480"/>
      <c r="AI175" s="1769"/>
      <c r="AJ175" s="1480"/>
      <c r="AK175" s="1769"/>
      <c r="AL175" s="1480"/>
      <c r="AM175" s="1769"/>
      <c r="AN175" s="1768"/>
      <c r="AO175" s="1481"/>
      <c r="AP175" s="1545"/>
      <c r="AQ175" s="1796"/>
      <c r="AR175" s="1545"/>
      <c r="AS175" s="1480"/>
      <c r="AT175" s="1959"/>
      <c r="AU175" s="2402"/>
      <c r="AV175" s="2403"/>
      <c r="AW175" t="str">
        <f t="shared" si="53"/>
        <v/>
      </c>
      <c r="CB175" s="1418" t="str">
        <f t="shared" si="54"/>
        <v/>
      </c>
      <c r="CC175" s="1418" t="str">
        <f t="shared" si="55"/>
        <v/>
      </c>
      <c r="CD175" s="1418" t="str">
        <f t="shared" si="56"/>
        <v/>
      </c>
      <c r="CE175" s="1418" t="str">
        <f t="shared" si="57"/>
        <v/>
      </c>
      <c r="CF175" s="1418" t="str">
        <f t="shared" si="58"/>
        <v/>
      </c>
      <c r="CG175" s="1418" t="str">
        <f t="shared" si="59"/>
        <v/>
      </c>
      <c r="CH175" s="1418" t="str">
        <f t="shared" si="60"/>
        <v/>
      </c>
      <c r="CN175" s="1420">
        <f t="shared" si="33"/>
        <v>0</v>
      </c>
      <c r="CO175" s="1420">
        <f t="shared" si="61"/>
        <v>0</v>
      </c>
      <c r="CP175" s="1420">
        <f t="shared" si="62"/>
        <v>0</v>
      </c>
      <c r="CQ175" s="1420">
        <f t="shared" si="36"/>
        <v>0</v>
      </c>
      <c r="CR175" s="1420">
        <f t="shared" si="63"/>
        <v>0</v>
      </c>
      <c r="CS175" s="1420">
        <f t="shared" si="64"/>
        <v>0</v>
      </c>
      <c r="CT175" s="1420">
        <f t="shared" si="65"/>
        <v>0</v>
      </c>
    </row>
    <row r="176" spans="1:98">
      <c r="A176" s="6127" t="s">
        <v>1371</v>
      </c>
      <c r="B176" s="2392" t="s">
        <v>112</v>
      </c>
      <c r="C176" s="2404">
        <f t="shared" si="50"/>
        <v>0</v>
      </c>
      <c r="D176" s="1735">
        <f t="shared" ref="D176:D177" si="66">SUM(L176+N176+P176+R176+T176+V176+X176+Z176+AB176+AD176+AF176+AH176+AJ176+AL176+AN176)</f>
        <v>0</v>
      </c>
      <c r="E176" s="2137">
        <f t="shared" ref="E176:E177" si="67">SUM(M176+O176+Q176+S176+U176+W176+Y176+AA176+AC176+AE176+AG176+AI176+AK176+AM176+AO176)</f>
        <v>0</v>
      </c>
      <c r="F176" s="2405"/>
      <c r="G176" s="2406"/>
      <c r="H176" s="2405"/>
      <c r="I176" s="2406"/>
      <c r="J176" s="2405"/>
      <c r="K176" s="2406"/>
      <c r="L176" s="2407"/>
      <c r="M176" s="1846"/>
      <c r="N176" s="2407"/>
      <c r="O176" s="1846"/>
      <c r="P176" s="1405"/>
      <c r="Q176" s="1846"/>
      <c r="R176" s="1405"/>
      <c r="S176" s="1846"/>
      <c r="T176" s="1405"/>
      <c r="U176" s="1846"/>
      <c r="V176" s="1405"/>
      <c r="W176" s="1846"/>
      <c r="X176" s="1405"/>
      <c r="Y176" s="1846"/>
      <c r="Z176" s="1405"/>
      <c r="AA176" s="1846"/>
      <c r="AB176" s="1405"/>
      <c r="AC176" s="1846"/>
      <c r="AD176" s="1405"/>
      <c r="AE176" s="1846"/>
      <c r="AF176" s="1405"/>
      <c r="AG176" s="1846"/>
      <c r="AH176" s="1405"/>
      <c r="AI176" s="1846"/>
      <c r="AJ176" s="1405"/>
      <c r="AK176" s="1846"/>
      <c r="AL176" s="1405"/>
      <c r="AM176" s="1846"/>
      <c r="AN176" s="2138"/>
      <c r="AO176" s="1409"/>
      <c r="AP176" s="1417"/>
      <c r="AQ176" s="1406"/>
      <c r="AR176" s="1417"/>
      <c r="AS176" s="1405"/>
      <c r="AT176" s="1408"/>
      <c r="AU176" s="2408"/>
      <c r="AV176" s="2409"/>
      <c r="AW176" t="str">
        <f t="shared" si="53"/>
        <v/>
      </c>
      <c r="CB176" s="1418" t="str">
        <f t="shared" si="54"/>
        <v/>
      </c>
      <c r="CC176" s="1418" t="str">
        <f t="shared" si="55"/>
        <v/>
      </c>
      <c r="CD176" s="1418" t="str">
        <f t="shared" si="56"/>
        <v/>
      </c>
      <c r="CE176" s="1418" t="str">
        <f t="shared" si="57"/>
        <v/>
      </c>
      <c r="CF176" s="1418" t="str">
        <f t="shared" si="58"/>
        <v/>
      </c>
      <c r="CG176" s="1418" t="str">
        <f t="shared" si="59"/>
        <v/>
      </c>
      <c r="CH176" s="1418" t="str">
        <f t="shared" si="60"/>
        <v/>
      </c>
      <c r="CN176" s="1420">
        <f t="shared" si="33"/>
        <v>0</v>
      </c>
      <c r="CO176" s="1420">
        <f t="shared" si="61"/>
        <v>0</v>
      </c>
      <c r="CP176" s="1420">
        <f t="shared" si="62"/>
        <v>0</v>
      </c>
      <c r="CQ176" s="1420">
        <f t="shared" si="36"/>
        <v>0</v>
      </c>
      <c r="CR176" s="1420">
        <f t="shared" si="63"/>
        <v>0</v>
      </c>
      <c r="CS176" s="1420">
        <f t="shared" si="64"/>
        <v>0</v>
      </c>
      <c r="CT176" s="1420">
        <f t="shared" si="65"/>
        <v>0</v>
      </c>
    </row>
    <row r="177" spans="1:98">
      <c r="A177" s="6129"/>
      <c r="B177" s="2396" t="s">
        <v>79</v>
      </c>
      <c r="C177" s="1773">
        <f t="shared" si="50"/>
        <v>0</v>
      </c>
      <c r="D177" s="1774">
        <f t="shared" si="66"/>
        <v>0</v>
      </c>
      <c r="E177" s="1775">
        <f t="shared" si="67"/>
        <v>0</v>
      </c>
      <c r="F177" s="1765"/>
      <c r="G177" s="1766"/>
      <c r="H177" s="1765"/>
      <c r="I177" s="1766"/>
      <c r="J177" s="1765"/>
      <c r="K177" s="1766"/>
      <c r="L177" s="2410"/>
      <c r="M177" s="1684"/>
      <c r="N177" s="2410"/>
      <c r="O177" s="1684"/>
      <c r="P177" s="1455"/>
      <c r="Q177" s="1684"/>
      <c r="R177" s="1455"/>
      <c r="S177" s="1684"/>
      <c r="T177" s="1455"/>
      <c r="U177" s="1684"/>
      <c r="V177" s="1455"/>
      <c r="W177" s="1684"/>
      <c r="X177" s="1455"/>
      <c r="Y177" s="1684"/>
      <c r="Z177" s="1455"/>
      <c r="AA177" s="1684"/>
      <c r="AB177" s="1455"/>
      <c r="AC177" s="1684"/>
      <c r="AD177" s="1455"/>
      <c r="AE177" s="1684"/>
      <c r="AF177" s="1455"/>
      <c r="AG177" s="1684"/>
      <c r="AH177" s="1455"/>
      <c r="AI177" s="1684"/>
      <c r="AJ177" s="1455"/>
      <c r="AK177" s="1684"/>
      <c r="AL177" s="1455"/>
      <c r="AM177" s="1684"/>
      <c r="AN177" s="1664"/>
      <c r="AO177" s="1459"/>
      <c r="AP177" s="1467"/>
      <c r="AQ177" s="1456"/>
      <c r="AR177" s="1467"/>
      <c r="AS177" s="1455"/>
      <c r="AT177" s="1458"/>
      <c r="AU177" s="2397"/>
      <c r="AV177" s="2398"/>
      <c r="AW177" t="str">
        <f t="shared" si="53"/>
        <v/>
      </c>
      <c r="CB177" s="1418" t="str">
        <f t="shared" si="54"/>
        <v/>
      </c>
      <c r="CC177" s="1418" t="str">
        <f t="shared" si="55"/>
        <v/>
      </c>
      <c r="CD177" s="1418" t="str">
        <f t="shared" si="56"/>
        <v/>
      </c>
      <c r="CE177" s="1418" t="str">
        <f t="shared" si="57"/>
        <v/>
      </c>
      <c r="CF177" s="1418" t="str">
        <f t="shared" si="58"/>
        <v/>
      </c>
      <c r="CG177" s="1418" t="str">
        <f t="shared" si="59"/>
        <v/>
      </c>
      <c r="CH177" s="1418" t="str">
        <f t="shared" si="60"/>
        <v/>
      </c>
      <c r="CN177" s="1420">
        <f t="shared" si="33"/>
        <v>0</v>
      </c>
      <c r="CO177" s="1420">
        <f t="shared" si="61"/>
        <v>0</v>
      </c>
      <c r="CP177" s="1420">
        <f t="shared" si="62"/>
        <v>0</v>
      </c>
      <c r="CQ177" s="1420">
        <f t="shared" si="36"/>
        <v>0</v>
      </c>
      <c r="CR177" s="1420">
        <f t="shared" si="63"/>
        <v>0</v>
      </c>
      <c r="CS177" s="1420">
        <f t="shared" si="64"/>
        <v>0</v>
      </c>
      <c r="CT177" s="1420">
        <f t="shared" si="65"/>
        <v>0</v>
      </c>
    </row>
    <row r="178" spans="1:98" s="385" customFormat="1" ht="18" customHeight="1">
      <c r="A178" s="6481" t="s">
        <v>1372</v>
      </c>
      <c r="B178" s="6482"/>
      <c r="C178" s="6482"/>
      <c r="D178" s="6482"/>
      <c r="E178" s="6482"/>
      <c r="F178" s="6356"/>
      <c r="G178" s="6356"/>
      <c r="H178" s="6356"/>
      <c r="I178" s="6356"/>
      <c r="J178" s="6356"/>
      <c r="K178" s="6356"/>
      <c r="L178" s="6356"/>
      <c r="M178" s="6356"/>
      <c r="N178" s="6356"/>
      <c r="O178" s="6356"/>
      <c r="P178" s="6356"/>
      <c r="Q178" s="6356"/>
      <c r="R178" s="6356"/>
      <c r="S178" s="6356"/>
      <c r="T178" s="6356"/>
      <c r="U178" s="6356"/>
      <c r="V178" s="6356"/>
      <c r="W178" s="6356"/>
      <c r="X178" s="6356"/>
      <c r="Y178" s="6356"/>
      <c r="Z178" s="6356"/>
      <c r="AA178" s="6356"/>
      <c r="AB178" s="6356"/>
      <c r="AC178" s="6356"/>
      <c r="AD178" s="6356"/>
      <c r="AE178" s="6356"/>
      <c r="AF178" s="6356"/>
      <c r="AG178" s="6356"/>
      <c r="AH178" s="1493"/>
      <c r="AI178" s="1493"/>
      <c r="AJ178" s="1493"/>
      <c r="AK178" s="1493"/>
      <c r="AL178" s="1493"/>
      <c r="AM178" s="1493"/>
      <c r="AN178" s="1493"/>
      <c r="AO178" s="1493"/>
      <c r="AP178" s="1493"/>
      <c r="CB178" s="1470"/>
      <c r="CC178" s="1470"/>
      <c r="CD178" s="1470"/>
      <c r="CE178" s="1470"/>
      <c r="CF178" s="1470"/>
      <c r="CG178" s="1470"/>
      <c r="CH178" s="1470"/>
      <c r="CI178" s="1470"/>
      <c r="CJ178" s="1470"/>
      <c r="CK178" s="1470"/>
      <c r="CL178" s="1470"/>
      <c r="CM178" s="1470"/>
      <c r="CN178" s="1470"/>
      <c r="CO178" s="1470"/>
      <c r="CP178" s="1470"/>
      <c r="CQ178" s="1470"/>
      <c r="CR178" s="1470"/>
      <c r="CS178" s="1470"/>
      <c r="CT178" s="1470"/>
    </row>
    <row r="179" spans="1:98" ht="15" customHeight="1">
      <c r="A179" s="6472" t="s">
        <v>1373</v>
      </c>
      <c r="B179" s="6473"/>
      <c r="C179" s="6478" t="s">
        <v>475</v>
      </c>
      <c r="D179" s="6479"/>
      <c r="E179" s="6479"/>
      <c r="F179" s="5710" t="s">
        <v>115</v>
      </c>
      <c r="G179" s="6106"/>
      <c r="H179" s="6106"/>
      <c r="I179" s="6106"/>
      <c r="J179" s="6106"/>
      <c r="K179" s="6106"/>
      <c r="L179" s="6106"/>
      <c r="M179" s="6106"/>
      <c r="N179" s="6106"/>
      <c r="O179" s="6106"/>
      <c r="P179" s="6106"/>
      <c r="Q179" s="6106"/>
      <c r="R179" s="6106"/>
      <c r="S179" s="6106"/>
      <c r="T179" s="6106"/>
      <c r="U179" s="6106"/>
      <c r="V179" s="6106"/>
      <c r="W179" s="6106"/>
      <c r="X179" s="6106"/>
      <c r="Y179" s="6106"/>
      <c r="Z179" s="6106"/>
      <c r="AA179" s="6106"/>
      <c r="AB179" s="6106"/>
      <c r="AC179" s="6106"/>
      <c r="AD179" s="6106"/>
      <c r="AE179" s="6106"/>
      <c r="AF179" s="6106"/>
      <c r="AG179" s="6106"/>
      <c r="AH179" s="6106"/>
      <c r="AI179" s="5716"/>
      <c r="AJ179" s="6411" t="s">
        <v>1374</v>
      </c>
      <c r="AK179" s="6411"/>
      <c r="AL179" s="6411"/>
      <c r="AM179" s="6412"/>
      <c r="AN179" s="6408" t="s">
        <v>1375</v>
      </c>
      <c r="AO179" s="6280" t="s">
        <v>1376</v>
      </c>
      <c r="AP179" s="6420"/>
      <c r="AQ179" s="6421" t="s">
        <v>51</v>
      </c>
      <c r="AR179" s="6405" t="s">
        <v>50</v>
      </c>
    </row>
    <row r="180" spans="1:98">
      <c r="A180" s="6474"/>
      <c r="B180" s="6475"/>
      <c r="C180" s="6476"/>
      <c r="D180" s="6480"/>
      <c r="E180" s="6354"/>
      <c r="F180" s="6353" t="s">
        <v>1235</v>
      </c>
      <c r="G180" s="6354"/>
      <c r="H180" s="6353" t="s">
        <v>1332</v>
      </c>
      <c r="I180" s="6354"/>
      <c r="J180" s="6353" t="s">
        <v>59</v>
      </c>
      <c r="K180" s="6354"/>
      <c r="L180" s="6353" t="s">
        <v>60</v>
      </c>
      <c r="M180" s="6354"/>
      <c r="N180" s="6353" t="s">
        <v>61</v>
      </c>
      <c r="O180" s="6354"/>
      <c r="P180" s="6353" t="s">
        <v>62</v>
      </c>
      <c r="Q180" s="6354"/>
      <c r="R180" s="6353" t="s">
        <v>63</v>
      </c>
      <c r="S180" s="6354"/>
      <c r="T180" s="6353" t="s">
        <v>64</v>
      </c>
      <c r="U180" s="6354"/>
      <c r="V180" s="6353" t="s">
        <v>65</v>
      </c>
      <c r="W180" s="6354"/>
      <c r="X180" s="6353" t="s">
        <v>66</v>
      </c>
      <c r="Y180" s="6354"/>
      <c r="Z180" s="6353" t="s">
        <v>67</v>
      </c>
      <c r="AA180" s="6354"/>
      <c r="AB180" s="6353" t="s">
        <v>68</v>
      </c>
      <c r="AC180" s="6354"/>
      <c r="AD180" s="6353" t="s">
        <v>69</v>
      </c>
      <c r="AE180" s="6354"/>
      <c r="AF180" s="6353" t="s">
        <v>70</v>
      </c>
      <c r="AG180" s="6354"/>
      <c r="AH180" s="6353" t="s">
        <v>71</v>
      </c>
      <c r="AI180" s="6477"/>
      <c r="AJ180" s="6462" t="s">
        <v>1036</v>
      </c>
      <c r="AK180" s="6464" t="s">
        <v>1377</v>
      </c>
      <c r="AL180" s="6464" t="s">
        <v>1378</v>
      </c>
      <c r="AM180" s="6424" t="s">
        <v>576</v>
      </c>
      <c r="AN180" s="6409"/>
      <c r="AO180" s="6426" t="s">
        <v>1379</v>
      </c>
      <c r="AP180" s="6428" t="s">
        <v>1380</v>
      </c>
      <c r="AQ180" s="6422"/>
      <c r="AR180" s="6406"/>
    </row>
    <row r="181" spans="1:98">
      <c r="A181" s="6476"/>
      <c r="B181" s="6354"/>
      <c r="C181" s="2412" t="s">
        <v>93</v>
      </c>
      <c r="D181" s="2413" t="s">
        <v>72</v>
      </c>
      <c r="E181" s="2411" t="s">
        <v>73</v>
      </c>
      <c r="F181" s="2414" t="s">
        <v>72</v>
      </c>
      <c r="G181" s="2411" t="s">
        <v>73</v>
      </c>
      <c r="H181" s="2414" t="s">
        <v>72</v>
      </c>
      <c r="I181" s="2411" t="s">
        <v>73</v>
      </c>
      <c r="J181" s="2414" t="s">
        <v>72</v>
      </c>
      <c r="K181" s="2411" t="s">
        <v>73</v>
      </c>
      <c r="L181" s="2414" t="s">
        <v>482</v>
      </c>
      <c r="M181" s="2411" t="s">
        <v>73</v>
      </c>
      <c r="N181" s="2414" t="s">
        <v>482</v>
      </c>
      <c r="O181" s="2411" t="s">
        <v>73</v>
      </c>
      <c r="P181" s="2414" t="s">
        <v>482</v>
      </c>
      <c r="Q181" s="2411" t="s">
        <v>73</v>
      </c>
      <c r="R181" s="2414" t="s">
        <v>482</v>
      </c>
      <c r="S181" s="2411" t="s">
        <v>73</v>
      </c>
      <c r="T181" s="2414" t="s">
        <v>482</v>
      </c>
      <c r="U181" s="2411" t="s">
        <v>73</v>
      </c>
      <c r="V181" s="2414" t="s">
        <v>482</v>
      </c>
      <c r="W181" s="2411" t="s">
        <v>73</v>
      </c>
      <c r="X181" s="2414" t="s">
        <v>482</v>
      </c>
      <c r="Y181" s="2411" t="s">
        <v>73</v>
      </c>
      <c r="Z181" s="2414" t="s">
        <v>482</v>
      </c>
      <c r="AA181" s="2411" t="s">
        <v>73</v>
      </c>
      <c r="AB181" s="2414" t="s">
        <v>482</v>
      </c>
      <c r="AC181" s="2411" t="s">
        <v>73</v>
      </c>
      <c r="AD181" s="2414" t="s">
        <v>482</v>
      </c>
      <c r="AE181" s="2411" t="s">
        <v>73</v>
      </c>
      <c r="AF181" s="2414" t="s">
        <v>482</v>
      </c>
      <c r="AG181" s="2411" t="s">
        <v>73</v>
      </c>
      <c r="AH181" s="2414" t="s">
        <v>482</v>
      </c>
      <c r="AI181" s="2415" t="s">
        <v>73</v>
      </c>
      <c r="AJ181" s="6463"/>
      <c r="AK181" s="6465"/>
      <c r="AL181" s="6466"/>
      <c r="AM181" s="6425"/>
      <c r="AN181" s="6410"/>
      <c r="AO181" s="6427"/>
      <c r="AP181" s="6429"/>
      <c r="AQ181" s="6423"/>
      <c r="AR181" s="6407"/>
    </row>
    <row r="182" spans="1:98" ht="15" customHeight="1">
      <c r="A182" s="6454" t="s">
        <v>1381</v>
      </c>
      <c r="B182" s="2416" t="s">
        <v>992</v>
      </c>
      <c r="C182" s="2417">
        <f t="shared" si="50"/>
        <v>0</v>
      </c>
      <c r="D182" s="2418">
        <f t="shared" ref="D182:D191" si="68">SUM(F182+H182+J182+L182+N182+P182+R182+T182+V182+X182+Z182+AB182+AD182+AF182+AH182)</f>
        <v>0</v>
      </c>
      <c r="E182" s="2419">
        <f t="shared" ref="E182:E191" si="69">SUM(G182+I182+K182+M182+O182+Q182+S182+U182+W182+Y182+AA182+AC182+AE182+AG182+AI182)</f>
        <v>0</v>
      </c>
      <c r="F182" s="2420"/>
      <c r="G182" s="2421"/>
      <c r="H182" s="2420"/>
      <c r="I182" s="2421"/>
      <c r="J182" s="2420"/>
      <c r="K182" s="2421"/>
      <c r="L182" s="2420"/>
      <c r="M182" s="2421"/>
      <c r="N182" s="2420"/>
      <c r="O182" s="2421"/>
      <c r="P182" s="2420"/>
      <c r="Q182" s="2421"/>
      <c r="R182" s="2420"/>
      <c r="S182" s="2421"/>
      <c r="T182" s="2420"/>
      <c r="U182" s="2421"/>
      <c r="V182" s="2420"/>
      <c r="W182" s="2421"/>
      <c r="X182" s="2420"/>
      <c r="Y182" s="2421"/>
      <c r="Z182" s="2420"/>
      <c r="AA182" s="2421"/>
      <c r="AB182" s="2420"/>
      <c r="AC182" s="2421"/>
      <c r="AD182" s="2420"/>
      <c r="AE182" s="2421"/>
      <c r="AF182" s="2420"/>
      <c r="AG182" s="2421"/>
      <c r="AH182" s="2420"/>
      <c r="AI182" s="2422"/>
      <c r="AJ182" s="2423"/>
      <c r="AK182" s="2424"/>
      <c r="AL182" s="2424"/>
      <c r="AM182" s="2425"/>
      <c r="AN182" s="2426"/>
      <c r="AO182" s="2427"/>
      <c r="AP182" s="2428"/>
      <c r="AQ182" s="2423"/>
      <c r="AR182" s="2425"/>
      <c r="AS182" t="str">
        <f t="shared" ref="AS182:AS191" si="70">CB182&amp;CC182</f>
        <v/>
      </c>
      <c r="CB182" s="1418" t="str">
        <f t="shared" ref="CB182:CB191" si="71">IF(AND(C182&gt;0,AQ182="")," * No olvide digitar la variable Migrantes. Digite Cero si no tiene.",IF(AQ182&gt;C182," * La variable Migrantes No puede ser mayor al Total Ambos Sexos.",""))</f>
        <v/>
      </c>
      <c r="CC182" s="1418" t="str">
        <f t="shared" ref="CC182:CC191" si="72">IF(AND(C182&gt;0,AR182="")," * No olvide digitar la variable Pueblos Originarios. Digite Cero si no tiene.",IF(AR182&gt;C182," * La variable Pueblos Originarios No puede ser mayor al Total Ambos Sexos.",""))</f>
        <v/>
      </c>
      <c r="CN182" s="1420">
        <f t="shared" ref="CN182:CN191" si="73">IF(AND(C182&gt;0,AQ182=""),1,IF(AQ182&gt;C182,1,0))</f>
        <v>0</v>
      </c>
      <c r="CO182" s="1420">
        <f t="shared" ref="CO182:CO191" si="74">IF(AND(C182&gt;0,AR182=""),1,IF(AR182&gt;C182,1,0))</f>
        <v>0</v>
      </c>
    </row>
    <row r="183" spans="1:98" ht="15" customHeight="1">
      <c r="A183" s="6457"/>
      <c r="B183" s="2429" t="s">
        <v>991</v>
      </c>
      <c r="C183" s="2430">
        <f t="shared" si="50"/>
        <v>0</v>
      </c>
      <c r="D183" s="2431">
        <f t="shared" si="68"/>
        <v>0</v>
      </c>
      <c r="E183" s="2432">
        <f t="shared" si="69"/>
        <v>0</v>
      </c>
      <c r="F183" s="2433"/>
      <c r="G183" s="2434"/>
      <c r="H183" s="2433"/>
      <c r="I183" s="2434"/>
      <c r="J183" s="2433"/>
      <c r="K183" s="2434"/>
      <c r="L183" s="2433"/>
      <c r="M183" s="2434"/>
      <c r="N183" s="2433"/>
      <c r="O183" s="2434"/>
      <c r="P183" s="2433"/>
      <c r="Q183" s="2434"/>
      <c r="R183" s="2433"/>
      <c r="S183" s="2434"/>
      <c r="T183" s="2433"/>
      <c r="U183" s="2434"/>
      <c r="V183" s="2433"/>
      <c r="W183" s="2434"/>
      <c r="X183" s="2433"/>
      <c r="Y183" s="2434"/>
      <c r="Z183" s="2433"/>
      <c r="AA183" s="2434"/>
      <c r="AB183" s="2433"/>
      <c r="AC183" s="2434"/>
      <c r="AD183" s="2433"/>
      <c r="AE183" s="2434"/>
      <c r="AF183" s="2433"/>
      <c r="AG183" s="2434"/>
      <c r="AH183" s="2433"/>
      <c r="AI183" s="2435"/>
      <c r="AJ183" s="2436"/>
      <c r="AK183" s="2437"/>
      <c r="AL183" s="2437"/>
      <c r="AM183" s="2438"/>
      <c r="AN183" s="2439"/>
      <c r="AO183" s="2440"/>
      <c r="AP183" s="2441"/>
      <c r="AQ183" s="2436"/>
      <c r="AR183" s="2438"/>
      <c r="AS183" t="str">
        <f t="shared" si="70"/>
        <v/>
      </c>
      <c r="CB183" s="1418" t="str">
        <f t="shared" si="71"/>
        <v/>
      </c>
      <c r="CC183" s="1418" t="str">
        <f t="shared" si="72"/>
        <v/>
      </c>
      <c r="CN183" s="1420">
        <f t="shared" si="73"/>
        <v>0</v>
      </c>
      <c r="CO183" s="1420">
        <f t="shared" si="74"/>
        <v>0</v>
      </c>
    </row>
    <row r="184" spans="1:98" ht="15" customHeight="1">
      <c r="A184" s="6458" t="s">
        <v>1382</v>
      </c>
      <c r="B184" s="2442" t="s">
        <v>992</v>
      </c>
      <c r="C184" s="2443">
        <f t="shared" si="50"/>
        <v>0</v>
      </c>
      <c r="D184" s="2444">
        <f t="shared" si="68"/>
        <v>0</v>
      </c>
      <c r="E184" s="2419">
        <f t="shared" si="69"/>
        <v>0</v>
      </c>
      <c r="F184" s="2420"/>
      <c r="G184" s="2421"/>
      <c r="H184" s="2420"/>
      <c r="I184" s="2421"/>
      <c r="J184" s="2420"/>
      <c r="K184" s="2421"/>
      <c r="L184" s="2420"/>
      <c r="M184" s="2421"/>
      <c r="N184" s="2420"/>
      <c r="O184" s="2421"/>
      <c r="P184" s="2420"/>
      <c r="Q184" s="2421"/>
      <c r="R184" s="2420"/>
      <c r="S184" s="2421"/>
      <c r="T184" s="2420"/>
      <c r="U184" s="2421"/>
      <c r="V184" s="2420"/>
      <c r="W184" s="2421"/>
      <c r="X184" s="2420"/>
      <c r="Y184" s="2421"/>
      <c r="Z184" s="2420"/>
      <c r="AA184" s="2421"/>
      <c r="AB184" s="2420"/>
      <c r="AC184" s="2421"/>
      <c r="AD184" s="2420"/>
      <c r="AE184" s="2421"/>
      <c r="AF184" s="2420"/>
      <c r="AG184" s="2421"/>
      <c r="AH184" s="2420"/>
      <c r="AI184" s="2422"/>
      <c r="AJ184" s="2423"/>
      <c r="AK184" s="2424"/>
      <c r="AL184" s="2424"/>
      <c r="AM184" s="2425"/>
      <c r="AN184" s="2445"/>
      <c r="AO184" s="2427"/>
      <c r="AP184" s="2428"/>
      <c r="AQ184" s="2423"/>
      <c r="AR184" s="2425"/>
      <c r="AS184" t="str">
        <f t="shared" si="70"/>
        <v/>
      </c>
      <c r="CB184" s="1418" t="str">
        <f t="shared" si="71"/>
        <v/>
      </c>
      <c r="CC184" s="1418" t="str">
        <f t="shared" si="72"/>
        <v/>
      </c>
      <c r="CN184" s="1420">
        <f t="shared" si="73"/>
        <v>0</v>
      </c>
      <c r="CO184" s="1420">
        <f t="shared" si="74"/>
        <v>0</v>
      </c>
    </row>
    <row r="185" spans="1:98" ht="15" customHeight="1">
      <c r="A185" s="6459"/>
      <c r="B185" s="2446" t="s">
        <v>991</v>
      </c>
      <c r="C185" s="2430">
        <f t="shared" si="50"/>
        <v>0</v>
      </c>
      <c r="D185" s="2431">
        <f t="shared" si="68"/>
        <v>0</v>
      </c>
      <c r="E185" s="2432">
        <f t="shared" si="69"/>
        <v>0</v>
      </c>
      <c r="F185" s="2433"/>
      <c r="G185" s="2434"/>
      <c r="H185" s="2433"/>
      <c r="I185" s="2434"/>
      <c r="J185" s="2433"/>
      <c r="K185" s="2434"/>
      <c r="L185" s="2433"/>
      <c r="M185" s="2434"/>
      <c r="N185" s="2433"/>
      <c r="O185" s="2434"/>
      <c r="P185" s="2433"/>
      <c r="Q185" s="2434"/>
      <c r="R185" s="2433"/>
      <c r="S185" s="2434"/>
      <c r="T185" s="2433"/>
      <c r="U185" s="2434"/>
      <c r="V185" s="2433"/>
      <c r="W185" s="2434"/>
      <c r="X185" s="2433"/>
      <c r="Y185" s="2434"/>
      <c r="Z185" s="2433"/>
      <c r="AA185" s="2434"/>
      <c r="AB185" s="2433"/>
      <c r="AC185" s="2434"/>
      <c r="AD185" s="2433"/>
      <c r="AE185" s="2434"/>
      <c r="AF185" s="2433"/>
      <c r="AG185" s="2434"/>
      <c r="AH185" s="2433"/>
      <c r="AI185" s="2435"/>
      <c r="AJ185" s="2436"/>
      <c r="AK185" s="2437"/>
      <c r="AL185" s="2437"/>
      <c r="AM185" s="2438"/>
      <c r="AN185" s="2447"/>
      <c r="AO185" s="2440"/>
      <c r="AP185" s="2441"/>
      <c r="AQ185" s="2436"/>
      <c r="AR185" s="2438"/>
      <c r="AS185" t="str">
        <f t="shared" si="70"/>
        <v/>
      </c>
      <c r="CB185" s="1418" t="str">
        <f t="shared" si="71"/>
        <v/>
      </c>
      <c r="CC185" s="1418" t="str">
        <f t="shared" si="72"/>
        <v/>
      </c>
      <c r="CN185" s="1420">
        <f t="shared" si="73"/>
        <v>0</v>
      </c>
      <c r="CO185" s="1420">
        <f t="shared" si="74"/>
        <v>0</v>
      </c>
    </row>
    <row r="186" spans="1:98" ht="15" customHeight="1">
      <c r="A186" s="6460" t="s">
        <v>1383</v>
      </c>
      <c r="B186" s="2416" t="s">
        <v>992</v>
      </c>
      <c r="C186" s="2443">
        <f t="shared" si="50"/>
        <v>0</v>
      </c>
      <c r="D186" s="2444">
        <f t="shared" si="68"/>
        <v>0</v>
      </c>
      <c r="E186" s="2419">
        <f t="shared" si="69"/>
        <v>0</v>
      </c>
      <c r="F186" s="2420"/>
      <c r="G186" s="2421"/>
      <c r="H186" s="2420"/>
      <c r="I186" s="2421"/>
      <c r="J186" s="2420"/>
      <c r="K186" s="2421"/>
      <c r="L186" s="2420"/>
      <c r="M186" s="2421"/>
      <c r="N186" s="2420"/>
      <c r="O186" s="2421"/>
      <c r="P186" s="2420"/>
      <c r="Q186" s="2421"/>
      <c r="R186" s="2420"/>
      <c r="S186" s="2421"/>
      <c r="T186" s="2420"/>
      <c r="U186" s="2421"/>
      <c r="V186" s="2420"/>
      <c r="W186" s="2421"/>
      <c r="X186" s="2420"/>
      <c r="Y186" s="2421"/>
      <c r="Z186" s="2420"/>
      <c r="AA186" s="2421"/>
      <c r="AB186" s="2420"/>
      <c r="AC186" s="2421"/>
      <c r="AD186" s="2420"/>
      <c r="AE186" s="2421"/>
      <c r="AF186" s="2420"/>
      <c r="AG186" s="2421"/>
      <c r="AH186" s="2420"/>
      <c r="AI186" s="2422"/>
      <c r="AJ186" s="2423"/>
      <c r="AK186" s="2424"/>
      <c r="AL186" s="2424"/>
      <c r="AM186" s="2425"/>
      <c r="AN186" s="2448"/>
      <c r="AO186" s="2449"/>
      <c r="AP186" s="2450"/>
      <c r="AQ186" s="2423"/>
      <c r="AR186" s="2425"/>
      <c r="AS186" t="str">
        <f t="shared" si="70"/>
        <v/>
      </c>
      <c r="CB186" s="1418" t="str">
        <f t="shared" si="71"/>
        <v/>
      </c>
      <c r="CC186" s="1418" t="str">
        <f t="shared" si="72"/>
        <v/>
      </c>
      <c r="CN186" s="1420">
        <f t="shared" si="73"/>
        <v>0</v>
      </c>
      <c r="CO186" s="1420">
        <f t="shared" si="74"/>
        <v>0</v>
      </c>
    </row>
    <row r="187" spans="1:98" ht="15" customHeight="1">
      <c r="A187" s="6461"/>
      <c r="B187" s="2429" t="s">
        <v>991</v>
      </c>
      <c r="C187" s="2430">
        <f t="shared" si="50"/>
        <v>0</v>
      </c>
      <c r="D187" s="2431">
        <f t="shared" si="68"/>
        <v>0</v>
      </c>
      <c r="E187" s="2432">
        <f t="shared" si="69"/>
        <v>0</v>
      </c>
      <c r="F187" s="2433"/>
      <c r="G187" s="2434"/>
      <c r="H187" s="2433"/>
      <c r="I187" s="2434"/>
      <c r="J187" s="2433"/>
      <c r="K187" s="2434"/>
      <c r="L187" s="2433"/>
      <c r="M187" s="2434"/>
      <c r="N187" s="2433"/>
      <c r="O187" s="2434"/>
      <c r="P187" s="2433"/>
      <c r="Q187" s="2434"/>
      <c r="R187" s="2433"/>
      <c r="S187" s="2434"/>
      <c r="T187" s="2433"/>
      <c r="U187" s="2434"/>
      <c r="V187" s="2433"/>
      <c r="W187" s="2434"/>
      <c r="X187" s="2433"/>
      <c r="Y187" s="2434"/>
      <c r="Z187" s="2433"/>
      <c r="AA187" s="2434"/>
      <c r="AB187" s="2433"/>
      <c r="AC187" s="2434"/>
      <c r="AD187" s="2433"/>
      <c r="AE187" s="2434"/>
      <c r="AF187" s="2433"/>
      <c r="AG187" s="2434"/>
      <c r="AH187" s="2433"/>
      <c r="AI187" s="2435"/>
      <c r="AJ187" s="2436"/>
      <c r="AK187" s="2437"/>
      <c r="AL187" s="2437"/>
      <c r="AM187" s="2438"/>
      <c r="AN187" s="2451"/>
      <c r="AO187" s="2452"/>
      <c r="AP187" s="2453"/>
      <c r="AQ187" s="2436"/>
      <c r="AR187" s="2438"/>
      <c r="AS187" t="str">
        <f t="shared" si="70"/>
        <v/>
      </c>
      <c r="CB187" s="1418" t="str">
        <f t="shared" si="71"/>
        <v/>
      </c>
      <c r="CC187" s="1418" t="str">
        <f t="shared" si="72"/>
        <v/>
      </c>
      <c r="CN187" s="1420">
        <f t="shared" si="73"/>
        <v>0</v>
      </c>
      <c r="CO187" s="1420">
        <f t="shared" si="74"/>
        <v>0</v>
      </c>
    </row>
    <row r="188" spans="1:98" ht="15" customHeight="1">
      <c r="A188" s="6454" t="s">
        <v>1384</v>
      </c>
      <c r="B188" s="2416" t="s">
        <v>992</v>
      </c>
      <c r="C188" s="2443">
        <f t="shared" si="50"/>
        <v>0</v>
      </c>
      <c r="D188" s="2444">
        <f t="shared" si="68"/>
        <v>0</v>
      </c>
      <c r="E188" s="2419">
        <f t="shared" si="69"/>
        <v>0</v>
      </c>
      <c r="F188" s="2420"/>
      <c r="G188" s="2421"/>
      <c r="H188" s="2420"/>
      <c r="I188" s="2421"/>
      <c r="J188" s="2420"/>
      <c r="K188" s="2421"/>
      <c r="L188" s="2420"/>
      <c r="M188" s="2421"/>
      <c r="N188" s="2420"/>
      <c r="O188" s="2421"/>
      <c r="P188" s="2420"/>
      <c r="Q188" s="2421"/>
      <c r="R188" s="2420"/>
      <c r="S188" s="2421"/>
      <c r="T188" s="2420"/>
      <c r="U188" s="2421"/>
      <c r="V188" s="2420"/>
      <c r="W188" s="2421"/>
      <c r="X188" s="2420"/>
      <c r="Y188" s="2421"/>
      <c r="Z188" s="2420"/>
      <c r="AA188" s="2421"/>
      <c r="AB188" s="2420"/>
      <c r="AC188" s="2421"/>
      <c r="AD188" s="2420"/>
      <c r="AE188" s="2421"/>
      <c r="AF188" s="2420"/>
      <c r="AG188" s="2421"/>
      <c r="AH188" s="2420"/>
      <c r="AI188" s="2422"/>
      <c r="AJ188" s="2423"/>
      <c r="AK188" s="2424"/>
      <c r="AL188" s="2424"/>
      <c r="AM188" s="2425"/>
      <c r="AN188" s="2454"/>
      <c r="AO188" s="2449"/>
      <c r="AP188" s="2450"/>
      <c r="AQ188" s="2423"/>
      <c r="AR188" s="2425"/>
      <c r="AS188" t="str">
        <f t="shared" si="70"/>
        <v/>
      </c>
      <c r="CB188" s="1418" t="str">
        <f t="shared" si="71"/>
        <v/>
      </c>
      <c r="CC188" s="1418" t="str">
        <f t="shared" si="72"/>
        <v/>
      </c>
      <c r="CN188" s="1420">
        <f t="shared" si="73"/>
        <v>0</v>
      </c>
      <c r="CO188" s="1420">
        <f t="shared" si="74"/>
        <v>0</v>
      </c>
    </row>
    <row r="189" spans="1:98" ht="15" customHeight="1">
      <c r="A189" s="6455"/>
      <c r="B189" s="2429" t="s">
        <v>991</v>
      </c>
      <c r="C189" s="2430">
        <f t="shared" si="50"/>
        <v>0</v>
      </c>
      <c r="D189" s="2431">
        <f t="shared" si="68"/>
        <v>0</v>
      </c>
      <c r="E189" s="2432">
        <f t="shared" si="69"/>
        <v>0</v>
      </c>
      <c r="F189" s="2433"/>
      <c r="G189" s="2434"/>
      <c r="H189" s="2433"/>
      <c r="I189" s="2434"/>
      <c r="J189" s="2433"/>
      <c r="K189" s="2434"/>
      <c r="L189" s="2433"/>
      <c r="M189" s="2434"/>
      <c r="N189" s="2433"/>
      <c r="O189" s="2434"/>
      <c r="P189" s="2433"/>
      <c r="Q189" s="2434"/>
      <c r="R189" s="2433"/>
      <c r="S189" s="2434"/>
      <c r="T189" s="2433"/>
      <c r="U189" s="2434"/>
      <c r="V189" s="2433"/>
      <c r="W189" s="2434"/>
      <c r="X189" s="2433"/>
      <c r="Y189" s="2434"/>
      <c r="Z189" s="2433"/>
      <c r="AA189" s="2434"/>
      <c r="AB189" s="2433"/>
      <c r="AC189" s="2434"/>
      <c r="AD189" s="2433"/>
      <c r="AE189" s="2434"/>
      <c r="AF189" s="2433"/>
      <c r="AG189" s="2434"/>
      <c r="AH189" s="2433"/>
      <c r="AI189" s="2435"/>
      <c r="AJ189" s="2436"/>
      <c r="AK189" s="2437"/>
      <c r="AL189" s="2437"/>
      <c r="AM189" s="2438"/>
      <c r="AN189" s="2455"/>
      <c r="AO189" s="2452"/>
      <c r="AP189" s="2453"/>
      <c r="AQ189" s="2436"/>
      <c r="AR189" s="2438"/>
      <c r="AS189" t="str">
        <f t="shared" si="70"/>
        <v/>
      </c>
      <c r="CB189" s="1418" t="str">
        <f t="shared" si="71"/>
        <v/>
      </c>
      <c r="CC189" s="1418" t="str">
        <f t="shared" si="72"/>
        <v/>
      </c>
      <c r="CN189" s="1420">
        <f t="shared" si="73"/>
        <v>0</v>
      </c>
      <c r="CO189" s="1420">
        <f t="shared" si="74"/>
        <v>0</v>
      </c>
    </row>
    <row r="190" spans="1:98" ht="15" customHeight="1">
      <c r="A190" s="6454" t="s">
        <v>1385</v>
      </c>
      <c r="B190" s="2416" t="s">
        <v>992</v>
      </c>
      <c r="C190" s="2456">
        <f t="shared" si="50"/>
        <v>0</v>
      </c>
      <c r="D190" s="2444">
        <f t="shared" si="68"/>
        <v>0</v>
      </c>
      <c r="E190" s="2419">
        <f t="shared" si="69"/>
        <v>0</v>
      </c>
      <c r="F190" s="2457"/>
      <c r="G190" s="2458"/>
      <c r="H190" s="2457"/>
      <c r="I190" s="2458"/>
      <c r="J190" s="2457"/>
      <c r="K190" s="2458"/>
      <c r="L190" s="2457"/>
      <c r="M190" s="2458"/>
      <c r="N190" s="2457"/>
      <c r="O190" s="2458"/>
      <c r="P190" s="2457"/>
      <c r="Q190" s="2458"/>
      <c r="R190" s="2457"/>
      <c r="S190" s="2458"/>
      <c r="T190" s="2457"/>
      <c r="U190" s="2458"/>
      <c r="V190" s="2457"/>
      <c r="W190" s="2458"/>
      <c r="X190" s="2457"/>
      <c r="Y190" s="2458"/>
      <c r="Z190" s="2457"/>
      <c r="AA190" s="2458"/>
      <c r="AB190" s="2457"/>
      <c r="AC190" s="2458"/>
      <c r="AD190" s="2457"/>
      <c r="AE190" s="2458"/>
      <c r="AF190" s="2457"/>
      <c r="AG190" s="2458"/>
      <c r="AH190" s="2457"/>
      <c r="AI190" s="2459"/>
      <c r="AJ190" s="2460"/>
      <c r="AK190" s="2461"/>
      <c r="AL190" s="2461"/>
      <c r="AM190" s="2462"/>
      <c r="AN190" s="2463"/>
      <c r="AO190" s="2449"/>
      <c r="AP190" s="2450"/>
      <c r="AQ190" s="2423"/>
      <c r="AR190" s="2425"/>
      <c r="AS190" t="str">
        <f t="shared" si="70"/>
        <v/>
      </c>
      <c r="CB190" s="1418" t="str">
        <f t="shared" si="71"/>
        <v/>
      </c>
      <c r="CC190" s="1418" t="str">
        <f t="shared" si="72"/>
        <v/>
      </c>
      <c r="CN190" s="1420">
        <f t="shared" si="73"/>
        <v>0</v>
      </c>
      <c r="CO190" s="1420">
        <f t="shared" si="74"/>
        <v>0</v>
      </c>
    </row>
    <row r="191" spans="1:98" ht="15" customHeight="1">
      <c r="A191" s="6456"/>
      <c r="B191" s="2464" t="s">
        <v>991</v>
      </c>
      <c r="C191" s="2430">
        <f t="shared" si="50"/>
        <v>0</v>
      </c>
      <c r="D191" s="2431">
        <f t="shared" si="68"/>
        <v>0</v>
      </c>
      <c r="E191" s="2432">
        <f t="shared" si="69"/>
        <v>0</v>
      </c>
      <c r="F191" s="2433"/>
      <c r="G191" s="2434"/>
      <c r="H191" s="2433"/>
      <c r="I191" s="2434"/>
      <c r="J191" s="2433"/>
      <c r="K191" s="2434"/>
      <c r="L191" s="2433"/>
      <c r="M191" s="2434"/>
      <c r="N191" s="2433"/>
      <c r="O191" s="2434"/>
      <c r="P191" s="2433"/>
      <c r="Q191" s="2434"/>
      <c r="R191" s="2433"/>
      <c r="S191" s="2434"/>
      <c r="T191" s="2433"/>
      <c r="U191" s="2434"/>
      <c r="V191" s="2433"/>
      <c r="W191" s="2434"/>
      <c r="X191" s="2433"/>
      <c r="Y191" s="2434"/>
      <c r="Z191" s="2433"/>
      <c r="AA191" s="2434"/>
      <c r="AB191" s="2433"/>
      <c r="AC191" s="2434"/>
      <c r="AD191" s="2433"/>
      <c r="AE191" s="2434"/>
      <c r="AF191" s="2433"/>
      <c r="AG191" s="2434"/>
      <c r="AH191" s="2433"/>
      <c r="AI191" s="2435"/>
      <c r="AJ191" s="2465"/>
      <c r="AK191" s="2466"/>
      <c r="AL191" s="2466"/>
      <c r="AM191" s="2467"/>
      <c r="AN191" s="2468"/>
      <c r="AO191" s="2469"/>
      <c r="AP191" s="2453"/>
      <c r="AQ191" s="2436"/>
      <c r="AR191" s="2438"/>
      <c r="AS191" t="str">
        <f t="shared" si="70"/>
        <v/>
      </c>
      <c r="CB191" s="1418" t="str">
        <f t="shared" si="71"/>
        <v/>
      </c>
      <c r="CC191" s="1418" t="str">
        <f t="shared" si="72"/>
        <v/>
      </c>
      <c r="CN191" s="1420">
        <f t="shared" si="73"/>
        <v>0</v>
      </c>
      <c r="CO191" s="1420">
        <f t="shared" si="74"/>
        <v>0</v>
      </c>
    </row>
    <row r="192" spans="1:98" ht="18" customHeight="1">
      <c r="A192" s="6355" t="s">
        <v>1386</v>
      </c>
      <c r="B192" s="6356"/>
      <c r="C192" s="6356"/>
      <c r="D192" s="6356"/>
      <c r="E192" s="6356"/>
      <c r="F192" s="6356"/>
      <c r="G192" s="6356"/>
      <c r="H192" s="6356"/>
      <c r="I192" s="6356"/>
      <c r="J192" s="6356"/>
      <c r="K192" s="6356"/>
      <c r="L192" s="6356"/>
      <c r="M192" s="6356"/>
      <c r="N192" s="6356"/>
      <c r="O192" s="6356"/>
      <c r="P192" s="6356"/>
      <c r="Q192" s="6356"/>
    </row>
    <row r="193" spans="1:102" ht="15" customHeight="1">
      <c r="A193" s="6364" t="s">
        <v>1387</v>
      </c>
      <c r="B193" s="6365"/>
      <c r="C193" s="6368" t="s">
        <v>410</v>
      </c>
      <c r="D193" s="6369" t="s">
        <v>72</v>
      </c>
      <c r="E193" s="6370" t="s">
        <v>73</v>
      </c>
      <c r="F193" s="6440" t="s">
        <v>115</v>
      </c>
      <c r="G193" s="6441"/>
      <c r="H193" s="6441"/>
      <c r="I193" s="6441"/>
      <c r="J193" s="6441"/>
      <c r="K193" s="6441"/>
      <c r="L193" s="6441"/>
      <c r="M193" s="6441"/>
      <c r="N193" s="6441"/>
      <c r="O193" s="6441"/>
      <c r="P193" s="6441"/>
      <c r="Q193" s="6441"/>
      <c r="R193" s="6441"/>
      <c r="S193" s="6442"/>
      <c r="T193" s="6375" t="s">
        <v>1388</v>
      </c>
      <c r="U193" s="6378" t="s">
        <v>476</v>
      </c>
      <c r="V193" s="6430" t="s">
        <v>51</v>
      </c>
      <c r="W193" s="6433" t="s">
        <v>50</v>
      </c>
      <c r="X193" s="6304" t="s">
        <v>48</v>
      </c>
      <c r="Y193" s="6307" t="s">
        <v>49</v>
      </c>
      <c r="Z193" s="6436" t="s">
        <v>1389</v>
      </c>
      <c r="AA193" s="6437"/>
    </row>
    <row r="194" spans="1:102">
      <c r="A194" s="6366"/>
      <c r="B194" s="6367"/>
      <c r="C194" s="6368"/>
      <c r="D194" s="6369"/>
      <c r="E194" s="6371"/>
      <c r="F194" s="6357" t="s">
        <v>1390</v>
      </c>
      <c r="G194" s="6358"/>
      <c r="H194" s="6359" t="s">
        <v>1391</v>
      </c>
      <c r="I194" s="6358"/>
      <c r="J194" s="6360" t="s">
        <v>1392</v>
      </c>
      <c r="K194" s="6361"/>
      <c r="L194" s="6357" t="s">
        <v>1393</v>
      </c>
      <c r="M194" s="6358"/>
      <c r="N194" s="6357" t="s">
        <v>1394</v>
      </c>
      <c r="O194" s="6358"/>
      <c r="P194" s="6357" t="s">
        <v>1395</v>
      </c>
      <c r="Q194" s="6358"/>
      <c r="R194" s="6362" t="s">
        <v>536</v>
      </c>
      <c r="S194" s="6363"/>
      <c r="T194" s="6376"/>
      <c r="U194" s="6379"/>
      <c r="V194" s="6431"/>
      <c r="W194" s="6434"/>
      <c r="X194" s="6305"/>
      <c r="Y194" s="6308"/>
      <c r="Z194" s="6438"/>
      <c r="AA194" s="6439"/>
    </row>
    <row r="195" spans="1:102" ht="36" customHeight="1">
      <c r="A195" s="6357"/>
      <c r="B195" s="6358"/>
      <c r="C195" s="6368"/>
      <c r="D195" s="6369"/>
      <c r="E195" s="6371"/>
      <c r="F195" s="2470" t="s">
        <v>544</v>
      </c>
      <c r="G195" s="2473" t="s">
        <v>779</v>
      </c>
      <c r="H195" s="2470" t="s">
        <v>544</v>
      </c>
      <c r="I195" s="2473" t="s">
        <v>779</v>
      </c>
      <c r="J195" s="2470" t="s">
        <v>544</v>
      </c>
      <c r="K195" s="2473" t="s">
        <v>779</v>
      </c>
      <c r="L195" s="2470" t="s">
        <v>544</v>
      </c>
      <c r="M195" s="2473" t="s">
        <v>779</v>
      </c>
      <c r="N195" s="2470" t="s">
        <v>544</v>
      </c>
      <c r="O195" s="2473" t="s">
        <v>779</v>
      </c>
      <c r="P195" s="2470" t="s">
        <v>544</v>
      </c>
      <c r="Q195" s="2473" t="s">
        <v>779</v>
      </c>
      <c r="R195" s="2474" t="s">
        <v>544</v>
      </c>
      <c r="S195" s="2475" t="s">
        <v>779</v>
      </c>
      <c r="T195" s="6377"/>
      <c r="U195" s="6380"/>
      <c r="V195" s="6432"/>
      <c r="W195" s="6435"/>
      <c r="X195" s="6306"/>
      <c r="Y195" s="6309"/>
      <c r="Z195" s="2477" t="s">
        <v>483</v>
      </c>
      <c r="AA195" s="2478" t="s">
        <v>1396</v>
      </c>
    </row>
    <row r="196" spans="1:102">
      <c r="A196" s="6372" t="s">
        <v>1397</v>
      </c>
      <c r="B196" s="6372"/>
      <c r="C196" s="2479">
        <f>SUM(D196:E196)</f>
        <v>0</v>
      </c>
      <c r="D196" s="2480">
        <f>SUM(F196,H196,J196,L196,N196,P196,R196)</f>
        <v>0</v>
      </c>
      <c r="E196" s="2481">
        <f>SUM(G196,I196,K196,M196,O196,Q196,S196)</f>
        <v>0</v>
      </c>
      <c r="F196" s="2482"/>
      <c r="G196" s="2483"/>
      <c r="H196" s="2482"/>
      <c r="I196" s="2483"/>
      <c r="J196" s="2482"/>
      <c r="K196" s="2483"/>
      <c r="L196" s="2482"/>
      <c r="M196" s="2483"/>
      <c r="N196" s="2482"/>
      <c r="O196" s="2483"/>
      <c r="P196" s="2482"/>
      <c r="Q196" s="2483"/>
      <c r="R196" s="2484"/>
      <c r="S196" s="2485"/>
      <c r="T196" s="2486"/>
      <c r="U196" s="2487"/>
      <c r="V196" s="2488"/>
      <c r="W196" s="2489"/>
      <c r="X196" s="2490"/>
      <c r="Y196" s="2491"/>
      <c r="Z196" s="2492"/>
      <c r="AA196" s="2493"/>
      <c r="AB196" t="str">
        <f>CB196&amp;CC196&amp;CD196&amp;CE196&amp;CF196&amp;CG196&amp;CH196&amp;CI196</f>
        <v/>
      </c>
      <c r="CB196" s="1418" t="str">
        <f>IF(AND($C196&gt;0,T196=""), " *No olvide digitar la variable N° sesiones.","")</f>
        <v/>
      </c>
      <c r="CC196" s="1418" t="str">
        <f t="shared" ref="CC196:CC202" si="75">IF(AND($E196&gt;0,U196="")," *No olvide digitar la variable Gestantes. Digite Cero si no tiene.",IF(U196&gt;$E196," *La variable Gestantes No puede ser mayor al Total Mujeres.",""))</f>
        <v/>
      </c>
      <c r="CD196" s="1418" t="str">
        <f t="shared" ref="CD196:CD202" si="76">IF(AND($C196&gt;0,V196="")," *No olvide digitar la variable Migrantes. Digite Cero si no tiene.",IF(V196&gt;$C196," *La variable Migrantes No puede ser mayor al Total Ambos Sexos.",""))</f>
        <v/>
      </c>
      <c r="CE196" s="1418" t="str">
        <f t="shared" ref="CE196:CE202" si="77">IF(AND($C196&gt;0,W196="")," *No olvide digitar la variable Pueblos Originarios. Digite Cero si no tiene.",IF(W196&gt;$C196," *La variable Pueblos Originarios No puede ser mayor al Total Ambos Sexos.",""))</f>
        <v/>
      </c>
      <c r="CF196" s="1418" t="str">
        <f t="shared" ref="CF196:CF202" si="78">IF(AND($C196&gt;0,X196="")," *No olvide digitar la variable SENAME/Servicio Nacional de Reinserción social Juvenil. Digite Cero si no tiene.",IF(X196&gt;$C196," *La variable SENAME/Servicio Nacional de Reinserción social Juvenil, No puede ser mayor al Total Ambos Sexos.",""))</f>
        <v/>
      </c>
      <c r="CG196" s="1418" t="str">
        <f t="shared" ref="CG196:CG202" si="79">IF(AND($C196&gt;0,Y196="")," *No olvide digitar la variable Servicio Nacional Protección Especializada a la Niñez y Adolescencia. Digite Cero si no tiene.",IF(Y196&gt;$C196," *La variable Servicio Nacional Protección Especializada a la Niñez y Adolescencia No puede ser mayor al Total Ambos Sexos.",""))</f>
        <v/>
      </c>
      <c r="CH196" s="1418" t="str">
        <f t="shared" ref="CH196:CH202" si="80">IF(AND(E196&gt;0,OR(Z196=""))," *No olvide digitar la variable Trans (Masculino). Digite Cero si no tiene.",IF((Z196)&gt;E196," *La variable Trans (Masculino) No puede ser mayor al Total Mujeres.",""))</f>
        <v/>
      </c>
      <c r="CI196" s="1418" t="str">
        <f t="shared" ref="CI196:CI202" si="81">IF(AND(D196&gt;0,OR(AA196=""))," *No olvide digitar la variable Trans (Femenino). Digite Cero si no tiene.",IF((AA196)&gt;D196," *La variable Trans (Femenino) No puede ser mayor al Total Hombres.",""))</f>
        <v/>
      </c>
      <c r="CN196" s="1420">
        <f>IF(AND($C196&gt;0,T196=""),1,0)</f>
        <v>0</v>
      </c>
      <c r="CO196" s="1420">
        <f t="shared" ref="CO196:CO202" si="82">IF(AND($E196&gt;0,U196=""),1,IF(U196&gt;$E196,1,0))</f>
        <v>0</v>
      </c>
      <c r="CP196" s="1420">
        <f t="shared" ref="CP196:CR202" si="83">IF(AND($C196&gt;0,V196=""),1,IF(V196&gt;$C196,1,0))</f>
        <v>0</v>
      </c>
      <c r="CQ196" s="1420">
        <f t="shared" si="83"/>
        <v>0</v>
      </c>
      <c r="CR196" s="1420">
        <f t="shared" si="83"/>
        <v>0</v>
      </c>
      <c r="CS196" s="1420">
        <f t="shared" ref="CS196:CS202" si="84">IF(AND($C196&gt;0,Y196=""),1,IF(Y196&gt;$C196,1,0))</f>
        <v>0</v>
      </c>
      <c r="CT196" s="1420">
        <f t="shared" ref="CT196:CT202" si="85">IF(AND($E196&gt;0,Z196=""),1,IF(Z196&gt;$E196,1,0))</f>
        <v>0</v>
      </c>
      <c r="CU196" s="419">
        <f t="shared" ref="CU196:CU202" si="86">IF(AND($D196&gt;0,AA196=""),1,IF(AA196&gt;$D196,1,0))</f>
        <v>0</v>
      </c>
    </row>
    <row r="197" spans="1:102" ht="22.5">
      <c r="A197" s="6373" t="s">
        <v>1398</v>
      </c>
      <c r="B197" s="2494" t="s">
        <v>1399</v>
      </c>
      <c r="C197" s="2002">
        <f t="shared" ref="C197:C202" si="87">SUM(D197,E197)</f>
        <v>0</v>
      </c>
      <c r="D197" s="2299">
        <f t="shared" ref="D197:D198" si="88">SUM(F197,H197,J197,L197)</f>
        <v>0</v>
      </c>
      <c r="E197" s="2004">
        <f t="shared" ref="E197:E198" si="89">SUM(G197,I197,K197,M197)</f>
        <v>0</v>
      </c>
      <c r="F197" s="1620"/>
      <c r="G197" s="2495"/>
      <c r="H197" s="1620"/>
      <c r="I197" s="2495"/>
      <c r="J197" s="1620"/>
      <c r="K197" s="2495"/>
      <c r="L197" s="1620"/>
      <c r="M197" s="2495"/>
      <c r="N197" s="2496"/>
      <c r="O197" s="2497"/>
      <c r="P197" s="2496"/>
      <c r="Q197" s="2497"/>
      <c r="R197" s="2498"/>
      <c r="S197" s="2499"/>
      <c r="T197" s="2500"/>
      <c r="U197" s="2501"/>
      <c r="V197" s="2502"/>
      <c r="W197" s="2503"/>
      <c r="X197" s="2504"/>
      <c r="Y197" s="2505"/>
      <c r="Z197" s="2506"/>
      <c r="AA197" s="2507"/>
      <c r="AB197" t="str">
        <f t="shared" ref="AB197:AB202" si="90">CC197&amp;CD197&amp;CE197&amp;CF197&amp;CG197&amp;CH197&amp;CI197</f>
        <v/>
      </c>
      <c r="CB197" s="1868"/>
      <c r="CC197" s="1418" t="str">
        <f t="shared" si="75"/>
        <v/>
      </c>
      <c r="CD197" s="1418" t="str">
        <f t="shared" si="76"/>
        <v/>
      </c>
      <c r="CE197" s="1418" t="str">
        <f t="shared" si="77"/>
        <v/>
      </c>
      <c r="CF197" s="1418" t="str">
        <f t="shared" si="78"/>
        <v/>
      </c>
      <c r="CG197" s="1418" t="str">
        <f t="shared" si="79"/>
        <v/>
      </c>
      <c r="CH197" s="1418" t="str">
        <f t="shared" si="80"/>
        <v/>
      </c>
      <c r="CI197" s="1418" t="str">
        <f t="shared" si="81"/>
        <v/>
      </c>
      <c r="CN197" s="1868"/>
      <c r="CO197" s="1420">
        <f t="shared" si="82"/>
        <v>0</v>
      </c>
      <c r="CP197" s="1420">
        <f t="shared" si="83"/>
        <v>0</v>
      </c>
      <c r="CQ197" s="1420">
        <f t="shared" ref="CQ197:CQ202" si="91">IF(AND($C197&gt;0,W197=""),1,IF(W197&gt;$C197,1,0))</f>
        <v>0</v>
      </c>
      <c r="CR197" s="1420">
        <f t="shared" ref="CR197:CR202" si="92">IF(AND($C197&gt;0,X197=""),1,IF(X197&gt;$C197,1,0))</f>
        <v>0</v>
      </c>
      <c r="CS197" s="1420">
        <f t="shared" si="84"/>
        <v>0</v>
      </c>
      <c r="CT197" s="1420">
        <f t="shared" si="85"/>
        <v>0</v>
      </c>
      <c r="CU197" s="419">
        <f t="shared" si="86"/>
        <v>0</v>
      </c>
    </row>
    <row r="198" spans="1:102">
      <c r="A198" s="6373"/>
      <c r="B198" s="2508" t="s">
        <v>1400</v>
      </c>
      <c r="C198" s="1991">
        <f t="shared" si="87"/>
        <v>0</v>
      </c>
      <c r="D198" s="2299">
        <f t="shared" si="88"/>
        <v>0</v>
      </c>
      <c r="E198" s="2004">
        <f t="shared" si="89"/>
        <v>0</v>
      </c>
      <c r="F198" s="2509"/>
      <c r="G198" s="2510"/>
      <c r="H198" s="2509"/>
      <c r="I198" s="2510"/>
      <c r="J198" s="2509"/>
      <c r="K198" s="2510"/>
      <c r="L198" s="2509"/>
      <c r="M198" s="2510"/>
      <c r="N198" s="2511"/>
      <c r="O198" s="2512"/>
      <c r="P198" s="2511"/>
      <c r="Q198" s="2512"/>
      <c r="R198" s="2513"/>
      <c r="S198" s="2514"/>
      <c r="T198" s="2515"/>
      <c r="U198" s="2516"/>
      <c r="V198" s="2517"/>
      <c r="W198" s="2518"/>
      <c r="X198" s="2519"/>
      <c r="Y198" s="2520"/>
      <c r="Z198" s="2521"/>
      <c r="AA198" s="2522"/>
      <c r="AB198" t="str">
        <f t="shared" si="90"/>
        <v/>
      </c>
      <c r="CB198" s="1868"/>
      <c r="CC198" s="1418" t="str">
        <f t="shared" si="75"/>
        <v/>
      </c>
      <c r="CD198" s="1418" t="str">
        <f t="shared" si="76"/>
        <v/>
      </c>
      <c r="CE198" s="1418" t="str">
        <f t="shared" si="77"/>
        <v/>
      </c>
      <c r="CF198" s="1418" t="str">
        <f t="shared" si="78"/>
        <v/>
      </c>
      <c r="CG198" s="1418" t="str">
        <f t="shared" si="79"/>
        <v/>
      </c>
      <c r="CH198" s="1418" t="str">
        <f t="shared" si="80"/>
        <v/>
      </c>
      <c r="CI198" s="1418" t="str">
        <f t="shared" si="81"/>
        <v/>
      </c>
      <c r="CN198" s="1868"/>
      <c r="CO198" s="1420">
        <f t="shared" si="82"/>
        <v>0</v>
      </c>
      <c r="CP198" s="1420">
        <f t="shared" si="83"/>
        <v>0</v>
      </c>
      <c r="CQ198" s="1420">
        <f t="shared" si="91"/>
        <v>0</v>
      </c>
      <c r="CR198" s="1420">
        <f t="shared" si="92"/>
        <v>0</v>
      </c>
      <c r="CS198" s="1420">
        <f t="shared" si="84"/>
        <v>0</v>
      </c>
      <c r="CT198" s="1420">
        <f t="shared" si="85"/>
        <v>0</v>
      </c>
      <c r="CU198" s="419">
        <f t="shared" si="86"/>
        <v>0</v>
      </c>
    </row>
    <row r="199" spans="1:102">
      <c r="A199" s="6373"/>
      <c r="B199" s="2508" t="s">
        <v>1401</v>
      </c>
      <c r="C199" s="1991">
        <f t="shared" si="87"/>
        <v>0</v>
      </c>
      <c r="D199" s="2115">
        <f>SUM(F199,H199,J199,L199,N199,P199,R199)</f>
        <v>0</v>
      </c>
      <c r="E199" s="1993">
        <f>SUM(G199,I199,K199,M199,O199,Q199,S199)</f>
        <v>0</v>
      </c>
      <c r="F199" s="2509"/>
      <c r="G199" s="2510"/>
      <c r="H199" s="2509"/>
      <c r="I199" s="2510"/>
      <c r="J199" s="2509"/>
      <c r="K199" s="2510"/>
      <c r="L199" s="2509"/>
      <c r="M199" s="2510"/>
      <c r="N199" s="2509"/>
      <c r="O199" s="2510"/>
      <c r="P199" s="2509"/>
      <c r="Q199" s="2510"/>
      <c r="R199" s="2523"/>
      <c r="S199" s="2524"/>
      <c r="T199" s="2515"/>
      <c r="U199" s="2516"/>
      <c r="V199" s="2517"/>
      <c r="W199" s="2518"/>
      <c r="X199" s="2519"/>
      <c r="Y199" s="2520"/>
      <c r="Z199" s="2521"/>
      <c r="AA199" s="2522"/>
      <c r="AB199" t="str">
        <f t="shared" si="90"/>
        <v/>
      </c>
      <c r="CB199" s="1868"/>
      <c r="CC199" s="1418" t="str">
        <f t="shared" si="75"/>
        <v/>
      </c>
      <c r="CD199" s="1418" t="str">
        <f t="shared" si="76"/>
        <v/>
      </c>
      <c r="CE199" s="1418" t="str">
        <f t="shared" si="77"/>
        <v/>
      </c>
      <c r="CF199" s="1418" t="str">
        <f t="shared" si="78"/>
        <v/>
      </c>
      <c r="CG199" s="1418" t="str">
        <f t="shared" si="79"/>
        <v/>
      </c>
      <c r="CH199" s="1418" t="str">
        <f t="shared" si="80"/>
        <v/>
      </c>
      <c r="CI199" s="1418" t="str">
        <f t="shared" si="81"/>
        <v/>
      </c>
      <c r="CN199" s="1868"/>
      <c r="CO199" s="1420">
        <f t="shared" si="82"/>
        <v>0</v>
      </c>
      <c r="CP199" s="1420">
        <f t="shared" si="83"/>
        <v>0</v>
      </c>
      <c r="CQ199" s="1420">
        <f t="shared" si="91"/>
        <v>0</v>
      </c>
      <c r="CR199" s="1420">
        <f t="shared" si="92"/>
        <v>0</v>
      </c>
      <c r="CS199" s="1420">
        <f t="shared" si="84"/>
        <v>0</v>
      </c>
      <c r="CT199" s="1420">
        <f t="shared" si="85"/>
        <v>0</v>
      </c>
      <c r="CU199" s="419">
        <f t="shared" si="86"/>
        <v>0</v>
      </c>
    </row>
    <row r="200" spans="1:102">
      <c r="A200" s="6373"/>
      <c r="B200" s="2508" t="s">
        <v>1402</v>
      </c>
      <c r="C200" s="1991">
        <f t="shared" si="87"/>
        <v>0</v>
      </c>
      <c r="D200" s="2115">
        <f>SUM(F200,H200,J200,L200)</f>
        <v>0</v>
      </c>
      <c r="E200" s="1993">
        <f>SUM(G200,I200,K200,M200)</f>
        <v>0</v>
      </c>
      <c r="F200" s="2509"/>
      <c r="G200" s="2510"/>
      <c r="H200" s="2509"/>
      <c r="I200" s="2510"/>
      <c r="J200" s="2509"/>
      <c r="K200" s="2510"/>
      <c r="L200" s="2509"/>
      <c r="M200" s="2510"/>
      <c r="N200" s="2511"/>
      <c r="O200" s="2512"/>
      <c r="P200" s="2511"/>
      <c r="Q200" s="2512"/>
      <c r="R200" s="2513"/>
      <c r="S200" s="2514"/>
      <c r="T200" s="2515"/>
      <c r="U200" s="2516"/>
      <c r="V200" s="2517"/>
      <c r="W200" s="2518"/>
      <c r="X200" s="2519"/>
      <c r="Y200" s="2520"/>
      <c r="Z200" s="2521"/>
      <c r="AA200" s="2522"/>
      <c r="AB200" t="str">
        <f t="shared" si="90"/>
        <v/>
      </c>
      <c r="CB200" s="1868"/>
      <c r="CC200" s="1418" t="str">
        <f t="shared" si="75"/>
        <v/>
      </c>
      <c r="CD200" s="1418" t="str">
        <f t="shared" si="76"/>
        <v/>
      </c>
      <c r="CE200" s="1418" t="str">
        <f t="shared" si="77"/>
        <v/>
      </c>
      <c r="CF200" s="1418" t="str">
        <f t="shared" si="78"/>
        <v/>
      </c>
      <c r="CG200" s="1418" t="str">
        <f t="shared" si="79"/>
        <v/>
      </c>
      <c r="CH200" s="1418" t="str">
        <f t="shared" si="80"/>
        <v/>
      </c>
      <c r="CI200" s="1418" t="str">
        <f t="shared" si="81"/>
        <v/>
      </c>
      <c r="CN200" s="1868"/>
      <c r="CO200" s="1420">
        <f t="shared" si="82"/>
        <v>0</v>
      </c>
      <c r="CP200" s="1420">
        <f t="shared" si="83"/>
        <v>0</v>
      </c>
      <c r="CQ200" s="1420">
        <f t="shared" si="91"/>
        <v>0</v>
      </c>
      <c r="CR200" s="1420">
        <f t="shared" si="92"/>
        <v>0</v>
      </c>
      <c r="CS200" s="1420">
        <f t="shared" si="84"/>
        <v>0</v>
      </c>
      <c r="CT200" s="1420">
        <f t="shared" si="85"/>
        <v>0</v>
      </c>
      <c r="CU200" s="419">
        <f t="shared" si="86"/>
        <v>0</v>
      </c>
    </row>
    <row r="201" spans="1:102">
      <c r="A201" s="6373"/>
      <c r="B201" s="2508" t="s">
        <v>1403</v>
      </c>
      <c r="C201" s="1991">
        <f t="shared" si="87"/>
        <v>0</v>
      </c>
      <c r="D201" s="2115">
        <f t="shared" ref="D201:D202" si="93">SUM(F201,H201,J201,L201,N201,P201,R201)</f>
        <v>0</v>
      </c>
      <c r="E201" s="1993">
        <f t="shared" ref="E201:E202" si="94">SUM(G201,I201,K201,M201,O201,Q201,S201)</f>
        <v>0</v>
      </c>
      <c r="F201" s="2509"/>
      <c r="G201" s="2510"/>
      <c r="H201" s="2509"/>
      <c r="I201" s="2510"/>
      <c r="J201" s="2509"/>
      <c r="K201" s="2510"/>
      <c r="L201" s="2509"/>
      <c r="M201" s="2510"/>
      <c r="N201" s="2509"/>
      <c r="O201" s="2510"/>
      <c r="P201" s="2509"/>
      <c r="Q201" s="2510"/>
      <c r="R201" s="2523"/>
      <c r="S201" s="2524"/>
      <c r="T201" s="2515"/>
      <c r="U201" s="2516"/>
      <c r="V201" s="2517"/>
      <c r="W201" s="2518"/>
      <c r="X201" s="2519"/>
      <c r="Y201" s="2520"/>
      <c r="Z201" s="2521"/>
      <c r="AA201" s="2522"/>
      <c r="AB201" t="str">
        <f t="shared" si="90"/>
        <v/>
      </c>
      <c r="CB201" s="1868"/>
      <c r="CC201" s="1418" t="str">
        <f t="shared" si="75"/>
        <v/>
      </c>
      <c r="CD201" s="1418" t="str">
        <f t="shared" si="76"/>
        <v/>
      </c>
      <c r="CE201" s="1418" t="str">
        <f t="shared" si="77"/>
        <v/>
      </c>
      <c r="CF201" s="1418" t="str">
        <f t="shared" si="78"/>
        <v/>
      </c>
      <c r="CG201" s="1418" t="str">
        <f t="shared" si="79"/>
        <v/>
      </c>
      <c r="CH201" s="1418" t="str">
        <f t="shared" si="80"/>
        <v/>
      </c>
      <c r="CI201" s="1418" t="str">
        <f t="shared" si="81"/>
        <v/>
      </c>
      <c r="CN201" s="1868"/>
      <c r="CO201" s="1420">
        <f t="shared" si="82"/>
        <v>0</v>
      </c>
      <c r="CP201" s="1420">
        <f t="shared" si="83"/>
        <v>0</v>
      </c>
      <c r="CQ201" s="1420">
        <f t="shared" si="91"/>
        <v>0</v>
      </c>
      <c r="CR201" s="1420">
        <f t="shared" si="92"/>
        <v>0</v>
      </c>
      <c r="CS201" s="1420">
        <f t="shared" si="84"/>
        <v>0</v>
      </c>
      <c r="CT201" s="1420">
        <f t="shared" si="85"/>
        <v>0</v>
      </c>
      <c r="CU201" s="419">
        <f t="shared" si="86"/>
        <v>0</v>
      </c>
    </row>
    <row r="202" spans="1:102">
      <c r="A202" s="6374"/>
      <c r="B202" s="2525" t="s">
        <v>930</v>
      </c>
      <c r="C202" s="1928">
        <f t="shared" si="87"/>
        <v>0</v>
      </c>
      <c r="D202" s="1929">
        <f t="shared" si="93"/>
        <v>0</v>
      </c>
      <c r="E202" s="2001">
        <f t="shared" si="94"/>
        <v>0</v>
      </c>
      <c r="F202" s="2526"/>
      <c r="G202" s="2527"/>
      <c r="H202" s="2526"/>
      <c r="I202" s="2527"/>
      <c r="J202" s="2526"/>
      <c r="K202" s="2527"/>
      <c r="L202" s="2526"/>
      <c r="M202" s="2527"/>
      <c r="N202" s="2526"/>
      <c r="O202" s="2527"/>
      <c r="P202" s="2526"/>
      <c r="Q202" s="2527"/>
      <c r="R202" s="1632"/>
      <c r="S202" s="2528"/>
      <c r="T202" s="2529"/>
      <c r="U202" s="2530"/>
      <c r="V202" s="2531"/>
      <c r="W202" s="2532"/>
      <c r="X202" s="2533"/>
      <c r="Y202" s="2534"/>
      <c r="Z202" s="2535"/>
      <c r="AA202" s="2536"/>
      <c r="AB202" t="str">
        <f t="shared" si="90"/>
        <v/>
      </c>
      <c r="CB202" s="1868"/>
      <c r="CC202" s="1418" t="str">
        <f t="shared" si="75"/>
        <v/>
      </c>
      <c r="CD202" s="1418" t="str">
        <f t="shared" si="76"/>
        <v/>
      </c>
      <c r="CE202" s="1418" t="str">
        <f t="shared" si="77"/>
        <v/>
      </c>
      <c r="CF202" s="1418" t="str">
        <f t="shared" si="78"/>
        <v/>
      </c>
      <c r="CG202" s="1418" t="str">
        <f t="shared" si="79"/>
        <v/>
      </c>
      <c r="CH202" s="1418" t="str">
        <f t="shared" si="80"/>
        <v/>
      </c>
      <c r="CI202" s="1418" t="str">
        <f t="shared" si="81"/>
        <v/>
      </c>
      <c r="CN202" s="1868"/>
      <c r="CO202" s="1420">
        <f t="shared" si="82"/>
        <v>0</v>
      </c>
      <c r="CP202" s="1420">
        <f t="shared" si="83"/>
        <v>0</v>
      </c>
      <c r="CQ202" s="1420">
        <f t="shared" si="91"/>
        <v>0</v>
      </c>
      <c r="CR202" s="1420">
        <f t="shared" si="92"/>
        <v>0</v>
      </c>
      <c r="CS202" s="1420">
        <f t="shared" si="84"/>
        <v>0</v>
      </c>
      <c r="CT202" s="1420">
        <f t="shared" si="85"/>
        <v>0</v>
      </c>
      <c r="CU202" s="419">
        <f t="shared" si="86"/>
        <v>0</v>
      </c>
    </row>
    <row r="203" spans="1:102" ht="18" customHeight="1">
      <c r="A203" s="6355" t="s">
        <v>1404</v>
      </c>
      <c r="B203" s="6356"/>
      <c r="C203" s="6356"/>
      <c r="D203" s="6356"/>
      <c r="E203" s="6356"/>
    </row>
    <row r="204" spans="1:102">
      <c r="A204" s="6364" t="s">
        <v>1387</v>
      </c>
      <c r="B204" s="6365"/>
      <c r="C204" s="6492" t="s">
        <v>947</v>
      </c>
      <c r="D204" s="6368" t="s">
        <v>72</v>
      </c>
      <c r="E204" s="6370" t="s">
        <v>73</v>
      </c>
      <c r="F204" s="6049" t="s">
        <v>689</v>
      </c>
      <c r="G204" s="6059"/>
      <c r="H204" s="6494" t="s">
        <v>1405</v>
      </c>
      <c r="I204" s="6494"/>
      <c r="CB204"/>
      <c r="CC204"/>
      <c r="CD204"/>
      <c r="CE204"/>
      <c r="CU204" s="1470"/>
      <c r="CV204" s="1470"/>
      <c r="CW204" s="1470"/>
      <c r="CX204" s="1470"/>
    </row>
    <row r="205" spans="1:102">
      <c r="A205" s="6366"/>
      <c r="B205" s="6367"/>
      <c r="C205" s="6492"/>
      <c r="D205" s="6368"/>
      <c r="E205" s="6371"/>
      <c r="F205" s="6495" t="s">
        <v>72</v>
      </c>
      <c r="G205" s="6483" t="s">
        <v>73</v>
      </c>
      <c r="H205" s="6484" t="s">
        <v>72</v>
      </c>
      <c r="I205" s="6059" t="s">
        <v>73</v>
      </c>
      <c r="CB205"/>
      <c r="CC205"/>
      <c r="CD205"/>
      <c r="CE205"/>
      <c r="CU205" s="1470"/>
      <c r="CV205" s="1470"/>
      <c r="CW205" s="1470"/>
      <c r="CX205" s="1470"/>
    </row>
    <row r="206" spans="1:102">
      <c r="A206" s="6357"/>
      <c r="B206" s="6358"/>
      <c r="C206" s="6492"/>
      <c r="D206" s="6368"/>
      <c r="E206" s="6371"/>
      <c r="F206" s="6495"/>
      <c r="G206" s="6483"/>
      <c r="H206" s="6484"/>
      <c r="I206" s="6059"/>
      <c r="CB206"/>
      <c r="CC206"/>
      <c r="CD206"/>
      <c r="CE206"/>
      <c r="CU206" s="1470"/>
      <c r="CV206" s="1470"/>
      <c r="CW206" s="1470"/>
      <c r="CX206" s="1470"/>
    </row>
    <row r="207" spans="1:102" ht="22.5" customHeight="1">
      <c r="A207" s="6493" t="s">
        <v>1406</v>
      </c>
      <c r="B207" s="6493"/>
      <c r="C207" s="2541">
        <f t="shared" ref="C207:C208" si="95">SUM(F207:I207)</f>
        <v>0</v>
      </c>
      <c r="D207" s="2542">
        <f t="shared" ref="D207:D208" si="96">SUM(F207+H207)</f>
        <v>0</v>
      </c>
      <c r="E207" s="2543">
        <f t="shared" ref="E207:E208" si="97">SUM(G207+I207)</f>
        <v>0</v>
      </c>
      <c r="F207" s="1608"/>
      <c r="G207" s="2544"/>
      <c r="H207" s="1433"/>
      <c r="I207" s="2545"/>
      <c r="CB207"/>
      <c r="CC207"/>
      <c r="CD207"/>
      <c r="CE207"/>
      <c r="CU207" s="1470"/>
      <c r="CV207" s="1470"/>
      <c r="CW207" s="1470"/>
      <c r="CX207" s="1470"/>
    </row>
    <row r="208" spans="1:102" ht="15" customHeight="1">
      <c r="A208" s="6491" t="s">
        <v>1407</v>
      </c>
      <c r="B208" s="6491"/>
      <c r="C208" s="2541">
        <f t="shared" si="95"/>
        <v>0</v>
      </c>
      <c r="D208" s="2479">
        <f t="shared" si="96"/>
        <v>0</v>
      </c>
      <c r="E208" s="2543">
        <f t="shared" si="97"/>
        <v>0</v>
      </c>
      <c r="F208" s="1629"/>
      <c r="G208" s="2547"/>
      <c r="H208" s="1464"/>
      <c r="I208" s="1631"/>
      <c r="CB208"/>
      <c r="CC208"/>
      <c r="CD208"/>
      <c r="CE208"/>
      <c r="CU208" s="1470"/>
      <c r="CV208" s="1470"/>
      <c r="CW208" s="1470"/>
      <c r="CX208" s="1470"/>
    </row>
    <row r="209" spans="1:95">
      <c r="A209" s="6355" t="s">
        <v>1408</v>
      </c>
      <c r="B209" s="6356"/>
      <c r="C209" s="6356"/>
      <c r="D209" s="6356"/>
      <c r="E209" s="6356"/>
      <c r="F209" s="2548"/>
      <c r="G209" s="2548"/>
      <c r="H209" s="2548"/>
      <c r="I209" s="2549"/>
      <c r="J209" s="2549"/>
      <c r="K209" s="2549"/>
      <c r="L209" s="2549"/>
      <c r="M209" s="2549"/>
    </row>
    <row r="210" spans="1:95" ht="30" customHeight="1">
      <c r="A210" s="5718" t="s">
        <v>236</v>
      </c>
      <c r="B210" s="5718" t="s">
        <v>91</v>
      </c>
      <c r="C210" s="5710" t="s">
        <v>115</v>
      </c>
      <c r="D210" s="6106"/>
      <c r="E210" s="6106"/>
      <c r="F210" s="6106"/>
      <c r="G210" s="6106"/>
      <c r="H210" s="6106"/>
      <c r="I210" s="6106"/>
      <c r="J210" s="5716"/>
      <c r="K210" s="6485" t="s">
        <v>1028</v>
      </c>
      <c r="L210" s="6486"/>
      <c r="M210" s="6487"/>
    </row>
    <row r="211" spans="1:95">
      <c r="A211" s="6110"/>
      <c r="B211" s="6110"/>
      <c r="C211" s="6049" t="s">
        <v>1409</v>
      </c>
      <c r="D211" s="6059"/>
      <c r="E211" s="5707" t="s">
        <v>59</v>
      </c>
      <c r="F211" s="5709"/>
      <c r="G211" s="5707" t="s">
        <v>60</v>
      </c>
      <c r="H211" s="5709"/>
      <c r="I211" s="5707" t="s">
        <v>1410</v>
      </c>
      <c r="J211" s="6147"/>
      <c r="K211" s="6488"/>
      <c r="L211" s="6489"/>
      <c r="M211" s="6490"/>
    </row>
    <row r="212" spans="1:95">
      <c r="A212" s="5719"/>
      <c r="B212" s="5719"/>
      <c r="C212" s="1395" t="s">
        <v>1411</v>
      </c>
      <c r="D212" s="1589" t="s">
        <v>545</v>
      </c>
      <c r="E212" s="2551" t="s">
        <v>1411</v>
      </c>
      <c r="F212" s="1590" t="s">
        <v>545</v>
      </c>
      <c r="G212" s="2551" t="s">
        <v>1411</v>
      </c>
      <c r="H212" s="1589" t="s">
        <v>545</v>
      </c>
      <c r="I212" s="2551" t="s">
        <v>1411</v>
      </c>
      <c r="J212" s="2552" t="s">
        <v>545</v>
      </c>
      <c r="K212" s="2553" t="s">
        <v>1334</v>
      </c>
      <c r="L212" s="2554" t="s">
        <v>1412</v>
      </c>
      <c r="M212" s="2555" t="s">
        <v>1413</v>
      </c>
    </row>
    <row r="213" spans="1:95">
      <c r="A213" s="2056" t="s">
        <v>1414</v>
      </c>
      <c r="B213" s="2056">
        <f t="shared" ref="B213:B215" si="98">SUM(C213:J213)</f>
        <v>0</v>
      </c>
      <c r="C213" s="1424"/>
      <c r="D213" s="1436"/>
      <c r="E213" s="1424"/>
      <c r="F213" s="1652"/>
      <c r="G213" s="1424"/>
      <c r="H213" s="1436"/>
      <c r="I213" s="1424"/>
      <c r="J213" s="1650"/>
      <c r="K213" s="1707"/>
      <c r="L213" s="1426"/>
      <c r="M213" s="1436"/>
      <c r="N213" t="str">
        <f t="shared" ref="N213:N215" si="99">CB213&amp;CC213&amp;CD213&amp;CE213</f>
        <v/>
      </c>
      <c r="CB213" s="1418" t="str">
        <f t="shared" ref="CB213:CB215" si="100">IF(AND(B213&gt;0,OR(K213=""))," *No olvide digitar la variable IDENTIDAD DE GÉNERO/Trans Masculino. Digite Cero si no tiene.","")</f>
        <v/>
      </c>
      <c r="CC213" s="1418" t="str">
        <f t="shared" ref="CC213:CC215" si="101">IF(AND($B213&gt;0,OR(L213=""))," *No olvide digitar la variable IDENTIDAD DE GÉNERO/Trans Femenino. Digite Cero si no tiene.","")</f>
        <v/>
      </c>
      <c r="CD213" s="1418" t="str">
        <f t="shared" ref="CD213:CD215" si="102">IF(AND(B213&gt;0,OR(M213=""))," *No olvide digitar la variable IDENTIDAD DE GÉNERO/Binarie. Digite Cero si no tiene.","")</f>
        <v/>
      </c>
      <c r="CE213" s="1418" t="str">
        <f t="shared" ref="CE213:CE215" si="103">IF((K213+L213+M213)&lt;&gt;B213," *La variable IDENTIDAD DE GÉNERO debe ser igual al total.","")</f>
        <v/>
      </c>
      <c r="CN213" s="1421">
        <f t="shared" ref="CN213:CN215" si="104">IF(AND($B213&gt;0,(K213="")),1,0)</f>
        <v>0</v>
      </c>
      <c r="CO213" s="1421">
        <f t="shared" ref="CO213:CO215" si="105">IF(AND($B213&gt;0,(L213="")),1,0)</f>
        <v>0</v>
      </c>
      <c r="CP213" s="1421">
        <f t="shared" ref="CP213:CP215" si="106">IF(AND($B213&gt;0,(M213="")),1,0)</f>
        <v>0</v>
      </c>
      <c r="CQ213" s="1421">
        <f t="shared" ref="CQ213:CQ215" si="107">IF((K213+L213+M213)&lt;&gt;B213,1,0)</f>
        <v>0</v>
      </c>
    </row>
    <row r="214" spans="1:95">
      <c r="A214" s="2057" t="s">
        <v>1415</v>
      </c>
      <c r="B214" s="2057">
        <f t="shared" si="98"/>
        <v>0</v>
      </c>
      <c r="C214" s="1424"/>
      <c r="D214" s="1436"/>
      <c r="E214" s="1424"/>
      <c r="F214" s="1652"/>
      <c r="G214" s="1424"/>
      <c r="H214" s="1436"/>
      <c r="I214" s="1424"/>
      <c r="J214" s="1650"/>
      <c r="K214" s="1707"/>
      <c r="L214" s="1426"/>
      <c r="M214" s="1436"/>
      <c r="N214" t="str">
        <f t="shared" si="99"/>
        <v/>
      </c>
      <c r="CB214" s="1418" t="str">
        <f t="shared" si="100"/>
        <v/>
      </c>
      <c r="CC214" s="1418" t="str">
        <f t="shared" si="101"/>
        <v/>
      </c>
      <c r="CD214" s="1418" t="str">
        <f t="shared" si="102"/>
        <v/>
      </c>
      <c r="CE214" s="1418" t="str">
        <f t="shared" si="103"/>
        <v/>
      </c>
      <c r="CN214" s="1421">
        <f t="shared" si="104"/>
        <v>0</v>
      </c>
      <c r="CO214" s="1421">
        <f t="shared" si="105"/>
        <v>0</v>
      </c>
      <c r="CP214" s="1421">
        <f t="shared" si="106"/>
        <v>0</v>
      </c>
      <c r="CQ214" s="1421">
        <f t="shared" si="107"/>
        <v>0</v>
      </c>
    </row>
    <row r="215" spans="1:95">
      <c r="A215" s="2089" t="s">
        <v>1416</v>
      </c>
      <c r="B215" s="2089">
        <f t="shared" si="98"/>
        <v>0</v>
      </c>
      <c r="C215" s="1475"/>
      <c r="D215" s="1539"/>
      <c r="E215" s="1475"/>
      <c r="F215" s="1477"/>
      <c r="G215" s="1475"/>
      <c r="H215" s="1539"/>
      <c r="I215" s="1475"/>
      <c r="J215" s="1967"/>
      <c r="K215" s="2048"/>
      <c r="L215" s="1535"/>
      <c r="M215" s="1539"/>
      <c r="N215" t="str">
        <f t="shared" si="99"/>
        <v/>
      </c>
      <c r="CB215" s="1418" t="str">
        <f t="shared" si="100"/>
        <v/>
      </c>
      <c r="CC215" s="1418" t="str">
        <f t="shared" si="101"/>
        <v/>
      </c>
      <c r="CD215" s="1418" t="str">
        <f t="shared" si="102"/>
        <v/>
      </c>
      <c r="CE215" s="1418" t="str">
        <f t="shared" si="103"/>
        <v/>
      </c>
      <c r="CN215" s="1421">
        <f t="shared" si="104"/>
        <v>0</v>
      </c>
      <c r="CO215" s="1421">
        <f t="shared" si="105"/>
        <v>0</v>
      </c>
      <c r="CP215" s="1421">
        <f t="shared" si="106"/>
        <v>0</v>
      </c>
      <c r="CQ215" s="1421">
        <f t="shared" si="107"/>
        <v>0</v>
      </c>
    </row>
    <row r="216" spans="1:95">
      <c r="A216" s="2556"/>
    </row>
    <row r="239" spans="1:2" ht="24" hidden="1" customHeight="1">
      <c r="A239" s="2099">
        <f>SUM(B12:B66,X12:X66,AB12:AB66,AF12:AG66,B71:B125,F71:F125,J71:J125,N71:N125,Q71:AI125,B129:B145,C151:C161,C167:C177,C182:C191,C196:C202,C207:C208,B213:B215)</f>
        <v>0</v>
      </c>
      <c r="B239" s="2100">
        <f>SUM(CM12:CU215)</f>
        <v>0</v>
      </c>
    </row>
  </sheetData>
  <sheetProtection algorithmName="SHA-512" hashValue="bJUUQoSLWK0Sx068TWg5zIddUYxT+F/UTTCkMCKufRrkLPzwbfQdxXzq64rnI1h4XMQBv1H5fBlk3fqJ2qLSaQ==" saltValue="cXEMRDJmOn2+WTgxQMEF2g==" spinCount="100000" sheet="1" objects="1" scenarios="1"/>
  <mergeCells count="174">
    <mergeCell ref="G205:G206"/>
    <mergeCell ref="H205:H206"/>
    <mergeCell ref="I205:I206"/>
    <mergeCell ref="F204:G204"/>
    <mergeCell ref="A210:A212"/>
    <mergeCell ref="B210:B212"/>
    <mergeCell ref="C210:J210"/>
    <mergeCell ref="K210:M211"/>
    <mergeCell ref="C211:D211"/>
    <mergeCell ref="E211:F211"/>
    <mergeCell ref="G211:H211"/>
    <mergeCell ref="I211:J211"/>
    <mergeCell ref="A209:E209"/>
    <mergeCell ref="A208:B208"/>
    <mergeCell ref="A204:B206"/>
    <mergeCell ref="C204:C206"/>
    <mergeCell ref="D204:D206"/>
    <mergeCell ref="E204:E206"/>
    <mergeCell ref="A207:B207"/>
    <mergeCell ref="H204:I204"/>
    <mergeCell ref="F205:F206"/>
    <mergeCell ref="AU164:AU166"/>
    <mergeCell ref="A192:Q192"/>
    <mergeCell ref="A188:A189"/>
    <mergeCell ref="A190:A191"/>
    <mergeCell ref="A182:A183"/>
    <mergeCell ref="A184:A185"/>
    <mergeCell ref="A186:A187"/>
    <mergeCell ref="AJ180:AJ181"/>
    <mergeCell ref="AK180:AK181"/>
    <mergeCell ref="AL180:AL181"/>
    <mergeCell ref="A167:A168"/>
    <mergeCell ref="A169:A171"/>
    <mergeCell ref="A172:A173"/>
    <mergeCell ref="A174:A175"/>
    <mergeCell ref="A176:A177"/>
    <mergeCell ref="A179:B181"/>
    <mergeCell ref="AH180:AI180"/>
    <mergeCell ref="C179:E180"/>
    <mergeCell ref="V180:W180"/>
    <mergeCell ref="X180:Y180"/>
    <mergeCell ref="Z180:AA180"/>
    <mergeCell ref="AB180:AC180"/>
    <mergeCell ref="A178:AG178"/>
    <mergeCell ref="F180:G180"/>
    <mergeCell ref="V193:V195"/>
    <mergeCell ref="W193:W195"/>
    <mergeCell ref="X193:X195"/>
    <mergeCell ref="Y193:Y195"/>
    <mergeCell ref="Z193:AA194"/>
    <mergeCell ref="F193:S193"/>
    <mergeCell ref="A6:T6"/>
    <mergeCell ref="A9:A11"/>
    <mergeCell ref="B10:B11"/>
    <mergeCell ref="X10:AA10"/>
    <mergeCell ref="A151:B151"/>
    <mergeCell ref="A152:A155"/>
    <mergeCell ref="F149:G149"/>
    <mergeCell ref="H149:I149"/>
    <mergeCell ref="J149:K149"/>
    <mergeCell ref="L149:M149"/>
    <mergeCell ref="P149:Q149"/>
    <mergeCell ref="R149:S149"/>
    <mergeCell ref="T149:U149"/>
    <mergeCell ref="V149:W149"/>
    <mergeCell ref="X149:Y149"/>
    <mergeCell ref="A148:B150"/>
    <mergeCell ref="A158:B158"/>
    <mergeCell ref="A159:B159"/>
    <mergeCell ref="AV164:AV166"/>
    <mergeCell ref="F164:AO164"/>
    <mergeCell ref="AV148:AW149"/>
    <mergeCell ref="F148:AO148"/>
    <mergeCell ref="AS148:AS150"/>
    <mergeCell ref="AR148:AR150"/>
    <mergeCell ref="AR179:AR181"/>
    <mergeCell ref="AN179:AN181"/>
    <mergeCell ref="AJ179:AM179"/>
    <mergeCell ref="F179:AI179"/>
    <mergeCell ref="AQ148:AQ150"/>
    <mergeCell ref="AP148:AP150"/>
    <mergeCell ref="N149:O149"/>
    <mergeCell ref="N165:O165"/>
    <mergeCell ref="H180:I180"/>
    <mergeCell ref="AQ164:AR165"/>
    <mergeCell ref="AT164:AT166"/>
    <mergeCell ref="AT148:AU149"/>
    <mergeCell ref="AO179:AP179"/>
    <mergeCell ref="AQ179:AQ181"/>
    <mergeCell ref="AM180:AM181"/>
    <mergeCell ref="AO180:AO181"/>
    <mergeCell ref="AP180:AP181"/>
    <mergeCell ref="AN149:AO149"/>
    <mergeCell ref="AB10:AE10"/>
    <mergeCell ref="C10:T10"/>
    <mergeCell ref="X9:AE9"/>
    <mergeCell ref="B9:T9"/>
    <mergeCell ref="U9:U11"/>
    <mergeCell ref="V9:W10"/>
    <mergeCell ref="AF9:AG10"/>
    <mergeCell ref="A156:B156"/>
    <mergeCell ref="A157:B157"/>
    <mergeCell ref="AG69:AI69"/>
    <mergeCell ref="A69:A70"/>
    <mergeCell ref="B69:E69"/>
    <mergeCell ref="F69:I69"/>
    <mergeCell ref="J69:M69"/>
    <mergeCell ref="N69:P69"/>
    <mergeCell ref="Q69:R69"/>
    <mergeCell ref="S69:T69"/>
    <mergeCell ref="U69:V69"/>
    <mergeCell ref="W69:W70"/>
    <mergeCell ref="X69:Y69"/>
    <mergeCell ref="Z69:AA69"/>
    <mergeCell ref="AB69:AC69"/>
    <mergeCell ref="AD69:AD70"/>
    <mergeCell ref="AE69:AF69"/>
    <mergeCell ref="A160:B160"/>
    <mergeCell ref="A161:B161"/>
    <mergeCell ref="AH149:AI149"/>
    <mergeCell ref="AJ149:AK149"/>
    <mergeCell ref="AL149:AM149"/>
    <mergeCell ref="C148:E149"/>
    <mergeCell ref="Z149:AA149"/>
    <mergeCell ref="AB149:AC149"/>
    <mergeCell ref="AD149:AE149"/>
    <mergeCell ref="AF149:AG149"/>
    <mergeCell ref="A162:B162"/>
    <mergeCell ref="A164:A166"/>
    <mergeCell ref="B164:B166"/>
    <mergeCell ref="C164:E165"/>
    <mergeCell ref="R165:S165"/>
    <mergeCell ref="T165:U165"/>
    <mergeCell ref="V165:W165"/>
    <mergeCell ref="X165:Y165"/>
    <mergeCell ref="AS164:AS166"/>
    <mergeCell ref="F165:G165"/>
    <mergeCell ref="H165:I165"/>
    <mergeCell ref="J165:K165"/>
    <mergeCell ref="L165:M165"/>
    <mergeCell ref="P165:Q165"/>
    <mergeCell ref="AL165:AM165"/>
    <mergeCell ref="AN165:AO165"/>
    <mergeCell ref="AJ165:AK165"/>
    <mergeCell ref="AP164:AP166"/>
    <mergeCell ref="Z165:AA165"/>
    <mergeCell ref="AB165:AC165"/>
    <mergeCell ref="AD165:AE165"/>
    <mergeCell ref="AF165:AG165"/>
    <mergeCell ref="AH165:AI165"/>
    <mergeCell ref="J180:K180"/>
    <mergeCell ref="L180:M180"/>
    <mergeCell ref="N180:O180"/>
    <mergeCell ref="P180:Q180"/>
    <mergeCell ref="R180:S180"/>
    <mergeCell ref="T180:U180"/>
    <mergeCell ref="AD180:AE180"/>
    <mergeCell ref="AF180:AG180"/>
    <mergeCell ref="A203:E203"/>
    <mergeCell ref="F194:G194"/>
    <mergeCell ref="H194:I194"/>
    <mergeCell ref="J194:K194"/>
    <mergeCell ref="L194:M194"/>
    <mergeCell ref="P194:Q194"/>
    <mergeCell ref="R194:S194"/>
    <mergeCell ref="A193:B195"/>
    <mergeCell ref="C193:C195"/>
    <mergeCell ref="D193:D195"/>
    <mergeCell ref="E193:E195"/>
    <mergeCell ref="N194:O194"/>
    <mergeCell ref="A196:B196"/>
    <mergeCell ref="A197:A202"/>
    <mergeCell ref="T193:T195"/>
    <mergeCell ref="U193:U195"/>
  </mergeCells>
  <dataValidations count="8">
    <dataValidation type="whole" operator="greaterThanOrEqual" allowBlank="1" showInputMessage="1" showErrorMessage="1" sqref="U197:AA202 N199:S199 F207:I208 N196:AA196 F196:M202 G71:I125 C71:E125 K71:M125 O71:AI125 D14 N201:S202 C213:M215" xr:uid="{001100B0-003F-4EFA-8ABF-009A006C009F}">
      <formula1>0</formula1>
    </dataValidation>
    <dataValidation type="whole" operator="greaterThanOrEqual" allowBlank="1" showInputMessage="1" showErrorMessage="1" errorTitle="Error" error="Favor Ingrese sólo Números." sqref="F167:AV177 AT162:AW162 X12:AB66" xr:uid="{003C00F8-006E-4970-8595-007E00590084}">
      <formula1>0</formula1>
    </dataValidation>
    <dataValidation type="whole" operator="equal" allowBlank="1" showInputMessage="1" showErrorMessage="1" sqref="D152:D153 F152:J153 E14:T14 C35:O35 C145:E145 F155:O155 AF155:AO155 L152:L153 N152:N153 P152:P153 R152:R153 T152:T153 V152:V153 X152:X153 Z152:Z153 AB152:AB153 AD152:AD153 AF152:AF153 AH152:AH153 AJ152:AJ153 AL152:AL153 AN152:AN153 N197:T198 T199:T202 N200:S200" xr:uid="{003200F3-009D-4CD1-9FCF-00CC009E0078}">
      <formula1>0</formula1>
    </dataValidation>
    <dataValidation type="whole" allowBlank="1" showInputMessage="1" showErrorMessage="1" sqref="F182:AR191" xr:uid="{00DC00D4-003B-4224-9BEB-00860011005E}">
      <formula1>0</formula1>
      <formula2>9.99999999999999E+36</formula2>
    </dataValidation>
    <dataValidation type="whole" allowBlank="1" showInputMessage="1" showErrorMessage="1" sqref="F151:J151 F154:J154 N154 F156:O161 K151:K154 L154 L151 M151:M154 O151:O154 N151 P154:P161 P151 Q151:Q161 R154:R161 R151 S151:S161 T154:T161 T151 U151:U161 V154:V161 V151 W151:W161 X154:X161 X151 Y151:Y161 Z154:Z161 Z151 AA151:AA161 AB154:AB161 AB151 AC151:AC161 AD154:AD161 AD151 AE151:AE161 AF151 AH151 AJ151 AL151 AN151 AN154 AP151:AW161 AO151:AO154 AM151:AM154 AL154 AK151:AK154 AJ154 AI151:AI154 AH154 AG151:AG154 AF154 AF156:AO161" xr:uid="{00550011-004C-4691-B057-00B100DA00FE}">
      <formula1>0</formula1>
      <formula2>9.99999999999999E+40</formula2>
    </dataValidation>
    <dataValidation type="whole" allowBlank="1" showInputMessage="1" showErrorMessage="1" sqref="F129:V145 C129:E144" xr:uid="{006E00E4-00E7-45E8-93FE-00D500F70083}">
      <formula1>0</formula1>
      <formula2>9.99999999999999E+41</formula2>
    </dataValidation>
    <dataValidation type="whole" allowBlank="1" showInputMessage="1" showErrorMessage="1" sqref="D12:T13 C36:O66 U12:W66 P15:T66 C12:C34 D15:O34" xr:uid="{002B00CD-00B7-4519-9AB8-007E00B800FD}">
      <formula1>0</formula1>
      <formula2>9.99999999999999E+38</formula2>
    </dataValidation>
    <dataValidation type="whole" allowBlank="1" showInputMessage="1" showErrorMessage="1" sqref="AC12:AG66" xr:uid="{0043000E-007B-4CBA-A1D5-00BD004400E0}">
      <formula1>0</formula1>
      <formula2>9.99999999999999E+37</formula2>
    </dataValidation>
  </dataValidations>
  <pageMargins left="0.7" right="0.7" top="0.75" bottom="0.75" header="0.3" footer="0.3"/>
  <pageSetup paperSize="9" orientation="portrait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9"/>
  <dimension ref="A1:CW248"/>
  <sheetViews>
    <sheetView showGridLines="0" workbookViewId="0"/>
  </sheetViews>
  <sheetFormatPr baseColWidth="10" defaultColWidth="11.42578125" defaultRowHeight="14.25"/>
  <cols>
    <col min="1" max="1" width="44.7109375" style="50" customWidth="1"/>
    <col min="2" max="2" width="32.5703125" style="50" customWidth="1"/>
    <col min="3" max="3" width="14.140625" style="50" customWidth="1"/>
    <col min="4" max="5" width="13.140625" style="50" customWidth="1"/>
    <col min="6" max="6" width="11.42578125" style="50" customWidth="1"/>
    <col min="7" max="7" width="11.85546875" style="50" customWidth="1"/>
    <col min="8" max="9" width="14.42578125" style="50" customWidth="1"/>
    <col min="10" max="10" width="12.5703125" style="50" customWidth="1"/>
    <col min="11" max="13" width="11.42578125" style="50" customWidth="1"/>
    <col min="14" max="14" width="12.42578125" style="50" customWidth="1"/>
    <col min="15" max="15" width="16.140625" style="50" customWidth="1"/>
    <col min="16" max="22" width="11.42578125" style="50" customWidth="1"/>
    <col min="23" max="25" width="13.5703125" style="50" customWidth="1"/>
    <col min="26" max="26" width="15.140625" style="50" customWidth="1"/>
    <col min="27" max="27" width="12.85546875" style="50" customWidth="1"/>
    <col min="28" max="28" width="13.140625" style="50" customWidth="1"/>
    <col min="29" max="30" width="11.42578125" style="50" customWidth="1"/>
    <col min="31" max="31" width="13.28515625" style="50" customWidth="1"/>
    <col min="32" max="33" width="15.140625" style="50" customWidth="1"/>
    <col min="34" max="37" width="11.42578125" style="50" customWidth="1"/>
    <col min="38" max="38" width="12.5703125" style="50" customWidth="1"/>
    <col min="39" max="40" width="13" style="50" customWidth="1"/>
    <col min="41" max="41" width="13.140625" style="50" customWidth="1"/>
    <col min="42" max="42" width="13.28515625" style="50" customWidth="1"/>
    <col min="43" max="43" width="14.42578125" style="50" customWidth="1"/>
    <col min="44" max="44" width="15.28515625" style="50" customWidth="1"/>
    <col min="45" max="45" width="15.5703125" style="50" customWidth="1"/>
    <col min="46" max="72" width="11.42578125" style="50"/>
    <col min="73" max="73" width="15.42578125" style="50" customWidth="1"/>
    <col min="74" max="74" width="15.42578125" style="53" customWidth="1"/>
    <col min="75" max="75" width="15.7109375" style="53" customWidth="1"/>
    <col min="76" max="77" width="15.7109375" style="2557" customWidth="1"/>
    <col min="78" max="78" width="11" style="50" hidden="1" customWidth="1"/>
    <col min="79" max="95" width="11.42578125" style="2558" hidden="1" customWidth="1"/>
    <col min="96" max="99" width="11.42578125" style="50" hidden="1" customWidth="1"/>
    <col min="100" max="104" width="11.42578125" style="50" customWidth="1"/>
    <col min="105" max="16384" width="11.42578125" style="50"/>
  </cols>
  <sheetData>
    <row r="1" spans="1:97" ht="16.350000000000001" customHeight="1">
      <c r="A1" s="49" t="s">
        <v>37</v>
      </c>
    </row>
    <row r="2" spans="1:97" ht="16.350000000000001" customHeight="1">
      <c r="A2" s="49" t="str">
        <f>CONCATENATE("COMUNA: ",NOMBRE!B2, " (",NOMBRE!C2,NOMBRE!D2,NOMBRE!E2,NOMBRE!F2,NOMBRE!G2,")")</f>
        <v>COMUNA: MAIPU (13119)</v>
      </c>
    </row>
    <row r="3" spans="1:97" ht="16.350000000000001" customHeight="1">
      <c r="A3" s="49" t="str">
        <f>CONCATENATE("ESTABLECIMIENTO/ESTRATEGIA: ", NOMBRE!B3, " (",NOMBRE!C3,NOMBRE!D3,NOMBRE!E3,NOMBRE!F3,NOMBRE!G3,NOMBRE!H3,")")</f>
        <v>ESTABLECIMIENTO/ESTRATEGIA: CESFAM DR. CARLOS GODOY (111380)</v>
      </c>
    </row>
    <row r="4" spans="1:97" ht="16.350000000000001" customHeight="1">
      <c r="A4" s="49" t="str">
        <f>CONCATENATE("MES: ",NOMBRE!B6, " (",NOMBRE!C6,NOMBRE!D6,")")</f>
        <v>MES: MARZO (03)</v>
      </c>
    </row>
    <row r="5" spans="1:97" ht="16.350000000000001" customHeight="1">
      <c r="A5" s="2559" t="str">
        <f>CONCATENATE("AÑO: ",NOMBRE!B7)</f>
        <v>AÑO: 2026</v>
      </c>
      <c r="AP5" s="2560"/>
    </row>
    <row r="6" spans="1:97" ht="15">
      <c r="A6" s="6549" t="s">
        <v>1417</v>
      </c>
      <c r="B6" s="6549"/>
      <c r="C6" s="6549"/>
      <c r="D6" s="6549"/>
      <c r="E6" s="6549"/>
      <c r="F6" s="6549"/>
      <c r="G6" s="6549"/>
      <c r="H6" s="6549"/>
      <c r="I6" s="6549"/>
      <c r="J6" s="6549"/>
      <c r="K6" s="6549"/>
      <c r="L6" s="6549"/>
      <c r="M6" s="6549"/>
      <c r="N6" s="6549"/>
      <c r="O6" s="6549"/>
      <c r="P6" s="2561"/>
      <c r="Q6" s="2561"/>
      <c r="R6" s="2561"/>
      <c r="S6" s="2561"/>
      <c r="T6" s="2562"/>
      <c r="U6" s="2562"/>
      <c r="V6" s="2562"/>
      <c r="W6" s="2562"/>
      <c r="X6" s="2562"/>
      <c r="Y6" s="2562"/>
      <c r="Z6" s="1256"/>
      <c r="AA6" s="1256"/>
      <c r="AB6" s="1256"/>
      <c r="AC6" s="1256"/>
      <c r="AD6" s="1256"/>
      <c r="AE6" s="1256"/>
      <c r="AF6" s="1256"/>
      <c r="AG6" s="1256"/>
      <c r="AH6" s="1256"/>
      <c r="AI6" s="1256"/>
      <c r="AJ6" s="1256"/>
      <c r="AK6" s="1256"/>
      <c r="AL6" s="1256"/>
      <c r="AM6" s="1256"/>
      <c r="AN6" s="1256"/>
      <c r="AO6" s="1256"/>
      <c r="AP6" s="1256"/>
      <c r="AQ6" s="1256"/>
      <c r="AR6" s="1256"/>
    </row>
    <row r="7" spans="1:97" s="2558" customFormat="1" ht="32.1" customHeight="1">
      <c r="A7" s="465" t="s">
        <v>1418</v>
      </c>
      <c r="B7" s="465"/>
      <c r="C7" s="465"/>
      <c r="D7" s="465"/>
      <c r="E7" s="465"/>
      <c r="F7" s="465"/>
      <c r="G7" s="465"/>
      <c r="H7" s="465"/>
      <c r="I7" s="465"/>
      <c r="J7" s="465"/>
      <c r="K7" s="465"/>
      <c r="L7" s="465"/>
      <c r="M7" s="465"/>
      <c r="N7" s="465"/>
      <c r="O7" s="465"/>
      <c r="BV7" s="2563"/>
      <c r="BW7" s="2563"/>
      <c r="BX7" s="2563"/>
      <c r="BY7" s="2563"/>
    </row>
    <row r="8" spans="1:97" s="2558" customFormat="1" ht="18" customHeight="1">
      <c r="A8" s="738" t="s">
        <v>1419</v>
      </c>
      <c r="B8" s="738"/>
      <c r="C8" s="738"/>
      <c r="D8" s="738"/>
      <c r="E8" s="738"/>
      <c r="F8" s="738"/>
      <c r="G8" s="738"/>
      <c r="H8" s="738"/>
      <c r="I8" s="738"/>
      <c r="J8" s="738"/>
      <c r="K8" s="738"/>
      <c r="L8" s="738"/>
      <c r="M8" s="738"/>
      <c r="N8" s="465"/>
      <c r="O8" s="465"/>
      <c r="AS8" s="2563"/>
      <c r="AT8" s="2563"/>
      <c r="AU8" s="2563"/>
      <c r="AV8" s="2563"/>
      <c r="AW8" s="2563"/>
      <c r="AX8" s="2563"/>
      <c r="AY8" s="2563"/>
      <c r="AZ8" s="2563"/>
      <c r="BA8" s="2563"/>
      <c r="BB8" s="2563"/>
      <c r="BC8" s="2563"/>
      <c r="BD8" s="2563"/>
      <c r="BE8" s="2563"/>
      <c r="BF8" s="2563"/>
      <c r="BG8" s="2563"/>
      <c r="BV8" s="2563"/>
      <c r="BW8" s="2563"/>
      <c r="BX8" s="2563"/>
      <c r="BY8" s="2563"/>
    </row>
    <row r="9" spans="1:97" ht="32.1" customHeight="1">
      <c r="A9" s="5611" t="s">
        <v>1420</v>
      </c>
      <c r="B9" s="5642" t="s">
        <v>1421</v>
      </c>
      <c r="C9" s="5627"/>
      <c r="D9" s="5624"/>
      <c r="E9" s="5646" t="s">
        <v>1422</v>
      </c>
      <c r="F9" s="5646"/>
      <c r="G9" s="5646"/>
      <c r="H9" s="5646"/>
      <c r="I9" s="5646"/>
      <c r="J9" s="5646"/>
      <c r="K9" s="5646"/>
      <c r="L9" s="5646"/>
      <c r="M9" s="5646"/>
      <c r="N9" s="5646"/>
      <c r="O9" s="5646"/>
      <c r="P9" s="5646"/>
      <c r="Q9" s="5646"/>
      <c r="R9" s="5646"/>
      <c r="S9" s="5646"/>
      <c r="T9" s="5646"/>
      <c r="U9" s="5646"/>
      <c r="V9" s="5646"/>
      <c r="W9" s="5646"/>
      <c r="X9" s="5646"/>
      <c r="Y9" s="5646"/>
      <c r="Z9" s="5646"/>
      <c r="AA9" s="5646"/>
      <c r="AB9" s="5646"/>
      <c r="AC9" s="5646"/>
      <c r="AD9" s="5646"/>
      <c r="AE9" s="5646"/>
      <c r="AF9" s="5646"/>
      <c r="AG9" s="5646"/>
      <c r="AH9" s="5646"/>
      <c r="AI9" s="5646"/>
      <c r="AJ9" s="5646"/>
      <c r="AK9" s="5646"/>
      <c r="AL9" s="5663"/>
      <c r="AM9" s="5624" t="s">
        <v>625</v>
      </c>
      <c r="AN9" s="5615" t="s">
        <v>1423</v>
      </c>
      <c r="AO9" s="5616"/>
      <c r="AP9" s="5616"/>
      <c r="AQ9" s="5652"/>
      <c r="AR9" s="5613" t="s">
        <v>1424</v>
      </c>
      <c r="AS9" s="5613" t="s">
        <v>1425</v>
      </c>
      <c r="AT9" s="53"/>
      <c r="AU9" s="53"/>
      <c r="AV9" s="53"/>
      <c r="AW9" s="53"/>
      <c r="AX9" s="53"/>
      <c r="AY9" s="53"/>
      <c r="AZ9" s="53"/>
      <c r="BA9" s="53"/>
      <c r="BB9" s="53"/>
      <c r="BC9" s="53"/>
      <c r="BD9" s="53"/>
      <c r="BE9" s="53"/>
      <c r="BF9" s="53"/>
      <c r="BG9" s="53"/>
    </row>
    <row r="10" spans="1:97" ht="16.350000000000001" customHeight="1">
      <c r="A10" s="5641"/>
      <c r="B10" s="5659"/>
      <c r="C10" s="5731"/>
      <c r="D10" s="5625"/>
      <c r="E10" s="5646" t="s">
        <v>364</v>
      </c>
      <c r="F10" s="5646"/>
      <c r="G10" s="5646" t="s">
        <v>347</v>
      </c>
      <c r="H10" s="5646"/>
      <c r="I10" s="5646" t="s">
        <v>108</v>
      </c>
      <c r="J10" s="5646"/>
      <c r="K10" s="5646" t="s">
        <v>58</v>
      </c>
      <c r="L10" s="5646"/>
      <c r="M10" s="5646" t="s">
        <v>59</v>
      </c>
      <c r="N10" s="5646"/>
      <c r="O10" s="6035" t="s">
        <v>60</v>
      </c>
      <c r="P10" s="6035"/>
      <c r="Q10" s="6035" t="s">
        <v>61</v>
      </c>
      <c r="R10" s="6035"/>
      <c r="S10" s="6035" t="s">
        <v>62</v>
      </c>
      <c r="T10" s="6035"/>
      <c r="U10" s="6035" t="s">
        <v>63</v>
      </c>
      <c r="V10" s="6035"/>
      <c r="W10" s="6035" t="s">
        <v>64</v>
      </c>
      <c r="X10" s="6035"/>
      <c r="Y10" s="6035" t="s">
        <v>65</v>
      </c>
      <c r="Z10" s="6035"/>
      <c r="AA10" s="6035" t="s">
        <v>66</v>
      </c>
      <c r="AB10" s="6035"/>
      <c r="AC10" s="6035" t="s">
        <v>67</v>
      </c>
      <c r="AD10" s="6035"/>
      <c r="AE10" s="6035" t="s">
        <v>68</v>
      </c>
      <c r="AF10" s="6035"/>
      <c r="AG10" s="6035" t="s">
        <v>69</v>
      </c>
      <c r="AH10" s="6035"/>
      <c r="AI10" s="6035" t="s">
        <v>70</v>
      </c>
      <c r="AJ10" s="6035"/>
      <c r="AK10" s="6035" t="s">
        <v>71</v>
      </c>
      <c r="AL10" s="6505"/>
      <c r="AM10" s="5645"/>
      <c r="AN10" s="5956" t="s">
        <v>1426</v>
      </c>
      <c r="AO10" s="5633" t="s">
        <v>1427</v>
      </c>
      <c r="AP10" s="5633" t="s">
        <v>1428</v>
      </c>
      <c r="AQ10" s="5734" t="s">
        <v>1429</v>
      </c>
      <c r="AR10" s="5671"/>
      <c r="AS10" s="5671"/>
      <c r="AT10" s="53"/>
      <c r="AU10" s="53"/>
      <c r="AV10" s="53"/>
      <c r="AW10" s="53"/>
      <c r="AX10" s="53"/>
      <c r="AY10" s="53"/>
      <c r="AZ10" s="53"/>
      <c r="BA10" s="53"/>
      <c r="BB10" s="53"/>
      <c r="BC10" s="53"/>
      <c r="BD10" s="53"/>
      <c r="BE10" s="53"/>
      <c r="BF10" s="53"/>
      <c r="BG10" s="53"/>
    </row>
    <row r="11" spans="1:97" ht="23.25" customHeight="1">
      <c r="A11" s="5612"/>
      <c r="B11" s="478" t="s">
        <v>93</v>
      </c>
      <c r="C11" s="2564" t="s">
        <v>72</v>
      </c>
      <c r="D11" s="231" t="s">
        <v>73</v>
      </c>
      <c r="E11" s="499" t="s">
        <v>72</v>
      </c>
      <c r="F11" s="62" t="s">
        <v>73</v>
      </c>
      <c r="G11" s="499" t="s">
        <v>72</v>
      </c>
      <c r="H11" s="62" t="s">
        <v>73</v>
      </c>
      <c r="I11" s="499" t="s">
        <v>72</v>
      </c>
      <c r="J11" s="62" t="s">
        <v>73</v>
      </c>
      <c r="K11" s="499" t="s">
        <v>72</v>
      </c>
      <c r="L11" s="62" t="s">
        <v>73</v>
      </c>
      <c r="M11" s="499" t="s">
        <v>72</v>
      </c>
      <c r="N11" s="62" t="s">
        <v>73</v>
      </c>
      <c r="O11" s="499" t="s">
        <v>72</v>
      </c>
      <c r="P11" s="62" t="s">
        <v>73</v>
      </c>
      <c r="Q11" s="499" t="s">
        <v>72</v>
      </c>
      <c r="R11" s="62" t="s">
        <v>73</v>
      </c>
      <c r="S11" s="499" t="s">
        <v>72</v>
      </c>
      <c r="T11" s="62" t="s">
        <v>73</v>
      </c>
      <c r="U11" s="499" t="s">
        <v>72</v>
      </c>
      <c r="V11" s="62" t="s">
        <v>73</v>
      </c>
      <c r="W11" s="499" t="s">
        <v>72</v>
      </c>
      <c r="X11" s="62" t="s">
        <v>73</v>
      </c>
      <c r="Y11" s="499" t="s">
        <v>72</v>
      </c>
      <c r="Z11" s="62" t="s">
        <v>73</v>
      </c>
      <c r="AA11" s="499" t="s">
        <v>72</v>
      </c>
      <c r="AB11" s="62" t="s">
        <v>73</v>
      </c>
      <c r="AC11" s="499" t="s">
        <v>72</v>
      </c>
      <c r="AD11" s="62" t="s">
        <v>73</v>
      </c>
      <c r="AE11" s="499" t="s">
        <v>72</v>
      </c>
      <c r="AF11" s="62" t="s">
        <v>73</v>
      </c>
      <c r="AG11" s="1313" t="s">
        <v>72</v>
      </c>
      <c r="AH11" s="63" t="s">
        <v>73</v>
      </c>
      <c r="AI11" s="499" t="s">
        <v>72</v>
      </c>
      <c r="AJ11" s="62" t="s">
        <v>73</v>
      </c>
      <c r="AK11" s="1313" t="s">
        <v>72</v>
      </c>
      <c r="AL11" s="1064" t="s">
        <v>73</v>
      </c>
      <c r="AM11" s="5625"/>
      <c r="AN11" s="5958"/>
      <c r="AO11" s="5634"/>
      <c r="AP11" s="5634"/>
      <c r="AQ11" s="5736"/>
      <c r="AR11" s="5614"/>
      <c r="AS11" s="5614"/>
      <c r="AT11" s="53"/>
      <c r="AU11" s="53"/>
      <c r="AV11" s="53"/>
      <c r="AW11" s="53"/>
      <c r="AX11" s="53"/>
      <c r="AY11" s="53"/>
      <c r="AZ11" s="53"/>
      <c r="BA11" s="53"/>
      <c r="BB11" s="53"/>
      <c r="BC11" s="53"/>
      <c r="BD11" s="53"/>
      <c r="BE11" s="53"/>
      <c r="BF11" s="53"/>
      <c r="BG11" s="53"/>
    </row>
    <row r="12" spans="1:97" ht="15" customHeight="1">
      <c r="A12" s="485" t="s">
        <v>1430</v>
      </c>
      <c r="B12" s="1065">
        <f t="shared" ref="B12:B66" si="0">SUM(C12+D12)</f>
        <v>0</v>
      </c>
      <c r="C12" s="487">
        <f t="shared" ref="C12:D66" si="1">SUM(E12+G12+I12+K12+M12+O12+Q12+S12+U12+W12+Y12+AA12+AC12+AE12+AG12+AI12+AK12)</f>
        <v>0</v>
      </c>
      <c r="D12" s="2565">
        <f t="shared" si="1"/>
        <v>0</v>
      </c>
      <c r="E12" s="1066"/>
      <c r="F12" s="1005"/>
      <c r="G12" s="1066"/>
      <c r="H12" s="1005"/>
      <c r="I12" s="1066"/>
      <c r="J12" s="1005"/>
      <c r="K12" s="1003"/>
      <c r="L12" s="1005"/>
      <c r="M12" s="1066"/>
      <c r="N12" s="1005"/>
      <c r="O12" s="1003"/>
      <c r="P12" s="1005"/>
      <c r="Q12" s="1066"/>
      <c r="R12" s="1005"/>
      <c r="S12" s="1003"/>
      <c r="T12" s="1004"/>
      <c r="U12" s="1003"/>
      <c r="V12" s="1004"/>
      <c r="W12" s="1003"/>
      <c r="X12" s="1004"/>
      <c r="Y12" s="1003"/>
      <c r="Z12" s="1004"/>
      <c r="AA12" s="1003"/>
      <c r="AB12" s="1005"/>
      <c r="AC12" s="1003"/>
      <c r="AD12" s="1005"/>
      <c r="AE12" s="1003"/>
      <c r="AF12" s="1005"/>
      <c r="AG12" s="1003"/>
      <c r="AH12" s="1004"/>
      <c r="AI12" s="1003"/>
      <c r="AJ12" s="1004"/>
      <c r="AK12" s="1003"/>
      <c r="AL12" s="1316"/>
      <c r="AM12" s="1004"/>
      <c r="AN12" s="1003"/>
      <c r="AO12" s="1066"/>
      <c r="AP12" s="1066"/>
      <c r="AQ12" s="1004"/>
      <c r="AR12" s="1180"/>
      <c r="AS12" s="1180"/>
      <c r="AT12" s="2566" t="str">
        <f t="shared" ref="AT12:AT15" si="2">CA12&amp;CB12&amp;CC12&amp;CD12&amp;CE12&amp;CF12&amp;CG12</f>
        <v/>
      </c>
      <c r="AU12" s="2567"/>
      <c r="AV12" s="2567"/>
      <c r="AW12" s="2567"/>
      <c r="AX12" s="2567"/>
      <c r="AY12" s="2567"/>
      <c r="AZ12" s="2567"/>
      <c r="BA12" s="2567"/>
      <c r="BB12" s="2567"/>
      <c r="BC12" s="2567"/>
      <c r="BD12" s="2567"/>
      <c r="BE12" s="53"/>
      <c r="BF12" s="53"/>
      <c r="BG12" s="53"/>
      <c r="CA12" s="2568" t="str">
        <f t="shared" ref="CA12:CA15" si="3">IF(AND($B12&gt;0,AM12="")," *No olvide digitar la variable "&amp;AM$9&amp;""&amp;". Digite CERO si no tiene",IF(AM12&gt;$B12," *La variable "&amp;AM$9&amp;""&amp;" No puede ser mayor al Total Ambos Sexos.",""))</f>
        <v/>
      </c>
      <c r="CB12" s="2568" t="str">
        <f t="shared" ref="CB12:CB15" si="4">IF(AND($B12&gt;0,AN12="")," *No olvide digitar la variable "&amp;AN$9&amp;""&amp;" SAPU/SAR/SUR. Digite CERO si no tiene",IF(AN12&gt;$B12," *La variable "&amp;AN$9&amp;""&amp;" SAPU/SAR/SUR No puede ser mayor al Total Ambos Sexos.",""))</f>
        <v/>
      </c>
      <c r="CC12" s="2568" t="str">
        <f t="shared" ref="CC12:CC15" si="5">IF(AND($B12&gt;0,AO12="")," *No olvide digitar la variable "&amp;AN$9&amp;""&amp;" Hospital Baja Complejidad. Digite CERO si no tiene",IF(AO12&gt;$B12," *La variable "&amp;AN$9&amp;""&amp;" Hospital Baja Complejidad No puede ser mayor al Total Ambos Sexos.",""))</f>
        <v/>
      </c>
      <c r="CD12" s="2568" t="str">
        <f t="shared" ref="CD12:CD13" si="6">IF(AND($B12&gt;0,AP12="")," *No olvide digitar la variable "&amp;AN$9&amp;""&amp;" Hospital Mediana/Alta Complejidad. Digite CERO si no tiene",IF(AP12&gt;$B12," *La variable "&amp;AN$9&amp;""&amp;" Hospital Mediana/Alta Complejidad No puede ser mayor al Total Ambos Sexos.",""))</f>
        <v/>
      </c>
      <c r="CE12" s="2568" t="str">
        <f t="shared" ref="CE12:CE13" si="7">IF(AND($B12&gt;0,AQ12="")," *No olvide digitar la variable "&amp;AN$9&amp;""&amp;" Otros Establecimientos de la Red. Digite CERO si no tiene",IF(AQ12&gt;$B12," *La variable "&amp;AN$9&amp;""&amp;" Otros Establecimientos de la Red No puede ser mayor al Total Ambos Sexos.",""))</f>
        <v/>
      </c>
      <c r="CF12" s="2568" t="str">
        <f t="shared" ref="CF12:CF13" si="8">IF(AND($B12&gt;0,AR12="")," *No olvide digitar la variable "&amp;AR$9&amp;""&amp;". Digite CERO si no tiene",IF(AR12&gt;$B12," *La variable "&amp;AR$9&amp;""&amp;" No puede ser mayor al Total Ambos Sexos.",""))</f>
        <v/>
      </c>
      <c r="CG12" s="2568" t="str">
        <f t="shared" ref="CG12:CG15" si="9">IF(AND($B12&gt;0,AS12="")," *No olvide digitar la variable "&amp;AS$9&amp;""&amp;". Digite CERO si no tiene",IF(B12&gt;AS12," *La variable "&amp;AS$9&amp;""&amp;" No puede ser menor al Total Ambos Sexos.",""))</f>
        <v/>
      </c>
      <c r="CM12" s="2569">
        <f t="shared" ref="CM12:CR65" si="10">IF(AND($B12&gt;0,AM12=""),1,IF(AM12&gt;$B12,1,0))</f>
        <v>0</v>
      </c>
      <c r="CN12" s="2569">
        <f t="shared" si="10"/>
        <v>0</v>
      </c>
      <c r="CO12" s="2569">
        <f t="shared" si="10"/>
        <v>0</v>
      </c>
      <c r="CP12" s="2569">
        <f t="shared" si="10"/>
        <v>0</v>
      </c>
      <c r="CQ12" s="2569">
        <f t="shared" si="10"/>
        <v>0</v>
      </c>
      <c r="CR12" s="2570">
        <f t="shared" si="10"/>
        <v>0</v>
      </c>
      <c r="CS12" s="2569">
        <f t="shared" ref="CS12:CS15" si="11">IF(AND($B12&gt;0,AS12=""),1,IF($B12&gt;AS12,1,0))</f>
        <v>0</v>
      </c>
    </row>
    <row r="13" spans="1:97" ht="15" customHeight="1">
      <c r="A13" s="284" t="s">
        <v>1431</v>
      </c>
      <c r="B13" s="541">
        <f t="shared" si="0"/>
        <v>0</v>
      </c>
      <c r="C13" s="542">
        <f t="shared" si="1"/>
        <v>0</v>
      </c>
      <c r="D13" s="2571">
        <f t="shared" si="1"/>
        <v>0</v>
      </c>
      <c r="E13" s="1077"/>
      <c r="F13" s="1015"/>
      <c r="G13" s="1077"/>
      <c r="H13" s="1015"/>
      <c r="I13" s="1077"/>
      <c r="J13" s="1015"/>
      <c r="K13" s="1077"/>
      <c r="L13" s="1015"/>
      <c r="M13" s="1013"/>
      <c r="N13" s="1014"/>
      <c r="O13" s="1013"/>
      <c r="P13" s="1014"/>
      <c r="Q13" s="1013"/>
      <c r="R13" s="1014"/>
      <c r="S13" s="1013"/>
      <c r="T13" s="1014"/>
      <c r="U13" s="1013"/>
      <c r="V13" s="1014"/>
      <c r="W13" s="1013"/>
      <c r="X13" s="1014"/>
      <c r="Y13" s="1013"/>
      <c r="Z13" s="1014"/>
      <c r="AA13" s="1013"/>
      <c r="AB13" s="1014"/>
      <c r="AC13" s="1013"/>
      <c r="AD13" s="1014"/>
      <c r="AE13" s="1013"/>
      <c r="AF13" s="1014"/>
      <c r="AG13" s="1013"/>
      <c r="AH13" s="1014"/>
      <c r="AI13" s="1013"/>
      <c r="AJ13" s="1014"/>
      <c r="AK13" s="1013"/>
      <c r="AL13" s="1318"/>
      <c r="AM13" s="1014"/>
      <c r="AN13" s="1013"/>
      <c r="AO13" s="1077"/>
      <c r="AP13" s="1077"/>
      <c r="AQ13" s="1014"/>
      <c r="AR13" s="1183"/>
      <c r="AS13" s="1183"/>
      <c r="AT13" s="2566" t="str">
        <f t="shared" si="2"/>
        <v/>
      </c>
      <c r="AU13" s="2567"/>
      <c r="AV13" s="2567"/>
      <c r="AW13" s="2567"/>
      <c r="AX13" s="2567"/>
      <c r="AY13" s="2567"/>
      <c r="AZ13" s="2567"/>
      <c r="BA13" s="2567"/>
      <c r="BB13" s="2567"/>
      <c r="BC13" s="2567"/>
      <c r="BD13" s="2567"/>
      <c r="BE13" s="53"/>
      <c r="BF13" s="53"/>
      <c r="BG13" s="53"/>
      <c r="CA13" s="2568" t="str">
        <f t="shared" si="3"/>
        <v/>
      </c>
      <c r="CB13" s="2568" t="str">
        <f t="shared" si="4"/>
        <v/>
      </c>
      <c r="CC13" s="2568" t="str">
        <f t="shared" si="5"/>
        <v/>
      </c>
      <c r="CD13" s="2568" t="str">
        <f t="shared" si="6"/>
        <v/>
      </c>
      <c r="CE13" s="2568" t="str">
        <f t="shared" si="7"/>
        <v/>
      </c>
      <c r="CF13" s="2568" t="str">
        <f t="shared" si="8"/>
        <v/>
      </c>
      <c r="CG13" s="2568" t="str">
        <f t="shared" si="9"/>
        <v/>
      </c>
      <c r="CM13" s="2569">
        <f t="shared" si="10"/>
        <v>0</v>
      </c>
      <c r="CN13" s="2569">
        <f t="shared" ref="CN13:CR21" si="12">IF(AND($B13&gt;0,AN13=""),1,IF(AN13&gt;$B13,1,0))</f>
        <v>0</v>
      </c>
      <c r="CO13" s="2569">
        <f t="shared" si="12"/>
        <v>0</v>
      </c>
      <c r="CP13" s="2569">
        <f t="shared" si="12"/>
        <v>0</v>
      </c>
      <c r="CQ13" s="2569">
        <f t="shared" si="12"/>
        <v>0</v>
      </c>
      <c r="CR13" s="2569">
        <f t="shared" si="12"/>
        <v>0</v>
      </c>
      <c r="CS13" s="2569">
        <f t="shared" si="11"/>
        <v>0</v>
      </c>
    </row>
    <row r="14" spans="1:97" ht="15" customHeight="1">
      <c r="A14" s="648" t="s">
        <v>1432</v>
      </c>
      <c r="B14" s="1011">
        <f t="shared" si="0"/>
        <v>0</v>
      </c>
      <c r="C14" s="2572">
        <f t="shared" si="1"/>
        <v>0</v>
      </c>
      <c r="D14" s="2573">
        <f t="shared" si="1"/>
        <v>0</v>
      </c>
      <c r="E14" s="1013"/>
      <c r="F14" s="1014"/>
      <c r="G14" s="1013"/>
      <c r="H14" s="1014"/>
      <c r="I14" s="1013"/>
      <c r="J14" s="1014"/>
      <c r="K14" s="1013"/>
      <c r="L14" s="1014"/>
      <c r="M14" s="1013"/>
      <c r="N14" s="1014"/>
      <c r="O14" s="1013"/>
      <c r="P14" s="1014"/>
      <c r="Q14" s="1013"/>
      <c r="R14" s="1014"/>
      <c r="S14" s="1013"/>
      <c r="T14" s="1014"/>
      <c r="U14" s="1013"/>
      <c r="V14" s="1014"/>
      <c r="W14" s="1013"/>
      <c r="X14" s="1014"/>
      <c r="Y14" s="1013"/>
      <c r="Z14" s="1014"/>
      <c r="AA14" s="1013"/>
      <c r="AB14" s="1014"/>
      <c r="AC14" s="1013"/>
      <c r="AD14" s="1014"/>
      <c r="AE14" s="1013"/>
      <c r="AF14" s="1014"/>
      <c r="AG14" s="1013"/>
      <c r="AH14" s="1014"/>
      <c r="AI14" s="1013"/>
      <c r="AJ14" s="1014"/>
      <c r="AK14" s="1013"/>
      <c r="AL14" s="1318"/>
      <c r="AM14" s="1014"/>
      <c r="AN14" s="1016"/>
      <c r="AO14" s="2574"/>
      <c r="AP14" s="2574"/>
      <c r="AQ14" s="1029"/>
      <c r="AR14" s="2575"/>
      <c r="AS14" s="1183"/>
      <c r="AT14" s="2566" t="str">
        <f t="shared" si="2"/>
        <v/>
      </c>
      <c r="AU14" s="2567"/>
      <c r="AV14" s="2567"/>
      <c r="AW14" s="2567"/>
      <c r="AX14" s="2567"/>
      <c r="AY14" s="2567"/>
      <c r="AZ14" s="2567"/>
      <c r="BA14" s="2567"/>
      <c r="BB14" s="2567"/>
      <c r="BC14" s="2567"/>
      <c r="BD14" s="2567"/>
      <c r="BE14" s="53"/>
      <c r="BF14" s="53"/>
      <c r="BG14" s="53"/>
      <c r="CA14" s="2568" t="str">
        <f t="shared" si="3"/>
        <v/>
      </c>
      <c r="CB14" s="2576"/>
      <c r="CC14" s="2576"/>
      <c r="CD14" s="2576"/>
      <c r="CE14" s="2576"/>
      <c r="CF14" s="2576"/>
      <c r="CG14" s="2576"/>
      <c r="CM14" s="2569">
        <f t="shared" si="10"/>
        <v>0</v>
      </c>
      <c r="CN14" s="2576"/>
      <c r="CO14" s="2576"/>
      <c r="CP14" s="2576"/>
      <c r="CQ14" s="2576"/>
      <c r="CR14" s="2577"/>
      <c r="CS14" s="2577"/>
    </row>
    <row r="15" spans="1:97" ht="15" customHeight="1">
      <c r="A15" s="2578" t="s">
        <v>1433</v>
      </c>
      <c r="B15" s="1133">
        <f t="shared" si="0"/>
        <v>0</v>
      </c>
      <c r="C15" s="2579">
        <f t="shared" si="1"/>
        <v>0</v>
      </c>
      <c r="D15" s="2580">
        <f t="shared" si="1"/>
        <v>0</v>
      </c>
      <c r="E15" s="1053"/>
      <c r="F15" s="1054"/>
      <c r="G15" s="1053"/>
      <c r="H15" s="1054"/>
      <c r="I15" s="1053"/>
      <c r="J15" s="1054"/>
      <c r="K15" s="1053"/>
      <c r="L15" s="1054"/>
      <c r="M15" s="1053"/>
      <c r="N15" s="1054"/>
      <c r="O15" s="1053"/>
      <c r="P15" s="1054"/>
      <c r="Q15" s="1053"/>
      <c r="R15" s="1054"/>
      <c r="S15" s="1053"/>
      <c r="T15" s="1054"/>
      <c r="U15" s="1053"/>
      <c r="V15" s="1054"/>
      <c r="W15" s="1053"/>
      <c r="X15" s="1054"/>
      <c r="Y15" s="1053"/>
      <c r="Z15" s="1054"/>
      <c r="AA15" s="1053"/>
      <c r="AB15" s="1054"/>
      <c r="AC15" s="1053"/>
      <c r="AD15" s="1054"/>
      <c r="AE15" s="1053"/>
      <c r="AF15" s="1054"/>
      <c r="AG15" s="1053"/>
      <c r="AH15" s="1054"/>
      <c r="AI15" s="1053"/>
      <c r="AJ15" s="1054"/>
      <c r="AK15" s="1053"/>
      <c r="AL15" s="1322"/>
      <c r="AM15" s="1054"/>
      <c r="AN15" s="1053"/>
      <c r="AO15" s="1271"/>
      <c r="AP15" s="1271"/>
      <c r="AQ15" s="1054"/>
      <c r="AR15" s="1136"/>
      <c r="AS15" s="1136"/>
      <c r="AT15" s="2566" t="str">
        <f t="shared" si="2"/>
        <v/>
      </c>
      <c r="AU15" s="2567"/>
      <c r="AV15" s="2567"/>
      <c r="AW15" s="2567"/>
      <c r="AX15" s="2567"/>
      <c r="AY15" s="2567"/>
      <c r="AZ15" s="2567"/>
      <c r="BA15" s="2567"/>
      <c r="BB15" s="2567"/>
      <c r="BC15" s="2567"/>
      <c r="BD15" s="2567"/>
      <c r="BE15" s="53"/>
      <c r="BF15" s="53"/>
      <c r="BG15" s="53"/>
      <c r="CA15" s="2568" t="str">
        <f t="shared" si="3"/>
        <v/>
      </c>
      <c r="CB15" s="2568" t="str">
        <f t="shared" si="4"/>
        <v/>
      </c>
      <c r="CC15" s="2568" t="str">
        <f t="shared" si="5"/>
        <v/>
      </c>
      <c r="CD15" s="2568" t="str">
        <f>IF(AND($B15&gt;0,AP15="")," *No olvide digitar la variable "&amp;AO$9&amp;""&amp;" Hospital mediana/alta Complejidad. Digite CERO si no tiene",IF(AP15&gt;$B15," *La variable "&amp;AO$9&amp;""&amp;" Hospital mediana/alta Complejidad No puede ser mayor al Total Ambos Sexos.",""))</f>
        <v/>
      </c>
      <c r="CE15" s="2568" t="str">
        <f>IF(AND($B15&gt;0,AQ15="")," *No olvide digitar la variable"&amp;AQ$10&amp;". Digite CERO si no tiene",IF(AQ15&gt;$B15," *La variable "&amp;AP$9&amp;""&amp;" "&amp;AQ$10&amp;" No puede ser mayor al Total Ambos Sexos.",""))</f>
        <v/>
      </c>
      <c r="CF15" s="2568" t="str">
        <f>IF(AND($B15&gt;0,AR15="")," *No olvide digitar la variable "&amp;AR$9&amp;""&amp;". Digite CERO si no tiene",IF(AR15&gt;$B15," *La variable "&amp;AR$9&amp;""&amp;"  No puede ser mayor al Total Ambos Sexos.",""))</f>
        <v/>
      </c>
      <c r="CG15" s="2568" t="str">
        <f t="shared" si="9"/>
        <v/>
      </c>
      <c r="CM15" s="2569">
        <f t="shared" si="10"/>
        <v>0</v>
      </c>
      <c r="CN15" s="2569">
        <f t="shared" si="12"/>
        <v>0</v>
      </c>
      <c r="CO15" s="2569">
        <f t="shared" si="12"/>
        <v>0</v>
      </c>
      <c r="CP15" s="2569">
        <f t="shared" si="12"/>
        <v>0</v>
      </c>
      <c r="CQ15" s="2569">
        <f t="shared" si="12"/>
        <v>0</v>
      </c>
      <c r="CR15" s="2569">
        <f t="shared" si="12"/>
        <v>0</v>
      </c>
      <c r="CS15" s="2569">
        <f t="shared" si="11"/>
        <v>0</v>
      </c>
    </row>
    <row r="16" spans="1:97" s="2558" customFormat="1" ht="18" customHeight="1">
      <c r="A16" s="609" t="s">
        <v>1434</v>
      </c>
      <c r="B16" s="2563"/>
      <c r="C16" s="2563"/>
      <c r="D16" s="2563"/>
      <c r="E16" s="2563"/>
      <c r="F16" s="2563"/>
      <c r="G16" s="2563"/>
      <c r="H16" s="2563"/>
      <c r="I16" s="2563"/>
      <c r="J16" s="2563"/>
      <c r="K16" s="2563"/>
      <c r="L16" s="2563"/>
      <c r="M16" s="2563"/>
      <c r="N16" s="2563"/>
      <c r="O16" s="2563"/>
      <c r="P16" s="2563"/>
      <c r="Q16" s="2563"/>
      <c r="R16" s="2563"/>
      <c r="S16" s="2563"/>
      <c r="T16" s="2563"/>
      <c r="U16" s="2563"/>
      <c r="V16" s="2563"/>
      <c r="W16" s="2563"/>
      <c r="X16" s="2563"/>
      <c r="Y16" s="2563"/>
      <c r="Z16" s="2563"/>
      <c r="AA16" s="2563"/>
      <c r="AB16" s="2563"/>
      <c r="AC16" s="2563"/>
      <c r="AD16" s="2563"/>
      <c r="AE16" s="2563"/>
      <c r="AF16" s="2563"/>
      <c r="AG16" s="2563"/>
      <c r="AH16" s="2563"/>
      <c r="AI16" s="2563"/>
      <c r="AJ16" s="2563"/>
      <c r="AK16" s="2563"/>
      <c r="AL16" s="2563"/>
      <c r="AM16" s="2563"/>
      <c r="AN16" s="2563"/>
      <c r="AO16" s="2563"/>
      <c r="AP16" s="2563"/>
      <c r="AQ16" s="2563"/>
      <c r="AR16" s="2563"/>
      <c r="AS16" s="2563"/>
      <c r="AT16" s="2563"/>
      <c r="AU16" s="2563"/>
      <c r="AV16" s="2563"/>
      <c r="AW16" s="2563"/>
      <c r="AX16" s="2563"/>
      <c r="AY16" s="2563"/>
      <c r="AZ16" s="2563"/>
      <c r="BA16" s="2563"/>
      <c r="BB16" s="2563"/>
      <c r="BC16" s="2563"/>
      <c r="BD16" s="2563"/>
      <c r="BE16" s="2563"/>
      <c r="BF16" s="2563"/>
      <c r="BG16" s="2563"/>
      <c r="BH16" s="2563"/>
      <c r="BI16" s="2563"/>
      <c r="BV16" s="2563"/>
      <c r="BW16" s="2563"/>
      <c r="BX16" s="2563"/>
      <c r="BY16" s="2563"/>
    </row>
    <row r="17" spans="1:101" ht="19.5" customHeight="1">
      <c r="A17" s="5611" t="s">
        <v>1435</v>
      </c>
      <c r="B17" s="5642" t="s">
        <v>1421</v>
      </c>
      <c r="C17" s="5627"/>
      <c r="D17" s="5624"/>
      <c r="E17" s="5615" t="s">
        <v>1422</v>
      </c>
      <c r="F17" s="5616"/>
      <c r="G17" s="5616"/>
      <c r="H17" s="5616"/>
      <c r="I17" s="5616"/>
      <c r="J17" s="5616"/>
      <c r="K17" s="5616"/>
      <c r="L17" s="5616"/>
      <c r="M17" s="5616"/>
      <c r="N17" s="5616"/>
      <c r="O17" s="5616"/>
      <c r="P17" s="5616"/>
      <c r="Q17" s="5616"/>
      <c r="R17" s="5616"/>
      <c r="S17" s="5616"/>
      <c r="T17" s="5616"/>
      <c r="U17" s="5616"/>
      <c r="V17" s="5616"/>
      <c r="W17" s="5616"/>
      <c r="X17" s="5616"/>
      <c r="Y17" s="5616"/>
      <c r="Z17" s="5616"/>
      <c r="AA17" s="5616"/>
      <c r="AB17" s="5616"/>
      <c r="AC17" s="5616"/>
      <c r="AD17" s="5616"/>
      <c r="AE17" s="5616"/>
      <c r="AF17" s="5616"/>
      <c r="AG17" s="5616"/>
      <c r="AH17" s="5616"/>
      <c r="AI17" s="5616"/>
      <c r="AJ17" s="5616"/>
      <c r="AK17" s="5616"/>
      <c r="AL17" s="5617"/>
      <c r="AM17" s="5953" t="s">
        <v>625</v>
      </c>
      <c r="AN17" s="5627" t="s">
        <v>1436</v>
      </c>
      <c r="AO17" s="5613" t="s">
        <v>1425</v>
      </c>
      <c r="AP17" s="5968" t="s">
        <v>494</v>
      </c>
      <c r="AQ17" s="5626" t="s">
        <v>1437</v>
      </c>
      <c r="AR17" s="5613" t="s">
        <v>49</v>
      </c>
      <c r="AS17" s="5615" t="s">
        <v>1438</v>
      </c>
      <c r="AT17" s="5616"/>
      <c r="AU17" s="5616"/>
      <c r="AV17" s="5616"/>
      <c r="AW17" s="6548"/>
      <c r="AX17" s="5624" t="s">
        <v>1439</v>
      </c>
      <c r="AY17" s="53"/>
      <c r="AZ17" s="53"/>
      <c r="BA17" s="53"/>
      <c r="BB17" s="53"/>
      <c r="BC17" s="53"/>
      <c r="BD17" s="53"/>
      <c r="BE17" s="53"/>
      <c r="BF17" s="53"/>
      <c r="BG17" s="53"/>
      <c r="BH17" s="53"/>
      <c r="BI17" s="53"/>
      <c r="BJ17" s="53"/>
      <c r="BK17" s="53"/>
      <c r="BV17" s="50"/>
      <c r="BW17" s="50"/>
      <c r="BX17" s="53"/>
      <c r="BY17" s="53"/>
      <c r="BZ17" s="2557"/>
      <c r="CA17" s="2557"/>
      <c r="CB17" s="50"/>
      <c r="CR17" s="2558"/>
      <c r="CS17" s="2558"/>
    </row>
    <row r="18" spans="1:101" ht="15.75" customHeight="1">
      <c r="A18" s="5641"/>
      <c r="B18" s="5659"/>
      <c r="C18" s="5731"/>
      <c r="D18" s="5625"/>
      <c r="E18" s="5615" t="s">
        <v>364</v>
      </c>
      <c r="F18" s="5652"/>
      <c r="G18" s="5615" t="s">
        <v>347</v>
      </c>
      <c r="H18" s="5652"/>
      <c r="I18" s="5615" t="s">
        <v>108</v>
      </c>
      <c r="J18" s="5652"/>
      <c r="K18" s="5615" t="s">
        <v>58</v>
      </c>
      <c r="L18" s="5652"/>
      <c r="M18" s="5615" t="s">
        <v>59</v>
      </c>
      <c r="N18" s="5652"/>
      <c r="O18" s="5647" t="s">
        <v>60</v>
      </c>
      <c r="P18" s="5648"/>
      <c r="Q18" s="5647" t="s">
        <v>61</v>
      </c>
      <c r="R18" s="5648"/>
      <c r="S18" s="5647" t="s">
        <v>62</v>
      </c>
      <c r="T18" s="5648"/>
      <c r="U18" s="5647" t="s">
        <v>63</v>
      </c>
      <c r="V18" s="5648"/>
      <c r="W18" s="5647" t="s">
        <v>64</v>
      </c>
      <c r="X18" s="5648"/>
      <c r="Y18" s="5647" t="s">
        <v>65</v>
      </c>
      <c r="Z18" s="5648"/>
      <c r="AA18" s="5647" t="s">
        <v>66</v>
      </c>
      <c r="AB18" s="5648"/>
      <c r="AC18" s="5647" t="s">
        <v>67</v>
      </c>
      <c r="AD18" s="5648"/>
      <c r="AE18" s="5647" t="s">
        <v>68</v>
      </c>
      <c r="AF18" s="5648"/>
      <c r="AG18" s="5647" t="s">
        <v>69</v>
      </c>
      <c r="AH18" s="5648"/>
      <c r="AI18" s="5647" t="s">
        <v>70</v>
      </c>
      <c r="AJ18" s="5648"/>
      <c r="AK18" s="5647" t="s">
        <v>71</v>
      </c>
      <c r="AL18" s="5686"/>
      <c r="AM18" s="5954"/>
      <c r="AN18" s="5644"/>
      <c r="AO18" s="5671"/>
      <c r="AP18" s="5803"/>
      <c r="AQ18" s="6547"/>
      <c r="AR18" s="5671"/>
      <c r="AS18" s="5624" t="s">
        <v>1440</v>
      </c>
      <c r="AT18" s="5659" t="s">
        <v>1441</v>
      </c>
      <c r="AU18" s="5625"/>
      <c r="AV18" s="5615" t="s">
        <v>1442</v>
      </c>
      <c r="AW18" s="6548"/>
      <c r="AX18" s="5645"/>
      <c r="AY18" s="53"/>
      <c r="AZ18" s="53"/>
      <c r="BA18" s="53"/>
      <c r="BB18" s="53"/>
      <c r="BC18" s="53"/>
      <c r="BD18" s="53"/>
      <c r="BE18" s="53"/>
      <c r="BF18" s="53"/>
      <c r="BG18" s="53"/>
      <c r="BH18" s="53"/>
      <c r="BI18" s="53"/>
      <c r="BJ18" s="53"/>
      <c r="BK18" s="53"/>
      <c r="BL18" s="53"/>
      <c r="BV18" s="50"/>
      <c r="BW18" s="50"/>
      <c r="BX18" s="50"/>
      <c r="BY18" s="53"/>
      <c r="BZ18" s="53"/>
      <c r="CA18" s="2557"/>
      <c r="CB18" s="2557"/>
      <c r="CC18" s="50"/>
      <c r="CR18" s="2558"/>
      <c r="CS18" s="2558"/>
      <c r="CT18" s="2558"/>
    </row>
    <row r="19" spans="1:101" ht="22.5" customHeight="1">
      <c r="A19" s="5612"/>
      <c r="B19" s="194" t="s">
        <v>93</v>
      </c>
      <c r="C19" s="69" t="s">
        <v>482</v>
      </c>
      <c r="D19" s="76" t="s">
        <v>73</v>
      </c>
      <c r="E19" s="75" t="s">
        <v>482</v>
      </c>
      <c r="F19" s="76" t="s">
        <v>73</v>
      </c>
      <c r="G19" s="75" t="s">
        <v>482</v>
      </c>
      <c r="H19" s="76" t="s">
        <v>73</v>
      </c>
      <c r="I19" s="75" t="s">
        <v>482</v>
      </c>
      <c r="J19" s="76" t="s">
        <v>73</v>
      </c>
      <c r="K19" s="75" t="s">
        <v>482</v>
      </c>
      <c r="L19" s="76" t="s">
        <v>73</v>
      </c>
      <c r="M19" s="75" t="s">
        <v>482</v>
      </c>
      <c r="N19" s="76" t="s">
        <v>73</v>
      </c>
      <c r="O19" s="75" t="s">
        <v>482</v>
      </c>
      <c r="P19" s="76" t="s">
        <v>73</v>
      </c>
      <c r="Q19" s="75" t="s">
        <v>482</v>
      </c>
      <c r="R19" s="76" t="s">
        <v>73</v>
      </c>
      <c r="S19" s="75" t="s">
        <v>482</v>
      </c>
      <c r="T19" s="76" t="s">
        <v>73</v>
      </c>
      <c r="U19" s="75" t="s">
        <v>482</v>
      </c>
      <c r="V19" s="76" t="s">
        <v>73</v>
      </c>
      <c r="W19" s="75" t="s">
        <v>482</v>
      </c>
      <c r="X19" s="76" t="s">
        <v>73</v>
      </c>
      <c r="Y19" s="75" t="s">
        <v>482</v>
      </c>
      <c r="Z19" s="76" t="s">
        <v>73</v>
      </c>
      <c r="AA19" s="75" t="s">
        <v>482</v>
      </c>
      <c r="AB19" s="76" t="s">
        <v>73</v>
      </c>
      <c r="AC19" s="75" t="s">
        <v>482</v>
      </c>
      <c r="AD19" s="76" t="s">
        <v>73</v>
      </c>
      <c r="AE19" s="75" t="s">
        <v>482</v>
      </c>
      <c r="AF19" s="76" t="s">
        <v>73</v>
      </c>
      <c r="AG19" s="75" t="s">
        <v>482</v>
      </c>
      <c r="AH19" s="76" t="s">
        <v>73</v>
      </c>
      <c r="AI19" s="75" t="s">
        <v>482</v>
      </c>
      <c r="AJ19" s="76" t="s">
        <v>73</v>
      </c>
      <c r="AK19" s="75" t="s">
        <v>482</v>
      </c>
      <c r="AL19" s="60" t="s">
        <v>73</v>
      </c>
      <c r="AM19" s="5955"/>
      <c r="AN19" s="5731"/>
      <c r="AO19" s="5614"/>
      <c r="AP19" s="5881"/>
      <c r="AQ19" s="5639"/>
      <c r="AR19" s="5614"/>
      <c r="AS19" s="5731"/>
      <c r="AT19" s="75" t="s">
        <v>72</v>
      </c>
      <c r="AU19" s="76" t="s">
        <v>73</v>
      </c>
      <c r="AV19" s="2582" t="s">
        <v>72</v>
      </c>
      <c r="AW19" s="2581" t="s">
        <v>1443</v>
      </c>
      <c r="AX19" s="5625"/>
      <c r="AY19" s="53"/>
      <c r="AZ19" s="53"/>
      <c r="BA19" s="53"/>
      <c r="BB19" s="53"/>
      <c r="BC19" s="53"/>
      <c r="BD19" s="53"/>
      <c r="BE19" s="53"/>
      <c r="BF19" s="53"/>
      <c r="BG19" s="53"/>
      <c r="BH19" s="53"/>
      <c r="BI19" s="53"/>
      <c r="BJ19" s="53"/>
      <c r="BK19" s="53"/>
      <c r="BL19" s="53"/>
      <c r="BM19" s="53"/>
      <c r="BN19" s="53"/>
      <c r="BO19" s="53"/>
      <c r="BV19" s="50"/>
      <c r="BW19" s="50"/>
      <c r="BX19" s="50"/>
      <c r="BY19" s="50"/>
      <c r="CA19" s="50"/>
      <c r="CB19" s="53"/>
      <c r="CC19" s="53"/>
      <c r="CD19" s="2557"/>
      <c r="CE19" s="2557"/>
      <c r="CF19" s="50"/>
      <c r="CR19" s="2558"/>
      <c r="CS19" s="2558"/>
      <c r="CT19" s="2558"/>
      <c r="CU19" s="2558"/>
      <c r="CV19" s="2558"/>
      <c r="CW19" s="2558"/>
    </row>
    <row r="20" spans="1:101" ht="15">
      <c r="A20" s="277" t="s">
        <v>1444</v>
      </c>
      <c r="B20" s="523">
        <f t="shared" si="0"/>
        <v>0</v>
      </c>
      <c r="C20" s="524">
        <f t="shared" si="1"/>
        <v>0</v>
      </c>
      <c r="D20" s="520">
        <f t="shared" si="1"/>
        <v>0</v>
      </c>
      <c r="E20" s="1030"/>
      <c r="F20" s="1187"/>
      <c r="G20" s="1030"/>
      <c r="H20" s="1187"/>
      <c r="I20" s="1030"/>
      <c r="J20" s="1267"/>
      <c r="K20" s="1030"/>
      <c r="L20" s="1267"/>
      <c r="M20" s="1030"/>
      <c r="N20" s="1267"/>
      <c r="O20" s="2583"/>
      <c r="P20" s="1267"/>
      <c r="Q20" s="2583"/>
      <c r="R20" s="1267"/>
      <c r="S20" s="2583"/>
      <c r="T20" s="1267"/>
      <c r="U20" s="2583"/>
      <c r="V20" s="1267"/>
      <c r="W20" s="2583"/>
      <c r="X20" s="1267"/>
      <c r="Y20" s="2583"/>
      <c r="Z20" s="1267"/>
      <c r="AA20" s="2583"/>
      <c r="AB20" s="1267"/>
      <c r="AC20" s="2583"/>
      <c r="AD20" s="1267"/>
      <c r="AE20" s="2583"/>
      <c r="AF20" s="1267"/>
      <c r="AG20" s="2583"/>
      <c r="AH20" s="1267"/>
      <c r="AI20" s="2583"/>
      <c r="AJ20" s="1267"/>
      <c r="AK20" s="2583"/>
      <c r="AL20" s="1269"/>
      <c r="AM20" s="2584"/>
      <c r="AN20" s="1128"/>
      <c r="AO20" s="1127"/>
      <c r="AP20" s="1268"/>
      <c r="AQ20" s="2585"/>
      <c r="AR20" s="93"/>
      <c r="AS20" s="2586">
        <f>SUM(AT20:AW20)</f>
        <v>0</v>
      </c>
      <c r="AT20" s="95"/>
      <c r="AU20" s="204"/>
      <c r="AV20" s="95"/>
      <c r="AW20" s="2587"/>
      <c r="AX20" s="204"/>
      <c r="AY20" s="2566" t="str">
        <f>$CA20&amp;$CB20&amp;$CC20&amp;$CD20&amp;$CE20&amp;$CF20&amp;CG20</f>
        <v/>
      </c>
      <c r="AZ20" s="2567"/>
      <c r="BA20" s="2567"/>
      <c r="BB20" s="2567"/>
      <c r="BC20" s="2567"/>
      <c r="BD20" s="2567"/>
      <c r="BE20" s="2567"/>
      <c r="BF20" s="53"/>
      <c r="BG20" s="53"/>
      <c r="BH20" s="53"/>
      <c r="BI20" s="53"/>
      <c r="BJ20" s="53"/>
      <c r="BK20" s="53"/>
      <c r="BL20" s="53"/>
      <c r="BM20" s="53"/>
      <c r="BN20" s="53"/>
      <c r="BO20" s="53"/>
      <c r="BV20" s="50"/>
      <c r="BW20" s="50"/>
      <c r="BX20" s="50"/>
      <c r="BY20" s="50"/>
      <c r="CA20" s="2568" t="str">
        <f t="shared" ref="CA20:CA26" si="13">IF(AND($B20&gt;0,AM20="")," *No olvide digitar la variable "&amp;AM$17&amp;""&amp;". Digite CERO si no tiene",IF(AM20&gt;$B20," *La variable "&amp;AM$20&amp;""&amp;" No puede ser mayor al Total Ambos Sexos.",""))</f>
        <v/>
      </c>
      <c r="CB20" s="2568" t="str">
        <f t="shared" ref="CB20:CB26" si="14">IF(AND($B20&gt;0,AN20="")," *No olvide digitar la variable "&amp;AN$17&amp;""&amp;". Digite CERO si no tiene",IF(AN20&gt;$B20," *La variable "&amp;AN$17&amp;""&amp;" No puede ser mayor al Total Ambos Sexos.",""))</f>
        <v/>
      </c>
      <c r="CC20" s="2568" t="str">
        <f t="shared" ref="CC20:CC23" si="15">IF(AND($B20&gt;0,AO20="")," *No olvide digitar la variable "&amp;AO$17&amp;""&amp;". Digite CERO si no tiene",IF(B20&gt;AO20," *La variable "&amp;AO$17&amp;""&amp;" No puede ser menor al Total Ambos Sexos.",""))</f>
        <v/>
      </c>
      <c r="CD20" s="2568" t="str">
        <f t="shared" ref="CD20:CF23" si="16">IF(AND($B20&gt;0,AP20="")," *No olvide digitar la variable "&amp;AP$17&amp;""&amp;". Digite CERO si no tiene",IF(AP20&gt;$B20," *La variable "&amp;AP$17&amp;""&amp;" No puede ser mayor al Total Ambos Sexos.",""))</f>
        <v/>
      </c>
      <c r="CE20" s="2568" t="str">
        <f t="shared" si="16"/>
        <v/>
      </c>
      <c r="CF20" s="2568" t="str">
        <f t="shared" si="16"/>
        <v/>
      </c>
      <c r="CG20" s="2568" t="str">
        <f>IF(AND($AS20&gt;0,AX20="")," *No olvide digitar la variable "&amp;AX$17&amp;""&amp;".",IF(AX20&gt;AS20," *La variable "&amp;AX$17&amp;""&amp;" No puede ser menor al total de atenciones por telemedicina.",""))</f>
        <v/>
      </c>
      <c r="CM20" s="2569">
        <f t="shared" si="10"/>
        <v>0</v>
      </c>
      <c r="CN20" s="2569">
        <f t="shared" si="12"/>
        <v>0</v>
      </c>
      <c r="CO20" s="2569">
        <f t="shared" ref="CO20:CO23" si="17">IF(AND($B20&gt;0,AO20=""),1,IF(B20&gt;$AO20,1,0))</f>
        <v>0</v>
      </c>
      <c r="CP20" s="2569">
        <f t="shared" ref="CP20:CR23" si="18">IF(AND($B20&gt;0,AP20=""),1,IF(AP20&gt;$B20,1,0))</f>
        <v>0</v>
      </c>
      <c r="CQ20" s="2569">
        <f t="shared" si="18"/>
        <v>0</v>
      </c>
      <c r="CR20" s="2570">
        <f t="shared" si="18"/>
        <v>0</v>
      </c>
      <c r="CS20" s="2569">
        <f>IF(AND($AS20&gt;0,AX20=""),1,IF(AX20&gt;AS20,1,0))</f>
        <v>0</v>
      </c>
    </row>
    <row r="21" spans="1:101" ht="15">
      <c r="A21" s="522" t="s">
        <v>1445</v>
      </c>
      <c r="B21" s="523">
        <f t="shared" si="0"/>
        <v>0</v>
      </c>
      <c r="C21" s="524">
        <f t="shared" si="1"/>
        <v>0</v>
      </c>
      <c r="D21" s="520">
        <f t="shared" si="1"/>
        <v>0</v>
      </c>
      <c r="E21" s="1030"/>
      <c r="F21" s="1187"/>
      <c r="G21" s="1030"/>
      <c r="H21" s="1187"/>
      <c r="I21" s="1030"/>
      <c r="J21" s="1267"/>
      <c r="K21" s="1030"/>
      <c r="L21" s="1267"/>
      <c r="M21" s="1030"/>
      <c r="N21" s="1267"/>
      <c r="O21" s="2583"/>
      <c r="P21" s="1267"/>
      <c r="Q21" s="2583"/>
      <c r="R21" s="1267"/>
      <c r="S21" s="2583"/>
      <c r="T21" s="1267"/>
      <c r="U21" s="2583"/>
      <c r="V21" s="1267"/>
      <c r="W21" s="2583"/>
      <c r="X21" s="1267"/>
      <c r="Y21" s="2583"/>
      <c r="Z21" s="1267"/>
      <c r="AA21" s="2583"/>
      <c r="AB21" s="1267"/>
      <c r="AC21" s="2583"/>
      <c r="AD21" s="1267"/>
      <c r="AE21" s="2583"/>
      <c r="AF21" s="1267"/>
      <c r="AG21" s="2583"/>
      <c r="AH21" s="1267"/>
      <c r="AI21" s="2583"/>
      <c r="AJ21" s="1267"/>
      <c r="AK21" s="2583"/>
      <c r="AL21" s="1269"/>
      <c r="AM21" s="2584"/>
      <c r="AN21" s="1128"/>
      <c r="AO21" s="1127"/>
      <c r="AP21" s="1268"/>
      <c r="AQ21" s="2588"/>
      <c r="AR21" s="283"/>
      <c r="AS21" s="2589"/>
      <c r="AT21" s="1070"/>
      <c r="AU21" s="1082"/>
      <c r="AV21" s="1070"/>
      <c r="AW21" s="2590"/>
      <c r="AX21" s="1082"/>
      <c r="AY21" s="2566" t="str">
        <f t="shared" ref="AY21:AY26" si="19">$CA21&amp;$CB21&amp;$CC21&amp;$CD21&amp;$CE21&amp;$CF21</f>
        <v/>
      </c>
      <c r="AZ21" s="2567"/>
      <c r="BA21" s="2567"/>
      <c r="BB21" s="2567"/>
      <c r="BC21" s="2567"/>
      <c r="BD21" s="2567"/>
      <c r="BE21" s="2567"/>
      <c r="BF21" s="53"/>
      <c r="BG21" s="53"/>
      <c r="BH21" s="53"/>
      <c r="BI21" s="53"/>
      <c r="BJ21" s="53"/>
      <c r="BK21" s="53"/>
      <c r="BL21" s="53"/>
      <c r="BM21" s="53"/>
      <c r="BN21" s="53"/>
      <c r="BO21" s="53"/>
      <c r="BV21" s="50"/>
      <c r="BW21" s="50"/>
      <c r="BX21" s="50"/>
      <c r="BY21" s="50"/>
      <c r="CA21" s="2568" t="str">
        <f t="shared" si="13"/>
        <v/>
      </c>
      <c r="CB21" s="2568" t="str">
        <f t="shared" si="14"/>
        <v/>
      </c>
      <c r="CC21" s="2568" t="str">
        <f t="shared" si="15"/>
        <v/>
      </c>
      <c r="CD21" s="2568" t="str">
        <f t="shared" si="16"/>
        <v/>
      </c>
      <c r="CE21" s="2568" t="str">
        <f t="shared" si="16"/>
        <v/>
      </c>
      <c r="CF21" s="2568" t="str">
        <f t="shared" si="16"/>
        <v/>
      </c>
      <c r="CM21" s="2569">
        <f t="shared" si="10"/>
        <v>0</v>
      </c>
      <c r="CN21" s="2569">
        <f t="shared" si="12"/>
        <v>0</v>
      </c>
      <c r="CO21" s="2569">
        <f t="shared" si="17"/>
        <v>0</v>
      </c>
      <c r="CP21" s="2569">
        <f t="shared" si="18"/>
        <v>0</v>
      </c>
      <c r="CQ21" s="2569">
        <f t="shared" si="18"/>
        <v>0</v>
      </c>
      <c r="CR21" s="2570">
        <f t="shared" si="18"/>
        <v>0</v>
      </c>
    </row>
    <row r="22" spans="1:101" ht="15" customHeight="1">
      <c r="A22" s="723" t="s">
        <v>1446</v>
      </c>
      <c r="B22" s="2591">
        <f t="shared" si="0"/>
        <v>0</v>
      </c>
      <c r="C22" s="2592">
        <f t="shared" si="1"/>
        <v>0</v>
      </c>
      <c r="D22" s="663">
        <f t="shared" si="1"/>
        <v>0</v>
      </c>
      <c r="E22" s="1070"/>
      <c r="F22" s="1082"/>
      <c r="G22" s="1070"/>
      <c r="H22" s="1082"/>
      <c r="I22" s="1070"/>
      <c r="J22" s="1083"/>
      <c r="K22" s="1070"/>
      <c r="L22" s="1083"/>
      <c r="M22" s="1070"/>
      <c r="N22" s="1083"/>
      <c r="O22" s="2589"/>
      <c r="P22" s="1083"/>
      <c r="Q22" s="2589"/>
      <c r="R22" s="1083"/>
      <c r="S22" s="2589"/>
      <c r="T22" s="1083"/>
      <c r="U22" s="2589"/>
      <c r="V22" s="1083"/>
      <c r="W22" s="2589"/>
      <c r="X22" s="1083"/>
      <c r="Y22" s="2589"/>
      <c r="Z22" s="1083"/>
      <c r="AA22" s="2589"/>
      <c r="AB22" s="1083"/>
      <c r="AC22" s="2589"/>
      <c r="AD22" s="1083"/>
      <c r="AE22" s="2589"/>
      <c r="AF22" s="1083"/>
      <c r="AG22" s="2589"/>
      <c r="AH22" s="1083"/>
      <c r="AI22" s="2589"/>
      <c r="AJ22" s="1083"/>
      <c r="AK22" s="2589"/>
      <c r="AL22" s="2593"/>
      <c r="AM22" s="2590"/>
      <c r="AN22" s="1072"/>
      <c r="AO22" s="2594"/>
      <c r="AP22" s="1071"/>
      <c r="AQ22" s="2595"/>
      <c r="AR22" s="655"/>
      <c r="AS22" s="2589"/>
      <c r="AT22" s="1070"/>
      <c r="AU22" s="1082"/>
      <c r="AV22" s="1070"/>
      <c r="AW22" s="2590"/>
      <c r="AX22" s="1082"/>
      <c r="AY22" s="2566" t="str">
        <f t="shared" si="19"/>
        <v/>
      </c>
      <c r="AZ22" s="2567"/>
      <c r="BA22" s="2567"/>
      <c r="BB22" s="2567"/>
      <c r="BC22" s="2567"/>
      <c r="BD22" s="2567"/>
      <c r="BE22" s="2567"/>
      <c r="BF22" s="53"/>
      <c r="BG22" s="53"/>
      <c r="BH22" s="53"/>
      <c r="BI22" s="53"/>
      <c r="BJ22" s="53"/>
      <c r="BK22" s="53"/>
      <c r="BL22" s="53"/>
      <c r="BM22" s="53"/>
      <c r="BN22" s="53"/>
      <c r="BO22" s="53"/>
      <c r="BV22" s="50"/>
      <c r="BW22" s="50"/>
      <c r="BX22" s="50"/>
      <c r="BY22" s="50"/>
      <c r="CA22" s="2596"/>
      <c r="CB22" s="2596"/>
      <c r="CC22" s="2596"/>
      <c r="CD22" s="2596"/>
      <c r="CE22" s="2596"/>
      <c r="CF22" s="2596"/>
      <c r="CM22" s="2596"/>
      <c r="CN22" s="2596"/>
      <c r="CO22" s="2596"/>
      <c r="CP22" s="2596"/>
      <c r="CQ22" s="2596"/>
      <c r="CR22" s="2597"/>
    </row>
    <row r="23" spans="1:101" ht="15" customHeight="1">
      <c r="A23" s="2598" t="s">
        <v>1447</v>
      </c>
      <c r="B23" s="672">
        <f t="shared" si="0"/>
        <v>0</v>
      </c>
      <c r="C23" s="546">
        <f t="shared" si="1"/>
        <v>0</v>
      </c>
      <c r="D23" s="547">
        <f t="shared" si="1"/>
        <v>0</v>
      </c>
      <c r="E23" s="1045"/>
      <c r="F23" s="1046"/>
      <c r="G23" s="1045"/>
      <c r="H23" s="1046"/>
      <c r="I23" s="1045"/>
      <c r="J23" s="1034"/>
      <c r="K23" s="1087"/>
      <c r="L23" s="1046"/>
      <c r="M23" s="1045"/>
      <c r="N23" s="1046"/>
      <c r="O23" s="1045"/>
      <c r="P23" s="1046"/>
      <c r="Q23" s="1045"/>
      <c r="R23" s="1046"/>
      <c r="S23" s="1045"/>
      <c r="T23" s="1046"/>
      <c r="U23" s="1045"/>
      <c r="V23" s="1046"/>
      <c r="W23" s="1045"/>
      <c r="X23" s="1046"/>
      <c r="Y23" s="1045"/>
      <c r="Z23" s="1046"/>
      <c r="AA23" s="1045"/>
      <c r="AB23" s="1046"/>
      <c r="AC23" s="1045"/>
      <c r="AD23" s="1046"/>
      <c r="AE23" s="1045"/>
      <c r="AF23" s="1046"/>
      <c r="AG23" s="1045"/>
      <c r="AH23" s="1046"/>
      <c r="AI23" s="1045"/>
      <c r="AJ23" s="1046"/>
      <c r="AK23" s="1045"/>
      <c r="AL23" s="1319"/>
      <c r="AM23" s="2599"/>
      <c r="AN23" s="1320"/>
      <c r="AO23" s="1321"/>
      <c r="AP23" s="1087"/>
      <c r="AQ23" s="2600"/>
      <c r="AR23" s="322"/>
      <c r="AS23" s="2589"/>
      <c r="AT23" s="1070"/>
      <c r="AU23" s="1082"/>
      <c r="AV23" s="1070"/>
      <c r="AW23" s="2590"/>
      <c r="AX23" s="1082"/>
      <c r="AY23" s="2566" t="str">
        <f t="shared" si="19"/>
        <v/>
      </c>
      <c r="AZ23" s="2567"/>
      <c r="BA23" s="2567"/>
      <c r="BB23" s="2567"/>
      <c r="BC23" s="2567"/>
      <c r="BD23" s="2567"/>
      <c r="BE23" s="2567"/>
      <c r="BF23" s="53"/>
      <c r="BG23" s="53"/>
      <c r="BH23" s="53"/>
      <c r="BI23" s="53"/>
      <c r="BJ23" s="53"/>
      <c r="BK23" s="53"/>
      <c r="BL23" s="53"/>
      <c r="BM23" s="53"/>
      <c r="BN23" s="53"/>
      <c r="BO23" s="53"/>
      <c r="BV23" s="50"/>
      <c r="BW23" s="50"/>
      <c r="BX23" s="50"/>
      <c r="BY23" s="50"/>
      <c r="CA23" s="2568" t="str">
        <f t="shared" si="13"/>
        <v/>
      </c>
      <c r="CB23" s="2568" t="str">
        <f t="shared" si="14"/>
        <v/>
      </c>
      <c r="CC23" s="2568" t="str">
        <f t="shared" si="15"/>
        <v/>
      </c>
      <c r="CD23" s="2568" t="str">
        <f t="shared" si="16"/>
        <v/>
      </c>
      <c r="CE23" s="2568" t="str">
        <f t="shared" ref="CE23:CF26" si="20">IF(AND($B23&gt;0,AQ23="")," *No olvide digitar la variable "&amp;AQ$17&amp;""&amp;". Digite CERO si no tiene",IF(AQ23&gt;$B23," *La variable "&amp;AQ$17&amp;""&amp;" No puede ser mayor al Total Ambos Sexos.",""))</f>
        <v/>
      </c>
      <c r="CF23" s="2568" t="str">
        <f>IF(AND($B23&gt;0,AR23="")," *No olvide digitar la variable "&amp;AR$17&amp;""&amp;". Digite CERO si no tiene",IF(AR23&gt;$B23," *La variable "&amp;AR$17&amp;""&amp;" No puede ser mayor al Total Ambos Sexos.",""))</f>
        <v/>
      </c>
      <c r="CM23" s="2569">
        <f t="shared" si="10"/>
        <v>0</v>
      </c>
      <c r="CN23" s="2569">
        <f t="shared" si="10"/>
        <v>0</v>
      </c>
      <c r="CO23" s="2569">
        <f t="shared" si="17"/>
        <v>0</v>
      </c>
      <c r="CP23" s="2569">
        <f t="shared" si="18"/>
        <v>0</v>
      </c>
      <c r="CQ23" s="2569">
        <f t="shared" ref="CQ23:CR26" si="21">IF(AND($B23&gt;0,AQ23=""),1,IF(AQ23&gt;$B23,1,0))</f>
        <v>0</v>
      </c>
      <c r="CR23" s="2570">
        <f>IF(AND($B23&gt;0,AR23=""),1,IF(AR23&gt;$B23,1,0))</f>
        <v>0</v>
      </c>
    </row>
    <row r="24" spans="1:101" ht="15" customHeight="1">
      <c r="A24" s="522" t="s">
        <v>1448</v>
      </c>
      <c r="B24" s="2601">
        <f t="shared" si="0"/>
        <v>0</v>
      </c>
      <c r="C24" s="2602">
        <f t="shared" si="1"/>
        <v>0</v>
      </c>
      <c r="D24" s="2603">
        <f t="shared" si="1"/>
        <v>0</v>
      </c>
      <c r="E24" s="2604"/>
      <c r="F24" s="2605"/>
      <c r="G24" s="2604"/>
      <c r="H24" s="2605"/>
      <c r="I24" s="2604"/>
      <c r="J24" s="2606"/>
      <c r="K24" s="2607"/>
      <c r="L24" s="2605"/>
      <c r="M24" s="2604"/>
      <c r="N24" s="2605"/>
      <c r="O24" s="2604"/>
      <c r="P24" s="2605"/>
      <c r="Q24" s="2604"/>
      <c r="R24" s="2605"/>
      <c r="S24" s="2604"/>
      <c r="T24" s="2605"/>
      <c r="U24" s="2604"/>
      <c r="V24" s="2605"/>
      <c r="W24" s="2604"/>
      <c r="X24" s="2605"/>
      <c r="Y24" s="2604"/>
      <c r="Z24" s="2605"/>
      <c r="AA24" s="2604"/>
      <c r="AB24" s="2605"/>
      <c r="AC24" s="2604"/>
      <c r="AD24" s="2605"/>
      <c r="AE24" s="2604"/>
      <c r="AF24" s="2605"/>
      <c r="AG24" s="2604"/>
      <c r="AH24" s="2605"/>
      <c r="AI24" s="2604"/>
      <c r="AJ24" s="2605"/>
      <c r="AK24" s="2604"/>
      <c r="AL24" s="2608"/>
      <c r="AM24" s="2609"/>
      <c r="AN24" s="2610"/>
      <c r="AO24" s="2611"/>
      <c r="AP24" s="2612"/>
      <c r="AQ24" s="2613"/>
      <c r="AR24" s="2614"/>
      <c r="AS24" s="2615"/>
      <c r="AT24" s="2616"/>
      <c r="AU24" s="2617"/>
      <c r="AV24" s="2616"/>
      <c r="AW24" s="2618"/>
      <c r="AX24" s="2617"/>
      <c r="AY24" s="2566" t="str">
        <f t="shared" si="19"/>
        <v/>
      </c>
      <c r="AZ24" s="2567"/>
      <c r="BA24" s="2567"/>
      <c r="BB24" s="2567"/>
      <c r="BC24" s="2567"/>
      <c r="BD24" s="2567"/>
      <c r="BE24" s="2567"/>
      <c r="BF24" s="53"/>
      <c r="BG24" s="53"/>
      <c r="BH24" s="53"/>
      <c r="BI24" s="53"/>
      <c r="BJ24" s="53"/>
      <c r="BK24" s="53"/>
      <c r="BL24" s="53"/>
      <c r="BM24" s="53"/>
      <c r="BN24" s="53"/>
      <c r="BO24" s="53"/>
      <c r="BV24" s="50"/>
      <c r="BW24" s="50"/>
      <c r="BX24" s="50"/>
      <c r="BY24" s="50"/>
      <c r="CA24" s="2568" t="str">
        <f t="shared" si="13"/>
        <v/>
      </c>
      <c r="CB24" s="2568" t="str">
        <f t="shared" si="14"/>
        <v/>
      </c>
      <c r="CC24" s="2619"/>
      <c r="CD24" s="2619"/>
      <c r="CE24" s="2568" t="str">
        <f t="shared" si="20"/>
        <v/>
      </c>
      <c r="CF24" s="2568" t="str">
        <f t="shared" si="20"/>
        <v/>
      </c>
      <c r="CM24" s="2569">
        <f t="shared" si="10"/>
        <v>0</v>
      </c>
      <c r="CN24" s="2569">
        <f t="shared" si="10"/>
        <v>0</v>
      </c>
      <c r="CO24" s="2619"/>
      <c r="CP24" s="2619"/>
      <c r="CQ24" s="2569">
        <f t="shared" si="21"/>
        <v>0</v>
      </c>
      <c r="CR24" s="2570">
        <f t="shared" si="21"/>
        <v>0</v>
      </c>
    </row>
    <row r="25" spans="1:101" ht="15" customHeight="1">
      <c r="A25" s="284" t="s">
        <v>1449</v>
      </c>
      <c r="B25" s="523">
        <f t="shared" si="0"/>
        <v>0</v>
      </c>
      <c r="C25" s="524">
        <f t="shared" si="1"/>
        <v>0</v>
      </c>
      <c r="D25" s="525">
        <f t="shared" si="1"/>
        <v>0</v>
      </c>
      <c r="E25" s="1013"/>
      <c r="F25" s="1014"/>
      <c r="G25" s="1013"/>
      <c r="H25" s="1014"/>
      <c r="I25" s="1013"/>
      <c r="J25" s="1015"/>
      <c r="K25" s="1077"/>
      <c r="L25" s="1014"/>
      <c r="M25" s="1013"/>
      <c r="N25" s="1014"/>
      <c r="O25" s="1013"/>
      <c r="P25" s="1014"/>
      <c r="Q25" s="1013"/>
      <c r="R25" s="1014"/>
      <c r="S25" s="1013"/>
      <c r="T25" s="1014"/>
      <c r="U25" s="1013"/>
      <c r="V25" s="1014"/>
      <c r="W25" s="1013"/>
      <c r="X25" s="1014"/>
      <c r="Y25" s="1013"/>
      <c r="Z25" s="1014"/>
      <c r="AA25" s="1013"/>
      <c r="AB25" s="1014"/>
      <c r="AC25" s="1013"/>
      <c r="AD25" s="1014"/>
      <c r="AE25" s="1013"/>
      <c r="AF25" s="1014"/>
      <c r="AG25" s="1013"/>
      <c r="AH25" s="1014"/>
      <c r="AI25" s="1013"/>
      <c r="AJ25" s="1014"/>
      <c r="AK25" s="1013"/>
      <c r="AL25" s="1318"/>
      <c r="AM25" s="2620"/>
      <c r="AN25" s="1078"/>
      <c r="AO25" s="2594"/>
      <c r="AP25" s="1071"/>
      <c r="AQ25" s="2588"/>
      <c r="AR25" s="283"/>
      <c r="AS25" s="2589"/>
      <c r="AT25" s="1070"/>
      <c r="AU25" s="1082"/>
      <c r="AV25" s="1070"/>
      <c r="AW25" s="2590"/>
      <c r="AX25" s="1082"/>
      <c r="AY25" s="2566" t="str">
        <f t="shared" si="19"/>
        <v/>
      </c>
      <c r="AZ25" s="2567"/>
      <c r="BA25" s="2567"/>
      <c r="BB25" s="2567"/>
      <c r="BC25" s="2567"/>
      <c r="BD25" s="2567"/>
      <c r="BE25" s="2567"/>
      <c r="BF25" s="53"/>
      <c r="BG25" s="53"/>
      <c r="BH25" s="53"/>
      <c r="BI25" s="53"/>
      <c r="BJ25" s="53"/>
      <c r="BK25" s="53"/>
      <c r="BL25" s="53"/>
      <c r="BM25" s="53"/>
      <c r="BN25" s="53"/>
      <c r="BO25" s="53"/>
      <c r="BV25" s="50"/>
      <c r="BW25" s="50"/>
      <c r="BX25" s="50"/>
      <c r="BY25" s="50"/>
      <c r="CA25" s="2568" t="str">
        <f t="shared" si="13"/>
        <v/>
      </c>
      <c r="CB25" s="2568" t="str">
        <f t="shared" si="14"/>
        <v/>
      </c>
      <c r="CC25" s="2619"/>
      <c r="CD25" s="2619"/>
      <c r="CE25" s="2568" t="str">
        <f t="shared" si="20"/>
        <v/>
      </c>
      <c r="CF25" s="2568" t="str">
        <f t="shared" si="20"/>
        <v/>
      </c>
      <c r="CM25" s="2569">
        <f t="shared" si="10"/>
        <v>0</v>
      </c>
      <c r="CN25" s="2569">
        <f t="shared" si="10"/>
        <v>0</v>
      </c>
      <c r="CO25" s="2619"/>
      <c r="CP25" s="2619"/>
      <c r="CQ25" s="2569">
        <f t="shared" si="21"/>
        <v>0</v>
      </c>
      <c r="CR25" s="2570">
        <f t="shared" si="21"/>
        <v>0</v>
      </c>
    </row>
    <row r="26" spans="1:101" ht="15" customHeight="1">
      <c r="A26" s="2621" t="s">
        <v>1450</v>
      </c>
      <c r="B26" s="518">
        <f t="shared" si="0"/>
        <v>0</v>
      </c>
      <c r="C26" s="519">
        <f t="shared" si="1"/>
        <v>0</v>
      </c>
      <c r="D26" s="2622">
        <f t="shared" si="1"/>
        <v>0</v>
      </c>
      <c r="E26" s="1055"/>
      <c r="F26" s="1093"/>
      <c r="G26" s="1055"/>
      <c r="H26" s="1093"/>
      <c r="I26" s="1055"/>
      <c r="J26" s="1386"/>
      <c r="K26" s="1375"/>
      <c r="L26" s="1093"/>
      <c r="M26" s="1055"/>
      <c r="N26" s="1093"/>
      <c r="O26" s="1055"/>
      <c r="P26" s="1093"/>
      <c r="Q26" s="1055"/>
      <c r="R26" s="1093"/>
      <c r="S26" s="1055"/>
      <c r="T26" s="1093"/>
      <c r="U26" s="1055"/>
      <c r="V26" s="1093"/>
      <c r="W26" s="1055"/>
      <c r="X26" s="1093"/>
      <c r="Y26" s="1055"/>
      <c r="Z26" s="1093"/>
      <c r="AA26" s="1055"/>
      <c r="AB26" s="1093"/>
      <c r="AC26" s="1055"/>
      <c r="AD26" s="1093"/>
      <c r="AE26" s="1055"/>
      <c r="AF26" s="1093"/>
      <c r="AG26" s="1055"/>
      <c r="AH26" s="1093"/>
      <c r="AI26" s="1055"/>
      <c r="AJ26" s="1093"/>
      <c r="AK26" s="1055"/>
      <c r="AL26" s="1094"/>
      <c r="AM26" s="2623"/>
      <c r="AN26" s="2624"/>
      <c r="AO26" s="2625"/>
      <c r="AP26" s="2626"/>
      <c r="AQ26" s="2600"/>
      <c r="AR26" s="322"/>
      <c r="AS26" s="2627"/>
      <c r="AT26" s="1327"/>
      <c r="AU26" s="2628"/>
      <c r="AV26" s="1327"/>
      <c r="AW26" s="2629"/>
      <c r="AX26" s="2628"/>
      <c r="AY26" s="2566" t="str">
        <f t="shared" si="19"/>
        <v/>
      </c>
      <c r="AZ26" s="2567"/>
      <c r="BA26" s="2567"/>
      <c r="BB26" s="2567"/>
      <c r="BC26" s="2567"/>
      <c r="BD26" s="2567"/>
      <c r="BE26" s="2567"/>
      <c r="BF26" s="53"/>
      <c r="BG26" s="53"/>
      <c r="BH26" s="53"/>
      <c r="BI26" s="53"/>
      <c r="BJ26" s="53"/>
      <c r="BK26" s="53"/>
      <c r="BL26" s="53"/>
      <c r="BM26" s="53"/>
      <c r="BN26" s="53"/>
      <c r="BO26" s="53"/>
      <c r="BV26" s="50"/>
      <c r="BW26" s="50"/>
      <c r="BX26" s="50"/>
      <c r="BY26" s="50"/>
      <c r="CA26" s="2568" t="str">
        <f t="shared" si="13"/>
        <v/>
      </c>
      <c r="CB26" s="2568" t="str">
        <f t="shared" si="14"/>
        <v/>
      </c>
      <c r="CC26" s="2619"/>
      <c r="CD26" s="2619"/>
      <c r="CE26" s="2568" t="str">
        <f t="shared" si="20"/>
        <v/>
      </c>
      <c r="CF26" s="2568" t="str">
        <f t="shared" si="20"/>
        <v/>
      </c>
      <c r="CM26" s="2569">
        <f t="shared" si="10"/>
        <v>0</v>
      </c>
      <c r="CN26" s="2569">
        <f t="shared" si="10"/>
        <v>0</v>
      </c>
      <c r="CO26" s="2619"/>
      <c r="CP26" s="2619"/>
      <c r="CQ26" s="2569">
        <f t="shared" si="21"/>
        <v>0</v>
      </c>
      <c r="CR26" s="2570">
        <f t="shared" si="21"/>
        <v>0</v>
      </c>
    </row>
    <row r="27" spans="1:101" s="2558" customFormat="1" ht="18" customHeight="1">
      <c r="A27" s="5691" t="s">
        <v>1451</v>
      </c>
      <c r="B27" s="5691"/>
      <c r="C27" s="5691"/>
      <c r="D27" s="5691"/>
      <c r="E27" s="5691"/>
      <c r="F27" s="5691"/>
      <c r="G27" s="5691"/>
      <c r="H27" s="5691"/>
      <c r="I27" s="465"/>
      <c r="J27" s="465"/>
      <c r="K27" s="465"/>
      <c r="L27" s="465"/>
      <c r="M27" s="465"/>
      <c r="N27" s="465"/>
      <c r="X27" s="970"/>
      <c r="Y27" s="970"/>
      <c r="Z27" s="970"/>
      <c r="AA27" s="970"/>
      <c r="AB27" s="970"/>
      <c r="AC27" s="970"/>
      <c r="AD27" s="970"/>
      <c r="AE27" s="970"/>
      <c r="AF27" s="970"/>
      <c r="AG27" s="970"/>
      <c r="AH27" s="970"/>
      <c r="AI27" s="970"/>
      <c r="AJ27" s="970"/>
      <c r="AK27" s="970"/>
      <c r="AL27" s="970"/>
      <c r="AM27" s="2630"/>
      <c r="AN27" s="2563"/>
      <c r="AO27" s="2631"/>
      <c r="AP27" s="2631"/>
      <c r="AQ27" s="2632"/>
      <c r="AR27" s="2633"/>
      <c r="AS27" s="2633"/>
      <c r="AT27" s="2633"/>
      <c r="AU27" s="2633"/>
      <c r="AV27" s="2633"/>
      <c r="AW27" s="2633"/>
      <c r="AX27" s="2633"/>
      <c r="AY27" s="2633"/>
      <c r="AZ27" s="2563"/>
      <c r="BA27" s="2563"/>
      <c r="BB27" s="2563"/>
      <c r="BC27" s="2563"/>
      <c r="BD27" s="2563"/>
      <c r="BE27" s="2563"/>
      <c r="BF27" s="2563"/>
      <c r="BG27" s="2563"/>
      <c r="BH27" s="2563"/>
      <c r="BI27" s="2563"/>
      <c r="BV27" s="2563"/>
      <c r="BW27" s="2563"/>
      <c r="BX27" s="2634"/>
      <c r="BY27" s="2634"/>
    </row>
    <row r="28" spans="1:101" ht="16.350000000000001" customHeight="1">
      <c r="A28" s="6042" t="s">
        <v>41</v>
      </c>
      <c r="B28" s="5642" t="s">
        <v>1421</v>
      </c>
      <c r="C28" s="5627"/>
      <c r="D28" s="5624"/>
      <c r="E28" s="5615" t="s">
        <v>115</v>
      </c>
      <c r="F28" s="5616"/>
      <c r="G28" s="5616"/>
      <c r="H28" s="5616"/>
      <c r="I28" s="5616"/>
      <c r="J28" s="5616"/>
      <c r="K28" s="5616"/>
      <c r="L28" s="5616"/>
      <c r="M28" s="5616"/>
      <c r="N28" s="5616"/>
      <c r="O28" s="5616"/>
      <c r="P28" s="5616"/>
      <c r="Q28" s="5616"/>
      <c r="R28" s="5616"/>
      <c r="S28" s="5616"/>
      <c r="T28" s="5616"/>
      <c r="U28" s="5616"/>
      <c r="V28" s="5616"/>
      <c r="W28" s="5616"/>
      <c r="X28" s="5616"/>
      <c r="Y28" s="5616"/>
      <c r="Z28" s="5616"/>
      <c r="AA28" s="5616"/>
      <c r="AB28" s="5616"/>
      <c r="AC28" s="5616"/>
      <c r="AD28" s="5616"/>
      <c r="AE28" s="5616"/>
      <c r="AF28" s="5616"/>
      <c r="AG28" s="5616"/>
      <c r="AH28" s="5616"/>
      <c r="AI28" s="5616"/>
      <c r="AJ28" s="5616"/>
      <c r="AK28" s="5616"/>
      <c r="AL28" s="5617"/>
      <c r="AM28" s="6501" t="s">
        <v>625</v>
      </c>
      <c r="AN28" s="5624" t="s">
        <v>1425</v>
      </c>
      <c r="AO28" s="2635"/>
      <c r="AP28" s="2635"/>
      <c r="AQ28" s="2566"/>
      <c r="AR28" s="2567"/>
      <c r="AS28" s="2567"/>
      <c r="AT28" s="2567"/>
      <c r="AU28" s="2567"/>
      <c r="AV28" s="2567"/>
      <c r="AW28" s="2567"/>
      <c r="AX28" s="2567"/>
      <c r="AY28" s="2567"/>
      <c r="AZ28" s="53"/>
      <c r="BA28" s="53"/>
      <c r="BB28" s="53"/>
      <c r="BC28" s="53"/>
      <c r="BD28" s="53"/>
      <c r="BE28" s="53"/>
      <c r="BF28" s="53"/>
      <c r="BG28" s="53"/>
      <c r="BH28" s="53"/>
      <c r="BI28" s="53"/>
    </row>
    <row r="29" spans="1:101" ht="16.350000000000001" customHeight="1">
      <c r="A29" s="6043"/>
      <c r="B29" s="5659"/>
      <c r="C29" s="5731"/>
      <c r="D29" s="5625"/>
      <c r="E29" s="5615" t="s">
        <v>1452</v>
      </c>
      <c r="F29" s="5652"/>
      <c r="G29" s="5615" t="s">
        <v>1453</v>
      </c>
      <c r="H29" s="5652"/>
      <c r="I29" s="5615" t="s">
        <v>1454</v>
      </c>
      <c r="J29" s="5652"/>
      <c r="K29" s="5615" t="s">
        <v>1455</v>
      </c>
      <c r="L29" s="5652"/>
      <c r="M29" s="5615" t="s">
        <v>1456</v>
      </c>
      <c r="N29" s="5652"/>
      <c r="O29" s="5647" t="s">
        <v>1457</v>
      </c>
      <c r="P29" s="5648"/>
      <c r="Q29" s="5647" t="s">
        <v>1458</v>
      </c>
      <c r="R29" s="5648"/>
      <c r="S29" s="5647" t="s">
        <v>1459</v>
      </c>
      <c r="T29" s="5648"/>
      <c r="U29" s="5647" t="s">
        <v>1460</v>
      </c>
      <c r="V29" s="5648"/>
      <c r="W29" s="5647" t="s">
        <v>1461</v>
      </c>
      <c r="X29" s="5648"/>
      <c r="Y29" s="5647" t="s">
        <v>1462</v>
      </c>
      <c r="Z29" s="5648"/>
      <c r="AA29" s="5647" t="s">
        <v>1463</v>
      </c>
      <c r="AB29" s="5648"/>
      <c r="AC29" s="5647" t="s">
        <v>1464</v>
      </c>
      <c r="AD29" s="5648"/>
      <c r="AE29" s="5647" t="s">
        <v>1465</v>
      </c>
      <c r="AF29" s="5648"/>
      <c r="AG29" s="5647" t="s">
        <v>1466</v>
      </c>
      <c r="AH29" s="5648"/>
      <c r="AI29" s="5647" t="s">
        <v>1467</v>
      </c>
      <c r="AJ29" s="5648"/>
      <c r="AK29" s="5647" t="s">
        <v>1468</v>
      </c>
      <c r="AL29" s="5686"/>
      <c r="AM29" s="6546"/>
      <c r="AN29" s="5645"/>
      <c r="AO29" s="2635"/>
      <c r="AP29" s="2635"/>
      <c r="AQ29" s="2566"/>
      <c r="AR29" s="2567"/>
      <c r="AS29" s="2567"/>
      <c r="AT29" s="2567"/>
      <c r="AU29" s="2567"/>
      <c r="AV29" s="2567"/>
      <c r="AW29" s="2567"/>
      <c r="AX29" s="2567"/>
      <c r="AY29" s="2567"/>
      <c r="AZ29" s="53"/>
      <c r="BA29" s="53"/>
      <c r="BB29" s="53"/>
      <c r="BC29" s="53"/>
      <c r="BD29" s="53"/>
      <c r="BE29" s="53"/>
      <c r="BF29" s="53"/>
      <c r="BG29" s="53"/>
      <c r="BH29" s="53"/>
      <c r="BI29" s="53"/>
    </row>
    <row r="30" spans="1:101" ht="16.350000000000001" customHeight="1">
      <c r="A30" s="6044"/>
      <c r="B30" s="194" t="s">
        <v>93</v>
      </c>
      <c r="C30" s="2564" t="s">
        <v>482</v>
      </c>
      <c r="D30" s="231" t="s">
        <v>73</v>
      </c>
      <c r="E30" s="58" t="s">
        <v>482</v>
      </c>
      <c r="F30" s="76" t="s">
        <v>73</v>
      </c>
      <c r="G30" s="58" t="s">
        <v>482</v>
      </c>
      <c r="H30" s="76" t="s">
        <v>73</v>
      </c>
      <c r="I30" s="58" t="s">
        <v>482</v>
      </c>
      <c r="J30" s="76" t="s">
        <v>73</v>
      </c>
      <c r="K30" s="58" t="s">
        <v>482</v>
      </c>
      <c r="L30" s="76" t="s">
        <v>73</v>
      </c>
      <c r="M30" s="58" t="s">
        <v>482</v>
      </c>
      <c r="N30" s="76" t="s">
        <v>73</v>
      </c>
      <c r="O30" s="58" t="s">
        <v>482</v>
      </c>
      <c r="P30" s="76" t="s">
        <v>73</v>
      </c>
      <c r="Q30" s="58" t="s">
        <v>482</v>
      </c>
      <c r="R30" s="76" t="s">
        <v>73</v>
      </c>
      <c r="S30" s="58" t="s">
        <v>482</v>
      </c>
      <c r="T30" s="76" t="s">
        <v>73</v>
      </c>
      <c r="U30" s="58" t="s">
        <v>482</v>
      </c>
      <c r="V30" s="76" t="s">
        <v>73</v>
      </c>
      <c r="W30" s="58" t="s">
        <v>482</v>
      </c>
      <c r="X30" s="76" t="s">
        <v>73</v>
      </c>
      <c r="Y30" s="58" t="s">
        <v>482</v>
      </c>
      <c r="Z30" s="76" t="s">
        <v>73</v>
      </c>
      <c r="AA30" s="58" t="s">
        <v>482</v>
      </c>
      <c r="AB30" s="76" t="s">
        <v>73</v>
      </c>
      <c r="AC30" s="58" t="s">
        <v>482</v>
      </c>
      <c r="AD30" s="76" t="s">
        <v>73</v>
      </c>
      <c r="AE30" s="58" t="s">
        <v>482</v>
      </c>
      <c r="AF30" s="76" t="s">
        <v>73</v>
      </c>
      <c r="AG30" s="58" t="s">
        <v>482</v>
      </c>
      <c r="AH30" s="76" t="s">
        <v>73</v>
      </c>
      <c r="AI30" s="58" t="s">
        <v>482</v>
      </c>
      <c r="AJ30" s="76" t="s">
        <v>73</v>
      </c>
      <c r="AK30" s="58" t="s">
        <v>482</v>
      </c>
      <c r="AL30" s="60" t="s">
        <v>73</v>
      </c>
      <c r="AM30" s="6502"/>
      <c r="AN30" s="5625"/>
      <c r="AO30" s="2635"/>
      <c r="AP30" s="2635"/>
      <c r="AQ30" s="2566"/>
      <c r="AR30" s="2567"/>
      <c r="AS30" s="2567"/>
      <c r="AT30" s="2567"/>
      <c r="AU30" s="2567"/>
      <c r="AV30" s="2567"/>
      <c r="AW30" s="2567"/>
      <c r="AX30" s="2567"/>
      <c r="AY30" s="2567"/>
      <c r="AZ30" s="53"/>
      <c r="BA30" s="53"/>
      <c r="BB30" s="53"/>
      <c r="BC30" s="53"/>
      <c r="BD30" s="53"/>
      <c r="BE30" s="53"/>
      <c r="BF30" s="53"/>
      <c r="BG30" s="53"/>
      <c r="BH30" s="53"/>
      <c r="BI30" s="53"/>
    </row>
    <row r="31" spans="1:101" ht="15" customHeight="1">
      <c r="A31" s="277" t="s">
        <v>987</v>
      </c>
      <c r="B31" s="486">
        <f t="shared" si="0"/>
        <v>0</v>
      </c>
      <c r="C31" s="514">
        <f t="shared" si="1"/>
        <v>0</v>
      </c>
      <c r="D31" s="488">
        <f t="shared" si="1"/>
        <v>0</v>
      </c>
      <c r="E31" s="1030"/>
      <c r="F31" s="1187"/>
      <c r="G31" s="1030"/>
      <c r="H31" s="1187"/>
      <c r="I31" s="1030"/>
      <c r="J31" s="1267"/>
      <c r="K31" s="1030"/>
      <c r="L31" s="1267"/>
      <c r="M31" s="1030"/>
      <c r="N31" s="1267"/>
      <c r="O31" s="2583"/>
      <c r="P31" s="1267"/>
      <c r="Q31" s="2583"/>
      <c r="R31" s="1267"/>
      <c r="S31" s="2583"/>
      <c r="T31" s="1267"/>
      <c r="U31" s="2583"/>
      <c r="V31" s="1267"/>
      <c r="W31" s="2583"/>
      <c r="X31" s="1267"/>
      <c r="Y31" s="2583"/>
      <c r="Z31" s="1267"/>
      <c r="AA31" s="2583"/>
      <c r="AB31" s="1267"/>
      <c r="AC31" s="2583"/>
      <c r="AD31" s="1267"/>
      <c r="AE31" s="2583"/>
      <c r="AF31" s="1267"/>
      <c r="AG31" s="2583"/>
      <c r="AH31" s="1267"/>
      <c r="AI31" s="2583"/>
      <c r="AJ31" s="1267"/>
      <c r="AK31" s="2583"/>
      <c r="AL31" s="1269"/>
      <c r="AM31" s="2636"/>
      <c r="AN31" s="1004"/>
      <c r="AO31" s="2635" t="str">
        <f>CA31&amp;CB31</f>
        <v/>
      </c>
      <c r="AP31" s="2635"/>
      <c r="AQ31" s="2566"/>
      <c r="AR31" s="2567"/>
      <c r="AS31" s="2567"/>
      <c r="AT31" s="2567"/>
      <c r="AU31" s="2567"/>
      <c r="AV31" s="2567"/>
      <c r="AW31" s="2567"/>
      <c r="AX31" s="2567"/>
      <c r="AY31" s="2567"/>
      <c r="AZ31" s="53"/>
      <c r="BA31" s="53"/>
      <c r="BB31" s="53"/>
      <c r="BC31" s="53"/>
      <c r="BD31" s="53"/>
      <c r="BE31" s="53"/>
      <c r="BF31" s="53"/>
      <c r="BG31" s="53"/>
      <c r="BH31" s="53"/>
      <c r="BI31" s="53"/>
      <c r="CA31" s="2568" t="str">
        <f t="shared" ref="CA31:CA36" si="22">IF(AND($B31&gt;0,AM31="")," *No olvide digitar la variable "&amp;AM$28&amp;""&amp;". Digite CERO si no tiene",IF(AM31&gt;$B31," *La variable "&amp;AM$28&amp;""&amp;" No puede ser mayor al Total Ambos Sexos.",""))</f>
        <v/>
      </c>
      <c r="CB31" s="2568" t="str">
        <f>IF(AND($B31&gt;0,AN31="")," *No olvide digitar la variable "&amp;AN$28&amp;""&amp;". Digite CERO si no tiene",IF(B31&gt;AN31," *La variable "&amp;AN$28&amp;""&amp;" No puede ser menor al Total Ambos Sexos.",""))</f>
        <v/>
      </c>
      <c r="CM31" s="2569">
        <f t="shared" si="10"/>
        <v>0</v>
      </c>
      <c r="CN31" s="2569">
        <f>IF(AND($B31&gt;0,AN31=""),1,IF(B31&gt;$AN31,1,0))</f>
        <v>0</v>
      </c>
    </row>
    <row r="32" spans="1:101" ht="15" customHeight="1">
      <c r="A32" s="284" t="s">
        <v>1469</v>
      </c>
      <c r="B32" s="523">
        <f t="shared" si="0"/>
        <v>0</v>
      </c>
      <c r="C32" s="524">
        <f t="shared" si="1"/>
        <v>0</v>
      </c>
      <c r="D32" s="525">
        <f t="shared" si="1"/>
        <v>0</v>
      </c>
      <c r="E32" s="1030"/>
      <c r="F32" s="1187"/>
      <c r="G32" s="1030"/>
      <c r="H32" s="1187"/>
      <c r="I32" s="1030"/>
      <c r="J32" s="1267"/>
      <c r="K32" s="1030"/>
      <c r="L32" s="1267"/>
      <c r="M32" s="1030"/>
      <c r="N32" s="1267"/>
      <c r="O32" s="2583"/>
      <c r="P32" s="1267"/>
      <c r="Q32" s="2583"/>
      <c r="R32" s="1267"/>
      <c r="S32" s="2583"/>
      <c r="T32" s="1267"/>
      <c r="U32" s="2583"/>
      <c r="V32" s="1267"/>
      <c r="W32" s="2583"/>
      <c r="X32" s="1267"/>
      <c r="Y32" s="2583"/>
      <c r="Z32" s="1267"/>
      <c r="AA32" s="2583"/>
      <c r="AB32" s="1267"/>
      <c r="AC32" s="2583"/>
      <c r="AD32" s="1267"/>
      <c r="AE32" s="2583"/>
      <c r="AF32" s="1267"/>
      <c r="AG32" s="2583"/>
      <c r="AH32" s="1267"/>
      <c r="AI32" s="2583"/>
      <c r="AJ32" s="1267"/>
      <c r="AK32" s="2583"/>
      <c r="AL32" s="1269"/>
      <c r="AM32" s="2637"/>
      <c r="AN32" s="2638"/>
      <c r="AO32" s="2635" t="str">
        <f t="shared" ref="AO32:AO36" si="23">CA32</f>
        <v/>
      </c>
      <c r="AP32" s="2635"/>
      <c r="AQ32" s="2566"/>
      <c r="AR32" s="2567"/>
      <c r="AS32" s="2567"/>
      <c r="AT32" s="2567"/>
      <c r="AU32" s="2567"/>
      <c r="AV32" s="2567"/>
      <c r="AW32" s="2567"/>
      <c r="AX32" s="2567"/>
      <c r="AY32" s="2567"/>
      <c r="AZ32" s="53"/>
      <c r="BA32" s="53"/>
      <c r="BB32" s="53"/>
      <c r="BC32" s="53"/>
      <c r="BD32" s="53"/>
      <c r="BE32" s="53"/>
      <c r="BF32" s="53"/>
      <c r="BG32" s="53"/>
      <c r="BH32" s="53"/>
      <c r="BI32" s="53"/>
      <c r="CA32" s="2568" t="str">
        <f t="shared" si="22"/>
        <v/>
      </c>
      <c r="CM32" s="2569">
        <f t="shared" si="10"/>
        <v>0</v>
      </c>
    </row>
    <row r="33" spans="1:96" ht="15" customHeight="1">
      <c r="A33" s="284" t="s">
        <v>1470</v>
      </c>
      <c r="B33" s="523">
        <f t="shared" si="0"/>
        <v>0</v>
      </c>
      <c r="C33" s="524">
        <f t="shared" si="1"/>
        <v>0</v>
      </c>
      <c r="D33" s="525">
        <f t="shared" si="1"/>
        <v>0</v>
      </c>
      <c r="E33" s="1013"/>
      <c r="F33" s="1014"/>
      <c r="G33" s="1013"/>
      <c r="H33" s="1014"/>
      <c r="I33" s="1013"/>
      <c r="J33" s="1015"/>
      <c r="K33" s="1013"/>
      <c r="L33" s="1015"/>
      <c r="M33" s="1013"/>
      <c r="N33" s="1015"/>
      <c r="O33" s="1023"/>
      <c r="P33" s="1015"/>
      <c r="Q33" s="1023"/>
      <c r="R33" s="1015"/>
      <c r="S33" s="1023"/>
      <c r="T33" s="1015"/>
      <c r="U33" s="1023"/>
      <c r="V33" s="1015"/>
      <c r="W33" s="1023"/>
      <c r="X33" s="1015"/>
      <c r="Y33" s="1023"/>
      <c r="Z33" s="1015"/>
      <c r="AA33" s="1023"/>
      <c r="AB33" s="1015"/>
      <c r="AC33" s="1023"/>
      <c r="AD33" s="1015"/>
      <c r="AE33" s="1023"/>
      <c r="AF33" s="1015"/>
      <c r="AG33" s="1023"/>
      <c r="AH33" s="1015"/>
      <c r="AI33" s="1023"/>
      <c r="AJ33" s="1015"/>
      <c r="AK33" s="1023"/>
      <c r="AL33" s="1024"/>
      <c r="AM33" s="2639"/>
      <c r="AN33" s="2638"/>
      <c r="AO33" s="2635" t="str">
        <f t="shared" si="23"/>
        <v/>
      </c>
      <c r="AP33" s="2635"/>
      <c r="AQ33" s="2566"/>
      <c r="AR33" s="2567"/>
      <c r="AS33" s="2567"/>
      <c r="AT33" s="2567"/>
      <c r="AU33" s="2567"/>
      <c r="AV33" s="2567"/>
      <c r="AW33" s="2567"/>
      <c r="AX33" s="2567"/>
      <c r="AY33" s="2567"/>
      <c r="AZ33" s="53"/>
      <c r="BA33" s="53"/>
      <c r="BB33" s="53"/>
      <c r="BC33" s="53"/>
      <c r="BD33" s="53"/>
      <c r="BE33" s="53"/>
      <c r="BF33" s="53"/>
      <c r="BG33" s="53"/>
      <c r="BH33" s="53"/>
      <c r="BI33" s="53"/>
      <c r="CA33" s="2568" t="str">
        <f t="shared" si="22"/>
        <v/>
      </c>
      <c r="CM33" s="2569">
        <f t="shared" si="10"/>
        <v>0</v>
      </c>
    </row>
    <row r="34" spans="1:96" ht="15" customHeight="1">
      <c r="A34" s="284" t="s">
        <v>1471</v>
      </c>
      <c r="B34" s="523">
        <f t="shared" si="0"/>
        <v>0</v>
      </c>
      <c r="C34" s="524">
        <f t="shared" si="1"/>
        <v>0</v>
      </c>
      <c r="D34" s="525">
        <f t="shared" si="1"/>
        <v>0</v>
      </c>
      <c r="E34" s="1013"/>
      <c r="F34" s="1014"/>
      <c r="G34" s="1013"/>
      <c r="H34" s="1014"/>
      <c r="I34" s="1013"/>
      <c r="J34" s="1015"/>
      <c r="K34" s="1013"/>
      <c r="L34" s="1015"/>
      <c r="M34" s="1013"/>
      <c r="N34" s="1015"/>
      <c r="O34" s="1023"/>
      <c r="P34" s="1015"/>
      <c r="Q34" s="1023"/>
      <c r="R34" s="1015"/>
      <c r="S34" s="1023"/>
      <c r="T34" s="1015"/>
      <c r="U34" s="1023"/>
      <c r="V34" s="1015"/>
      <c r="W34" s="1023"/>
      <c r="X34" s="1015"/>
      <c r="Y34" s="1023"/>
      <c r="Z34" s="1015"/>
      <c r="AA34" s="1023"/>
      <c r="AB34" s="1015"/>
      <c r="AC34" s="1023"/>
      <c r="AD34" s="1015"/>
      <c r="AE34" s="1023"/>
      <c r="AF34" s="1015"/>
      <c r="AG34" s="1023"/>
      <c r="AH34" s="1015"/>
      <c r="AI34" s="1023"/>
      <c r="AJ34" s="1015"/>
      <c r="AK34" s="1023"/>
      <c r="AL34" s="1024"/>
      <c r="AM34" s="2639"/>
      <c r="AN34" s="2638"/>
      <c r="AO34" s="2635" t="str">
        <f t="shared" si="23"/>
        <v/>
      </c>
      <c r="AP34" s="2635"/>
      <c r="AQ34" s="2566"/>
      <c r="AR34" s="2567"/>
      <c r="AS34" s="2567"/>
      <c r="AT34" s="2567"/>
      <c r="AU34" s="2567"/>
      <c r="AV34" s="2567"/>
      <c r="AW34" s="2567"/>
      <c r="AX34" s="2567"/>
      <c r="AY34" s="2567"/>
      <c r="AZ34" s="53"/>
      <c r="BA34" s="53"/>
      <c r="BB34" s="53"/>
      <c r="BC34" s="53"/>
      <c r="BD34" s="53"/>
      <c r="BE34" s="53"/>
      <c r="BF34" s="53"/>
      <c r="BG34" s="53"/>
      <c r="BH34" s="53"/>
      <c r="BI34" s="53"/>
      <c r="CA34" s="2568" t="str">
        <f t="shared" si="22"/>
        <v/>
      </c>
      <c r="CM34" s="2569">
        <f t="shared" si="10"/>
        <v>0</v>
      </c>
    </row>
    <row r="35" spans="1:96" ht="15" customHeight="1">
      <c r="A35" s="284" t="s">
        <v>113</v>
      </c>
      <c r="B35" s="523">
        <f t="shared" si="0"/>
        <v>0</v>
      </c>
      <c r="C35" s="524">
        <f t="shared" si="1"/>
        <v>0</v>
      </c>
      <c r="D35" s="525">
        <f t="shared" si="1"/>
        <v>0</v>
      </c>
      <c r="E35" s="1013"/>
      <c r="F35" s="1014"/>
      <c r="G35" s="1013"/>
      <c r="H35" s="1014"/>
      <c r="I35" s="1013"/>
      <c r="J35" s="1015"/>
      <c r="K35" s="1013"/>
      <c r="L35" s="1015"/>
      <c r="M35" s="1013"/>
      <c r="N35" s="1015"/>
      <c r="O35" s="1023"/>
      <c r="P35" s="1015"/>
      <c r="Q35" s="1023"/>
      <c r="R35" s="1015"/>
      <c r="S35" s="1023"/>
      <c r="T35" s="1015"/>
      <c r="U35" s="1023"/>
      <c r="V35" s="1015"/>
      <c r="W35" s="1023"/>
      <c r="X35" s="1015"/>
      <c r="Y35" s="1023"/>
      <c r="Z35" s="1015"/>
      <c r="AA35" s="1023"/>
      <c r="AB35" s="1015"/>
      <c r="AC35" s="1023"/>
      <c r="AD35" s="1015"/>
      <c r="AE35" s="1023"/>
      <c r="AF35" s="1015"/>
      <c r="AG35" s="1023"/>
      <c r="AH35" s="1015"/>
      <c r="AI35" s="1023"/>
      <c r="AJ35" s="1015"/>
      <c r="AK35" s="1023"/>
      <c r="AL35" s="1024"/>
      <c r="AM35" s="2639"/>
      <c r="AN35" s="2638"/>
      <c r="AO35" s="2635" t="str">
        <f t="shared" si="23"/>
        <v/>
      </c>
      <c r="AP35" s="2635"/>
      <c r="AQ35" s="2566"/>
      <c r="AR35" s="2567"/>
      <c r="AS35" s="2567"/>
      <c r="AT35" s="2567"/>
      <c r="AU35" s="2567"/>
      <c r="AV35" s="2567"/>
      <c r="AW35" s="2567"/>
      <c r="AX35" s="2567"/>
      <c r="AY35" s="2567"/>
      <c r="AZ35" s="53"/>
      <c r="BA35" s="53"/>
      <c r="BB35" s="53"/>
      <c r="BC35" s="53"/>
      <c r="BD35" s="53"/>
      <c r="BE35" s="53"/>
      <c r="BF35" s="53"/>
      <c r="BG35" s="53"/>
      <c r="BH35" s="53"/>
      <c r="BI35" s="53"/>
      <c r="CA35" s="2568" t="str">
        <f t="shared" si="22"/>
        <v/>
      </c>
      <c r="CM35" s="2569">
        <f t="shared" si="10"/>
        <v>0</v>
      </c>
    </row>
    <row r="36" spans="1:96" ht="15" customHeight="1">
      <c r="A36" s="490" t="s">
        <v>1106</v>
      </c>
      <c r="B36" s="491">
        <f t="shared" si="0"/>
        <v>0</v>
      </c>
      <c r="C36" s="526">
        <f t="shared" si="1"/>
        <v>0</v>
      </c>
      <c r="D36" s="493">
        <f t="shared" si="1"/>
        <v>0</v>
      </c>
      <c r="E36" s="1053"/>
      <c r="F36" s="1054"/>
      <c r="G36" s="1053"/>
      <c r="H36" s="1054"/>
      <c r="I36" s="1053"/>
      <c r="J36" s="1052"/>
      <c r="K36" s="1053"/>
      <c r="L36" s="1052"/>
      <c r="M36" s="1053"/>
      <c r="N36" s="1052"/>
      <c r="O36" s="1056"/>
      <c r="P36" s="1052"/>
      <c r="Q36" s="1056"/>
      <c r="R36" s="1052"/>
      <c r="S36" s="1056"/>
      <c r="T36" s="1052"/>
      <c r="U36" s="1056"/>
      <c r="V36" s="1052"/>
      <c r="W36" s="1056"/>
      <c r="X36" s="1052"/>
      <c r="Y36" s="1056"/>
      <c r="Z36" s="1052"/>
      <c r="AA36" s="1056"/>
      <c r="AB36" s="1052"/>
      <c r="AC36" s="1056"/>
      <c r="AD36" s="1052"/>
      <c r="AE36" s="1056"/>
      <c r="AF36" s="1052"/>
      <c r="AG36" s="1056"/>
      <c r="AH36" s="1052"/>
      <c r="AI36" s="1056"/>
      <c r="AJ36" s="1052"/>
      <c r="AK36" s="1056"/>
      <c r="AL36" s="1057"/>
      <c r="AM36" s="2640"/>
      <c r="AN36" s="2641"/>
      <c r="AO36" s="2635" t="str">
        <f t="shared" si="23"/>
        <v/>
      </c>
      <c r="AP36" s="2635"/>
      <c r="AQ36" s="2566"/>
      <c r="AR36" s="2567"/>
      <c r="AS36" s="2567"/>
      <c r="AT36" s="2567"/>
      <c r="AU36" s="2567"/>
      <c r="AV36" s="2567"/>
      <c r="AW36" s="2567"/>
      <c r="AX36" s="2567"/>
      <c r="AY36" s="2567"/>
      <c r="AZ36" s="53"/>
      <c r="BA36" s="53"/>
      <c r="BB36" s="53"/>
      <c r="BC36" s="53"/>
      <c r="BD36" s="53"/>
      <c r="BE36" s="53"/>
      <c r="BF36" s="53"/>
      <c r="BG36" s="53"/>
      <c r="BH36" s="53"/>
      <c r="BI36" s="53"/>
      <c r="CA36" s="2568" t="str">
        <f t="shared" si="22"/>
        <v/>
      </c>
      <c r="CM36" s="2569">
        <f t="shared" si="10"/>
        <v>0</v>
      </c>
    </row>
    <row r="37" spans="1:96" s="2558" customFormat="1" ht="18" customHeight="1">
      <c r="A37" s="763" t="s">
        <v>1472</v>
      </c>
      <c r="B37" s="763"/>
      <c r="C37" s="763"/>
      <c r="D37" s="763"/>
      <c r="E37" s="763"/>
      <c r="F37" s="763"/>
      <c r="G37" s="465"/>
      <c r="H37" s="465"/>
      <c r="I37" s="465"/>
      <c r="J37" s="465"/>
      <c r="K37" s="763"/>
      <c r="L37" s="465"/>
      <c r="M37" s="465"/>
      <c r="N37" s="465"/>
      <c r="AP37" s="2563"/>
      <c r="AQ37" s="2563"/>
      <c r="AR37" s="2563"/>
      <c r="AS37" s="2563"/>
      <c r="AT37" s="2563"/>
      <c r="AU37" s="2563"/>
      <c r="AV37" s="2563"/>
      <c r="AW37" s="2563"/>
      <c r="AX37" s="2563"/>
      <c r="AY37" s="2563"/>
      <c r="AZ37" s="2563"/>
      <c r="BA37" s="2563"/>
      <c r="BB37" s="2563"/>
      <c r="BC37" s="2563"/>
      <c r="BD37" s="2563"/>
      <c r="BE37" s="2563"/>
      <c r="BF37" s="2563"/>
      <c r="BG37" s="2563"/>
      <c r="BH37" s="2563"/>
      <c r="BI37" s="2563"/>
      <c r="BV37" s="2563"/>
      <c r="BW37" s="2563"/>
      <c r="BX37" s="2563"/>
      <c r="BY37" s="2563"/>
    </row>
    <row r="38" spans="1:96" ht="16.350000000000001" customHeight="1">
      <c r="A38" s="6042" t="s">
        <v>41</v>
      </c>
      <c r="B38" s="5642" t="s">
        <v>1421</v>
      </c>
      <c r="C38" s="5627"/>
      <c r="D38" s="5624"/>
      <c r="E38" s="5646" t="s">
        <v>115</v>
      </c>
      <c r="F38" s="5646"/>
      <c r="G38" s="5646"/>
      <c r="H38" s="5646"/>
      <c r="I38" s="5646"/>
      <c r="J38" s="5646"/>
      <c r="K38" s="5646"/>
      <c r="L38" s="5646"/>
      <c r="M38" s="5646"/>
      <c r="N38" s="5646"/>
      <c r="O38" s="5646"/>
      <c r="P38" s="5646"/>
      <c r="Q38" s="5646"/>
      <c r="R38" s="5646"/>
      <c r="S38" s="5646"/>
      <c r="T38" s="5646"/>
      <c r="U38" s="5646"/>
      <c r="V38" s="5646"/>
      <c r="W38" s="5646"/>
      <c r="X38" s="5646"/>
      <c r="Y38" s="5646"/>
      <c r="Z38" s="5646"/>
      <c r="AA38" s="5646"/>
      <c r="AB38" s="5646"/>
      <c r="AC38" s="5646"/>
      <c r="AD38" s="5646"/>
      <c r="AE38" s="5646"/>
      <c r="AF38" s="5646"/>
      <c r="AG38" s="5646"/>
      <c r="AH38" s="5646"/>
      <c r="AI38" s="5646"/>
      <c r="AJ38" s="5646"/>
      <c r="AK38" s="5646"/>
      <c r="AL38" s="5663"/>
      <c r="AM38" s="6501" t="s">
        <v>625</v>
      </c>
      <c r="AN38" s="5624" t="s">
        <v>1425</v>
      </c>
      <c r="AO38" s="53"/>
      <c r="AP38" s="53"/>
      <c r="AQ38" s="53"/>
      <c r="AR38" s="53"/>
      <c r="AS38" s="53"/>
      <c r="AT38" s="53"/>
      <c r="AU38" s="53"/>
      <c r="AV38" s="53"/>
      <c r="AW38" s="53"/>
      <c r="AX38" s="53"/>
      <c r="AY38" s="53"/>
      <c r="AZ38" s="53"/>
      <c r="BA38" s="53"/>
      <c r="BB38" s="53"/>
      <c r="BC38" s="53"/>
      <c r="BD38" s="53"/>
      <c r="BE38" s="53"/>
      <c r="BF38" s="53"/>
      <c r="BG38" s="53"/>
      <c r="BH38" s="53"/>
      <c r="BI38" s="53"/>
    </row>
    <row r="39" spans="1:96" ht="16.350000000000001" customHeight="1">
      <c r="A39" s="6043"/>
      <c r="B39" s="5659"/>
      <c r="C39" s="5731"/>
      <c r="D39" s="5625"/>
      <c r="E39" s="5646" t="s">
        <v>364</v>
      </c>
      <c r="F39" s="5646"/>
      <c r="G39" s="5646" t="s">
        <v>347</v>
      </c>
      <c r="H39" s="5646"/>
      <c r="I39" s="5646" t="s">
        <v>108</v>
      </c>
      <c r="J39" s="5646"/>
      <c r="K39" s="5646" t="s">
        <v>58</v>
      </c>
      <c r="L39" s="5646"/>
      <c r="M39" s="5646" t="s">
        <v>59</v>
      </c>
      <c r="N39" s="5646"/>
      <c r="O39" s="6035" t="s">
        <v>60</v>
      </c>
      <c r="P39" s="6035"/>
      <c r="Q39" s="6035" t="s">
        <v>61</v>
      </c>
      <c r="R39" s="6035"/>
      <c r="S39" s="6035" t="s">
        <v>62</v>
      </c>
      <c r="T39" s="6035"/>
      <c r="U39" s="6035" t="s">
        <v>63</v>
      </c>
      <c r="V39" s="6035"/>
      <c r="W39" s="6035" t="s">
        <v>64</v>
      </c>
      <c r="X39" s="6035"/>
      <c r="Y39" s="6035" t="s">
        <v>65</v>
      </c>
      <c r="Z39" s="6035"/>
      <c r="AA39" s="6035" t="s">
        <v>66</v>
      </c>
      <c r="AB39" s="6035"/>
      <c r="AC39" s="6035" t="s">
        <v>67</v>
      </c>
      <c r="AD39" s="6035"/>
      <c r="AE39" s="6035" t="s">
        <v>68</v>
      </c>
      <c r="AF39" s="6035"/>
      <c r="AG39" s="6035" t="s">
        <v>69</v>
      </c>
      <c r="AH39" s="6035"/>
      <c r="AI39" s="6035" t="s">
        <v>70</v>
      </c>
      <c r="AJ39" s="6035"/>
      <c r="AK39" s="6035" t="s">
        <v>71</v>
      </c>
      <c r="AL39" s="6505"/>
      <c r="AM39" s="6546"/>
      <c r="AN39" s="5645"/>
      <c r="AO39" s="53"/>
      <c r="AP39" s="53"/>
      <c r="AQ39" s="53"/>
      <c r="AR39" s="53"/>
      <c r="AS39" s="53"/>
      <c r="AT39" s="53"/>
      <c r="AU39" s="53"/>
      <c r="AV39" s="53"/>
      <c r="AW39" s="53"/>
      <c r="AX39" s="53"/>
      <c r="AY39" s="53"/>
      <c r="AZ39" s="53"/>
      <c r="BA39" s="53"/>
      <c r="BB39" s="53"/>
      <c r="BC39" s="53"/>
      <c r="BD39" s="53"/>
      <c r="BE39" s="53"/>
      <c r="BF39" s="53"/>
      <c r="BG39" s="53"/>
      <c r="BH39" s="53"/>
      <c r="BI39" s="53"/>
    </row>
    <row r="40" spans="1:96" ht="16.350000000000001" customHeight="1">
      <c r="A40" s="6044"/>
      <c r="B40" s="194" t="s">
        <v>93</v>
      </c>
      <c r="C40" s="2564" t="s">
        <v>482</v>
      </c>
      <c r="D40" s="231" t="s">
        <v>73</v>
      </c>
      <c r="E40" s="58" t="s">
        <v>482</v>
      </c>
      <c r="F40" s="76" t="s">
        <v>73</v>
      </c>
      <c r="G40" s="58" t="s">
        <v>482</v>
      </c>
      <c r="H40" s="76" t="s">
        <v>73</v>
      </c>
      <c r="I40" s="58" t="s">
        <v>482</v>
      </c>
      <c r="J40" s="76" t="s">
        <v>73</v>
      </c>
      <c r="K40" s="58" t="s">
        <v>482</v>
      </c>
      <c r="L40" s="76" t="s">
        <v>73</v>
      </c>
      <c r="M40" s="58" t="s">
        <v>482</v>
      </c>
      <c r="N40" s="76" t="s">
        <v>73</v>
      </c>
      <c r="O40" s="58" t="s">
        <v>482</v>
      </c>
      <c r="P40" s="76" t="s">
        <v>73</v>
      </c>
      <c r="Q40" s="58" t="s">
        <v>482</v>
      </c>
      <c r="R40" s="76" t="s">
        <v>73</v>
      </c>
      <c r="S40" s="58" t="s">
        <v>482</v>
      </c>
      <c r="T40" s="76" t="s">
        <v>73</v>
      </c>
      <c r="U40" s="58" t="s">
        <v>482</v>
      </c>
      <c r="V40" s="76" t="s">
        <v>73</v>
      </c>
      <c r="W40" s="58" t="s">
        <v>482</v>
      </c>
      <c r="X40" s="76" t="s">
        <v>73</v>
      </c>
      <c r="Y40" s="58" t="s">
        <v>482</v>
      </c>
      <c r="Z40" s="76" t="s">
        <v>73</v>
      </c>
      <c r="AA40" s="58" t="s">
        <v>482</v>
      </c>
      <c r="AB40" s="76" t="s">
        <v>73</v>
      </c>
      <c r="AC40" s="58" t="s">
        <v>482</v>
      </c>
      <c r="AD40" s="76" t="s">
        <v>73</v>
      </c>
      <c r="AE40" s="58" t="s">
        <v>482</v>
      </c>
      <c r="AF40" s="76" t="s">
        <v>73</v>
      </c>
      <c r="AG40" s="58" t="s">
        <v>482</v>
      </c>
      <c r="AH40" s="76" t="s">
        <v>73</v>
      </c>
      <c r="AI40" s="58" t="s">
        <v>482</v>
      </c>
      <c r="AJ40" s="76" t="s">
        <v>73</v>
      </c>
      <c r="AK40" s="58" t="s">
        <v>482</v>
      </c>
      <c r="AL40" s="60" t="s">
        <v>73</v>
      </c>
      <c r="AM40" s="6502"/>
      <c r="AN40" s="5625"/>
      <c r="AO40" s="2557"/>
      <c r="AP40" s="53"/>
      <c r="AQ40" s="53"/>
      <c r="AR40" s="53"/>
      <c r="AS40" s="53"/>
      <c r="AT40" s="53"/>
      <c r="AU40" s="53"/>
      <c r="AV40" s="53"/>
      <c r="AW40" s="53"/>
      <c r="AX40" s="53"/>
      <c r="AY40" s="53"/>
      <c r="AZ40" s="53"/>
      <c r="BA40" s="53"/>
      <c r="BB40" s="53"/>
      <c r="BC40" s="53"/>
      <c r="BD40" s="53"/>
      <c r="BE40" s="53"/>
      <c r="BF40" s="53"/>
      <c r="BG40" s="53"/>
      <c r="BH40" s="53"/>
      <c r="BI40" s="53"/>
    </row>
    <row r="41" spans="1:96" ht="15" customHeight="1">
      <c r="A41" s="277" t="s">
        <v>987</v>
      </c>
      <c r="B41" s="486">
        <f t="shared" si="0"/>
        <v>0</v>
      </c>
      <c r="C41" s="514">
        <f t="shared" si="1"/>
        <v>0</v>
      </c>
      <c r="D41" s="488">
        <f>SUM(F41+H41+J41+L41+N41+P41+R41+T41+V41+X41+Z41+AB41+AD41+AF41+AH41+AJ41+AL41)</f>
        <v>0</v>
      </c>
      <c r="E41" s="1030"/>
      <c r="F41" s="1187"/>
      <c r="G41" s="1030"/>
      <c r="H41" s="1187"/>
      <c r="I41" s="1030"/>
      <c r="J41" s="1267"/>
      <c r="K41" s="1030"/>
      <c r="L41" s="1267"/>
      <c r="M41" s="1030"/>
      <c r="N41" s="1267"/>
      <c r="O41" s="2583"/>
      <c r="P41" s="1267"/>
      <c r="Q41" s="2583"/>
      <c r="R41" s="1267"/>
      <c r="S41" s="2583"/>
      <c r="T41" s="1267"/>
      <c r="U41" s="2583"/>
      <c r="V41" s="1267"/>
      <c r="W41" s="2583"/>
      <c r="X41" s="1267"/>
      <c r="Y41" s="2583"/>
      <c r="Z41" s="1267"/>
      <c r="AA41" s="2583"/>
      <c r="AB41" s="1267"/>
      <c r="AC41" s="2583"/>
      <c r="AD41" s="1267"/>
      <c r="AE41" s="2583"/>
      <c r="AF41" s="1267"/>
      <c r="AG41" s="2583"/>
      <c r="AH41" s="1267"/>
      <c r="AI41" s="2583"/>
      <c r="AJ41" s="1267"/>
      <c r="AK41" s="2583"/>
      <c r="AL41" s="1269"/>
      <c r="AM41" s="2636"/>
      <c r="AN41" s="1004"/>
      <c r="AO41" s="2642" t="str">
        <f t="shared" ref="AO41:AO65" si="24">CA41&amp;CB41</f>
        <v/>
      </c>
      <c r="AP41" s="2567"/>
      <c r="AQ41" s="2567"/>
      <c r="AR41" s="2567"/>
      <c r="AS41" s="2567"/>
      <c r="AT41" s="2567"/>
      <c r="AU41" s="2567"/>
      <c r="AV41" s="2567"/>
      <c r="AW41" s="2567"/>
      <c r="AX41" s="2567"/>
      <c r="AY41" s="2567"/>
      <c r="AZ41" s="53"/>
      <c r="BA41" s="53"/>
      <c r="BB41" s="53"/>
      <c r="BC41" s="53"/>
      <c r="BD41" s="53"/>
      <c r="BE41" s="53"/>
      <c r="BF41" s="53"/>
      <c r="BG41" s="53"/>
      <c r="BH41" s="53"/>
      <c r="BI41" s="53"/>
      <c r="CA41" s="2568" t="str">
        <f t="shared" ref="CA41:CA46" si="25">IF(AND($B41&gt;0,AM41="")," *No olvide digitar la variable "&amp;AM$38&amp;""&amp;". Digite CERO si no tiene",IF(AM41&gt;$B41," *La variable "&amp;AM$41&amp;""&amp;" No puede ser mayor al Total Ambos Sexos.",""))</f>
        <v/>
      </c>
      <c r="CB41" s="2568" t="str">
        <f t="shared" ref="CB41:CB46" si="26">IF(AND($B41&gt;0,AN41="")," *No olvide digitar la variable "&amp;AN$38&amp;""&amp;". Digite CERO si no tiene",IF(B41&gt;AN41," *La variable "&amp;AN$38&amp;""&amp;" No puede ser menor al Total Ambos Sexos.",""))</f>
        <v/>
      </c>
      <c r="CM41" s="2569">
        <f t="shared" si="10"/>
        <v>0</v>
      </c>
      <c r="CN41" s="2569">
        <f t="shared" ref="CN41:CN56" si="27">IF(AND($B41&gt;0,AN41=""),1,IF(B41&gt;$AN41,1,0))</f>
        <v>0</v>
      </c>
    </row>
    <row r="42" spans="1:96" ht="15" customHeight="1">
      <c r="A42" s="284" t="s">
        <v>1469</v>
      </c>
      <c r="B42" s="523">
        <f t="shared" si="0"/>
        <v>0</v>
      </c>
      <c r="C42" s="524">
        <f t="shared" si="1"/>
        <v>0</v>
      </c>
      <c r="D42" s="525">
        <f t="shared" si="1"/>
        <v>0</v>
      </c>
      <c r="E42" s="1030"/>
      <c r="F42" s="1187"/>
      <c r="G42" s="1030"/>
      <c r="H42" s="1187"/>
      <c r="I42" s="1030"/>
      <c r="J42" s="1267"/>
      <c r="K42" s="1030"/>
      <c r="L42" s="1267"/>
      <c r="M42" s="1030"/>
      <c r="N42" s="1267"/>
      <c r="O42" s="2583"/>
      <c r="P42" s="1267"/>
      <c r="Q42" s="2583"/>
      <c r="R42" s="1267"/>
      <c r="S42" s="2583"/>
      <c r="T42" s="1267"/>
      <c r="U42" s="2583"/>
      <c r="V42" s="1267"/>
      <c r="W42" s="2583"/>
      <c r="X42" s="1267"/>
      <c r="Y42" s="2583"/>
      <c r="Z42" s="1267"/>
      <c r="AA42" s="2583"/>
      <c r="AB42" s="1267"/>
      <c r="AC42" s="2583"/>
      <c r="AD42" s="1267"/>
      <c r="AE42" s="2583"/>
      <c r="AF42" s="1267"/>
      <c r="AG42" s="2583"/>
      <c r="AH42" s="1267"/>
      <c r="AI42" s="2583"/>
      <c r="AJ42" s="1267"/>
      <c r="AK42" s="2583"/>
      <c r="AL42" s="1269"/>
      <c r="AM42" s="2637"/>
      <c r="AN42" s="1014"/>
      <c r="AO42" s="2642" t="str">
        <f t="shared" si="24"/>
        <v/>
      </c>
      <c r="AP42" s="2567"/>
      <c r="AQ42" s="2567"/>
      <c r="AR42" s="2567"/>
      <c r="AS42" s="2567"/>
      <c r="AT42" s="2567"/>
      <c r="AU42" s="2567"/>
      <c r="AV42" s="2567"/>
      <c r="AW42" s="2567"/>
      <c r="AX42" s="2567"/>
      <c r="AY42" s="2567"/>
      <c r="AZ42" s="53"/>
      <c r="BA42" s="53"/>
      <c r="BB42" s="53"/>
      <c r="BC42" s="53"/>
      <c r="BD42" s="53"/>
      <c r="BE42" s="53"/>
      <c r="BF42" s="53"/>
      <c r="BG42" s="53"/>
      <c r="BH42" s="53"/>
      <c r="BI42" s="53"/>
      <c r="CA42" s="2568" t="str">
        <f t="shared" si="25"/>
        <v/>
      </c>
      <c r="CB42" s="2568" t="str">
        <f t="shared" si="26"/>
        <v/>
      </c>
      <c r="CM42" s="2569">
        <f t="shared" si="10"/>
        <v>0</v>
      </c>
      <c r="CN42" s="2569">
        <f t="shared" si="27"/>
        <v>0</v>
      </c>
    </row>
    <row r="43" spans="1:96" ht="15" customHeight="1">
      <c r="A43" s="284" t="s">
        <v>1470</v>
      </c>
      <c r="B43" s="523">
        <f t="shared" si="0"/>
        <v>0</v>
      </c>
      <c r="C43" s="524">
        <f t="shared" si="1"/>
        <v>0</v>
      </c>
      <c r="D43" s="525">
        <f t="shared" si="1"/>
        <v>0</v>
      </c>
      <c r="E43" s="1013"/>
      <c r="F43" s="1014"/>
      <c r="G43" s="1013"/>
      <c r="H43" s="1014"/>
      <c r="I43" s="1013"/>
      <c r="J43" s="1015"/>
      <c r="K43" s="1013"/>
      <c r="L43" s="1015"/>
      <c r="M43" s="1013"/>
      <c r="N43" s="1015"/>
      <c r="O43" s="1023"/>
      <c r="P43" s="1015"/>
      <c r="Q43" s="1023"/>
      <c r="R43" s="1015"/>
      <c r="S43" s="1023"/>
      <c r="T43" s="1015"/>
      <c r="U43" s="1023"/>
      <c r="V43" s="1015"/>
      <c r="W43" s="1023"/>
      <c r="X43" s="1015"/>
      <c r="Y43" s="1023"/>
      <c r="Z43" s="1015"/>
      <c r="AA43" s="1023"/>
      <c r="AB43" s="1015"/>
      <c r="AC43" s="1023"/>
      <c r="AD43" s="1015"/>
      <c r="AE43" s="1023"/>
      <c r="AF43" s="1015"/>
      <c r="AG43" s="1023"/>
      <c r="AH43" s="1015"/>
      <c r="AI43" s="1023"/>
      <c r="AJ43" s="1015"/>
      <c r="AK43" s="1023"/>
      <c r="AL43" s="1024"/>
      <c r="AM43" s="2639"/>
      <c r="AN43" s="1014"/>
      <c r="AO43" s="2642" t="str">
        <f t="shared" si="24"/>
        <v/>
      </c>
      <c r="AP43" s="2567"/>
      <c r="AQ43" s="2567"/>
      <c r="AR43" s="2567"/>
      <c r="AS43" s="2567"/>
      <c r="AT43" s="2567"/>
      <c r="AU43" s="2567"/>
      <c r="AV43" s="2567"/>
      <c r="AW43" s="2567"/>
      <c r="AX43" s="2567"/>
      <c r="AY43" s="2567"/>
      <c r="AZ43" s="53"/>
      <c r="BA43" s="53"/>
      <c r="BB43" s="53"/>
      <c r="BC43" s="53"/>
      <c r="BD43" s="53"/>
      <c r="BE43" s="53"/>
      <c r="BF43" s="53"/>
      <c r="BG43" s="53"/>
      <c r="BH43" s="53"/>
      <c r="BI43" s="53"/>
      <c r="CA43" s="2568" t="str">
        <f t="shared" si="25"/>
        <v/>
      </c>
      <c r="CB43" s="2568" t="str">
        <f t="shared" si="26"/>
        <v/>
      </c>
      <c r="CM43" s="2569">
        <f t="shared" si="10"/>
        <v>0</v>
      </c>
      <c r="CN43" s="2569">
        <f t="shared" si="27"/>
        <v>0</v>
      </c>
    </row>
    <row r="44" spans="1:96" ht="15" customHeight="1">
      <c r="A44" s="284" t="s">
        <v>1471</v>
      </c>
      <c r="B44" s="523">
        <f t="shared" si="0"/>
        <v>0</v>
      </c>
      <c r="C44" s="524">
        <f t="shared" si="1"/>
        <v>0</v>
      </c>
      <c r="D44" s="525">
        <f t="shared" si="1"/>
        <v>0</v>
      </c>
      <c r="E44" s="1013"/>
      <c r="F44" s="1014"/>
      <c r="G44" s="1013"/>
      <c r="H44" s="1014"/>
      <c r="I44" s="1013"/>
      <c r="J44" s="1015"/>
      <c r="K44" s="1013"/>
      <c r="L44" s="1015"/>
      <c r="M44" s="1013"/>
      <c r="N44" s="1015"/>
      <c r="O44" s="1023"/>
      <c r="P44" s="1015"/>
      <c r="Q44" s="1023"/>
      <c r="R44" s="1015"/>
      <c r="S44" s="1023"/>
      <c r="T44" s="1015"/>
      <c r="U44" s="1023"/>
      <c r="V44" s="1015"/>
      <c r="W44" s="1023"/>
      <c r="X44" s="1015"/>
      <c r="Y44" s="1023"/>
      <c r="Z44" s="1015"/>
      <c r="AA44" s="1023"/>
      <c r="AB44" s="1015"/>
      <c r="AC44" s="1023"/>
      <c r="AD44" s="1015"/>
      <c r="AE44" s="1023"/>
      <c r="AF44" s="1015"/>
      <c r="AG44" s="1023"/>
      <c r="AH44" s="1015"/>
      <c r="AI44" s="1023"/>
      <c r="AJ44" s="1015"/>
      <c r="AK44" s="1023"/>
      <c r="AL44" s="1024"/>
      <c r="AM44" s="2639"/>
      <c r="AN44" s="1014"/>
      <c r="AO44" s="2642" t="str">
        <f t="shared" si="24"/>
        <v/>
      </c>
      <c r="AP44" s="2567"/>
      <c r="AQ44" s="2567"/>
      <c r="AR44" s="2567"/>
      <c r="AS44" s="2567"/>
      <c r="AT44" s="2567"/>
      <c r="AU44" s="2567"/>
      <c r="AV44" s="2567"/>
      <c r="AW44" s="2567"/>
      <c r="AX44" s="2567"/>
      <c r="AY44" s="2567"/>
      <c r="AZ44" s="53"/>
      <c r="BA44" s="53"/>
      <c r="BB44" s="53"/>
      <c r="BC44" s="53"/>
      <c r="BD44" s="53"/>
      <c r="BE44" s="53"/>
      <c r="BF44" s="53"/>
      <c r="BG44" s="53"/>
      <c r="BH44" s="53"/>
      <c r="BI44" s="53"/>
      <c r="CA44" s="2568" t="str">
        <f t="shared" si="25"/>
        <v/>
      </c>
      <c r="CB44" s="2568" t="str">
        <f t="shared" si="26"/>
        <v/>
      </c>
      <c r="CM44" s="2569">
        <f t="shared" si="10"/>
        <v>0</v>
      </c>
      <c r="CN44" s="2569">
        <f t="shared" si="27"/>
        <v>0</v>
      </c>
    </row>
    <row r="45" spans="1:96" ht="15" customHeight="1">
      <c r="A45" s="284" t="s">
        <v>113</v>
      </c>
      <c r="B45" s="523">
        <f t="shared" si="0"/>
        <v>0</v>
      </c>
      <c r="C45" s="524">
        <f t="shared" si="1"/>
        <v>0</v>
      </c>
      <c r="D45" s="525">
        <f t="shared" si="1"/>
        <v>0</v>
      </c>
      <c r="E45" s="1013"/>
      <c r="F45" s="1014"/>
      <c r="G45" s="1013"/>
      <c r="H45" s="1014"/>
      <c r="I45" s="1013"/>
      <c r="J45" s="1015"/>
      <c r="K45" s="1013"/>
      <c r="L45" s="1015"/>
      <c r="M45" s="1013"/>
      <c r="N45" s="1015"/>
      <c r="O45" s="1023"/>
      <c r="P45" s="1015"/>
      <c r="Q45" s="1023"/>
      <c r="R45" s="1015"/>
      <c r="S45" s="1023"/>
      <c r="T45" s="1015"/>
      <c r="U45" s="1023"/>
      <c r="V45" s="1015"/>
      <c r="W45" s="1023"/>
      <c r="X45" s="1015"/>
      <c r="Y45" s="1023"/>
      <c r="Z45" s="1015"/>
      <c r="AA45" s="1023"/>
      <c r="AB45" s="1015"/>
      <c r="AC45" s="1023"/>
      <c r="AD45" s="1015"/>
      <c r="AE45" s="1023"/>
      <c r="AF45" s="1015"/>
      <c r="AG45" s="1023"/>
      <c r="AH45" s="1015"/>
      <c r="AI45" s="1023"/>
      <c r="AJ45" s="1015"/>
      <c r="AK45" s="1023"/>
      <c r="AL45" s="1024"/>
      <c r="AM45" s="2639"/>
      <c r="AN45" s="1014"/>
      <c r="AO45" s="2642" t="str">
        <f t="shared" si="24"/>
        <v/>
      </c>
      <c r="AP45" s="2567"/>
      <c r="AQ45" s="2567"/>
      <c r="AR45" s="2567"/>
      <c r="AS45" s="2567"/>
      <c r="AT45" s="2567"/>
      <c r="AU45" s="2567"/>
      <c r="AV45" s="2567"/>
      <c r="AW45" s="2567"/>
      <c r="AX45" s="2567"/>
      <c r="AY45" s="2567"/>
      <c r="AZ45" s="53"/>
      <c r="BA45" s="53"/>
      <c r="BB45" s="53"/>
      <c r="BC45" s="53"/>
      <c r="BD45" s="53"/>
      <c r="BE45" s="53"/>
      <c r="BF45" s="53"/>
      <c r="BG45" s="53"/>
      <c r="BH45" s="53"/>
      <c r="BI45" s="53"/>
      <c r="CA45" s="2568" t="str">
        <f t="shared" si="25"/>
        <v/>
      </c>
      <c r="CB45" s="2568" t="str">
        <f t="shared" si="26"/>
        <v/>
      </c>
      <c r="CM45" s="2569">
        <f t="shared" si="10"/>
        <v>0</v>
      </c>
      <c r="CN45" s="2569">
        <f t="shared" si="27"/>
        <v>0</v>
      </c>
    </row>
    <row r="46" spans="1:96" ht="15" customHeight="1">
      <c r="A46" s="490" t="s">
        <v>1106</v>
      </c>
      <c r="B46" s="491">
        <f t="shared" si="0"/>
        <v>0</v>
      </c>
      <c r="C46" s="526">
        <f t="shared" si="1"/>
        <v>0</v>
      </c>
      <c r="D46" s="493">
        <f t="shared" si="1"/>
        <v>0</v>
      </c>
      <c r="E46" s="1053"/>
      <c r="F46" s="1054"/>
      <c r="G46" s="1053"/>
      <c r="H46" s="1054"/>
      <c r="I46" s="1053"/>
      <c r="J46" s="1052"/>
      <c r="K46" s="1053"/>
      <c r="L46" s="1052"/>
      <c r="M46" s="1053"/>
      <c r="N46" s="1052"/>
      <c r="O46" s="1056"/>
      <c r="P46" s="1052"/>
      <c r="Q46" s="1056"/>
      <c r="R46" s="1052"/>
      <c r="S46" s="1056"/>
      <c r="T46" s="1052"/>
      <c r="U46" s="1056"/>
      <c r="V46" s="1052"/>
      <c r="W46" s="1056"/>
      <c r="X46" s="1052"/>
      <c r="Y46" s="1056"/>
      <c r="Z46" s="1052"/>
      <c r="AA46" s="1056"/>
      <c r="AB46" s="1052"/>
      <c r="AC46" s="1056"/>
      <c r="AD46" s="1052"/>
      <c r="AE46" s="1056"/>
      <c r="AF46" s="1052"/>
      <c r="AG46" s="1056"/>
      <c r="AH46" s="1052"/>
      <c r="AI46" s="1056"/>
      <c r="AJ46" s="1052"/>
      <c r="AK46" s="1056"/>
      <c r="AL46" s="1057"/>
      <c r="AM46" s="2640"/>
      <c r="AN46" s="1054"/>
      <c r="AO46" s="2642" t="str">
        <f t="shared" si="24"/>
        <v/>
      </c>
      <c r="AP46" s="2567"/>
      <c r="AQ46" s="2567"/>
      <c r="AR46" s="2567"/>
      <c r="AS46" s="2567"/>
      <c r="AT46" s="2567"/>
      <c r="AU46" s="2567"/>
      <c r="AV46" s="2567"/>
      <c r="AW46" s="2567"/>
      <c r="AX46" s="2567"/>
      <c r="AY46" s="2567"/>
      <c r="AZ46" s="53"/>
      <c r="BA46" s="53"/>
      <c r="BB46" s="53"/>
      <c r="BC46" s="53"/>
      <c r="BD46" s="53"/>
      <c r="BE46" s="53"/>
      <c r="BF46" s="53"/>
      <c r="BG46" s="53"/>
      <c r="BH46" s="53"/>
      <c r="BI46" s="53"/>
      <c r="CA46" s="2568" t="str">
        <f t="shared" si="25"/>
        <v/>
      </c>
      <c r="CB46" s="2568" t="str">
        <f t="shared" si="26"/>
        <v/>
      </c>
      <c r="CM46" s="2569">
        <f t="shared" si="10"/>
        <v>0</v>
      </c>
      <c r="CN46" s="2569">
        <f t="shared" si="27"/>
        <v>0</v>
      </c>
    </row>
    <row r="47" spans="1:96" s="2558" customFormat="1" ht="18" customHeight="1">
      <c r="A47" s="763" t="s">
        <v>1473</v>
      </c>
      <c r="B47" s="763"/>
      <c r="C47" s="763"/>
      <c r="D47" s="763"/>
      <c r="E47" s="763"/>
      <c r="F47" s="763"/>
      <c r="G47" s="763"/>
      <c r="H47" s="465"/>
      <c r="I47" s="465"/>
      <c r="J47" s="465"/>
      <c r="K47" s="465"/>
      <c r="L47" s="465"/>
      <c r="M47" s="465"/>
      <c r="N47" s="465"/>
      <c r="X47" s="970"/>
      <c r="Y47" s="970"/>
      <c r="Z47" s="970"/>
      <c r="AA47" s="970"/>
      <c r="AB47" s="970"/>
      <c r="AC47" s="970"/>
      <c r="AD47" s="970"/>
      <c r="AE47" s="970"/>
      <c r="AF47" s="970"/>
      <c r="AG47" s="970"/>
      <c r="AH47" s="970"/>
      <c r="AI47" s="970"/>
      <c r="AJ47" s="970"/>
      <c r="AK47" s="970"/>
      <c r="AL47" s="970"/>
      <c r="AM47" s="2630"/>
      <c r="AN47" s="2563"/>
      <c r="AO47" s="2632"/>
      <c r="AP47" s="2633"/>
      <c r="AQ47" s="2633"/>
      <c r="AR47" s="2633"/>
      <c r="AS47" s="2633"/>
      <c r="AT47" s="2633"/>
      <c r="AU47" s="2633"/>
      <c r="AV47" s="2633"/>
      <c r="AW47" s="2633"/>
      <c r="AX47" s="2633"/>
      <c r="AY47" s="2633"/>
      <c r="AZ47" s="2563"/>
      <c r="BA47" s="2563"/>
      <c r="BB47" s="2563"/>
      <c r="BC47" s="2563"/>
      <c r="BD47" s="2563"/>
      <c r="BE47" s="2563"/>
      <c r="BF47" s="2563"/>
      <c r="BG47" s="2563"/>
      <c r="BH47" s="2563"/>
      <c r="BI47" s="2563"/>
      <c r="BV47" s="2563"/>
      <c r="BW47" s="2563"/>
      <c r="BX47" s="2634"/>
      <c r="BY47" s="2634"/>
    </row>
    <row r="48" spans="1:96" ht="16.350000000000001" customHeight="1">
      <c r="A48" s="6042" t="s">
        <v>41</v>
      </c>
      <c r="B48" s="5642" t="s">
        <v>1421</v>
      </c>
      <c r="C48" s="5627"/>
      <c r="D48" s="5624"/>
      <c r="E48" s="5615" t="s">
        <v>115</v>
      </c>
      <c r="F48" s="5616"/>
      <c r="G48" s="5616"/>
      <c r="H48" s="5616"/>
      <c r="I48" s="5616"/>
      <c r="J48" s="5616"/>
      <c r="K48" s="5616"/>
      <c r="L48" s="5616"/>
      <c r="M48" s="5616"/>
      <c r="N48" s="5616"/>
      <c r="O48" s="5616"/>
      <c r="P48" s="5616"/>
      <c r="Q48" s="5616"/>
      <c r="R48" s="5616"/>
      <c r="S48" s="5616"/>
      <c r="T48" s="5616"/>
      <c r="U48" s="5616"/>
      <c r="V48" s="5616"/>
      <c r="W48" s="5616"/>
      <c r="X48" s="5616"/>
      <c r="Y48" s="5616"/>
      <c r="Z48" s="5616"/>
      <c r="AA48" s="5616"/>
      <c r="AB48" s="5616"/>
      <c r="AC48" s="5616"/>
      <c r="AD48" s="5616"/>
      <c r="AE48" s="5616"/>
      <c r="AF48" s="5616"/>
      <c r="AG48" s="5616"/>
      <c r="AH48" s="5616"/>
      <c r="AI48" s="5616"/>
      <c r="AJ48" s="5616"/>
      <c r="AK48" s="5616"/>
      <c r="AL48" s="5617"/>
      <c r="AM48" s="6501" t="s">
        <v>625</v>
      </c>
      <c r="AN48" s="5613" t="s">
        <v>1425</v>
      </c>
      <c r="AO48" s="5624" t="s">
        <v>1474</v>
      </c>
      <c r="AP48" s="2566"/>
      <c r="AQ48" s="2567"/>
      <c r="AR48" s="2567"/>
      <c r="AS48" s="2567"/>
      <c r="AT48" s="2567"/>
      <c r="AU48" s="2567"/>
      <c r="AV48" s="2567"/>
      <c r="AW48" s="2567"/>
      <c r="AX48" s="2567"/>
      <c r="AY48" s="2567"/>
      <c r="AZ48" s="2567"/>
      <c r="BA48" s="53"/>
      <c r="BB48" s="53"/>
      <c r="BC48" s="53"/>
      <c r="BD48" s="53"/>
      <c r="BE48" s="53"/>
      <c r="BF48" s="53"/>
      <c r="BG48" s="53"/>
      <c r="BH48" s="53"/>
      <c r="BI48" s="53"/>
      <c r="BJ48" s="53"/>
      <c r="BV48" s="50"/>
      <c r="BX48" s="53"/>
      <c r="BZ48" s="2557"/>
      <c r="CA48" s="50"/>
      <c r="CR48" s="2558"/>
    </row>
    <row r="49" spans="1:96" ht="16.350000000000001" customHeight="1">
      <c r="A49" s="6043"/>
      <c r="B49" s="5659"/>
      <c r="C49" s="5731"/>
      <c r="D49" s="5625"/>
      <c r="E49" s="5646" t="s">
        <v>364</v>
      </c>
      <c r="F49" s="5646"/>
      <c r="G49" s="5646" t="s">
        <v>347</v>
      </c>
      <c r="H49" s="5646"/>
      <c r="I49" s="5646" t="s">
        <v>108</v>
      </c>
      <c r="J49" s="5646"/>
      <c r="K49" s="5646" t="s">
        <v>58</v>
      </c>
      <c r="L49" s="5646"/>
      <c r="M49" s="5646" t="s">
        <v>59</v>
      </c>
      <c r="N49" s="5646"/>
      <c r="O49" s="6035" t="s">
        <v>60</v>
      </c>
      <c r="P49" s="6035"/>
      <c r="Q49" s="6035" t="s">
        <v>61</v>
      </c>
      <c r="R49" s="6035"/>
      <c r="S49" s="6035" t="s">
        <v>62</v>
      </c>
      <c r="T49" s="6035"/>
      <c r="U49" s="6035" t="s">
        <v>63</v>
      </c>
      <c r="V49" s="6035"/>
      <c r="W49" s="6035" t="s">
        <v>64</v>
      </c>
      <c r="X49" s="6035"/>
      <c r="Y49" s="6035" t="s">
        <v>65</v>
      </c>
      <c r="Z49" s="6035"/>
      <c r="AA49" s="6035" t="s">
        <v>66</v>
      </c>
      <c r="AB49" s="6035"/>
      <c r="AC49" s="6035" t="s">
        <v>67</v>
      </c>
      <c r="AD49" s="6035"/>
      <c r="AE49" s="6035" t="s">
        <v>68</v>
      </c>
      <c r="AF49" s="6035"/>
      <c r="AG49" s="6035" t="s">
        <v>69</v>
      </c>
      <c r="AH49" s="6035"/>
      <c r="AI49" s="6035" t="s">
        <v>70</v>
      </c>
      <c r="AJ49" s="6035"/>
      <c r="AK49" s="6035" t="s">
        <v>71</v>
      </c>
      <c r="AL49" s="6505"/>
      <c r="AM49" s="6546"/>
      <c r="AN49" s="5671"/>
      <c r="AO49" s="5645"/>
      <c r="AP49" s="2566"/>
      <c r="AQ49" s="2567"/>
      <c r="AR49" s="2567"/>
      <c r="AS49" s="2567"/>
      <c r="AT49" s="2567"/>
      <c r="AU49" s="2567"/>
      <c r="AV49" s="2567"/>
      <c r="AW49" s="2567"/>
      <c r="AX49" s="2567"/>
      <c r="AY49" s="2567"/>
      <c r="AZ49" s="2567"/>
      <c r="BA49" s="53"/>
      <c r="BB49" s="53"/>
      <c r="BC49" s="53"/>
      <c r="BD49" s="53"/>
      <c r="BE49" s="53"/>
      <c r="BF49" s="53"/>
      <c r="BG49" s="53"/>
      <c r="BH49" s="53"/>
      <c r="BI49" s="53"/>
      <c r="BJ49" s="53"/>
      <c r="BV49" s="50"/>
      <c r="BX49" s="53"/>
      <c r="BZ49" s="2557"/>
      <c r="CA49" s="50"/>
      <c r="CR49" s="2558"/>
    </row>
    <row r="50" spans="1:96" ht="21" customHeight="1">
      <c r="A50" s="6044"/>
      <c r="B50" s="194" t="s">
        <v>93</v>
      </c>
      <c r="C50" s="2564" t="s">
        <v>482</v>
      </c>
      <c r="D50" s="231" t="s">
        <v>73</v>
      </c>
      <c r="E50" s="75" t="s">
        <v>482</v>
      </c>
      <c r="F50" s="62" t="s">
        <v>73</v>
      </c>
      <c r="G50" s="75" t="s">
        <v>482</v>
      </c>
      <c r="H50" s="232" t="s">
        <v>73</v>
      </c>
      <c r="I50" s="75" t="s">
        <v>482</v>
      </c>
      <c r="J50" s="62" t="s">
        <v>73</v>
      </c>
      <c r="K50" s="75" t="s">
        <v>482</v>
      </c>
      <c r="L50" s="62" t="s">
        <v>73</v>
      </c>
      <c r="M50" s="75" t="s">
        <v>482</v>
      </c>
      <c r="N50" s="62" t="s">
        <v>73</v>
      </c>
      <c r="O50" s="75" t="s">
        <v>482</v>
      </c>
      <c r="P50" s="62" t="s">
        <v>73</v>
      </c>
      <c r="Q50" s="75" t="s">
        <v>482</v>
      </c>
      <c r="R50" s="62" t="s">
        <v>73</v>
      </c>
      <c r="S50" s="75" t="s">
        <v>482</v>
      </c>
      <c r="T50" s="232" t="s">
        <v>73</v>
      </c>
      <c r="U50" s="75" t="s">
        <v>482</v>
      </c>
      <c r="V50" s="232" t="s">
        <v>73</v>
      </c>
      <c r="W50" s="75" t="s">
        <v>482</v>
      </c>
      <c r="X50" s="62" t="s">
        <v>73</v>
      </c>
      <c r="Y50" s="75" t="s">
        <v>482</v>
      </c>
      <c r="Z50" s="62" t="s">
        <v>73</v>
      </c>
      <c r="AA50" s="75" t="s">
        <v>482</v>
      </c>
      <c r="AB50" s="62" t="s">
        <v>73</v>
      </c>
      <c r="AC50" s="75" t="s">
        <v>482</v>
      </c>
      <c r="AD50" s="62" t="s">
        <v>73</v>
      </c>
      <c r="AE50" s="75" t="s">
        <v>482</v>
      </c>
      <c r="AF50" s="232" t="s">
        <v>73</v>
      </c>
      <c r="AG50" s="75" t="s">
        <v>482</v>
      </c>
      <c r="AH50" s="62" t="s">
        <v>73</v>
      </c>
      <c r="AI50" s="75" t="s">
        <v>482</v>
      </c>
      <c r="AJ50" s="62" t="s">
        <v>73</v>
      </c>
      <c r="AK50" s="75" t="s">
        <v>482</v>
      </c>
      <c r="AL50" s="1064" t="s">
        <v>73</v>
      </c>
      <c r="AM50" s="6502"/>
      <c r="AN50" s="5614"/>
      <c r="AO50" s="5625"/>
      <c r="AP50" s="2566"/>
      <c r="AQ50" s="2567"/>
      <c r="AR50" s="2567"/>
      <c r="AS50" s="2567"/>
      <c r="AT50" s="2567"/>
      <c r="AU50" s="2567"/>
      <c r="AV50" s="2567"/>
      <c r="AW50" s="2567"/>
      <c r="AX50" s="2567"/>
      <c r="AY50" s="2567"/>
      <c r="AZ50" s="2567"/>
      <c r="BA50" s="53"/>
      <c r="BB50" s="53"/>
      <c r="BC50" s="53"/>
      <c r="BD50" s="53"/>
      <c r="BE50" s="53"/>
      <c r="BF50" s="53"/>
      <c r="BG50" s="53"/>
      <c r="BH50" s="53"/>
      <c r="BI50" s="53"/>
      <c r="BJ50" s="53"/>
      <c r="BV50" s="50"/>
      <c r="BX50" s="53"/>
      <c r="BZ50" s="2557"/>
      <c r="CA50" s="50"/>
      <c r="CR50" s="2558"/>
    </row>
    <row r="51" spans="1:96" ht="15" customHeight="1">
      <c r="A51" s="277" t="s">
        <v>987</v>
      </c>
      <c r="B51" s="486">
        <f t="shared" si="0"/>
        <v>0</v>
      </c>
      <c r="C51" s="514">
        <f t="shared" si="1"/>
        <v>0</v>
      </c>
      <c r="D51" s="488">
        <f t="shared" si="1"/>
        <v>0</v>
      </c>
      <c r="E51" s="1030"/>
      <c r="F51" s="1005"/>
      <c r="G51" s="1030"/>
      <c r="H51" s="1187"/>
      <c r="I51" s="1030"/>
      <c r="J51" s="1005"/>
      <c r="K51" s="1030"/>
      <c r="L51" s="1005"/>
      <c r="M51" s="1030"/>
      <c r="N51" s="1005"/>
      <c r="O51" s="2583"/>
      <c r="P51" s="1005"/>
      <c r="Q51" s="2583"/>
      <c r="R51" s="1005"/>
      <c r="S51" s="2583"/>
      <c r="T51" s="1267"/>
      <c r="U51" s="2583"/>
      <c r="V51" s="1267"/>
      <c r="W51" s="2583"/>
      <c r="X51" s="1005"/>
      <c r="Y51" s="2583"/>
      <c r="Z51" s="1005"/>
      <c r="AA51" s="2583"/>
      <c r="AB51" s="1005"/>
      <c r="AC51" s="2583"/>
      <c r="AD51" s="1005"/>
      <c r="AE51" s="2583"/>
      <c r="AF51" s="1267"/>
      <c r="AG51" s="2583"/>
      <c r="AH51" s="1005"/>
      <c r="AI51" s="2583"/>
      <c r="AJ51" s="1005"/>
      <c r="AK51" s="2583"/>
      <c r="AL51" s="1068"/>
      <c r="AM51" s="2636"/>
      <c r="AN51" s="1180"/>
      <c r="AO51" s="1004"/>
      <c r="AP51" s="2642" t="str">
        <f>CA51&amp;CB51&amp;CC51</f>
        <v/>
      </c>
      <c r="AQ51" s="2567"/>
      <c r="AR51" s="2567"/>
      <c r="AS51" s="2567"/>
      <c r="AT51" s="2567"/>
      <c r="AU51" s="2567"/>
      <c r="AV51" s="2567"/>
      <c r="AW51" s="2567"/>
      <c r="AX51" s="2567"/>
      <c r="AY51" s="2567"/>
      <c r="AZ51" s="2567"/>
      <c r="BA51" s="53"/>
      <c r="BB51" s="53"/>
      <c r="BC51" s="53"/>
      <c r="BD51" s="53"/>
      <c r="BE51" s="53"/>
      <c r="BF51" s="53"/>
      <c r="BG51" s="53"/>
      <c r="BH51" s="53"/>
      <c r="BI51" s="53"/>
      <c r="BJ51" s="53"/>
      <c r="BV51" s="50"/>
      <c r="BX51" s="53"/>
      <c r="BZ51" s="2557"/>
      <c r="CA51" s="2568" t="str">
        <f t="shared" ref="CA51:CA56" si="28">IF(AND($B51&gt;0,AM51="")," *No olvide digitar la variable "&amp;AM$48&amp;""&amp;". Digite CERO si no tiene",IF(AM51&gt;$B51," *La variable "&amp;AM$48&amp;""&amp;" No puede ser mayor al Total Ambos Sexos.",""))</f>
        <v/>
      </c>
      <c r="CB51" s="2568" t="str">
        <f t="shared" ref="CB51:CB56" si="29">IF(AND($B51&gt;0,AN51="")," *No olvide digitar la variable "&amp;AN$48&amp;""&amp;". Digite CERO si no tiene",IF(B51&gt;AN51," *La variable "&amp;AN$48&amp;""&amp;" No puede ser menor al Total Ambos Sexos.",""))</f>
        <v/>
      </c>
      <c r="CC51" s="2568" t="str">
        <f>IF(AND(B51&gt;0,AO51="")," *No olvide digitar la variable "&amp;AO$48&amp;""&amp;". Digite CERO si no tiene datos, recuerde que las atenciones resueltas por otro establecimiento, no debe estar contenida en el total de la posta o sur","")</f>
        <v/>
      </c>
      <c r="CM51" s="2569">
        <f t="shared" si="10"/>
        <v>0</v>
      </c>
      <c r="CN51" s="2569">
        <f t="shared" si="27"/>
        <v>0</v>
      </c>
      <c r="CO51" s="2569">
        <f>IF(AND($B51&gt;0,AO51=""),1,0)</f>
        <v>0</v>
      </c>
    </row>
    <row r="52" spans="1:96" ht="15" customHeight="1">
      <c r="A52" s="284" t="s">
        <v>1469</v>
      </c>
      <c r="B52" s="523">
        <f t="shared" si="0"/>
        <v>0</v>
      </c>
      <c r="C52" s="524">
        <f t="shared" si="1"/>
        <v>0</v>
      </c>
      <c r="D52" s="525">
        <f>SUM(F52+H52+J52+L52+N52+P52+R52+T52+V52+X52+Z52+AB52+AD52+AF52+AH52+AJ52+AL52)</f>
        <v>0</v>
      </c>
      <c r="E52" s="1030"/>
      <c r="F52" s="1187"/>
      <c r="G52" s="1030"/>
      <c r="H52" s="1187"/>
      <c r="I52" s="1030"/>
      <c r="J52" s="1267"/>
      <c r="K52" s="1030"/>
      <c r="L52" s="1267"/>
      <c r="M52" s="1030"/>
      <c r="N52" s="1267"/>
      <c r="O52" s="2583"/>
      <c r="P52" s="1267"/>
      <c r="Q52" s="2583"/>
      <c r="R52" s="1267"/>
      <c r="S52" s="2583"/>
      <c r="T52" s="1267"/>
      <c r="U52" s="2583"/>
      <c r="V52" s="1267"/>
      <c r="W52" s="2583"/>
      <c r="X52" s="1267"/>
      <c r="Y52" s="2583"/>
      <c r="Z52" s="1267"/>
      <c r="AA52" s="2583"/>
      <c r="AB52" s="1267"/>
      <c r="AC52" s="2583"/>
      <c r="AD52" s="1267"/>
      <c r="AE52" s="2583"/>
      <c r="AF52" s="1267"/>
      <c r="AG52" s="2583"/>
      <c r="AH52" s="1267"/>
      <c r="AI52" s="2583"/>
      <c r="AJ52" s="1267"/>
      <c r="AK52" s="2583"/>
      <c r="AL52" s="1269"/>
      <c r="AM52" s="2637"/>
      <c r="AN52" s="1127"/>
      <c r="AO52" s="1082"/>
      <c r="AP52" s="2642" t="str">
        <f t="shared" ref="AP52:AP56" si="30">CA52&amp;CB52</f>
        <v/>
      </c>
      <c r="AQ52" s="2567"/>
      <c r="AR52" s="2567"/>
      <c r="AS52" s="2567"/>
      <c r="AT52" s="2567"/>
      <c r="AU52" s="2567"/>
      <c r="AV52" s="2567"/>
      <c r="AW52" s="2567"/>
      <c r="AX52" s="2567"/>
      <c r="AY52" s="2567"/>
      <c r="AZ52" s="2567"/>
      <c r="BA52" s="53"/>
      <c r="BB52" s="53"/>
      <c r="BC52" s="53"/>
      <c r="BD52" s="53"/>
      <c r="BE52" s="53"/>
      <c r="BF52" s="53"/>
      <c r="BG52" s="53"/>
      <c r="BH52" s="53"/>
      <c r="BI52" s="53"/>
      <c r="BJ52" s="53"/>
      <c r="BV52" s="50"/>
      <c r="BX52" s="53"/>
      <c r="BZ52" s="2557"/>
      <c r="CA52" s="2568" t="str">
        <f t="shared" si="28"/>
        <v/>
      </c>
      <c r="CB52" s="2568" t="str">
        <f t="shared" si="29"/>
        <v/>
      </c>
      <c r="CM52" s="2569">
        <f t="shared" si="10"/>
        <v>0</v>
      </c>
      <c r="CN52" s="2569">
        <f t="shared" si="27"/>
        <v>0</v>
      </c>
    </row>
    <row r="53" spans="1:96" ht="15" customHeight="1">
      <c r="A53" s="284" t="s">
        <v>1470</v>
      </c>
      <c r="B53" s="523">
        <f t="shared" si="0"/>
        <v>0</v>
      </c>
      <c r="C53" s="524">
        <f t="shared" si="1"/>
        <v>0</v>
      </c>
      <c r="D53" s="525">
        <f t="shared" si="1"/>
        <v>0</v>
      </c>
      <c r="E53" s="1030"/>
      <c r="F53" s="1187"/>
      <c r="G53" s="1030"/>
      <c r="H53" s="1187"/>
      <c r="I53" s="1030"/>
      <c r="J53" s="1267"/>
      <c r="K53" s="1030"/>
      <c r="L53" s="1267"/>
      <c r="M53" s="1030"/>
      <c r="N53" s="1267"/>
      <c r="O53" s="2583"/>
      <c r="P53" s="1267"/>
      <c r="Q53" s="2583"/>
      <c r="R53" s="1267"/>
      <c r="S53" s="2583"/>
      <c r="T53" s="1267"/>
      <c r="U53" s="2583"/>
      <c r="V53" s="1267"/>
      <c r="W53" s="2583"/>
      <c r="X53" s="1267"/>
      <c r="Y53" s="2583"/>
      <c r="Z53" s="1267"/>
      <c r="AA53" s="2583"/>
      <c r="AB53" s="1267"/>
      <c r="AC53" s="2583"/>
      <c r="AD53" s="1267"/>
      <c r="AE53" s="2583"/>
      <c r="AF53" s="1267"/>
      <c r="AG53" s="2583"/>
      <c r="AH53" s="1267"/>
      <c r="AI53" s="2583"/>
      <c r="AJ53" s="1267"/>
      <c r="AK53" s="2583"/>
      <c r="AL53" s="1269"/>
      <c r="AM53" s="2637"/>
      <c r="AN53" s="1127"/>
      <c r="AO53" s="1082"/>
      <c r="AP53" s="2642" t="str">
        <f t="shared" si="30"/>
        <v/>
      </c>
      <c r="AQ53" s="2567"/>
      <c r="AR53" s="2567"/>
      <c r="AS53" s="2567"/>
      <c r="AT53" s="2567"/>
      <c r="AU53" s="2567"/>
      <c r="AV53" s="2567"/>
      <c r="AW53" s="2567"/>
      <c r="AX53" s="2567"/>
      <c r="AY53" s="2567"/>
      <c r="AZ53" s="2567"/>
      <c r="BA53" s="53"/>
      <c r="BB53" s="53"/>
      <c r="BC53" s="53"/>
      <c r="BD53" s="53"/>
      <c r="BE53" s="53"/>
      <c r="BF53" s="53"/>
      <c r="BG53" s="53"/>
      <c r="BH53" s="53"/>
      <c r="BI53" s="53"/>
      <c r="BJ53" s="53"/>
      <c r="BV53" s="50"/>
      <c r="BX53" s="53"/>
      <c r="BZ53" s="2557"/>
      <c r="CA53" s="2596"/>
      <c r="CB53" s="2596"/>
      <c r="CM53" s="2569"/>
      <c r="CN53" s="2569"/>
    </row>
    <row r="54" spans="1:96" ht="15" customHeight="1">
      <c r="A54" s="284" t="s">
        <v>1471</v>
      </c>
      <c r="B54" s="523">
        <f t="shared" si="0"/>
        <v>0</v>
      </c>
      <c r="C54" s="524">
        <f t="shared" si="1"/>
        <v>0</v>
      </c>
      <c r="D54" s="525">
        <f t="shared" si="1"/>
        <v>0</v>
      </c>
      <c r="E54" s="1013"/>
      <c r="F54" s="1014"/>
      <c r="G54" s="1013"/>
      <c r="H54" s="1014"/>
      <c r="I54" s="1013"/>
      <c r="J54" s="1015"/>
      <c r="K54" s="1013"/>
      <c r="L54" s="1015"/>
      <c r="M54" s="1013"/>
      <c r="N54" s="1015"/>
      <c r="O54" s="1023"/>
      <c r="P54" s="1015"/>
      <c r="Q54" s="1023"/>
      <c r="R54" s="1015"/>
      <c r="S54" s="1023"/>
      <c r="T54" s="1015"/>
      <c r="U54" s="1023"/>
      <c r="V54" s="1015"/>
      <c r="W54" s="1023"/>
      <c r="X54" s="1015"/>
      <c r="Y54" s="1023"/>
      <c r="Z54" s="1015"/>
      <c r="AA54" s="1023"/>
      <c r="AB54" s="1015"/>
      <c r="AC54" s="1023"/>
      <c r="AD54" s="1015"/>
      <c r="AE54" s="1023"/>
      <c r="AF54" s="1015"/>
      <c r="AG54" s="1023"/>
      <c r="AH54" s="1015"/>
      <c r="AI54" s="1023"/>
      <c r="AJ54" s="1015"/>
      <c r="AK54" s="1023"/>
      <c r="AL54" s="1024"/>
      <c r="AM54" s="2639"/>
      <c r="AN54" s="1183"/>
      <c r="AO54" s="1082"/>
      <c r="AP54" s="2642" t="str">
        <f t="shared" si="30"/>
        <v/>
      </c>
      <c r="AQ54" s="2567"/>
      <c r="AR54" s="2567"/>
      <c r="AS54" s="2567"/>
      <c r="AT54" s="2567"/>
      <c r="AU54" s="2567"/>
      <c r="AV54" s="2567"/>
      <c r="AW54" s="2567"/>
      <c r="AX54" s="2567"/>
      <c r="AY54" s="2567"/>
      <c r="AZ54" s="2567"/>
      <c r="BA54" s="53"/>
      <c r="BB54" s="53"/>
      <c r="BC54" s="53"/>
      <c r="BD54" s="53"/>
      <c r="BE54" s="53"/>
      <c r="BF54" s="53"/>
      <c r="BG54" s="53"/>
      <c r="BH54" s="53"/>
      <c r="BI54" s="53"/>
      <c r="BJ54" s="53"/>
      <c r="BV54" s="50"/>
      <c r="BX54" s="53"/>
      <c r="BZ54" s="2557"/>
      <c r="CA54" s="2568" t="str">
        <f t="shared" si="28"/>
        <v/>
      </c>
      <c r="CB54" s="2568" t="str">
        <f t="shared" si="29"/>
        <v/>
      </c>
      <c r="CM54" s="2569">
        <f t="shared" si="10"/>
        <v>0</v>
      </c>
      <c r="CN54" s="2569">
        <f t="shared" si="27"/>
        <v>0</v>
      </c>
    </row>
    <row r="55" spans="1:96" ht="15" customHeight="1">
      <c r="A55" s="284" t="s">
        <v>113</v>
      </c>
      <c r="B55" s="523">
        <f t="shared" si="0"/>
        <v>0</v>
      </c>
      <c r="C55" s="524">
        <f t="shared" si="1"/>
        <v>0</v>
      </c>
      <c r="D55" s="525">
        <f t="shared" si="1"/>
        <v>0</v>
      </c>
      <c r="E55" s="1013"/>
      <c r="F55" s="1014"/>
      <c r="G55" s="1013"/>
      <c r="H55" s="1014"/>
      <c r="I55" s="1013"/>
      <c r="J55" s="1015"/>
      <c r="K55" s="1013"/>
      <c r="L55" s="1015"/>
      <c r="M55" s="1013"/>
      <c r="N55" s="1015"/>
      <c r="O55" s="1023"/>
      <c r="P55" s="1015"/>
      <c r="Q55" s="1023"/>
      <c r="R55" s="1015"/>
      <c r="S55" s="1023"/>
      <c r="T55" s="1015"/>
      <c r="U55" s="1023"/>
      <c r="V55" s="1015"/>
      <c r="W55" s="1023"/>
      <c r="X55" s="1015"/>
      <c r="Y55" s="1023"/>
      <c r="Z55" s="1015"/>
      <c r="AA55" s="1023"/>
      <c r="AB55" s="1015"/>
      <c r="AC55" s="1023"/>
      <c r="AD55" s="1015"/>
      <c r="AE55" s="1023"/>
      <c r="AF55" s="1015"/>
      <c r="AG55" s="1023"/>
      <c r="AH55" s="1015"/>
      <c r="AI55" s="1023"/>
      <c r="AJ55" s="1015"/>
      <c r="AK55" s="1023"/>
      <c r="AL55" s="1024"/>
      <c r="AM55" s="2639"/>
      <c r="AN55" s="1183"/>
      <c r="AO55" s="1082"/>
      <c r="AP55" s="2642" t="str">
        <f t="shared" si="30"/>
        <v/>
      </c>
      <c r="AQ55" s="2567"/>
      <c r="AR55" s="2567"/>
      <c r="AS55" s="2567"/>
      <c r="AT55" s="2567"/>
      <c r="AU55" s="2567"/>
      <c r="AV55" s="2567"/>
      <c r="AW55" s="2567"/>
      <c r="AX55" s="2567"/>
      <c r="AY55" s="2567"/>
      <c r="AZ55" s="2567"/>
      <c r="BA55" s="53"/>
      <c r="BB55" s="53"/>
      <c r="BC55" s="53"/>
      <c r="BD55" s="53"/>
      <c r="BE55" s="53"/>
      <c r="BF55" s="53"/>
      <c r="BG55" s="53"/>
      <c r="BH55" s="53"/>
      <c r="BI55" s="53"/>
      <c r="BJ55" s="53"/>
      <c r="BV55" s="50"/>
      <c r="BX55" s="53"/>
      <c r="BZ55" s="2557"/>
      <c r="CA55" s="2568" t="str">
        <f t="shared" si="28"/>
        <v/>
      </c>
      <c r="CB55" s="2568" t="str">
        <f t="shared" si="29"/>
        <v/>
      </c>
      <c r="CM55" s="2569">
        <f t="shared" si="10"/>
        <v>0</v>
      </c>
      <c r="CN55" s="2569">
        <f t="shared" si="27"/>
        <v>0</v>
      </c>
    </row>
    <row r="56" spans="1:96" ht="15" customHeight="1">
      <c r="A56" s="490" t="s">
        <v>1106</v>
      </c>
      <c r="B56" s="491">
        <f t="shared" si="0"/>
        <v>0</v>
      </c>
      <c r="C56" s="526">
        <f t="shared" si="1"/>
        <v>0</v>
      </c>
      <c r="D56" s="493">
        <f t="shared" si="1"/>
        <v>0</v>
      </c>
      <c r="E56" s="1053"/>
      <c r="F56" s="1054"/>
      <c r="G56" s="1053"/>
      <c r="H56" s="1054"/>
      <c r="I56" s="1053"/>
      <c r="J56" s="1052"/>
      <c r="K56" s="1053"/>
      <c r="L56" s="1052"/>
      <c r="M56" s="1053"/>
      <c r="N56" s="1052"/>
      <c r="O56" s="1056"/>
      <c r="P56" s="1052"/>
      <c r="Q56" s="1056"/>
      <c r="R56" s="1052"/>
      <c r="S56" s="1056"/>
      <c r="T56" s="1052"/>
      <c r="U56" s="1056"/>
      <c r="V56" s="1052"/>
      <c r="W56" s="1056"/>
      <c r="X56" s="1052"/>
      <c r="Y56" s="1056"/>
      <c r="Z56" s="1052"/>
      <c r="AA56" s="1056"/>
      <c r="AB56" s="1052"/>
      <c r="AC56" s="1056"/>
      <c r="AD56" s="1052"/>
      <c r="AE56" s="1056"/>
      <c r="AF56" s="1052"/>
      <c r="AG56" s="1056"/>
      <c r="AH56" s="1052"/>
      <c r="AI56" s="1056"/>
      <c r="AJ56" s="1052"/>
      <c r="AK56" s="1056"/>
      <c r="AL56" s="1057"/>
      <c r="AM56" s="2640"/>
      <c r="AN56" s="1136"/>
      <c r="AO56" s="2628"/>
      <c r="AP56" s="2642" t="str">
        <f t="shared" si="30"/>
        <v/>
      </c>
      <c r="AQ56" s="2567"/>
      <c r="AR56" s="2567"/>
      <c r="AS56" s="2567"/>
      <c r="AT56" s="2567"/>
      <c r="AU56" s="2567"/>
      <c r="AV56" s="2567"/>
      <c r="AW56" s="2567"/>
      <c r="AX56" s="2567"/>
      <c r="AY56" s="2567"/>
      <c r="AZ56" s="2567"/>
      <c r="BA56" s="53"/>
      <c r="BB56" s="53"/>
      <c r="BC56" s="53"/>
      <c r="BD56" s="53"/>
      <c r="BE56" s="53"/>
      <c r="BF56" s="53"/>
      <c r="BG56" s="53"/>
      <c r="BH56" s="53"/>
      <c r="BI56" s="53"/>
      <c r="BJ56" s="53"/>
      <c r="BV56" s="50"/>
      <c r="BX56" s="53"/>
      <c r="BZ56" s="2557"/>
      <c r="CA56" s="2568" t="str">
        <f t="shared" si="28"/>
        <v/>
      </c>
      <c r="CB56" s="2568" t="str">
        <f t="shared" si="29"/>
        <v/>
      </c>
      <c r="CM56" s="2569">
        <f t="shared" si="10"/>
        <v>0</v>
      </c>
      <c r="CN56" s="2569">
        <f t="shared" si="27"/>
        <v>0</v>
      </c>
    </row>
    <row r="57" spans="1:96" s="970" customFormat="1" ht="18" customHeight="1">
      <c r="A57" s="2643" t="s">
        <v>1475</v>
      </c>
      <c r="B57" s="2643"/>
      <c r="C57" s="2643"/>
      <c r="D57" s="2643"/>
      <c r="E57" s="2643"/>
      <c r="F57" s="2643"/>
      <c r="G57" s="2643"/>
      <c r="H57" s="2643"/>
      <c r="I57" s="2643"/>
      <c r="J57" s="2644"/>
      <c r="K57" s="2644"/>
      <c r="L57" s="2644"/>
      <c r="M57" s="2644"/>
      <c r="N57" s="2644"/>
      <c r="O57" s="2644"/>
      <c r="P57" s="2644"/>
      <c r="Q57" s="2644"/>
      <c r="R57" s="2644"/>
      <c r="S57" s="2644"/>
      <c r="T57" s="2644"/>
      <c r="U57" s="2644"/>
      <c r="V57" s="2644"/>
      <c r="W57" s="2644"/>
      <c r="X57" s="2644"/>
      <c r="Y57" s="2644"/>
      <c r="Z57" s="2644"/>
      <c r="AA57" s="2644"/>
      <c r="AB57" s="2644"/>
      <c r="AC57" s="2644"/>
      <c r="AD57" s="2644"/>
      <c r="AE57" s="2644"/>
      <c r="AF57" s="2644"/>
      <c r="AG57" s="2644"/>
      <c r="AH57" s="2644"/>
      <c r="AI57" s="2644"/>
      <c r="AJ57" s="2644"/>
      <c r="AK57" s="2644"/>
      <c r="AL57" s="2644"/>
      <c r="AM57" s="2644"/>
      <c r="AN57" s="2644"/>
      <c r="AO57" s="2558"/>
      <c r="AP57" s="2558"/>
      <c r="AQ57" s="2558"/>
      <c r="AR57" s="2563"/>
      <c r="AS57" s="2563"/>
      <c r="AT57" s="2558"/>
      <c r="AU57" s="2558"/>
      <c r="AV57" s="2558"/>
      <c r="AW57" s="2558"/>
      <c r="AX57" s="2558"/>
      <c r="AY57" s="2558"/>
      <c r="AZ57" s="2558"/>
      <c r="BA57" s="2558"/>
      <c r="BB57" s="2558"/>
      <c r="BC57" s="2558"/>
      <c r="BD57" s="2558"/>
      <c r="BE57" s="2558"/>
      <c r="BF57" s="2558"/>
      <c r="BG57" s="2558"/>
      <c r="BH57" s="2558"/>
      <c r="BI57" s="2558"/>
      <c r="BJ57" s="2558"/>
      <c r="BK57" s="2558"/>
      <c r="BL57" s="2558"/>
      <c r="BM57" s="2558"/>
      <c r="BN57" s="2558"/>
      <c r="BO57" s="2558"/>
      <c r="BP57" s="2558"/>
      <c r="BQ57" s="2558"/>
      <c r="BR57" s="2558"/>
      <c r="BS57" s="2558"/>
      <c r="BT57" s="2558"/>
      <c r="BU57" s="2558"/>
      <c r="BV57" s="2563"/>
      <c r="BW57" s="2563"/>
      <c r="BX57" s="2563"/>
      <c r="BY57" s="2563"/>
    </row>
    <row r="58" spans="1:96" ht="16.350000000000001" customHeight="1">
      <c r="A58" s="5627" t="s">
        <v>1476</v>
      </c>
      <c r="B58" s="6507" t="s">
        <v>91</v>
      </c>
      <c r="C58" s="6508"/>
      <c r="D58" s="6509"/>
      <c r="E58" s="6541" t="s">
        <v>115</v>
      </c>
      <c r="F58" s="6542"/>
      <c r="G58" s="6542"/>
      <c r="H58" s="6542"/>
      <c r="I58" s="6542"/>
      <c r="J58" s="6542"/>
      <c r="K58" s="6542"/>
      <c r="L58" s="6542"/>
      <c r="M58" s="6542"/>
      <c r="N58" s="6542"/>
      <c r="O58" s="6542"/>
      <c r="P58" s="6542"/>
      <c r="Q58" s="6542"/>
      <c r="R58" s="6542"/>
      <c r="S58" s="6542"/>
      <c r="T58" s="6542"/>
      <c r="U58" s="6542"/>
      <c r="V58" s="6542"/>
      <c r="W58" s="6542"/>
      <c r="X58" s="6542"/>
      <c r="Y58" s="6542"/>
      <c r="Z58" s="6542"/>
      <c r="AA58" s="6542"/>
      <c r="AB58" s="6542"/>
      <c r="AC58" s="6542"/>
      <c r="AD58" s="6542"/>
      <c r="AE58" s="6542"/>
      <c r="AF58" s="6542"/>
      <c r="AG58" s="6542"/>
      <c r="AH58" s="6542"/>
      <c r="AI58" s="6542"/>
      <c r="AJ58" s="6542"/>
      <c r="AK58" s="6542"/>
      <c r="AL58" s="6543"/>
      <c r="AM58" s="6544" t="s">
        <v>1477</v>
      </c>
      <c r="AN58" s="5655"/>
      <c r="AO58" s="2562"/>
      <c r="AP58" s="2562"/>
      <c r="AQ58" s="2562"/>
      <c r="AR58" s="2646"/>
      <c r="AS58" s="2646"/>
      <c r="AT58" s="2562"/>
      <c r="BX58" s="53"/>
      <c r="BY58" s="53"/>
    </row>
    <row r="59" spans="1:96" ht="16.350000000000001" customHeight="1">
      <c r="A59" s="5644"/>
      <c r="B59" s="6510"/>
      <c r="C59" s="6511"/>
      <c r="D59" s="6512"/>
      <c r="E59" s="5646" t="s">
        <v>364</v>
      </c>
      <c r="F59" s="5646"/>
      <c r="G59" s="5646" t="s">
        <v>347</v>
      </c>
      <c r="H59" s="5646"/>
      <c r="I59" s="5646" t="s">
        <v>108</v>
      </c>
      <c r="J59" s="5646"/>
      <c r="K59" s="5646" t="s">
        <v>58</v>
      </c>
      <c r="L59" s="5646"/>
      <c r="M59" s="5646" t="s">
        <v>59</v>
      </c>
      <c r="N59" s="5646"/>
      <c r="O59" s="6035" t="s">
        <v>60</v>
      </c>
      <c r="P59" s="6035"/>
      <c r="Q59" s="6035" t="s">
        <v>61</v>
      </c>
      <c r="R59" s="6035"/>
      <c r="S59" s="6035" t="s">
        <v>62</v>
      </c>
      <c r="T59" s="6035"/>
      <c r="U59" s="6035" t="s">
        <v>63</v>
      </c>
      <c r="V59" s="6035"/>
      <c r="W59" s="6035" t="s">
        <v>64</v>
      </c>
      <c r="X59" s="6035"/>
      <c r="Y59" s="6035" t="s">
        <v>65</v>
      </c>
      <c r="Z59" s="6035"/>
      <c r="AA59" s="6035" t="s">
        <v>66</v>
      </c>
      <c r="AB59" s="6035"/>
      <c r="AC59" s="6035" t="s">
        <v>67</v>
      </c>
      <c r="AD59" s="6035"/>
      <c r="AE59" s="6035" t="s">
        <v>68</v>
      </c>
      <c r="AF59" s="6035"/>
      <c r="AG59" s="6035" t="s">
        <v>69</v>
      </c>
      <c r="AH59" s="6035"/>
      <c r="AI59" s="6035" t="s">
        <v>70</v>
      </c>
      <c r="AJ59" s="6035"/>
      <c r="AK59" s="6035" t="s">
        <v>71</v>
      </c>
      <c r="AL59" s="6505"/>
      <c r="AM59" s="6545"/>
      <c r="AN59" s="5656"/>
      <c r="AO59" s="2646"/>
      <c r="AP59" s="2646"/>
      <c r="AQ59" s="2646"/>
      <c r="AR59" s="2646"/>
      <c r="AS59" s="2646"/>
      <c r="AT59" s="2646"/>
      <c r="AU59" s="53"/>
      <c r="AV59" s="53"/>
      <c r="AW59" s="53"/>
      <c r="AX59" s="53"/>
      <c r="AY59" s="53"/>
      <c r="AZ59" s="53"/>
      <c r="BA59" s="53"/>
      <c r="BB59" s="53"/>
      <c r="BC59" s="53"/>
      <c r="BX59" s="53"/>
      <c r="BY59" s="53"/>
    </row>
    <row r="60" spans="1:96" ht="32.1" customHeight="1">
      <c r="A60" s="5731"/>
      <c r="B60" s="499" t="s">
        <v>93</v>
      </c>
      <c r="C60" s="61" t="s">
        <v>72</v>
      </c>
      <c r="D60" s="76" t="s">
        <v>73</v>
      </c>
      <c r="E60" s="75" t="s">
        <v>72</v>
      </c>
      <c r="F60" s="76" t="s">
        <v>73</v>
      </c>
      <c r="G60" s="75" t="s">
        <v>72</v>
      </c>
      <c r="H60" s="76" t="s">
        <v>73</v>
      </c>
      <c r="I60" s="75" t="s">
        <v>72</v>
      </c>
      <c r="J60" s="76" t="s">
        <v>73</v>
      </c>
      <c r="K60" s="75" t="s">
        <v>72</v>
      </c>
      <c r="L60" s="76" t="s">
        <v>73</v>
      </c>
      <c r="M60" s="75" t="s">
        <v>72</v>
      </c>
      <c r="N60" s="76" t="s">
        <v>73</v>
      </c>
      <c r="O60" s="75" t="s">
        <v>72</v>
      </c>
      <c r="P60" s="76" t="s">
        <v>73</v>
      </c>
      <c r="Q60" s="75" t="s">
        <v>72</v>
      </c>
      <c r="R60" s="76" t="s">
        <v>73</v>
      </c>
      <c r="S60" s="75" t="s">
        <v>72</v>
      </c>
      <c r="T60" s="76" t="s">
        <v>73</v>
      </c>
      <c r="U60" s="75" t="s">
        <v>72</v>
      </c>
      <c r="V60" s="59" t="s">
        <v>73</v>
      </c>
      <c r="W60" s="75" t="s">
        <v>72</v>
      </c>
      <c r="X60" s="76" t="s">
        <v>73</v>
      </c>
      <c r="Y60" s="75" t="s">
        <v>72</v>
      </c>
      <c r="Z60" s="76" t="s">
        <v>73</v>
      </c>
      <c r="AA60" s="75" t="s">
        <v>72</v>
      </c>
      <c r="AB60" s="76" t="s">
        <v>73</v>
      </c>
      <c r="AC60" s="75" t="s">
        <v>72</v>
      </c>
      <c r="AD60" s="76" t="s">
        <v>73</v>
      </c>
      <c r="AE60" s="75" t="s">
        <v>72</v>
      </c>
      <c r="AF60" s="76" t="s">
        <v>73</v>
      </c>
      <c r="AG60" s="75" t="s">
        <v>72</v>
      </c>
      <c r="AH60" s="76" t="s">
        <v>73</v>
      </c>
      <c r="AI60" s="75" t="s">
        <v>72</v>
      </c>
      <c r="AJ60" s="76" t="s">
        <v>73</v>
      </c>
      <c r="AK60" s="75" t="s">
        <v>72</v>
      </c>
      <c r="AL60" s="60" t="s">
        <v>73</v>
      </c>
      <c r="AM60" s="196" t="s">
        <v>1478</v>
      </c>
      <c r="AN60" s="76" t="s">
        <v>1479</v>
      </c>
      <c r="AO60" s="2646"/>
      <c r="AP60" s="2646"/>
      <c r="AQ60" s="2646"/>
      <c r="AR60" s="2646"/>
      <c r="AS60" s="2646"/>
      <c r="AT60" s="2646"/>
      <c r="AU60" s="53"/>
      <c r="AV60" s="53"/>
      <c r="AW60" s="53"/>
      <c r="AX60" s="53"/>
      <c r="AY60" s="53"/>
      <c r="AZ60" s="53"/>
      <c r="BA60" s="53"/>
      <c r="BB60" s="53"/>
      <c r="BC60" s="53"/>
      <c r="BX60" s="53"/>
      <c r="BY60" s="53"/>
    </row>
    <row r="61" spans="1:96" ht="15" customHeight="1">
      <c r="A61" s="2647" t="s">
        <v>1480</v>
      </c>
      <c r="B61" s="486">
        <f t="shared" si="0"/>
        <v>0</v>
      </c>
      <c r="C61" s="514">
        <f t="shared" si="1"/>
        <v>0</v>
      </c>
      <c r="D61" s="488">
        <f>SUM(F61+H61+J61+L61+N61+P61+R61+T61+V61+X61+Z61+AB61+AD61+AF61+AH61+AJ61+AL61)</f>
        <v>0</v>
      </c>
      <c r="E61" s="1003"/>
      <c r="F61" s="1004"/>
      <c r="G61" s="1003"/>
      <c r="H61" s="1005"/>
      <c r="I61" s="1003"/>
      <c r="J61" s="1005"/>
      <c r="K61" s="1003"/>
      <c r="L61" s="1005"/>
      <c r="M61" s="1003"/>
      <c r="N61" s="1005"/>
      <c r="O61" s="1003"/>
      <c r="P61" s="1005"/>
      <c r="Q61" s="1003"/>
      <c r="R61" s="1005"/>
      <c r="S61" s="1003"/>
      <c r="T61" s="1005"/>
      <c r="U61" s="1003"/>
      <c r="V61" s="2648"/>
      <c r="W61" s="1003"/>
      <c r="X61" s="1005"/>
      <c r="Y61" s="1003"/>
      <c r="Z61" s="1005"/>
      <c r="AA61" s="1003"/>
      <c r="AB61" s="1005"/>
      <c r="AC61" s="1003"/>
      <c r="AD61" s="1005"/>
      <c r="AE61" s="1003"/>
      <c r="AF61" s="1005"/>
      <c r="AG61" s="1003"/>
      <c r="AH61" s="1005"/>
      <c r="AI61" s="1003"/>
      <c r="AJ61" s="1005"/>
      <c r="AK61" s="2649"/>
      <c r="AL61" s="1068"/>
      <c r="AM61" s="1067"/>
      <c r="AN61" s="1005"/>
      <c r="AO61" s="2642" t="str">
        <f t="shared" si="24"/>
        <v/>
      </c>
      <c r="AP61" s="2567"/>
      <c r="AQ61" s="2567"/>
      <c r="AR61" s="2567"/>
      <c r="AS61" s="2567"/>
      <c r="AT61" s="2567"/>
      <c r="AU61" s="2567"/>
      <c r="AV61" s="2567"/>
      <c r="AW61" s="2567"/>
      <c r="AX61" s="2567"/>
      <c r="AY61" s="2567"/>
      <c r="AZ61" s="2567"/>
      <c r="BA61" s="53"/>
      <c r="BB61" s="53"/>
      <c r="BC61" s="53"/>
      <c r="BX61" s="53"/>
      <c r="BY61" s="53"/>
      <c r="CA61" s="2568" t="str">
        <f t="shared" ref="CA61:CA65" si="31">IF(AND($B61&gt;0,AM61="")," *No olvide digitar la variable "&amp;AM$58&amp;""&amp;" Discrecional. Digite CERO si no tiene",IF(AM61&gt;$B61," *La variable "&amp;AM$58&amp;""&amp;" Discrecional No puede ser mayor al Total Ambos Sexos.",""))</f>
        <v/>
      </c>
      <c r="CB61" s="2568" t="str">
        <f t="shared" ref="CB61:CB65" si="32">IF(AND($B61&gt;0,AN61="")," *No olvide digitar la variable "&amp;AM$58&amp;""&amp;" Estructurado (ESI). Digite CERO si no tiene",IF(AN61&gt;$B61," *La variable "&amp;AM$58&amp;""&amp;" Estructurado (ESI) No puede ser mayor al Total Ambos Sexos.",""))</f>
        <v/>
      </c>
      <c r="CM61" s="2569">
        <f t="shared" si="10"/>
        <v>0</v>
      </c>
      <c r="CN61" s="2569">
        <f t="shared" ref="CN61:CN65" si="33">IF(AND($B61&gt;0,AN61=""),1,IF(AN61&gt;$B61,1,0))</f>
        <v>0</v>
      </c>
    </row>
    <row r="62" spans="1:96" ht="15" customHeight="1">
      <c r="A62" s="2650" t="s">
        <v>1481</v>
      </c>
      <c r="B62" s="523">
        <f t="shared" si="0"/>
        <v>0</v>
      </c>
      <c r="C62" s="524">
        <f t="shared" si="1"/>
        <v>0</v>
      </c>
      <c r="D62" s="525">
        <f t="shared" si="1"/>
        <v>0</v>
      </c>
      <c r="E62" s="1013"/>
      <c r="F62" s="1014"/>
      <c r="G62" s="1013"/>
      <c r="H62" s="1015"/>
      <c r="I62" s="1013"/>
      <c r="J62" s="1015"/>
      <c r="K62" s="1013"/>
      <c r="L62" s="1015"/>
      <c r="M62" s="1013"/>
      <c r="N62" s="1015"/>
      <c r="O62" s="1013"/>
      <c r="P62" s="1015"/>
      <c r="Q62" s="1013"/>
      <c r="R62" s="1015"/>
      <c r="S62" s="1013"/>
      <c r="T62" s="1015"/>
      <c r="U62" s="1013"/>
      <c r="V62" s="2651"/>
      <c r="W62" s="1013"/>
      <c r="X62" s="1015"/>
      <c r="Y62" s="1013"/>
      <c r="Z62" s="1015"/>
      <c r="AA62" s="1013"/>
      <c r="AB62" s="1015"/>
      <c r="AC62" s="1013"/>
      <c r="AD62" s="1015"/>
      <c r="AE62" s="1013"/>
      <c r="AF62" s="1015"/>
      <c r="AG62" s="1013"/>
      <c r="AH62" s="1015"/>
      <c r="AI62" s="1013"/>
      <c r="AJ62" s="1015"/>
      <c r="AK62" s="1023"/>
      <c r="AL62" s="1024"/>
      <c r="AM62" s="1078"/>
      <c r="AN62" s="1015"/>
      <c r="AO62" s="2642" t="str">
        <f t="shared" si="24"/>
        <v/>
      </c>
      <c r="AP62" s="2567"/>
      <c r="AQ62" s="2567"/>
      <c r="AR62" s="2567"/>
      <c r="AS62" s="2567"/>
      <c r="AT62" s="2567"/>
      <c r="AU62" s="2567"/>
      <c r="AV62" s="2567"/>
      <c r="AW62" s="2567"/>
      <c r="AX62" s="2567"/>
      <c r="AY62" s="2567"/>
      <c r="AZ62" s="2567"/>
      <c r="BA62" s="53"/>
      <c r="BB62" s="53"/>
      <c r="BC62" s="53"/>
      <c r="BX62" s="53"/>
      <c r="BY62" s="53"/>
      <c r="CA62" s="2568" t="str">
        <f t="shared" si="31"/>
        <v/>
      </c>
      <c r="CB62" s="2568" t="str">
        <f t="shared" si="32"/>
        <v/>
      </c>
      <c r="CM62" s="2569">
        <f t="shared" si="10"/>
        <v>0</v>
      </c>
      <c r="CN62" s="2569">
        <f t="shared" si="33"/>
        <v>0</v>
      </c>
    </row>
    <row r="63" spans="1:96" ht="15" customHeight="1">
      <c r="A63" s="2650" t="s">
        <v>1482</v>
      </c>
      <c r="B63" s="523">
        <f t="shared" si="0"/>
        <v>0</v>
      </c>
      <c r="C63" s="524">
        <f t="shared" si="1"/>
        <v>0</v>
      </c>
      <c r="D63" s="525">
        <f t="shared" si="1"/>
        <v>0</v>
      </c>
      <c r="E63" s="1013"/>
      <c r="F63" s="1014"/>
      <c r="G63" s="1013"/>
      <c r="H63" s="1015"/>
      <c r="I63" s="1013"/>
      <c r="J63" s="1015"/>
      <c r="K63" s="1013"/>
      <c r="L63" s="1015"/>
      <c r="M63" s="1013"/>
      <c r="N63" s="1015"/>
      <c r="O63" s="1013"/>
      <c r="P63" s="1015"/>
      <c r="Q63" s="1013"/>
      <c r="R63" s="1015"/>
      <c r="S63" s="1013"/>
      <c r="T63" s="1015"/>
      <c r="U63" s="1013"/>
      <c r="V63" s="2651"/>
      <c r="W63" s="1013"/>
      <c r="X63" s="1015"/>
      <c r="Y63" s="1013"/>
      <c r="Z63" s="1015"/>
      <c r="AA63" s="1013"/>
      <c r="AB63" s="1015"/>
      <c r="AC63" s="1013"/>
      <c r="AD63" s="1015"/>
      <c r="AE63" s="1013"/>
      <c r="AF63" s="1015"/>
      <c r="AG63" s="1013"/>
      <c r="AH63" s="1015"/>
      <c r="AI63" s="1013"/>
      <c r="AJ63" s="1015"/>
      <c r="AK63" s="1023"/>
      <c r="AL63" s="1024"/>
      <c r="AM63" s="1078"/>
      <c r="AN63" s="1015"/>
      <c r="AO63" s="2642" t="str">
        <f t="shared" si="24"/>
        <v/>
      </c>
      <c r="AP63" s="2567"/>
      <c r="AQ63" s="2567"/>
      <c r="AR63" s="2567"/>
      <c r="AS63" s="2567"/>
      <c r="AT63" s="2567"/>
      <c r="AU63" s="2567"/>
      <c r="AV63" s="2567"/>
      <c r="AW63" s="2567"/>
      <c r="AX63" s="2567"/>
      <c r="AY63" s="2567"/>
      <c r="AZ63" s="2567"/>
      <c r="BA63" s="53"/>
      <c r="BB63" s="53"/>
      <c r="BC63" s="53"/>
      <c r="BX63" s="53"/>
      <c r="BY63" s="53"/>
      <c r="CA63" s="2568" t="str">
        <f t="shared" si="31"/>
        <v/>
      </c>
      <c r="CB63" s="2568" t="str">
        <f t="shared" si="32"/>
        <v/>
      </c>
      <c r="CM63" s="2569">
        <f t="shared" si="10"/>
        <v>0</v>
      </c>
      <c r="CN63" s="2569">
        <f t="shared" si="33"/>
        <v>0</v>
      </c>
    </row>
    <row r="64" spans="1:96" ht="15" customHeight="1">
      <c r="A64" s="2650" t="s">
        <v>1483</v>
      </c>
      <c r="B64" s="523">
        <f t="shared" si="0"/>
        <v>0</v>
      </c>
      <c r="C64" s="524">
        <f t="shared" si="1"/>
        <v>0</v>
      </c>
      <c r="D64" s="525">
        <f t="shared" si="1"/>
        <v>0</v>
      </c>
      <c r="E64" s="1013"/>
      <c r="F64" s="1014"/>
      <c r="G64" s="1013"/>
      <c r="H64" s="1015"/>
      <c r="I64" s="1013"/>
      <c r="J64" s="1015"/>
      <c r="K64" s="1013"/>
      <c r="L64" s="1015"/>
      <c r="M64" s="1013"/>
      <c r="N64" s="1015"/>
      <c r="O64" s="1013"/>
      <c r="P64" s="1015"/>
      <c r="Q64" s="1013"/>
      <c r="R64" s="1015"/>
      <c r="S64" s="1013"/>
      <c r="T64" s="1015"/>
      <c r="U64" s="1013"/>
      <c r="V64" s="2651"/>
      <c r="W64" s="1013"/>
      <c r="X64" s="1015"/>
      <c r="Y64" s="1013"/>
      <c r="Z64" s="1015"/>
      <c r="AA64" s="1013"/>
      <c r="AB64" s="1015"/>
      <c r="AC64" s="1013"/>
      <c r="AD64" s="1015"/>
      <c r="AE64" s="1013"/>
      <c r="AF64" s="1015"/>
      <c r="AG64" s="1013"/>
      <c r="AH64" s="1015"/>
      <c r="AI64" s="1013"/>
      <c r="AJ64" s="1015"/>
      <c r="AK64" s="1023"/>
      <c r="AL64" s="1024"/>
      <c r="AM64" s="1078"/>
      <c r="AN64" s="1015"/>
      <c r="AO64" s="2642" t="str">
        <f t="shared" si="24"/>
        <v/>
      </c>
      <c r="AP64" s="2567"/>
      <c r="AQ64" s="2567"/>
      <c r="AR64" s="2567"/>
      <c r="AS64" s="2567"/>
      <c r="AT64" s="2567"/>
      <c r="AU64" s="2567"/>
      <c r="AV64" s="2567"/>
      <c r="AW64" s="2567"/>
      <c r="AX64" s="2567"/>
      <c r="AY64" s="2567"/>
      <c r="AZ64" s="2567"/>
      <c r="BA64" s="53"/>
      <c r="BB64" s="53"/>
      <c r="BC64" s="53"/>
      <c r="BX64" s="53"/>
      <c r="BY64" s="53"/>
      <c r="CA64" s="2568" t="str">
        <f t="shared" si="31"/>
        <v/>
      </c>
      <c r="CB64" s="2568" t="str">
        <f t="shared" si="32"/>
        <v/>
      </c>
      <c r="CM64" s="2569">
        <f t="shared" si="10"/>
        <v>0</v>
      </c>
      <c r="CN64" s="2569">
        <f t="shared" si="33"/>
        <v>0</v>
      </c>
    </row>
    <row r="65" spans="1:95" ht="15" customHeight="1">
      <c r="A65" s="2652" t="s">
        <v>1484</v>
      </c>
      <c r="B65" s="545">
        <f t="shared" si="0"/>
        <v>0</v>
      </c>
      <c r="C65" s="546">
        <f t="shared" si="1"/>
        <v>0</v>
      </c>
      <c r="D65" s="547">
        <f t="shared" si="1"/>
        <v>0</v>
      </c>
      <c r="E65" s="1045"/>
      <c r="F65" s="1046"/>
      <c r="G65" s="1045"/>
      <c r="H65" s="1034"/>
      <c r="I65" s="1045"/>
      <c r="J65" s="1034"/>
      <c r="K65" s="1045"/>
      <c r="L65" s="1034"/>
      <c r="M65" s="1045"/>
      <c r="N65" s="1034"/>
      <c r="O65" s="1045"/>
      <c r="P65" s="1034"/>
      <c r="Q65" s="1045"/>
      <c r="R65" s="1034"/>
      <c r="S65" s="1045"/>
      <c r="T65" s="1034"/>
      <c r="U65" s="1045"/>
      <c r="V65" s="2653"/>
      <c r="W65" s="1045"/>
      <c r="X65" s="1034"/>
      <c r="Y65" s="1045"/>
      <c r="Z65" s="1034"/>
      <c r="AA65" s="1045"/>
      <c r="AB65" s="1034"/>
      <c r="AC65" s="1045"/>
      <c r="AD65" s="1034"/>
      <c r="AE65" s="1045"/>
      <c r="AF65" s="1034"/>
      <c r="AG65" s="1045"/>
      <c r="AH65" s="1034"/>
      <c r="AI65" s="1045"/>
      <c r="AJ65" s="1034"/>
      <c r="AK65" s="1047"/>
      <c r="AL65" s="1042"/>
      <c r="AM65" s="1320"/>
      <c r="AN65" s="1034"/>
      <c r="AO65" s="2642" t="str">
        <f t="shared" si="24"/>
        <v/>
      </c>
      <c r="AP65" s="2567"/>
      <c r="AQ65" s="2567"/>
      <c r="AR65" s="2567"/>
      <c r="AS65" s="2567"/>
      <c r="AT65" s="2567"/>
      <c r="AU65" s="2567"/>
      <c r="AV65" s="2567"/>
      <c r="AW65" s="2567"/>
      <c r="AX65" s="2567"/>
      <c r="AY65" s="2567"/>
      <c r="AZ65" s="2567"/>
      <c r="BA65" s="53"/>
      <c r="BB65" s="53"/>
      <c r="BC65" s="53"/>
      <c r="BX65" s="53"/>
      <c r="BY65" s="53"/>
      <c r="CA65" s="2568" t="str">
        <f t="shared" si="31"/>
        <v/>
      </c>
      <c r="CB65" s="2568" t="str">
        <f t="shared" si="32"/>
        <v/>
      </c>
      <c r="CM65" s="2569">
        <f t="shared" si="10"/>
        <v>0</v>
      </c>
      <c r="CN65" s="2569">
        <f t="shared" si="33"/>
        <v>0</v>
      </c>
    </row>
    <row r="66" spans="1:95" ht="15" customHeight="1">
      <c r="A66" s="2654" t="s">
        <v>1485</v>
      </c>
      <c r="B66" s="491">
        <f t="shared" si="0"/>
        <v>0</v>
      </c>
      <c r="C66" s="526">
        <f t="shared" si="1"/>
        <v>0</v>
      </c>
      <c r="D66" s="493">
        <f t="shared" si="1"/>
        <v>0</v>
      </c>
      <c r="E66" s="1053"/>
      <c r="F66" s="1054"/>
      <c r="G66" s="1053"/>
      <c r="H66" s="1052"/>
      <c r="I66" s="1053"/>
      <c r="J66" s="1052"/>
      <c r="K66" s="1053"/>
      <c r="L66" s="1052"/>
      <c r="M66" s="1053"/>
      <c r="N66" s="1052"/>
      <c r="O66" s="1053"/>
      <c r="P66" s="1052"/>
      <c r="Q66" s="1053"/>
      <c r="R66" s="1052"/>
      <c r="S66" s="1053"/>
      <c r="T66" s="1052"/>
      <c r="U66" s="1053"/>
      <c r="V66" s="2655"/>
      <c r="W66" s="1053"/>
      <c r="X66" s="1052"/>
      <c r="Y66" s="1053"/>
      <c r="Z66" s="1052"/>
      <c r="AA66" s="1053"/>
      <c r="AB66" s="1052"/>
      <c r="AC66" s="1053"/>
      <c r="AD66" s="1052"/>
      <c r="AE66" s="1053"/>
      <c r="AF66" s="1052"/>
      <c r="AG66" s="1053"/>
      <c r="AH66" s="1052"/>
      <c r="AI66" s="1053"/>
      <c r="AJ66" s="1052"/>
      <c r="AK66" s="1056"/>
      <c r="AL66" s="1057"/>
      <c r="AM66" s="2656"/>
      <c r="AN66" s="2657"/>
      <c r="AO66" s="2658"/>
      <c r="AP66" s="2567"/>
      <c r="AQ66" s="2567"/>
      <c r="AR66" s="2567"/>
      <c r="AS66" s="2567"/>
      <c r="AT66" s="2567"/>
      <c r="AU66" s="2567"/>
      <c r="AV66" s="2567"/>
      <c r="AW66" s="2567"/>
      <c r="AX66" s="2567"/>
      <c r="AY66" s="2567"/>
      <c r="AZ66" s="2567"/>
      <c r="BA66" s="53"/>
      <c r="BB66" s="53"/>
      <c r="BC66" s="53"/>
      <c r="BX66" s="53"/>
      <c r="BY66" s="53"/>
      <c r="CA66" s="2619"/>
      <c r="CB66" s="2619"/>
      <c r="CC66" s="970"/>
      <c r="CD66" s="970"/>
      <c r="CE66" s="970"/>
      <c r="CF66" s="970"/>
      <c r="CG66" s="970"/>
      <c r="CH66" s="970"/>
      <c r="CI66" s="970"/>
      <c r="CJ66" s="970"/>
      <c r="CK66" s="970"/>
      <c r="CL66" s="970"/>
      <c r="CM66" s="2619"/>
      <c r="CN66" s="2619"/>
    </row>
    <row r="67" spans="1:95" ht="15" customHeight="1">
      <c r="A67" s="58" t="s">
        <v>91</v>
      </c>
      <c r="B67" s="1141">
        <f t="shared" ref="B67:AL67" si="34">SUM(B61:B66)</f>
        <v>0</v>
      </c>
      <c r="C67" s="2659">
        <f t="shared" si="34"/>
        <v>0</v>
      </c>
      <c r="D67" s="482">
        <f t="shared" si="34"/>
        <v>0</v>
      </c>
      <c r="E67" s="570">
        <f t="shared" si="34"/>
        <v>0</v>
      </c>
      <c r="F67" s="289">
        <f t="shared" si="34"/>
        <v>0</v>
      </c>
      <c r="G67" s="570">
        <f t="shared" si="34"/>
        <v>0</v>
      </c>
      <c r="H67" s="574">
        <f t="shared" si="34"/>
        <v>0</v>
      </c>
      <c r="I67" s="570">
        <f t="shared" si="34"/>
        <v>0</v>
      </c>
      <c r="J67" s="574">
        <f t="shared" si="34"/>
        <v>0</v>
      </c>
      <c r="K67" s="570">
        <f t="shared" si="34"/>
        <v>0</v>
      </c>
      <c r="L67" s="574">
        <f t="shared" si="34"/>
        <v>0</v>
      </c>
      <c r="M67" s="570">
        <f t="shared" si="34"/>
        <v>0</v>
      </c>
      <c r="N67" s="574">
        <f t="shared" si="34"/>
        <v>0</v>
      </c>
      <c r="O67" s="570">
        <f t="shared" si="34"/>
        <v>0</v>
      </c>
      <c r="P67" s="574">
        <f t="shared" si="34"/>
        <v>0</v>
      </c>
      <c r="Q67" s="570">
        <f t="shared" si="34"/>
        <v>0</v>
      </c>
      <c r="R67" s="574">
        <f t="shared" si="34"/>
        <v>0</v>
      </c>
      <c r="S67" s="570">
        <f t="shared" si="34"/>
        <v>0</v>
      </c>
      <c r="T67" s="574">
        <f t="shared" si="34"/>
        <v>0</v>
      </c>
      <c r="U67" s="288">
        <f t="shared" si="34"/>
        <v>0</v>
      </c>
      <c r="V67" s="572">
        <f t="shared" si="34"/>
        <v>0</v>
      </c>
      <c r="W67" s="570">
        <f t="shared" si="34"/>
        <v>0</v>
      </c>
      <c r="X67" s="574">
        <f t="shared" si="34"/>
        <v>0</v>
      </c>
      <c r="Y67" s="570">
        <f t="shared" si="34"/>
        <v>0</v>
      </c>
      <c r="Z67" s="574">
        <f t="shared" si="34"/>
        <v>0</v>
      </c>
      <c r="AA67" s="570">
        <f t="shared" si="34"/>
        <v>0</v>
      </c>
      <c r="AB67" s="574">
        <f t="shared" si="34"/>
        <v>0</v>
      </c>
      <c r="AC67" s="570">
        <f t="shared" si="34"/>
        <v>0</v>
      </c>
      <c r="AD67" s="574">
        <f t="shared" si="34"/>
        <v>0</v>
      </c>
      <c r="AE67" s="570">
        <f t="shared" si="34"/>
        <v>0</v>
      </c>
      <c r="AF67" s="574">
        <f t="shared" si="34"/>
        <v>0</v>
      </c>
      <c r="AG67" s="570">
        <f t="shared" si="34"/>
        <v>0</v>
      </c>
      <c r="AH67" s="574">
        <f t="shared" si="34"/>
        <v>0</v>
      </c>
      <c r="AI67" s="570">
        <f t="shared" si="34"/>
        <v>0</v>
      </c>
      <c r="AJ67" s="574">
        <f t="shared" si="34"/>
        <v>0</v>
      </c>
      <c r="AK67" s="571">
        <f t="shared" si="34"/>
        <v>0</v>
      </c>
      <c r="AL67" s="290">
        <f t="shared" si="34"/>
        <v>0</v>
      </c>
      <c r="AM67" s="1062">
        <f>SUM(AM61:AM65)</f>
        <v>0</v>
      </c>
      <c r="AN67" s="574">
        <f>SUM(AN61:AN65)</f>
        <v>0</v>
      </c>
      <c r="AO67" s="2646"/>
      <c r="AP67" s="2646"/>
      <c r="AQ67" s="2646"/>
      <c r="AR67" s="2646"/>
      <c r="AS67" s="2646"/>
      <c r="AT67" s="2646"/>
      <c r="AU67" s="2646"/>
      <c r="AV67" s="2646"/>
      <c r="AW67" s="2646"/>
      <c r="AX67" s="2646"/>
      <c r="AY67" s="2646"/>
      <c r="AZ67" s="2646"/>
      <c r="BA67" s="2646"/>
      <c r="BB67" s="2646"/>
      <c r="BC67" s="2646"/>
      <c r="BD67" s="2562"/>
      <c r="BE67" s="2562"/>
      <c r="BX67" s="53"/>
      <c r="BY67" s="53"/>
      <c r="CA67" s="508"/>
      <c r="CB67" s="508"/>
      <c r="CC67" s="970"/>
      <c r="CD67" s="970"/>
      <c r="CE67" s="970"/>
      <c r="CF67" s="970"/>
      <c r="CG67" s="970"/>
      <c r="CH67" s="970"/>
      <c r="CI67" s="970"/>
      <c r="CJ67" s="970"/>
      <c r="CK67" s="970"/>
      <c r="CL67" s="970"/>
      <c r="CM67" s="508"/>
      <c r="CN67" s="508"/>
    </row>
    <row r="68" spans="1:95" s="508" customFormat="1" ht="18" customHeight="1">
      <c r="A68" s="2643" t="s">
        <v>1486</v>
      </c>
      <c r="B68" s="2643"/>
      <c r="C68" s="2643"/>
      <c r="D68" s="2643"/>
      <c r="E68" s="2643"/>
      <c r="F68" s="2643"/>
      <c r="G68" s="2643"/>
      <c r="H68" s="2643"/>
      <c r="I68" s="2643"/>
      <c r="J68" s="883"/>
      <c r="K68" s="883"/>
      <c r="L68" s="883"/>
      <c r="M68" s="883"/>
      <c r="N68" s="883"/>
      <c r="O68" s="883"/>
      <c r="P68" s="883"/>
      <c r="Q68" s="883"/>
      <c r="R68" s="883"/>
      <c r="S68" s="883"/>
      <c r="T68" s="883"/>
      <c r="U68" s="883"/>
      <c r="V68" s="883"/>
      <c r="W68" s="883"/>
      <c r="X68" s="883"/>
      <c r="Y68" s="883"/>
      <c r="Z68" s="883"/>
      <c r="AA68" s="883"/>
      <c r="AB68" s="883"/>
      <c r="AC68" s="883"/>
      <c r="AD68" s="883"/>
      <c r="AE68" s="883"/>
      <c r="AF68" s="883"/>
      <c r="AG68" s="883"/>
      <c r="AH68" s="883"/>
      <c r="AI68" s="883"/>
      <c r="AJ68" s="883"/>
      <c r="AK68" s="883"/>
      <c r="AL68" s="883"/>
      <c r="AM68" s="883"/>
      <c r="AN68" s="883"/>
    </row>
    <row r="69" spans="1:95" s="48" customFormat="1" ht="15">
      <c r="A69" s="5627" t="s">
        <v>1476</v>
      </c>
      <c r="B69" s="6042" t="s">
        <v>91</v>
      </c>
      <c r="C69" s="5776"/>
      <c r="D69" s="5962"/>
      <c r="E69" s="5647" t="s">
        <v>115</v>
      </c>
      <c r="F69" s="5649"/>
      <c r="G69" s="5649"/>
      <c r="H69" s="5649"/>
      <c r="I69" s="5649"/>
      <c r="J69" s="5649"/>
      <c r="K69" s="5649"/>
      <c r="L69" s="5649"/>
      <c r="M69" s="5649"/>
      <c r="N69" s="5649"/>
      <c r="O69" s="5649"/>
      <c r="P69" s="5649"/>
      <c r="Q69" s="5649"/>
      <c r="R69" s="5649"/>
      <c r="S69" s="5649"/>
      <c r="T69" s="5649"/>
      <c r="U69" s="5649"/>
      <c r="V69" s="5649"/>
      <c r="W69" s="5649"/>
      <c r="X69" s="5649"/>
      <c r="Y69" s="5649"/>
      <c r="Z69" s="5649"/>
      <c r="AA69" s="5649"/>
      <c r="AB69" s="5649"/>
      <c r="AC69" s="5649"/>
      <c r="AD69" s="5649"/>
      <c r="AE69" s="5649"/>
      <c r="AF69" s="5649"/>
      <c r="AG69" s="5649"/>
      <c r="AH69" s="5649"/>
      <c r="AI69" s="5649"/>
      <c r="AJ69" s="5649"/>
      <c r="AK69" s="5649"/>
      <c r="AL69" s="5648"/>
      <c r="CA69" s="508"/>
      <c r="CB69" s="508"/>
      <c r="CC69" s="508"/>
      <c r="CD69" s="508"/>
      <c r="CE69" s="508"/>
      <c r="CF69" s="508"/>
      <c r="CG69" s="508"/>
      <c r="CH69" s="508"/>
      <c r="CI69" s="508"/>
      <c r="CJ69" s="508"/>
      <c r="CK69" s="508"/>
      <c r="CL69" s="508"/>
      <c r="CM69" s="508"/>
      <c r="CN69" s="508"/>
      <c r="CO69" s="508"/>
      <c r="CP69" s="508"/>
      <c r="CQ69" s="508"/>
    </row>
    <row r="70" spans="1:95" s="48" customFormat="1" ht="15">
      <c r="A70" s="5644"/>
      <c r="B70" s="6044"/>
      <c r="C70" s="5963"/>
      <c r="D70" s="5760"/>
      <c r="E70" s="5615" t="s">
        <v>364</v>
      </c>
      <c r="F70" s="5652"/>
      <c r="G70" s="5615" t="s">
        <v>347</v>
      </c>
      <c r="H70" s="5652"/>
      <c r="I70" s="5615" t="s">
        <v>108</v>
      </c>
      <c r="J70" s="5652"/>
      <c r="K70" s="5615" t="s">
        <v>58</v>
      </c>
      <c r="L70" s="5652"/>
      <c r="M70" s="5615" t="s">
        <v>59</v>
      </c>
      <c r="N70" s="5652"/>
      <c r="O70" s="5647" t="s">
        <v>60</v>
      </c>
      <c r="P70" s="5648"/>
      <c r="Q70" s="5647" t="s">
        <v>61</v>
      </c>
      <c r="R70" s="5648"/>
      <c r="S70" s="5647" t="s">
        <v>62</v>
      </c>
      <c r="T70" s="5648"/>
      <c r="U70" s="5647" t="s">
        <v>63</v>
      </c>
      <c r="V70" s="5648"/>
      <c r="W70" s="5647" t="s">
        <v>64</v>
      </c>
      <c r="X70" s="5648"/>
      <c r="Y70" s="5647" t="s">
        <v>65</v>
      </c>
      <c r="Z70" s="5648"/>
      <c r="AA70" s="5647" t="s">
        <v>66</v>
      </c>
      <c r="AB70" s="5648"/>
      <c r="AC70" s="5647" t="s">
        <v>67</v>
      </c>
      <c r="AD70" s="5648"/>
      <c r="AE70" s="5647" t="s">
        <v>68</v>
      </c>
      <c r="AF70" s="5648"/>
      <c r="AG70" s="5647" t="s">
        <v>69</v>
      </c>
      <c r="AH70" s="5648"/>
      <c r="AI70" s="5647" t="s">
        <v>70</v>
      </c>
      <c r="AJ70" s="5648"/>
      <c r="AK70" s="5647" t="s">
        <v>71</v>
      </c>
      <c r="AL70" s="5648"/>
      <c r="CA70" s="508"/>
      <c r="CB70" s="508"/>
      <c r="CC70" s="508"/>
      <c r="CD70" s="508"/>
      <c r="CE70" s="508"/>
      <c r="CF70" s="508"/>
      <c r="CG70" s="508"/>
      <c r="CH70" s="508"/>
      <c r="CI70" s="508"/>
      <c r="CJ70" s="508"/>
      <c r="CK70" s="508"/>
      <c r="CL70" s="508"/>
      <c r="CM70" s="508"/>
      <c r="CN70" s="508"/>
      <c r="CO70" s="508"/>
      <c r="CP70" s="508"/>
      <c r="CQ70" s="508"/>
    </row>
    <row r="71" spans="1:95" s="48" customFormat="1" ht="15">
      <c r="A71" s="5731"/>
      <c r="B71" s="499" t="s">
        <v>93</v>
      </c>
      <c r="C71" s="61" t="s">
        <v>72</v>
      </c>
      <c r="D71" s="76" t="s">
        <v>73</v>
      </c>
      <c r="E71" s="75" t="s">
        <v>72</v>
      </c>
      <c r="F71" s="76" t="s">
        <v>73</v>
      </c>
      <c r="G71" s="75" t="s">
        <v>72</v>
      </c>
      <c r="H71" s="76" t="s">
        <v>73</v>
      </c>
      <c r="I71" s="75" t="s">
        <v>72</v>
      </c>
      <c r="J71" s="76" t="s">
        <v>73</v>
      </c>
      <c r="K71" s="75" t="s">
        <v>72</v>
      </c>
      <c r="L71" s="76" t="s">
        <v>73</v>
      </c>
      <c r="M71" s="75" t="s">
        <v>72</v>
      </c>
      <c r="N71" s="76" t="s">
        <v>73</v>
      </c>
      <c r="O71" s="75" t="s">
        <v>72</v>
      </c>
      <c r="P71" s="76" t="s">
        <v>73</v>
      </c>
      <c r="Q71" s="75" t="s">
        <v>72</v>
      </c>
      <c r="R71" s="76" t="s">
        <v>73</v>
      </c>
      <c r="S71" s="75" t="s">
        <v>72</v>
      </c>
      <c r="T71" s="76" t="s">
        <v>73</v>
      </c>
      <c r="U71" s="75" t="s">
        <v>72</v>
      </c>
      <c r="V71" s="59" t="s">
        <v>73</v>
      </c>
      <c r="W71" s="75" t="s">
        <v>72</v>
      </c>
      <c r="X71" s="76" t="s">
        <v>73</v>
      </c>
      <c r="Y71" s="75" t="s">
        <v>72</v>
      </c>
      <c r="Z71" s="76" t="s">
        <v>73</v>
      </c>
      <c r="AA71" s="75" t="s">
        <v>72</v>
      </c>
      <c r="AB71" s="76" t="s">
        <v>73</v>
      </c>
      <c r="AC71" s="75" t="s">
        <v>72</v>
      </c>
      <c r="AD71" s="76" t="s">
        <v>73</v>
      </c>
      <c r="AE71" s="75" t="s">
        <v>72</v>
      </c>
      <c r="AF71" s="76" t="s">
        <v>73</v>
      </c>
      <c r="AG71" s="75" t="s">
        <v>72</v>
      </c>
      <c r="AH71" s="76" t="s">
        <v>73</v>
      </c>
      <c r="AI71" s="75" t="s">
        <v>72</v>
      </c>
      <c r="AJ71" s="76" t="s">
        <v>73</v>
      </c>
      <c r="AK71" s="75" t="s">
        <v>72</v>
      </c>
      <c r="AL71" s="76" t="s">
        <v>73</v>
      </c>
      <c r="CA71" s="508"/>
      <c r="CB71" s="508"/>
      <c r="CC71" s="508"/>
      <c r="CD71" s="508"/>
      <c r="CE71" s="508"/>
      <c r="CF71" s="508"/>
      <c r="CG71" s="508"/>
      <c r="CH71" s="508"/>
      <c r="CI71" s="508"/>
      <c r="CJ71" s="508"/>
      <c r="CK71" s="508"/>
      <c r="CL71" s="508"/>
      <c r="CM71" s="508"/>
      <c r="CN71" s="508"/>
      <c r="CO71" s="508"/>
      <c r="CP71" s="508"/>
      <c r="CQ71" s="508"/>
    </row>
    <row r="72" spans="1:95" s="48" customFormat="1" ht="15" customHeight="1">
      <c r="A72" s="2647" t="s">
        <v>1480</v>
      </c>
      <c r="B72" s="486">
        <f t="shared" ref="B72:B77" si="35">SUM(C72+D72)</f>
        <v>0</v>
      </c>
      <c r="C72" s="514">
        <f t="shared" ref="C72:D77" si="36">SUM(E72+G72+I72+K72+M72+O72+Q72+S72+U72+W72+Y72+AA72+AC72+AE72+AG72+AI72+AK72)</f>
        <v>0</v>
      </c>
      <c r="D72" s="488">
        <f>SUM(F72+H72+J72+L72+N72+P72+R72+T72+V72+X72+Z72+AB72+AD72+AF72+AH72+AJ72+AL72)</f>
        <v>0</v>
      </c>
      <c r="E72" s="1003"/>
      <c r="F72" s="1004"/>
      <c r="G72" s="1003"/>
      <c r="H72" s="1005"/>
      <c r="I72" s="1003"/>
      <c r="J72" s="1005"/>
      <c r="K72" s="1003"/>
      <c r="L72" s="1005"/>
      <c r="M72" s="1003"/>
      <c r="N72" s="1005"/>
      <c r="O72" s="1003"/>
      <c r="P72" s="1005"/>
      <c r="Q72" s="1003"/>
      <c r="R72" s="1005"/>
      <c r="S72" s="1003"/>
      <c r="T72" s="1005"/>
      <c r="U72" s="1003"/>
      <c r="V72" s="2648"/>
      <c r="W72" s="1003"/>
      <c r="X72" s="1005"/>
      <c r="Y72" s="1003"/>
      <c r="Z72" s="1005"/>
      <c r="AA72" s="1003"/>
      <c r="AB72" s="1005"/>
      <c r="AC72" s="1003"/>
      <c r="AD72" s="1005"/>
      <c r="AE72" s="1003"/>
      <c r="AF72" s="1005"/>
      <c r="AG72" s="1003"/>
      <c r="AH72" s="1005"/>
      <c r="AI72" s="1003"/>
      <c r="AJ72" s="1005"/>
      <c r="AK72" s="2649"/>
      <c r="AL72" s="1005"/>
      <c r="CA72" s="508"/>
      <c r="CB72" s="508"/>
      <c r="CC72" s="508"/>
      <c r="CD72" s="508"/>
      <c r="CE72" s="508"/>
      <c r="CF72" s="508"/>
      <c r="CG72" s="508"/>
      <c r="CH72" s="508"/>
      <c r="CI72" s="508"/>
      <c r="CJ72" s="508"/>
      <c r="CK72" s="508"/>
      <c r="CL72" s="508"/>
      <c r="CM72" s="508"/>
      <c r="CN72" s="508"/>
      <c r="CO72" s="508"/>
      <c r="CP72" s="508"/>
      <c r="CQ72" s="508"/>
    </row>
    <row r="73" spans="1:95" s="48" customFormat="1" ht="15" customHeight="1">
      <c r="A73" s="2650" t="s">
        <v>1481</v>
      </c>
      <c r="B73" s="523">
        <f t="shared" si="35"/>
        <v>0</v>
      </c>
      <c r="C73" s="524">
        <f t="shared" si="36"/>
        <v>0</v>
      </c>
      <c r="D73" s="525">
        <f t="shared" si="36"/>
        <v>0</v>
      </c>
      <c r="E73" s="1013"/>
      <c r="F73" s="1014"/>
      <c r="G73" s="1013"/>
      <c r="H73" s="1015"/>
      <c r="I73" s="1013"/>
      <c r="J73" s="1015"/>
      <c r="K73" s="1013"/>
      <c r="L73" s="1015"/>
      <c r="M73" s="1013"/>
      <c r="N73" s="1015"/>
      <c r="O73" s="1013"/>
      <c r="P73" s="1015"/>
      <c r="Q73" s="1013"/>
      <c r="R73" s="1015"/>
      <c r="S73" s="1013"/>
      <c r="T73" s="1015"/>
      <c r="U73" s="1013"/>
      <c r="V73" s="2651"/>
      <c r="W73" s="1013"/>
      <c r="X73" s="1015"/>
      <c r="Y73" s="1013"/>
      <c r="Z73" s="1015"/>
      <c r="AA73" s="1013"/>
      <c r="AB73" s="1015"/>
      <c r="AC73" s="1013"/>
      <c r="AD73" s="1015"/>
      <c r="AE73" s="1013"/>
      <c r="AF73" s="1015"/>
      <c r="AG73" s="1013"/>
      <c r="AH73" s="1015"/>
      <c r="AI73" s="1013"/>
      <c r="AJ73" s="1015"/>
      <c r="AK73" s="1023"/>
      <c r="AL73" s="1015"/>
      <c r="CA73" s="508"/>
      <c r="CB73" s="508"/>
      <c r="CC73" s="508"/>
      <c r="CD73" s="508"/>
      <c r="CE73" s="508"/>
      <c r="CF73" s="508"/>
      <c r="CG73" s="508"/>
      <c r="CH73" s="508"/>
      <c r="CI73" s="508"/>
      <c r="CJ73" s="508"/>
      <c r="CK73" s="508"/>
      <c r="CL73" s="508"/>
      <c r="CM73" s="508"/>
      <c r="CN73" s="508"/>
      <c r="CO73" s="508"/>
      <c r="CP73" s="508"/>
      <c r="CQ73" s="508"/>
    </row>
    <row r="74" spans="1:95" s="48" customFormat="1" ht="15" customHeight="1">
      <c r="A74" s="2650" t="s">
        <v>1482</v>
      </c>
      <c r="B74" s="523">
        <f t="shared" si="35"/>
        <v>0</v>
      </c>
      <c r="C74" s="524">
        <f t="shared" si="36"/>
        <v>0</v>
      </c>
      <c r="D74" s="525">
        <f t="shared" si="36"/>
        <v>0</v>
      </c>
      <c r="E74" s="1013"/>
      <c r="F74" s="1014"/>
      <c r="G74" s="1013"/>
      <c r="H74" s="1015"/>
      <c r="I74" s="1013"/>
      <c r="J74" s="1015"/>
      <c r="K74" s="1013"/>
      <c r="L74" s="1015"/>
      <c r="M74" s="1013"/>
      <c r="N74" s="1015"/>
      <c r="O74" s="1013"/>
      <c r="P74" s="1015"/>
      <c r="Q74" s="1013"/>
      <c r="R74" s="1015"/>
      <c r="S74" s="1013"/>
      <c r="T74" s="1015"/>
      <c r="U74" s="1013"/>
      <c r="V74" s="2651"/>
      <c r="W74" s="1013"/>
      <c r="X74" s="1015"/>
      <c r="Y74" s="1013"/>
      <c r="Z74" s="1015"/>
      <c r="AA74" s="1013"/>
      <c r="AB74" s="1015"/>
      <c r="AC74" s="1013"/>
      <c r="AD74" s="1015"/>
      <c r="AE74" s="1013"/>
      <c r="AF74" s="1015"/>
      <c r="AG74" s="1013"/>
      <c r="AH74" s="1015"/>
      <c r="AI74" s="1013"/>
      <c r="AJ74" s="1015"/>
      <c r="AK74" s="1023"/>
      <c r="AL74" s="1015"/>
      <c r="CA74" s="508"/>
      <c r="CB74" s="508"/>
      <c r="CC74" s="508"/>
      <c r="CD74" s="508"/>
      <c r="CE74" s="508"/>
      <c r="CF74" s="508"/>
      <c r="CG74" s="508"/>
      <c r="CH74" s="508"/>
      <c r="CI74" s="508"/>
      <c r="CJ74" s="508"/>
      <c r="CK74" s="508"/>
      <c r="CL74" s="508"/>
      <c r="CM74" s="508"/>
      <c r="CN74" s="508"/>
      <c r="CO74" s="508"/>
      <c r="CP74" s="508"/>
      <c r="CQ74" s="508"/>
    </row>
    <row r="75" spans="1:95" s="48" customFormat="1" ht="15" customHeight="1">
      <c r="A75" s="2650" t="s">
        <v>1483</v>
      </c>
      <c r="B75" s="523">
        <f t="shared" si="35"/>
        <v>0</v>
      </c>
      <c r="C75" s="524">
        <f t="shared" si="36"/>
        <v>0</v>
      </c>
      <c r="D75" s="525">
        <f t="shared" si="36"/>
        <v>0</v>
      </c>
      <c r="E75" s="1013"/>
      <c r="F75" s="1014"/>
      <c r="G75" s="1013"/>
      <c r="H75" s="1015"/>
      <c r="I75" s="1013"/>
      <c r="J75" s="1015"/>
      <c r="K75" s="1013"/>
      <c r="L75" s="1015"/>
      <c r="M75" s="1013"/>
      <c r="N75" s="1015"/>
      <c r="O75" s="1013"/>
      <c r="P75" s="1015"/>
      <c r="Q75" s="1013"/>
      <c r="R75" s="1015"/>
      <c r="S75" s="1013"/>
      <c r="T75" s="1015"/>
      <c r="U75" s="1013"/>
      <c r="V75" s="2651"/>
      <c r="W75" s="1013"/>
      <c r="X75" s="1015"/>
      <c r="Y75" s="1013"/>
      <c r="Z75" s="1015"/>
      <c r="AA75" s="1013"/>
      <c r="AB75" s="1015"/>
      <c r="AC75" s="1013"/>
      <c r="AD75" s="1015"/>
      <c r="AE75" s="1013"/>
      <c r="AF75" s="1015"/>
      <c r="AG75" s="1013"/>
      <c r="AH75" s="1015"/>
      <c r="AI75" s="1013"/>
      <c r="AJ75" s="1015"/>
      <c r="AK75" s="1023"/>
      <c r="AL75" s="1015"/>
      <c r="CA75" s="508"/>
      <c r="CB75" s="508"/>
      <c r="CC75" s="508"/>
      <c r="CD75" s="508"/>
      <c r="CE75" s="508"/>
      <c r="CF75" s="508"/>
      <c r="CG75" s="508"/>
      <c r="CH75" s="508"/>
      <c r="CI75" s="508"/>
      <c r="CJ75" s="508"/>
      <c r="CK75" s="508"/>
      <c r="CL75" s="508"/>
      <c r="CM75" s="508"/>
      <c r="CN75" s="508"/>
      <c r="CO75" s="508"/>
      <c r="CP75" s="508"/>
      <c r="CQ75" s="508"/>
    </row>
    <row r="76" spans="1:95" s="48" customFormat="1" ht="15" customHeight="1">
      <c r="A76" s="2652" t="s">
        <v>1484</v>
      </c>
      <c r="B76" s="545">
        <f t="shared" si="35"/>
        <v>0</v>
      </c>
      <c r="C76" s="546">
        <f t="shared" si="36"/>
        <v>0</v>
      </c>
      <c r="D76" s="547">
        <f t="shared" si="36"/>
        <v>0</v>
      </c>
      <c r="E76" s="1045"/>
      <c r="F76" s="1046"/>
      <c r="G76" s="1045"/>
      <c r="H76" s="1034"/>
      <c r="I76" s="1045"/>
      <c r="J76" s="1034"/>
      <c r="K76" s="1045"/>
      <c r="L76" s="1034"/>
      <c r="M76" s="1045"/>
      <c r="N76" s="1034"/>
      <c r="O76" s="1045"/>
      <c r="P76" s="1034"/>
      <c r="Q76" s="1045"/>
      <c r="R76" s="1034"/>
      <c r="S76" s="1045"/>
      <c r="T76" s="1034"/>
      <c r="U76" s="1045"/>
      <c r="V76" s="2653"/>
      <c r="W76" s="1045"/>
      <c r="X76" s="1034"/>
      <c r="Y76" s="1045"/>
      <c r="Z76" s="1034"/>
      <c r="AA76" s="1045"/>
      <c r="AB76" s="1034"/>
      <c r="AC76" s="1045"/>
      <c r="AD76" s="1034"/>
      <c r="AE76" s="1045"/>
      <c r="AF76" s="1034"/>
      <c r="AG76" s="1045"/>
      <c r="AH76" s="1034"/>
      <c r="AI76" s="1045"/>
      <c r="AJ76" s="1034"/>
      <c r="AK76" s="1047"/>
      <c r="AL76" s="1034"/>
      <c r="CA76" s="508"/>
      <c r="CB76" s="508"/>
      <c r="CC76" s="508"/>
      <c r="CD76" s="508"/>
      <c r="CE76" s="508"/>
      <c r="CF76" s="508"/>
      <c r="CG76" s="508"/>
      <c r="CH76" s="508"/>
      <c r="CI76" s="508"/>
      <c r="CJ76" s="508"/>
      <c r="CK76" s="508"/>
      <c r="CL76" s="508"/>
      <c r="CM76" s="508"/>
      <c r="CN76" s="508"/>
      <c r="CO76" s="508"/>
      <c r="CP76" s="508"/>
      <c r="CQ76" s="508"/>
    </row>
    <row r="77" spans="1:95" s="48" customFormat="1" ht="15" customHeight="1">
      <c r="A77" s="2654" t="s">
        <v>1485</v>
      </c>
      <c r="B77" s="491">
        <f t="shared" si="35"/>
        <v>0</v>
      </c>
      <c r="C77" s="526">
        <f t="shared" si="36"/>
        <v>0</v>
      </c>
      <c r="D77" s="493">
        <f t="shared" si="36"/>
        <v>0</v>
      </c>
      <c r="E77" s="1053"/>
      <c r="F77" s="1054"/>
      <c r="G77" s="1053"/>
      <c r="H77" s="1052"/>
      <c r="I77" s="1053"/>
      <c r="J77" s="1052"/>
      <c r="K77" s="1053"/>
      <c r="L77" s="1052"/>
      <c r="M77" s="1053"/>
      <c r="N77" s="1052"/>
      <c r="O77" s="1053"/>
      <c r="P77" s="1052"/>
      <c r="Q77" s="1053"/>
      <c r="R77" s="1052"/>
      <c r="S77" s="1053"/>
      <c r="T77" s="1052"/>
      <c r="U77" s="1053"/>
      <c r="V77" s="2655"/>
      <c r="W77" s="1053"/>
      <c r="X77" s="1052"/>
      <c r="Y77" s="1053"/>
      <c r="Z77" s="1052"/>
      <c r="AA77" s="1053"/>
      <c r="AB77" s="1052"/>
      <c r="AC77" s="1053"/>
      <c r="AD77" s="1052"/>
      <c r="AE77" s="1053"/>
      <c r="AF77" s="1052"/>
      <c r="AG77" s="1053"/>
      <c r="AH77" s="1052"/>
      <c r="AI77" s="1053"/>
      <c r="AJ77" s="1052"/>
      <c r="AK77" s="1056"/>
      <c r="AL77" s="1052"/>
      <c r="CA77" s="508"/>
      <c r="CB77" s="508"/>
      <c r="CC77" s="508"/>
      <c r="CD77" s="508"/>
      <c r="CE77" s="508"/>
      <c r="CF77" s="508"/>
      <c r="CG77" s="508"/>
      <c r="CH77" s="508"/>
      <c r="CI77" s="508"/>
      <c r="CJ77" s="508"/>
      <c r="CK77" s="508"/>
      <c r="CL77" s="508"/>
      <c r="CM77" s="508"/>
      <c r="CN77" s="508"/>
      <c r="CO77" s="508"/>
      <c r="CP77" s="508"/>
      <c r="CQ77" s="508"/>
    </row>
    <row r="78" spans="1:95" s="48" customFormat="1" ht="15" customHeight="1">
      <c r="A78" s="58" t="s">
        <v>91</v>
      </c>
      <c r="B78" s="1141">
        <f t="shared" ref="B78:AL78" si="37">SUM(B72:B77)</f>
        <v>0</v>
      </c>
      <c r="C78" s="2659">
        <f t="shared" si="37"/>
        <v>0</v>
      </c>
      <c r="D78" s="482">
        <f t="shared" si="37"/>
        <v>0</v>
      </c>
      <c r="E78" s="570">
        <f t="shared" si="37"/>
        <v>0</v>
      </c>
      <c r="F78" s="289">
        <f t="shared" si="37"/>
        <v>0</v>
      </c>
      <c r="G78" s="570">
        <f t="shared" si="37"/>
        <v>0</v>
      </c>
      <c r="H78" s="574">
        <f t="shared" si="37"/>
        <v>0</v>
      </c>
      <c r="I78" s="570">
        <f t="shared" si="37"/>
        <v>0</v>
      </c>
      <c r="J78" s="574">
        <f t="shared" si="37"/>
        <v>0</v>
      </c>
      <c r="K78" s="570">
        <f t="shared" si="37"/>
        <v>0</v>
      </c>
      <c r="L78" s="574">
        <f t="shared" si="37"/>
        <v>0</v>
      </c>
      <c r="M78" s="570">
        <f t="shared" si="37"/>
        <v>0</v>
      </c>
      <c r="N78" s="574">
        <f t="shared" si="37"/>
        <v>0</v>
      </c>
      <c r="O78" s="570">
        <f t="shared" si="37"/>
        <v>0</v>
      </c>
      <c r="P78" s="574">
        <f t="shared" si="37"/>
        <v>0</v>
      </c>
      <c r="Q78" s="570">
        <f t="shared" si="37"/>
        <v>0</v>
      </c>
      <c r="R78" s="574">
        <f t="shared" si="37"/>
        <v>0</v>
      </c>
      <c r="S78" s="570">
        <f t="shared" si="37"/>
        <v>0</v>
      </c>
      <c r="T78" s="574">
        <f t="shared" si="37"/>
        <v>0</v>
      </c>
      <c r="U78" s="288">
        <f t="shared" si="37"/>
        <v>0</v>
      </c>
      <c r="V78" s="572">
        <f t="shared" si="37"/>
        <v>0</v>
      </c>
      <c r="W78" s="570">
        <f t="shared" si="37"/>
        <v>0</v>
      </c>
      <c r="X78" s="574">
        <f t="shared" si="37"/>
        <v>0</v>
      </c>
      <c r="Y78" s="570">
        <f t="shared" si="37"/>
        <v>0</v>
      </c>
      <c r="Z78" s="574">
        <f t="shared" si="37"/>
        <v>0</v>
      </c>
      <c r="AA78" s="570">
        <f t="shared" si="37"/>
        <v>0</v>
      </c>
      <c r="AB78" s="574">
        <f t="shared" si="37"/>
        <v>0</v>
      </c>
      <c r="AC78" s="570">
        <f t="shared" si="37"/>
        <v>0</v>
      </c>
      <c r="AD78" s="574">
        <f t="shared" si="37"/>
        <v>0</v>
      </c>
      <c r="AE78" s="570">
        <f t="shared" si="37"/>
        <v>0</v>
      </c>
      <c r="AF78" s="574">
        <f t="shared" si="37"/>
        <v>0</v>
      </c>
      <c r="AG78" s="570">
        <f t="shared" si="37"/>
        <v>0</v>
      </c>
      <c r="AH78" s="574">
        <f t="shared" si="37"/>
        <v>0</v>
      </c>
      <c r="AI78" s="570">
        <f t="shared" si="37"/>
        <v>0</v>
      </c>
      <c r="AJ78" s="574">
        <f t="shared" si="37"/>
        <v>0</v>
      </c>
      <c r="AK78" s="571">
        <f t="shared" si="37"/>
        <v>0</v>
      </c>
      <c r="AL78" s="574">
        <f t="shared" si="37"/>
        <v>0</v>
      </c>
      <c r="CA78" s="508"/>
      <c r="CB78" s="508"/>
      <c r="CC78" s="508"/>
      <c r="CD78" s="508"/>
      <c r="CE78" s="508"/>
      <c r="CF78" s="508"/>
      <c r="CG78" s="508"/>
      <c r="CH78" s="508"/>
      <c r="CI78" s="508"/>
      <c r="CJ78" s="508"/>
      <c r="CK78" s="508"/>
      <c r="CL78" s="508"/>
      <c r="CM78" s="508"/>
      <c r="CN78" s="508"/>
      <c r="CO78" s="508"/>
      <c r="CP78" s="508"/>
      <c r="CQ78" s="508"/>
    </row>
    <row r="79" spans="1:95" s="2558" customFormat="1" ht="18" customHeight="1">
      <c r="A79" s="2643" t="s">
        <v>1487</v>
      </c>
      <c r="B79" s="2660"/>
      <c r="C79" s="2660"/>
      <c r="D79" s="2660"/>
      <c r="E79" s="2660"/>
      <c r="F79" s="2660"/>
      <c r="G79" s="2660"/>
      <c r="H79" s="2660"/>
      <c r="I79" s="465"/>
      <c r="J79" s="465"/>
      <c r="K79" s="465"/>
      <c r="L79" s="465"/>
      <c r="M79" s="465"/>
      <c r="N79" s="465"/>
      <c r="O79" s="465"/>
      <c r="AO79" s="2563"/>
      <c r="AP79" s="2563"/>
      <c r="AQ79" s="2563"/>
      <c r="AR79" s="2563"/>
      <c r="AS79" s="2563"/>
      <c r="AT79" s="2563"/>
      <c r="AU79" s="2563"/>
      <c r="AV79" s="2563"/>
      <c r="AW79" s="2563"/>
      <c r="AX79" s="2563"/>
      <c r="AY79" s="2563"/>
      <c r="AZ79" s="2563"/>
      <c r="BA79" s="2563"/>
      <c r="BB79" s="2563"/>
      <c r="BC79" s="2563"/>
      <c r="BV79" s="2563"/>
      <c r="BW79" s="2563"/>
      <c r="BX79" s="2563"/>
      <c r="BY79" s="2563"/>
    </row>
    <row r="80" spans="1:95" ht="21">
      <c r="A80" s="229" t="s">
        <v>1488</v>
      </c>
      <c r="B80" s="230" t="s">
        <v>1421</v>
      </c>
      <c r="C80" s="75" t="s">
        <v>1489</v>
      </c>
      <c r="D80" s="68" t="s">
        <v>1490</v>
      </c>
      <c r="E80" s="76" t="s">
        <v>619</v>
      </c>
      <c r="F80" s="49"/>
      <c r="G80" s="1256"/>
      <c r="H80" s="1256"/>
      <c r="I80" s="1256"/>
      <c r="J80" s="1256"/>
      <c r="K80" s="1256"/>
      <c r="L80" s="1256"/>
      <c r="M80" s="1256"/>
      <c r="N80" s="2661" t="s">
        <v>16</v>
      </c>
      <c r="O80" s="1256"/>
      <c r="P80" s="1256"/>
      <c r="Q80" s="1256"/>
      <c r="R80" s="2562"/>
      <c r="S80" s="2562"/>
      <c r="T80" s="2562"/>
      <c r="U80" s="2562"/>
      <c r="V80" s="2562"/>
      <c r="W80" s="2562"/>
      <c r="X80" s="1256"/>
      <c r="Y80" s="1256"/>
      <c r="AO80" s="53"/>
      <c r="AP80" s="53"/>
      <c r="AQ80" s="53"/>
      <c r="AR80" s="53"/>
      <c r="AS80" s="53"/>
      <c r="AT80" s="53"/>
      <c r="AU80" s="53"/>
      <c r="AV80" s="53"/>
      <c r="AW80" s="53"/>
      <c r="AX80" s="53"/>
      <c r="AY80" s="53"/>
      <c r="AZ80" s="53"/>
      <c r="BA80" s="53"/>
      <c r="BB80" s="53"/>
      <c r="BC80" s="53"/>
    </row>
    <row r="81" spans="1:55" ht="15" customHeight="1">
      <c r="A81" s="551" t="s">
        <v>1240</v>
      </c>
      <c r="B81" s="79">
        <f t="shared" ref="B81:B99" si="38">SUM(C81:E81)</f>
        <v>0</v>
      </c>
      <c r="C81" s="1003"/>
      <c r="D81" s="1365"/>
      <c r="E81" s="1004"/>
      <c r="F81" s="2662"/>
      <c r="G81" s="1256"/>
      <c r="H81" s="1256"/>
      <c r="I81" s="1256"/>
      <c r="J81" s="1256"/>
      <c r="K81" s="1256"/>
      <c r="L81" s="1256"/>
      <c r="M81" s="1256"/>
      <c r="N81" s="1256"/>
      <c r="O81" s="1256"/>
      <c r="P81" s="1256"/>
      <c r="Q81" s="1256"/>
      <c r="R81" s="2562"/>
      <c r="S81" s="2562"/>
      <c r="T81" s="2562"/>
      <c r="U81" s="2562"/>
      <c r="V81" s="2562"/>
      <c r="W81" s="2562"/>
      <c r="X81" s="1256"/>
      <c r="Y81" s="1256"/>
      <c r="AO81" s="53"/>
      <c r="AP81" s="53"/>
      <c r="AQ81" s="53"/>
      <c r="AR81" s="53"/>
      <c r="AS81" s="53"/>
      <c r="AT81" s="53"/>
      <c r="AU81" s="53"/>
      <c r="AV81" s="53"/>
      <c r="AW81" s="53"/>
      <c r="AX81" s="53"/>
      <c r="AY81" s="53"/>
      <c r="AZ81" s="53"/>
      <c r="BA81" s="53"/>
      <c r="BB81" s="53"/>
      <c r="BC81" s="53"/>
    </row>
    <row r="82" spans="1:55" ht="15" customHeight="1">
      <c r="A82" s="555" t="s">
        <v>1491</v>
      </c>
      <c r="B82" s="296">
        <f t="shared" si="38"/>
        <v>0</v>
      </c>
      <c r="C82" s="1013"/>
      <c r="D82" s="1368"/>
      <c r="E82" s="1014"/>
      <c r="F82" s="2662"/>
      <c r="G82" s="1256"/>
      <c r="H82" s="1256"/>
      <c r="I82" s="1256"/>
      <c r="J82" s="1256"/>
      <c r="K82" s="1256"/>
      <c r="L82" s="1256"/>
      <c r="M82" s="1256"/>
      <c r="N82" s="1256"/>
      <c r="O82" s="1256"/>
      <c r="P82" s="1256"/>
      <c r="Q82" s="1256"/>
      <c r="R82" s="2562"/>
      <c r="S82" s="2562"/>
      <c r="T82" s="2562"/>
      <c r="U82" s="2562"/>
      <c r="V82" s="2562"/>
      <c r="W82" s="2562"/>
      <c r="X82" s="1256"/>
      <c r="Y82" s="1256"/>
      <c r="AO82" s="53"/>
      <c r="AP82" s="53"/>
      <c r="AQ82" s="53"/>
      <c r="AR82" s="53"/>
      <c r="AS82" s="53"/>
      <c r="AT82" s="53"/>
      <c r="AU82" s="53"/>
      <c r="AV82" s="53"/>
      <c r="AW82" s="53"/>
      <c r="AX82" s="53"/>
      <c r="AY82" s="53"/>
      <c r="AZ82" s="53"/>
      <c r="BA82" s="53"/>
      <c r="BB82" s="53"/>
      <c r="BC82" s="53"/>
    </row>
    <row r="83" spans="1:55" ht="15" customHeight="1">
      <c r="A83" s="555" t="s">
        <v>1265</v>
      </c>
      <c r="B83" s="296">
        <f t="shared" si="38"/>
        <v>0</v>
      </c>
      <c r="C83" s="1013"/>
      <c r="D83" s="1368"/>
      <c r="E83" s="1014"/>
      <c r="F83" s="2662"/>
      <c r="G83" s="1256"/>
      <c r="H83" s="1256"/>
      <c r="I83" s="1256"/>
      <c r="J83" s="1256"/>
      <c r="K83" s="1256"/>
      <c r="L83" s="1256"/>
      <c r="M83" s="1256"/>
      <c r="N83" s="1256"/>
      <c r="O83" s="1256"/>
      <c r="P83" s="1256"/>
      <c r="Q83" s="1256"/>
      <c r="R83" s="2562"/>
      <c r="S83" s="2562"/>
      <c r="T83" s="2562"/>
      <c r="U83" s="2562"/>
      <c r="V83" s="2562"/>
      <c r="W83" s="2562"/>
      <c r="X83" s="1256"/>
      <c r="Y83" s="1256"/>
      <c r="AO83" s="53"/>
      <c r="AP83" s="53"/>
      <c r="AQ83" s="53"/>
      <c r="AR83" s="53"/>
      <c r="AS83" s="53"/>
      <c r="AT83" s="53"/>
      <c r="AU83" s="53"/>
      <c r="AV83" s="53"/>
      <c r="AW83" s="53"/>
      <c r="AX83" s="53"/>
      <c r="AY83" s="53"/>
      <c r="AZ83" s="53"/>
      <c r="BA83" s="53"/>
      <c r="BB83" s="53"/>
      <c r="BC83" s="53"/>
    </row>
    <row r="84" spans="1:55" ht="15" customHeight="1">
      <c r="A84" s="555" t="s">
        <v>1282</v>
      </c>
      <c r="B84" s="296">
        <f t="shared" si="38"/>
        <v>0</v>
      </c>
      <c r="C84" s="1013"/>
      <c r="D84" s="1368"/>
      <c r="E84" s="1014"/>
      <c r="F84" s="2662"/>
      <c r="G84" s="1256"/>
      <c r="H84" s="1256"/>
      <c r="I84" s="1256"/>
      <c r="J84" s="1256"/>
      <c r="K84" s="1256"/>
      <c r="L84" s="1256"/>
      <c r="M84" s="1256"/>
      <c r="N84" s="1256"/>
      <c r="O84" s="1256"/>
      <c r="P84" s="1256"/>
      <c r="Q84" s="1256"/>
      <c r="R84" s="2562"/>
      <c r="S84" s="2562"/>
      <c r="T84" s="2562"/>
      <c r="U84" s="2562"/>
      <c r="V84" s="2562"/>
      <c r="W84" s="2562"/>
      <c r="X84" s="1256"/>
      <c r="Y84" s="1256"/>
      <c r="AO84" s="53"/>
      <c r="AP84" s="53"/>
      <c r="AQ84" s="53"/>
      <c r="AR84" s="53"/>
      <c r="AS84" s="53"/>
      <c r="AT84" s="53"/>
      <c r="AU84" s="53"/>
      <c r="AV84" s="53"/>
      <c r="AW84" s="53"/>
      <c r="AX84" s="53"/>
      <c r="AY84" s="53"/>
      <c r="AZ84" s="53"/>
      <c r="BA84" s="53"/>
      <c r="BB84" s="53"/>
      <c r="BC84" s="53"/>
    </row>
    <row r="85" spans="1:55" ht="15" customHeight="1">
      <c r="A85" s="555" t="s">
        <v>1285</v>
      </c>
      <c r="B85" s="296">
        <f t="shared" si="38"/>
        <v>0</v>
      </c>
      <c r="C85" s="1013"/>
      <c r="D85" s="1368"/>
      <c r="E85" s="1014"/>
      <c r="F85" s="2662"/>
      <c r="G85" s="1256"/>
      <c r="H85" s="1256"/>
      <c r="I85" s="1256"/>
      <c r="J85" s="1256"/>
      <c r="K85" s="1256"/>
      <c r="L85" s="1256"/>
      <c r="M85" s="1256"/>
      <c r="N85" s="1256"/>
      <c r="O85" s="1256"/>
      <c r="P85" s="1256"/>
      <c r="Q85" s="1256"/>
      <c r="R85" s="2562"/>
      <c r="S85" s="2562"/>
      <c r="T85" s="2562"/>
      <c r="U85" s="2562"/>
      <c r="V85" s="2562"/>
      <c r="W85" s="2562"/>
      <c r="X85" s="1256"/>
      <c r="Y85" s="1256"/>
      <c r="AO85" s="53"/>
      <c r="AP85" s="53"/>
      <c r="AQ85" s="53"/>
      <c r="AR85" s="53"/>
      <c r="AS85" s="53"/>
      <c r="AT85" s="53"/>
      <c r="AU85" s="53"/>
      <c r="AV85" s="53"/>
      <c r="AW85" s="53"/>
      <c r="AX85" s="53"/>
      <c r="AY85" s="53"/>
      <c r="AZ85" s="53"/>
      <c r="BA85" s="53"/>
      <c r="BB85" s="53"/>
      <c r="BC85" s="53"/>
    </row>
    <row r="86" spans="1:55" ht="15" customHeight="1">
      <c r="A86" s="555" t="s">
        <v>1286</v>
      </c>
      <c r="B86" s="296">
        <f t="shared" si="38"/>
        <v>0</v>
      </c>
      <c r="C86" s="1013"/>
      <c r="D86" s="1368"/>
      <c r="E86" s="1014"/>
      <c r="F86" s="2662"/>
      <c r="G86" s="1256"/>
      <c r="H86" s="1256"/>
      <c r="I86" s="1256"/>
      <c r="J86" s="1256"/>
      <c r="K86" s="1256"/>
      <c r="L86" s="1256"/>
      <c r="M86" s="1256"/>
      <c r="N86" s="1256"/>
      <c r="O86" s="1256"/>
      <c r="P86" s="1256"/>
      <c r="Q86" s="1256"/>
      <c r="R86" s="2562"/>
      <c r="S86" s="2562"/>
      <c r="T86" s="2562"/>
      <c r="U86" s="2562"/>
      <c r="V86" s="2562"/>
      <c r="W86" s="2562"/>
      <c r="X86" s="1256"/>
      <c r="Y86" s="1256"/>
      <c r="AO86" s="53"/>
      <c r="AP86" s="53"/>
      <c r="AQ86" s="53"/>
      <c r="AR86" s="53"/>
      <c r="AS86" s="53"/>
      <c r="AT86" s="53"/>
      <c r="AU86" s="53"/>
      <c r="AV86" s="53"/>
      <c r="AW86" s="53"/>
      <c r="AX86" s="53"/>
      <c r="AY86" s="53"/>
      <c r="AZ86" s="53"/>
      <c r="BA86" s="53"/>
      <c r="BB86" s="53"/>
      <c r="BC86" s="53"/>
    </row>
    <row r="87" spans="1:55" ht="15" customHeight="1">
      <c r="A87" s="555" t="s">
        <v>1239</v>
      </c>
      <c r="B87" s="296">
        <f t="shared" si="38"/>
        <v>0</v>
      </c>
      <c r="C87" s="1013"/>
      <c r="D87" s="1368"/>
      <c r="E87" s="1014"/>
      <c r="F87" s="2662"/>
      <c r="G87" s="1256"/>
      <c r="H87" s="1256"/>
      <c r="I87" s="1256"/>
      <c r="J87" s="1256"/>
      <c r="K87" s="1256"/>
      <c r="L87" s="1256"/>
      <c r="M87" s="1256"/>
      <c r="N87" s="1256"/>
      <c r="O87" s="1256"/>
      <c r="P87" s="1256"/>
      <c r="Q87" s="1256"/>
      <c r="R87" s="2562"/>
      <c r="S87" s="2562"/>
      <c r="T87" s="2562"/>
      <c r="U87" s="2562"/>
      <c r="V87" s="2562"/>
      <c r="W87" s="2562"/>
      <c r="X87" s="1256"/>
      <c r="Y87" s="1256"/>
      <c r="AO87" s="53"/>
      <c r="AP87" s="53"/>
      <c r="AQ87" s="53"/>
      <c r="AR87" s="53"/>
      <c r="AS87" s="53"/>
      <c r="AT87" s="53"/>
      <c r="AU87" s="53"/>
      <c r="AV87" s="53"/>
      <c r="AW87" s="53"/>
      <c r="AX87" s="53"/>
      <c r="AY87" s="53"/>
      <c r="AZ87" s="53"/>
      <c r="BA87" s="53"/>
      <c r="BB87" s="53"/>
      <c r="BC87" s="53"/>
    </row>
    <row r="88" spans="1:55" ht="15" customHeight="1">
      <c r="A88" s="555" t="s">
        <v>1287</v>
      </c>
      <c r="B88" s="296">
        <f t="shared" si="38"/>
        <v>0</v>
      </c>
      <c r="C88" s="1013"/>
      <c r="D88" s="1368"/>
      <c r="E88" s="1014"/>
      <c r="F88" s="2662"/>
      <c r="G88" s="1256"/>
      <c r="H88" s="1256"/>
      <c r="I88" s="1256"/>
      <c r="J88" s="1256"/>
      <c r="K88" s="1256"/>
      <c r="L88" s="1256"/>
      <c r="M88" s="1256"/>
      <c r="N88" s="1256"/>
      <c r="O88" s="1256"/>
      <c r="P88" s="1256"/>
      <c r="Q88" s="1256"/>
      <c r="R88" s="2562"/>
      <c r="S88" s="2562"/>
      <c r="T88" s="2562"/>
      <c r="U88" s="2562"/>
      <c r="V88" s="2562"/>
      <c r="W88" s="2562"/>
      <c r="X88" s="1256"/>
      <c r="Y88" s="1256"/>
      <c r="AO88" s="53"/>
      <c r="AP88" s="53"/>
      <c r="AQ88" s="53"/>
      <c r="AR88" s="53"/>
      <c r="AS88" s="53"/>
      <c r="AT88" s="53"/>
      <c r="AU88" s="53"/>
      <c r="AV88" s="53"/>
      <c r="AW88" s="53"/>
      <c r="AX88" s="53"/>
      <c r="AY88" s="53"/>
      <c r="AZ88" s="53"/>
      <c r="BA88" s="53"/>
      <c r="BB88" s="53"/>
      <c r="BC88" s="53"/>
    </row>
    <row r="89" spans="1:55" ht="15" customHeight="1">
      <c r="A89" s="555" t="s">
        <v>1279</v>
      </c>
      <c r="B89" s="296">
        <f t="shared" si="38"/>
        <v>0</v>
      </c>
      <c r="C89" s="1013"/>
      <c r="D89" s="1368"/>
      <c r="E89" s="1014"/>
      <c r="F89" s="2662"/>
      <c r="G89" s="2559"/>
      <c r="H89" s="2559"/>
      <c r="I89" s="1256"/>
      <c r="J89" s="1256"/>
      <c r="K89" s="1256"/>
      <c r="L89" s="1256"/>
      <c r="M89" s="1256"/>
      <c r="N89" s="1256"/>
      <c r="O89" s="1256"/>
      <c r="P89" s="1256"/>
      <c r="Q89" s="1256"/>
      <c r="R89" s="2562"/>
      <c r="S89" s="2562"/>
      <c r="T89" s="2562"/>
      <c r="U89" s="2562"/>
      <c r="V89" s="2562"/>
      <c r="W89" s="2562"/>
      <c r="X89" s="1256"/>
      <c r="Y89" s="1256"/>
    </row>
    <row r="90" spans="1:55" ht="15" customHeight="1">
      <c r="A90" s="555" t="s">
        <v>1492</v>
      </c>
      <c r="B90" s="296">
        <f t="shared" si="38"/>
        <v>0</v>
      </c>
      <c r="C90" s="1013"/>
      <c r="D90" s="1368"/>
      <c r="E90" s="1014"/>
      <c r="F90" s="2662"/>
      <c r="G90" s="2559"/>
      <c r="H90" s="2559"/>
      <c r="I90" s="1256"/>
      <c r="J90" s="1256"/>
      <c r="K90" s="1256"/>
      <c r="L90" s="1256"/>
      <c r="M90" s="1256"/>
      <c r="N90" s="1256"/>
      <c r="O90" s="1256"/>
      <c r="P90" s="1256"/>
      <c r="Q90" s="1256"/>
      <c r="R90" s="2562"/>
      <c r="S90" s="2562"/>
      <c r="T90" s="2562"/>
      <c r="U90" s="2562"/>
      <c r="V90" s="2562"/>
      <c r="W90" s="2562"/>
      <c r="X90" s="1256"/>
      <c r="Y90" s="1256"/>
    </row>
    <row r="91" spans="1:55" ht="15" customHeight="1">
      <c r="A91" s="555" t="s">
        <v>1493</v>
      </c>
      <c r="B91" s="296">
        <f t="shared" si="38"/>
        <v>0</v>
      </c>
      <c r="C91" s="1013"/>
      <c r="D91" s="1368"/>
      <c r="E91" s="1014"/>
      <c r="F91" s="2662"/>
      <c r="G91" s="2559"/>
      <c r="H91" s="2559"/>
      <c r="I91" s="1256"/>
      <c r="J91" s="1256"/>
      <c r="K91" s="1256"/>
      <c r="L91" s="1256"/>
      <c r="M91" s="1256"/>
      <c r="N91" s="1256"/>
      <c r="O91" s="1256"/>
      <c r="P91" s="1256"/>
      <c r="Q91" s="1256"/>
      <c r="R91" s="2562"/>
      <c r="S91" s="2562"/>
      <c r="T91" s="2562"/>
      <c r="U91" s="2562"/>
      <c r="V91" s="2562"/>
      <c r="W91" s="2562"/>
      <c r="X91" s="1256"/>
      <c r="Y91" s="1256"/>
    </row>
    <row r="92" spans="1:55" ht="15" customHeight="1">
      <c r="A92" s="2663" t="s">
        <v>1288</v>
      </c>
      <c r="B92" s="296">
        <f t="shared" si="38"/>
        <v>0</v>
      </c>
      <c r="C92" s="1013"/>
      <c r="D92" s="1368"/>
      <c r="E92" s="1014"/>
      <c r="F92" s="2662"/>
      <c r="G92" s="2559"/>
      <c r="H92" s="2559"/>
      <c r="I92" s="1256"/>
      <c r="J92" s="1256"/>
      <c r="K92" s="1256"/>
      <c r="L92" s="1256"/>
      <c r="M92" s="1256"/>
      <c r="N92" s="1256"/>
      <c r="O92" s="1256"/>
      <c r="P92" s="1256"/>
      <c r="Q92" s="1256"/>
      <c r="R92" s="2562"/>
      <c r="S92" s="2562"/>
      <c r="T92" s="2562"/>
      <c r="U92" s="2562"/>
      <c r="V92" s="2562"/>
      <c r="W92" s="2562"/>
      <c r="X92" s="1256"/>
      <c r="Y92" s="1256"/>
    </row>
    <row r="93" spans="1:55" ht="15" customHeight="1">
      <c r="A93" s="555" t="s">
        <v>1494</v>
      </c>
      <c r="B93" s="296">
        <f t="shared" si="38"/>
        <v>0</v>
      </c>
      <c r="C93" s="1013"/>
      <c r="D93" s="1368"/>
      <c r="E93" s="1014"/>
      <c r="F93" s="2662"/>
      <c r="G93" s="2559"/>
      <c r="H93" s="2559"/>
      <c r="I93" s="1256"/>
      <c r="J93" s="1256"/>
      <c r="K93" s="1256"/>
      <c r="L93" s="1256"/>
      <c r="M93" s="1256"/>
      <c r="N93" s="1256"/>
      <c r="O93" s="1256"/>
      <c r="P93" s="1256"/>
      <c r="Q93" s="1256"/>
      <c r="R93" s="2562"/>
      <c r="S93" s="2562"/>
      <c r="T93" s="2562"/>
      <c r="U93" s="2562"/>
      <c r="V93" s="2562"/>
      <c r="W93" s="2562"/>
      <c r="X93" s="1256"/>
      <c r="Y93" s="1256"/>
    </row>
    <row r="94" spans="1:55" ht="15" customHeight="1">
      <c r="A94" s="555" t="s">
        <v>1495</v>
      </c>
      <c r="B94" s="296">
        <f t="shared" si="38"/>
        <v>0</v>
      </c>
      <c r="C94" s="1013"/>
      <c r="D94" s="1368"/>
      <c r="E94" s="1014"/>
      <c r="F94" s="2662"/>
      <c r="G94" s="2559"/>
      <c r="H94" s="2559"/>
      <c r="I94" s="1256"/>
      <c r="J94" s="1256"/>
      <c r="K94" s="1256"/>
      <c r="L94" s="1256"/>
      <c r="M94" s="1256"/>
      <c r="N94" s="1256"/>
      <c r="O94" s="1256"/>
      <c r="P94" s="1256"/>
      <c r="Q94" s="1256"/>
      <c r="R94" s="2562"/>
      <c r="S94" s="2562"/>
      <c r="T94" s="2562"/>
      <c r="U94" s="2562"/>
      <c r="V94" s="2562"/>
      <c r="W94" s="2562"/>
      <c r="X94" s="1256"/>
      <c r="Y94" s="1256"/>
    </row>
    <row r="95" spans="1:55" ht="15" customHeight="1">
      <c r="A95" s="555" t="s">
        <v>1326</v>
      </c>
      <c r="B95" s="296">
        <f t="shared" si="38"/>
        <v>0</v>
      </c>
      <c r="C95" s="1013"/>
      <c r="D95" s="1368"/>
      <c r="E95" s="1014"/>
      <c r="F95" s="2662"/>
      <c r="G95" s="2559"/>
      <c r="H95" s="2559"/>
      <c r="I95" s="1256"/>
      <c r="J95" s="1256"/>
      <c r="K95" s="1256"/>
      <c r="L95" s="1256"/>
      <c r="M95" s="1256"/>
      <c r="N95" s="1256"/>
      <c r="O95" s="1256"/>
      <c r="P95" s="1256"/>
      <c r="Q95" s="1256"/>
      <c r="R95" s="2562"/>
      <c r="S95" s="2562"/>
      <c r="T95" s="2562"/>
      <c r="U95" s="2562"/>
      <c r="V95" s="2562"/>
      <c r="W95" s="2562"/>
      <c r="X95" s="1256"/>
      <c r="Y95" s="1256"/>
    </row>
    <row r="96" spans="1:55" ht="15" customHeight="1">
      <c r="A96" s="555" t="s">
        <v>1270</v>
      </c>
      <c r="B96" s="296">
        <f t="shared" si="38"/>
        <v>0</v>
      </c>
      <c r="C96" s="1013"/>
      <c r="D96" s="1368"/>
      <c r="E96" s="1014"/>
      <c r="F96" s="2662"/>
      <c r="G96" s="2559"/>
      <c r="H96" s="2559"/>
      <c r="I96" s="1256"/>
      <c r="J96" s="1256"/>
      <c r="K96" s="1256"/>
      <c r="L96" s="1256"/>
      <c r="M96" s="1256"/>
      <c r="N96" s="1256"/>
      <c r="O96" s="1256"/>
      <c r="P96" s="1256"/>
      <c r="Q96" s="1256"/>
      <c r="R96" s="2562"/>
      <c r="S96" s="2562"/>
      <c r="T96" s="2562"/>
      <c r="U96" s="2562"/>
      <c r="V96" s="2562"/>
      <c r="W96" s="2562"/>
      <c r="X96" s="1256"/>
      <c r="Y96" s="1256"/>
    </row>
    <row r="97" spans="1:92" ht="15" customHeight="1">
      <c r="A97" s="555" t="s">
        <v>1244</v>
      </c>
      <c r="B97" s="296">
        <f t="shared" si="38"/>
        <v>0</v>
      </c>
      <c r="C97" s="1013"/>
      <c r="D97" s="1368"/>
      <c r="E97" s="1014"/>
      <c r="F97" s="2662"/>
      <c r="G97" s="2559"/>
      <c r="H97" s="2559"/>
      <c r="I97" s="1256"/>
      <c r="J97" s="1256"/>
      <c r="K97" s="1256"/>
      <c r="L97" s="1256"/>
      <c r="M97" s="1256"/>
      <c r="N97" s="1256"/>
      <c r="O97" s="1256"/>
      <c r="P97" s="1256"/>
      <c r="Q97" s="1256"/>
      <c r="R97" s="2562"/>
      <c r="S97" s="2562"/>
      <c r="T97" s="2562"/>
      <c r="U97" s="2562"/>
      <c r="V97" s="2562"/>
      <c r="W97" s="2562"/>
      <c r="X97" s="1256"/>
      <c r="Y97" s="1256"/>
    </row>
    <row r="98" spans="1:92" ht="15" customHeight="1">
      <c r="A98" s="555" t="s">
        <v>1281</v>
      </c>
      <c r="B98" s="296">
        <f t="shared" si="38"/>
        <v>0</v>
      </c>
      <c r="C98" s="1013"/>
      <c r="D98" s="1368"/>
      <c r="E98" s="1014"/>
      <c r="F98" s="2662"/>
      <c r="G98" s="2559"/>
      <c r="H98" s="2559"/>
      <c r="I98" s="1256"/>
      <c r="J98" s="1256"/>
      <c r="K98" s="1256"/>
      <c r="L98" s="1256"/>
      <c r="M98" s="1256"/>
      <c r="N98" s="1256"/>
      <c r="O98" s="1256"/>
      <c r="P98" s="1256"/>
      <c r="Q98" s="1256"/>
      <c r="R98" s="2562"/>
      <c r="S98" s="2562"/>
      <c r="T98" s="2562"/>
      <c r="U98" s="2562"/>
      <c r="V98" s="2562"/>
      <c r="W98" s="2562"/>
      <c r="X98" s="1256"/>
      <c r="Y98" s="1256"/>
    </row>
    <row r="99" spans="1:92" ht="15" customHeight="1">
      <c r="A99" s="555" t="s">
        <v>1273</v>
      </c>
      <c r="B99" s="296">
        <f t="shared" si="38"/>
        <v>0</v>
      </c>
      <c r="C99" s="1013"/>
      <c r="D99" s="1368"/>
      <c r="E99" s="1014"/>
      <c r="F99" s="2662"/>
      <c r="G99" s="2559"/>
      <c r="H99" s="2559"/>
      <c r="I99" s="1256"/>
      <c r="J99" s="1256"/>
      <c r="K99" s="1256"/>
      <c r="L99" s="1256"/>
      <c r="M99" s="1256"/>
      <c r="N99" s="1256"/>
      <c r="O99" s="1256"/>
      <c r="P99" s="1256"/>
      <c r="Q99" s="1256"/>
      <c r="R99" s="2562"/>
      <c r="S99" s="2562"/>
      <c r="T99" s="2562"/>
      <c r="U99" s="2562"/>
      <c r="V99" s="2562"/>
      <c r="W99" s="2562"/>
      <c r="X99" s="1256"/>
      <c r="Y99" s="1256"/>
    </row>
    <row r="100" spans="1:92" ht="15" customHeight="1">
      <c r="A100" s="555" t="s">
        <v>615</v>
      </c>
      <c r="B100" s="296">
        <f>SUM(C100:E100)</f>
        <v>0</v>
      </c>
      <c r="C100" s="1013"/>
      <c r="D100" s="1368"/>
      <c r="E100" s="1014"/>
      <c r="F100" s="2662"/>
      <c r="G100" s="2559"/>
      <c r="H100" s="2559"/>
      <c r="I100" s="1256"/>
      <c r="J100" s="1256"/>
      <c r="K100" s="1256"/>
      <c r="L100" s="1256"/>
      <c r="M100" s="1256"/>
      <c r="N100" s="1256"/>
      <c r="O100" s="1256"/>
      <c r="P100" s="1256"/>
      <c r="Q100" s="1256"/>
      <c r="R100" s="2562"/>
      <c r="S100" s="2562"/>
      <c r="T100" s="2562"/>
      <c r="U100" s="2562"/>
      <c r="V100" s="2562"/>
      <c r="W100" s="2562"/>
      <c r="X100" s="1256"/>
      <c r="Y100" s="1256"/>
    </row>
    <row r="101" spans="1:92" ht="15" customHeight="1">
      <c r="A101" s="58" t="s">
        <v>91</v>
      </c>
      <c r="B101" s="287">
        <f>SUM(B81:B100)</f>
        <v>0</v>
      </c>
      <c r="C101" s="570">
        <f>SUM(C81:C100)</f>
        <v>0</v>
      </c>
      <c r="D101" s="781">
        <f t="shared" ref="D101:E101" si="39">SUM(D81:D100)</f>
        <v>0</v>
      </c>
      <c r="E101" s="289">
        <f t="shared" si="39"/>
        <v>0</v>
      </c>
      <c r="F101" s="2662"/>
      <c r="G101" s="2559"/>
      <c r="H101" s="2559"/>
      <c r="I101" s="1256"/>
      <c r="J101" s="1256"/>
      <c r="K101" s="1256"/>
      <c r="L101" s="1256"/>
      <c r="M101" s="1256"/>
      <c r="N101" s="1256"/>
      <c r="O101" s="1256"/>
      <c r="P101" s="1256"/>
      <c r="Q101" s="1256"/>
      <c r="R101" s="2562"/>
      <c r="S101" s="2562"/>
      <c r="T101" s="2562"/>
      <c r="U101" s="2562"/>
      <c r="V101" s="2562"/>
      <c r="W101" s="2562"/>
      <c r="X101" s="1256"/>
      <c r="Y101" s="1256"/>
    </row>
    <row r="102" spans="1:92" s="2558" customFormat="1" ht="18" customHeight="1">
      <c r="A102" s="465" t="s">
        <v>1496</v>
      </c>
      <c r="BV102" s="2563"/>
      <c r="BW102" s="2563"/>
      <c r="BX102" s="2563"/>
      <c r="BY102" s="2563"/>
    </row>
    <row r="103" spans="1:92" ht="16.350000000000001" customHeight="1">
      <c r="A103" s="5642" t="s">
        <v>1497</v>
      </c>
      <c r="B103" s="5624"/>
      <c r="C103" s="5642" t="s">
        <v>1421</v>
      </c>
      <c r="D103" s="5627"/>
      <c r="E103" s="5624"/>
      <c r="F103" s="5615" t="s">
        <v>1498</v>
      </c>
      <c r="G103" s="5616"/>
      <c r="H103" s="5616"/>
      <c r="I103" s="5616"/>
      <c r="J103" s="5616"/>
      <c r="K103" s="5616"/>
      <c r="L103" s="5616"/>
      <c r="M103" s="5616"/>
      <c r="N103" s="5616"/>
      <c r="O103" s="5616"/>
      <c r="P103" s="5616"/>
      <c r="Q103" s="5616"/>
      <c r="R103" s="5616"/>
      <c r="S103" s="5616"/>
      <c r="T103" s="5616"/>
      <c r="U103" s="5616"/>
      <c r="V103" s="5616"/>
      <c r="W103" s="5616"/>
      <c r="X103" s="5616"/>
      <c r="Y103" s="5616"/>
      <c r="Z103" s="5616"/>
      <c r="AA103" s="5616"/>
      <c r="AB103" s="5616"/>
      <c r="AC103" s="5616"/>
      <c r="AD103" s="5616"/>
      <c r="AE103" s="5616"/>
      <c r="AF103" s="5616"/>
      <c r="AG103" s="5616"/>
      <c r="AH103" s="5616"/>
      <c r="AI103" s="5616"/>
      <c r="AJ103" s="5616"/>
      <c r="AK103" s="5616"/>
      <c r="AL103" s="5616"/>
      <c r="AM103" s="5617"/>
      <c r="AN103" s="5953" t="s">
        <v>625</v>
      </c>
      <c r="AO103" s="5624" t="s">
        <v>1499</v>
      </c>
      <c r="AP103" s="53"/>
      <c r="AQ103" s="53"/>
      <c r="AR103" s="53"/>
      <c r="AS103" s="53"/>
      <c r="AT103" s="53"/>
      <c r="AU103" s="53"/>
      <c r="AV103" s="53"/>
      <c r="AW103" s="53"/>
      <c r="AX103" s="53"/>
      <c r="AY103" s="53"/>
      <c r="AZ103" s="53"/>
      <c r="BA103" s="53"/>
      <c r="BB103" s="53"/>
    </row>
    <row r="104" spans="1:92" ht="16.350000000000001" customHeight="1">
      <c r="A104" s="5643"/>
      <c r="B104" s="5645"/>
      <c r="C104" s="5659"/>
      <c r="D104" s="5731"/>
      <c r="E104" s="5625"/>
      <c r="F104" s="5615" t="s">
        <v>364</v>
      </c>
      <c r="G104" s="5652"/>
      <c r="H104" s="5615" t="s">
        <v>347</v>
      </c>
      <c r="I104" s="5652"/>
      <c r="J104" s="5615" t="s">
        <v>108</v>
      </c>
      <c r="K104" s="5652"/>
      <c r="L104" s="5615" t="s">
        <v>58</v>
      </c>
      <c r="M104" s="5652"/>
      <c r="N104" s="5615" t="s">
        <v>59</v>
      </c>
      <c r="O104" s="5652"/>
      <c r="P104" s="5647" t="s">
        <v>60</v>
      </c>
      <c r="Q104" s="5648"/>
      <c r="R104" s="5647" t="s">
        <v>61</v>
      </c>
      <c r="S104" s="5648"/>
      <c r="T104" s="5647" t="s">
        <v>62</v>
      </c>
      <c r="U104" s="5648"/>
      <c r="V104" s="5647" t="s">
        <v>63</v>
      </c>
      <c r="W104" s="5648"/>
      <c r="X104" s="5647" t="s">
        <v>64</v>
      </c>
      <c r="Y104" s="5648"/>
      <c r="Z104" s="5647" t="s">
        <v>65</v>
      </c>
      <c r="AA104" s="5648"/>
      <c r="AB104" s="5647" t="s">
        <v>66</v>
      </c>
      <c r="AC104" s="5648"/>
      <c r="AD104" s="5647" t="s">
        <v>67</v>
      </c>
      <c r="AE104" s="5648"/>
      <c r="AF104" s="5647" t="s">
        <v>68</v>
      </c>
      <c r="AG104" s="5648"/>
      <c r="AH104" s="5647" t="s">
        <v>69</v>
      </c>
      <c r="AI104" s="5648"/>
      <c r="AJ104" s="5647" t="s">
        <v>70</v>
      </c>
      <c r="AK104" s="5648"/>
      <c r="AL104" s="5647" t="s">
        <v>71</v>
      </c>
      <c r="AM104" s="5686"/>
      <c r="AN104" s="5954"/>
      <c r="AO104" s="5645"/>
      <c r="AP104" s="53"/>
      <c r="AQ104" s="53"/>
      <c r="AR104" s="53"/>
      <c r="AS104" s="53"/>
      <c r="AT104" s="53"/>
      <c r="AU104" s="53"/>
      <c r="AV104" s="53"/>
      <c r="AW104" s="53"/>
      <c r="AX104" s="53"/>
      <c r="AY104" s="53"/>
      <c r="AZ104" s="53"/>
      <c r="BA104" s="53"/>
      <c r="BB104" s="53"/>
    </row>
    <row r="105" spans="1:92" ht="16.350000000000001" customHeight="1">
      <c r="A105" s="5659"/>
      <c r="B105" s="5731"/>
      <c r="C105" s="75" t="s">
        <v>93</v>
      </c>
      <c r="D105" s="68" t="s">
        <v>482</v>
      </c>
      <c r="E105" s="76" t="s">
        <v>73</v>
      </c>
      <c r="F105" s="75" t="s">
        <v>482</v>
      </c>
      <c r="G105" s="76" t="s">
        <v>73</v>
      </c>
      <c r="H105" s="75" t="s">
        <v>482</v>
      </c>
      <c r="I105" s="59" t="s">
        <v>73</v>
      </c>
      <c r="J105" s="75" t="s">
        <v>482</v>
      </c>
      <c r="K105" s="76" t="s">
        <v>73</v>
      </c>
      <c r="L105" s="75" t="s">
        <v>482</v>
      </c>
      <c r="M105" s="59" t="s">
        <v>73</v>
      </c>
      <c r="N105" s="75" t="s">
        <v>482</v>
      </c>
      <c r="O105" s="76" t="s">
        <v>73</v>
      </c>
      <c r="P105" s="75" t="s">
        <v>482</v>
      </c>
      <c r="Q105" s="59" t="s">
        <v>73</v>
      </c>
      <c r="R105" s="75" t="s">
        <v>482</v>
      </c>
      <c r="S105" s="76" t="s">
        <v>73</v>
      </c>
      <c r="T105" s="75" t="s">
        <v>482</v>
      </c>
      <c r="U105" s="59" t="s">
        <v>73</v>
      </c>
      <c r="V105" s="75" t="s">
        <v>482</v>
      </c>
      <c r="W105" s="76" t="s">
        <v>73</v>
      </c>
      <c r="X105" s="75" t="s">
        <v>482</v>
      </c>
      <c r="Y105" s="76" t="s">
        <v>73</v>
      </c>
      <c r="Z105" s="75" t="s">
        <v>482</v>
      </c>
      <c r="AA105" s="59" t="s">
        <v>73</v>
      </c>
      <c r="AB105" s="75" t="s">
        <v>482</v>
      </c>
      <c r="AC105" s="76" t="s">
        <v>73</v>
      </c>
      <c r="AD105" s="75" t="s">
        <v>482</v>
      </c>
      <c r="AE105" s="59" t="s">
        <v>73</v>
      </c>
      <c r="AF105" s="75" t="s">
        <v>482</v>
      </c>
      <c r="AG105" s="76" t="s">
        <v>73</v>
      </c>
      <c r="AH105" s="75" t="s">
        <v>482</v>
      </c>
      <c r="AI105" s="59" t="s">
        <v>73</v>
      </c>
      <c r="AJ105" s="75" t="s">
        <v>482</v>
      </c>
      <c r="AK105" s="76" t="s">
        <v>73</v>
      </c>
      <c r="AL105" s="75" t="s">
        <v>482</v>
      </c>
      <c r="AM105" s="60" t="s">
        <v>73</v>
      </c>
      <c r="AN105" s="5955"/>
      <c r="AO105" s="5625"/>
      <c r="AP105" s="53"/>
      <c r="AQ105" s="53"/>
      <c r="AR105" s="53"/>
      <c r="AS105" s="53"/>
      <c r="AT105" s="53"/>
      <c r="AU105" s="53"/>
      <c r="AV105" s="53"/>
      <c r="AW105" s="53"/>
      <c r="AX105" s="53"/>
      <c r="AY105" s="53"/>
      <c r="AZ105" s="53"/>
      <c r="BA105" s="53"/>
      <c r="BB105" s="53"/>
    </row>
    <row r="106" spans="1:92" ht="15" customHeight="1">
      <c r="A106" s="5726" t="s">
        <v>1500</v>
      </c>
      <c r="B106" s="5727"/>
      <c r="C106" s="486">
        <f>SUM(C107:C113)</f>
        <v>0</v>
      </c>
      <c r="D106" s="487">
        <f>SUM(D107:D113)</f>
        <v>0</v>
      </c>
      <c r="E106" s="488">
        <f>SUM(E107:E113)</f>
        <v>0</v>
      </c>
      <c r="F106" s="1141">
        <f t="shared" ref="F106:AN106" si="40">SUM(F107:F113)</f>
        <v>0</v>
      </c>
      <c r="G106" s="2664">
        <f t="shared" si="40"/>
        <v>0</v>
      </c>
      <c r="H106" s="1141">
        <f t="shared" si="40"/>
        <v>0</v>
      </c>
      <c r="I106" s="2664">
        <f t="shared" si="40"/>
        <v>0</v>
      </c>
      <c r="J106" s="1141">
        <f t="shared" si="40"/>
        <v>0</v>
      </c>
      <c r="K106" s="2664">
        <f t="shared" si="40"/>
        <v>0</v>
      </c>
      <c r="L106" s="1141">
        <f t="shared" si="40"/>
        <v>0</v>
      </c>
      <c r="M106" s="2664">
        <f t="shared" si="40"/>
        <v>0</v>
      </c>
      <c r="N106" s="1141">
        <f t="shared" si="40"/>
        <v>0</v>
      </c>
      <c r="O106" s="2664">
        <f t="shared" si="40"/>
        <v>0</v>
      </c>
      <c r="P106" s="1141">
        <f t="shared" si="40"/>
        <v>0</v>
      </c>
      <c r="Q106" s="2664">
        <f t="shared" si="40"/>
        <v>0</v>
      </c>
      <c r="R106" s="1141">
        <f t="shared" si="40"/>
        <v>0</v>
      </c>
      <c r="S106" s="2664">
        <f t="shared" si="40"/>
        <v>0</v>
      </c>
      <c r="T106" s="1141">
        <f t="shared" si="40"/>
        <v>0</v>
      </c>
      <c r="U106" s="2664">
        <f t="shared" si="40"/>
        <v>0</v>
      </c>
      <c r="V106" s="1141">
        <f t="shared" si="40"/>
        <v>0</v>
      </c>
      <c r="W106" s="2664">
        <f t="shared" si="40"/>
        <v>0</v>
      </c>
      <c r="X106" s="1141">
        <f t="shared" si="40"/>
        <v>0</v>
      </c>
      <c r="Y106" s="2664">
        <f t="shared" si="40"/>
        <v>0</v>
      </c>
      <c r="Z106" s="1141">
        <f t="shared" si="40"/>
        <v>0</v>
      </c>
      <c r="AA106" s="2664">
        <f t="shared" si="40"/>
        <v>0</v>
      </c>
      <c r="AB106" s="1141">
        <f t="shared" si="40"/>
        <v>0</v>
      </c>
      <c r="AC106" s="2664">
        <f t="shared" si="40"/>
        <v>0</v>
      </c>
      <c r="AD106" s="1141">
        <f t="shared" si="40"/>
        <v>0</v>
      </c>
      <c r="AE106" s="2664">
        <f t="shared" si="40"/>
        <v>0</v>
      </c>
      <c r="AF106" s="1141">
        <f t="shared" si="40"/>
        <v>0</v>
      </c>
      <c r="AG106" s="2664">
        <f t="shared" si="40"/>
        <v>0</v>
      </c>
      <c r="AH106" s="1141">
        <f t="shared" si="40"/>
        <v>0</v>
      </c>
      <c r="AI106" s="2664">
        <f t="shared" si="40"/>
        <v>0</v>
      </c>
      <c r="AJ106" s="1141">
        <f t="shared" si="40"/>
        <v>0</v>
      </c>
      <c r="AK106" s="2664">
        <f t="shared" si="40"/>
        <v>0</v>
      </c>
      <c r="AL106" s="1141">
        <f t="shared" si="40"/>
        <v>0</v>
      </c>
      <c r="AM106" s="2665">
        <f t="shared" si="40"/>
        <v>0</v>
      </c>
      <c r="AN106" s="2666">
        <f t="shared" si="40"/>
        <v>0</v>
      </c>
      <c r="AO106" s="976">
        <f>SUM(AO107:AO109)</f>
        <v>0</v>
      </c>
      <c r="AP106" s="53"/>
      <c r="AQ106" s="53"/>
      <c r="AR106" s="53"/>
      <c r="AS106" s="53"/>
      <c r="AT106" s="53"/>
      <c r="AU106" s="53"/>
      <c r="AV106" s="53"/>
      <c r="AW106" s="53"/>
      <c r="AX106" s="53"/>
      <c r="AY106" s="53"/>
      <c r="AZ106" s="53"/>
      <c r="BA106" s="53"/>
      <c r="BB106" s="53"/>
    </row>
    <row r="107" spans="1:92" ht="15" customHeight="1">
      <c r="A107" s="5619" t="s">
        <v>1501</v>
      </c>
      <c r="B107" s="695" t="s">
        <v>1502</v>
      </c>
      <c r="C107" s="486">
        <f t="shared" ref="C107:C131" si="41">SUM(D107+E107)</f>
        <v>0</v>
      </c>
      <c r="D107" s="487">
        <f t="shared" ref="D107:E125" si="42">SUM(F107+H107+J107+L107+N107+P107+R107+T107+V107+X107+Z107+AB107+AD107+AF107+AH107+AJ107+AL107)</f>
        <v>0</v>
      </c>
      <c r="E107" s="488">
        <f t="shared" si="42"/>
        <v>0</v>
      </c>
      <c r="F107" s="95"/>
      <c r="G107" s="86"/>
      <c r="H107" s="527"/>
      <c r="I107" s="237"/>
      <c r="J107" s="527"/>
      <c r="K107" s="237"/>
      <c r="L107" s="95"/>
      <c r="M107" s="86"/>
      <c r="N107" s="527"/>
      <c r="O107" s="237"/>
      <c r="P107" s="527"/>
      <c r="Q107" s="237"/>
      <c r="R107" s="527"/>
      <c r="S107" s="237"/>
      <c r="T107" s="527"/>
      <c r="U107" s="237"/>
      <c r="V107" s="527"/>
      <c r="W107" s="237"/>
      <c r="X107" s="527"/>
      <c r="Y107" s="237"/>
      <c r="Z107" s="527"/>
      <c r="AA107" s="237"/>
      <c r="AB107" s="527"/>
      <c r="AC107" s="237"/>
      <c r="AD107" s="527"/>
      <c r="AE107" s="237"/>
      <c r="AF107" s="527"/>
      <c r="AG107" s="237"/>
      <c r="AH107" s="527"/>
      <c r="AI107" s="237"/>
      <c r="AJ107" s="527"/>
      <c r="AK107" s="237"/>
      <c r="AL107" s="527"/>
      <c r="AM107" s="170"/>
      <c r="AN107" s="2587"/>
      <c r="AO107" s="204"/>
      <c r="AP107" s="2642" t="str">
        <f t="shared" ref="AP107:AP109" si="43">CA107&amp;CB107</f>
        <v/>
      </c>
      <c r="AQ107" s="2567"/>
      <c r="AR107" s="2567"/>
      <c r="AS107" s="2567"/>
      <c r="AT107" s="2567"/>
      <c r="AU107" s="2567"/>
      <c r="AV107" s="2567"/>
      <c r="AW107" s="2567"/>
      <c r="AX107" s="2567"/>
      <c r="AY107" s="2567"/>
      <c r="AZ107" s="2567"/>
      <c r="BA107" s="53"/>
      <c r="BB107" s="53"/>
      <c r="CA107" s="2568" t="str">
        <f t="shared" ref="CA107:CB113" si="44">IF(AND($C107&gt;0,AN107="")," *No olvide digitar la variable "&amp;AN$103&amp;""&amp;". Digite CERO si no tiene",IF(AN107&gt;$C107," *La variable "&amp;AN$103&amp;""&amp;" No puede ser mayor al Total Ambos Sexos.",""))</f>
        <v/>
      </c>
      <c r="CB107" s="2568" t="str">
        <f t="shared" si="44"/>
        <v/>
      </c>
      <c r="CM107" s="2569">
        <f t="shared" ref="CM107:CM125" si="45">IF(AND($C107&gt;0,AN107=""),1,IF(AN107&gt;$C107,1,0))</f>
        <v>0</v>
      </c>
      <c r="CN107" s="2569">
        <f t="shared" ref="CN107:CN109" si="46">IF(AND($C107&gt;0,AO107=""),1,IF(AO107&gt;$C107,1,0))</f>
        <v>0</v>
      </c>
    </row>
    <row r="108" spans="1:92" ht="15" customHeight="1">
      <c r="A108" s="5618"/>
      <c r="B108" s="2667" t="s">
        <v>1503</v>
      </c>
      <c r="C108" s="545">
        <f t="shared" si="41"/>
        <v>0</v>
      </c>
      <c r="D108" s="542">
        <f t="shared" si="42"/>
        <v>0</v>
      </c>
      <c r="E108" s="773">
        <f t="shared" si="42"/>
        <v>0</v>
      </c>
      <c r="F108" s="2668"/>
      <c r="G108" s="2669"/>
      <c r="H108" s="2670"/>
      <c r="I108" s="2671"/>
      <c r="J108" s="2668"/>
      <c r="K108" s="2672"/>
      <c r="L108" s="2670"/>
      <c r="M108" s="2673"/>
      <c r="N108" s="2668"/>
      <c r="O108" s="2672"/>
      <c r="P108" s="2671"/>
      <c r="Q108" s="2673"/>
      <c r="R108" s="2674"/>
      <c r="S108" s="2672"/>
      <c r="T108" s="2671"/>
      <c r="U108" s="2673"/>
      <c r="V108" s="2674"/>
      <c r="W108" s="2672"/>
      <c r="X108" s="2671"/>
      <c r="Y108" s="2672"/>
      <c r="Z108" s="2674"/>
      <c r="AA108" s="2673"/>
      <c r="AB108" s="2674"/>
      <c r="AC108" s="2672"/>
      <c r="AD108" s="2671"/>
      <c r="AE108" s="2673"/>
      <c r="AF108" s="2674"/>
      <c r="AG108" s="2672"/>
      <c r="AH108" s="2671"/>
      <c r="AI108" s="2673"/>
      <c r="AJ108" s="2674"/>
      <c r="AK108" s="2672"/>
      <c r="AL108" s="2671"/>
      <c r="AM108" s="2675"/>
      <c r="AN108" s="2676"/>
      <c r="AO108" s="2669"/>
      <c r="AP108" s="2642" t="str">
        <f t="shared" si="43"/>
        <v/>
      </c>
      <c r="AQ108" s="2567"/>
      <c r="AR108" s="2567"/>
      <c r="AS108" s="2567"/>
      <c r="AT108" s="2567"/>
      <c r="AU108" s="2567"/>
      <c r="AV108" s="2567"/>
      <c r="AW108" s="2567"/>
      <c r="AX108" s="2567"/>
      <c r="AY108" s="2567"/>
      <c r="AZ108" s="2567"/>
      <c r="BA108" s="53"/>
      <c r="BB108" s="53"/>
      <c r="CA108" s="2568" t="str">
        <f t="shared" si="44"/>
        <v/>
      </c>
      <c r="CB108" s="2568" t="str">
        <f t="shared" si="44"/>
        <v/>
      </c>
      <c r="CM108" s="2569">
        <f t="shared" si="45"/>
        <v>0</v>
      </c>
      <c r="CN108" s="2569">
        <f t="shared" si="46"/>
        <v>0</v>
      </c>
    </row>
    <row r="109" spans="1:92" ht="15" customHeight="1">
      <c r="A109" s="6540"/>
      <c r="B109" s="477" t="s">
        <v>1504</v>
      </c>
      <c r="C109" s="2677">
        <f t="shared" si="41"/>
        <v>0</v>
      </c>
      <c r="D109" s="2678">
        <f t="shared" si="42"/>
        <v>0</v>
      </c>
      <c r="E109" s="2679">
        <f t="shared" si="42"/>
        <v>0</v>
      </c>
      <c r="F109" s="2680"/>
      <c r="G109" s="2681"/>
      <c r="H109" s="2682"/>
      <c r="I109" s="2683"/>
      <c r="J109" s="2680"/>
      <c r="K109" s="2684"/>
      <c r="L109" s="2682"/>
      <c r="M109" s="2685"/>
      <c r="N109" s="2680"/>
      <c r="O109" s="2684"/>
      <c r="P109" s="2683"/>
      <c r="Q109" s="2685"/>
      <c r="R109" s="2686"/>
      <c r="S109" s="2684"/>
      <c r="T109" s="2683"/>
      <c r="U109" s="2685"/>
      <c r="V109" s="2686"/>
      <c r="W109" s="2684"/>
      <c r="X109" s="2683"/>
      <c r="Y109" s="2684"/>
      <c r="Z109" s="2686"/>
      <c r="AA109" s="2685"/>
      <c r="AB109" s="2686"/>
      <c r="AC109" s="2684"/>
      <c r="AD109" s="2683"/>
      <c r="AE109" s="2685"/>
      <c r="AF109" s="2686"/>
      <c r="AG109" s="2684"/>
      <c r="AH109" s="2683"/>
      <c r="AI109" s="2685"/>
      <c r="AJ109" s="2686"/>
      <c r="AK109" s="2684"/>
      <c r="AL109" s="2683"/>
      <c r="AM109" s="2687"/>
      <c r="AN109" s="2688"/>
      <c r="AO109" s="2681"/>
      <c r="AP109" s="2642" t="str">
        <f t="shared" si="43"/>
        <v/>
      </c>
      <c r="AQ109" s="2567"/>
      <c r="AR109" s="2567"/>
      <c r="AS109" s="2567"/>
      <c r="AT109" s="2567"/>
      <c r="AU109" s="2567"/>
      <c r="AV109" s="2567"/>
      <c r="AW109" s="2567"/>
      <c r="AX109" s="2567"/>
      <c r="AY109" s="2567"/>
      <c r="AZ109" s="2567"/>
      <c r="BA109" s="53"/>
      <c r="BB109" s="53"/>
      <c r="CA109" s="2568" t="str">
        <f t="shared" si="44"/>
        <v/>
      </c>
      <c r="CB109" s="2568" t="str">
        <f t="shared" si="44"/>
        <v/>
      </c>
      <c r="CM109" s="2569">
        <f t="shared" si="45"/>
        <v>0</v>
      </c>
      <c r="CN109" s="2569">
        <f t="shared" si="46"/>
        <v>0</v>
      </c>
    </row>
    <row r="110" spans="1:92" ht="15" customHeight="1">
      <c r="A110" s="6516" t="s">
        <v>1505</v>
      </c>
      <c r="B110" s="6517"/>
      <c r="C110" s="518">
        <f t="shared" si="41"/>
        <v>0</v>
      </c>
      <c r="D110" s="524">
        <f t="shared" si="42"/>
        <v>0</v>
      </c>
      <c r="E110" s="770">
        <f t="shared" si="42"/>
        <v>0</v>
      </c>
      <c r="F110" s="2689"/>
      <c r="G110" s="2690"/>
      <c r="H110" s="2691"/>
      <c r="I110" s="2692"/>
      <c r="J110" s="2693"/>
      <c r="K110" s="2690"/>
      <c r="L110" s="2691"/>
      <c r="M110" s="2694"/>
      <c r="N110" s="2693"/>
      <c r="O110" s="2690"/>
      <c r="P110" s="2692"/>
      <c r="Q110" s="2694"/>
      <c r="R110" s="2695"/>
      <c r="S110" s="2690"/>
      <c r="T110" s="2692"/>
      <c r="U110" s="2694"/>
      <c r="V110" s="2695"/>
      <c r="W110" s="2690"/>
      <c r="X110" s="2692"/>
      <c r="Y110" s="2690"/>
      <c r="Z110" s="2695"/>
      <c r="AA110" s="2694"/>
      <c r="AB110" s="2695"/>
      <c r="AC110" s="2690"/>
      <c r="AD110" s="2692"/>
      <c r="AE110" s="2694"/>
      <c r="AF110" s="2695"/>
      <c r="AG110" s="2690"/>
      <c r="AH110" s="2692"/>
      <c r="AI110" s="2694"/>
      <c r="AJ110" s="2695"/>
      <c r="AK110" s="2690"/>
      <c r="AL110" s="2692"/>
      <c r="AM110" s="2696"/>
      <c r="AN110" s="2697"/>
      <c r="AO110" s="2698"/>
      <c r="AP110" s="2642" t="str">
        <f t="shared" ref="AP110:AP113" si="47">CA110</f>
        <v/>
      </c>
      <c r="AQ110" s="2567"/>
      <c r="AR110" s="2567"/>
      <c r="AS110" s="2567"/>
      <c r="AT110" s="2567"/>
      <c r="AU110" s="2567"/>
      <c r="AV110" s="2567"/>
      <c r="AW110" s="2567"/>
      <c r="AX110" s="2567"/>
      <c r="AY110" s="2567"/>
      <c r="AZ110" s="2567"/>
      <c r="BA110" s="53"/>
      <c r="BB110" s="53"/>
      <c r="CA110" s="2568" t="str">
        <f t="shared" si="44"/>
        <v/>
      </c>
      <c r="CM110" s="2569">
        <f t="shared" si="45"/>
        <v>0</v>
      </c>
    </row>
    <row r="111" spans="1:92" ht="15" customHeight="1">
      <c r="A111" s="6538" t="s">
        <v>1506</v>
      </c>
      <c r="B111" s="6539"/>
      <c r="C111" s="541">
        <f t="shared" si="41"/>
        <v>0</v>
      </c>
      <c r="D111" s="524">
        <f t="shared" si="42"/>
        <v>0</v>
      </c>
      <c r="E111" s="774">
        <f t="shared" si="42"/>
        <v>0</v>
      </c>
      <c r="F111" s="2699"/>
      <c r="G111" s="2700"/>
      <c r="H111" s="2701"/>
      <c r="I111" s="2702"/>
      <c r="J111" s="2689"/>
      <c r="K111" s="2703"/>
      <c r="L111" s="2701"/>
      <c r="M111" s="2704"/>
      <c r="N111" s="2689"/>
      <c r="O111" s="2703"/>
      <c r="P111" s="2702"/>
      <c r="Q111" s="2704"/>
      <c r="R111" s="2705"/>
      <c r="S111" s="2703"/>
      <c r="T111" s="2702"/>
      <c r="U111" s="2704"/>
      <c r="V111" s="2705"/>
      <c r="W111" s="2703"/>
      <c r="X111" s="2702"/>
      <c r="Y111" s="2703"/>
      <c r="Z111" s="2705"/>
      <c r="AA111" s="2704"/>
      <c r="AB111" s="2705"/>
      <c r="AC111" s="2703"/>
      <c r="AD111" s="2702"/>
      <c r="AE111" s="2704"/>
      <c r="AF111" s="2705"/>
      <c r="AG111" s="2703"/>
      <c r="AH111" s="2702"/>
      <c r="AI111" s="2704"/>
      <c r="AJ111" s="2705"/>
      <c r="AK111" s="2703"/>
      <c r="AL111" s="2702"/>
      <c r="AM111" s="2706"/>
      <c r="AN111" s="2707"/>
      <c r="AO111" s="2708"/>
      <c r="AP111" s="2642" t="str">
        <f t="shared" si="47"/>
        <v/>
      </c>
      <c r="AQ111" s="2567"/>
      <c r="AR111" s="2567"/>
      <c r="AS111" s="2567"/>
      <c r="AT111" s="2567"/>
      <c r="AU111" s="2567"/>
      <c r="AV111" s="2567"/>
      <c r="AW111" s="2567"/>
      <c r="AX111" s="2567"/>
      <c r="AY111" s="2567"/>
      <c r="AZ111" s="2567"/>
      <c r="BA111" s="53"/>
      <c r="BB111" s="53"/>
      <c r="CA111" s="2568" t="str">
        <f t="shared" si="44"/>
        <v/>
      </c>
      <c r="CM111" s="2569">
        <f t="shared" si="45"/>
        <v>0</v>
      </c>
    </row>
    <row r="112" spans="1:92" ht="15" customHeight="1">
      <c r="A112" s="6538" t="s">
        <v>1507</v>
      </c>
      <c r="B112" s="6539"/>
      <c r="C112" s="545">
        <f t="shared" si="41"/>
        <v>0</v>
      </c>
      <c r="D112" s="542">
        <f t="shared" si="42"/>
        <v>0</v>
      </c>
      <c r="E112" s="2709">
        <f t="shared" si="42"/>
        <v>0</v>
      </c>
      <c r="F112" s="2668"/>
      <c r="G112" s="2669"/>
      <c r="H112" s="2670"/>
      <c r="I112" s="2671"/>
      <c r="J112" s="2668"/>
      <c r="K112" s="2672"/>
      <c r="L112" s="2670"/>
      <c r="M112" s="2673"/>
      <c r="N112" s="2668"/>
      <c r="O112" s="2672"/>
      <c r="P112" s="2671"/>
      <c r="Q112" s="2673"/>
      <c r="R112" s="2674"/>
      <c r="S112" s="2672"/>
      <c r="T112" s="2671"/>
      <c r="U112" s="2673"/>
      <c r="V112" s="2674"/>
      <c r="W112" s="2672"/>
      <c r="X112" s="2671"/>
      <c r="Y112" s="2672"/>
      <c r="Z112" s="2674"/>
      <c r="AA112" s="2673"/>
      <c r="AB112" s="2674"/>
      <c r="AC112" s="2672"/>
      <c r="AD112" s="2671"/>
      <c r="AE112" s="2673"/>
      <c r="AF112" s="2674"/>
      <c r="AG112" s="2672"/>
      <c r="AH112" s="2671"/>
      <c r="AI112" s="2673"/>
      <c r="AJ112" s="2674"/>
      <c r="AK112" s="2672"/>
      <c r="AL112" s="2671"/>
      <c r="AM112" s="2675"/>
      <c r="AN112" s="2676"/>
      <c r="AO112" s="2710"/>
      <c r="AP112" s="2642" t="str">
        <f t="shared" si="47"/>
        <v/>
      </c>
      <c r="AQ112" s="2567"/>
      <c r="AR112" s="2567"/>
      <c r="AS112" s="2567"/>
      <c r="AT112" s="2567"/>
      <c r="AU112" s="2567"/>
      <c r="AV112" s="2567"/>
      <c r="AW112" s="2567"/>
      <c r="AX112" s="2567"/>
      <c r="AY112" s="2567"/>
      <c r="AZ112" s="2567"/>
      <c r="BA112" s="53"/>
      <c r="BB112" s="53"/>
      <c r="CA112" s="2568" t="str">
        <f t="shared" si="44"/>
        <v/>
      </c>
      <c r="CM112" s="2569">
        <f t="shared" si="45"/>
        <v>0</v>
      </c>
    </row>
    <row r="113" spans="1:91" ht="15" customHeight="1">
      <c r="A113" s="6536" t="s">
        <v>1508</v>
      </c>
      <c r="B113" s="6537"/>
      <c r="C113" s="491">
        <f t="shared" si="41"/>
        <v>0</v>
      </c>
      <c r="D113" s="526">
        <f t="shared" si="42"/>
        <v>0</v>
      </c>
      <c r="E113" s="986">
        <f t="shared" si="42"/>
        <v>0</v>
      </c>
      <c r="F113" s="2711"/>
      <c r="G113" s="2712"/>
      <c r="H113" s="2713"/>
      <c r="I113" s="2714"/>
      <c r="J113" s="2711"/>
      <c r="K113" s="2715"/>
      <c r="L113" s="2713"/>
      <c r="M113" s="2716"/>
      <c r="N113" s="2711"/>
      <c r="O113" s="2715"/>
      <c r="P113" s="2714"/>
      <c r="Q113" s="2716"/>
      <c r="R113" s="2717"/>
      <c r="S113" s="2715"/>
      <c r="T113" s="2714"/>
      <c r="U113" s="2716"/>
      <c r="V113" s="2717"/>
      <c r="W113" s="2715"/>
      <c r="X113" s="2714"/>
      <c r="Y113" s="2715"/>
      <c r="Z113" s="2717"/>
      <c r="AA113" s="2716"/>
      <c r="AB113" s="2717"/>
      <c r="AC113" s="2715"/>
      <c r="AD113" s="2714"/>
      <c r="AE113" s="2716"/>
      <c r="AF113" s="2717"/>
      <c r="AG113" s="2715"/>
      <c r="AH113" s="2714"/>
      <c r="AI113" s="2716"/>
      <c r="AJ113" s="2717"/>
      <c r="AK113" s="2715"/>
      <c r="AL113" s="2714"/>
      <c r="AM113" s="2718"/>
      <c r="AN113" s="2719"/>
      <c r="AO113" s="2720"/>
      <c r="AP113" s="2642" t="str">
        <f t="shared" si="47"/>
        <v/>
      </c>
      <c r="AQ113" s="2567"/>
      <c r="AR113" s="2567"/>
      <c r="AS113" s="2567"/>
      <c r="AT113" s="2567"/>
      <c r="AU113" s="2567"/>
      <c r="AV113" s="2567"/>
      <c r="AW113" s="2567"/>
      <c r="AX113" s="2567"/>
      <c r="AY113" s="2567"/>
      <c r="AZ113" s="2567"/>
      <c r="BA113" s="53"/>
      <c r="BB113" s="53"/>
      <c r="CA113" s="2568" t="str">
        <f t="shared" si="44"/>
        <v/>
      </c>
      <c r="CM113" s="2569">
        <f t="shared" si="45"/>
        <v>0</v>
      </c>
    </row>
    <row r="114" spans="1:91" s="2558" customFormat="1" ht="18" customHeight="1">
      <c r="A114" s="465" t="s">
        <v>1509</v>
      </c>
      <c r="AO114" s="2563"/>
      <c r="AP114" s="2563"/>
      <c r="AQ114" s="2563"/>
      <c r="AR114" s="2563"/>
      <c r="AS114" s="2563"/>
      <c r="AT114" s="2563"/>
      <c r="AU114" s="2563"/>
      <c r="AV114" s="2563"/>
      <c r="AW114" s="2563"/>
      <c r="AX114" s="2563"/>
      <c r="AY114" s="2563"/>
      <c r="AZ114" s="2563"/>
      <c r="BA114" s="2563"/>
      <c r="BB114" s="2563"/>
      <c r="BV114" s="2563"/>
      <c r="BW114" s="2563"/>
      <c r="BX114" s="2563"/>
      <c r="BY114" s="2563"/>
      <c r="CM114" s="508"/>
    </row>
    <row r="115" spans="1:91" ht="16.350000000000001" customHeight="1">
      <c r="A115" s="5615" t="s">
        <v>1510</v>
      </c>
      <c r="B115" s="5616"/>
      <c r="C115" s="5652"/>
      <c r="D115" s="230" t="s">
        <v>91</v>
      </c>
      <c r="AO115" s="53"/>
      <c r="AP115" s="53"/>
      <c r="AQ115" s="53"/>
      <c r="AR115" s="53"/>
      <c r="AS115" s="53"/>
      <c r="AT115" s="53"/>
      <c r="AU115" s="53"/>
      <c r="AV115" s="53"/>
      <c r="AW115" s="53"/>
      <c r="AX115" s="53"/>
      <c r="AY115" s="53"/>
      <c r="AZ115" s="53"/>
      <c r="BA115" s="53"/>
      <c r="BB115" s="53"/>
    </row>
    <row r="116" spans="1:91" ht="24" customHeight="1">
      <c r="A116" s="6531" t="s">
        <v>1511</v>
      </c>
      <c r="B116" s="5738"/>
      <c r="C116" s="1147" t="s">
        <v>1512</v>
      </c>
      <c r="D116" s="2721"/>
      <c r="E116" s="2662"/>
    </row>
    <row r="117" spans="1:91" ht="15" customHeight="1">
      <c r="A117" s="5728"/>
      <c r="B117" s="6532"/>
      <c r="C117" s="2722" t="s">
        <v>1513</v>
      </c>
      <c r="D117" s="2723"/>
      <c r="E117" s="2662"/>
    </row>
    <row r="118" spans="1:91" ht="15" customHeight="1">
      <c r="A118" s="6533"/>
      <c r="B118" s="5739"/>
      <c r="C118" s="2724" t="s">
        <v>1514</v>
      </c>
      <c r="D118" s="2725"/>
      <c r="E118" s="2662"/>
    </row>
    <row r="119" spans="1:91" s="2558" customFormat="1" ht="18" customHeight="1">
      <c r="A119" s="6534" t="s">
        <v>1515</v>
      </c>
      <c r="B119" s="6534"/>
      <c r="C119" s="6534"/>
      <c r="D119" s="6534"/>
      <c r="E119" s="6534"/>
      <c r="F119" s="6534"/>
      <c r="G119" s="6534"/>
      <c r="H119" s="6534"/>
      <c r="I119" s="6534"/>
      <c r="J119" s="6534"/>
      <c r="K119" s="6535"/>
      <c r="L119" s="2726"/>
      <c r="M119" s="2727"/>
      <c r="N119" s="2727"/>
      <c r="O119" s="2728"/>
      <c r="P119" s="970"/>
      <c r="Q119" s="2727"/>
      <c r="R119" s="2728"/>
      <c r="S119" s="970"/>
      <c r="T119" s="2727"/>
      <c r="U119" s="970"/>
      <c r="V119" s="970"/>
      <c r="W119" s="2728"/>
      <c r="X119" s="2728"/>
      <c r="Y119" s="2728"/>
      <c r="Z119" s="2729"/>
      <c r="AA119" s="970"/>
      <c r="AB119" s="2728"/>
      <c r="AC119" s="2728"/>
      <c r="AD119" s="2728"/>
      <c r="AE119" s="2728"/>
      <c r="AF119" s="2729"/>
      <c r="AG119" s="970"/>
      <c r="AH119" s="2728"/>
      <c r="AI119" s="2728"/>
      <c r="AJ119" s="2728"/>
      <c r="AK119" s="970"/>
      <c r="AL119" s="2727"/>
      <c r="AM119" s="2728"/>
      <c r="AN119" s="2727"/>
      <c r="AO119" s="2730"/>
      <c r="AP119" s="970"/>
      <c r="BV119" s="2563"/>
      <c r="BW119" s="2563"/>
      <c r="BX119" s="2563"/>
      <c r="BY119" s="2563"/>
    </row>
    <row r="120" spans="1:91" ht="16.350000000000001" customHeight="1">
      <c r="A120" s="6042" t="s">
        <v>1497</v>
      </c>
      <c r="B120" s="5962"/>
      <c r="C120" s="5642" t="s">
        <v>1421</v>
      </c>
      <c r="D120" s="5627"/>
      <c r="E120" s="5624"/>
      <c r="F120" s="5615" t="s">
        <v>1498</v>
      </c>
      <c r="G120" s="5616"/>
      <c r="H120" s="5616"/>
      <c r="I120" s="5616"/>
      <c r="J120" s="5616"/>
      <c r="K120" s="5616"/>
      <c r="L120" s="5616"/>
      <c r="M120" s="5616"/>
      <c r="N120" s="5616"/>
      <c r="O120" s="5616"/>
      <c r="P120" s="5616"/>
      <c r="Q120" s="5616"/>
      <c r="R120" s="5616"/>
      <c r="S120" s="5616"/>
      <c r="T120" s="5616"/>
      <c r="U120" s="5616"/>
      <c r="V120" s="5616"/>
      <c r="W120" s="5616"/>
      <c r="X120" s="5616"/>
      <c r="Y120" s="5616"/>
      <c r="Z120" s="5616"/>
      <c r="AA120" s="5616"/>
      <c r="AB120" s="5616"/>
      <c r="AC120" s="5616"/>
      <c r="AD120" s="5616"/>
      <c r="AE120" s="5616"/>
      <c r="AF120" s="5616"/>
      <c r="AG120" s="5616"/>
      <c r="AH120" s="5616"/>
      <c r="AI120" s="5616"/>
      <c r="AJ120" s="5616"/>
      <c r="AK120" s="5616"/>
      <c r="AL120" s="5616"/>
      <c r="AM120" s="5617"/>
      <c r="AN120" s="5652" t="s">
        <v>625</v>
      </c>
      <c r="AO120" s="2731"/>
    </row>
    <row r="121" spans="1:91" ht="16.350000000000001" customHeight="1">
      <c r="A121" s="6043"/>
      <c r="B121" s="5758"/>
      <c r="C121" s="5659"/>
      <c r="D121" s="5731"/>
      <c r="E121" s="5625"/>
      <c r="F121" s="5615" t="s">
        <v>364</v>
      </c>
      <c r="G121" s="5652"/>
      <c r="H121" s="5615" t="s">
        <v>347</v>
      </c>
      <c r="I121" s="5652"/>
      <c r="J121" s="5615" t="s">
        <v>108</v>
      </c>
      <c r="K121" s="5652"/>
      <c r="L121" s="5615" t="s">
        <v>58</v>
      </c>
      <c r="M121" s="5652"/>
      <c r="N121" s="5615" t="s">
        <v>59</v>
      </c>
      <c r="O121" s="5652"/>
      <c r="P121" s="5647" t="s">
        <v>60</v>
      </c>
      <c r="Q121" s="5648"/>
      <c r="R121" s="5647" t="s">
        <v>61</v>
      </c>
      <c r="S121" s="5648"/>
      <c r="T121" s="5647" t="s">
        <v>62</v>
      </c>
      <c r="U121" s="5648"/>
      <c r="V121" s="5647" t="s">
        <v>63</v>
      </c>
      <c r="W121" s="5648"/>
      <c r="X121" s="5647" t="s">
        <v>64</v>
      </c>
      <c r="Y121" s="5648"/>
      <c r="Z121" s="5647" t="s">
        <v>65</v>
      </c>
      <c r="AA121" s="5648"/>
      <c r="AB121" s="5647" t="s">
        <v>66</v>
      </c>
      <c r="AC121" s="5648"/>
      <c r="AD121" s="5647" t="s">
        <v>67</v>
      </c>
      <c r="AE121" s="5648"/>
      <c r="AF121" s="5647" t="s">
        <v>68</v>
      </c>
      <c r="AG121" s="5648"/>
      <c r="AH121" s="5647" t="s">
        <v>69</v>
      </c>
      <c r="AI121" s="5648"/>
      <c r="AJ121" s="5647" t="s">
        <v>70</v>
      </c>
      <c r="AK121" s="5648"/>
      <c r="AL121" s="5647" t="s">
        <v>71</v>
      </c>
      <c r="AM121" s="5686"/>
      <c r="AN121" s="5652"/>
      <c r="AO121" s="53"/>
      <c r="AP121" s="53"/>
      <c r="AQ121" s="53"/>
      <c r="AR121" s="53"/>
      <c r="AS121" s="53"/>
      <c r="AT121" s="53"/>
      <c r="AU121" s="53"/>
      <c r="AV121" s="53"/>
      <c r="AW121" s="53"/>
      <c r="AX121" s="53"/>
      <c r="AY121" s="53"/>
      <c r="AZ121" s="53"/>
      <c r="BA121" s="53"/>
    </row>
    <row r="122" spans="1:91" ht="16.350000000000001" customHeight="1">
      <c r="A122" s="6044"/>
      <c r="B122" s="5760"/>
      <c r="C122" s="194" t="s">
        <v>93</v>
      </c>
      <c r="D122" s="69" t="s">
        <v>482</v>
      </c>
      <c r="E122" s="76" t="s">
        <v>73</v>
      </c>
      <c r="F122" s="75" t="s">
        <v>482</v>
      </c>
      <c r="G122" s="76" t="s">
        <v>73</v>
      </c>
      <c r="H122" s="75" t="s">
        <v>482</v>
      </c>
      <c r="I122" s="76" t="s">
        <v>73</v>
      </c>
      <c r="J122" s="75" t="s">
        <v>482</v>
      </c>
      <c r="K122" s="76" t="s">
        <v>73</v>
      </c>
      <c r="L122" s="75" t="s">
        <v>482</v>
      </c>
      <c r="M122" s="76" t="s">
        <v>73</v>
      </c>
      <c r="N122" s="75" t="s">
        <v>482</v>
      </c>
      <c r="O122" s="76" t="s">
        <v>73</v>
      </c>
      <c r="P122" s="75" t="s">
        <v>482</v>
      </c>
      <c r="Q122" s="76" t="s">
        <v>73</v>
      </c>
      <c r="R122" s="75" t="s">
        <v>482</v>
      </c>
      <c r="S122" s="76" t="s">
        <v>73</v>
      </c>
      <c r="T122" s="75" t="s">
        <v>482</v>
      </c>
      <c r="U122" s="76" t="s">
        <v>73</v>
      </c>
      <c r="V122" s="75" t="s">
        <v>482</v>
      </c>
      <c r="W122" s="76" t="s">
        <v>73</v>
      </c>
      <c r="X122" s="75" t="s">
        <v>482</v>
      </c>
      <c r="Y122" s="76" t="s">
        <v>73</v>
      </c>
      <c r="Z122" s="75" t="s">
        <v>482</v>
      </c>
      <c r="AA122" s="76" t="s">
        <v>73</v>
      </c>
      <c r="AB122" s="75" t="s">
        <v>482</v>
      </c>
      <c r="AC122" s="76" t="s">
        <v>73</v>
      </c>
      <c r="AD122" s="75" t="s">
        <v>482</v>
      </c>
      <c r="AE122" s="59" t="s">
        <v>73</v>
      </c>
      <c r="AF122" s="75" t="s">
        <v>482</v>
      </c>
      <c r="AG122" s="76" t="s">
        <v>73</v>
      </c>
      <c r="AH122" s="75" t="s">
        <v>482</v>
      </c>
      <c r="AI122" s="59" t="s">
        <v>73</v>
      </c>
      <c r="AJ122" s="75" t="s">
        <v>482</v>
      </c>
      <c r="AK122" s="76" t="s">
        <v>73</v>
      </c>
      <c r="AL122" s="75" t="s">
        <v>482</v>
      </c>
      <c r="AM122" s="60" t="s">
        <v>73</v>
      </c>
      <c r="AN122" s="5652"/>
      <c r="AO122" s="2732"/>
      <c r="AP122" s="53"/>
      <c r="AQ122" s="53"/>
      <c r="AR122" s="53"/>
      <c r="AS122" s="53"/>
      <c r="AT122" s="53"/>
      <c r="AU122" s="53"/>
      <c r="AV122" s="53"/>
      <c r="AW122" s="53"/>
      <c r="AX122" s="53"/>
      <c r="AY122" s="53"/>
      <c r="AZ122" s="53"/>
      <c r="BA122" s="53"/>
    </row>
    <row r="123" spans="1:91" ht="15" customHeight="1">
      <c r="A123" s="5886" t="s">
        <v>1516</v>
      </c>
      <c r="B123" s="5887"/>
      <c r="C123" s="518">
        <f t="shared" si="41"/>
        <v>0</v>
      </c>
      <c r="D123" s="519">
        <f t="shared" si="42"/>
        <v>0</v>
      </c>
      <c r="E123" s="520">
        <f t="shared" si="42"/>
        <v>0</v>
      </c>
      <c r="F123" s="164"/>
      <c r="G123" s="515"/>
      <c r="H123" s="164"/>
      <c r="I123" s="515"/>
      <c r="J123" s="164"/>
      <c r="K123" s="515"/>
      <c r="L123" s="164"/>
      <c r="M123" s="515"/>
      <c r="N123" s="164"/>
      <c r="O123" s="515"/>
      <c r="P123" s="164"/>
      <c r="Q123" s="515"/>
      <c r="R123" s="164"/>
      <c r="S123" s="515"/>
      <c r="T123" s="164"/>
      <c r="U123" s="515"/>
      <c r="V123" s="164"/>
      <c r="W123" s="515"/>
      <c r="X123" s="164"/>
      <c r="Y123" s="515"/>
      <c r="Z123" s="164"/>
      <c r="AA123" s="515"/>
      <c r="AB123" s="164"/>
      <c r="AC123" s="515"/>
      <c r="AD123" s="184"/>
      <c r="AE123" s="89"/>
      <c r="AF123" s="164"/>
      <c r="AG123" s="515"/>
      <c r="AH123" s="184"/>
      <c r="AI123" s="89"/>
      <c r="AJ123" s="164"/>
      <c r="AK123" s="515"/>
      <c r="AL123" s="184"/>
      <c r="AM123" s="778"/>
      <c r="AN123" s="94"/>
      <c r="AO123" s="2642" t="str">
        <f t="shared" ref="AO123:AO125" si="48">CA123</f>
        <v/>
      </c>
      <c r="AP123" s="2567"/>
      <c r="AQ123" s="2567"/>
      <c r="AR123" s="2567"/>
      <c r="AS123" s="2567"/>
      <c r="AT123" s="2567"/>
      <c r="AU123" s="2567"/>
      <c r="AV123" s="2567"/>
      <c r="AW123" s="2567"/>
      <c r="AX123" s="2567"/>
      <c r="AY123" s="2567"/>
      <c r="AZ123" s="2567"/>
      <c r="BA123" s="53"/>
      <c r="CA123" s="2568" t="str">
        <f t="shared" ref="CA123:CA125" si="49">IF(AND($C123&gt;0,AN123="")," *No olvide digitar la variable "&amp;AN$120&amp;""&amp;". Digite CERO si no tiene",IF(AN123&gt;$C123," *La variable "&amp;AN$120&amp;""&amp;" No puede ser mayor al Total Ambos Sexos.",""))</f>
        <v/>
      </c>
      <c r="CM123" s="2569">
        <f t="shared" si="45"/>
        <v>0</v>
      </c>
    </row>
    <row r="124" spans="1:91" ht="15" customHeight="1">
      <c r="A124" s="6524" t="s">
        <v>1517</v>
      </c>
      <c r="B124" s="6525"/>
      <c r="C124" s="523">
        <f t="shared" si="41"/>
        <v>0</v>
      </c>
      <c r="D124" s="524">
        <f t="shared" si="42"/>
        <v>0</v>
      </c>
      <c r="E124" s="525">
        <f t="shared" si="42"/>
        <v>0</v>
      </c>
      <c r="F124" s="207"/>
      <c r="G124" s="247"/>
      <c r="H124" s="207"/>
      <c r="I124" s="247"/>
      <c r="J124" s="207"/>
      <c r="K124" s="247"/>
      <c r="L124" s="207"/>
      <c r="M124" s="247"/>
      <c r="N124" s="207"/>
      <c r="O124" s="247"/>
      <c r="P124" s="207"/>
      <c r="Q124" s="247"/>
      <c r="R124" s="207"/>
      <c r="S124" s="247"/>
      <c r="T124" s="207"/>
      <c r="U124" s="247"/>
      <c r="V124" s="207"/>
      <c r="W124" s="247"/>
      <c r="X124" s="207"/>
      <c r="Y124" s="247"/>
      <c r="Z124" s="207"/>
      <c r="AA124" s="247"/>
      <c r="AB124" s="207"/>
      <c r="AC124" s="247"/>
      <c r="AD124" s="278"/>
      <c r="AE124" s="312"/>
      <c r="AF124" s="207"/>
      <c r="AG124" s="247"/>
      <c r="AH124" s="278"/>
      <c r="AI124" s="312"/>
      <c r="AJ124" s="207"/>
      <c r="AK124" s="247"/>
      <c r="AL124" s="278"/>
      <c r="AM124" s="214"/>
      <c r="AN124" s="279"/>
      <c r="AO124" s="2642" t="str">
        <f t="shared" si="48"/>
        <v/>
      </c>
      <c r="AP124" s="2567"/>
      <c r="AQ124" s="2567"/>
      <c r="AR124" s="2567"/>
      <c r="AS124" s="2567"/>
      <c r="AT124" s="2567"/>
      <c r="AU124" s="2567"/>
      <c r="AV124" s="2567"/>
      <c r="AW124" s="2567"/>
      <c r="AX124" s="2567"/>
      <c r="AY124" s="2567"/>
      <c r="AZ124" s="2567"/>
      <c r="BA124" s="53"/>
      <c r="CA124" s="2568" t="str">
        <f t="shared" si="49"/>
        <v/>
      </c>
      <c r="CM124" s="2569">
        <f t="shared" si="45"/>
        <v>0</v>
      </c>
    </row>
    <row r="125" spans="1:91" ht="15" customHeight="1">
      <c r="A125" s="6526" t="s">
        <v>1518</v>
      </c>
      <c r="B125" s="6527"/>
      <c r="C125" s="491">
        <f t="shared" si="41"/>
        <v>0</v>
      </c>
      <c r="D125" s="526">
        <f t="shared" si="42"/>
        <v>0</v>
      </c>
      <c r="E125" s="493">
        <f t="shared" si="42"/>
        <v>0</v>
      </c>
      <c r="F125" s="122"/>
      <c r="G125" s="254"/>
      <c r="H125" s="122"/>
      <c r="I125" s="254"/>
      <c r="J125" s="122"/>
      <c r="K125" s="254"/>
      <c r="L125" s="122"/>
      <c r="M125" s="254"/>
      <c r="N125" s="122"/>
      <c r="O125" s="254"/>
      <c r="P125" s="122"/>
      <c r="Q125" s="254"/>
      <c r="R125" s="122"/>
      <c r="S125" s="254"/>
      <c r="T125" s="122"/>
      <c r="U125" s="254"/>
      <c r="V125" s="122"/>
      <c r="W125" s="254"/>
      <c r="X125" s="122"/>
      <c r="Y125" s="254"/>
      <c r="Z125" s="122"/>
      <c r="AA125" s="254"/>
      <c r="AB125" s="122"/>
      <c r="AC125" s="254"/>
      <c r="AD125" s="113"/>
      <c r="AE125" s="116"/>
      <c r="AF125" s="122"/>
      <c r="AG125" s="254"/>
      <c r="AH125" s="113"/>
      <c r="AI125" s="116"/>
      <c r="AJ125" s="122"/>
      <c r="AK125" s="254"/>
      <c r="AL125" s="113"/>
      <c r="AM125" s="186"/>
      <c r="AN125" s="121"/>
      <c r="AO125" s="2642" t="str">
        <f t="shared" si="48"/>
        <v/>
      </c>
      <c r="AP125" s="2567"/>
      <c r="AQ125" s="2567"/>
      <c r="AR125" s="2567"/>
      <c r="AS125" s="2567"/>
      <c r="AT125" s="2567"/>
      <c r="AU125" s="2567"/>
      <c r="AV125" s="2567"/>
      <c r="AW125" s="2567"/>
      <c r="AX125" s="2567"/>
      <c r="AY125" s="2567"/>
      <c r="AZ125" s="2567"/>
      <c r="BA125" s="53"/>
      <c r="CA125" s="2568" t="str">
        <f t="shared" si="49"/>
        <v/>
      </c>
      <c r="CM125" s="2569">
        <f t="shared" si="45"/>
        <v>0</v>
      </c>
    </row>
    <row r="126" spans="1:91" s="2558" customFormat="1" ht="18" customHeight="1">
      <c r="A126" s="465" t="s">
        <v>1519</v>
      </c>
      <c r="X126" s="2563"/>
      <c r="Y126" s="2563"/>
      <c r="BV126" s="2563"/>
      <c r="BW126" s="2563"/>
      <c r="BX126" s="2634"/>
      <c r="BY126" s="2634"/>
    </row>
    <row r="127" spans="1:91" ht="26.25" customHeight="1">
      <c r="A127" s="6042" t="s">
        <v>305</v>
      </c>
      <c r="B127" s="5962"/>
      <c r="C127" s="6042" t="s">
        <v>91</v>
      </c>
      <c r="D127" s="5776"/>
      <c r="E127" s="5962"/>
      <c r="F127" s="5615" t="s">
        <v>479</v>
      </c>
      <c r="G127" s="5652"/>
      <c r="H127" s="6528" t="s">
        <v>1520</v>
      </c>
      <c r="I127" s="5652"/>
      <c r="J127" s="5615" t="s">
        <v>1236</v>
      </c>
      <c r="K127" s="5652"/>
      <c r="L127" s="5615" t="s">
        <v>59</v>
      </c>
      <c r="M127" s="5652"/>
      <c r="N127" s="5615" t="s">
        <v>1521</v>
      </c>
      <c r="O127" s="5652"/>
      <c r="P127" s="5615" t="s">
        <v>1522</v>
      </c>
      <c r="Q127" s="5652"/>
      <c r="R127" s="5647" t="s">
        <v>1523</v>
      </c>
      <c r="S127" s="5648"/>
      <c r="T127" s="5647" t="s">
        <v>1524</v>
      </c>
      <c r="U127" s="5648"/>
      <c r="V127" s="5647" t="s">
        <v>1525</v>
      </c>
      <c r="W127" s="5649"/>
      <c r="X127" s="5647" t="s">
        <v>1526</v>
      </c>
      <c r="Y127" s="5648"/>
      <c r="Z127" s="6515" t="s">
        <v>1527</v>
      </c>
      <c r="AA127" s="5649"/>
      <c r="AB127" s="5649"/>
      <c r="AC127" s="5649"/>
      <c r="AD127" s="5648"/>
      <c r="AE127" s="5663" t="s">
        <v>1528</v>
      </c>
      <c r="AF127" s="6501" t="s">
        <v>514</v>
      </c>
      <c r="AG127" s="5624" t="s">
        <v>49</v>
      </c>
      <c r="AH127" s="6529" t="s">
        <v>1529</v>
      </c>
      <c r="AI127" s="6530" t="s">
        <v>476</v>
      </c>
      <c r="AJ127" s="5627" t="s">
        <v>50</v>
      </c>
      <c r="AK127" s="5613" t="s">
        <v>51</v>
      </c>
      <c r="BV127" s="50"/>
      <c r="BW127" s="50"/>
      <c r="BX127" s="50"/>
      <c r="BY127" s="50"/>
    </row>
    <row r="128" spans="1:91" ht="33" customHeight="1">
      <c r="A128" s="6044"/>
      <c r="B128" s="5760"/>
      <c r="C128" s="194" t="s">
        <v>93</v>
      </c>
      <c r="D128" s="69" t="s">
        <v>72</v>
      </c>
      <c r="E128" s="191" t="s">
        <v>73</v>
      </c>
      <c r="F128" s="75" t="s">
        <v>482</v>
      </c>
      <c r="G128" s="232" t="s">
        <v>73</v>
      </c>
      <c r="H128" s="75" t="s">
        <v>482</v>
      </c>
      <c r="I128" s="232" t="s">
        <v>73</v>
      </c>
      <c r="J128" s="75" t="s">
        <v>482</v>
      </c>
      <c r="K128" s="232" t="s">
        <v>73</v>
      </c>
      <c r="L128" s="75" t="s">
        <v>482</v>
      </c>
      <c r="M128" s="232" t="s">
        <v>73</v>
      </c>
      <c r="N128" s="75" t="s">
        <v>482</v>
      </c>
      <c r="O128" s="232" t="s">
        <v>73</v>
      </c>
      <c r="P128" s="75" t="s">
        <v>482</v>
      </c>
      <c r="Q128" s="232" t="s">
        <v>73</v>
      </c>
      <c r="R128" s="75" t="s">
        <v>482</v>
      </c>
      <c r="S128" s="232" t="s">
        <v>73</v>
      </c>
      <c r="T128" s="75" t="s">
        <v>482</v>
      </c>
      <c r="U128" s="232" t="s">
        <v>73</v>
      </c>
      <c r="V128" s="75" t="s">
        <v>482</v>
      </c>
      <c r="W128" s="1146" t="s">
        <v>73</v>
      </c>
      <c r="X128" s="75" t="s">
        <v>482</v>
      </c>
      <c r="Y128" s="232" t="s">
        <v>73</v>
      </c>
      <c r="Z128" s="293" t="s">
        <v>1530</v>
      </c>
      <c r="AA128" s="68" t="s">
        <v>1531</v>
      </c>
      <c r="AB128" s="2733" t="s">
        <v>1532</v>
      </c>
      <c r="AC128" s="68" t="s">
        <v>1533</v>
      </c>
      <c r="AD128" s="59" t="s">
        <v>1534</v>
      </c>
      <c r="AE128" s="5663"/>
      <c r="AF128" s="6502"/>
      <c r="AG128" s="5625"/>
      <c r="AH128" s="6529"/>
      <c r="AI128" s="6530"/>
      <c r="AJ128" s="5731"/>
      <c r="AK128" s="5614"/>
      <c r="BV128" s="50"/>
      <c r="BW128" s="50"/>
      <c r="BX128" s="50"/>
      <c r="BY128" s="50"/>
    </row>
    <row r="129" spans="1:96" ht="15" customHeight="1">
      <c r="A129" s="5886" t="s">
        <v>1535</v>
      </c>
      <c r="B129" s="5887"/>
      <c r="C129" s="486">
        <f t="shared" si="41"/>
        <v>0</v>
      </c>
      <c r="D129" s="514">
        <f t="shared" ref="D129:E131" si="50">SUM(F129+H129+J129+L129+N129+P129+R129+T129+V129+X129)</f>
        <v>0</v>
      </c>
      <c r="E129" s="488">
        <f t="shared" si="50"/>
        <v>0</v>
      </c>
      <c r="F129" s="95"/>
      <c r="G129" s="204"/>
      <c r="H129" s="95"/>
      <c r="I129" s="204"/>
      <c r="J129" s="95"/>
      <c r="K129" s="204"/>
      <c r="L129" s="95"/>
      <c r="M129" s="204"/>
      <c r="N129" s="95"/>
      <c r="O129" s="204"/>
      <c r="P129" s="95"/>
      <c r="Q129" s="204"/>
      <c r="R129" s="95"/>
      <c r="S129" s="204"/>
      <c r="T129" s="95"/>
      <c r="U129" s="204"/>
      <c r="V129" s="95"/>
      <c r="W129" s="204"/>
      <c r="X129" s="95"/>
      <c r="Y129" s="87"/>
      <c r="Z129" s="238"/>
      <c r="AA129" s="96"/>
      <c r="AB129" s="96"/>
      <c r="AC129" s="96"/>
      <c r="AD129" s="204"/>
      <c r="AE129" s="2734"/>
      <c r="AF129" s="621"/>
      <c r="AG129" s="204"/>
      <c r="AH129" s="2735"/>
      <c r="AI129" s="2736"/>
      <c r="AJ129" s="295"/>
      <c r="AK129" s="93"/>
      <c r="AL129" s="50" t="str">
        <f t="shared" ref="AL129:AL131" si="51">CA129&amp;CB129&amp;CC129&amp;CD129&amp;CE129&amp;CF129</f>
        <v/>
      </c>
      <c r="BV129" s="50"/>
      <c r="BW129" s="50"/>
      <c r="BX129" s="50"/>
      <c r="BY129" s="50"/>
      <c r="CA129" s="2568" t="str">
        <f t="shared" ref="CA129:CC131" si="52">IF(AND($C129&gt;0,AF129="")," *No olvide digitar la variable "&amp;AF$127&amp;""&amp;". Digite CERO si no tiene",IF(AF129&gt;$C129," *La variable "&amp;AF$127&amp;""&amp;" No puede ser mayor al Total Ambos Sexos.",""))</f>
        <v/>
      </c>
      <c r="CB129" s="2568" t="str">
        <f t="shared" si="52"/>
        <v/>
      </c>
      <c r="CC129" s="2568" t="str">
        <f t="shared" si="52"/>
        <v/>
      </c>
      <c r="CD129" s="2568" t="str">
        <f t="shared" ref="CD129:CD131" si="53">IF(AND($E129&gt;0,AI129="")," *No olvide digitar la variable "&amp;AI$127&amp;""&amp;". Digite CERO si no tiene",IF(AI129&gt;$E129," *La variable "&amp;AI$127&amp;""&amp;" No puede ser mayor al Total Ambos Sexos.",""))</f>
        <v/>
      </c>
      <c r="CE129" s="2568" t="str">
        <f t="shared" ref="CE129:CF131" si="54">IF(AND($C129&gt;0,AJ129="")," *No olvide digitar la variable "&amp;AJ$127&amp;""&amp;". Digite CERO si no tiene",IF(AJ129&gt;$C129," *La variable "&amp;AJ$127&amp;""&amp;" No puede ser mayor al Total Ambos Sexos.",""))</f>
        <v/>
      </c>
      <c r="CF129" s="2568" t="str">
        <f t="shared" si="54"/>
        <v/>
      </c>
      <c r="CM129" s="2569">
        <f t="shared" ref="CM129:CM131" si="55">IF(AND($C129&gt;0,AF129=""),1,IF(AF129&gt;$C129,1,0))</f>
        <v>0</v>
      </c>
      <c r="CN129" s="2569">
        <f t="shared" ref="CN129:CQ131" si="56">IF(AND($C129&gt;0,AG129=""),1,IF(AG129&gt;$C129,1,0))</f>
        <v>0</v>
      </c>
      <c r="CO129" s="2569">
        <f t="shared" si="56"/>
        <v>0</v>
      </c>
      <c r="CP129" s="2569">
        <f t="shared" si="56"/>
        <v>0</v>
      </c>
      <c r="CQ129" s="2569">
        <f t="shared" si="56"/>
        <v>0</v>
      </c>
      <c r="CR129" s="2570">
        <f t="shared" ref="CR129:CR131" si="57">IF(AND($C129&gt;0,AK129=""),1,IF(AK129&gt;$C129,1,0))</f>
        <v>0</v>
      </c>
    </row>
    <row r="130" spans="1:96" ht="15" customHeight="1">
      <c r="A130" s="6516" t="s">
        <v>1536</v>
      </c>
      <c r="B130" s="6517"/>
      <c r="C130" s="1001">
        <f t="shared" si="41"/>
        <v>0</v>
      </c>
      <c r="D130" s="519">
        <f t="shared" si="50"/>
        <v>0</v>
      </c>
      <c r="E130" s="520">
        <f t="shared" si="50"/>
        <v>0</v>
      </c>
      <c r="F130" s="164"/>
      <c r="G130" s="94"/>
      <c r="H130" s="164"/>
      <c r="I130" s="94"/>
      <c r="J130" s="164"/>
      <c r="K130" s="94"/>
      <c r="L130" s="164"/>
      <c r="M130" s="94"/>
      <c r="N130" s="164"/>
      <c r="O130" s="94"/>
      <c r="P130" s="164"/>
      <c r="Q130" s="94"/>
      <c r="R130" s="164"/>
      <c r="S130" s="94"/>
      <c r="T130" s="164"/>
      <c r="U130" s="94"/>
      <c r="V130" s="164"/>
      <c r="W130" s="94"/>
      <c r="X130" s="164"/>
      <c r="Y130" s="129"/>
      <c r="Z130" s="88"/>
      <c r="AA130" s="82"/>
      <c r="AB130" s="82"/>
      <c r="AC130" s="82"/>
      <c r="AD130" s="94"/>
      <c r="AE130" s="2737"/>
      <c r="AF130" s="281"/>
      <c r="AG130" s="94"/>
      <c r="AH130" s="2738"/>
      <c r="AI130" s="2739"/>
      <c r="AJ130" s="92"/>
      <c r="AK130" s="282"/>
      <c r="AL130" s="50" t="str">
        <f t="shared" si="51"/>
        <v/>
      </c>
      <c r="BV130" s="50"/>
      <c r="BW130" s="50"/>
      <c r="BX130" s="50"/>
      <c r="BY130" s="50"/>
      <c r="CA130" s="2568" t="str">
        <f t="shared" si="52"/>
        <v/>
      </c>
      <c r="CB130" s="2568" t="str">
        <f t="shared" si="52"/>
        <v/>
      </c>
      <c r="CC130" s="2568" t="str">
        <f t="shared" si="52"/>
        <v/>
      </c>
      <c r="CD130" s="2568" t="str">
        <f t="shared" si="53"/>
        <v/>
      </c>
      <c r="CE130" s="2568" t="str">
        <f t="shared" si="54"/>
        <v/>
      </c>
      <c r="CF130" s="2568" t="str">
        <f t="shared" si="54"/>
        <v/>
      </c>
      <c r="CM130" s="2569">
        <f t="shared" si="55"/>
        <v>0</v>
      </c>
      <c r="CN130" s="2569">
        <f t="shared" si="56"/>
        <v>0</v>
      </c>
      <c r="CO130" s="2569">
        <f t="shared" ref="CO130:CO131" si="58">IF(AND($C130&gt;0,AH130=""),1,IF(AH130&gt;$C130,1,0))</f>
        <v>0</v>
      </c>
      <c r="CP130" s="2569">
        <f t="shared" ref="CP130:CP131" si="59">IF(AND($C130&gt;0,AI130=""),1,IF(AI130&gt;$C130,1,0))</f>
        <v>0</v>
      </c>
      <c r="CQ130" s="2569">
        <f t="shared" ref="CQ130:CQ131" si="60">IF(AND($C130&gt;0,AJ130=""),1,IF(AJ130&gt;$C130,1,0))</f>
        <v>0</v>
      </c>
      <c r="CR130" s="2570">
        <f t="shared" si="57"/>
        <v>0</v>
      </c>
    </row>
    <row r="131" spans="1:96" ht="15" customHeight="1">
      <c r="A131" s="6518" t="s">
        <v>1537</v>
      </c>
      <c r="B131" s="5790"/>
      <c r="C131" s="1092">
        <f t="shared" si="41"/>
        <v>0</v>
      </c>
      <c r="D131" s="2740">
        <f t="shared" si="50"/>
        <v>0</v>
      </c>
      <c r="E131" s="2622">
        <f t="shared" si="50"/>
        <v>0</v>
      </c>
      <c r="F131" s="157"/>
      <c r="G131" s="564"/>
      <c r="H131" s="157"/>
      <c r="I131" s="564"/>
      <c r="J131" s="157"/>
      <c r="K131" s="564"/>
      <c r="L131" s="157"/>
      <c r="M131" s="564"/>
      <c r="N131" s="157"/>
      <c r="O131" s="564"/>
      <c r="P131" s="157"/>
      <c r="Q131" s="564"/>
      <c r="R131" s="157"/>
      <c r="S131" s="564"/>
      <c r="T131" s="157"/>
      <c r="U131" s="564"/>
      <c r="V131" s="157"/>
      <c r="W131" s="564"/>
      <c r="X131" s="157"/>
      <c r="Y131" s="987"/>
      <c r="Z131" s="988"/>
      <c r="AA131" s="123"/>
      <c r="AB131" s="123"/>
      <c r="AC131" s="123"/>
      <c r="AD131" s="564"/>
      <c r="AE131" s="2741"/>
      <c r="AF131" s="2742"/>
      <c r="AG131" s="564"/>
      <c r="AH131" s="2743"/>
      <c r="AI131" s="2744"/>
      <c r="AJ131" s="596"/>
      <c r="AK131" s="322"/>
      <c r="AL131" s="50" t="str">
        <f t="shared" si="51"/>
        <v/>
      </c>
      <c r="BV131" s="50"/>
      <c r="BW131" s="50"/>
      <c r="BX131" s="50"/>
      <c r="BY131" s="50"/>
      <c r="CA131" s="2568" t="str">
        <f t="shared" si="52"/>
        <v/>
      </c>
      <c r="CB131" s="2568" t="str">
        <f t="shared" si="52"/>
        <v/>
      </c>
      <c r="CC131" s="2568" t="str">
        <f t="shared" si="52"/>
        <v/>
      </c>
      <c r="CD131" s="2568" t="str">
        <f t="shared" si="53"/>
        <v/>
      </c>
      <c r="CE131" s="2568" t="str">
        <f t="shared" si="54"/>
        <v/>
      </c>
      <c r="CF131" s="2568" t="str">
        <f t="shared" si="54"/>
        <v/>
      </c>
      <c r="CM131" s="2569">
        <f t="shared" si="55"/>
        <v>0</v>
      </c>
      <c r="CN131" s="2569">
        <f t="shared" si="56"/>
        <v>0</v>
      </c>
      <c r="CO131" s="2569">
        <f t="shared" si="58"/>
        <v>0</v>
      </c>
      <c r="CP131" s="2569">
        <f t="shared" si="59"/>
        <v>0</v>
      </c>
      <c r="CQ131" s="2569">
        <f t="shared" si="60"/>
        <v>0</v>
      </c>
      <c r="CR131" s="2570">
        <f t="shared" si="57"/>
        <v>0</v>
      </c>
    </row>
    <row r="132" spans="1:96" s="2558" customFormat="1" ht="18" customHeight="1">
      <c r="A132" s="609" t="s">
        <v>1538</v>
      </c>
      <c r="B132" s="2563"/>
      <c r="C132" s="2563"/>
      <c r="D132" s="2563"/>
      <c r="E132" s="2563"/>
      <c r="F132" s="2563"/>
      <c r="G132" s="2563"/>
      <c r="H132" s="2563"/>
      <c r="I132" s="2563"/>
      <c r="J132" s="2563"/>
      <c r="K132" s="2563"/>
      <c r="L132" s="2563"/>
      <c r="M132" s="2563"/>
      <c r="N132" s="2563"/>
      <c r="O132" s="2563"/>
      <c r="P132" s="2563"/>
      <c r="Q132" s="2563"/>
      <c r="R132" s="2563"/>
      <c r="AL132" s="2563"/>
      <c r="AM132" s="2563"/>
      <c r="AN132" s="2563"/>
      <c r="AO132" s="2563"/>
      <c r="AP132" s="2563"/>
      <c r="AQ132" s="2563"/>
      <c r="AR132" s="2634"/>
      <c r="AS132" s="2634"/>
      <c r="AT132" s="2634"/>
      <c r="AU132" s="2634"/>
      <c r="AV132" s="2634"/>
      <c r="AW132" s="2634"/>
      <c r="AX132" s="2634"/>
      <c r="AY132" s="2634"/>
      <c r="AZ132" s="2634"/>
      <c r="BA132" s="2634"/>
      <c r="BB132" s="2634"/>
      <c r="BC132" s="2634"/>
      <c r="BD132" s="2634"/>
      <c r="BE132" s="2634"/>
      <c r="BF132" s="2634"/>
      <c r="BG132" s="2634"/>
      <c r="BH132" s="2634"/>
      <c r="BI132" s="2634"/>
      <c r="BJ132" s="2634"/>
      <c r="BK132" s="2634"/>
      <c r="BL132" s="2634"/>
      <c r="BM132" s="2634"/>
      <c r="BN132" s="2634"/>
      <c r="BO132" s="2634"/>
      <c r="BP132" s="2634"/>
      <c r="BQ132" s="2634"/>
      <c r="BV132" s="2563"/>
      <c r="BW132" s="2563"/>
      <c r="BX132" s="2563"/>
      <c r="BY132" s="2563"/>
    </row>
    <row r="133" spans="1:96" ht="16.350000000000001" customHeight="1">
      <c r="A133" s="6521" t="s">
        <v>305</v>
      </c>
      <c r="B133" s="5649" t="s">
        <v>1539</v>
      </c>
      <c r="C133" s="5649"/>
      <c r="D133" s="5649"/>
      <c r="E133" s="5648"/>
      <c r="F133" s="6523" t="s">
        <v>947</v>
      </c>
      <c r="G133" s="6523"/>
      <c r="AB133" s="2745"/>
      <c r="AC133" s="2745"/>
      <c r="AD133" s="2745"/>
      <c r="AH133" s="2745"/>
      <c r="AI133" s="2745"/>
      <c r="AJ133" s="2745"/>
      <c r="AK133" s="2557"/>
      <c r="AL133" s="2557"/>
      <c r="AM133" s="2557"/>
      <c r="AN133" s="2557"/>
      <c r="AO133" s="2557"/>
      <c r="AP133" s="2557"/>
      <c r="AQ133" s="2557"/>
      <c r="AR133" s="2557"/>
      <c r="AS133" s="2557"/>
      <c r="AT133" s="2557"/>
      <c r="AU133" s="2557"/>
      <c r="AV133" s="2557"/>
      <c r="AW133" s="2557"/>
      <c r="AX133" s="2557"/>
      <c r="AY133" s="2557"/>
      <c r="AZ133" s="2557"/>
      <c r="BA133" s="2557"/>
      <c r="BB133" s="2557"/>
      <c r="BC133" s="2557"/>
      <c r="BD133" s="2557"/>
      <c r="BE133" s="2557"/>
      <c r="BF133" s="2557"/>
      <c r="BG133" s="2557"/>
      <c r="BH133" s="2557"/>
      <c r="BI133" s="2557"/>
      <c r="BJ133" s="2557"/>
      <c r="BK133" s="53"/>
      <c r="BL133" s="53"/>
      <c r="BM133" s="53"/>
      <c r="BN133" s="53"/>
      <c r="BO133" s="53"/>
      <c r="BP133" s="53"/>
      <c r="BU133" s="53"/>
      <c r="BX133" s="53"/>
      <c r="BY133" s="53"/>
    </row>
    <row r="134" spans="1:96" ht="21" customHeight="1">
      <c r="A134" s="6522"/>
      <c r="B134" s="765" t="s">
        <v>1540</v>
      </c>
      <c r="C134" s="766" t="s">
        <v>1541</v>
      </c>
      <c r="D134" s="68" t="s">
        <v>1542</v>
      </c>
      <c r="E134" s="76" t="s">
        <v>1543</v>
      </c>
      <c r="F134" s="197" t="s">
        <v>544</v>
      </c>
      <c r="G134" s="2746" t="s">
        <v>779</v>
      </c>
      <c r="AB134" s="2745"/>
      <c r="AC134" s="2745"/>
      <c r="AD134" s="2745"/>
      <c r="AH134" s="2745"/>
      <c r="AI134" s="2745"/>
      <c r="AJ134" s="2745"/>
      <c r="AK134" s="2557"/>
      <c r="AL134" s="2557"/>
      <c r="AM134" s="2557"/>
      <c r="AN134" s="2557"/>
      <c r="AO134" s="2557"/>
      <c r="AP134" s="2557"/>
      <c r="AQ134" s="2557"/>
      <c r="AR134" s="2557"/>
      <c r="AS134" s="2557"/>
      <c r="AT134" s="2557"/>
      <c r="AU134" s="2557"/>
      <c r="AV134" s="2557"/>
      <c r="AW134" s="2557"/>
      <c r="AX134" s="2557"/>
      <c r="AY134" s="2557"/>
      <c r="AZ134" s="2557"/>
      <c r="BA134" s="2557"/>
      <c r="BB134" s="2557"/>
      <c r="BC134" s="2557"/>
      <c r="BD134" s="2557"/>
      <c r="BE134" s="2557"/>
      <c r="BF134" s="2557"/>
      <c r="BG134" s="2557"/>
      <c r="BH134" s="2557"/>
      <c r="BI134" s="2557"/>
      <c r="BJ134" s="2557"/>
      <c r="BK134" s="53"/>
      <c r="BL134" s="53"/>
      <c r="BM134" s="53"/>
      <c r="BN134" s="53"/>
      <c r="BO134" s="53"/>
      <c r="BP134" s="53"/>
      <c r="BU134" s="53"/>
      <c r="BX134" s="53"/>
      <c r="BY134" s="53"/>
    </row>
    <row r="135" spans="1:96" ht="15" customHeight="1">
      <c r="A135" s="2747" t="s">
        <v>1535</v>
      </c>
      <c r="B135" s="95"/>
      <c r="C135" s="96"/>
      <c r="D135" s="84"/>
      <c r="E135" s="239"/>
      <c r="F135" s="95"/>
      <c r="G135" s="204"/>
      <c r="P135" s="2745"/>
      <c r="AB135" s="2745"/>
      <c r="AC135" s="2745"/>
      <c r="AD135" s="2745"/>
      <c r="AF135" s="48"/>
      <c r="AG135" s="48"/>
      <c r="AH135" s="2745"/>
      <c r="AI135" s="2745"/>
      <c r="AJ135" s="2745"/>
      <c r="AK135" s="2557"/>
      <c r="AL135" s="2557"/>
      <c r="AM135" s="2557"/>
      <c r="AN135" s="2557"/>
      <c r="AO135" s="2557"/>
      <c r="AP135" s="2557"/>
      <c r="AQ135" s="2557"/>
      <c r="AR135" s="2557"/>
      <c r="AS135" s="2557"/>
      <c r="AT135" s="2557"/>
      <c r="AU135" s="2557"/>
      <c r="AV135" s="2557"/>
      <c r="AW135" s="2557"/>
      <c r="AX135" s="2557"/>
      <c r="AY135" s="2557"/>
      <c r="AZ135" s="2557"/>
      <c r="BA135" s="2557"/>
      <c r="BB135" s="2557"/>
      <c r="BC135" s="2557"/>
      <c r="BD135" s="2557"/>
      <c r="BE135" s="2557"/>
      <c r="BF135" s="2557"/>
      <c r="BG135" s="2557"/>
      <c r="BH135" s="2557"/>
      <c r="BI135" s="2557"/>
      <c r="BJ135" s="2557"/>
      <c r="BK135" s="53"/>
      <c r="BL135" s="53"/>
      <c r="BM135" s="53"/>
      <c r="BN135" s="53"/>
      <c r="BO135" s="53"/>
      <c r="BP135" s="53"/>
      <c r="BU135" s="53"/>
      <c r="BX135" s="53"/>
      <c r="BY135" s="53"/>
    </row>
    <row r="136" spans="1:96" ht="15" customHeight="1">
      <c r="A136" s="2748" t="s">
        <v>1536</v>
      </c>
      <c r="B136" s="651"/>
      <c r="C136" s="2749"/>
      <c r="D136" s="209"/>
      <c r="E136" s="279"/>
      <c r="F136" s="207"/>
      <c r="G136" s="279"/>
      <c r="P136" s="2745"/>
      <c r="AB136" s="2745"/>
      <c r="AC136" s="2745"/>
      <c r="AD136" s="2745"/>
      <c r="AF136" s="48"/>
      <c r="AG136" s="48"/>
      <c r="AH136" s="2745"/>
      <c r="AI136" s="2745"/>
      <c r="AJ136" s="2745"/>
      <c r="AK136" s="2557"/>
      <c r="AL136" s="2557"/>
      <c r="AM136" s="2557"/>
      <c r="AN136" s="2557"/>
      <c r="AO136" s="2557"/>
      <c r="AP136" s="2557"/>
      <c r="AQ136" s="2557"/>
      <c r="AR136" s="2557"/>
      <c r="AS136" s="2557"/>
      <c r="AT136" s="2557"/>
      <c r="AU136" s="2557"/>
      <c r="AV136" s="2557"/>
      <c r="AW136" s="2557"/>
      <c r="AX136" s="2557"/>
      <c r="AY136" s="2557"/>
      <c r="AZ136" s="2557"/>
      <c r="BA136" s="2557"/>
      <c r="BB136" s="2557"/>
      <c r="BC136" s="2557"/>
      <c r="BD136" s="2557"/>
      <c r="BE136" s="2557"/>
      <c r="BF136" s="2557"/>
      <c r="BG136" s="2557"/>
      <c r="BH136" s="2557"/>
      <c r="BI136" s="2557"/>
      <c r="BJ136" s="2557"/>
      <c r="BK136" s="53"/>
      <c r="BL136" s="53"/>
      <c r="BM136" s="53"/>
      <c r="BN136" s="53"/>
      <c r="BO136" s="53"/>
      <c r="BP136" s="53"/>
      <c r="BU136" s="53"/>
      <c r="BX136" s="53"/>
      <c r="BY136" s="53"/>
    </row>
    <row r="137" spans="1:96" ht="15" customHeight="1">
      <c r="A137" s="617" t="s">
        <v>1537</v>
      </c>
      <c r="B137" s="157"/>
      <c r="C137" s="123"/>
      <c r="D137" s="123"/>
      <c r="E137" s="564"/>
      <c r="F137" s="157"/>
      <c r="G137" s="564"/>
      <c r="P137" s="2745"/>
      <c r="AB137" s="2745"/>
      <c r="AC137" s="2745"/>
      <c r="AD137" s="2745"/>
      <c r="AF137" s="48"/>
      <c r="AG137" s="48"/>
      <c r="AH137" s="2745"/>
      <c r="AI137" s="2745"/>
      <c r="AJ137" s="2745"/>
      <c r="AK137" s="2557"/>
      <c r="AL137" s="2557"/>
      <c r="AM137" s="2557"/>
      <c r="AN137" s="2557"/>
      <c r="AO137" s="2557"/>
      <c r="AP137" s="2557"/>
      <c r="AQ137" s="2557"/>
      <c r="AR137" s="2557"/>
      <c r="AS137" s="2557"/>
      <c r="AT137" s="2557"/>
      <c r="AU137" s="2557"/>
      <c r="AV137" s="2557"/>
      <c r="AW137" s="2557"/>
      <c r="AX137" s="2557"/>
      <c r="AY137" s="2557"/>
      <c r="AZ137" s="2557"/>
      <c r="BA137" s="2557"/>
      <c r="BB137" s="2557"/>
      <c r="BC137" s="2557"/>
      <c r="BD137" s="2557"/>
      <c r="BE137" s="2557"/>
      <c r="BF137" s="2557"/>
      <c r="BG137" s="2557"/>
      <c r="BH137" s="2557"/>
      <c r="BI137" s="2557"/>
      <c r="BJ137" s="2557"/>
      <c r="BK137" s="53"/>
      <c r="BL137" s="53"/>
      <c r="BM137" s="53"/>
      <c r="BN137" s="53"/>
      <c r="BO137" s="53"/>
      <c r="BP137" s="53"/>
      <c r="BU137" s="53"/>
      <c r="BX137" s="53"/>
      <c r="BY137" s="53"/>
    </row>
    <row r="138" spans="1:96" s="2558" customFormat="1" ht="18" customHeight="1">
      <c r="A138" s="465" t="s">
        <v>1544</v>
      </c>
      <c r="B138" s="465"/>
      <c r="C138" s="465"/>
      <c r="D138" s="465"/>
      <c r="E138" s="465"/>
      <c r="F138" s="465"/>
      <c r="G138" s="465"/>
      <c r="H138" s="465"/>
      <c r="I138" s="465"/>
      <c r="J138" s="465"/>
      <c r="K138" s="465"/>
      <c r="L138" s="465"/>
      <c r="M138" s="465"/>
      <c r="N138" s="465"/>
      <c r="O138" s="465"/>
      <c r="P138" s="465"/>
      <c r="Q138" s="465"/>
      <c r="R138" s="465"/>
      <c r="S138" s="465"/>
      <c r="T138" s="465"/>
      <c r="AJ138" s="2563"/>
      <c r="AK138" s="2563"/>
      <c r="AL138" s="2563"/>
      <c r="AM138" s="2563"/>
      <c r="AN138" s="2563"/>
      <c r="AO138" s="2563"/>
      <c r="AP138" s="2563"/>
      <c r="AQ138" s="2563"/>
      <c r="AR138" s="2563"/>
      <c r="AS138" s="2563"/>
      <c r="AT138" s="2563"/>
      <c r="AU138" s="2563"/>
      <c r="AV138" s="2563"/>
      <c r="AW138" s="2563"/>
      <c r="AX138" s="2563"/>
      <c r="BV138" s="2563"/>
      <c r="BW138" s="2563"/>
      <c r="BX138" s="2563"/>
      <c r="BY138" s="2563"/>
    </row>
    <row r="139" spans="1:96" ht="16.350000000000001" customHeight="1">
      <c r="A139" s="6042" t="s">
        <v>305</v>
      </c>
      <c r="B139" s="5962"/>
      <c r="C139" s="5611" t="s">
        <v>91</v>
      </c>
      <c r="D139" s="5615" t="s">
        <v>1498</v>
      </c>
      <c r="E139" s="5616"/>
      <c r="F139" s="5616"/>
      <c r="G139" s="5616"/>
      <c r="H139" s="5616"/>
      <c r="I139" s="5617"/>
      <c r="J139" s="5624" t="s">
        <v>625</v>
      </c>
      <c r="K139" s="1256"/>
      <c r="L139" s="2562"/>
      <c r="M139" s="2562"/>
      <c r="N139" s="2562"/>
      <c r="O139" s="2562"/>
      <c r="P139" s="2562"/>
      <c r="Q139" s="2562"/>
      <c r="AD139" s="53"/>
      <c r="AE139" s="53"/>
      <c r="AF139" s="53"/>
      <c r="AG139" s="53"/>
      <c r="AH139" s="53"/>
      <c r="AI139" s="53"/>
      <c r="AJ139" s="53"/>
      <c r="AK139" s="53"/>
      <c r="AL139" s="53"/>
      <c r="AM139" s="53"/>
      <c r="AN139" s="53"/>
      <c r="AO139" s="53"/>
      <c r="AP139" s="53"/>
      <c r="AQ139" s="53"/>
      <c r="AR139" s="53"/>
    </row>
    <row r="140" spans="1:96" ht="16.350000000000001" customHeight="1">
      <c r="A140" s="6044"/>
      <c r="B140" s="5760"/>
      <c r="C140" s="5612"/>
      <c r="D140" s="75" t="s">
        <v>108</v>
      </c>
      <c r="E140" s="68" t="s">
        <v>58</v>
      </c>
      <c r="F140" s="68" t="s">
        <v>59</v>
      </c>
      <c r="G140" s="68" t="s">
        <v>1521</v>
      </c>
      <c r="H140" s="68" t="s">
        <v>1522</v>
      </c>
      <c r="I140" s="70" t="s">
        <v>1523</v>
      </c>
      <c r="J140" s="5625"/>
      <c r="K140" s="1256"/>
      <c r="L140" s="2562"/>
      <c r="M140" s="2562"/>
      <c r="N140" s="2562"/>
      <c r="O140" s="2562"/>
      <c r="P140" s="2562"/>
      <c r="Q140" s="2562"/>
    </row>
    <row r="141" spans="1:96" ht="15" customHeight="1">
      <c r="A141" s="5619" t="s">
        <v>1545</v>
      </c>
      <c r="B141" s="1293" t="s">
        <v>1546</v>
      </c>
      <c r="C141" s="78">
        <f t="shared" ref="C141:C142" si="61">SUM(D141:I141)</f>
        <v>0</v>
      </c>
      <c r="D141" s="1003"/>
      <c r="E141" s="1365"/>
      <c r="F141" s="1365"/>
      <c r="G141" s="1365"/>
      <c r="H141" s="1365"/>
      <c r="I141" s="1068"/>
      <c r="J141" s="1004"/>
      <c r="K141" s="2642" t="str">
        <f t="shared" ref="K141:K142" si="62">CA141</f>
        <v/>
      </c>
      <c r="L141" s="2567"/>
      <c r="M141" s="2567"/>
      <c r="N141" s="2567"/>
      <c r="O141" s="2567"/>
      <c r="P141" s="2567"/>
      <c r="Q141" s="2567"/>
      <c r="R141" s="2567"/>
      <c r="S141" s="2567"/>
      <c r="T141" s="2567"/>
      <c r="U141" s="2567"/>
      <c r="V141" s="2567"/>
      <c r="W141" s="53"/>
      <c r="X141" s="53"/>
      <c r="Y141" s="53"/>
      <c r="CA141" s="2568" t="str">
        <f>IF(AND($C141&gt;0,J141="")," *No olvide digitar la variable "&amp;J$139&amp;""&amp;". Digite CERO si no tiene",IF(J141&gt;$C141," *La variable "&amp;J$139&amp;""&amp;" No puede ser mayor al Total.",""))</f>
        <v/>
      </c>
      <c r="CM141" s="2569">
        <f t="shared" ref="CM141:CM142" si="63">IF(AND($C141&gt;0,J141=""),1,IF(J141&gt;$C141,1,0))</f>
        <v>0</v>
      </c>
    </row>
    <row r="142" spans="1:96" ht="15" customHeight="1">
      <c r="A142" s="5620"/>
      <c r="B142" s="263" t="s">
        <v>1547</v>
      </c>
      <c r="C142" s="106">
        <f t="shared" si="61"/>
        <v>0</v>
      </c>
      <c r="D142" s="1053"/>
      <c r="E142" s="1377"/>
      <c r="F142" s="1377"/>
      <c r="G142" s="1377"/>
      <c r="H142" s="1377"/>
      <c r="I142" s="1057"/>
      <c r="J142" s="1054"/>
      <c r="K142" s="2642" t="str">
        <f t="shared" si="62"/>
        <v/>
      </c>
      <c r="L142" s="2567"/>
      <c r="M142" s="2567"/>
      <c r="N142" s="2567"/>
      <c r="O142" s="2567"/>
      <c r="P142" s="2567"/>
      <c r="Q142" s="2567"/>
      <c r="R142" s="2567"/>
      <c r="S142" s="2567"/>
      <c r="T142" s="2567"/>
      <c r="U142" s="2567"/>
      <c r="V142" s="2567"/>
      <c r="W142" s="53"/>
      <c r="X142" s="53"/>
      <c r="Y142" s="53"/>
      <c r="CA142" s="2568" t="str">
        <f>IF(AND($C142&gt;0,J142="")," * No olvide digitar la variable "&amp;J$139&amp;""&amp;". Digite CERO si no tiene",IF(J142&gt;$C142," * La variable "&amp;J$139&amp;""&amp;" No puede ser mayor al Total.",""))</f>
        <v/>
      </c>
      <c r="CM142" s="2569">
        <f t="shared" si="63"/>
        <v>0</v>
      </c>
    </row>
    <row r="143" spans="1:96" s="2558" customFormat="1" ht="18" customHeight="1">
      <c r="A143" s="465" t="s">
        <v>1548</v>
      </c>
      <c r="B143" s="465"/>
      <c r="C143" s="465"/>
      <c r="D143" s="465"/>
      <c r="E143" s="465"/>
      <c r="F143" s="465"/>
      <c r="G143" s="465"/>
      <c r="H143" s="465"/>
      <c r="I143" s="465"/>
      <c r="J143" s="465"/>
      <c r="K143" s="465"/>
      <c r="L143" s="465"/>
      <c r="M143" s="465"/>
      <c r="N143" s="465"/>
      <c r="Q143" s="2563"/>
      <c r="R143" s="2563"/>
      <c r="S143" s="2563"/>
      <c r="T143" s="2563"/>
      <c r="U143" s="2563"/>
      <c r="V143" s="2563"/>
      <c r="W143" s="2563"/>
      <c r="X143" s="2563"/>
      <c r="Y143" s="2563"/>
      <c r="Z143" s="2563"/>
      <c r="AA143" s="2563"/>
      <c r="AB143" s="2563"/>
      <c r="AC143" s="2563"/>
      <c r="AD143" s="2563"/>
      <c r="AE143" s="2563"/>
      <c r="BV143" s="2563"/>
      <c r="BW143" s="2563"/>
      <c r="BX143" s="2634"/>
      <c r="BY143" s="2634"/>
    </row>
    <row r="144" spans="1:96" ht="16.350000000000001" customHeight="1">
      <c r="A144" s="5613" t="s">
        <v>740</v>
      </c>
      <c r="B144" s="5613" t="s">
        <v>1549</v>
      </c>
      <c r="C144" s="1256"/>
      <c r="D144" s="740"/>
      <c r="E144" s="1256"/>
      <c r="F144" s="1256"/>
      <c r="G144" s="1256"/>
      <c r="H144" s="1256"/>
      <c r="I144" s="1256"/>
      <c r="J144" s="1256"/>
      <c r="K144" s="1256"/>
      <c r="L144" s="1256"/>
      <c r="M144" s="1256"/>
      <c r="N144" s="1256"/>
      <c r="O144" s="1256"/>
      <c r="P144" s="1256"/>
      <c r="Q144" s="1256"/>
      <c r="R144" s="1256"/>
      <c r="S144" s="1256"/>
      <c r="T144" s="1256"/>
      <c r="U144" s="1256"/>
      <c r="V144" s="1256"/>
      <c r="W144" s="1256"/>
    </row>
    <row r="145" spans="1:77" ht="16.350000000000001" customHeight="1">
      <c r="A145" s="5614"/>
      <c r="B145" s="5614"/>
      <c r="C145" s="1256"/>
      <c r="D145" s="740"/>
      <c r="E145" s="1256"/>
      <c r="F145" s="1256"/>
      <c r="G145" s="1256"/>
      <c r="H145" s="1256"/>
      <c r="I145" s="1256"/>
      <c r="J145" s="1256"/>
      <c r="K145" s="1256"/>
      <c r="L145" s="1256"/>
      <c r="M145" s="1256"/>
      <c r="N145" s="1256"/>
      <c r="O145" s="1256"/>
      <c r="P145" s="1256"/>
      <c r="Q145" s="1256"/>
      <c r="R145" s="1256"/>
      <c r="S145" s="1256"/>
      <c r="T145" s="1256"/>
      <c r="U145" s="1256"/>
      <c r="V145" s="1256"/>
      <c r="W145" s="1256"/>
    </row>
    <row r="146" spans="1:77" ht="15" customHeight="1">
      <c r="A146" s="2750" t="s">
        <v>1550</v>
      </c>
      <c r="B146" s="1180"/>
      <c r="C146" s="2662"/>
      <c r="D146" s="1256"/>
      <c r="E146" s="1256"/>
      <c r="F146" s="1256"/>
      <c r="G146" s="1256"/>
      <c r="H146" s="1256"/>
      <c r="I146" s="1256"/>
      <c r="J146" s="1256"/>
      <c r="K146" s="1256"/>
      <c r="L146" s="1256"/>
      <c r="M146" s="1256"/>
      <c r="N146" s="1256"/>
      <c r="O146" s="1256"/>
      <c r="P146" s="1256"/>
      <c r="Q146" s="1256"/>
      <c r="R146" s="1256"/>
      <c r="S146" s="1256"/>
      <c r="T146" s="1256"/>
      <c r="U146" s="1256"/>
      <c r="V146" s="1256"/>
      <c r="W146" s="1256"/>
    </row>
    <row r="147" spans="1:77" ht="15" customHeight="1">
      <c r="A147" s="2751" t="s">
        <v>1551</v>
      </c>
      <c r="B147" s="1127"/>
      <c r="C147" s="2662"/>
      <c r="D147" s="1256"/>
      <c r="E147" s="1256"/>
      <c r="F147" s="1256"/>
      <c r="G147" s="1256"/>
      <c r="H147" s="1256"/>
      <c r="I147" s="1256"/>
      <c r="J147" s="1256"/>
      <c r="K147" s="1256"/>
      <c r="L147" s="1256"/>
      <c r="M147" s="1256"/>
      <c r="N147" s="1256"/>
      <c r="O147" s="1256"/>
      <c r="P147" s="1256"/>
      <c r="Q147" s="1256"/>
      <c r="R147" s="1256"/>
      <c r="S147" s="1256"/>
      <c r="T147" s="1256"/>
      <c r="U147" s="1256"/>
      <c r="V147" s="1256"/>
      <c r="W147" s="1256"/>
    </row>
    <row r="148" spans="1:77" ht="15" customHeight="1">
      <c r="A148" s="2751" t="s">
        <v>745</v>
      </c>
      <c r="B148" s="1127"/>
      <c r="C148" s="2662"/>
      <c r="D148" s="1256"/>
      <c r="E148" s="1256"/>
      <c r="F148" s="1256"/>
      <c r="G148" s="1256"/>
      <c r="H148" s="1256"/>
      <c r="I148" s="1256"/>
      <c r="J148" s="1256"/>
      <c r="K148" s="1256"/>
      <c r="L148" s="1256"/>
      <c r="M148" s="1256"/>
      <c r="N148" s="1256"/>
      <c r="O148" s="1256"/>
      <c r="P148" s="1256"/>
      <c r="Q148" s="1256"/>
      <c r="R148" s="1256"/>
      <c r="S148" s="1256"/>
      <c r="T148" s="1256"/>
      <c r="U148" s="1256"/>
      <c r="V148" s="1256"/>
      <c r="W148" s="1256"/>
    </row>
    <row r="149" spans="1:77" ht="15" customHeight="1">
      <c r="A149" s="2751" t="s">
        <v>747</v>
      </c>
      <c r="B149" s="1127"/>
      <c r="C149" s="2662"/>
      <c r="D149" s="1256"/>
      <c r="E149" s="1256"/>
      <c r="F149" s="1256"/>
      <c r="G149" s="1256"/>
      <c r="H149" s="1256"/>
      <c r="I149" s="1256"/>
      <c r="J149" s="1256"/>
      <c r="K149" s="1256"/>
      <c r="L149" s="1256"/>
      <c r="M149" s="1256"/>
      <c r="N149" s="1256"/>
      <c r="O149" s="1256"/>
      <c r="P149" s="1256"/>
      <c r="Q149" s="1256"/>
      <c r="R149" s="1256"/>
      <c r="S149" s="1256"/>
      <c r="T149" s="1256"/>
      <c r="U149" s="1256"/>
      <c r="V149" s="1256"/>
      <c r="W149" s="1256"/>
    </row>
    <row r="150" spans="1:77" ht="15" customHeight="1">
      <c r="A150" s="2751" t="s">
        <v>1552</v>
      </c>
      <c r="B150" s="1127"/>
      <c r="C150" s="2662"/>
      <c r="D150" s="1256"/>
      <c r="E150" s="1256"/>
      <c r="F150" s="1256"/>
      <c r="G150" s="1256"/>
      <c r="H150" s="1256"/>
      <c r="I150" s="1256"/>
      <c r="J150" s="1256"/>
      <c r="K150" s="1256"/>
      <c r="L150" s="1256"/>
      <c r="M150" s="1256"/>
      <c r="N150" s="1256"/>
      <c r="O150" s="1256"/>
      <c r="P150" s="1256"/>
      <c r="Q150" s="1256"/>
      <c r="R150" s="1256"/>
      <c r="S150" s="1256"/>
      <c r="T150" s="1256"/>
      <c r="U150" s="1256"/>
      <c r="V150" s="1256"/>
      <c r="W150" s="1256"/>
    </row>
    <row r="151" spans="1:77" ht="15" customHeight="1">
      <c r="A151" s="2752" t="s">
        <v>1553</v>
      </c>
      <c r="B151" s="1183"/>
      <c r="C151" s="2662"/>
      <c r="D151" s="1256"/>
      <c r="E151" s="1256"/>
      <c r="F151" s="1256"/>
      <c r="G151" s="1256"/>
      <c r="H151" s="1256"/>
      <c r="I151" s="1256"/>
      <c r="J151" s="1256"/>
      <c r="K151" s="1256"/>
      <c r="L151" s="1256"/>
      <c r="M151" s="1256"/>
      <c r="N151" s="1256"/>
      <c r="O151" s="1256"/>
      <c r="P151" s="1256"/>
      <c r="Q151" s="1256"/>
      <c r="R151" s="1256"/>
      <c r="S151" s="1256"/>
      <c r="T151" s="1256"/>
      <c r="U151" s="1256"/>
      <c r="V151" s="1256"/>
      <c r="W151" s="1256"/>
    </row>
    <row r="152" spans="1:77" ht="15" customHeight="1">
      <c r="A152" s="2752" t="s">
        <v>1554</v>
      </c>
      <c r="B152" s="1183"/>
      <c r="C152" s="2662"/>
      <c r="D152" s="1256"/>
      <c r="E152" s="1256"/>
      <c r="F152" s="1256"/>
      <c r="G152" s="1256"/>
      <c r="H152" s="1256"/>
      <c r="I152" s="1256"/>
      <c r="J152" s="1256"/>
      <c r="K152" s="1256"/>
      <c r="L152" s="1256"/>
      <c r="M152" s="1256"/>
      <c r="N152" s="1256"/>
      <c r="O152" s="1256"/>
      <c r="P152" s="1256"/>
      <c r="Q152" s="1256"/>
      <c r="R152" s="1256"/>
      <c r="S152" s="1256"/>
      <c r="T152" s="1256"/>
      <c r="U152" s="1256"/>
      <c r="V152" s="1256"/>
      <c r="W152" s="1256"/>
    </row>
    <row r="153" spans="1:77" ht="15" customHeight="1">
      <c r="A153" s="2752" t="s">
        <v>1555</v>
      </c>
      <c r="B153" s="1127"/>
      <c r="C153" s="2662"/>
      <c r="D153" s="1256"/>
      <c r="E153" s="1256"/>
      <c r="F153" s="1256"/>
      <c r="G153" s="1256"/>
      <c r="H153" s="1256"/>
      <c r="I153" s="1256"/>
      <c r="J153" s="1256"/>
      <c r="K153" s="1256"/>
      <c r="L153" s="1256"/>
      <c r="M153" s="1256"/>
      <c r="N153" s="1256"/>
      <c r="O153" s="1256"/>
      <c r="P153" s="1256"/>
      <c r="Q153" s="1256"/>
      <c r="R153" s="1256"/>
      <c r="S153" s="1256"/>
      <c r="T153" s="1256"/>
      <c r="U153" s="1256"/>
      <c r="V153" s="1256"/>
      <c r="W153" s="1256"/>
    </row>
    <row r="154" spans="1:77" ht="15" customHeight="1">
      <c r="A154" s="2752" t="s">
        <v>1556</v>
      </c>
      <c r="B154" s="1183"/>
      <c r="C154" s="2662"/>
      <c r="D154" s="1256"/>
      <c r="E154" s="1256"/>
      <c r="F154" s="1256"/>
      <c r="G154" s="1256"/>
      <c r="H154" s="1256"/>
      <c r="I154" s="1256"/>
      <c r="J154" s="1256"/>
      <c r="K154" s="1256"/>
      <c r="L154" s="1256"/>
      <c r="M154" s="1256"/>
      <c r="N154" s="1256"/>
      <c r="O154" s="1256"/>
      <c r="P154" s="1256"/>
      <c r="Q154" s="1256"/>
      <c r="R154" s="1256"/>
      <c r="S154" s="1256"/>
      <c r="T154" s="1256"/>
      <c r="U154" s="1256"/>
      <c r="V154" s="1256"/>
      <c r="W154" s="1256"/>
      <c r="BX154" s="53"/>
      <c r="BY154" s="53"/>
    </row>
    <row r="155" spans="1:77" ht="15" customHeight="1">
      <c r="A155" s="586" t="s">
        <v>1557</v>
      </c>
      <c r="B155" s="1321"/>
      <c r="C155" s="2662"/>
      <c r="D155" s="1256"/>
      <c r="E155" s="1256"/>
      <c r="F155" s="1256"/>
      <c r="G155" s="1256"/>
      <c r="H155" s="1256"/>
      <c r="I155" s="1256"/>
      <c r="J155" s="1256"/>
      <c r="K155" s="1256"/>
      <c r="L155" s="1256"/>
      <c r="M155" s="1256"/>
      <c r="N155" s="1256"/>
      <c r="O155" s="1256"/>
      <c r="P155" s="1256"/>
      <c r="Q155" s="1256"/>
      <c r="R155" s="1256"/>
      <c r="S155" s="1256"/>
      <c r="T155" s="1256"/>
      <c r="U155" s="1256"/>
      <c r="V155" s="1256"/>
      <c r="W155" s="1256"/>
    </row>
    <row r="156" spans="1:77" ht="15" customHeight="1">
      <c r="A156" s="756" t="s">
        <v>1558</v>
      </c>
      <c r="B156" s="1321"/>
      <c r="C156" s="2662"/>
      <c r="D156" s="1256"/>
      <c r="E156" s="1256"/>
      <c r="F156" s="1256"/>
      <c r="G156" s="610"/>
      <c r="H156" s="610"/>
      <c r="I156" s="610"/>
      <c r="J156" s="610"/>
      <c r="K156" s="610"/>
      <c r="L156" s="610"/>
      <c r="M156" s="610"/>
      <c r="N156" s="610"/>
      <c r="O156" s="610"/>
      <c r="P156" s="610"/>
      <c r="Q156" s="610"/>
      <c r="R156" s="610"/>
      <c r="S156" s="610"/>
      <c r="T156" s="610"/>
      <c r="U156" s="610"/>
      <c r="V156" s="610"/>
      <c r="W156" s="1256"/>
    </row>
    <row r="157" spans="1:77" ht="15" customHeight="1">
      <c r="A157" s="756" t="s">
        <v>1559</v>
      </c>
      <c r="B157" s="1321"/>
      <c r="C157" s="2662"/>
      <c r="D157" s="1256"/>
      <c r="E157" s="1256"/>
      <c r="F157" s="1256"/>
      <c r="G157" s="610"/>
      <c r="H157" s="610"/>
      <c r="I157" s="610"/>
      <c r="J157" s="610"/>
      <c r="K157" s="610"/>
      <c r="L157" s="610"/>
      <c r="M157" s="610"/>
      <c r="N157" s="610"/>
      <c r="O157" s="610"/>
      <c r="P157" s="610"/>
      <c r="Q157" s="610"/>
      <c r="R157" s="610"/>
      <c r="S157" s="610"/>
      <c r="T157" s="610"/>
      <c r="U157" s="610"/>
      <c r="V157" s="610"/>
      <c r="W157" s="1256"/>
    </row>
    <row r="158" spans="1:77" ht="26.25" customHeight="1">
      <c r="A158" s="2753" t="s">
        <v>91</v>
      </c>
      <c r="B158" s="287">
        <f>SUM(B146:B157)</f>
        <v>0</v>
      </c>
      <c r="C158" s="1256"/>
      <c r="D158" s="1256"/>
      <c r="E158" s="1256"/>
      <c r="F158" s="1256"/>
      <c r="G158" s="610"/>
      <c r="H158" s="610"/>
      <c r="I158" s="610"/>
      <c r="J158" s="610"/>
      <c r="K158" s="610"/>
      <c r="L158" s="610"/>
      <c r="M158" s="610"/>
      <c r="N158" s="610"/>
      <c r="O158" s="610"/>
      <c r="P158" s="610"/>
      <c r="Q158" s="610"/>
      <c r="R158" s="610"/>
      <c r="S158" s="610"/>
      <c r="T158" s="610"/>
      <c r="U158" s="610"/>
      <c r="V158" s="610"/>
      <c r="W158" s="1256"/>
      <c r="BW158" s="2557"/>
    </row>
    <row r="159" spans="1:77" s="2558" customFormat="1" ht="18" customHeight="1">
      <c r="A159" s="763" t="s">
        <v>1560</v>
      </c>
      <c r="B159" s="465"/>
      <c r="C159" s="465"/>
      <c r="BV159" s="2563"/>
      <c r="BW159" s="2563"/>
      <c r="BX159" s="2634"/>
      <c r="BY159" s="2634"/>
    </row>
    <row r="160" spans="1:77" ht="24" customHeight="1">
      <c r="A160" s="5615" t="s">
        <v>1561</v>
      </c>
      <c r="B160" s="5652"/>
      <c r="C160" s="230" t="s">
        <v>1562</v>
      </c>
      <c r="D160" s="230" t="s">
        <v>1563</v>
      </c>
      <c r="BV160" s="2557"/>
      <c r="BW160" s="2557"/>
    </row>
    <row r="161" spans="1:95" ht="21">
      <c r="A161" s="479" t="s">
        <v>1564</v>
      </c>
      <c r="B161" s="58" t="s">
        <v>1565</v>
      </c>
      <c r="C161" s="2754"/>
      <c r="D161" s="2754"/>
      <c r="BV161" s="2557"/>
      <c r="BW161" s="2557"/>
    </row>
    <row r="162" spans="1:95" s="2558" customFormat="1" ht="18" customHeight="1">
      <c r="A162" s="465" t="s">
        <v>1566</v>
      </c>
      <c r="B162" s="465"/>
      <c r="C162" s="465"/>
      <c r="D162" s="465"/>
      <c r="E162" s="465"/>
      <c r="F162" s="465"/>
      <c r="G162" s="609"/>
      <c r="H162" s="609"/>
      <c r="I162" s="609"/>
      <c r="J162" s="609"/>
      <c r="K162" s="609"/>
      <c r="L162" s="609"/>
      <c r="M162" s="2563"/>
      <c r="BV162" s="2563"/>
      <c r="BW162" s="2563"/>
      <c r="BX162" s="2634"/>
      <c r="BY162" s="2634"/>
    </row>
    <row r="163" spans="1:95" ht="24" customHeight="1">
      <c r="A163" s="6042" t="s">
        <v>1561</v>
      </c>
      <c r="B163" s="5962"/>
      <c r="C163" s="5647" t="s">
        <v>1567</v>
      </c>
      <c r="D163" s="5649"/>
      <c r="E163" s="5648"/>
      <c r="F163" s="6519" t="s">
        <v>625</v>
      </c>
      <c r="G163" s="5616" t="s">
        <v>1568</v>
      </c>
      <c r="H163" s="5616"/>
      <c r="I163" s="5652"/>
      <c r="J163" s="5615" t="s">
        <v>1569</v>
      </c>
      <c r="K163" s="5616"/>
      <c r="L163" s="5652"/>
      <c r="M163" s="5615" t="s">
        <v>1570</v>
      </c>
      <c r="N163" s="5616"/>
      <c r="O163" s="5652"/>
      <c r="BS163" s="53"/>
      <c r="BT163" s="2557"/>
      <c r="BU163" s="2557"/>
      <c r="BV163" s="2557"/>
      <c r="BW163" s="50"/>
      <c r="BX163" s="2558"/>
      <c r="BY163" s="2558"/>
      <c r="BZ163" s="2558"/>
      <c r="CO163" s="50"/>
      <c r="CP163" s="50"/>
      <c r="CQ163" s="50"/>
    </row>
    <row r="164" spans="1:95" ht="35.25" customHeight="1">
      <c r="A164" s="6044"/>
      <c r="B164" s="5760"/>
      <c r="C164" s="56" t="s">
        <v>91</v>
      </c>
      <c r="D164" s="499" t="s">
        <v>1571</v>
      </c>
      <c r="E164" s="62" t="s">
        <v>1572</v>
      </c>
      <c r="F164" s="6520"/>
      <c r="G164" s="1313" t="s">
        <v>1573</v>
      </c>
      <c r="H164" s="1313" t="s">
        <v>1574</v>
      </c>
      <c r="I164" s="62" t="s">
        <v>1575</v>
      </c>
      <c r="J164" s="499" t="s">
        <v>1573</v>
      </c>
      <c r="K164" s="1313" t="s">
        <v>1576</v>
      </c>
      <c r="L164" s="62" t="s">
        <v>1575</v>
      </c>
      <c r="M164" s="499" t="s">
        <v>1577</v>
      </c>
      <c r="N164" s="1313" t="s">
        <v>1578</v>
      </c>
      <c r="O164" s="62" t="s">
        <v>1579</v>
      </c>
      <c r="BS164" s="53"/>
      <c r="BT164" s="2557"/>
      <c r="BU164" s="2557"/>
      <c r="BV164" s="2557"/>
      <c r="BW164" s="50"/>
      <c r="BX164" s="2558"/>
      <c r="BY164" s="2558"/>
      <c r="BZ164" s="2558"/>
      <c r="CO164" s="50"/>
      <c r="CP164" s="50"/>
      <c r="CQ164" s="50"/>
    </row>
    <row r="165" spans="1:95" ht="15" customHeight="1">
      <c r="A165" s="5619" t="s">
        <v>1580</v>
      </c>
      <c r="B165" s="175" t="s">
        <v>1581</v>
      </c>
      <c r="C165" s="78">
        <f t="shared" ref="C165:C166" si="64">SUM(D165+E165)</f>
        <v>0</v>
      </c>
      <c r="D165" s="1003"/>
      <c r="E165" s="1004"/>
      <c r="F165" s="2756"/>
      <c r="G165" s="1066"/>
      <c r="H165" s="1066"/>
      <c r="I165" s="1004"/>
      <c r="J165" s="1003"/>
      <c r="K165" s="1066"/>
      <c r="L165" s="1004"/>
      <c r="M165" s="1003"/>
      <c r="N165" s="1066"/>
      <c r="O165" s="1004"/>
      <c r="BS165" s="53"/>
      <c r="BT165" s="2557"/>
      <c r="BU165" s="2557"/>
      <c r="BV165" s="2557"/>
      <c r="BW165" s="50"/>
      <c r="BX165" s="2558"/>
      <c r="BY165" s="2558"/>
      <c r="BZ165" s="2558"/>
      <c r="CO165" s="50"/>
      <c r="CP165" s="50"/>
      <c r="CQ165" s="50"/>
    </row>
    <row r="166" spans="1:95" ht="15" customHeight="1">
      <c r="A166" s="5620"/>
      <c r="B166" s="2757" t="s">
        <v>1582</v>
      </c>
      <c r="C166" s="217">
        <f t="shared" si="64"/>
        <v>0</v>
      </c>
      <c r="D166" s="1055"/>
      <c r="E166" s="1093"/>
      <c r="F166" s="2758"/>
      <c r="G166" s="1375"/>
      <c r="H166" s="1375"/>
      <c r="I166" s="1093"/>
      <c r="J166" s="1055"/>
      <c r="K166" s="1375"/>
      <c r="L166" s="1093"/>
      <c r="M166" s="1055"/>
      <c r="N166" s="1375"/>
      <c r="O166" s="1093"/>
      <c r="BS166" s="53"/>
      <c r="BT166" s="2557"/>
      <c r="BU166" s="2557"/>
      <c r="BV166" s="2557"/>
      <c r="BW166" s="50"/>
      <c r="BX166" s="2558"/>
      <c r="BY166" s="2558"/>
      <c r="BZ166" s="2558"/>
      <c r="CO166" s="50"/>
      <c r="CP166" s="50"/>
      <c r="CQ166" s="50"/>
    </row>
    <row r="167" spans="1:95" s="2558" customFormat="1" ht="18" customHeight="1">
      <c r="A167" s="763" t="s">
        <v>1583</v>
      </c>
      <c r="BV167" s="2563"/>
      <c r="BW167" s="2563"/>
      <c r="BX167" s="2634"/>
      <c r="BY167" s="2634"/>
    </row>
    <row r="168" spans="1:95" ht="28.15" customHeight="1">
      <c r="A168" s="5647" t="s">
        <v>296</v>
      </c>
      <c r="B168" s="5648"/>
      <c r="C168" s="230" t="s">
        <v>947</v>
      </c>
      <c r="D168" s="292" t="s">
        <v>625</v>
      </c>
      <c r="E168" s="76" t="s">
        <v>1584</v>
      </c>
      <c r="F168" s="76" t="s">
        <v>619</v>
      </c>
      <c r="G168" s="610"/>
    </row>
    <row r="169" spans="1:95" ht="15" customHeight="1">
      <c r="A169" s="5619" t="s">
        <v>1585</v>
      </c>
      <c r="B169" s="77" t="s">
        <v>1586</v>
      </c>
      <c r="C169" s="1180"/>
      <c r="D169" s="2756"/>
      <c r="E169" s="2759"/>
      <c r="F169" s="2759"/>
      <c r="G169" s="2642"/>
    </row>
    <row r="170" spans="1:95" ht="15" customHeight="1">
      <c r="A170" s="5620"/>
      <c r="B170" s="490" t="s">
        <v>917</v>
      </c>
      <c r="C170" s="1189"/>
      <c r="D170" s="2758"/>
      <c r="E170" s="2760"/>
      <c r="F170" s="2760"/>
      <c r="G170" s="2642"/>
    </row>
    <row r="171" spans="1:95" ht="15" customHeight="1">
      <c r="A171" s="135" t="s">
        <v>1587</v>
      </c>
      <c r="B171" s="135" t="s">
        <v>1586</v>
      </c>
      <c r="C171" s="2754"/>
      <c r="D171" s="2761"/>
      <c r="E171" s="2762"/>
      <c r="F171" s="2763"/>
      <c r="G171" s="2642"/>
    </row>
    <row r="172" spans="1:95" ht="15" customHeight="1">
      <c r="A172" s="5619" t="s">
        <v>1588</v>
      </c>
      <c r="B172" s="77" t="s">
        <v>620</v>
      </c>
      <c r="C172" s="1180"/>
      <c r="D172" s="2756"/>
      <c r="E172" s="1004"/>
      <c r="F172" s="2759"/>
      <c r="G172" s="2642"/>
    </row>
    <row r="173" spans="1:95" ht="15" customHeight="1">
      <c r="A173" s="5618"/>
      <c r="B173" s="284" t="s">
        <v>1589</v>
      </c>
      <c r="C173" s="1127"/>
      <c r="D173" s="1129"/>
      <c r="E173" s="1187"/>
      <c r="F173" s="1187"/>
      <c r="G173" s="2642"/>
    </row>
    <row r="174" spans="1:95" ht="15" customHeight="1">
      <c r="A174" s="5620"/>
      <c r="B174" s="490" t="s">
        <v>1590</v>
      </c>
      <c r="C174" s="1189"/>
      <c r="D174" s="2758"/>
      <c r="E174" s="1093"/>
      <c r="F174" s="1093"/>
      <c r="G174" s="2642"/>
    </row>
    <row r="175" spans="1:95" s="2558" customFormat="1" ht="18" customHeight="1">
      <c r="A175" s="2764" t="s">
        <v>1591</v>
      </c>
      <c r="B175" s="465"/>
      <c r="C175" s="465"/>
      <c r="D175" s="465"/>
      <c r="E175" s="465"/>
      <c r="F175" s="465"/>
      <c r="G175" s="465"/>
      <c r="H175" s="465"/>
      <c r="I175" s="465"/>
      <c r="BV175" s="2563"/>
      <c r="BW175" s="2563"/>
      <c r="BX175" s="2634"/>
      <c r="BY175" s="2634"/>
    </row>
    <row r="176" spans="1:95">
      <c r="A176" s="6042" t="s">
        <v>1561</v>
      </c>
      <c r="B176" s="5962"/>
      <c r="C176" s="5647" t="s">
        <v>1592</v>
      </c>
      <c r="D176" s="5649"/>
      <c r="E176" s="5649"/>
      <c r="F176" s="5663" t="s">
        <v>625</v>
      </c>
      <c r="G176" s="5652" t="s">
        <v>1584</v>
      </c>
      <c r="H176" s="5652" t="s">
        <v>619</v>
      </c>
      <c r="BW176" s="2557"/>
    </row>
    <row r="177" spans="1:77">
      <c r="A177" s="6044"/>
      <c r="B177" s="5760"/>
      <c r="C177" s="56" t="s">
        <v>1593</v>
      </c>
      <c r="D177" s="75" t="s">
        <v>1585</v>
      </c>
      <c r="E177" s="76" t="s">
        <v>1594</v>
      </c>
      <c r="F177" s="5663"/>
      <c r="G177" s="5652"/>
      <c r="H177" s="5652"/>
      <c r="BW177" s="2557"/>
    </row>
    <row r="178" spans="1:77" ht="15.6" customHeight="1">
      <c r="A178" s="5660" t="s">
        <v>1595</v>
      </c>
      <c r="B178" s="613" t="s">
        <v>1590</v>
      </c>
      <c r="C178" s="78">
        <f t="shared" ref="C178:C183" si="65">SUM(D178:E178)</f>
        <v>0</v>
      </c>
      <c r="D178" s="1003"/>
      <c r="E178" s="1004"/>
      <c r="F178" s="2756"/>
      <c r="G178" s="1004"/>
      <c r="H178" s="1004"/>
      <c r="I178" s="2745"/>
      <c r="BW178" s="2557"/>
    </row>
    <row r="179" spans="1:77" ht="15.6" customHeight="1">
      <c r="A179" s="5661"/>
      <c r="B179" s="555" t="s">
        <v>620</v>
      </c>
      <c r="C179" s="206">
        <f t="shared" si="65"/>
        <v>0</v>
      </c>
      <c r="D179" s="1013"/>
      <c r="E179" s="1014"/>
      <c r="F179" s="2765"/>
      <c r="G179" s="1014"/>
      <c r="H179" s="1014"/>
      <c r="I179" s="2745"/>
      <c r="BW179" s="2557"/>
    </row>
    <row r="180" spans="1:77" ht="15.6" customHeight="1">
      <c r="A180" s="5781"/>
      <c r="B180" s="2757" t="s">
        <v>1589</v>
      </c>
      <c r="C180" s="106">
        <f t="shared" si="65"/>
        <v>0</v>
      </c>
      <c r="D180" s="1055"/>
      <c r="E180" s="1093"/>
      <c r="F180" s="2758"/>
      <c r="G180" s="1093"/>
      <c r="H180" s="1093"/>
      <c r="I180" s="2745"/>
      <c r="BW180" s="2557"/>
    </row>
    <row r="181" spans="1:77" ht="18.600000000000001" customHeight="1">
      <c r="A181" s="5619" t="s">
        <v>1596</v>
      </c>
      <c r="B181" s="613" t="s">
        <v>1590</v>
      </c>
      <c r="C181" s="78">
        <f t="shared" si="65"/>
        <v>0</v>
      </c>
      <c r="D181" s="1003"/>
      <c r="E181" s="1004"/>
      <c r="F181" s="2756"/>
      <c r="G181" s="1004"/>
      <c r="H181" s="1004"/>
      <c r="I181" s="2745"/>
      <c r="BW181" s="2557"/>
    </row>
    <row r="182" spans="1:77" ht="20.45" customHeight="1">
      <c r="A182" s="5618"/>
      <c r="B182" s="555" t="s">
        <v>620</v>
      </c>
      <c r="C182" s="206">
        <f t="shared" si="65"/>
        <v>0</v>
      </c>
      <c r="D182" s="1013"/>
      <c r="E182" s="1014"/>
      <c r="F182" s="2765"/>
      <c r="G182" s="1014"/>
      <c r="H182" s="1014"/>
      <c r="I182" s="2745"/>
      <c r="BW182" s="2557"/>
    </row>
    <row r="183" spans="1:77" ht="21" customHeight="1">
      <c r="A183" s="5620"/>
      <c r="B183" s="2757" t="s">
        <v>1589</v>
      </c>
      <c r="C183" s="106">
        <f t="shared" si="65"/>
        <v>0</v>
      </c>
      <c r="D183" s="1055"/>
      <c r="E183" s="1093"/>
      <c r="F183" s="2758"/>
      <c r="G183" s="1093"/>
      <c r="H183" s="1093"/>
      <c r="I183" s="2745"/>
      <c r="BW183" s="2557"/>
    </row>
    <row r="184" spans="1:77" s="2558" customFormat="1" ht="18" customHeight="1">
      <c r="A184" s="738" t="s">
        <v>1597</v>
      </c>
      <c r="B184" s="738"/>
      <c r="C184" s="738"/>
      <c r="D184" s="738"/>
      <c r="J184" s="2563"/>
      <c r="K184" s="2563"/>
      <c r="L184" s="2563"/>
      <c r="M184" s="2563"/>
      <c r="N184" s="2563"/>
      <c r="O184" s="2563"/>
      <c r="P184" s="2563"/>
      <c r="Q184" s="2563"/>
      <c r="R184" s="2563"/>
      <c r="S184" s="2563"/>
      <c r="T184" s="2563"/>
      <c r="U184" s="2563"/>
      <c r="V184" s="2563"/>
      <c r="W184" s="2563"/>
      <c r="X184" s="2563"/>
      <c r="Y184" s="2563"/>
      <c r="Z184" s="2563"/>
      <c r="AA184" s="2563"/>
      <c r="BV184" s="2563"/>
      <c r="BW184" s="2563"/>
      <c r="BX184" s="2634"/>
      <c r="BY184" s="2634"/>
    </row>
    <row r="185" spans="1:77">
      <c r="A185" s="5653" t="s">
        <v>1598</v>
      </c>
      <c r="B185" s="6507" t="s">
        <v>1599</v>
      </c>
      <c r="C185" s="6508"/>
      <c r="D185" s="6509"/>
      <c r="E185" s="6503" t="s">
        <v>1498</v>
      </c>
      <c r="F185" s="6513"/>
      <c r="G185" s="6513"/>
      <c r="H185" s="6513"/>
      <c r="I185" s="6513"/>
      <c r="J185" s="6513"/>
      <c r="K185" s="6513"/>
      <c r="L185" s="6513"/>
      <c r="M185" s="6513"/>
      <c r="N185" s="6513"/>
      <c r="O185" s="6513"/>
      <c r="P185" s="6513"/>
      <c r="Q185" s="6513"/>
      <c r="R185" s="6513"/>
      <c r="S185" s="6513"/>
      <c r="T185" s="6513"/>
      <c r="U185" s="6513"/>
      <c r="V185" s="6513"/>
      <c r="W185" s="6513"/>
      <c r="X185" s="6513"/>
      <c r="Y185" s="6513"/>
      <c r="Z185" s="6513"/>
      <c r="AA185" s="6513"/>
      <c r="AB185" s="6513"/>
      <c r="AC185" s="6513"/>
      <c r="AD185" s="6513"/>
      <c r="AE185" s="6513"/>
      <c r="AF185" s="6513"/>
      <c r="AG185" s="6513"/>
      <c r="AH185" s="6513"/>
      <c r="AI185" s="6513"/>
      <c r="AJ185" s="6513"/>
      <c r="AK185" s="6513"/>
      <c r="AL185" s="6514"/>
      <c r="BW185" s="2557"/>
    </row>
    <row r="186" spans="1:77">
      <c r="A186" s="6506"/>
      <c r="B186" s="6510"/>
      <c r="C186" s="6511"/>
      <c r="D186" s="6512"/>
      <c r="E186" s="5615" t="s">
        <v>364</v>
      </c>
      <c r="F186" s="5652"/>
      <c r="G186" s="5615" t="s">
        <v>347</v>
      </c>
      <c r="H186" s="5652"/>
      <c r="I186" s="5615" t="s">
        <v>108</v>
      </c>
      <c r="J186" s="5652"/>
      <c r="K186" s="5615" t="s">
        <v>58</v>
      </c>
      <c r="L186" s="5652"/>
      <c r="M186" s="5615" t="s">
        <v>59</v>
      </c>
      <c r="N186" s="5652"/>
      <c r="O186" s="5647" t="s">
        <v>60</v>
      </c>
      <c r="P186" s="5648"/>
      <c r="Q186" s="5647" t="s">
        <v>61</v>
      </c>
      <c r="R186" s="5648"/>
      <c r="S186" s="5647" t="s">
        <v>62</v>
      </c>
      <c r="T186" s="5648"/>
      <c r="U186" s="5647" t="s">
        <v>63</v>
      </c>
      <c r="V186" s="5648"/>
      <c r="W186" s="5647" t="s">
        <v>64</v>
      </c>
      <c r="X186" s="5648"/>
      <c r="Y186" s="5647" t="s">
        <v>65</v>
      </c>
      <c r="Z186" s="5648"/>
      <c r="AA186" s="5647" t="s">
        <v>66</v>
      </c>
      <c r="AB186" s="5648"/>
      <c r="AC186" s="5647" t="s">
        <v>67</v>
      </c>
      <c r="AD186" s="5648"/>
      <c r="AE186" s="5647" t="s">
        <v>68</v>
      </c>
      <c r="AF186" s="5648"/>
      <c r="AG186" s="5647" t="s">
        <v>69</v>
      </c>
      <c r="AH186" s="5648"/>
      <c r="AI186" s="5647" t="s">
        <v>70</v>
      </c>
      <c r="AJ186" s="5648"/>
      <c r="AK186" s="5647" t="s">
        <v>71</v>
      </c>
      <c r="AL186" s="5648"/>
      <c r="BW186" s="2557"/>
    </row>
    <row r="187" spans="1:77">
      <c r="A187" s="5654"/>
      <c r="B187" s="2767" t="s">
        <v>93</v>
      </c>
      <c r="C187" s="2768" t="s">
        <v>72</v>
      </c>
      <c r="D187" s="2766" t="s">
        <v>73</v>
      </c>
      <c r="E187" s="75" t="s">
        <v>482</v>
      </c>
      <c r="F187" s="76" t="s">
        <v>73</v>
      </c>
      <c r="G187" s="75" t="s">
        <v>482</v>
      </c>
      <c r="H187" s="76" t="s">
        <v>73</v>
      </c>
      <c r="I187" s="75" t="s">
        <v>482</v>
      </c>
      <c r="J187" s="76" t="s">
        <v>73</v>
      </c>
      <c r="K187" s="75" t="s">
        <v>482</v>
      </c>
      <c r="L187" s="59" t="s">
        <v>73</v>
      </c>
      <c r="M187" s="75" t="s">
        <v>482</v>
      </c>
      <c r="N187" s="76" t="s">
        <v>73</v>
      </c>
      <c r="O187" s="75" t="s">
        <v>482</v>
      </c>
      <c r="P187" s="59" t="s">
        <v>73</v>
      </c>
      <c r="Q187" s="75" t="s">
        <v>482</v>
      </c>
      <c r="R187" s="76" t="s">
        <v>73</v>
      </c>
      <c r="S187" s="75" t="s">
        <v>482</v>
      </c>
      <c r="T187" s="59" t="s">
        <v>73</v>
      </c>
      <c r="U187" s="75" t="s">
        <v>482</v>
      </c>
      <c r="V187" s="76" t="s">
        <v>73</v>
      </c>
      <c r="W187" s="75" t="s">
        <v>482</v>
      </c>
      <c r="X187" s="59" t="s">
        <v>73</v>
      </c>
      <c r="Y187" s="75" t="s">
        <v>482</v>
      </c>
      <c r="Z187" s="76" t="s">
        <v>73</v>
      </c>
      <c r="AA187" s="75" t="s">
        <v>482</v>
      </c>
      <c r="AB187" s="76" t="s">
        <v>73</v>
      </c>
      <c r="AC187" s="75" t="s">
        <v>482</v>
      </c>
      <c r="AD187" s="76" t="s">
        <v>73</v>
      </c>
      <c r="AE187" s="75" t="s">
        <v>482</v>
      </c>
      <c r="AF187" s="76" t="s">
        <v>73</v>
      </c>
      <c r="AG187" s="75" t="s">
        <v>482</v>
      </c>
      <c r="AH187" s="76" t="s">
        <v>73</v>
      </c>
      <c r="AI187" s="75" t="s">
        <v>482</v>
      </c>
      <c r="AJ187" s="76" t="s">
        <v>73</v>
      </c>
      <c r="AK187" s="75" t="s">
        <v>482</v>
      </c>
      <c r="AL187" s="76" t="s">
        <v>73</v>
      </c>
      <c r="BW187" s="2557"/>
    </row>
    <row r="188" spans="1:77" ht="15" customHeight="1">
      <c r="A188" s="2769" t="s">
        <v>1600</v>
      </c>
      <c r="B188" s="2770">
        <f t="shared" ref="B188:B191" si="66">SUM(C188+D188)</f>
        <v>0</v>
      </c>
      <c r="C188" s="2771">
        <f>SUM(O188+Q188+S188+U188+W188+Y188+AA188+AC188+AE188+AG188+AI188+AK188)</f>
        <v>0</v>
      </c>
      <c r="D188" s="1002">
        <f>SUM(P188+R188+T188+V188+X188+Z188+AB188+AD188+AF188+AH188+AJ188+AL188)</f>
        <v>0</v>
      </c>
      <c r="E188" s="2772"/>
      <c r="F188" s="2773"/>
      <c r="G188" s="2774"/>
      <c r="H188" s="2775"/>
      <c r="I188" s="2772"/>
      <c r="J188" s="2773"/>
      <c r="K188" s="2774"/>
      <c r="L188" s="2775"/>
      <c r="M188" s="2774"/>
      <c r="N188" s="2775"/>
      <c r="O188" s="2776"/>
      <c r="P188" s="2777"/>
      <c r="Q188" s="2778"/>
      <c r="R188" s="2779"/>
      <c r="S188" s="2776"/>
      <c r="T188" s="2777"/>
      <c r="U188" s="2778"/>
      <c r="V188" s="2779"/>
      <c r="W188" s="2776"/>
      <c r="X188" s="2777"/>
      <c r="Y188" s="2778"/>
      <c r="Z188" s="2779"/>
      <c r="AA188" s="2778"/>
      <c r="AB188" s="2779"/>
      <c r="AC188" s="2778"/>
      <c r="AD188" s="2779"/>
      <c r="AE188" s="2778"/>
      <c r="AF188" s="2779"/>
      <c r="AG188" s="2778"/>
      <c r="AH188" s="2779"/>
      <c r="AI188" s="2778"/>
      <c r="AJ188" s="2779"/>
      <c r="AK188" s="2778"/>
      <c r="AL188" s="2779"/>
      <c r="BW188" s="2557"/>
    </row>
    <row r="189" spans="1:77" ht="15" customHeight="1">
      <c r="A189" s="2780" t="s">
        <v>1601</v>
      </c>
      <c r="B189" s="2781">
        <f t="shared" si="66"/>
        <v>0</v>
      </c>
      <c r="C189" s="2782">
        <f t="shared" ref="C189:D191" si="67">SUM(E189+G189+I189+K189+M189+O189+Q189+S189+U189+W189+Y189+AA189+AC189+AE189+AG189+AI189+AK189)</f>
        <v>0</v>
      </c>
      <c r="D189" s="1012">
        <f t="shared" si="67"/>
        <v>0</v>
      </c>
      <c r="E189" s="2783"/>
      <c r="F189" s="2784"/>
      <c r="G189" s="2783"/>
      <c r="H189" s="2784"/>
      <c r="I189" s="2783"/>
      <c r="J189" s="2784"/>
      <c r="K189" s="2785"/>
      <c r="L189" s="2786"/>
      <c r="M189" s="2783"/>
      <c r="N189" s="2784"/>
      <c r="O189" s="2785"/>
      <c r="P189" s="2786"/>
      <c r="Q189" s="2783"/>
      <c r="R189" s="2784"/>
      <c r="S189" s="2785"/>
      <c r="T189" s="2786"/>
      <c r="U189" s="2783"/>
      <c r="V189" s="2784"/>
      <c r="W189" s="2785"/>
      <c r="X189" s="2786"/>
      <c r="Y189" s="2783"/>
      <c r="Z189" s="2784"/>
      <c r="AA189" s="2783"/>
      <c r="AB189" s="2784"/>
      <c r="AC189" s="2783"/>
      <c r="AD189" s="2784"/>
      <c r="AE189" s="2783"/>
      <c r="AF189" s="2784"/>
      <c r="AG189" s="2783"/>
      <c r="AH189" s="2784"/>
      <c r="AI189" s="2783"/>
      <c r="AJ189" s="2784"/>
      <c r="AK189" s="2783"/>
      <c r="AL189" s="2784"/>
      <c r="BW189" s="2557"/>
    </row>
    <row r="190" spans="1:77" ht="15" customHeight="1">
      <c r="A190" s="2787" t="s">
        <v>1602</v>
      </c>
      <c r="B190" s="2781">
        <f t="shared" si="66"/>
        <v>0</v>
      </c>
      <c r="C190" s="2782">
        <f t="shared" si="67"/>
        <v>0</v>
      </c>
      <c r="D190" s="1012">
        <f t="shared" si="67"/>
        <v>0</v>
      </c>
      <c r="E190" s="2783"/>
      <c r="F190" s="2784"/>
      <c r="G190" s="2783"/>
      <c r="H190" s="2784"/>
      <c r="I190" s="2783"/>
      <c r="J190" s="2784"/>
      <c r="K190" s="2785"/>
      <c r="L190" s="2786"/>
      <c r="M190" s="2783"/>
      <c r="N190" s="2784"/>
      <c r="O190" s="2785"/>
      <c r="P190" s="2786"/>
      <c r="Q190" s="2783"/>
      <c r="R190" s="2784"/>
      <c r="S190" s="2785"/>
      <c r="T190" s="2786"/>
      <c r="U190" s="2783"/>
      <c r="V190" s="2784"/>
      <c r="W190" s="2785"/>
      <c r="X190" s="2786"/>
      <c r="Y190" s="2783"/>
      <c r="Z190" s="2784"/>
      <c r="AA190" s="2783"/>
      <c r="AB190" s="2784"/>
      <c r="AC190" s="2783"/>
      <c r="AD190" s="2784"/>
      <c r="AE190" s="2783"/>
      <c r="AF190" s="2784"/>
      <c r="AG190" s="2783"/>
      <c r="AH190" s="2784"/>
      <c r="AI190" s="2783"/>
      <c r="AJ190" s="2784"/>
      <c r="AK190" s="2783"/>
      <c r="AL190" s="2784"/>
      <c r="BW190" s="2557"/>
    </row>
    <row r="191" spans="1:77" ht="15" customHeight="1">
      <c r="A191" s="2788" t="s">
        <v>619</v>
      </c>
      <c r="B191" s="2789">
        <f t="shared" si="66"/>
        <v>0</v>
      </c>
      <c r="C191" s="2790">
        <f t="shared" si="67"/>
        <v>0</v>
      </c>
      <c r="D191" s="1050">
        <f t="shared" si="67"/>
        <v>0</v>
      </c>
      <c r="E191" s="2791"/>
      <c r="F191" s="2792"/>
      <c r="G191" s="2791"/>
      <c r="H191" s="2792"/>
      <c r="I191" s="2791"/>
      <c r="J191" s="2792"/>
      <c r="K191" s="2793"/>
      <c r="L191" s="2794"/>
      <c r="M191" s="2791"/>
      <c r="N191" s="2792"/>
      <c r="O191" s="2793"/>
      <c r="P191" s="2794"/>
      <c r="Q191" s="2791"/>
      <c r="R191" s="2792"/>
      <c r="S191" s="2793"/>
      <c r="T191" s="2794"/>
      <c r="U191" s="2791"/>
      <c r="V191" s="2792"/>
      <c r="W191" s="2793"/>
      <c r="X191" s="2794"/>
      <c r="Y191" s="2791"/>
      <c r="Z191" s="2792"/>
      <c r="AA191" s="2791"/>
      <c r="AB191" s="2792"/>
      <c r="AC191" s="2791"/>
      <c r="AD191" s="2792"/>
      <c r="AE191" s="2791"/>
      <c r="AF191" s="2792"/>
      <c r="AG191" s="2791"/>
      <c r="AH191" s="2792"/>
      <c r="AI191" s="2791"/>
      <c r="AJ191" s="2792"/>
      <c r="AK191" s="2791"/>
      <c r="AL191" s="2792"/>
      <c r="BW191" s="2557"/>
    </row>
    <row r="192" spans="1:77" s="2558" customFormat="1" ht="18" customHeight="1">
      <c r="A192" s="2660" t="s">
        <v>1603</v>
      </c>
      <c r="B192" s="2795"/>
      <c r="G192" s="2563"/>
      <c r="H192" s="2563"/>
      <c r="I192" s="2563"/>
      <c r="J192" s="2563"/>
      <c r="K192" s="2563"/>
      <c r="L192" s="2563"/>
      <c r="M192" s="2563"/>
      <c r="N192" s="2563"/>
      <c r="O192" s="2563"/>
      <c r="P192" s="2563"/>
      <c r="Q192" s="2563"/>
      <c r="R192" s="2563"/>
      <c r="S192" s="2563"/>
      <c r="T192" s="2563"/>
      <c r="U192" s="2563"/>
      <c r="V192" s="2563"/>
      <c r="BV192" s="2563"/>
      <c r="BW192" s="2634"/>
      <c r="BX192" s="2634"/>
      <c r="BY192" s="2634"/>
    </row>
    <row r="193" spans="1:95" ht="24" customHeight="1">
      <c r="A193" s="6035" t="s">
        <v>305</v>
      </c>
      <c r="B193" s="6035"/>
      <c r="C193" s="6035" t="s">
        <v>91</v>
      </c>
      <c r="D193" s="6035"/>
      <c r="E193" s="6035"/>
      <c r="F193" s="5646" t="s">
        <v>364</v>
      </c>
      <c r="G193" s="5646"/>
      <c r="H193" s="5646" t="s">
        <v>347</v>
      </c>
      <c r="I193" s="5646"/>
      <c r="J193" s="5646" t="s">
        <v>108</v>
      </c>
      <c r="K193" s="5646"/>
      <c r="L193" s="5646" t="s">
        <v>1235</v>
      </c>
      <c r="M193" s="5646"/>
      <c r="N193" s="5646" t="s">
        <v>1604</v>
      </c>
      <c r="O193" s="5646"/>
      <c r="P193" s="6035" t="s">
        <v>387</v>
      </c>
      <c r="Q193" s="6035"/>
      <c r="R193" s="6035" t="s">
        <v>328</v>
      </c>
      <c r="S193" s="6035"/>
      <c r="T193" s="6035" t="s">
        <v>1605</v>
      </c>
      <c r="U193" s="6505"/>
      <c r="V193" s="5624" t="s">
        <v>476</v>
      </c>
      <c r="W193" s="5613" t="s">
        <v>1606</v>
      </c>
      <c r="X193" s="5613" t="s">
        <v>1607</v>
      </c>
      <c r="Y193" s="5613" t="s">
        <v>1608</v>
      </c>
      <c r="Z193" s="5613" t="s">
        <v>1609</v>
      </c>
      <c r="AA193" s="5613" t="s">
        <v>1610</v>
      </c>
      <c r="AB193" s="5647" t="s">
        <v>1611</v>
      </c>
      <c r="AC193" s="5649"/>
      <c r="AD193" s="5649"/>
      <c r="AE193" s="5648"/>
      <c r="AF193" s="6503" t="s">
        <v>947</v>
      </c>
      <c r="AG193" s="6504"/>
      <c r="AH193" s="6501" t="s">
        <v>1528</v>
      </c>
      <c r="AI193" s="6501" t="s">
        <v>1529</v>
      </c>
      <c r="AJ193" s="5613" t="s">
        <v>50</v>
      </c>
      <c r="AK193" s="5624" t="s">
        <v>51</v>
      </c>
      <c r="AL193" s="5968" t="s">
        <v>48</v>
      </c>
      <c r="AM193" s="5624" t="s">
        <v>49</v>
      </c>
      <c r="AN193" s="53"/>
      <c r="AO193" s="53"/>
      <c r="AP193" s="53"/>
      <c r="AQ193" s="53"/>
      <c r="AR193" s="53"/>
      <c r="AS193" s="53"/>
      <c r="AT193" s="53"/>
      <c r="AU193" s="53"/>
      <c r="BX193" s="53"/>
    </row>
    <row r="194" spans="1:95" ht="40.5" customHeight="1">
      <c r="A194" s="6035"/>
      <c r="B194" s="6035"/>
      <c r="C194" s="194" t="s">
        <v>93</v>
      </c>
      <c r="D194" s="69" t="s">
        <v>482</v>
      </c>
      <c r="E194" s="191" t="s">
        <v>73</v>
      </c>
      <c r="F194" s="75" t="s">
        <v>482</v>
      </c>
      <c r="G194" s="232" t="s">
        <v>73</v>
      </c>
      <c r="H194" s="75" t="s">
        <v>482</v>
      </c>
      <c r="I194" s="232" t="s">
        <v>73</v>
      </c>
      <c r="J194" s="75" t="s">
        <v>482</v>
      </c>
      <c r="K194" s="232" t="s">
        <v>73</v>
      </c>
      <c r="L194" s="75" t="s">
        <v>482</v>
      </c>
      <c r="M194" s="232" t="s">
        <v>73</v>
      </c>
      <c r="N194" s="75" t="s">
        <v>482</v>
      </c>
      <c r="O194" s="232" t="s">
        <v>73</v>
      </c>
      <c r="P194" s="75" t="s">
        <v>482</v>
      </c>
      <c r="Q194" s="232" t="s">
        <v>73</v>
      </c>
      <c r="R194" s="75" t="s">
        <v>482</v>
      </c>
      <c r="S194" s="232" t="s">
        <v>73</v>
      </c>
      <c r="T194" s="75" t="s">
        <v>482</v>
      </c>
      <c r="U194" s="70" t="s">
        <v>73</v>
      </c>
      <c r="V194" s="5625"/>
      <c r="W194" s="5614"/>
      <c r="X194" s="5614"/>
      <c r="Y194" s="5614"/>
      <c r="Z194" s="5614"/>
      <c r="AA194" s="5614"/>
      <c r="AB194" s="230" t="s">
        <v>1540</v>
      </c>
      <c r="AC194" s="230" t="s">
        <v>1541</v>
      </c>
      <c r="AD194" s="230" t="s">
        <v>1542</v>
      </c>
      <c r="AE194" s="76" t="s">
        <v>1543</v>
      </c>
      <c r="AF194" s="2645" t="s">
        <v>544</v>
      </c>
      <c r="AG194" s="2796" t="s">
        <v>779</v>
      </c>
      <c r="AH194" s="6502"/>
      <c r="AI194" s="6502"/>
      <c r="AJ194" s="5614"/>
      <c r="AK194" s="5625"/>
      <c r="AL194" s="5881"/>
      <c r="AM194" s="5625"/>
      <c r="AN194" s="53"/>
      <c r="AO194" s="53"/>
      <c r="AP194" s="53"/>
      <c r="AQ194" s="53"/>
      <c r="AR194" s="53"/>
      <c r="AS194" s="53"/>
      <c r="AT194" s="53"/>
      <c r="AU194" s="53"/>
      <c r="BX194" s="53"/>
    </row>
    <row r="195" spans="1:95" ht="15" customHeight="1">
      <c r="A195" s="5737" t="s">
        <v>881</v>
      </c>
      <c r="B195" s="277" t="s">
        <v>1612</v>
      </c>
      <c r="C195" s="486">
        <f t="shared" ref="C195:C196" si="68">SUM(D195:E195)</f>
        <v>0</v>
      </c>
      <c r="D195" s="487">
        <f t="shared" ref="D195:D196" si="69">SUM(F195+H195+J195+L195+N195+P195+R195+T195)</f>
        <v>0</v>
      </c>
      <c r="E195" s="554">
        <f t="shared" ref="E195:E196" si="70">G195+I195+K195+M195+O195+Q195+S195+U195</f>
        <v>0</v>
      </c>
      <c r="F195" s="95"/>
      <c r="G195" s="96"/>
      <c r="H195" s="95"/>
      <c r="I195" s="96"/>
      <c r="J195" s="95"/>
      <c r="K195" s="96"/>
      <c r="L195" s="95"/>
      <c r="M195" s="96"/>
      <c r="N195" s="95"/>
      <c r="O195" s="96"/>
      <c r="P195" s="95"/>
      <c r="Q195" s="96"/>
      <c r="R195" s="95"/>
      <c r="S195" s="96"/>
      <c r="T195" s="95"/>
      <c r="U195" s="170"/>
      <c r="V195" s="295"/>
      <c r="W195" s="93"/>
      <c r="X195" s="93"/>
      <c r="Y195" s="93"/>
      <c r="Z195" s="93"/>
      <c r="AA195" s="86"/>
      <c r="AB195" s="93"/>
      <c r="AC195" s="93"/>
      <c r="AD195" s="93"/>
      <c r="AE195" s="204"/>
      <c r="AF195" s="93"/>
      <c r="AG195" s="87"/>
      <c r="AH195" s="2797"/>
      <c r="AI195" s="204"/>
      <c r="AJ195" s="93"/>
      <c r="AK195" s="204"/>
      <c r="AL195" s="86"/>
      <c r="AM195" s="204"/>
      <c r="AN195" s="2798" t="str">
        <f t="shared" ref="AN195:AN196" si="71">CA195&amp;CB195&amp;CC195&amp;CD195&amp;CE195</f>
        <v/>
      </c>
      <c r="AO195" s="2567"/>
      <c r="AP195" s="2567"/>
      <c r="AQ195" s="2567"/>
      <c r="AR195" s="2567"/>
      <c r="AS195" s="53"/>
      <c r="AT195" s="53"/>
      <c r="BX195" s="53"/>
      <c r="CA195" s="2568" t="str">
        <f t="shared" ref="CA195:CE196" si="72">IF(AND($C195&gt;0,AI195="")," *No olvide digitar la variable "&amp;AI$193&amp;""&amp;". Digite CERO si no tiene",IF(AI195&gt;$C195," *La variable "&amp;AI$193&amp;""&amp;" No puede ser mayor al Total Ambos Sexos.",""))</f>
        <v/>
      </c>
      <c r="CB195" s="2568" t="str">
        <f t="shared" si="72"/>
        <v/>
      </c>
      <c r="CC195" s="2568" t="str">
        <f t="shared" si="72"/>
        <v/>
      </c>
      <c r="CD195" s="2568" t="str">
        <f t="shared" si="72"/>
        <v/>
      </c>
      <c r="CE195" s="2568" t="str">
        <f t="shared" si="72"/>
        <v/>
      </c>
      <c r="CM195" s="2569">
        <f t="shared" ref="CM195:CM196" si="73">IF(AND($C195&gt;0,AI195=""),1,IF(AI195&gt;$C195,1,0))</f>
        <v>0</v>
      </c>
      <c r="CN195" s="2569">
        <f t="shared" ref="CN195:CP196" si="74">IF(AND($C195&gt;0,AJ195=""),1,IF(AJ195&gt;$C195,1,0))</f>
        <v>0</v>
      </c>
      <c r="CO195" s="2569">
        <f t="shared" si="74"/>
        <v>0</v>
      </c>
      <c r="CP195" s="2569">
        <f t="shared" si="74"/>
        <v>0</v>
      </c>
      <c r="CQ195" s="2569">
        <f t="shared" ref="CQ195:CQ196" si="75">IF(AND($C195&gt;0,AM195=""),1,IF(AM195&gt;$C195,1,0))</f>
        <v>0</v>
      </c>
    </row>
    <row r="196" spans="1:95" ht="15" customHeight="1">
      <c r="A196" s="5737"/>
      <c r="B196" s="490" t="s">
        <v>1613</v>
      </c>
      <c r="C196" s="593">
        <f t="shared" si="68"/>
        <v>0</v>
      </c>
      <c r="D196" s="2799">
        <f t="shared" si="69"/>
        <v>0</v>
      </c>
      <c r="E196" s="563">
        <f t="shared" si="70"/>
        <v>0</v>
      </c>
      <c r="F196" s="122"/>
      <c r="G196" s="110"/>
      <c r="H196" s="122"/>
      <c r="I196" s="110"/>
      <c r="J196" s="122"/>
      <c r="K196" s="110"/>
      <c r="L196" s="122"/>
      <c r="M196" s="110"/>
      <c r="N196" s="122"/>
      <c r="O196" s="110"/>
      <c r="P196" s="122"/>
      <c r="Q196" s="110"/>
      <c r="R196" s="122"/>
      <c r="S196" s="110"/>
      <c r="T196" s="122"/>
      <c r="U196" s="186"/>
      <c r="V196" s="119"/>
      <c r="W196" s="120"/>
      <c r="X196" s="120"/>
      <c r="Y196" s="120"/>
      <c r="Z196" s="120"/>
      <c r="AA196" s="113"/>
      <c r="AB196" s="120"/>
      <c r="AC196" s="120"/>
      <c r="AD196" s="120"/>
      <c r="AE196" s="121"/>
      <c r="AF196" s="120"/>
      <c r="AG196" s="114"/>
      <c r="AH196" s="2800"/>
      <c r="AI196" s="121"/>
      <c r="AJ196" s="120"/>
      <c r="AK196" s="121"/>
      <c r="AL196" s="303"/>
      <c r="AM196" s="564"/>
      <c r="AN196" s="2798" t="str">
        <f t="shared" si="71"/>
        <v/>
      </c>
      <c r="AO196" s="2567"/>
      <c r="AP196" s="2567"/>
      <c r="AQ196" s="2567"/>
      <c r="AR196" s="2567"/>
      <c r="AS196" s="53"/>
      <c r="AT196" s="53"/>
      <c r="BX196" s="53"/>
      <c r="CA196" s="2568" t="str">
        <f t="shared" si="72"/>
        <v/>
      </c>
      <c r="CB196" s="2568" t="str">
        <f t="shared" si="72"/>
        <v/>
      </c>
      <c r="CC196" s="2568" t="str">
        <f t="shared" si="72"/>
        <v/>
      </c>
      <c r="CD196" s="2568" t="str">
        <f t="shared" si="72"/>
        <v/>
      </c>
      <c r="CE196" s="2568" t="str">
        <f t="shared" si="72"/>
        <v/>
      </c>
      <c r="CM196" s="2569">
        <f t="shared" si="73"/>
        <v>0</v>
      </c>
      <c r="CN196" s="2569">
        <f t="shared" si="74"/>
        <v>0</v>
      </c>
      <c r="CO196" s="2569">
        <f>IF(AND($C196&gt;0,AK196=""),1,IF(AK196&gt;$C196,1,0))</f>
        <v>0</v>
      </c>
      <c r="CP196" s="2569">
        <f>IF(AND($C196&gt;0,AL196=""),1,IF(AL196&gt;$C196,1,0))</f>
        <v>0</v>
      </c>
      <c r="CQ196" s="2569">
        <f t="shared" si="75"/>
        <v>0</v>
      </c>
    </row>
    <row r="197" spans="1:95" s="2558" customFormat="1" ht="18" customHeight="1">
      <c r="A197" s="465" t="s">
        <v>1614</v>
      </c>
      <c r="B197" s="465"/>
      <c r="AH197" s="2563"/>
      <c r="AI197" s="2563"/>
      <c r="AJ197" s="2563"/>
      <c r="AK197" s="2563"/>
      <c r="AL197" s="2563"/>
      <c r="AM197" s="2563"/>
      <c r="AN197" s="2563"/>
      <c r="AO197" s="2563"/>
      <c r="AP197" s="2563"/>
      <c r="AQ197" s="2563"/>
      <c r="AR197" s="2563"/>
      <c r="AS197" s="2563"/>
      <c r="AT197" s="2563"/>
      <c r="AU197" s="2563"/>
      <c r="BV197" s="2563"/>
      <c r="BW197" s="2563"/>
      <c r="BX197" s="2563"/>
      <c r="BY197" s="2563"/>
    </row>
    <row r="198" spans="1:95" ht="16.350000000000001" customHeight="1">
      <c r="A198" s="56" t="s">
        <v>1420</v>
      </c>
      <c r="B198" s="56" t="s">
        <v>91</v>
      </c>
      <c r="C198" s="499" t="s">
        <v>1615</v>
      </c>
      <c r="D198" s="62" t="s">
        <v>1616</v>
      </c>
      <c r="AI198" s="53"/>
      <c r="AJ198" s="53"/>
      <c r="AK198" s="53"/>
      <c r="AL198" s="53"/>
      <c r="AM198" s="53"/>
      <c r="AN198" s="53"/>
      <c r="AO198" s="53"/>
      <c r="AP198" s="53"/>
      <c r="AQ198" s="53"/>
      <c r="AR198" s="53"/>
      <c r="AS198" s="53"/>
      <c r="AT198" s="53"/>
      <c r="AU198" s="53"/>
      <c r="AV198" s="53"/>
    </row>
    <row r="199" spans="1:95" ht="15" customHeight="1">
      <c r="A199" s="277" t="s">
        <v>1617</v>
      </c>
      <c r="B199" s="1193">
        <f>SUM(C199:D199)</f>
        <v>0</v>
      </c>
      <c r="C199" s="95"/>
      <c r="D199" s="237"/>
      <c r="AI199" s="53"/>
      <c r="AJ199" s="53"/>
      <c r="AK199" s="53"/>
      <c r="AL199" s="53"/>
      <c r="AM199" s="53"/>
      <c r="AN199" s="53"/>
      <c r="AO199" s="53"/>
      <c r="AP199" s="53"/>
      <c r="AQ199" s="53"/>
      <c r="AR199" s="53"/>
      <c r="AS199" s="53"/>
      <c r="AT199" s="53"/>
      <c r="AU199" s="53"/>
      <c r="AV199" s="53"/>
    </row>
    <row r="200" spans="1:95" ht="15" customHeight="1">
      <c r="A200" s="490" t="s">
        <v>1618</v>
      </c>
      <c r="B200" s="1195">
        <f>SUM(C200)</f>
        <v>0</v>
      </c>
      <c r="C200" s="122"/>
      <c r="D200" s="2801"/>
      <c r="AI200" s="53"/>
      <c r="AJ200" s="53"/>
      <c r="AK200" s="53"/>
      <c r="AL200" s="53"/>
      <c r="AM200" s="53"/>
      <c r="AN200" s="53"/>
      <c r="AO200" s="53"/>
      <c r="AP200" s="53"/>
      <c r="AQ200" s="53"/>
      <c r="AR200" s="53"/>
      <c r="AS200" s="53"/>
      <c r="AT200" s="53"/>
      <c r="AU200" s="53"/>
      <c r="AV200" s="53"/>
    </row>
    <row r="201" spans="1:95" s="2558" customFormat="1" ht="18" customHeight="1">
      <c r="A201" s="2802" t="s">
        <v>1619</v>
      </c>
      <c r="B201" s="2803"/>
      <c r="C201" s="2804"/>
      <c r="D201" s="738"/>
      <c r="F201" s="2805"/>
      <c r="G201" s="2730"/>
      <c r="H201" s="970"/>
      <c r="I201" s="2730"/>
      <c r="J201" s="2806"/>
      <c r="K201" s="2806"/>
      <c r="L201" s="2730"/>
      <c r="M201" s="970"/>
      <c r="N201" s="2730"/>
      <c r="O201" s="2730"/>
      <c r="P201" s="970"/>
      <c r="Q201" s="2730"/>
      <c r="R201" s="2730"/>
      <c r="S201" s="970"/>
      <c r="T201" s="2730"/>
      <c r="U201" s="2730"/>
      <c r="V201" s="2806"/>
      <c r="AH201" s="2563"/>
      <c r="AI201" s="2563"/>
      <c r="AJ201" s="2563"/>
      <c r="AK201" s="2563"/>
      <c r="AL201" s="2563"/>
      <c r="AM201" s="2563"/>
      <c r="AN201" s="2563"/>
      <c r="AO201" s="2563"/>
      <c r="AP201" s="2563"/>
      <c r="AQ201" s="2563"/>
      <c r="AR201" s="2563"/>
      <c r="AS201" s="2563"/>
      <c r="AT201" s="2563"/>
      <c r="AU201" s="2563"/>
      <c r="BV201" s="2563"/>
      <c r="BW201" s="2563"/>
      <c r="BX201" s="2563"/>
      <c r="BY201" s="2563"/>
    </row>
    <row r="202" spans="1:95" ht="20.25" customHeight="1">
      <c r="A202" s="5611" t="s">
        <v>305</v>
      </c>
      <c r="B202" s="6042" t="s">
        <v>91</v>
      </c>
      <c r="C202" s="5776"/>
      <c r="D202" s="5962"/>
      <c r="E202" s="5794" t="s">
        <v>1498</v>
      </c>
      <c r="F202" s="6499"/>
      <c r="G202" s="6499"/>
      <c r="H202" s="6499"/>
      <c r="I202" s="6499"/>
      <c r="J202" s="6499"/>
      <c r="K202" s="6499"/>
      <c r="L202" s="6499"/>
      <c r="M202" s="6499"/>
      <c r="N202" s="6499"/>
      <c r="O202" s="6499"/>
      <c r="P202" s="6499"/>
      <c r="Q202" s="6499"/>
      <c r="R202" s="6499"/>
      <c r="S202" s="6499"/>
      <c r="T202" s="6499"/>
      <c r="U202" s="6499"/>
      <c r="V202" s="6499"/>
      <c r="W202" s="6499"/>
      <c r="X202" s="6499"/>
      <c r="Y202" s="6499"/>
      <c r="Z202" s="6499"/>
      <c r="AA202" s="6499"/>
      <c r="AB202" s="6499"/>
      <c r="AC202" s="6499"/>
      <c r="AD202" s="6499"/>
      <c r="AE202" s="6499"/>
      <c r="AF202" s="6499"/>
      <c r="AG202" s="6499"/>
      <c r="AH202" s="6499"/>
      <c r="AI202" s="6499"/>
      <c r="AJ202" s="6500"/>
      <c r="AK202" s="5657" t="s">
        <v>1620</v>
      </c>
      <c r="AL202" s="5624"/>
      <c r="AM202" s="5646" t="s">
        <v>48</v>
      </c>
      <c r="AN202" s="5652" t="s">
        <v>49</v>
      </c>
      <c r="BT202" s="53"/>
      <c r="BU202" s="53"/>
      <c r="BX202" s="53"/>
      <c r="BY202" s="54"/>
    </row>
    <row r="203" spans="1:95" ht="20.25" customHeight="1">
      <c r="A203" s="5641"/>
      <c r="B203" s="6044"/>
      <c r="C203" s="5963"/>
      <c r="D203" s="5760"/>
      <c r="E203" s="5615" t="s">
        <v>347</v>
      </c>
      <c r="F203" s="5652"/>
      <c r="G203" s="5615" t="s">
        <v>108</v>
      </c>
      <c r="H203" s="5652"/>
      <c r="I203" s="5615" t="s">
        <v>58</v>
      </c>
      <c r="J203" s="5652"/>
      <c r="K203" s="5615" t="s">
        <v>59</v>
      </c>
      <c r="L203" s="5652"/>
      <c r="M203" s="5647" t="s">
        <v>60</v>
      </c>
      <c r="N203" s="5648"/>
      <c r="O203" s="5647" t="s">
        <v>61</v>
      </c>
      <c r="P203" s="5648"/>
      <c r="Q203" s="5647" t="s">
        <v>62</v>
      </c>
      <c r="R203" s="5648"/>
      <c r="S203" s="5647" t="s">
        <v>63</v>
      </c>
      <c r="T203" s="5648"/>
      <c r="U203" s="5647" t="s">
        <v>64</v>
      </c>
      <c r="V203" s="5648"/>
      <c r="W203" s="5647" t="s">
        <v>65</v>
      </c>
      <c r="X203" s="5648"/>
      <c r="Y203" s="5647" t="s">
        <v>66</v>
      </c>
      <c r="Z203" s="5648"/>
      <c r="AA203" s="5647" t="s">
        <v>67</v>
      </c>
      <c r="AB203" s="5648"/>
      <c r="AC203" s="5647" t="s">
        <v>68</v>
      </c>
      <c r="AD203" s="5648"/>
      <c r="AE203" s="5647" t="s">
        <v>69</v>
      </c>
      <c r="AF203" s="5648"/>
      <c r="AG203" s="5647" t="s">
        <v>70</v>
      </c>
      <c r="AH203" s="5648"/>
      <c r="AI203" s="5647" t="s">
        <v>71</v>
      </c>
      <c r="AJ203" s="5686"/>
      <c r="AK203" s="5658"/>
      <c r="AL203" s="5625"/>
      <c r="AM203" s="5646"/>
      <c r="AN203" s="5652"/>
      <c r="BT203" s="53"/>
      <c r="BU203" s="53"/>
      <c r="BX203" s="53"/>
      <c r="BY203" s="54"/>
    </row>
    <row r="204" spans="1:95" ht="20.25" customHeight="1">
      <c r="A204" s="5612"/>
      <c r="B204" s="194" t="s">
        <v>93</v>
      </c>
      <c r="C204" s="2564" t="s">
        <v>72</v>
      </c>
      <c r="D204" s="191" t="s">
        <v>73</v>
      </c>
      <c r="E204" s="75" t="s">
        <v>482</v>
      </c>
      <c r="F204" s="232" t="s">
        <v>73</v>
      </c>
      <c r="G204" s="75" t="s">
        <v>482</v>
      </c>
      <c r="H204" s="232" t="s">
        <v>73</v>
      </c>
      <c r="I204" s="75" t="s">
        <v>482</v>
      </c>
      <c r="J204" s="232" t="s">
        <v>73</v>
      </c>
      <c r="K204" s="75" t="s">
        <v>482</v>
      </c>
      <c r="L204" s="232" t="s">
        <v>73</v>
      </c>
      <c r="M204" s="75" t="s">
        <v>482</v>
      </c>
      <c r="N204" s="76" t="s">
        <v>73</v>
      </c>
      <c r="O204" s="75" t="s">
        <v>482</v>
      </c>
      <c r="P204" s="76" t="s">
        <v>73</v>
      </c>
      <c r="Q204" s="75" t="s">
        <v>482</v>
      </c>
      <c r="R204" s="76" t="s">
        <v>73</v>
      </c>
      <c r="S204" s="75" t="s">
        <v>482</v>
      </c>
      <c r="T204" s="232" t="s">
        <v>73</v>
      </c>
      <c r="U204" s="75" t="s">
        <v>482</v>
      </c>
      <c r="V204" s="232" t="s">
        <v>73</v>
      </c>
      <c r="W204" s="196" t="s">
        <v>482</v>
      </c>
      <c r="X204" s="232" t="s">
        <v>73</v>
      </c>
      <c r="Y204" s="196" t="s">
        <v>482</v>
      </c>
      <c r="Z204" s="232" t="s">
        <v>73</v>
      </c>
      <c r="AA204" s="196" t="s">
        <v>482</v>
      </c>
      <c r="AB204" s="232" t="s">
        <v>73</v>
      </c>
      <c r="AC204" s="196" t="s">
        <v>482</v>
      </c>
      <c r="AD204" s="232" t="s">
        <v>73</v>
      </c>
      <c r="AE204" s="196" t="s">
        <v>482</v>
      </c>
      <c r="AF204" s="232" t="s">
        <v>73</v>
      </c>
      <c r="AG204" s="196" t="s">
        <v>482</v>
      </c>
      <c r="AH204" s="232" t="s">
        <v>73</v>
      </c>
      <c r="AI204" s="196" t="s">
        <v>482</v>
      </c>
      <c r="AJ204" s="2796" t="s">
        <v>73</v>
      </c>
      <c r="AK204" s="854" t="s">
        <v>483</v>
      </c>
      <c r="AL204" s="854" t="s">
        <v>1621</v>
      </c>
      <c r="AM204" s="5646"/>
      <c r="AN204" s="5652"/>
      <c r="BT204" s="53"/>
      <c r="BU204" s="53"/>
      <c r="BX204" s="53"/>
      <c r="BY204" s="54"/>
    </row>
    <row r="205" spans="1:95" ht="15" customHeight="1">
      <c r="A205" s="971" t="s">
        <v>1622</v>
      </c>
      <c r="B205" s="480">
        <f>SUM(C205+D205)</f>
        <v>0</v>
      </c>
      <c r="C205" s="2807">
        <f>E205+G205+I205+K205+M205+O205+Q205+S205+U205+W205+Y205+AA205+AC205+AE205+AG205+AI205</f>
        <v>0</v>
      </c>
      <c r="D205" s="482">
        <f>F205+H205+J205+L205+N205+P205+R205+T205+V205+X205+Z205+AB205+AD205+AF205+AH205+AJ205</f>
        <v>0</v>
      </c>
      <c r="E205" s="483"/>
      <c r="F205" s="503"/>
      <c r="G205" s="483"/>
      <c r="H205" s="503"/>
      <c r="I205" s="483"/>
      <c r="J205" s="503"/>
      <c r="K205" s="483"/>
      <c r="L205" s="503"/>
      <c r="M205" s="483"/>
      <c r="N205" s="484"/>
      <c r="O205" s="483"/>
      <c r="P205" s="484"/>
      <c r="Q205" s="483"/>
      <c r="R205" s="484"/>
      <c r="S205" s="483"/>
      <c r="T205" s="503"/>
      <c r="U205" s="483"/>
      <c r="V205" s="503"/>
      <c r="W205" s="483"/>
      <c r="X205" s="484"/>
      <c r="Y205" s="483"/>
      <c r="Z205" s="484"/>
      <c r="AA205" s="483"/>
      <c r="AB205" s="484"/>
      <c r="AC205" s="483"/>
      <c r="AD205" s="484"/>
      <c r="AE205" s="483"/>
      <c r="AF205" s="484"/>
      <c r="AG205" s="483"/>
      <c r="AH205" s="484"/>
      <c r="AI205" s="483"/>
      <c r="AJ205" s="2808"/>
      <c r="AK205" s="484"/>
      <c r="AL205" s="484"/>
      <c r="AM205" s="506"/>
      <c r="AN205" s="484"/>
      <c r="AO205" s="50" t="str">
        <f>CA205&amp;CB205&amp;CC205&amp;CD205</f>
        <v/>
      </c>
      <c r="BT205" s="53"/>
      <c r="BU205" s="53"/>
      <c r="BX205" s="53"/>
      <c r="BY205" s="54"/>
      <c r="CA205" s="2568" t="str">
        <f>IF(AND($D205&gt;0,AK205="")," *No olvide digitar la variable "&amp;AK$202&amp;""&amp;" Masculimo. Digite CERO si no tiene",IF(AK205&gt;$D205," *La variable "&amp;AK$202&amp;""&amp;" Masculino No puede ser mayor al Total Mujeres.",""))</f>
        <v/>
      </c>
      <c r="CB205" s="2568" t="str">
        <f>IF(AND($C205&gt;0,AL205="")," *No olvide digitar la variable "&amp;AK$202&amp;""&amp;" Femenino. Digite CERO si no tiene",IF(AL205&gt;$C205," *La variable "&amp;AK$202&amp;""&amp;" Femenino No puede ser mayor al Total Hombres.",""))</f>
        <v/>
      </c>
      <c r="CC205" s="2568" t="str">
        <f>IF(AND($B205&gt;0,AM205="")," * No olvide digitar la variable "&amp;AM$202&amp;""&amp;". Digite CERO si no tiene",IF(AM205&gt;$B205," * La variable "&amp;AM$202&amp;""&amp;" No puede ser mayor al Total Ambos Sexos.",""))</f>
        <v/>
      </c>
      <c r="CD205" s="2568" t="str">
        <f>IF(AND($B205&gt;0,AN205="")," *No olvide digitar la variable "&amp;AN$202&amp;""&amp;". Digite CERO si no tiene",IF(AN205&gt;$B205," *La variable "&amp;AN$202&amp;""&amp;" No puede ser mayor al Total Ambos Sexos.",""))</f>
        <v/>
      </c>
      <c r="CM205" s="2569">
        <f>IF(AND($D205&gt;0,AK205=""),1,IF(AK205&gt;$D205,1,0))</f>
        <v>0</v>
      </c>
      <c r="CN205" s="2569">
        <f>IF(AND($C205&gt;0,AL205=""),1,IF(AL205&gt;$C205,1,0))</f>
        <v>0</v>
      </c>
      <c r="CO205" s="2569">
        <f>IF(AND($B205&gt;0,AM205=""),1,IF(AM205&gt;$B205,1,0))</f>
        <v>0</v>
      </c>
      <c r="CP205" s="2569">
        <f>IF(AND($B205&gt;0,AN205=""),1,IF(AN205&gt;$B205,1,0))</f>
        <v>0</v>
      </c>
    </row>
    <row r="206" spans="1:95" s="2558" customFormat="1" ht="18" customHeight="1">
      <c r="A206" s="465" t="s">
        <v>1623</v>
      </c>
      <c r="B206" s="465"/>
      <c r="BV206" s="2563"/>
      <c r="BW206" s="2563"/>
      <c r="BX206" s="2563"/>
      <c r="BY206" s="2563"/>
    </row>
    <row r="207" spans="1:95" ht="16.350000000000001" customHeight="1">
      <c r="A207" s="5962" t="s">
        <v>1624</v>
      </c>
      <c r="B207" s="5642" t="s">
        <v>91</v>
      </c>
      <c r="C207" s="5627"/>
      <c r="D207" s="5624"/>
      <c r="E207" s="6496" t="s">
        <v>1625</v>
      </c>
      <c r="F207" s="6497"/>
      <c r="G207" s="6497"/>
      <c r="H207" s="6497"/>
      <c r="I207" s="6497"/>
      <c r="J207" s="6497"/>
      <c r="K207" s="6497"/>
      <c r="L207" s="6498"/>
      <c r="M207" s="5627" t="s">
        <v>1626</v>
      </c>
      <c r="N207" s="5953"/>
      <c r="O207" s="5624" t="s">
        <v>1627</v>
      </c>
      <c r="BX207" s="53"/>
      <c r="BY207" s="53"/>
    </row>
    <row r="208" spans="1:95" ht="16.350000000000001" customHeight="1">
      <c r="A208" s="5758"/>
      <c r="B208" s="5659"/>
      <c r="C208" s="5731"/>
      <c r="D208" s="5625"/>
      <c r="E208" s="5615" t="s">
        <v>364</v>
      </c>
      <c r="F208" s="5652"/>
      <c r="G208" s="5615" t="s">
        <v>347</v>
      </c>
      <c r="H208" s="5652"/>
      <c r="I208" s="5615" t="s">
        <v>108</v>
      </c>
      <c r="J208" s="5652"/>
      <c r="K208" s="5615" t="s">
        <v>1628</v>
      </c>
      <c r="L208" s="5617"/>
      <c r="M208" s="5731"/>
      <c r="N208" s="5955"/>
      <c r="O208" s="5645"/>
    </row>
    <row r="209" spans="1:96" ht="16.350000000000001" customHeight="1">
      <c r="A209" s="5758"/>
      <c r="B209" s="194" t="s">
        <v>93</v>
      </c>
      <c r="C209" s="69" t="s">
        <v>72</v>
      </c>
      <c r="D209" s="191" t="s">
        <v>73</v>
      </c>
      <c r="E209" s="75" t="s">
        <v>482</v>
      </c>
      <c r="F209" s="777" t="s">
        <v>73</v>
      </c>
      <c r="G209" s="75" t="s">
        <v>482</v>
      </c>
      <c r="H209" s="777" t="s">
        <v>73</v>
      </c>
      <c r="I209" s="973" t="s">
        <v>482</v>
      </c>
      <c r="J209" s="566" t="s">
        <v>73</v>
      </c>
      <c r="K209" s="75" t="s">
        <v>482</v>
      </c>
      <c r="L209" s="60" t="s">
        <v>73</v>
      </c>
      <c r="M209" s="293" t="s">
        <v>1629</v>
      </c>
      <c r="N209" s="972" t="s">
        <v>1630</v>
      </c>
      <c r="O209" s="5625"/>
    </row>
    <row r="210" spans="1:96" ht="16.350000000000001" customHeight="1">
      <c r="A210" s="5760"/>
      <c r="B210" s="2809">
        <f t="shared" ref="B210:B215" si="76">+C210+D210</f>
        <v>0</v>
      </c>
      <c r="C210" s="2810">
        <f t="shared" ref="C210:D215" si="77">+E210+G210+I210+K210</f>
        <v>0</v>
      </c>
      <c r="D210" s="1380">
        <f t="shared" ref="D210:D211" si="78">+F210+H210+J210+L210</f>
        <v>0</v>
      </c>
      <c r="E210" s="2811">
        <f t="shared" ref="E210:O210" si="79">SUM(E211:E215)</f>
        <v>0</v>
      </c>
      <c r="F210" s="2812">
        <f t="shared" si="79"/>
        <v>0</v>
      </c>
      <c r="G210" s="2811">
        <f t="shared" si="79"/>
        <v>0</v>
      </c>
      <c r="H210" s="2812">
        <f t="shared" si="79"/>
        <v>0</v>
      </c>
      <c r="I210" s="2811">
        <f t="shared" si="79"/>
        <v>0</v>
      </c>
      <c r="J210" s="2813">
        <f t="shared" si="79"/>
        <v>0</v>
      </c>
      <c r="K210" s="480">
        <f t="shared" si="79"/>
        <v>0</v>
      </c>
      <c r="L210" s="2814">
        <f t="shared" si="79"/>
        <v>0</v>
      </c>
      <c r="M210" s="2815">
        <f t="shared" si="79"/>
        <v>0</v>
      </c>
      <c r="N210" s="2816">
        <f t="shared" si="79"/>
        <v>0</v>
      </c>
      <c r="O210" s="2817">
        <f t="shared" si="79"/>
        <v>0</v>
      </c>
      <c r="P210" s="53"/>
      <c r="Q210" s="53"/>
      <c r="R210" s="53"/>
      <c r="S210" s="53"/>
      <c r="T210" s="53"/>
      <c r="U210" s="53"/>
      <c r="V210" s="53"/>
      <c r="W210" s="53"/>
      <c r="X210" s="53"/>
      <c r="Y210" s="53"/>
      <c r="Z210" s="53"/>
      <c r="AA210" s="53"/>
      <c r="AB210" s="53"/>
      <c r="AC210" s="53"/>
      <c r="AD210" s="53"/>
      <c r="AE210" s="53"/>
    </row>
    <row r="211" spans="1:96" ht="15" customHeight="1">
      <c r="A211" s="277" t="s">
        <v>1631</v>
      </c>
      <c r="B211" s="2818">
        <f t="shared" si="76"/>
        <v>0</v>
      </c>
      <c r="C211" s="2819">
        <f t="shared" si="77"/>
        <v>0</v>
      </c>
      <c r="D211" s="488">
        <f t="shared" si="78"/>
        <v>0</v>
      </c>
      <c r="E211" s="164"/>
      <c r="F211" s="94"/>
      <c r="G211" s="164"/>
      <c r="H211" s="94"/>
      <c r="I211" s="164"/>
      <c r="J211" s="515"/>
      <c r="K211" s="164"/>
      <c r="L211" s="129"/>
      <c r="M211" s="184"/>
      <c r="N211" s="982"/>
      <c r="O211" s="281"/>
      <c r="P211" s="2642" t="str">
        <f t="shared" ref="P211:P215" si="80">CA211&amp;CB211&amp;CC211&amp;CD211</f>
        <v/>
      </c>
      <c r="Q211" s="2567"/>
      <c r="R211" s="2567"/>
      <c r="S211" s="2567"/>
      <c r="T211" s="2567"/>
      <c r="U211" s="2567"/>
      <c r="V211" s="2567"/>
      <c r="W211" s="2567"/>
      <c r="X211" s="2567"/>
      <c r="Y211" s="2567"/>
      <c r="Z211" s="2567"/>
      <c r="AA211" s="2567"/>
      <c r="AB211" s="53"/>
      <c r="AC211" s="53"/>
      <c r="AD211" s="53"/>
      <c r="AE211" s="53"/>
      <c r="CA211" s="2568" t="str">
        <f t="shared" ref="CA211:CA215" si="81">IF(AND($B211&gt;0,M211="")," *No olvide digitar la variable "&amp;M$207&amp;""&amp;" Única. Digite CERO si no tiene.","")</f>
        <v/>
      </c>
      <c r="CB211" s="2568" t="str">
        <f t="shared" ref="CB211:CB215" si="82">IF(AND($B211&gt;0,N211="")," *No olvide digitar la variable "&amp;M$207&amp;""&amp;" Múltiple. Digite CERO si no tiene.","")</f>
        <v/>
      </c>
      <c r="CC211" s="2568" t="str">
        <f t="shared" ref="CC211:CC215" si="83">IF(AND(M211+N211&gt;$B211)," *La variable "&amp;M$207&amp;""&amp;" No puede ser mayor al Total Ambos Sexos.","")</f>
        <v/>
      </c>
      <c r="CD211" s="2568" t="str">
        <f t="shared" ref="CD211:CD215" si="84">IF(AND($B211&gt;0,O211="")," *No olvide digitar la variable "&amp;O$207&amp;""&amp;". Digite CERO si no tiene",IF(O211&gt;$B211," *La variable "&amp;O$207&amp;""&amp;" No puede ser mayor al Total Ambos Sexos.",""))</f>
        <v/>
      </c>
      <c r="CM211" s="2569">
        <f t="shared" ref="CM211:CM215" si="85">IF(AND($B211&gt;0,M211=""),1,0)</f>
        <v>0</v>
      </c>
      <c r="CN211" s="2569">
        <f t="shared" ref="CN211:CN215" si="86">IF(AND($B211&gt;0,N211=""),1,0)</f>
        <v>0</v>
      </c>
      <c r="CO211" s="2569">
        <f t="shared" ref="CO211:CO215" si="87">IF(AND(M211+N211&gt;$B211),1,0)</f>
        <v>0</v>
      </c>
      <c r="CP211" s="2569">
        <f t="shared" ref="CP211:CP215" si="88">IF(AND($B211&gt;0,O211=""),1,0)</f>
        <v>0</v>
      </c>
      <c r="CR211" s="2558"/>
    </row>
    <row r="212" spans="1:96" ht="15" customHeight="1">
      <c r="A212" s="284" t="s">
        <v>1632</v>
      </c>
      <c r="B212" s="2820">
        <f t="shared" si="76"/>
        <v>0</v>
      </c>
      <c r="C212" s="2821">
        <f t="shared" si="77"/>
        <v>0</v>
      </c>
      <c r="D212" s="525">
        <f t="shared" si="77"/>
        <v>0</v>
      </c>
      <c r="E212" s="207"/>
      <c r="F212" s="279"/>
      <c r="G212" s="207"/>
      <c r="H212" s="279"/>
      <c r="I212" s="207"/>
      <c r="J212" s="247"/>
      <c r="K212" s="207"/>
      <c r="L212" s="606"/>
      <c r="M212" s="278"/>
      <c r="N212" s="985"/>
      <c r="O212" s="2822"/>
      <c r="P212" s="2642" t="str">
        <f t="shared" si="80"/>
        <v/>
      </c>
      <c r="Q212" s="2567"/>
      <c r="R212" s="2567"/>
      <c r="S212" s="2567"/>
      <c r="T212" s="2567"/>
      <c r="U212" s="2567"/>
      <c r="V212" s="2567"/>
      <c r="W212" s="2567"/>
      <c r="X212" s="2567"/>
      <c r="Y212" s="2567"/>
      <c r="Z212" s="2567"/>
      <c r="AA212" s="2567"/>
      <c r="AB212" s="53"/>
      <c r="AC212" s="53"/>
      <c r="AD212" s="53"/>
      <c r="AE212" s="53"/>
      <c r="CA212" s="2568" t="str">
        <f t="shared" si="81"/>
        <v/>
      </c>
      <c r="CB212" s="2568" t="str">
        <f t="shared" si="82"/>
        <v/>
      </c>
      <c r="CC212" s="2568" t="str">
        <f t="shared" si="83"/>
        <v/>
      </c>
      <c r="CD212" s="2568" t="str">
        <f t="shared" si="84"/>
        <v/>
      </c>
      <c r="CM212" s="2569">
        <f t="shared" si="85"/>
        <v>0</v>
      </c>
      <c r="CN212" s="2569">
        <f t="shared" si="86"/>
        <v>0</v>
      </c>
      <c r="CO212" s="2569">
        <f t="shared" si="87"/>
        <v>0</v>
      </c>
      <c r="CP212" s="2569">
        <f t="shared" si="88"/>
        <v>0</v>
      </c>
    </row>
    <row r="213" spans="1:96" ht="15" customHeight="1">
      <c r="A213" s="284" t="s">
        <v>1633</v>
      </c>
      <c r="B213" s="2820">
        <f t="shared" si="76"/>
        <v>0</v>
      </c>
      <c r="C213" s="2821">
        <f t="shared" si="77"/>
        <v>0</v>
      </c>
      <c r="D213" s="525">
        <f t="shared" si="77"/>
        <v>0</v>
      </c>
      <c r="E213" s="207"/>
      <c r="F213" s="279"/>
      <c r="G213" s="207"/>
      <c r="H213" s="279"/>
      <c r="I213" s="207"/>
      <c r="J213" s="247"/>
      <c r="K213" s="207"/>
      <c r="L213" s="606"/>
      <c r="M213" s="278"/>
      <c r="N213" s="985"/>
      <c r="O213" s="2822"/>
      <c r="P213" s="2642" t="str">
        <f t="shared" si="80"/>
        <v/>
      </c>
      <c r="Q213" s="2567"/>
      <c r="R213" s="2567"/>
      <c r="S213" s="2567"/>
      <c r="T213" s="2567"/>
      <c r="U213" s="2567"/>
      <c r="V213" s="2567"/>
      <c r="W213" s="2567"/>
      <c r="X213" s="2567"/>
      <c r="Y213" s="2567"/>
      <c r="Z213" s="2567"/>
      <c r="AA213" s="2567"/>
      <c r="AB213" s="53"/>
      <c r="AC213" s="53"/>
      <c r="AD213" s="53"/>
      <c r="AE213" s="53"/>
      <c r="CA213" s="2568" t="str">
        <f t="shared" si="81"/>
        <v/>
      </c>
      <c r="CB213" s="2568" t="str">
        <f t="shared" si="82"/>
        <v/>
      </c>
      <c r="CC213" s="2568" t="str">
        <f t="shared" si="83"/>
        <v/>
      </c>
      <c r="CD213" s="2568" t="str">
        <f t="shared" si="84"/>
        <v/>
      </c>
      <c r="CM213" s="2569">
        <f t="shared" si="85"/>
        <v>0</v>
      </c>
      <c r="CN213" s="2569">
        <f t="shared" si="86"/>
        <v>0</v>
      </c>
      <c r="CO213" s="2569">
        <f t="shared" si="87"/>
        <v>0</v>
      </c>
      <c r="CP213" s="2569">
        <f t="shared" si="88"/>
        <v>0</v>
      </c>
    </row>
    <row r="214" spans="1:96" ht="15" customHeight="1">
      <c r="A214" s="284" t="s">
        <v>1634</v>
      </c>
      <c r="B214" s="2820">
        <f t="shared" si="76"/>
        <v>0</v>
      </c>
      <c r="C214" s="2821">
        <f t="shared" si="77"/>
        <v>0</v>
      </c>
      <c r="D214" s="525">
        <f t="shared" si="77"/>
        <v>0</v>
      </c>
      <c r="E214" s="534"/>
      <c r="F214" s="634"/>
      <c r="G214" s="534"/>
      <c r="H214" s="634"/>
      <c r="I214" s="534"/>
      <c r="J214" s="535"/>
      <c r="K214" s="534"/>
      <c r="L214" s="2823"/>
      <c r="M214" s="757"/>
      <c r="N214" s="2824"/>
      <c r="O214" s="2825"/>
      <c r="P214" s="2642" t="str">
        <f t="shared" si="80"/>
        <v/>
      </c>
      <c r="Q214" s="2567"/>
      <c r="R214" s="2567"/>
      <c r="S214" s="2567"/>
      <c r="T214" s="2567"/>
      <c r="U214" s="2567"/>
      <c r="V214" s="2567"/>
      <c r="W214" s="2567"/>
      <c r="X214" s="2567"/>
      <c r="Y214" s="2567"/>
      <c r="Z214" s="2567"/>
      <c r="AA214" s="2567"/>
      <c r="AB214" s="53"/>
      <c r="AC214" s="53"/>
      <c r="AD214" s="53"/>
      <c r="AE214" s="53"/>
      <c r="CA214" s="2568" t="str">
        <f t="shared" si="81"/>
        <v/>
      </c>
      <c r="CB214" s="2568" t="str">
        <f t="shared" si="82"/>
        <v/>
      </c>
      <c r="CC214" s="2568" t="str">
        <f t="shared" si="83"/>
        <v/>
      </c>
      <c r="CD214" s="2568" t="str">
        <f t="shared" si="84"/>
        <v/>
      </c>
      <c r="CM214" s="2569">
        <f t="shared" si="85"/>
        <v>0</v>
      </c>
      <c r="CN214" s="2569">
        <f t="shared" si="86"/>
        <v>0</v>
      </c>
      <c r="CO214" s="2569">
        <f t="shared" si="87"/>
        <v>0</v>
      </c>
      <c r="CP214" s="2569">
        <f t="shared" si="88"/>
        <v>0</v>
      </c>
    </row>
    <row r="215" spans="1:96" ht="15" customHeight="1">
      <c r="A215" s="146" t="s">
        <v>1635</v>
      </c>
      <c r="B215" s="2826">
        <f t="shared" si="76"/>
        <v>0</v>
      </c>
      <c r="C215" s="2827">
        <f t="shared" si="77"/>
        <v>0</v>
      </c>
      <c r="D215" s="2622">
        <f t="shared" si="77"/>
        <v>0</v>
      </c>
      <c r="E215" s="122"/>
      <c r="F215" s="254"/>
      <c r="G215" s="122"/>
      <c r="H215" s="254"/>
      <c r="I215" s="122"/>
      <c r="J215" s="254"/>
      <c r="K215" s="122"/>
      <c r="L215" s="186"/>
      <c r="M215" s="113"/>
      <c r="N215" s="2828"/>
      <c r="O215" s="622"/>
      <c r="P215" s="2642" t="str">
        <f t="shared" si="80"/>
        <v/>
      </c>
      <c r="Q215" s="2567"/>
      <c r="R215" s="2567"/>
      <c r="S215" s="2567"/>
      <c r="T215" s="2567"/>
      <c r="U215" s="2567"/>
      <c r="V215" s="2567"/>
      <c r="W215" s="2567"/>
      <c r="X215" s="2567"/>
      <c r="Y215" s="2567"/>
      <c r="Z215" s="2567"/>
      <c r="AA215" s="2567"/>
      <c r="AB215" s="53"/>
      <c r="AC215" s="53"/>
      <c r="AD215" s="53"/>
      <c r="AE215" s="53"/>
      <c r="CA215" s="2568" t="str">
        <f t="shared" si="81"/>
        <v/>
      </c>
      <c r="CB215" s="2568" t="str">
        <f t="shared" si="82"/>
        <v/>
      </c>
      <c r="CC215" s="2568" t="str">
        <f t="shared" si="83"/>
        <v/>
      </c>
      <c r="CD215" s="2568" t="str">
        <f t="shared" si="84"/>
        <v/>
      </c>
      <c r="CM215" s="2569">
        <f t="shared" si="85"/>
        <v>0</v>
      </c>
      <c r="CN215" s="2569">
        <f t="shared" si="86"/>
        <v>0</v>
      </c>
      <c r="CO215" s="2569">
        <f t="shared" si="87"/>
        <v>0</v>
      </c>
      <c r="CP215" s="2569">
        <f t="shared" si="88"/>
        <v>0</v>
      </c>
    </row>
    <row r="232" spans="1:13" hidden="1">
      <c r="A232" s="2829">
        <f>SUM(B12:B15,B20:B25,B41:B46,B67,B101,C106:C113,D116:D118,C123:C125,C129:C130,B135,C135,D136,E136,C141:C142,B158,C161:D161,C165:C166,C169:C174,C178:C183,B188:B191,C195:C196,B199:B200,B205,B210)</f>
        <v>0</v>
      </c>
      <c r="B232" s="2829" t="e">
        <f>SUM(#REF!)</f>
        <v>#REF!</v>
      </c>
      <c r="C232" s="2829"/>
      <c r="D232" s="2829"/>
      <c r="E232" s="2829"/>
      <c r="F232" s="2829"/>
      <c r="G232" s="2829"/>
      <c r="H232" s="2829"/>
      <c r="I232" s="2829"/>
      <c r="J232" s="2829"/>
      <c r="K232" s="2829"/>
      <c r="L232" s="2829"/>
      <c r="M232" s="2829"/>
    </row>
    <row r="248" spans="1:2" ht="15" hidden="1">
      <c r="A248" s="2830">
        <f>SUM(B12:B15,B20:B26,B31:B36,B41:B46,B51:B56,B61:B66,B72:B77,B81:B100,C107:C113,D116:D118,C123:C125,C129:C131,C141:C142,B146:B157,C161:D161,C165:C166,C169:F174,C178:C183,B188:B191,C195:C196,B199:B200,B205,B211:B215)</f>
        <v>0</v>
      </c>
      <c r="B248" s="2831">
        <f>SUM(CM12:CS215)</f>
        <v>0</v>
      </c>
    </row>
  </sheetData>
  <sheetProtection algorithmName="SHA-512" hashValue="qQ+9ek1tzEqOpNLuAJACwiP4ko8CcjEt2fzTO7TzXTBC4GrGmkah2OCUhF0O7IWWNcW5p1UtXYsZdT2LU2BXVQ==" saltValue="7iaAwVEG87cGE9X6oFw27Q==" spinCount="100000" sheet="1" objects="1" scenarios="1"/>
  <mergeCells count="351">
    <mergeCell ref="AO48:AO50"/>
    <mergeCell ref="AV18:AW18"/>
    <mergeCell ref="AS17:AW17"/>
    <mergeCell ref="AT18:AU18"/>
    <mergeCell ref="AX17:AX19"/>
    <mergeCell ref="AS18:AS19"/>
    <mergeCell ref="A6:O6"/>
    <mergeCell ref="A9:A11"/>
    <mergeCell ref="B9:D10"/>
    <mergeCell ref="E9:AL9"/>
    <mergeCell ref="W10:X10"/>
    <mergeCell ref="Y10:Z10"/>
    <mergeCell ref="AA10:AB10"/>
    <mergeCell ref="AP10:AP11"/>
    <mergeCell ref="AQ10:AQ11"/>
    <mergeCell ref="AR9:AR11"/>
    <mergeCell ref="AS9:AS11"/>
    <mergeCell ref="E10:F10"/>
    <mergeCell ref="G10:H10"/>
    <mergeCell ref="I10:J10"/>
    <mergeCell ref="K10:L10"/>
    <mergeCell ref="M10:N10"/>
    <mergeCell ref="O10:P10"/>
    <mergeCell ref="Q10:R10"/>
    <mergeCell ref="S10:T10"/>
    <mergeCell ref="U10:V10"/>
    <mergeCell ref="A27:H27"/>
    <mergeCell ref="A17:A19"/>
    <mergeCell ref="B17:D18"/>
    <mergeCell ref="E17:AL17"/>
    <mergeCell ref="AM9:AM11"/>
    <mergeCell ref="AN9:AQ9"/>
    <mergeCell ref="AC10:AD10"/>
    <mergeCell ref="AE10:AF10"/>
    <mergeCell ref="AG10:AH10"/>
    <mergeCell ref="AI10:AJ10"/>
    <mergeCell ref="AK10:AL10"/>
    <mergeCell ref="AN10:AN11"/>
    <mergeCell ref="AO10:AO11"/>
    <mergeCell ref="AM17:AM19"/>
    <mergeCell ref="AN17:AN19"/>
    <mergeCell ref="AO17:AO19"/>
    <mergeCell ref="AP17:AP19"/>
    <mergeCell ref="AQ17:AQ19"/>
    <mergeCell ref="A28:A30"/>
    <mergeCell ref="B28:D29"/>
    <mergeCell ref="E28:AL28"/>
    <mergeCell ref="AM28:AM30"/>
    <mergeCell ref="AN28:AN30"/>
    <mergeCell ref="E29:F29"/>
    <mergeCell ref="G29:H29"/>
    <mergeCell ref="I29:J29"/>
    <mergeCell ref="K29:L29"/>
    <mergeCell ref="M29:N29"/>
    <mergeCell ref="AA29:AB29"/>
    <mergeCell ref="AC29:AD29"/>
    <mergeCell ref="AE29:AF29"/>
    <mergeCell ref="AG29:AH29"/>
    <mergeCell ref="AI29:AJ29"/>
    <mergeCell ref="AK29:AL29"/>
    <mergeCell ref="O29:P29"/>
    <mergeCell ref="Q29:R29"/>
    <mergeCell ref="S29:T29"/>
    <mergeCell ref="U29:V29"/>
    <mergeCell ref="W29:X29"/>
    <mergeCell ref="Y29:Z29"/>
    <mergeCell ref="A38:A40"/>
    <mergeCell ref="B38:D39"/>
    <mergeCell ref="E38:AL38"/>
    <mergeCell ref="AM38:AM40"/>
    <mergeCell ref="AN38:AN40"/>
    <mergeCell ref="E39:F39"/>
    <mergeCell ref="G39:H39"/>
    <mergeCell ref="I39:J39"/>
    <mergeCell ref="K39:L39"/>
    <mergeCell ref="M39:N39"/>
    <mergeCell ref="AA39:AB39"/>
    <mergeCell ref="AC39:AD39"/>
    <mergeCell ref="AE39:AF39"/>
    <mergeCell ref="AG39:AH39"/>
    <mergeCell ref="AI39:AJ39"/>
    <mergeCell ref="AK39:AL39"/>
    <mergeCell ref="O39:P39"/>
    <mergeCell ref="Q39:R39"/>
    <mergeCell ref="S39:T39"/>
    <mergeCell ref="U39:V39"/>
    <mergeCell ref="W39:X39"/>
    <mergeCell ref="Y39:Z39"/>
    <mergeCell ref="A48:A50"/>
    <mergeCell ref="B48:D49"/>
    <mergeCell ref="E48:AL48"/>
    <mergeCell ref="AM48:AM50"/>
    <mergeCell ref="AN48:AN50"/>
    <mergeCell ref="E49:F49"/>
    <mergeCell ref="G49:H49"/>
    <mergeCell ref="I49:J49"/>
    <mergeCell ref="K49:L49"/>
    <mergeCell ref="M49:N49"/>
    <mergeCell ref="AM58:AN59"/>
    <mergeCell ref="E59:F59"/>
    <mergeCell ref="G59:H59"/>
    <mergeCell ref="I59:J59"/>
    <mergeCell ref="K59:L59"/>
    <mergeCell ref="M59:N59"/>
    <mergeCell ref="O59:P59"/>
    <mergeCell ref="AA49:AB49"/>
    <mergeCell ref="AC49:AD49"/>
    <mergeCell ref="AE49:AF49"/>
    <mergeCell ref="AG49:AH49"/>
    <mergeCell ref="AI49:AJ49"/>
    <mergeCell ref="AK49:AL49"/>
    <mergeCell ref="O49:P49"/>
    <mergeCell ref="Q49:R49"/>
    <mergeCell ref="S49:T49"/>
    <mergeCell ref="U49:V49"/>
    <mergeCell ref="W49:X49"/>
    <mergeCell ref="Y49:Z49"/>
    <mergeCell ref="AC59:AD59"/>
    <mergeCell ref="AE59:AF59"/>
    <mergeCell ref="AG59:AH59"/>
    <mergeCell ref="AI59:AJ59"/>
    <mergeCell ref="Q59:R59"/>
    <mergeCell ref="S59:T59"/>
    <mergeCell ref="U59:V59"/>
    <mergeCell ref="W59:X59"/>
    <mergeCell ref="Y59:Z59"/>
    <mergeCell ref="AA59:AB59"/>
    <mergeCell ref="A58:A60"/>
    <mergeCell ref="B58:D59"/>
    <mergeCell ref="E58:AL58"/>
    <mergeCell ref="AK59:AL59"/>
    <mergeCell ref="A116:B118"/>
    <mergeCell ref="A119:K119"/>
    <mergeCell ref="A113:B113"/>
    <mergeCell ref="A112:B112"/>
    <mergeCell ref="A110:B110"/>
    <mergeCell ref="A111:B111"/>
    <mergeCell ref="A115:C115"/>
    <mergeCell ref="A103:B105"/>
    <mergeCell ref="C103:E104"/>
    <mergeCell ref="F103:AM103"/>
    <mergeCell ref="A106:B106"/>
    <mergeCell ref="A107:A109"/>
    <mergeCell ref="A120:B122"/>
    <mergeCell ref="C120:E121"/>
    <mergeCell ref="F120:AM120"/>
    <mergeCell ref="A123:B123"/>
    <mergeCell ref="A124:B124"/>
    <mergeCell ref="A125:B125"/>
    <mergeCell ref="A127:B128"/>
    <mergeCell ref="C127:E127"/>
    <mergeCell ref="F127:G127"/>
    <mergeCell ref="H127:I127"/>
    <mergeCell ref="J127:K127"/>
    <mergeCell ref="L127:M127"/>
    <mergeCell ref="N127:O127"/>
    <mergeCell ref="F121:G121"/>
    <mergeCell ref="AH127:AH128"/>
    <mergeCell ref="AI127:AI128"/>
    <mergeCell ref="AJ127:AJ128"/>
    <mergeCell ref="AK127:AK128"/>
    <mergeCell ref="AE127:AE128"/>
    <mergeCell ref="AF127:AF128"/>
    <mergeCell ref="AG127:AG128"/>
    <mergeCell ref="P127:Q127"/>
    <mergeCell ref="R127:S127"/>
    <mergeCell ref="T127:U127"/>
    <mergeCell ref="AR17:AR19"/>
    <mergeCell ref="E18:F18"/>
    <mergeCell ref="G18:H18"/>
    <mergeCell ref="I18:J18"/>
    <mergeCell ref="K18:L18"/>
    <mergeCell ref="M18:N18"/>
    <mergeCell ref="O18:P18"/>
    <mergeCell ref="Q18:R18"/>
    <mergeCell ref="S18:T18"/>
    <mergeCell ref="U18:V18"/>
    <mergeCell ref="W18:X18"/>
    <mergeCell ref="Y18:Z18"/>
    <mergeCell ref="AA18:AB18"/>
    <mergeCell ref="AC18:AD18"/>
    <mergeCell ref="AE18:AF18"/>
    <mergeCell ref="AG18:AH18"/>
    <mergeCell ref="AI18:AJ18"/>
    <mergeCell ref="AK18:AL18"/>
    <mergeCell ref="A69:A71"/>
    <mergeCell ref="B69:D70"/>
    <mergeCell ref="E69:AL69"/>
    <mergeCell ref="E70:F70"/>
    <mergeCell ref="G70:H70"/>
    <mergeCell ref="I70:J70"/>
    <mergeCell ref="K70:L70"/>
    <mergeCell ref="M70:N70"/>
    <mergeCell ref="O70:P70"/>
    <mergeCell ref="Q70:R70"/>
    <mergeCell ref="S70:T70"/>
    <mergeCell ref="U70:V70"/>
    <mergeCell ref="W70:X70"/>
    <mergeCell ref="Y70:Z70"/>
    <mergeCell ref="AA70:AB70"/>
    <mergeCell ref="AC70:AD70"/>
    <mergeCell ref="AE70:AF70"/>
    <mergeCell ref="AG70:AH70"/>
    <mergeCell ref="AI70:AJ70"/>
    <mergeCell ref="AK70:AL70"/>
    <mergeCell ref="AN103:AN105"/>
    <mergeCell ref="AO103:AO105"/>
    <mergeCell ref="F104:G104"/>
    <mergeCell ref="H104:I104"/>
    <mergeCell ref="J104:K104"/>
    <mergeCell ref="L104:M104"/>
    <mergeCell ref="N104:O104"/>
    <mergeCell ref="P104:Q104"/>
    <mergeCell ref="R104:S104"/>
    <mergeCell ref="T104:U104"/>
    <mergeCell ref="V104:W104"/>
    <mergeCell ref="X104:Y104"/>
    <mergeCell ref="Z104:AA104"/>
    <mergeCell ref="AB104:AC104"/>
    <mergeCell ref="AD104:AE104"/>
    <mergeCell ref="AF104:AG104"/>
    <mergeCell ref="AH104:AI104"/>
    <mergeCell ref="AJ104:AK104"/>
    <mergeCell ref="AL104:AM104"/>
    <mergeCell ref="AN120:AN122"/>
    <mergeCell ref="H121:I121"/>
    <mergeCell ref="J121:K121"/>
    <mergeCell ref="L121:M121"/>
    <mergeCell ref="N121:O121"/>
    <mergeCell ref="P121:Q121"/>
    <mergeCell ref="R121:S121"/>
    <mergeCell ref="T121:U121"/>
    <mergeCell ref="V121:W121"/>
    <mergeCell ref="X121:Y121"/>
    <mergeCell ref="Z121:AA121"/>
    <mergeCell ref="AB121:AC121"/>
    <mergeCell ref="AD121:AE121"/>
    <mergeCell ref="AF121:AG121"/>
    <mergeCell ref="AH121:AI121"/>
    <mergeCell ref="AJ121:AK121"/>
    <mergeCell ref="AL121:AM121"/>
    <mergeCell ref="V127:W127"/>
    <mergeCell ref="X127:Y127"/>
    <mergeCell ref="Z127:AD127"/>
    <mergeCell ref="A129:B129"/>
    <mergeCell ref="A130:B130"/>
    <mergeCell ref="A131:B131"/>
    <mergeCell ref="A160:B160"/>
    <mergeCell ref="A163:B164"/>
    <mergeCell ref="C163:E163"/>
    <mergeCell ref="F163:F164"/>
    <mergeCell ref="G163:I163"/>
    <mergeCell ref="J163:L163"/>
    <mergeCell ref="M163:O163"/>
    <mergeCell ref="A139:B140"/>
    <mergeCell ref="C139:C140"/>
    <mergeCell ref="D139:I139"/>
    <mergeCell ref="J139:J140"/>
    <mergeCell ref="A141:A142"/>
    <mergeCell ref="A144:A145"/>
    <mergeCell ref="B144:B145"/>
    <mergeCell ref="A133:A134"/>
    <mergeCell ref="B133:E133"/>
    <mergeCell ref="F133:G133"/>
    <mergeCell ref="A169:A170"/>
    <mergeCell ref="A172:A174"/>
    <mergeCell ref="A176:B177"/>
    <mergeCell ref="C176:E176"/>
    <mergeCell ref="F176:F177"/>
    <mergeCell ref="G176:G177"/>
    <mergeCell ref="H176:H177"/>
    <mergeCell ref="A165:A166"/>
    <mergeCell ref="A168:B168"/>
    <mergeCell ref="P193:Q193"/>
    <mergeCell ref="R193:S193"/>
    <mergeCell ref="T193:U193"/>
    <mergeCell ref="A185:A187"/>
    <mergeCell ref="B185:D186"/>
    <mergeCell ref="E185:AL185"/>
    <mergeCell ref="E186:F186"/>
    <mergeCell ref="G186:H186"/>
    <mergeCell ref="I186:J186"/>
    <mergeCell ref="K186:L186"/>
    <mergeCell ref="M186:N186"/>
    <mergeCell ref="O186:P186"/>
    <mergeCell ref="Q186:R186"/>
    <mergeCell ref="S186:T186"/>
    <mergeCell ref="U186:V186"/>
    <mergeCell ref="W186:X186"/>
    <mergeCell ref="Y186:Z186"/>
    <mergeCell ref="AA186:AB186"/>
    <mergeCell ref="AC186:AD186"/>
    <mergeCell ref="AE186:AF186"/>
    <mergeCell ref="AG186:AH186"/>
    <mergeCell ref="A193:B194"/>
    <mergeCell ref="AI186:AJ186"/>
    <mergeCell ref="AK186:AL186"/>
    <mergeCell ref="AI193:AI194"/>
    <mergeCell ref="AJ193:AJ194"/>
    <mergeCell ref="AK193:AK194"/>
    <mergeCell ref="AL193:AL194"/>
    <mergeCell ref="AM193:AM194"/>
    <mergeCell ref="A195:A196"/>
    <mergeCell ref="A202:A204"/>
    <mergeCell ref="B202:D203"/>
    <mergeCell ref="AK202:AL203"/>
    <mergeCell ref="V193:V194"/>
    <mergeCell ref="W193:W194"/>
    <mergeCell ref="X193:X194"/>
    <mergeCell ref="Y193:Y194"/>
    <mergeCell ref="Z193:Z194"/>
    <mergeCell ref="AA193:AA194"/>
    <mergeCell ref="AB193:AE193"/>
    <mergeCell ref="AF193:AG193"/>
    <mergeCell ref="AH193:AH194"/>
    <mergeCell ref="C193:E193"/>
    <mergeCell ref="F193:G193"/>
    <mergeCell ref="H193:I193"/>
    <mergeCell ref="J193:K193"/>
    <mergeCell ref="AM202:AM204"/>
    <mergeCell ref="L193:M193"/>
    <mergeCell ref="AN202:AN204"/>
    <mergeCell ref="E203:F203"/>
    <mergeCell ref="G203:H203"/>
    <mergeCell ref="I203:J203"/>
    <mergeCell ref="K203:L203"/>
    <mergeCell ref="M203:N203"/>
    <mergeCell ref="O203:P203"/>
    <mergeCell ref="Q203:R203"/>
    <mergeCell ref="S203:T203"/>
    <mergeCell ref="U203:V203"/>
    <mergeCell ref="W203:X203"/>
    <mergeCell ref="Y203:Z203"/>
    <mergeCell ref="AA203:AB203"/>
    <mergeCell ref="AC203:AD203"/>
    <mergeCell ref="AE203:AF203"/>
    <mergeCell ref="AG203:AH203"/>
    <mergeCell ref="AI203:AJ203"/>
    <mergeCell ref="E202:AJ202"/>
    <mergeCell ref="A178:A180"/>
    <mergeCell ref="A181:A183"/>
    <mergeCell ref="N193:O193"/>
    <mergeCell ref="A207:A210"/>
    <mergeCell ref="B207:D208"/>
    <mergeCell ref="E207:L207"/>
    <mergeCell ref="M207:N208"/>
    <mergeCell ref="O207:O209"/>
    <mergeCell ref="E208:F208"/>
    <mergeCell ref="G208:H208"/>
    <mergeCell ref="I208:J208"/>
    <mergeCell ref="K208:L208"/>
  </mergeCells>
  <dataValidations count="10">
    <dataValidation operator="greaterThanOrEqual" allowBlank="1" showInputMessage="1" showErrorMessage="1" errorTitle="Error" error="Favor Ingrese sólo Números." sqref="AO31:AO36" xr:uid="{00000000-0002-0000-0800-000000000000}"/>
    <dataValidation type="whole" operator="greaterThanOrEqual" allowBlank="1" showInputMessage="1" showErrorMessage="1" errorTitle="Error" error="Favor Ingrese sólo Números." sqref="E211:O215 E72:AL77 F129:AK131 F123:AN125 D165:O166 F195:AM196 C161:D161 E205:AN205 C81:E100 E43:AM46 AO27:AO30 D116:D118 D178:H183 D141:J142 B146:B157 AP27:AP36 AN41:AN46 AO51:AO56 E53:AN56" xr:uid="{00A4002E-0085-4385-8C93-00A800130084}">
      <formula1>0</formula1>
    </dataValidation>
    <dataValidation type="whole" allowBlank="1" showInputMessage="1" showErrorMessage="1" sqref="E31:AM32 E41:AM42 AN12:AS14 E51:AN52 E20:AS26 AT21:AX26 E12:AM15" xr:uid="{00ED0077-003E-48D6-90AB-00D5007100A3}">
      <formula1>0</formula1>
      <formula2>9.99999999999999E+40</formula2>
    </dataValidation>
    <dataValidation type="whole" allowBlank="1" showInputMessage="1" showErrorMessage="1" sqref="C199:D200 AN31:AN36 E33:AM36" xr:uid="{00F20078-00A1-4F31-92C7-00E3000200DE}">
      <formula1>0</formula1>
      <formula2>9.99999999999999E+41</formula2>
    </dataValidation>
    <dataValidation type="whole" allowBlank="1" showInputMessage="1" showErrorMessage="1" sqref="E61:AN66" xr:uid="{003B0083-00BC-46BA-9305-00F200380038}">
      <formula1>0</formula1>
      <formula2>9.99999999999999E+46</formula2>
    </dataValidation>
    <dataValidation type="whole" allowBlank="1" showInputMessage="1" showErrorMessage="1" sqref="F107:AO113" xr:uid="{00850030-0032-47BC-A977-002600DE0099}">
      <formula1>0</formula1>
      <formula2>9.99999999999999E+33</formula2>
    </dataValidation>
    <dataValidation type="whole" allowBlank="1" showInputMessage="1" showErrorMessage="1" sqref="B135:G137" xr:uid="{004000D8-00BC-4D23-92A3-00270091004C}">
      <formula1>0</formula1>
      <formula2>9.99999999999999E+32</formula2>
    </dataValidation>
    <dataValidation type="whole" allowBlank="1" showInputMessage="1" showErrorMessage="1" sqref="C169:F174" xr:uid="{000F001B-00A3-4F01-8C04-00A400410081}">
      <formula1>0</formula1>
      <formula2>9.99999999999999E+35</formula2>
    </dataValidation>
    <dataValidation type="whole" allowBlank="1" showInputMessage="1" showErrorMessage="1" sqref="E188:AL191" xr:uid="{004B005A-0047-4D0D-8086-00CC00B500CC}">
      <formula1>0</formula1>
      <formula2>9.99999999999999E+37</formula2>
    </dataValidation>
    <dataValidation type="whole" operator="greaterThanOrEqual" allowBlank="1" showInputMessage="1" showErrorMessage="1" sqref="AN15:AS15 AT20:AX20" xr:uid="{0081003E-009B-491F-850E-00D3000400A5}">
      <formula1>0</formula1>
    </dataValidation>
  </dataValidations>
  <pageMargins left="0.7" right="0.7" top="0.75" bottom="0.75" header="0.3" footer="0.3"/>
  <pageSetup paperSize="9" orientation="portrait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Hoja10"/>
  <dimension ref="A1:EI385"/>
  <sheetViews>
    <sheetView showGridLines="0" workbookViewId="0"/>
  </sheetViews>
  <sheetFormatPr baseColWidth="10" defaultColWidth="11.42578125" defaultRowHeight="15"/>
  <cols>
    <col min="1" max="1" width="38.5703125" customWidth="1"/>
    <col min="2" max="2" width="27.28515625" customWidth="1"/>
    <col min="3" max="3" width="33.7109375" customWidth="1"/>
    <col min="4" max="4" width="14.140625" customWidth="1"/>
    <col min="5" max="6" width="13.28515625" customWidth="1"/>
    <col min="7" max="7" width="14.42578125" customWidth="1"/>
    <col min="8" max="8" width="13.28515625" customWidth="1"/>
    <col min="9" max="11" width="14.7109375" customWidth="1"/>
    <col min="12" max="13" width="11.42578125" customWidth="1"/>
    <col min="14" max="14" width="11.7109375" customWidth="1"/>
    <col min="15" max="40" width="11.42578125" customWidth="1"/>
    <col min="41" max="41" width="12.42578125" customWidth="1"/>
    <col min="42" max="42" width="12.140625" customWidth="1"/>
    <col min="43" max="43" width="13.7109375" customWidth="1"/>
    <col min="44" max="44" width="13.28515625" customWidth="1"/>
    <col min="45" max="45" width="14.28515625" customWidth="1"/>
    <col min="46" max="46" width="11.85546875" customWidth="1"/>
    <col min="47" max="47" width="12" customWidth="1"/>
    <col min="48" max="48" width="16.140625" customWidth="1"/>
    <col min="49" max="50" width="13.140625" customWidth="1"/>
    <col min="51" max="76" width="11.42578125" customWidth="1"/>
    <col min="77" max="77" width="105.7109375" hidden="1" customWidth="1"/>
    <col min="78" max="78" width="11.5703125" customWidth="1"/>
    <col min="79" max="104" width="11.42578125" style="2832" hidden="1" customWidth="1"/>
    <col min="105" max="109" width="11.42578125" hidden="1" customWidth="1"/>
    <col min="110" max="121" width="11.42578125" customWidth="1"/>
    <col min="130" max="130" width="10.140625" customWidth="1"/>
    <col min="136" max="169" width="11.42578125" customWidth="1"/>
  </cols>
  <sheetData>
    <row r="1" spans="1:139">
      <c r="A1" s="378" t="s">
        <v>37</v>
      </c>
    </row>
    <row r="2" spans="1:139">
      <c r="A2" s="378" t="str">
        <f>CONCATENATE("COMUNA: ",NOMBRE!B2, " (",NOMBRE!C2,NOMBRE!D2,NOMBRE!E2,NOMBRE!F2,NOMBRE!G2,")")</f>
        <v>COMUNA: MAIPU (13119)</v>
      </c>
    </row>
    <row r="3" spans="1:139">
      <c r="A3" s="378" t="str">
        <f>CONCATENATE("ESTABLECIMIENTO/ESTRATEGIA: ", NOMBRE!B3, " (",NOMBRE!C3,NOMBRE!D3,NOMBRE!E3,NOMBRE!F3,NOMBRE!G3,NOMBRE!H3,")")</f>
        <v>ESTABLECIMIENTO/ESTRATEGIA: CESFAM DR. CARLOS GODOY (111380)</v>
      </c>
    </row>
    <row r="4" spans="1:139">
      <c r="A4" s="378" t="str">
        <f>CONCATENATE("MES: ",NOMBRE!B6, " (",NOMBRE!C6,NOMBRE!D6,")")</f>
        <v>MES: MARZO (03)</v>
      </c>
    </row>
    <row r="5" spans="1:139">
      <c r="A5" s="378" t="str">
        <f>CONCATENATE("AÑO: ",NOMBRE!B7)</f>
        <v>AÑO: 2026</v>
      </c>
    </row>
    <row r="6" spans="1:139" s="379" customFormat="1" ht="18" customHeight="1">
      <c r="A6" s="6227" t="s">
        <v>1636</v>
      </c>
      <c r="B6" s="6227"/>
      <c r="C6" s="6227"/>
      <c r="D6" s="6227"/>
      <c r="E6" s="6227"/>
      <c r="F6" s="6227"/>
      <c r="G6" s="6227"/>
      <c r="H6" s="6227"/>
      <c r="I6" s="6227"/>
      <c r="J6" s="6227"/>
      <c r="K6" s="6227"/>
      <c r="L6" s="6227"/>
      <c r="M6" s="6227"/>
      <c r="N6" s="6227"/>
      <c r="O6" s="6227"/>
      <c r="P6" s="6227"/>
      <c r="Q6" s="2833"/>
      <c r="R6" s="2833"/>
      <c r="S6" s="2833"/>
      <c r="T6" s="2833"/>
      <c r="U6" s="2833"/>
      <c r="V6" s="2833"/>
      <c r="W6" s="2833"/>
      <c r="X6" s="2833"/>
      <c r="Y6" s="2833"/>
      <c r="Z6" s="2833"/>
      <c r="AA6" s="2833"/>
      <c r="AB6" s="2833"/>
      <c r="AC6" s="2833"/>
      <c r="AD6" s="2833"/>
      <c r="AE6" s="2833"/>
      <c r="AF6" s="2833"/>
      <c r="AG6" s="2833"/>
      <c r="AH6" s="2833"/>
      <c r="AI6" s="2833"/>
      <c r="AJ6" s="2833"/>
      <c r="AK6" s="2833"/>
      <c r="AL6" s="2833"/>
      <c r="AM6" s="2833"/>
      <c r="AN6" s="2833"/>
      <c r="AO6" s="2833"/>
      <c r="AP6" s="2833"/>
      <c r="AQ6" s="2833"/>
      <c r="AR6" s="2833"/>
      <c r="AS6" s="2833"/>
      <c r="AT6" s="2833"/>
      <c r="AU6" s="2833"/>
      <c r="AV6" s="2833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 s="2832"/>
      <c r="CB6" s="2832"/>
      <c r="CC6" s="2832"/>
      <c r="CD6" s="2832"/>
      <c r="CE6" s="2832"/>
      <c r="CF6" s="2832"/>
      <c r="CG6" s="2832"/>
      <c r="CH6" s="2832"/>
      <c r="CI6" s="2832"/>
      <c r="CJ6" s="2832"/>
      <c r="CK6" s="2832"/>
      <c r="CL6" s="2832"/>
      <c r="CM6" s="2832"/>
      <c r="CN6" s="2832"/>
      <c r="CO6" s="2832"/>
      <c r="CP6" s="2832"/>
      <c r="CQ6" s="2832"/>
      <c r="CR6" s="2832"/>
      <c r="CS6" s="2832"/>
      <c r="CT6" s="2832"/>
      <c r="CU6" s="2832"/>
      <c r="CV6" s="2832"/>
      <c r="CW6" s="2832"/>
      <c r="CX6" s="2832"/>
      <c r="CY6" s="2832"/>
      <c r="CZ6" s="2832"/>
      <c r="DA6"/>
      <c r="DB6"/>
      <c r="DC6"/>
      <c r="DD6"/>
      <c r="DE6"/>
      <c r="DF6"/>
      <c r="DG6"/>
      <c r="DH6"/>
      <c r="DI6"/>
      <c r="DJ6"/>
      <c r="DK6"/>
      <c r="DL6"/>
      <c r="DM6"/>
      <c r="DN6"/>
      <c r="DO6"/>
      <c r="DP6"/>
      <c r="DQ6"/>
      <c r="DR6" s="6713"/>
      <c r="DS6" s="6713"/>
      <c r="DT6" s="6713"/>
      <c r="DU6" s="6713"/>
      <c r="DV6" s="6713"/>
      <c r="DW6" s="6713"/>
      <c r="DX6" s="6713"/>
      <c r="DY6" s="6713"/>
      <c r="DZ6" s="6713"/>
      <c r="EA6" s="6713"/>
      <c r="EB6" s="6713"/>
      <c r="EC6" s="6713"/>
      <c r="ED6" s="6713"/>
      <c r="EE6" s="6713"/>
      <c r="EF6" s="6713"/>
      <c r="EG6" s="6713"/>
      <c r="EH6" s="6713"/>
      <c r="EI6" s="6713"/>
    </row>
    <row r="8" spans="1:139" ht="18" customHeight="1">
      <c r="A8" s="2101" t="s">
        <v>1637</v>
      </c>
      <c r="B8" s="2834"/>
      <c r="C8" s="2834"/>
      <c r="D8" s="2835"/>
      <c r="E8" s="2835"/>
      <c r="F8" s="2836"/>
      <c r="G8" s="379"/>
      <c r="H8" s="2836"/>
      <c r="I8" s="2836"/>
      <c r="J8" s="2836"/>
      <c r="K8" s="2836"/>
      <c r="L8" s="2836"/>
      <c r="M8" s="2836"/>
      <c r="N8" s="2836"/>
      <c r="O8" s="2836"/>
      <c r="P8" s="379"/>
      <c r="Q8" s="383"/>
      <c r="R8" s="383"/>
      <c r="S8" s="383"/>
      <c r="T8" s="383"/>
      <c r="U8" s="383"/>
      <c r="V8" s="383"/>
      <c r="W8" s="383"/>
      <c r="X8" s="383"/>
      <c r="Y8" s="383"/>
      <c r="Z8" s="383"/>
      <c r="AA8" s="383"/>
      <c r="AB8" s="383"/>
      <c r="AC8" s="383"/>
      <c r="AD8" s="383"/>
      <c r="AE8" s="383"/>
      <c r="AF8" s="383"/>
      <c r="AG8" s="383"/>
      <c r="AH8" s="456"/>
      <c r="AI8" s="456"/>
      <c r="AJ8" s="456"/>
      <c r="AK8" s="456"/>
      <c r="AL8" s="456"/>
      <c r="AM8" s="456"/>
      <c r="AN8" s="456"/>
      <c r="AO8" s="456"/>
      <c r="AP8" s="456"/>
      <c r="AQ8" s="456"/>
      <c r="AR8" s="456"/>
      <c r="AS8" s="456"/>
      <c r="AT8" s="456"/>
      <c r="AU8" s="456"/>
      <c r="AV8" s="456"/>
      <c r="AW8" s="456"/>
      <c r="AX8" s="383"/>
    </row>
    <row r="9" spans="1:139" ht="15" customHeight="1">
      <c r="A9" s="6153" t="s">
        <v>1638</v>
      </c>
      <c r="B9" s="6153"/>
      <c r="C9" s="6154"/>
      <c r="D9" s="6139" t="s">
        <v>91</v>
      </c>
      <c r="E9" s="6139"/>
      <c r="F9" s="6119"/>
      <c r="G9" s="5710" t="s">
        <v>115</v>
      </c>
      <c r="H9" s="6106"/>
      <c r="I9" s="6106"/>
      <c r="J9" s="6106"/>
      <c r="K9" s="6106"/>
      <c r="L9" s="6106"/>
      <c r="M9" s="6106"/>
      <c r="N9" s="6106"/>
      <c r="O9" s="6106"/>
      <c r="P9" s="6106"/>
      <c r="Q9" s="6106"/>
      <c r="R9" s="6106"/>
      <c r="S9" s="6106"/>
      <c r="T9" s="6106"/>
      <c r="U9" s="6106"/>
      <c r="V9" s="6106"/>
      <c r="W9" s="6106"/>
      <c r="X9" s="6106"/>
      <c r="Y9" s="6106"/>
      <c r="Z9" s="6106"/>
      <c r="AA9" s="6106"/>
      <c r="AB9" s="6106"/>
      <c r="AC9" s="6106"/>
      <c r="AD9" s="6106"/>
      <c r="AE9" s="6106"/>
      <c r="AF9" s="6106"/>
      <c r="AG9" s="6106"/>
      <c r="AH9" s="6106"/>
      <c r="AI9" s="6106"/>
      <c r="AJ9" s="6106"/>
      <c r="AK9" s="6106"/>
      <c r="AL9" s="6106"/>
      <c r="AM9" s="6106"/>
      <c r="AN9" s="6106"/>
      <c r="AO9" s="6106"/>
      <c r="AP9" s="5716"/>
      <c r="AQ9" s="6203" t="s">
        <v>1639</v>
      </c>
      <c r="AR9" s="6135" t="s">
        <v>1640</v>
      </c>
      <c r="AS9" s="6135" t="s">
        <v>1641</v>
      </c>
      <c r="AT9" s="6135" t="s">
        <v>1642</v>
      </c>
      <c r="AU9" s="6135" t="s">
        <v>51</v>
      </c>
      <c r="AV9" s="6714" t="s">
        <v>1643</v>
      </c>
      <c r="AW9" s="6304" t="s">
        <v>48</v>
      </c>
      <c r="AX9" s="6119" t="s">
        <v>49</v>
      </c>
    </row>
    <row r="10" spans="1:139" ht="15" customHeight="1">
      <c r="A10" s="6578"/>
      <c r="B10" s="6578"/>
      <c r="C10" s="6448"/>
      <c r="D10" s="6115"/>
      <c r="E10" s="6115"/>
      <c r="F10" s="6116"/>
      <c r="G10" s="6586" t="s">
        <v>495</v>
      </c>
      <c r="H10" s="6575"/>
      <c r="I10" s="5710" t="s">
        <v>401</v>
      </c>
      <c r="J10" s="5712"/>
      <c r="K10" s="6106" t="s">
        <v>402</v>
      </c>
      <c r="L10" s="5712"/>
      <c r="M10" s="5710" t="s">
        <v>1644</v>
      </c>
      <c r="N10" s="5712"/>
      <c r="O10" s="5710" t="s">
        <v>404</v>
      </c>
      <c r="P10" s="5712"/>
      <c r="Q10" s="5710" t="s">
        <v>405</v>
      </c>
      <c r="R10" s="5712"/>
      <c r="S10" s="5710" t="s">
        <v>406</v>
      </c>
      <c r="T10" s="5712"/>
      <c r="U10" s="5710" t="s">
        <v>407</v>
      </c>
      <c r="V10" s="5712"/>
      <c r="W10" s="5710" t="s">
        <v>1645</v>
      </c>
      <c r="X10" s="5712"/>
      <c r="Y10" s="5710" t="s">
        <v>324</v>
      </c>
      <c r="Z10" s="5709"/>
      <c r="AA10" s="5710" t="s">
        <v>325</v>
      </c>
      <c r="AB10" s="5709"/>
      <c r="AC10" s="5710" t="s">
        <v>1646</v>
      </c>
      <c r="AD10" s="5709"/>
      <c r="AE10" s="5710" t="s">
        <v>1647</v>
      </c>
      <c r="AF10" s="5709"/>
      <c r="AG10" s="5710" t="s">
        <v>1648</v>
      </c>
      <c r="AH10" s="5709"/>
      <c r="AI10" s="5710" t="s">
        <v>1649</v>
      </c>
      <c r="AJ10" s="5709"/>
      <c r="AK10" s="5710" t="s">
        <v>1650</v>
      </c>
      <c r="AL10" s="5709"/>
      <c r="AM10" s="5710" t="s">
        <v>1651</v>
      </c>
      <c r="AN10" s="5709"/>
      <c r="AO10" s="5710" t="s">
        <v>966</v>
      </c>
      <c r="AP10" s="6147"/>
      <c r="AQ10" s="6268"/>
      <c r="AR10" s="6302"/>
      <c r="AS10" s="6302"/>
      <c r="AT10" s="6302"/>
      <c r="AU10" s="6302"/>
      <c r="AV10" s="6715"/>
      <c r="AW10" s="6305"/>
      <c r="AX10" s="6120"/>
    </row>
    <row r="11" spans="1:139" ht="36.75" customHeight="1">
      <c r="A11" s="6156"/>
      <c r="B11" s="6156"/>
      <c r="C11" s="6157"/>
      <c r="D11" s="396" t="s">
        <v>93</v>
      </c>
      <c r="E11" s="397" t="s">
        <v>72</v>
      </c>
      <c r="F11" s="393" t="s">
        <v>73</v>
      </c>
      <c r="G11" s="1395" t="s">
        <v>72</v>
      </c>
      <c r="H11" s="393" t="s">
        <v>73</v>
      </c>
      <c r="I11" s="1395" t="s">
        <v>72</v>
      </c>
      <c r="J11" s="393" t="s">
        <v>73</v>
      </c>
      <c r="K11" s="1395" t="s">
        <v>72</v>
      </c>
      <c r="L11" s="393" t="s">
        <v>73</v>
      </c>
      <c r="M11" s="1395" t="s">
        <v>72</v>
      </c>
      <c r="N11" s="393" t="s">
        <v>73</v>
      </c>
      <c r="O11" s="1395" t="s">
        <v>72</v>
      </c>
      <c r="P11" s="393" t="s">
        <v>73</v>
      </c>
      <c r="Q11" s="1395" t="s">
        <v>72</v>
      </c>
      <c r="R11" s="393" t="s">
        <v>73</v>
      </c>
      <c r="S11" s="1395" t="s">
        <v>72</v>
      </c>
      <c r="T11" s="393" t="s">
        <v>73</v>
      </c>
      <c r="U11" s="1395" t="s">
        <v>72</v>
      </c>
      <c r="V11" s="393" t="s">
        <v>73</v>
      </c>
      <c r="W11" s="1395" t="s">
        <v>72</v>
      </c>
      <c r="X11" s="393" t="s">
        <v>73</v>
      </c>
      <c r="Y11" s="1395" t="s">
        <v>72</v>
      </c>
      <c r="Z11" s="393" t="s">
        <v>73</v>
      </c>
      <c r="AA11" s="1395" t="s">
        <v>72</v>
      </c>
      <c r="AB11" s="393" t="s">
        <v>73</v>
      </c>
      <c r="AC11" s="1395" t="s">
        <v>72</v>
      </c>
      <c r="AD11" s="393" t="s">
        <v>73</v>
      </c>
      <c r="AE11" s="1395" t="s">
        <v>72</v>
      </c>
      <c r="AF11" s="393" t="s">
        <v>73</v>
      </c>
      <c r="AG11" s="1395" t="s">
        <v>72</v>
      </c>
      <c r="AH11" s="393" t="s">
        <v>73</v>
      </c>
      <c r="AI11" s="1395" t="s">
        <v>72</v>
      </c>
      <c r="AJ11" s="393" t="s">
        <v>73</v>
      </c>
      <c r="AK11" s="1395" t="s">
        <v>72</v>
      </c>
      <c r="AL11" s="393" t="s">
        <v>73</v>
      </c>
      <c r="AM11" s="1395" t="s">
        <v>72</v>
      </c>
      <c r="AN11" s="393" t="s">
        <v>73</v>
      </c>
      <c r="AO11" s="1395" t="s">
        <v>72</v>
      </c>
      <c r="AP11" s="394" t="s">
        <v>73</v>
      </c>
      <c r="AQ11" s="6204"/>
      <c r="AR11" s="6136"/>
      <c r="AS11" s="6136"/>
      <c r="AT11" s="6136"/>
      <c r="AU11" s="6136"/>
      <c r="AV11" s="6716"/>
      <c r="AW11" s="6306"/>
      <c r="AX11" s="6116"/>
    </row>
    <row r="12" spans="1:139" ht="15" customHeight="1">
      <c r="A12" s="6704" t="s">
        <v>1652</v>
      </c>
      <c r="B12" s="6705"/>
      <c r="C12" s="6237"/>
      <c r="D12" s="1687">
        <f t="shared" ref="D12:D38" si="0">SUM(E12+F12)</f>
        <v>0</v>
      </c>
      <c r="E12" s="2333">
        <f t="shared" ref="E12:F21" si="1">SUM(G12+I12+K12+M12+O12+Q12+S12+U12+W12+Y12+AA12+AC12+AE12+AG12+AI12+AK12+AM12+AO12)</f>
        <v>0</v>
      </c>
      <c r="F12" s="1689">
        <f>SUM(H12+J12+L12+N12+P12+R12+T12+V12+X12+Z12+AB12+AD12+AF12+AH12+AJ12+AL12+AN12+AP12)</f>
        <v>0</v>
      </c>
      <c r="G12" s="1480"/>
      <c r="H12" s="1545"/>
      <c r="I12" s="1480"/>
      <c r="J12" s="1545"/>
      <c r="K12" s="1480"/>
      <c r="L12" s="1545"/>
      <c r="M12" s="1480"/>
      <c r="N12" s="1545"/>
      <c r="O12" s="1480"/>
      <c r="P12" s="1545"/>
      <c r="Q12" s="1480"/>
      <c r="R12" s="1769"/>
      <c r="S12" s="1480"/>
      <c r="T12" s="1769"/>
      <c r="U12" s="1480"/>
      <c r="V12" s="1769"/>
      <c r="W12" s="1480"/>
      <c r="X12" s="1769"/>
      <c r="Y12" s="1480"/>
      <c r="Z12" s="1769"/>
      <c r="AA12" s="1480"/>
      <c r="AB12" s="1769"/>
      <c r="AC12" s="1480"/>
      <c r="AD12" s="1769"/>
      <c r="AE12" s="1480"/>
      <c r="AF12" s="1769"/>
      <c r="AG12" s="1480"/>
      <c r="AH12" s="1769"/>
      <c r="AI12" s="1480"/>
      <c r="AJ12" s="1769"/>
      <c r="AK12" s="1480"/>
      <c r="AL12" s="1769"/>
      <c r="AM12" s="1480"/>
      <c r="AN12" s="1769"/>
      <c r="AO12" s="1480"/>
      <c r="AP12" s="1481"/>
      <c r="AQ12" s="1754"/>
      <c r="AR12" s="1541"/>
      <c r="AS12" s="1541"/>
      <c r="AT12" s="1541"/>
      <c r="AU12" s="1541"/>
      <c r="AV12" s="1541"/>
      <c r="AW12" s="2840"/>
      <c r="AX12" s="1545"/>
      <c r="AY12" t="str">
        <f t="shared" ref="AY12:AY44" si="2">CA12&amp;CB12&amp;CC12&amp;CD12&amp;CE12&amp;CF12&amp;CG12&amp;CH12</f>
        <v/>
      </c>
      <c r="CA12" s="2841" t="str">
        <f t="shared" ref="CA12:CA17" si="3">IF(AND((Y12+Z12)&gt;0,AQ12="")," * No olvide digitar la variable 12 años (incluido en el grupo de 10-14 años). Digite Cero si no tiene.",IF(AQ12&gt;(Y12+Z12)," *Las Consultas de 12 años (incluido en el grupo de 10-14 años) NO DEBEN ser mayor que la sumatoria de Consultas entre 10-14 años",""))</f>
        <v/>
      </c>
      <c r="CB12" s="2841" t="str">
        <f t="shared" ref="CB12:CB17" si="4">IF(AND($F12&gt;0,AR12="")," *No olvide digitar la variable Gestante. Digite cero si no tiene.",IF(AR12&gt;$F12," *La variable Gestante NO DEBE ser mayor al Total de Mujeres. ",""))</f>
        <v/>
      </c>
      <c r="CC12" s="2841" t="str">
        <f t="shared" ref="CC12:CC17" si="5">IF(AND((AK12+AL12)&gt;0,AS12="")," *No olvide digitar la variable 60 años (incluido en grupos de 60-64 años). Digite Cero si no tiene.",IF(AS12&gt;(AK12+AL12)," *La variable 60 años (incluido en grupos de 60-64 años) NO DEBE ser mayor que la sumatoria de consultas del grupo 60-64 años",""))</f>
        <v/>
      </c>
      <c r="CD12" s="2841" t="str">
        <f t="shared" ref="CD12:CD17" si="6">IF(AND(D12&gt;0,AT12="")," *No olvide digitar la variable Usuarios con Discapacidad. Digite Cero si no tiene.",IF(AT12&gt;D12," *La variable Usuarios con Discapacidad No puede ser mayor al Total Ambos Sexos.",""))</f>
        <v/>
      </c>
      <c r="CE12" s="2841" t="str">
        <f t="shared" ref="CE12:CE17" si="7">IF(AND(D12&gt;0,AU12="")," *No olvide digitar la variable Migrantes. Digite Cero si no tiene.",IF(AU12&gt;$D12," *La variable Migrantes No puede ser mayor al Total Ambos Sexos.",""))</f>
        <v/>
      </c>
      <c r="CF12" s="2841" t="str">
        <f t="shared" ref="CF12:CF17" si="8">IF(AND($D12&gt;0,AV12="")," *No olvide digitar la variable Persona con ingreso integral y condición crónica. Digite Cero si no tiene.",IF(AV12&gt;$D12," *La variable Persona con ingreso integral y condición crónica No puede ser mayor al Total Ambos Sexos.",""))</f>
        <v/>
      </c>
      <c r="CG12" s="2841" t="str">
        <f t="shared" ref="CG12:CG17" si="9">IF(AND(D12&gt;0,AW12="")," * No olvide digitar la variable "&amp;AW$9&amp;". Digite Cero si no tiene.",IF(AW12&gt;D12," * La variable "&amp;AW$9&amp;" No puede ser mayor al Total Ambos Sexos.",""))</f>
        <v/>
      </c>
      <c r="CH12" s="2841" t="str">
        <f t="shared" ref="CH12:CH17" si="10">IF(AND($D12&gt;0,AX12="")," * No olvide digitar la variable "&amp;AX$9&amp;". Digite Cero si no tiene.",IF(AX12&gt;$D12," * La variable "&amp;AX$9&amp;" no puede ser mayor al Total Ambos Sexos.",""))</f>
        <v/>
      </c>
      <c r="CO12" s="2842">
        <f t="shared" ref="CO12:CO62" si="11">IF(AND((Y12+Z12)&gt;0,AQ12=""),1,IF(AQ12&gt;(Y12+Z12),1,0))</f>
        <v>0</v>
      </c>
      <c r="CP12" s="2842">
        <f t="shared" ref="CP12:CP66" si="12">IF(AND($F12&gt;0,AR12=""),1,IF(AR12&gt;$F12,1,0))</f>
        <v>0</v>
      </c>
      <c r="CQ12" s="2842">
        <f t="shared" ref="CQ12:CQ66" si="13">IF(AND((AK12+AL12)&gt;0,AS12=""),1,IF(AS12&gt;(AK12+AL12),1,0))</f>
        <v>0</v>
      </c>
      <c r="CR12" s="2842">
        <f t="shared" ref="CR12:CU17" si="14">IF(AND($D12&gt;0,AT12=""),1,IF(AT12&gt;$D12,1,0))</f>
        <v>0</v>
      </c>
      <c r="CS12" s="2842">
        <f t="shared" si="14"/>
        <v>0</v>
      </c>
      <c r="CT12" s="2842">
        <f t="shared" si="14"/>
        <v>0</v>
      </c>
      <c r="CU12" s="2842">
        <f t="shared" si="14"/>
        <v>0</v>
      </c>
      <c r="CV12" s="2842">
        <f t="shared" ref="CV12:CV66" si="15">IF(AND(D12&gt;0,AX12=""),1,IF(AX12&gt;D12,1,0))</f>
        <v>0</v>
      </c>
    </row>
    <row r="13" spans="1:139" ht="15" customHeight="1">
      <c r="A13" s="6706" t="s">
        <v>1653</v>
      </c>
      <c r="B13" s="6707"/>
      <c r="C13" s="6708"/>
      <c r="D13" s="408">
        <f t="shared" si="0"/>
        <v>0</v>
      </c>
      <c r="E13" s="421">
        <f t="shared" si="1"/>
        <v>0</v>
      </c>
      <c r="F13" s="1654">
        <f t="shared" si="1"/>
        <v>0</v>
      </c>
      <c r="G13" s="1440"/>
      <c r="H13" s="1452"/>
      <c r="I13" s="1440"/>
      <c r="J13" s="1452"/>
      <c r="K13" s="1440"/>
      <c r="L13" s="1452"/>
      <c r="M13" s="1440"/>
      <c r="N13" s="1452"/>
      <c r="O13" s="1440"/>
      <c r="P13" s="1452"/>
      <c r="Q13" s="1440"/>
      <c r="R13" s="1680"/>
      <c r="S13" s="1440"/>
      <c r="T13" s="1680"/>
      <c r="U13" s="1440"/>
      <c r="V13" s="1680"/>
      <c r="W13" s="1440"/>
      <c r="X13" s="1680"/>
      <c r="Y13" s="1440"/>
      <c r="Z13" s="1680"/>
      <c r="AA13" s="1440"/>
      <c r="AB13" s="1680"/>
      <c r="AC13" s="1440"/>
      <c r="AD13" s="1680"/>
      <c r="AE13" s="1440"/>
      <c r="AF13" s="1680"/>
      <c r="AG13" s="1440"/>
      <c r="AH13" s="1680"/>
      <c r="AI13" s="1440"/>
      <c r="AJ13" s="1680"/>
      <c r="AK13" s="1440"/>
      <c r="AL13" s="1680"/>
      <c r="AM13" s="1440"/>
      <c r="AN13" s="1680"/>
      <c r="AO13" s="1440"/>
      <c r="AP13" s="1444"/>
      <c r="AQ13" s="1709"/>
      <c r="AR13" s="1442"/>
      <c r="AS13" s="1442"/>
      <c r="AT13" s="1442"/>
      <c r="AU13" s="1442"/>
      <c r="AV13" s="1442"/>
      <c r="AW13" s="2281"/>
      <c r="AX13" s="1452"/>
      <c r="AY13" t="str">
        <f t="shared" si="2"/>
        <v/>
      </c>
      <c r="CA13" s="2841" t="str">
        <f t="shared" si="3"/>
        <v/>
      </c>
      <c r="CB13" s="2841" t="str">
        <f t="shared" si="4"/>
        <v/>
      </c>
      <c r="CC13" s="2841" t="str">
        <f t="shared" si="5"/>
        <v/>
      </c>
      <c r="CD13" s="2841" t="str">
        <f t="shared" si="6"/>
        <v/>
      </c>
      <c r="CE13" s="2841" t="str">
        <f t="shared" si="7"/>
        <v/>
      </c>
      <c r="CF13" s="2841" t="str">
        <f t="shared" si="8"/>
        <v/>
      </c>
      <c r="CG13" s="2841" t="str">
        <f t="shared" si="9"/>
        <v/>
      </c>
      <c r="CH13" s="2841" t="str">
        <f t="shared" si="10"/>
        <v/>
      </c>
      <c r="CO13" s="2842">
        <f t="shared" si="11"/>
        <v>0</v>
      </c>
      <c r="CP13" s="2842">
        <f t="shared" si="12"/>
        <v>0</v>
      </c>
      <c r="CQ13" s="2842">
        <f t="shared" si="13"/>
        <v>0</v>
      </c>
      <c r="CR13" s="2842">
        <f t="shared" si="14"/>
        <v>0</v>
      </c>
      <c r="CS13" s="2842">
        <f t="shared" si="14"/>
        <v>0</v>
      </c>
      <c r="CT13" s="2842">
        <f t="shared" si="14"/>
        <v>0</v>
      </c>
      <c r="CU13" s="2842">
        <f t="shared" si="14"/>
        <v>0</v>
      </c>
      <c r="CV13" s="2842">
        <f t="shared" si="15"/>
        <v>0</v>
      </c>
    </row>
    <row r="14" spans="1:139" ht="15" customHeight="1">
      <c r="A14" s="6706" t="s">
        <v>1654</v>
      </c>
      <c r="B14" s="6707"/>
      <c r="C14" s="6708"/>
      <c r="D14" s="408">
        <f t="shared" si="0"/>
        <v>0</v>
      </c>
      <c r="E14" s="421">
        <f t="shared" si="1"/>
        <v>0</v>
      </c>
      <c r="F14" s="1654">
        <f t="shared" si="1"/>
        <v>0</v>
      </c>
      <c r="G14" s="1440"/>
      <c r="H14" s="1452"/>
      <c r="I14" s="1440"/>
      <c r="J14" s="1452"/>
      <c r="K14" s="1440"/>
      <c r="L14" s="1452"/>
      <c r="M14" s="1440"/>
      <c r="N14" s="1680"/>
      <c r="O14" s="1440"/>
      <c r="P14" s="1680"/>
      <c r="Q14" s="1440"/>
      <c r="R14" s="1680"/>
      <c r="S14" s="1440"/>
      <c r="T14" s="1680"/>
      <c r="U14" s="1440"/>
      <c r="V14" s="1680"/>
      <c r="W14" s="1440"/>
      <c r="X14" s="1680"/>
      <c r="Y14" s="1440"/>
      <c r="Z14" s="1680"/>
      <c r="AA14" s="1440"/>
      <c r="AB14" s="1680"/>
      <c r="AC14" s="1440"/>
      <c r="AD14" s="1680"/>
      <c r="AE14" s="1440"/>
      <c r="AF14" s="1680"/>
      <c r="AG14" s="1440"/>
      <c r="AH14" s="1680"/>
      <c r="AI14" s="1440"/>
      <c r="AJ14" s="1680"/>
      <c r="AK14" s="1440"/>
      <c r="AL14" s="1680"/>
      <c r="AM14" s="1440"/>
      <c r="AN14" s="1680"/>
      <c r="AO14" s="1440"/>
      <c r="AP14" s="1444"/>
      <c r="AQ14" s="1709"/>
      <c r="AR14" s="1442"/>
      <c r="AS14" s="1442"/>
      <c r="AT14" s="1442"/>
      <c r="AU14" s="1442"/>
      <c r="AV14" s="1442"/>
      <c r="AW14" s="2281"/>
      <c r="AX14" s="1452"/>
      <c r="AY14" t="str">
        <f t="shared" si="2"/>
        <v/>
      </c>
      <c r="CA14" s="2841" t="str">
        <f t="shared" si="3"/>
        <v/>
      </c>
      <c r="CB14" s="2841" t="str">
        <f t="shared" si="4"/>
        <v/>
      </c>
      <c r="CC14" s="2841" t="str">
        <f t="shared" si="5"/>
        <v/>
      </c>
      <c r="CD14" s="2841" t="str">
        <f t="shared" si="6"/>
        <v/>
      </c>
      <c r="CE14" s="2841" t="str">
        <f t="shared" si="7"/>
        <v/>
      </c>
      <c r="CF14" s="2841" t="str">
        <f t="shared" si="8"/>
        <v/>
      </c>
      <c r="CG14" s="2841" t="str">
        <f t="shared" si="9"/>
        <v/>
      </c>
      <c r="CH14" s="2841" t="str">
        <f t="shared" si="10"/>
        <v/>
      </c>
      <c r="CO14" s="2842">
        <f t="shared" si="11"/>
        <v>0</v>
      </c>
      <c r="CP14" s="2842">
        <f t="shared" si="12"/>
        <v>0</v>
      </c>
      <c r="CQ14" s="2842">
        <f t="shared" si="13"/>
        <v>0</v>
      </c>
      <c r="CR14" s="2842">
        <f t="shared" si="14"/>
        <v>0</v>
      </c>
      <c r="CS14" s="2842">
        <f t="shared" si="14"/>
        <v>0</v>
      </c>
      <c r="CT14" s="2842">
        <f t="shared" si="14"/>
        <v>0</v>
      </c>
      <c r="CU14" s="2842">
        <f t="shared" si="14"/>
        <v>0</v>
      </c>
      <c r="CV14" s="2842">
        <f t="shared" si="15"/>
        <v>0</v>
      </c>
    </row>
    <row r="15" spans="1:139" ht="15" customHeight="1">
      <c r="A15" s="6706" t="s">
        <v>1655</v>
      </c>
      <c r="B15" s="6707"/>
      <c r="C15" s="6708"/>
      <c r="D15" s="408">
        <f t="shared" si="0"/>
        <v>0</v>
      </c>
      <c r="E15" s="421">
        <f t="shared" si="1"/>
        <v>0</v>
      </c>
      <c r="F15" s="1654">
        <f t="shared" si="1"/>
        <v>0</v>
      </c>
      <c r="G15" s="1440"/>
      <c r="H15" s="1452"/>
      <c r="I15" s="1440"/>
      <c r="J15" s="1452"/>
      <c r="K15" s="1440"/>
      <c r="L15" s="1452"/>
      <c r="M15" s="1440"/>
      <c r="N15" s="1680"/>
      <c r="O15" s="1440"/>
      <c r="P15" s="1680"/>
      <c r="Q15" s="1440"/>
      <c r="R15" s="1680"/>
      <c r="S15" s="1440"/>
      <c r="T15" s="1680"/>
      <c r="U15" s="1440"/>
      <c r="V15" s="1680"/>
      <c r="W15" s="1440"/>
      <c r="X15" s="1680"/>
      <c r="Y15" s="1440"/>
      <c r="Z15" s="1680"/>
      <c r="AA15" s="1440"/>
      <c r="AB15" s="1680"/>
      <c r="AC15" s="1440"/>
      <c r="AD15" s="1680"/>
      <c r="AE15" s="1440"/>
      <c r="AF15" s="1680"/>
      <c r="AG15" s="1440"/>
      <c r="AH15" s="1680"/>
      <c r="AI15" s="1440"/>
      <c r="AJ15" s="1680"/>
      <c r="AK15" s="1440"/>
      <c r="AL15" s="1680"/>
      <c r="AM15" s="1440"/>
      <c r="AN15" s="1680"/>
      <c r="AO15" s="1440"/>
      <c r="AP15" s="1444"/>
      <c r="AQ15" s="1709"/>
      <c r="AR15" s="1442"/>
      <c r="AS15" s="1442"/>
      <c r="AT15" s="1442"/>
      <c r="AU15" s="1442"/>
      <c r="AV15" s="1442"/>
      <c r="AW15" s="2281"/>
      <c r="AX15" s="1452"/>
      <c r="AY15" t="str">
        <f t="shared" si="2"/>
        <v/>
      </c>
      <c r="CA15" s="2841" t="str">
        <f t="shared" si="3"/>
        <v/>
      </c>
      <c r="CB15" s="2841" t="str">
        <f t="shared" si="4"/>
        <v/>
      </c>
      <c r="CC15" s="2841" t="str">
        <f t="shared" si="5"/>
        <v/>
      </c>
      <c r="CD15" s="2841" t="str">
        <f t="shared" si="6"/>
        <v/>
      </c>
      <c r="CE15" s="2841" t="str">
        <f t="shared" si="7"/>
        <v/>
      </c>
      <c r="CF15" s="2841" t="str">
        <f t="shared" si="8"/>
        <v/>
      </c>
      <c r="CG15" s="2841" t="str">
        <f t="shared" si="9"/>
        <v/>
      </c>
      <c r="CH15" s="2841" t="str">
        <f t="shared" si="10"/>
        <v/>
      </c>
      <c r="CO15" s="2842">
        <f t="shared" si="11"/>
        <v>0</v>
      </c>
      <c r="CP15" s="2842">
        <f t="shared" si="12"/>
        <v>0</v>
      </c>
      <c r="CQ15" s="2842">
        <f t="shared" si="13"/>
        <v>0</v>
      </c>
      <c r="CR15" s="2842">
        <f t="shared" si="14"/>
        <v>0</v>
      </c>
      <c r="CS15" s="2842">
        <f t="shared" si="14"/>
        <v>0</v>
      </c>
      <c r="CT15" s="2842">
        <f t="shared" si="14"/>
        <v>0</v>
      </c>
      <c r="CU15" s="2842">
        <f t="shared" si="14"/>
        <v>0</v>
      </c>
      <c r="CV15" s="2842">
        <f t="shared" si="15"/>
        <v>0</v>
      </c>
    </row>
    <row r="16" spans="1:139" ht="15" customHeight="1">
      <c r="A16" s="6698" t="s">
        <v>1656</v>
      </c>
      <c r="B16" s="6699"/>
      <c r="C16" s="6700"/>
      <c r="D16" s="1687">
        <f t="shared" si="0"/>
        <v>0</v>
      </c>
      <c r="E16" s="2333">
        <f t="shared" si="1"/>
        <v>0</v>
      </c>
      <c r="F16" s="1689">
        <f t="shared" ref="F16:F21" si="16">SUM(H16+J16+L16+N16+P16+R16+T16+V16+X16+Z16+AB16+AD16+AF16+AH16+AJ16+AL16+AN16+AP16)</f>
        <v>0</v>
      </c>
      <c r="G16" s="1480"/>
      <c r="H16" s="1545"/>
      <c r="I16" s="1480"/>
      <c r="J16" s="1545"/>
      <c r="K16" s="1480"/>
      <c r="L16" s="1545"/>
      <c r="M16" s="1480"/>
      <c r="N16" s="1545"/>
      <c r="O16" s="1480"/>
      <c r="P16" s="1545"/>
      <c r="Q16" s="1480"/>
      <c r="R16" s="1769"/>
      <c r="S16" s="1480"/>
      <c r="T16" s="1769"/>
      <c r="U16" s="1480"/>
      <c r="V16" s="1769"/>
      <c r="W16" s="1480"/>
      <c r="X16" s="1769"/>
      <c r="Y16" s="1480"/>
      <c r="Z16" s="1769"/>
      <c r="AA16" s="1480"/>
      <c r="AB16" s="1769"/>
      <c r="AC16" s="1480"/>
      <c r="AD16" s="1769"/>
      <c r="AE16" s="1480"/>
      <c r="AF16" s="1769"/>
      <c r="AG16" s="1480"/>
      <c r="AH16" s="1769"/>
      <c r="AI16" s="1480"/>
      <c r="AJ16" s="1769"/>
      <c r="AK16" s="1480"/>
      <c r="AL16" s="1769"/>
      <c r="AM16" s="1480"/>
      <c r="AN16" s="1769"/>
      <c r="AO16" s="1480"/>
      <c r="AP16" s="1481"/>
      <c r="AQ16" s="1754"/>
      <c r="AR16" s="1541"/>
      <c r="AS16" s="1541"/>
      <c r="AT16" s="1541"/>
      <c r="AU16" s="1541"/>
      <c r="AV16" s="1541"/>
      <c r="AW16" s="2840"/>
      <c r="AX16" s="1545"/>
      <c r="AY16" t="str">
        <f t="shared" si="2"/>
        <v/>
      </c>
      <c r="CA16" s="2841" t="str">
        <f t="shared" si="3"/>
        <v/>
      </c>
      <c r="CB16" s="2841" t="str">
        <f t="shared" si="4"/>
        <v/>
      </c>
      <c r="CC16" s="2841" t="str">
        <f t="shared" si="5"/>
        <v/>
      </c>
      <c r="CD16" s="2841" t="str">
        <f t="shared" si="6"/>
        <v/>
      </c>
      <c r="CE16" s="2841" t="str">
        <f t="shared" si="7"/>
        <v/>
      </c>
      <c r="CF16" s="2841" t="str">
        <f t="shared" si="8"/>
        <v/>
      </c>
      <c r="CG16" s="2841" t="str">
        <f t="shared" si="9"/>
        <v/>
      </c>
      <c r="CH16" s="2841" t="str">
        <f t="shared" si="10"/>
        <v/>
      </c>
      <c r="CO16" s="2842">
        <f t="shared" si="11"/>
        <v>0</v>
      </c>
      <c r="CP16" s="2842">
        <f t="shared" si="12"/>
        <v>0</v>
      </c>
      <c r="CQ16" s="2842">
        <f t="shared" si="13"/>
        <v>0</v>
      </c>
      <c r="CR16" s="2842">
        <f t="shared" si="14"/>
        <v>0</v>
      </c>
      <c r="CS16" s="2842">
        <f t="shared" si="14"/>
        <v>0</v>
      </c>
      <c r="CT16" s="2842">
        <f t="shared" si="14"/>
        <v>0</v>
      </c>
      <c r="CU16" s="2842">
        <f t="shared" si="14"/>
        <v>0</v>
      </c>
      <c r="CV16" s="2842">
        <f t="shared" si="15"/>
        <v>0</v>
      </c>
    </row>
    <row r="17" spans="1:100" ht="15" customHeight="1">
      <c r="A17" s="6681" t="s">
        <v>1657</v>
      </c>
      <c r="B17" s="6701"/>
      <c r="C17" s="6682"/>
      <c r="D17" s="429">
        <f t="shared" si="0"/>
        <v>0</v>
      </c>
      <c r="E17" s="430">
        <f t="shared" si="1"/>
        <v>0</v>
      </c>
      <c r="F17" s="1659">
        <f t="shared" si="16"/>
        <v>0</v>
      </c>
      <c r="G17" s="1455"/>
      <c r="H17" s="1467"/>
      <c r="I17" s="1455"/>
      <c r="J17" s="1467"/>
      <c r="K17" s="1455"/>
      <c r="L17" s="1467"/>
      <c r="M17" s="1455"/>
      <c r="N17" s="1684"/>
      <c r="O17" s="1455"/>
      <c r="P17" s="1684"/>
      <c r="Q17" s="1455"/>
      <c r="R17" s="1684"/>
      <c r="S17" s="1455"/>
      <c r="T17" s="1684"/>
      <c r="U17" s="1455"/>
      <c r="V17" s="1684"/>
      <c r="W17" s="1455"/>
      <c r="X17" s="1684"/>
      <c r="Y17" s="1455"/>
      <c r="Z17" s="1684"/>
      <c r="AA17" s="1455"/>
      <c r="AB17" s="1684"/>
      <c r="AC17" s="1455"/>
      <c r="AD17" s="1684"/>
      <c r="AE17" s="1455"/>
      <c r="AF17" s="1684"/>
      <c r="AG17" s="1455"/>
      <c r="AH17" s="1684"/>
      <c r="AI17" s="1455"/>
      <c r="AJ17" s="1684"/>
      <c r="AK17" s="1455"/>
      <c r="AL17" s="1684"/>
      <c r="AM17" s="1455"/>
      <c r="AN17" s="1684"/>
      <c r="AO17" s="1455"/>
      <c r="AP17" s="1459"/>
      <c r="AQ17" s="1714"/>
      <c r="AR17" s="1457"/>
      <c r="AS17" s="1457"/>
      <c r="AT17" s="1457"/>
      <c r="AU17" s="1457"/>
      <c r="AV17" s="1457"/>
      <c r="AW17" s="2282"/>
      <c r="AX17" s="1467"/>
      <c r="AY17" t="str">
        <f t="shared" si="2"/>
        <v/>
      </c>
      <c r="CA17" s="2841" t="str">
        <f t="shared" si="3"/>
        <v/>
      </c>
      <c r="CB17" s="2841" t="str">
        <f t="shared" si="4"/>
        <v/>
      </c>
      <c r="CC17" s="2841" t="str">
        <f t="shared" si="5"/>
        <v/>
      </c>
      <c r="CD17" s="2841" t="str">
        <f t="shared" si="6"/>
        <v/>
      </c>
      <c r="CE17" s="2841" t="str">
        <f t="shared" si="7"/>
        <v/>
      </c>
      <c r="CF17" s="2841" t="str">
        <f t="shared" si="8"/>
        <v/>
      </c>
      <c r="CG17" s="2841" t="str">
        <f t="shared" si="9"/>
        <v/>
      </c>
      <c r="CH17" s="2841" t="str">
        <f t="shared" si="10"/>
        <v/>
      </c>
      <c r="CO17" s="2842">
        <f t="shared" si="11"/>
        <v>0</v>
      </c>
      <c r="CP17" s="2842">
        <f t="shared" si="12"/>
        <v>0</v>
      </c>
      <c r="CQ17" s="2842">
        <f t="shared" si="13"/>
        <v>0</v>
      </c>
      <c r="CR17" s="2842">
        <f t="shared" si="14"/>
        <v>0</v>
      </c>
      <c r="CS17" s="2842">
        <f t="shared" si="14"/>
        <v>0</v>
      </c>
      <c r="CT17" s="2842">
        <f t="shared" si="14"/>
        <v>0</v>
      </c>
      <c r="CU17" s="2842">
        <f t="shared" si="14"/>
        <v>0</v>
      </c>
      <c r="CV17" s="2842">
        <f t="shared" si="15"/>
        <v>0</v>
      </c>
    </row>
    <row r="18" spans="1:100" ht="18" customHeight="1">
      <c r="A18" s="1468" t="s">
        <v>1658</v>
      </c>
      <c r="B18" s="2846"/>
      <c r="C18" s="2846"/>
      <c r="D18" s="2836"/>
      <c r="E18" s="2836"/>
      <c r="F18" s="2836"/>
      <c r="G18" s="2847"/>
      <c r="H18" s="2847"/>
      <c r="I18" s="2836"/>
      <c r="J18" s="2836"/>
      <c r="K18" s="2836"/>
      <c r="L18" s="2836"/>
      <c r="M18" s="2836"/>
      <c r="N18" s="2836"/>
      <c r="O18" s="2836"/>
      <c r="P18" s="1493"/>
      <c r="Q18" s="2836"/>
      <c r="R18" s="2836"/>
      <c r="S18" s="2836"/>
      <c r="T18" s="2836"/>
      <c r="U18" s="2836"/>
      <c r="V18" s="2836"/>
      <c r="W18" s="2836"/>
      <c r="X18" s="2836"/>
      <c r="Y18" s="2836"/>
      <c r="Z18" s="2836"/>
      <c r="AA18" s="2836"/>
      <c r="AB18" s="2836"/>
      <c r="AC18" s="2836"/>
      <c r="AD18" s="2836"/>
      <c r="AE18" s="2836"/>
      <c r="AF18" s="2836"/>
      <c r="AG18" s="2836"/>
      <c r="AH18" s="456"/>
      <c r="AI18" s="456"/>
      <c r="AJ18" s="456"/>
      <c r="AK18" s="456"/>
      <c r="AL18" s="456"/>
      <c r="AM18" s="456"/>
      <c r="AN18" s="456"/>
      <c r="AO18" s="456"/>
      <c r="AP18" s="456"/>
      <c r="AQ18" s="456"/>
      <c r="AR18" s="456"/>
      <c r="AS18" s="456"/>
      <c r="AT18" s="456"/>
      <c r="AU18" s="456"/>
      <c r="AV18" s="456"/>
      <c r="AW18" s="456"/>
      <c r="AX18" s="456"/>
    </row>
    <row r="19" spans="1:100">
      <c r="A19" s="6152" t="s">
        <v>1659</v>
      </c>
      <c r="B19" s="6153"/>
      <c r="C19" s="6154"/>
      <c r="D19" s="5710" t="s">
        <v>209</v>
      </c>
      <c r="E19" s="6106"/>
      <c r="F19" s="5712"/>
      <c r="G19" s="6709" t="s">
        <v>495</v>
      </c>
      <c r="H19" s="6487"/>
      <c r="I19" s="5712" t="s">
        <v>401</v>
      </c>
      <c r="J19" s="6137"/>
      <c r="K19" s="5710" t="s">
        <v>402</v>
      </c>
      <c r="L19" s="5712"/>
      <c r="M19" s="5712" t="s">
        <v>1644</v>
      </c>
      <c r="N19" s="6137"/>
      <c r="O19" s="5710" t="s">
        <v>404</v>
      </c>
      <c r="P19" s="5712"/>
      <c r="Q19" s="5710" t="s">
        <v>405</v>
      </c>
      <c r="R19" s="5712"/>
      <c r="S19" s="5710" t="s">
        <v>406</v>
      </c>
      <c r="T19" s="5712"/>
      <c r="U19" s="5710" t="s">
        <v>407</v>
      </c>
      <c r="V19" s="5712"/>
      <c r="W19" s="6106" t="s">
        <v>1645</v>
      </c>
      <c r="X19" s="6106"/>
      <c r="Y19" s="5710" t="s">
        <v>324</v>
      </c>
      <c r="Z19" s="5709"/>
      <c r="AA19" s="6106" t="s">
        <v>325</v>
      </c>
      <c r="AB19" s="5708"/>
      <c r="AC19" s="6106" t="s">
        <v>1646</v>
      </c>
      <c r="AD19" s="5708"/>
      <c r="AE19" s="6106" t="s">
        <v>1647</v>
      </c>
      <c r="AF19" s="5708"/>
      <c r="AG19" s="6106" t="s">
        <v>1648</v>
      </c>
      <c r="AH19" s="5708"/>
      <c r="AI19" s="6106" t="s">
        <v>1649</v>
      </c>
      <c r="AJ19" s="5708"/>
      <c r="AK19" s="6106" t="s">
        <v>1650</v>
      </c>
      <c r="AL19" s="5708"/>
      <c r="AM19" s="6106" t="s">
        <v>1651</v>
      </c>
      <c r="AN19" s="5709"/>
      <c r="AO19" s="6106" t="s">
        <v>966</v>
      </c>
      <c r="AP19" s="6147"/>
      <c r="AQ19" s="6203" t="s">
        <v>1639</v>
      </c>
      <c r="AR19" s="6135" t="s">
        <v>1660</v>
      </c>
      <c r="AS19" s="6135" t="s">
        <v>1641</v>
      </c>
      <c r="AT19" s="6135" t="s">
        <v>1661</v>
      </c>
      <c r="AU19" s="6135" t="s">
        <v>1642</v>
      </c>
      <c r="AV19" s="6689" t="s">
        <v>51</v>
      </c>
      <c r="AW19" s="6702" t="s">
        <v>514</v>
      </c>
      <c r="AX19" s="6583" t="s">
        <v>49</v>
      </c>
    </row>
    <row r="20" spans="1:100" ht="55.5" customHeight="1">
      <c r="A20" s="6155"/>
      <c r="B20" s="6156"/>
      <c r="C20" s="6157"/>
      <c r="D20" s="1395" t="s">
        <v>93</v>
      </c>
      <c r="E20" s="1396" t="s">
        <v>72</v>
      </c>
      <c r="F20" s="1394" t="s">
        <v>73</v>
      </c>
      <c r="G20" s="1395" t="s">
        <v>72</v>
      </c>
      <c r="H20" s="393" t="s">
        <v>73</v>
      </c>
      <c r="I20" s="1471" t="s">
        <v>72</v>
      </c>
      <c r="J20" s="1394" t="s">
        <v>73</v>
      </c>
      <c r="K20" s="1471" t="s">
        <v>72</v>
      </c>
      <c r="L20" s="1391" t="s">
        <v>73</v>
      </c>
      <c r="M20" s="1471" t="s">
        <v>72</v>
      </c>
      <c r="N20" s="1394" t="s">
        <v>73</v>
      </c>
      <c r="O20" s="1471" t="s">
        <v>72</v>
      </c>
      <c r="P20" s="1394" t="s">
        <v>73</v>
      </c>
      <c r="Q20" s="1471" t="s">
        <v>72</v>
      </c>
      <c r="R20" s="1394" t="s">
        <v>73</v>
      </c>
      <c r="S20" s="1471" t="s">
        <v>72</v>
      </c>
      <c r="T20" s="1394" t="s">
        <v>73</v>
      </c>
      <c r="U20" s="1395" t="s">
        <v>72</v>
      </c>
      <c r="V20" s="393" t="s">
        <v>73</v>
      </c>
      <c r="W20" s="1396" t="s">
        <v>72</v>
      </c>
      <c r="X20" s="1495" t="s">
        <v>73</v>
      </c>
      <c r="Y20" s="1395" t="s">
        <v>72</v>
      </c>
      <c r="Z20" s="393" t="s">
        <v>73</v>
      </c>
      <c r="AA20" s="1396" t="s">
        <v>72</v>
      </c>
      <c r="AB20" s="1495" t="s">
        <v>73</v>
      </c>
      <c r="AC20" s="1395" t="s">
        <v>72</v>
      </c>
      <c r="AD20" s="393" t="s">
        <v>73</v>
      </c>
      <c r="AE20" s="1396" t="s">
        <v>72</v>
      </c>
      <c r="AF20" s="1495" t="s">
        <v>73</v>
      </c>
      <c r="AG20" s="1395" t="s">
        <v>72</v>
      </c>
      <c r="AH20" s="393" t="s">
        <v>73</v>
      </c>
      <c r="AI20" s="1396" t="s">
        <v>72</v>
      </c>
      <c r="AJ20" s="1495" t="s">
        <v>73</v>
      </c>
      <c r="AK20" s="1395" t="s">
        <v>72</v>
      </c>
      <c r="AL20" s="393" t="s">
        <v>73</v>
      </c>
      <c r="AM20" s="1396" t="s">
        <v>72</v>
      </c>
      <c r="AN20" s="393" t="s">
        <v>73</v>
      </c>
      <c r="AO20" s="1396" t="s">
        <v>72</v>
      </c>
      <c r="AP20" s="394" t="s">
        <v>73</v>
      </c>
      <c r="AQ20" s="6268"/>
      <c r="AR20" s="6694"/>
      <c r="AS20" s="6136"/>
      <c r="AT20" s="6136"/>
      <c r="AU20" s="6136"/>
      <c r="AV20" s="6690"/>
      <c r="AW20" s="6703"/>
      <c r="AX20" s="6585"/>
    </row>
    <row r="21" spans="1:100" ht="15" customHeight="1">
      <c r="A21" s="6691" t="s">
        <v>1662</v>
      </c>
      <c r="B21" s="6692"/>
      <c r="C21" s="6693"/>
      <c r="D21" s="447">
        <f t="shared" si="0"/>
        <v>0</v>
      </c>
      <c r="E21" s="409">
        <f t="shared" si="1"/>
        <v>0</v>
      </c>
      <c r="F21" s="1649">
        <f t="shared" si="16"/>
        <v>0</v>
      </c>
      <c r="G21" s="1424"/>
      <c r="H21" s="1676"/>
      <c r="I21" s="1424"/>
      <c r="J21" s="1436"/>
      <c r="K21" s="1424"/>
      <c r="L21" s="1676"/>
      <c r="M21" s="1424"/>
      <c r="N21" s="1436"/>
      <c r="O21" s="1424"/>
      <c r="P21" s="1676"/>
      <c r="Q21" s="1424"/>
      <c r="R21" s="1676"/>
      <c r="S21" s="1424"/>
      <c r="T21" s="1676"/>
      <c r="U21" s="1424"/>
      <c r="V21" s="1676"/>
      <c r="W21" s="1425"/>
      <c r="X21" s="1427"/>
      <c r="Y21" s="1424"/>
      <c r="Z21" s="1676"/>
      <c r="AA21" s="1425"/>
      <c r="AB21" s="1427"/>
      <c r="AC21" s="1424"/>
      <c r="AD21" s="1676"/>
      <c r="AE21" s="1425"/>
      <c r="AF21" s="1427"/>
      <c r="AG21" s="1424"/>
      <c r="AH21" s="1676"/>
      <c r="AI21" s="1425"/>
      <c r="AJ21" s="1427"/>
      <c r="AK21" s="1424"/>
      <c r="AL21" s="1676"/>
      <c r="AM21" s="1425"/>
      <c r="AN21" s="1676"/>
      <c r="AO21" s="1425"/>
      <c r="AP21" s="1428"/>
      <c r="AQ21" s="1707"/>
      <c r="AR21" s="1426"/>
      <c r="AS21" s="1426"/>
      <c r="AT21" s="1426"/>
      <c r="AU21" s="1426"/>
      <c r="AV21" s="1427"/>
      <c r="AW21" s="2276"/>
      <c r="AX21" s="1436"/>
      <c r="AY21" t="str">
        <f t="shared" si="2"/>
        <v/>
      </c>
      <c r="CA21" s="2841" t="str">
        <f>IF(AND((Y21+Z21)&gt;0,AQ21="")," * No olvide digitar la variable 12 años (incluido en el grupo de 10-14 años). Si no tiene digite Cero.",IF(AQ21&gt;(Y21+Z21),"* Las Consultas de 12 años (incluido en el grupo de 10-14 años) NO DEBEN ser mayor que la sumatoria de Consultas entre 10-14 años",""))</f>
        <v/>
      </c>
      <c r="CB21" s="2841" t="str">
        <f t="shared" ref="CB21:CB38" si="17">IF(AND($F21&gt;0,AR21="")," * No olvide digitar la variable Gestante. Digite cero si no tiene.",IF(AR21&gt;$F21," * La variable Gestante NO DEBEN ser mayor al Total de Mujeres. ",""))</f>
        <v/>
      </c>
      <c r="CC21" s="2841" t="str">
        <f t="shared" ref="CC21:CC66" si="18">IF(AND((AK21+AL21)&gt;0,AS21="")," * No olvide digitar la variable 60 años (incluido en grupos de 60-64 años). Digite Cero si no tiene.",IF(AS21&gt;(AK21+AL21)," * La variable 60 años (incluido en grupos de 60-64 años) NO DEBE ser mayor que el Total de consultas del grupo 60-64 años",""))</f>
        <v/>
      </c>
      <c r="CD21" s="2841" t="str">
        <f t="shared" ref="CD21:CD38" si="19">IF(AND(D21&gt;0,AT21="")," * No olvide digitar la variable Compra de servicio. Digite Cero si no tiene.","")</f>
        <v/>
      </c>
      <c r="CE21" s="2841" t="str">
        <f t="shared" ref="CE21:CE38" si="20">IF(AND(D21&gt;0,AU21="")," * No olvide digitar la variable Usuarios con Discapacidad. Digite Cero si no tiene.",IF(AU21&gt;$D21," * La variable Usuarios con Discapacidad No puede ser mayor al Total Ambos Sexos.",""))</f>
        <v/>
      </c>
      <c r="CF21" s="2841" t="str">
        <f t="shared" ref="CF21:CF38" si="21">IF(AND($D21&gt;0,AV21="")," * No olvide digitar la variable Migrantes. Digite Cero si no tiene.",IF(AV21&gt;$D21," * La variable Migrantes No puede ser mayor al Total Ambos Sexos.",""))</f>
        <v/>
      </c>
      <c r="CG21" s="2841" t="str">
        <f t="shared" ref="CG21:CG38" si="22">IF(AND(D21&gt;0,AW21="")," * No olvide digitar la variable "&amp;AW$19&amp;". Digite Cero si no tiene.",IF(AW21&gt;D21," * La variable "&amp;AW$19&amp;" No puede ser mayor al Total Ambos Sexos.",""))</f>
        <v/>
      </c>
      <c r="CH21" s="2841" t="str">
        <f t="shared" ref="CH21:CH38" si="23">IF(AND($D21&gt;0,AX21="")," * No olvide digitar la variable "&amp;AX$19&amp;". Digite Cero si no tiene.",IF(AX21&gt;$D21," * La variable "&amp;AX$19&amp;" no puede ser mayor al Total Ambos Sexos.",""))</f>
        <v/>
      </c>
      <c r="CO21" s="2842">
        <f t="shared" si="11"/>
        <v>0</v>
      </c>
      <c r="CP21" s="2842">
        <f t="shared" si="12"/>
        <v>0</v>
      </c>
      <c r="CQ21" s="2842">
        <f t="shared" si="13"/>
        <v>0</v>
      </c>
      <c r="CR21" s="2842">
        <f t="shared" ref="CR21:CR38" si="24">IF(AND($D21&gt;0,AT21=""),1,0)</f>
        <v>0</v>
      </c>
      <c r="CS21" s="2842">
        <f t="shared" ref="CS21:CS56" si="25">IF(AND($D21&gt;0,AU21=""),1,IF(AU21&gt;$D21,1,0))</f>
        <v>0</v>
      </c>
      <c r="CT21" s="2842">
        <f t="shared" ref="CT21:CT56" si="26">IF(AND($D21&gt;0,AV21=""),1,IF(AV21&gt;$D21,1,0))</f>
        <v>0</v>
      </c>
      <c r="CU21" s="2842">
        <f t="shared" ref="CU21:CU56" si="27">IF(AND($D21&gt;0,AW21=""),1,IF(AW21&gt;$D21,1,0))</f>
        <v>0</v>
      </c>
      <c r="CV21" s="2842">
        <f t="shared" si="15"/>
        <v>0</v>
      </c>
    </row>
    <row r="22" spans="1:100" ht="15" customHeight="1">
      <c r="A22" s="6695" t="s">
        <v>1663</v>
      </c>
      <c r="B22" s="6696"/>
      <c r="C22" s="6697"/>
      <c r="D22" s="408">
        <f t="shared" si="0"/>
        <v>0</v>
      </c>
      <c r="E22" s="421">
        <f>SUM(U22+W22+Y22+AA22+AC22+AE22+AG22+AI22+AK22+AM22+AO22)</f>
        <v>0</v>
      </c>
      <c r="F22" s="1654">
        <f>SUM(V22+X22+Z22+AB22+AD22+AF22+AH22+AJ22+AL22+AN22+AP22)</f>
        <v>0</v>
      </c>
      <c r="G22" s="1763"/>
      <c r="H22" s="2205"/>
      <c r="I22" s="1763"/>
      <c r="J22" s="1764"/>
      <c r="K22" s="1763"/>
      <c r="L22" s="2205"/>
      <c r="M22" s="1763"/>
      <c r="N22" s="1764"/>
      <c r="O22" s="1763"/>
      <c r="P22" s="2205"/>
      <c r="Q22" s="1763"/>
      <c r="R22" s="2205"/>
      <c r="S22" s="1763"/>
      <c r="T22" s="2205"/>
      <c r="U22" s="1440"/>
      <c r="V22" s="1680"/>
      <c r="W22" s="1441"/>
      <c r="X22" s="1443"/>
      <c r="Y22" s="1440"/>
      <c r="Z22" s="1680"/>
      <c r="AA22" s="1441"/>
      <c r="AB22" s="1443"/>
      <c r="AC22" s="1440"/>
      <c r="AD22" s="1680"/>
      <c r="AE22" s="1441"/>
      <c r="AF22" s="1443"/>
      <c r="AG22" s="1440"/>
      <c r="AH22" s="1680"/>
      <c r="AI22" s="1441"/>
      <c r="AJ22" s="1443"/>
      <c r="AK22" s="1440"/>
      <c r="AL22" s="1680"/>
      <c r="AM22" s="1441"/>
      <c r="AN22" s="1680"/>
      <c r="AO22" s="1441"/>
      <c r="AP22" s="1444"/>
      <c r="AQ22" s="1709"/>
      <c r="AR22" s="1442"/>
      <c r="AS22" s="1442"/>
      <c r="AT22" s="1442"/>
      <c r="AU22" s="1442"/>
      <c r="AV22" s="1443"/>
      <c r="AW22" s="2281"/>
      <c r="AX22" s="1452"/>
      <c r="AY22" t="str">
        <f t="shared" si="2"/>
        <v/>
      </c>
      <c r="CA22" s="2841" t="str">
        <f t="shared" ref="CA22:CA38" si="28">IF(AND((Y22+Z22)&gt;0,AQ22="")," * No olvide digitar la variable 12 años (incluido en el grupo de 10-14 años). Si no tiene digite Cero.",IF(AQ22&gt;(Y22+Z22),"* Las Consultas de 12 años (incluido en el grupo de 10-14 años) NO DEBEN ser mayor que el total de Consultas entre 10-14 años",""))</f>
        <v/>
      </c>
      <c r="CB22" s="2841" t="str">
        <f t="shared" si="17"/>
        <v/>
      </c>
      <c r="CC22" s="2841" t="str">
        <f t="shared" si="18"/>
        <v/>
      </c>
      <c r="CD22" s="2841" t="str">
        <f t="shared" si="19"/>
        <v/>
      </c>
      <c r="CE22" s="2841" t="str">
        <f t="shared" si="20"/>
        <v/>
      </c>
      <c r="CF22" s="2841" t="str">
        <f t="shared" si="21"/>
        <v/>
      </c>
      <c r="CG22" s="2841" t="str">
        <f t="shared" si="22"/>
        <v/>
      </c>
      <c r="CH22" s="2841" t="str">
        <f t="shared" si="23"/>
        <v/>
      </c>
      <c r="CO22" s="2842">
        <f t="shared" si="11"/>
        <v>0</v>
      </c>
      <c r="CP22" s="2842">
        <f t="shared" si="12"/>
        <v>0</v>
      </c>
      <c r="CQ22" s="2842">
        <f t="shared" si="13"/>
        <v>0</v>
      </c>
      <c r="CR22" s="2842">
        <f t="shared" si="24"/>
        <v>0</v>
      </c>
      <c r="CS22" s="2842">
        <f t="shared" si="25"/>
        <v>0</v>
      </c>
      <c r="CT22" s="2842">
        <f t="shared" si="26"/>
        <v>0</v>
      </c>
      <c r="CU22" s="2842">
        <f t="shared" si="27"/>
        <v>0</v>
      </c>
      <c r="CV22" s="2842">
        <f t="shared" si="15"/>
        <v>0</v>
      </c>
    </row>
    <row r="23" spans="1:100" ht="15" customHeight="1">
      <c r="A23" s="6181" t="s">
        <v>1664</v>
      </c>
      <c r="B23" s="6564"/>
      <c r="C23" s="6182"/>
      <c r="D23" s="408">
        <f t="shared" si="0"/>
        <v>0</v>
      </c>
      <c r="E23" s="421">
        <f t="shared" ref="E23:F33" si="29">SUM(G23+I23+K23+M23+O23+Q23+S23+U23+W23+Y23+AA23+AC23+AE23+AG23+AI23+AK23+AM23+AO23)</f>
        <v>0</v>
      </c>
      <c r="F23" s="1654">
        <f t="shared" si="29"/>
        <v>0</v>
      </c>
      <c r="G23" s="1440"/>
      <c r="H23" s="1680"/>
      <c r="I23" s="1440"/>
      <c r="J23" s="1452"/>
      <c r="K23" s="1440"/>
      <c r="L23" s="1680"/>
      <c r="M23" s="1440"/>
      <c r="N23" s="1452"/>
      <c r="O23" s="1440"/>
      <c r="P23" s="1680"/>
      <c r="Q23" s="1440"/>
      <c r="R23" s="1680"/>
      <c r="S23" s="1440"/>
      <c r="T23" s="1680"/>
      <c r="U23" s="1440"/>
      <c r="V23" s="1680"/>
      <c r="W23" s="1441"/>
      <c r="X23" s="1443"/>
      <c r="Y23" s="1440"/>
      <c r="Z23" s="1680"/>
      <c r="AA23" s="1441"/>
      <c r="AB23" s="1443"/>
      <c r="AC23" s="1440"/>
      <c r="AD23" s="1680"/>
      <c r="AE23" s="1441"/>
      <c r="AF23" s="1443"/>
      <c r="AG23" s="1440"/>
      <c r="AH23" s="1680"/>
      <c r="AI23" s="1441"/>
      <c r="AJ23" s="1443"/>
      <c r="AK23" s="1440"/>
      <c r="AL23" s="1680"/>
      <c r="AM23" s="1441"/>
      <c r="AN23" s="1680"/>
      <c r="AO23" s="1441"/>
      <c r="AP23" s="1444"/>
      <c r="AQ23" s="1709"/>
      <c r="AR23" s="1442"/>
      <c r="AS23" s="1442"/>
      <c r="AT23" s="1442"/>
      <c r="AU23" s="1442"/>
      <c r="AV23" s="1443"/>
      <c r="AW23" s="2281"/>
      <c r="AX23" s="1452"/>
      <c r="AY23" t="str">
        <f t="shared" si="2"/>
        <v/>
      </c>
      <c r="CA23" s="2841" t="str">
        <f t="shared" si="28"/>
        <v/>
      </c>
      <c r="CB23" s="2841" t="str">
        <f t="shared" si="17"/>
        <v/>
      </c>
      <c r="CC23" s="2841" t="str">
        <f t="shared" si="18"/>
        <v/>
      </c>
      <c r="CD23" s="2841" t="str">
        <f t="shared" si="19"/>
        <v/>
      </c>
      <c r="CE23" s="2841" t="str">
        <f t="shared" si="20"/>
        <v/>
      </c>
      <c r="CF23" s="2841" t="str">
        <f t="shared" si="21"/>
        <v/>
      </c>
      <c r="CG23" s="2841" t="str">
        <f t="shared" si="22"/>
        <v/>
      </c>
      <c r="CH23" s="2841" t="str">
        <f t="shared" si="23"/>
        <v/>
      </c>
      <c r="CO23" s="2842">
        <f t="shared" si="11"/>
        <v>0</v>
      </c>
      <c r="CP23" s="2842">
        <f t="shared" si="12"/>
        <v>0</v>
      </c>
      <c r="CQ23" s="2842">
        <f t="shared" si="13"/>
        <v>0</v>
      </c>
      <c r="CR23" s="2842">
        <f t="shared" si="24"/>
        <v>0</v>
      </c>
      <c r="CS23" s="2842">
        <f t="shared" si="25"/>
        <v>0</v>
      </c>
      <c r="CT23" s="2842">
        <f t="shared" si="26"/>
        <v>0</v>
      </c>
      <c r="CU23" s="2842">
        <f t="shared" si="27"/>
        <v>0</v>
      </c>
      <c r="CV23" s="2842">
        <f t="shared" si="15"/>
        <v>0</v>
      </c>
    </row>
    <row r="24" spans="1:100" ht="15" customHeight="1">
      <c r="A24" s="6181" t="s">
        <v>1665</v>
      </c>
      <c r="B24" s="6564"/>
      <c r="C24" s="6182"/>
      <c r="D24" s="408">
        <f t="shared" si="0"/>
        <v>0</v>
      </c>
      <c r="E24" s="421">
        <f t="shared" si="29"/>
        <v>0</v>
      </c>
      <c r="F24" s="1654">
        <f t="shared" si="29"/>
        <v>0</v>
      </c>
      <c r="G24" s="1440"/>
      <c r="H24" s="1680"/>
      <c r="I24" s="1440"/>
      <c r="J24" s="1452"/>
      <c r="K24" s="1440"/>
      <c r="L24" s="1680"/>
      <c r="M24" s="1440"/>
      <c r="N24" s="1452"/>
      <c r="O24" s="1440"/>
      <c r="P24" s="1680"/>
      <c r="Q24" s="1440"/>
      <c r="R24" s="1680"/>
      <c r="S24" s="1440"/>
      <c r="T24" s="1680"/>
      <c r="U24" s="1440"/>
      <c r="V24" s="1680"/>
      <c r="W24" s="1441"/>
      <c r="X24" s="1443"/>
      <c r="Y24" s="1440"/>
      <c r="Z24" s="1680"/>
      <c r="AA24" s="1441"/>
      <c r="AB24" s="1443"/>
      <c r="AC24" s="1440"/>
      <c r="AD24" s="1680"/>
      <c r="AE24" s="1441"/>
      <c r="AF24" s="1443"/>
      <c r="AG24" s="1440"/>
      <c r="AH24" s="1680"/>
      <c r="AI24" s="1441"/>
      <c r="AJ24" s="1443"/>
      <c r="AK24" s="1440"/>
      <c r="AL24" s="1680"/>
      <c r="AM24" s="1441"/>
      <c r="AN24" s="1680"/>
      <c r="AO24" s="1441"/>
      <c r="AP24" s="1444"/>
      <c r="AQ24" s="1709"/>
      <c r="AR24" s="1442"/>
      <c r="AS24" s="1442"/>
      <c r="AT24" s="1442"/>
      <c r="AU24" s="1442"/>
      <c r="AV24" s="1443"/>
      <c r="AW24" s="2281"/>
      <c r="AX24" s="1452"/>
      <c r="AY24" t="str">
        <f t="shared" si="2"/>
        <v/>
      </c>
      <c r="CA24" s="2841" t="str">
        <f t="shared" si="28"/>
        <v/>
      </c>
      <c r="CB24" s="2841" t="str">
        <f t="shared" si="17"/>
        <v/>
      </c>
      <c r="CC24" s="2841" t="str">
        <f t="shared" si="18"/>
        <v/>
      </c>
      <c r="CD24" s="2841" t="str">
        <f t="shared" si="19"/>
        <v/>
      </c>
      <c r="CE24" s="2841" t="str">
        <f t="shared" si="20"/>
        <v/>
      </c>
      <c r="CF24" s="2841" t="str">
        <f t="shared" si="21"/>
        <v/>
      </c>
      <c r="CG24" s="2841" t="str">
        <f t="shared" si="22"/>
        <v/>
      </c>
      <c r="CH24" s="2841" t="str">
        <f t="shared" si="23"/>
        <v/>
      </c>
      <c r="CO24" s="2842">
        <f t="shared" si="11"/>
        <v>0</v>
      </c>
      <c r="CP24" s="2842">
        <f t="shared" si="12"/>
        <v>0</v>
      </c>
      <c r="CQ24" s="2842">
        <f t="shared" si="13"/>
        <v>0</v>
      </c>
      <c r="CR24" s="2842">
        <f t="shared" si="24"/>
        <v>0</v>
      </c>
      <c r="CS24" s="2842">
        <f t="shared" si="25"/>
        <v>0</v>
      </c>
      <c r="CT24" s="2842">
        <f t="shared" si="26"/>
        <v>0</v>
      </c>
      <c r="CU24" s="2842">
        <f t="shared" si="27"/>
        <v>0</v>
      </c>
      <c r="CV24" s="2842">
        <f t="shared" si="15"/>
        <v>0</v>
      </c>
    </row>
    <row r="25" spans="1:100" ht="15" customHeight="1">
      <c r="A25" s="6181" t="s">
        <v>1666</v>
      </c>
      <c r="B25" s="6564"/>
      <c r="C25" s="6182"/>
      <c r="D25" s="408">
        <f t="shared" si="0"/>
        <v>0</v>
      </c>
      <c r="E25" s="421">
        <f t="shared" si="29"/>
        <v>0</v>
      </c>
      <c r="F25" s="1654">
        <f t="shared" si="29"/>
        <v>0</v>
      </c>
      <c r="G25" s="1440"/>
      <c r="H25" s="1680"/>
      <c r="I25" s="1440"/>
      <c r="J25" s="1452"/>
      <c r="K25" s="1440"/>
      <c r="L25" s="1680"/>
      <c r="M25" s="1440"/>
      <c r="N25" s="1452"/>
      <c r="O25" s="1440"/>
      <c r="P25" s="1680"/>
      <c r="Q25" s="1440"/>
      <c r="R25" s="1680"/>
      <c r="S25" s="1440"/>
      <c r="T25" s="1680"/>
      <c r="U25" s="1440"/>
      <c r="V25" s="1680"/>
      <c r="W25" s="1441"/>
      <c r="X25" s="1443"/>
      <c r="Y25" s="1440"/>
      <c r="Z25" s="1680"/>
      <c r="AA25" s="1441"/>
      <c r="AB25" s="1443"/>
      <c r="AC25" s="1440"/>
      <c r="AD25" s="1680"/>
      <c r="AE25" s="1441"/>
      <c r="AF25" s="1443"/>
      <c r="AG25" s="1440"/>
      <c r="AH25" s="1680"/>
      <c r="AI25" s="1441"/>
      <c r="AJ25" s="1443"/>
      <c r="AK25" s="1440"/>
      <c r="AL25" s="1680"/>
      <c r="AM25" s="1441"/>
      <c r="AN25" s="1680"/>
      <c r="AO25" s="1441"/>
      <c r="AP25" s="1444"/>
      <c r="AQ25" s="1709"/>
      <c r="AR25" s="1442"/>
      <c r="AS25" s="1442"/>
      <c r="AT25" s="1442"/>
      <c r="AU25" s="1442"/>
      <c r="AV25" s="1443"/>
      <c r="AW25" s="2281"/>
      <c r="AX25" s="1452"/>
      <c r="AY25" t="str">
        <f t="shared" si="2"/>
        <v/>
      </c>
      <c r="CA25" s="2841" t="str">
        <f t="shared" si="28"/>
        <v/>
      </c>
      <c r="CB25" s="2841" t="str">
        <f t="shared" si="17"/>
        <v/>
      </c>
      <c r="CC25" s="2841" t="str">
        <f t="shared" si="18"/>
        <v/>
      </c>
      <c r="CD25" s="2841" t="str">
        <f t="shared" si="19"/>
        <v/>
      </c>
      <c r="CE25" s="2841" t="str">
        <f t="shared" si="20"/>
        <v/>
      </c>
      <c r="CF25" s="2841" t="str">
        <f t="shared" si="21"/>
        <v/>
      </c>
      <c r="CG25" s="2841" t="str">
        <f t="shared" si="22"/>
        <v/>
      </c>
      <c r="CH25" s="2841" t="str">
        <f t="shared" si="23"/>
        <v/>
      </c>
      <c r="CO25" s="2842">
        <f t="shared" si="11"/>
        <v>0</v>
      </c>
      <c r="CP25" s="2842">
        <f t="shared" si="12"/>
        <v>0</v>
      </c>
      <c r="CQ25" s="2842">
        <f t="shared" si="13"/>
        <v>0</v>
      </c>
      <c r="CR25" s="2842">
        <f t="shared" si="24"/>
        <v>0</v>
      </c>
      <c r="CS25" s="2842">
        <f t="shared" si="25"/>
        <v>0</v>
      </c>
      <c r="CT25" s="2842">
        <f t="shared" si="26"/>
        <v>0</v>
      </c>
      <c r="CU25" s="2842">
        <f t="shared" si="27"/>
        <v>0</v>
      </c>
      <c r="CV25" s="2842">
        <f t="shared" si="15"/>
        <v>0</v>
      </c>
    </row>
    <row r="26" spans="1:100" ht="15" customHeight="1">
      <c r="A26" s="6181" t="s">
        <v>1667</v>
      </c>
      <c r="B26" s="6564"/>
      <c r="C26" s="6182"/>
      <c r="D26" s="408">
        <f t="shared" si="0"/>
        <v>0</v>
      </c>
      <c r="E26" s="421">
        <f t="shared" si="29"/>
        <v>0</v>
      </c>
      <c r="F26" s="1654">
        <f t="shared" si="29"/>
        <v>0</v>
      </c>
      <c r="G26" s="1440"/>
      <c r="H26" s="1680"/>
      <c r="I26" s="1440"/>
      <c r="J26" s="1452"/>
      <c r="K26" s="1440"/>
      <c r="L26" s="1680"/>
      <c r="M26" s="1440"/>
      <c r="N26" s="1452"/>
      <c r="O26" s="1440"/>
      <c r="P26" s="1680"/>
      <c r="Q26" s="1440"/>
      <c r="R26" s="1680"/>
      <c r="S26" s="1440"/>
      <c r="T26" s="1680"/>
      <c r="U26" s="1440"/>
      <c r="V26" s="1680"/>
      <c r="W26" s="1441"/>
      <c r="X26" s="1443"/>
      <c r="Y26" s="1440"/>
      <c r="Z26" s="1680"/>
      <c r="AA26" s="1441"/>
      <c r="AB26" s="1443"/>
      <c r="AC26" s="1440"/>
      <c r="AD26" s="1680"/>
      <c r="AE26" s="1441"/>
      <c r="AF26" s="1443"/>
      <c r="AG26" s="1440"/>
      <c r="AH26" s="1680"/>
      <c r="AI26" s="1441"/>
      <c r="AJ26" s="1443"/>
      <c r="AK26" s="1440"/>
      <c r="AL26" s="1680"/>
      <c r="AM26" s="1441"/>
      <c r="AN26" s="1680"/>
      <c r="AO26" s="1441"/>
      <c r="AP26" s="1444"/>
      <c r="AQ26" s="1709"/>
      <c r="AR26" s="1442"/>
      <c r="AS26" s="1442"/>
      <c r="AT26" s="1442"/>
      <c r="AU26" s="1442"/>
      <c r="AV26" s="1443"/>
      <c r="AW26" s="2281"/>
      <c r="AX26" s="1452"/>
      <c r="AY26" t="str">
        <f t="shared" si="2"/>
        <v/>
      </c>
      <c r="CA26" s="2841" t="str">
        <f t="shared" si="28"/>
        <v/>
      </c>
      <c r="CB26" s="2841" t="str">
        <f t="shared" si="17"/>
        <v/>
      </c>
      <c r="CC26" s="2841" t="str">
        <f t="shared" si="18"/>
        <v/>
      </c>
      <c r="CD26" s="2841" t="str">
        <f t="shared" si="19"/>
        <v/>
      </c>
      <c r="CE26" s="2841" t="str">
        <f t="shared" si="20"/>
        <v/>
      </c>
      <c r="CF26" s="2841" t="str">
        <f t="shared" si="21"/>
        <v/>
      </c>
      <c r="CG26" s="2841" t="str">
        <f t="shared" si="22"/>
        <v/>
      </c>
      <c r="CH26" s="2841" t="str">
        <f t="shared" si="23"/>
        <v/>
      </c>
      <c r="CO26" s="2842">
        <f t="shared" si="11"/>
        <v>0</v>
      </c>
      <c r="CP26" s="2842">
        <f t="shared" si="12"/>
        <v>0</v>
      </c>
      <c r="CQ26" s="2842">
        <f t="shared" si="13"/>
        <v>0</v>
      </c>
      <c r="CR26" s="2842">
        <f t="shared" si="24"/>
        <v>0</v>
      </c>
      <c r="CS26" s="2842">
        <f t="shared" si="25"/>
        <v>0</v>
      </c>
      <c r="CT26" s="2842">
        <f t="shared" si="26"/>
        <v>0</v>
      </c>
      <c r="CU26" s="2842">
        <f t="shared" si="27"/>
        <v>0</v>
      </c>
      <c r="CV26" s="2842">
        <f t="shared" si="15"/>
        <v>0</v>
      </c>
    </row>
    <row r="27" spans="1:100" ht="15" customHeight="1">
      <c r="A27" s="6181" t="s">
        <v>1668</v>
      </c>
      <c r="B27" s="6564"/>
      <c r="C27" s="6182"/>
      <c r="D27" s="408">
        <f t="shared" si="0"/>
        <v>0</v>
      </c>
      <c r="E27" s="421">
        <f t="shared" si="29"/>
        <v>0</v>
      </c>
      <c r="F27" s="1654">
        <f t="shared" si="29"/>
        <v>0</v>
      </c>
      <c r="G27" s="1440"/>
      <c r="H27" s="1680"/>
      <c r="I27" s="1440"/>
      <c r="J27" s="1452"/>
      <c r="K27" s="1440"/>
      <c r="L27" s="1680"/>
      <c r="M27" s="1440"/>
      <c r="N27" s="1452"/>
      <c r="O27" s="1440"/>
      <c r="P27" s="1680"/>
      <c r="Q27" s="1440"/>
      <c r="R27" s="1680"/>
      <c r="S27" s="1440"/>
      <c r="T27" s="1680"/>
      <c r="U27" s="1440"/>
      <c r="V27" s="1680"/>
      <c r="W27" s="1441"/>
      <c r="X27" s="1443"/>
      <c r="Y27" s="1440"/>
      <c r="Z27" s="1680"/>
      <c r="AA27" s="1441"/>
      <c r="AB27" s="1443"/>
      <c r="AC27" s="1440"/>
      <c r="AD27" s="1680"/>
      <c r="AE27" s="1441"/>
      <c r="AF27" s="1443"/>
      <c r="AG27" s="1440"/>
      <c r="AH27" s="1680"/>
      <c r="AI27" s="1441"/>
      <c r="AJ27" s="1443"/>
      <c r="AK27" s="1440"/>
      <c r="AL27" s="1680"/>
      <c r="AM27" s="1441"/>
      <c r="AN27" s="1680"/>
      <c r="AO27" s="1441"/>
      <c r="AP27" s="1444"/>
      <c r="AQ27" s="1709"/>
      <c r="AR27" s="1442"/>
      <c r="AS27" s="1442"/>
      <c r="AT27" s="1442"/>
      <c r="AU27" s="1442"/>
      <c r="AV27" s="1443"/>
      <c r="AW27" s="2281"/>
      <c r="AX27" s="1452"/>
      <c r="AY27" t="str">
        <f t="shared" si="2"/>
        <v/>
      </c>
      <c r="CA27" s="2841" t="str">
        <f t="shared" si="28"/>
        <v/>
      </c>
      <c r="CB27" s="2841" t="str">
        <f t="shared" si="17"/>
        <v/>
      </c>
      <c r="CC27" s="2841" t="str">
        <f t="shared" si="18"/>
        <v/>
      </c>
      <c r="CD27" s="2841" t="str">
        <f t="shared" si="19"/>
        <v/>
      </c>
      <c r="CE27" s="2841" t="str">
        <f t="shared" si="20"/>
        <v/>
      </c>
      <c r="CF27" s="2841" t="str">
        <f t="shared" si="21"/>
        <v/>
      </c>
      <c r="CG27" s="2841" t="str">
        <f t="shared" si="22"/>
        <v/>
      </c>
      <c r="CH27" s="2841" t="str">
        <f t="shared" si="23"/>
        <v/>
      </c>
      <c r="CO27" s="2842">
        <f t="shared" si="11"/>
        <v>0</v>
      </c>
      <c r="CP27" s="2842">
        <f t="shared" si="12"/>
        <v>0</v>
      </c>
      <c r="CQ27" s="2842">
        <f t="shared" si="13"/>
        <v>0</v>
      </c>
      <c r="CR27" s="2842">
        <f t="shared" si="24"/>
        <v>0</v>
      </c>
      <c r="CS27" s="2842">
        <f t="shared" si="25"/>
        <v>0</v>
      </c>
      <c r="CT27" s="2842">
        <f t="shared" si="26"/>
        <v>0</v>
      </c>
      <c r="CU27" s="2842">
        <f t="shared" si="27"/>
        <v>0</v>
      </c>
      <c r="CV27" s="2842">
        <f t="shared" si="15"/>
        <v>0</v>
      </c>
    </row>
    <row r="28" spans="1:100" ht="15" customHeight="1">
      <c r="A28" s="6181" t="s">
        <v>1669</v>
      </c>
      <c r="B28" s="6564"/>
      <c r="C28" s="6182"/>
      <c r="D28" s="2849">
        <f t="shared" si="0"/>
        <v>0</v>
      </c>
      <c r="E28" s="421">
        <f t="shared" si="29"/>
        <v>0</v>
      </c>
      <c r="F28" s="1654">
        <f t="shared" si="29"/>
        <v>0</v>
      </c>
      <c r="G28" s="1440"/>
      <c r="H28" s="1680"/>
      <c r="I28" s="1440"/>
      <c r="J28" s="1452"/>
      <c r="K28" s="1440"/>
      <c r="L28" s="1680"/>
      <c r="M28" s="1440"/>
      <c r="N28" s="1452"/>
      <c r="O28" s="1440"/>
      <c r="P28" s="1680"/>
      <c r="Q28" s="1440"/>
      <c r="R28" s="1680"/>
      <c r="S28" s="1440"/>
      <c r="T28" s="1680"/>
      <c r="U28" s="1440"/>
      <c r="V28" s="1680"/>
      <c r="W28" s="1441"/>
      <c r="X28" s="1443"/>
      <c r="Y28" s="1440"/>
      <c r="Z28" s="1680"/>
      <c r="AA28" s="1441"/>
      <c r="AB28" s="1443"/>
      <c r="AC28" s="1440"/>
      <c r="AD28" s="1680"/>
      <c r="AE28" s="1441"/>
      <c r="AF28" s="1443"/>
      <c r="AG28" s="1440"/>
      <c r="AH28" s="1680"/>
      <c r="AI28" s="1441"/>
      <c r="AJ28" s="1443"/>
      <c r="AK28" s="1440"/>
      <c r="AL28" s="1680"/>
      <c r="AM28" s="1441"/>
      <c r="AN28" s="1680"/>
      <c r="AO28" s="1441"/>
      <c r="AP28" s="1444"/>
      <c r="AQ28" s="1709"/>
      <c r="AR28" s="1442"/>
      <c r="AS28" s="1442"/>
      <c r="AT28" s="1442"/>
      <c r="AU28" s="1442"/>
      <c r="AV28" s="1443"/>
      <c r="AW28" s="2281"/>
      <c r="AX28" s="1452"/>
      <c r="AY28" t="str">
        <f t="shared" si="2"/>
        <v/>
      </c>
      <c r="CA28" s="2841" t="str">
        <f t="shared" si="28"/>
        <v/>
      </c>
      <c r="CB28" s="2841" t="str">
        <f t="shared" si="17"/>
        <v/>
      </c>
      <c r="CC28" s="2841" t="str">
        <f t="shared" si="18"/>
        <v/>
      </c>
      <c r="CD28" s="2841" t="str">
        <f t="shared" si="19"/>
        <v/>
      </c>
      <c r="CE28" s="2841" t="str">
        <f t="shared" si="20"/>
        <v/>
      </c>
      <c r="CF28" s="2841" t="str">
        <f t="shared" si="21"/>
        <v/>
      </c>
      <c r="CG28" s="2841" t="str">
        <f t="shared" si="22"/>
        <v/>
      </c>
      <c r="CH28" s="2841" t="str">
        <f t="shared" si="23"/>
        <v/>
      </c>
      <c r="CO28" s="2842">
        <f t="shared" si="11"/>
        <v>0</v>
      </c>
      <c r="CP28" s="2842">
        <f t="shared" si="12"/>
        <v>0</v>
      </c>
      <c r="CQ28" s="2842">
        <f t="shared" si="13"/>
        <v>0</v>
      </c>
      <c r="CR28" s="2842">
        <f t="shared" si="24"/>
        <v>0</v>
      </c>
      <c r="CS28" s="2842">
        <f t="shared" si="25"/>
        <v>0</v>
      </c>
      <c r="CT28" s="2842">
        <f t="shared" si="26"/>
        <v>0</v>
      </c>
      <c r="CU28" s="2842">
        <f t="shared" si="27"/>
        <v>0</v>
      </c>
      <c r="CV28" s="2842">
        <f t="shared" si="15"/>
        <v>0</v>
      </c>
    </row>
    <row r="29" spans="1:100" ht="15" customHeight="1">
      <c r="A29" s="6181" t="s">
        <v>1670</v>
      </c>
      <c r="B29" s="6564"/>
      <c r="C29" s="6182"/>
      <c r="D29" s="2849">
        <f t="shared" si="0"/>
        <v>0</v>
      </c>
      <c r="E29" s="421">
        <f t="shared" si="29"/>
        <v>0</v>
      </c>
      <c r="F29" s="1654">
        <f t="shared" si="29"/>
        <v>0</v>
      </c>
      <c r="G29" s="1440"/>
      <c r="H29" s="1680"/>
      <c r="I29" s="1440"/>
      <c r="J29" s="1452"/>
      <c r="K29" s="1440"/>
      <c r="L29" s="1680"/>
      <c r="M29" s="1440"/>
      <c r="N29" s="1452"/>
      <c r="O29" s="1440"/>
      <c r="P29" s="1680"/>
      <c r="Q29" s="1440"/>
      <c r="R29" s="1680"/>
      <c r="S29" s="1440"/>
      <c r="T29" s="1680"/>
      <c r="U29" s="1440"/>
      <c r="V29" s="1680"/>
      <c r="W29" s="1441"/>
      <c r="X29" s="1443"/>
      <c r="Y29" s="1440"/>
      <c r="Z29" s="1680"/>
      <c r="AA29" s="1441"/>
      <c r="AB29" s="1443"/>
      <c r="AC29" s="1440"/>
      <c r="AD29" s="1680"/>
      <c r="AE29" s="1441"/>
      <c r="AF29" s="1443"/>
      <c r="AG29" s="1440"/>
      <c r="AH29" s="1680"/>
      <c r="AI29" s="1441"/>
      <c r="AJ29" s="1443"/>
      <c r="AK29" s="1440"/>
      <c r="AL29" s="1680"/>
      <c r="AM29" s="1441"/>
      <c r="AN29" s="1680"/>
      <c r="AO29" s="1441"/>
      <c r="AP29" s="1444"/>
      <c r="AQ29" s="1709"/>
      <c r="AR29" s="1442"/>
      <c r="AS29" s="1442"/>
      <c r="AT29" s="1442"/>
      <c r="AU29" s="1442"/>
      <c r="AV29" s="1443"/>
      <c r="AW29" s="2281"/>
      <c r="AX29" s="1452"/>
      <c r="AY29" t="str">
        <f t="shared" si="2"/>
        <v/>
      </c>
      <c r="CA29" s="2841" t="str">
        <f t="shared" si="28"/>
        <v/>
      </c>
      <c r="CB29" s="2841" t="str">
        <f t="shared" si="17"/>
        <v/>
      </c>
      <c r="CC29" s="2841" t="str">
        <f t="shared" si="18"/>
        <v/>
      </c>
      <c r="CD29" s="2841" t="str">
        <f t="shared" si="19"/>
        <v/>
      </c>
      <c r="CE29" s="2841" t="str">
        <f t="shared" si="20"/>
        <v/>
      </c>
      <c r="CF29" s="2841" t="str">
        <f t="shared" si="21"/>
        <v/>
      </c>
      <c r="CG29" s="2841" t="str">
        <f t="shared" si="22"/>
        <v/>
      </c>
      <c r="CH29" s="2841" t="str">
        <f t="shared" si="23"/>
        <v/>
      </c>
      <c r="CO29" s="2842">
        <f t="shared" si="11"/>
        <v>0</v>
      </c>
      <c r="CP29" s="2842">
        <f t="shared" si="12"/>
        <v>0</v>
      </c>
      <c r="CQ29" s="2842">
        <f t="shared" si="13"/>
        <v>0</v>
      </c>
      <c r="CR29" s="2842">
        <f t="shared" si="24"/>
        <v>0</v>
      </c>
      <c r="CS29" s="2842">
        <f t="shared" si="25"/>
        <v>0</v>
      </c>
      <c r="CT29" s="2842">
        <f t="shared" si="26"/>
        <v>0</v>
      </c>
      <c r="CU29" s="2842">
        <f t="shared" si="27"/>
        <v>0</v>
      </c>
      <c r="CV29" s="2842">
        <f t="shared" si="15"/>
        <v>0</v>
      </c>
    </row>
    <row r="30" spans="1:100" ht="15" customHeight="1">
      <c r="A30" s="6181" t="s">
        <v>1671</v>
      </c>
      <c r="B30" s="6564"/>
      <c r="C30" s="6182"/>
      <c r="D30" s="408">
        <f t="shared" si="0"/>
        <v>0</v>
      </c>
      <c r="E30" s="421">
        <f t="shared" si="29"/>
        <v>0</v>
      </c>
      <c r="F30" s="1654">
        <f t="shared" si="29"/>
        <v>0</v>
      </c>
      <c r="G30" s="1440"/>
      <c r="H30" s="1680"/>
      <c r="I30" s="1440"/>
      <c r="J30" s="1452"/>
      <c r="K30" s="1440"/>
      <c r="L30" s="1680"/>
      <c r="M30" s="1440"/>
      <c r="N30" s="1452"/>
      <c r="O30" s="1440"/>
      <c r="P30" s="1680"/>
      <c r="Q30" s="1440"/>
      <c r="R30" s="1680"/>
      <c r="S30" s="1440"/>
      <c r="T30" s="1680"/>
      <c r="U30" s="1440"/>
      <c r="V30" s="1680"/>
      <c r="W30" s="1441"/>
      <c r="X30" s="1443"/>
      <c r="Y30" s="1440"/>
      <c r="Z30" s="1680"/>
      <c r="AA30" s="1441"/>
      <c r="AB30" s="1443"/>
      <c r="AC30" s="1440"/>
      <c r="AD30" s="1680"/>
      <c r="AE30" s="1441"/>
      <c r="AF30" s="1443"/>
      <c r="AG30" s="1440"/>
      <c r="AH30" s="1680"/>
      <c r="AI30" s="1441"/>
      <c r="AJ30" s="1443"/>
      <c r="AK30" s="1440"/>
      <c r="AL30" s="1680"/>
      <c r="AM30" s="1441"/>
      <c r="AN30" s="1680"/>
      <c r="AO30" s="1441"/>
      <c r="AP30" s="1444"/>
      <c r="AQ30" s="1709"/>
      <c r="AR30" s="1442"/>
      <c r="AS30" s="1442"/>
      <c r="AT30" s="1442"/>
      <c r="AU30" s="1442"/>
      <c r="AV30" s="1443"/>
      <c r="AW30" s="2281"/>
      <c r="AX30" s="1452"/>
      <c r="AY30" t="str">
        <f t="shared" si="2"/>
        <v/>
      </c>
      <c r="CA30" s="2841" t="str">
        <f t="shared" si="28"/>
        <v/>
      </c>
      <c r="CB30" s="2841" t="str">
        <f t="shared" si="17"/>
        <v/>
      </c>
      <c r="CC30" s="2841" t="str">
        <f t="shared" si="18"/>
        <v/>
      </c>
      <c r="CD30" s="2841" t="str">
        <f t="shared" si="19"/>
        <v/>
      </c>
      <c r="CE30" s="2841" t="str">
        <f t="shared" si="20"/>
        <v/>
      </c>
      <c r="CF30" s="2841" t="str">
        <f t="shared" si="21"/>
        <v/>
      </c>
      <c r="CG30" s="2841" t="str">
        <f t="shared" si="22"/>
        <v/>
      </c>
      <c r="CH30" s="2841" t="str">
        <f t="shared" si="23"/>
        <v/>
      </c>
      <c r="CO30" s="2842">
        <f t="shared" si="11"/>
        <v>0</v>
      </c>
      <c r="CP30" s="2842">
        <f t="shared" si="12"/>
        <v>0</v>
      </c>
      <c r="CQ30" s="2842">
        <f t="shared" si="13"/>
        <v>0</v>
      </c>
      <c r="CR30" s="2842">
        <f t="shared" si="24"/>
        <v>0</v>
      </c>
      <c r="CS30" s="2842">
        <f t="shared" si="25"/>
        <v>0</v>
      </c>
      <c r="CT30" s="2842">
        <f t="shared" si="26"/>
        <v>0</v>
      </c>
      <c r="CU30" s="2842">
        <f t="shared" si="27"/>
        <v>0</v>
      </c>
      <c r="CV30" s="2842">
        <f t="shared" si="15"/>
        <v>0</v>
      </c>
    </row>
    <row r="31" spans="1:100" ht="15" customHeight="1">
      <c r="A31" s="6181" t="s">
        <v>1672</v>
      </c>
      <c r="B31" s="6564"/>
      <c r="C31" s="6182"/>
      <c r="D31" s="408">
        <f t="shared" si="0"/>
        <v>0</v>
      </c>
      <c r="E31" s="421">
        <f t="shared" si="29"/>
        <v>0</v>
      </c>
      <c r="F31" s="1654">
        <f t="shared" si="29"/>
        <v>0</v>
      </c>
      <c r="G31" s="1440"/>
      <c r="H31" s="1680"/>
      <c r="I31" s="1440"/>
      <c r="J31" s="1452"/>
      <c r="K31" s="1440"/>
      <c r="L31" s="1680"/>
      <c r="M31" s="1440"/>
      <c r="N31" s="1452"/>
      <c r="O31" s="1440"/>
      <c r="P31" s="1680"/>
      <c r="Q31" s="1440"/>
      <c r="R31" s="1680"/>
      <c r="S31" s="1440"/>
      <c r="T31" s="1680"/>
      <c r="U31" s="1440"/>
      <c r="V31" s="1680"/>
      <c r="W31" s="1441"/>
      <c r="X31" s="1443"/>
      <c r="Y31" s="1440"/>
      <c r="Z31" s="1680"/>
      <c r="AA31" s="1441"/>
      <c r="AB31" s="1443"/>
      <c r="AC31" s="1440"/>
      <c r="AD31" s="1680"/>
      <c r="AE31" s="1441"/>
      <c r="AF31" s="1443"/>
      <c r="AG31" s="1440"/>
      <c r="AH31" s="1680"/>
      <c r="AI31" s="1441"/>
      <c r="AJ31" s="1443"/>
      <c r="AK31" s="1440"/>
      <c r="AL31" s="1680"/>
      <c r="AM31" s="1441"/>
      <c r="AN31" s="1680"/>
      <c r="AO31" s="1441"/>
      <c r="AP31" s="1444"/>
      <c r="AQ31" s="1709"/>
      <c r="AR31" s="1442"/>
      <c r="AS31" s="1442"/>
      <c r="AT31" s="1442"/>
      <c r="AU31" s="1442"/>
      <c r="AV31" s="1443"/>
      <c r="AW31" s="2281"/>
      <c r="AX31" s="1452"/>
      <c r="AY31" t="str">
        <f t="shared" si="2"/>
        <v/>
      </c>
      <c r="CA31" s="2841" t="str">
        <f t="shared" si="28"/>
        <v/>
      </c>
      <c r="CB31" s="2841" t="str">
        <f t="shared" si="17"/>
        <v/>
      </c>
      <c r="CC31" s="2841" t="str">
        <f t="shared" si="18"/>
        <v/>
      </c>
      <c r="CD31" s="2841" t="str">
        <f t="shared" si="19"/>
        <v/>
      </c>
      <c r="CE31" s="2841" t="str">
        <f t="shared" si="20"/>
        <v/>
      </c>
      <c r="CF31" s="2841" t="str">
        <f t="shared" si="21"/>
        <v/>
      </c>
      <c r="CG31" s="2841" t="str">
        <f t="shared" si="22"/>
        <v/>
      </c>
      <c r="CH31" s="2841" t="str">
        <f t="shared" si="23"/>
        <v/>
      </c>
      <c r="CO31" s="2842">
        <f t="shared" si="11"/>
        <v>0</v>
      </c>
      <c r="CP31" s="2842">
        <f t="shared" si="12"/>
        <v>0</v>
      </c>
      <c r="CQ31" s="2842">
        <f t="shared" si="13"/>
        <v>0</v>
      </c>
      <c r="CR31" s="2842">
        <f t="shared" si="24"/>
        <v>0</v>
      </c>
      <c r="CS31" s="2842">
        <f t="shared" si="25"/>
        <v>0</v>
      </c>
      <c r="CT31" s="2842">
        <f t="shared" si="26"/>
        <v>0</v>
      </c>
      <c r="CU31" s="2842">
        <f t="shared" si="27"/>
        <v>0</v>
      </c>
      <c r="CV31" s="2842">
        <f t="shared" si="15"/>
        <v>0</v>
      </c>
    </row>
    <row r="32" spans="1:100" ht="15" customHeight="1">
      <c r="A32" s="6181" t="s">
        <v>1673</v>
      </c>
      <c r="B32" s="6564"/>
      <c r="C32" s="6182"/>
      <c r="D32" s="408">
        <f t="shared" si="0"/>
        <v>0</v>
      </c>
      <c r="E32" s="421">
        <f t="shared" si="29"/>
        <v>0</v>
      </c>
      <c r="F32" s="1654">
        <f t="shared" si="29"/>
        <v>0</v>
      </c>
      <c r="G32" s="1440"/>
      <c r="H32" s="1680"/>
      <c r="I32" s="1440"/>
      <c r="J32" s="1452"/>
      <c r="K32" s="1440"/>
      <c r="L32" s="1680"/>
      <c r="M32" s="1440"/>
      <c r="N32" s="1452"/>
      <c r="O32" s="1440"/>
      <c r="P32" s="1680"/>
      <c r="Q32" s="1440"/>
      <c r="R32" s="1680"/>
      <c r="S32" s="1440"/>
      <c r="T32" s="1680"/>
      <c r="U32" s="1440"/>
      <c r="V32" s="1680"/>
      <c r="W32" s="1441"/>
      <c r="X32" s="1443"/>
      <c r="Y32" s="1440"/>
      <c r="Z32" s="1680"/>
      <c r="AA32" s="1441"/>
      <c r="AB32" s="1443"/>
      <c r="AC32" s="1440"/>
      <c r="AD32" s="1680"/>
      <c r="AE32" s="1441"/>
      <c r="AF32" s="1443"/>
      <c r="AG32" s="1440"/>
      <c r="AH32" s="1680"/>
      <c r="AI32" s="1441"/>
      <c r="AJ32" s="1443"/>
      <c r="AK32" s="1440"/>
      <c r="AL32" s="1680"/>
      <c r="AM32" s="1441"/>
      <c r="AN32" s="1680"/>
      <c r="AO32" s="1441"/>
      <c r="AP32" s="1444"/>
      <c r="AQ32" s="1709"/>
      <c r="AR32" s="1442"/>
      <c r="AS32" s="1442"/>
      <c r="AT32" s="1442"/>
      <c r="AU32" s="1442"/>
      <c r="AV32" s="1443"/>
      <c r="AW32" s="2281"/>
      <c r="AX32" s="1452"/>
      <c r="AY32" t="str">
        <f t="shared" si="2"/>
        <v/>
      </c>
      <c r="CA32" s="2841" t="str">
        <f t="shared" si="28"/>
        <v/>
      </c>
      <c r="CB32" s="2841" t="str">
        <f t="shared" si="17"/>
        <v/>
      </c>
      <c r="CC32" s="2841" t="str">
        <f t="shared" si="18"/>
        <v/>
      </c>
      <c r="CD32" s="2841" t="str">
        <f t="shared" si="19"/>
        <v/>
      </c>
      <c r="CE32" s="2841" t="str">
        <f t="shared" si="20"/>
        <v/>
      </c>
      <c r="CF32" s="2841" t="str">
        <f t="shared" si="21"/>
        <v/>
      </c>
      <c r="CG32" s="2841" t="str">
        <f t="shared" si="22"/>
        <v/>
      </c>
      <c r="CH32" s="2841" t="str">
        <f t="shared" si="23"/>
        <v/>
      </c>
      <c r="CO32" s="2842">
        <f t="shared" si="11"/>
        <v>0</v>
      </c>
      <c r="CP32" s="2842">
        <f t="shared" si="12"/>
        <v>0</v>
      </c>
      <c r="CQ32" s="2842">
        <f t="shared" si="13"/>
        <v>0</v>
      </c>
      <c r="CR32" s="2842">
        <f t="shared" si="24"/>
        <v>0</v>
      </c>
      <c r="CS32" s="2842">
        <f t="shared" si="25"/>
        <v>0</v>
      </c>
      <c r="CT32" s="2842">
        <f t="shared" si="26"/>
        <v>0</v>
      </c>
      <c r="CU32" s="2842">
        <f t="shared" si="27"/>
        <v>0</v>
      </c>
      <c r="CV32" s="2842">
        <f t="shared" si="15"/>
        <v>0</v>
      </c>
    </row>
    <row r="33" spans="1:100" ht="15" customHeight="1">
      <c r="A33" s="6181" t="s">
        <v>1674</v>
      </c>
      <c r="B33" s="6564"/>
      <c r="C33" s="6182"/>
      <c r="D33" s="408">
        <f t="shared" si="0"/>
        <v>0</v>
      </c>
      <c r="E33" s="421">
        <f t="shared" si="29"/>
        <v>0</v>
      </c>
      <c r="F33" s="1654">
        <f t="shared" si="29"/>
        <v>0</v>
      </c>
      <c r="G33" s="1440"/>
      <c r="H33" s="1680"/>
      <c r="I33" s="1440"/>
      <c r="J33" s="1452"/>
      <c r="K33" s="1440"/>
      <c r="L33" s="1680"/>
      <c r="M33" s="1440"/>
      <c r="N33" s="1452"/>
      <c r="O33" s="1440"/>
      <c r="P33" s="1680"/>
      <c r="Q33" s="1440"/>
      <c r="R33" s="1680"/>
      <c r="S33" s="1440"/>
      <c r="T33" s="1680"/>
      <c r="U33" s="1440"/>
      <c r="V33" s="1680"/>
      <c r="W33" s="1441"/>
      <c r="X33" s="1443"/>
      <c r="Y33" s="1440"/>
      <c r="Z33" s="1680"/>
      <c r="AA33" s="1441"/>
      <c r="AB33" s="1443"/>
      <c r="AC33" s="1440"/>
      <c r="AD33" s="1680"/>
      <c r="AE33" s="1441"/>
      <c r="AF33" s="1443"/>
      <c r="AG33" s="1440"/>
      <c r="AH33" s="1680"/>
      <c r="AI33" s="1441"/>
      <c r="AJ33" s="1443"/>
      <c r="AK33" s="1440"/>
      <c r="AL33" s="1680"/>
      <c r="AM33" s="1441"/>
      <c r="AN33" s="1680"/>
      <c r="AO33" s="1441"/>
      <c r="AP33" s="1444"/>
      <c r="AQ33" s="1709"/>
      <c r="AR33" s="1442"/>
      <c r="AS33" s="1442"/>
      <c r="AT33" s="1442"/>
      <c r="AU33" s="1442"/>
      <c r="AV33" s="1443"/>
      <c r="AW33" s="2281"/>
      <c r="AX33" s="1452"/>
      <c r="AY33" t="str">
        <f t="shared" si="2"/>
        <v/>
      </c>
      <c r="CA33" s="2841" t="str">
        <f t="shared" si="28"/>
        <v/>
      </c>
      <c r="CB33" s="2841" t="str">
        <f t="shared" si="17"/>
        <v/>
      </c>
      <c r="CC33" s="2841" t="str">
        <f t="shared" si="18"/>
        <v/>
      </c>
      <c r="CD33" s="2841" t="str">
        <f t="shared" si="19"/>
        <v/>
      </c>
      <c r="CE33" s="2841" t="str">
        <f t="shared" si="20"/>
        <v/>
      </c>
      <c r="CF33" s="2841" t="str">
        <f t="shared" si="21"/>
        <v/>
      </c>
      <c r="CG33" s="2841" t="str">
        <f t="shared" si="22"/>
        <v/>
      </c>
      <c r="CH33" s="2841" t="str">
        <f t="shared" si="23"/>
        <v/>
      </c>
      <c r="CO33" s="2842">
        <f t="shared" si="11"/>
        <v>0</v>
      </c>
      <c r="CP33" s="2842">
        <f t="shared" si="12"/>
        <v>0</v>
      </c>
      <c r="CQ33" s="2842">
        <f t="shared" si="13"/>
        <v>0</v>
      </c>
      <c r="CR33" s="2842">
        <f t="shared" si="24"/>
        <v>0</v>
      </c>
      <c r="CS33" s="2842">
        <f t="shared" si="25"/>
        <v>0</v>
      </c>
      <c r="CT33" s="2842">
        <f t="shared" si="26"/>
        <v>0</v>
      </c>
      <c r="CU33" s="2842">
        <f t="shared" si="27"/>
        <v>0</v>
      </c>
      <c r="CV33" s="2842">
        <f t="shared" si="15"/>
        <v>0</v>
      </c>
    </row>
    <row r="34" spans="1:100" ht="15" customHeight="1">
      <c r="A34" s="6181" t="s">
        <v>1675</v>
      </c>
      <c r="B34" s="6564"/>
      <c r="C34" s="6182"/>
      <c r="D34" s="408">
        <f t="shared" si="0"/>
        <v>0</v>
      </c>
      <c r="E34" s="421">
        <f>SUM(U34+W34+Y34+AA34+AC34+AE34+AG34+AI34+AK34+AM34+AO34)</f>
        <v>0</v>
      </c>
      <c r="F34" s="1654">
        <f>SUM(V34+X34+Z34+AB34+AD34+AF34+AH34+AJ34+AL34+AN34+AP34)</f>
        <v>0</v>
      </c>
      <c r="G34" s="1763"/>
      <c r="H34" s="2205"/>
      <c r="I34" s="1763"/>
      <c r="J34" s="1764"/>
      <c r="K34" s="1763"/>
      <c r="L34" s="2205"/>
      <c r="M34" s="1763"/>
      <c r="N34" s="1764"/>
      <c r="O34" s="1763"/>
      <c r="P34" s="2205"/>
      <c r="Q34" s="1763"/>
      <c r="R34" s="2205"/>
      <c r="S34" s="1763"/>
      <c r="T34" s="2205"/>
      <c r="U34" s="1440"/>
      <c r="V34" s="1680"/>
      <c r="W34" s="1441"/>
      <c r="X34" s="1443"/>
      <c r="Y34" s="1440"/>
      <c r="Z34" s="1680"/>
      <c r="AA34" s="1441"/>
      <c r="AB34" s="1443"/>
      <c r="AC34" s="1440"/>
      <c r="AD34" s="1680"/>
      <c r="AE34" s="1441"/>
      <c r="AF34" s="1443"/>
      <c r="AG34" s="1440"/>
      <c r="AH34" s="1680"/>
      <c r="AI34" s="1441"/>
      <c r="AJ34" s="1443"/>
      <c r="AK34" s="1440"/>
      <c r="AL34" s="1680"/>
      <c r="AM34" s="1441"/>
      <c r="AN34" s="1680"/>
      <c r="AO34" s="1441"/>
      <c r="AP34" s="1444"/>
      <c r="AQ34" s="1709"/>
      <c r="AR34" s="1442"/>
      <c r="AS34" s="1442"/>
      <c r="AT34" s="1442"/>
      <c r="AU34" s="1442"/>
      <c r="AV34" s="1443"/>
      <c r="AW34" s="2281"/>
      <c r="AX34" s="1452"/>
      <c r="AY34" t="str">
        <f t="shared" si="2"/>
        <v/>
      </c>
      <c r="CA34" s="2841" t="str">
        <f t="shared" si="28"/>
        <v/>
      </c>
      <c r="CB34" s="2841" t="str">
        <f t="shared" si="17"/>
        <v/>
      </c>
      <c r="CC34" s="2841" t="str">
        <f t="shared" si="18"/>
        <v/>
      </c>
      <c r="CD34" s="2841" t="str">
        <f t="shared" si="19"/>
        <v/>
      </c>
      <c r="CE34" s="2841" t="str">
        <f t="shared" si="20"/>
        <v/>
      </c>
      <c r="CF34" s="2841" t="str">
        <f t="shared" si="21"/>
        <v/>
      </c>
      <c r="CG34" s="2841" t="str">
        <f t="shared" si="22"/>
        <v/>
      </c>
      <c r="CH34" s="2841" t="str">
        <f t="shared" si="23"/>
        <v/>
      </c>
      <c r="CO34" s="2842">
        <f t="shared" si="11"/>
        <v>0</v>
      </c>
      <c r="CP34" s="2842">
        <f t="shared" si="12"/>
        <v>0</v>
      </c>
      <c r="CQ34" s="2842">
        <f t="shared" si="13"/>
        <v>0</v>
      </c>
      <c r="CR34" s="2842">
        <f t="shared" si="24"/>
        <v>0</v>
      </c>
      <c r="CS34" s="2842">
        <f t="shared" si="25"/>
        <v>0</v>
      </c>
      <c r="CT34" s="2842">
        <f t="shared" si="26"/>
        <v>0</v>
      </c>
      <c r="CU34" s="2842">
        <f t="shared" si="27"/>
        <v>0</v>
      </c>
      <c r="CV34" s="2842">
        <f t="shared" si="15"/>
        <v>0</v>
      </c>
    </row>
    <row r="35" spans="1:100" ht="15" customHeight="1">
      <c r="A35" s="6181" t="s">
        <v>1676</v>
      </c>
      <c r="B35" s="6564"/>
      <c r="C35" s="6182"/>
      <c r="D35" s="408">
        <f t="shared" si="0"/>
        <v>0</v>
      </c>
      <c r="E35" s="421">
        <f t="shared" ref="E35:F38" si="30">SUM(G35+I35+K35+M35+O35+Q35+S35+U35+W35+Y35+AA35+AC35+AE35+AG35+AI35+AK35+AM35+AO35)</f>
        <v>0</v>
      </c>
      <c r="F35" s="1654">
        <f t="shared" si="30"/>
        <v>0</v>
      </c>
      <c r="G35" s="1440"/>
      <c r="H35" s="1680"/>
      <c r="I35" s="1440"/>
      <c r="J35" s="1452"/>
      <c r="K35" s="1440"/>
      <c r="L35" s="1680"/>
      <c r="M35" s="1440"/>
      <c r="N35" s="1452"/>
      <c r="O35" s="1440"/>
      <c r="P35" s="1680"/>
      <c r="Q35" s="1440"/>
      <c r="R35" s="1680"/>
      <c r="S35" s="1440"/>
      <c r="T35" s="1680"/>
      <c r="U35" s="1440"/>
      <c r="V35" s="1680"/>
      <c r="W35" s="1441"/>
      <c r="X35" s="1443"/>
      <c r="Y35" s="1440"/>
      <c r="Z35" s="1680"/>
      <c r="AA35" s="1441"/>
      <c r="AB35" s="1443"/>
      <c r="AC35" s="1440"/>
      <c r="AD35" s="1680"/>
      <c r="AE35" s="1441"/>
      <c r="AF35" s="1443"/>
      <c r="AG35" s="1440"/>
      <c r="AH35" s="1680"/>
      <c r="AI35" s="1441"/>
      <c r="AJ35" s="1443"/>
      <c r="AK35" s="1440"/>
      <c r="AL35" s="1680"/>
      <c r="AM35" s="1441"/>
      <c r="AN35" s="1680"/>
      <c r="AO35" s="1441"/>
      <c r="AP35" s="1444"/>
      <c r="AQ35" s="1709"/>
      <c r="AR35" s="1442"/>
      <c r="AS35" s="1442"/>
      <c r="AT35" s="1442"/>
      <c r="AU35" s="1442"/>
      <c r="AV35" s="1443"/>
      <c r="AW35" s="2281"/>
      <c r="AX35" s="1452"/>
      <c r="AY35" t="str">
        <f t="shared" si="2"/>
        <v/>
      </c>
      <c r="CA35" s="2841" t="str">
        <f t="shared" si="28"/>
        <v/>
      </c>
      <c r="CB35" s="2841" t="str">
        <f t="shared" si="17"/>
        <v/>
      </c>
      <c r="CC35" s="2841" t="str">
        <f t="shared" si="18"/>
        <v/>
      </c>
      <c r="CD35" s="2841" t="str">
        <f t="shared" si="19"/>
        <v/>
      </c>
      <c r="CE35" s="2841" t="str">
        <f t="shared" si="20"/>
        <v/>
      </c>
      <c r="CF35" s="2841" t="str">
        <f t="shared" si="21"/>
        <v/>
      </c>
      <c r="CG35" s="2841" t="str">
        <f t="shared" si="22"/>
        <v/>
      </c>
      <c r="CH35" s="2841" t="str">
        <f t="shared" si="23"/>
        <v/>
      </c>
      <c r="CO35" s="2842">
        <f t="shared" si="11"/>
        <v>0</v>
      </c>
      <c r="CP35" s="2842">
        <f t="shared" si="12"/>
        <v>0</v>
      </c>
      <c r="CQ35" s="2842">
        <f t="shared" si="13"/>
        <v>0</v>
      </c>
      <c r="CR35" s="2842">
        <f t="shared" si="24"/>
        <v>0</v>
      </c>
      <c r="CS35" s="2842">
        <f t="shared" si="25"/>
        <v>0</v>
      </c>
      <c r="CT35" s="2842">
        <f t="shared" si="26"/>
        <v>0</v>
      </c>
      <c r="CU35" s="2842">
        <f t="shared" si="27"/>
        <v>0</v>
      </c>
      <c r="CV35" s="2842">
        <f t="shared" si="15"/>
        <v>0</v>
      </c>
    </row>
    <row r="36" spans="1:100" ht="15" customHeight="1">
      <c r="A36" s="6181" t="s">
        <v>1677</v>
      </c>
      <c r="B36" s="6564"/>
      <c r="C36" s="6182"/>
      <c r="D36" s="408">
        <f t="shared" si="0"/>
        <v>0</v>
      </c>
      <c r="E36" s="421">
        <f t="shared" si="30"/>
        <v>0</v>
      </c>
      <c r="F36" s="1654">
        <f>SUM(H36+J36+L36+N36+P36+R36+T36+V36+X36+Z36+AB36+AD36+AF36+AH36+AJ36+AL36+AN36+AP36)</f>
        <v>0</v>
      </c>
      <c r="G36" s="1440"/>
      <c r="H36" s="1680"/>
      <c r="I36" s="1440"/>
      <c r="J36" s="1452"/>
      <c r="K36" s="1440"/>
      <c r="L36" s="1680"/>
      <c r="M36" s="1440"/>
      <c r="N36" s="1452"/>
      <c r="O36" s="1440"/>
      <c r="P36" s="1680"/>
      <c r="Q36" s="1440"/>
      <c r="R36" s="1680"/>
      <c r="S36" s="1440"/>
      <c r="T36" s="1680"/>
      <c r="U36" s="1440"/>
      <c r="V36" s="1680"/>
      <c r="W36" s="1441"/>
      <c r="X36" s="1443"/>
      <c r="Y36" s="1440"/>
      <c r="Z36" s="1680"/>
      <c r="AA36" s="1441"/>
      <c r="AB36" s="1443"/>
      <c r="AC36" s="1440"/>
      <c r="AD36" s="1680"/>
      <c r="AE36" s="1441"/>
      <c r="AF36" s="1443"/>
      <c r="AG36" s="1440"/>
      <c r="AH36" s="1680"/>
      <c r="AI36" s="1441"/>
      <c r="AJ36" s="1443"/>
      <c r="AK36" s="1440"/>
      <c r="AL36" s="1680"/>
      <c r="AM36" s="1441"/>
      <c r="AN36" s="1680"/>
      <c r="AO36" s="1441"/>
      <c r="AP36" s="1444"/>
      <c r="AQ36" s="1709"/>
      <c r="AR36" s="1442"/>
      <c r="AS36" s="1442"/>
      <c r="AT36" s="1442"/>
      <c r="AU36" s="1442"/>
      <c r="AV36" s="1443"/>
      <c r="AW36" s="2281"/>
      <c r="AX36" s="1452"/>
      <c r="AY36" t="str">
        <f t="shared" si="2"/>
        <v/>
      </c>
      <c r="CA36" s="2841" t="str">
        <f t="shared" si="28"/>
        <v/>
      </c>
      <c r="CB36" s="2841" t="str">
        <f t="shared" si="17"/>
        <v/>
      </c>
      <c r="CC36" s="2841" t="str">
        <f t="shared" si="18"/>
        <v/>
      </c>
      <c r="CD36" s="2841" t="str">
        <f t="shared" si="19"/>
        <v/>
      </c>
      <c r="CE36" s="2841" t="str">
        <f t="shared" si="20"/>
        <v/>
      </c>
      <c r="CF36" s="2841" t="str">
        <f t="shared" si="21"/>
        <v/>
      </c>
      <c r="CG36" s="2841" t="str">
        <f t="shared" si="22"/>
        <v/>
      </c>
      <c r="CH36" s="2841" t="str">
        <f t="shared" si="23"/>
        <v/>
      </c>
      <c r="CO36" s="2842">
        <f t="shared" si="11"/>
        <v>0</v>
      </c>
      <c r="CP36" s="2842">
        <f t="shared" si="12"/>
        <v>0</v>
      </c>
      <c r="CQ36" s="2842">
        <f t="shared" si="13"/>
        <v>0</v>
      </c>
      <c r="CR36" s="2842">
        <f t="shared" si="24"/>
        <v>0</v>
      </c>
      <c r="CS36" s="2842">
        <f t="shared" si="25"/>
        <v>0</v>
      </c>
      <c r="CT36" s="2842">
        <f t="shared" si="26"/>
        <v>0</v>
      </c>
      <c r="CU36" s="2842">
        <f t="shared" si="27"/>
        <v>0</v>
      </c>
      <c r="CV36" s="2842">
        <f t="shared" si="15"/>
        <v>0</v>
      </c>
    </row>
    <row r="37" spans="1:100" ht="15" customHeight="1">
      <c r="A37" s="6565" t="s">
        <v>1678</v>
      </c>
      <c r="B37" s="6566"/>
      <c r="C37" s="6567"/>
      <c r="D37" s="408">
        <f t="shared" si="0"/>
        <v>0</v>
      </c>
      <c r="E37" s="421">
        <f t="shared" si="30"/>
        <v>0</v>
      </c>
      <c r="F37" s="1654">
        <f t="shared" si="30"/>
        <v>0</v>
      </c>
      <c r="G37" s="1440"/>
      <c r="H37" s="1680"/>
      <c r="I37" s="1440"/>
      <c r="J37" s="1452"/>
      <c r="K37" s="1440"/>
      <c r="L37" s="1680"/>
      <c r="M37" s="1440"/>
      <c r="N37" s="1452"/>
      <c r="O37" s="1440"/>
      <c r="P37" s="1680"/>
      <c r="Q37" s="1440"/>
      <c r="R37" s="1680"/>
      <c r="S37" s="1440"/>
      <c r="T37" s="1680"/>
      <c r="U37" s="1440"/>
      <c r="V37" s="1680"/>
      <c r="W37" s="1441"/>
      <c r="X37" s="1443"/>
      <c r="Y37" s="1440"/>
      <c r="Z37" s="1680"/>
      <c r="AA37" s="1441"/>
      <c r="AB37" s="1443"/>
      <c r="AC37" s="1440"/>
      <c r="AD37" s="1680"/>
      <c r="AE37" s="1441"/>
      <c r="AF37" s="1443"/>
      <c r="AG37" s="1440"/>
      <c r="AH37" s="1680"/>
      <c r="AI37" s="1441"/>
      <c r="AJ37" s="1443"/>
      <c r="AK37" s="1440"/>
      <c r="AL37" s="1680"/>
      <c r="AM37" s="1441"/>
      <c r="AN37" s="1680"/>
      <c r="AO37" s="1441"/>
      <c r="AP37" s="1444"/>
      <c r="AQ37" s="1709"/>
      <c r="AR37" s="1442"/>
      <c r="AS37" s="1442"/>
      <c r="AT37" s="1442"/>
      <c r="AU37" s="1442"/>
      <c r="AV37" s="1443"/>
      <c r="AW37" s="2281"/>
      <c r="AX37" s="1452"/>
      <c r="AY37" t="str">
        <f t="shared" si="2"/>
        <v/>
      </c>
      <c r="CA37" s="2841" t="str">
        <f t="shared" si="28"/>
        <v/>
      </c>
      <c r="CB37" s="2841" t="str">
        <f t="shared" si="17"/>
        <v/>
      </c>
      <c r="CC37" s="2841" t="str">
        <f t="shared" si="18"/>
        <v/>
      </c>
      <c r="CD37" s="2841" t="str">
        <f t="shared" si="19"/>
        <v/>
      </c>
      <c r="CE37" s="2841" t="str">
        <f t="shared" si="20"/>
        <v/>
      </c>
      <c r="CF37" s="2841" t="str">
        <f t="shared" si="21"/>
        <v/>
      </c>
      <c r="CG37" s="2841" t="str">
        <f t="shared" si="22"/>
        <v/>
      </c>
      <c r="CH37" s="2841" t="str">
        <f t="shared" si="23"/>
        <v/>
      </c>
      <c r="CO37" s="2842">
        <f t="shared" si="11"/>
        <v>0</v>
      </c>
      <c r="CP37" s="2842">
        <f t="shared" si="12"/>
        <v>0</v>
      </c>
      <c r="CQ37" s="2842">
        <f t="shared" si="13"/>
        <v>0</v>
      </c>
      <c r="CR37" s="2842">
        <f t="shared" si="24"/>
        <v>0</v>
      </c>
      <c r="CS37" s="2842">
        <f t="shared" si="25"/>
        <v>0</v>
      </c>
      <c r="CT37" s="2842">
        <f t="shared" si="26"/>
        <v>0</v>
      </c>
      <c r="CU37" s="2842">
        <f t="shared" si="27"/>
        <v>0</v>
      </c>
      <c r="CV37" s="2842">
        <f t="shared" si="15"/>
        <v>0</v>
      </c>
    </row>
    <row r="38" spans="1:100" ht="15" customHeight="1">
      <c r="A38" s="2852" t="s">
        <v>1679</v>
      </c>
      <c r="B38" s="2853"/>
      <c r="C38" s="2854"/>
      <c r="D38" s="429">
        <f t="shared" si="0"/>
        <v>0</v>
      </c>
      <c r="E38" s="430">
        <f t="shared" si="30"/>
        <v>0</v>
      </c>
      <c r="F38" s="1659">
        <f t="shared" si="30"/>
        <v>0</v>
      </c>
      <c r="G38" s="1455"/>
      <c r="H38" s="1467"/>
      <c r="I38" s="1455"/>
      <c r="J38" s="1467"/>
      <c r="K38" s="1455"/>
      <c r="L38" s="1467"/>
      <c r="M38" s="1455"/>
      <c r="N38" s="1467"/>
      <c r="O38" s="1455"/>
      <c r="P38" s="1467"/>
      <c r="Q38" s="1455"/>
      <c r="R38" s="1467"/>
      <c r="S38" s="1455"/>
      <c r="T38" s="1467"/>
      <c r="U38" s="1455"/>
      <c r="V38" s="1467"/>
      <c r="W38" s="1456"/>
      <c r="X38" s="1490"/>
      <c r="Y38" s="1455"/>
      <c r="Z38" s="1467"/>
      <c r="AA38" s="1456"/>
      <c r="AB38" s="1490"/>
      <c r="AC38" s="1455"/>
      <c r="AD38" s="1467"/>
      <c r="AE38" s="1456"/>
      <c r="AF38" s="1490"/>
      <c r="AG38" s="1455"/>
      <c r="AH38" s="1467"/>
      <c r="AI38" s="1456"/>
      <c r="AJ38" s="1490"/>
      <c r="AK38" s="1455"/>
      <c r="AL38" s="1467"/>
      <c r="AM38" s="1456"/>
      <c r="AN38" s="1467"/>
      <c r="AO38" s="1456"/>
      <c r="AP38" s="1660"/>
      <c r="AQ38" s="1714"/>
      <c r="AR38" s="1457"/>
      <c r="AS38" s="1457"/>
      <c r="AT38" s="1457"/>
      <c r="AU38" s="1457"/>
      <c r="AV38" s="1458"/>
      <c r="AW38" s="2282"/>
      <c r="AX38" s="1467"/>
      <c r="AY38" t="str">
        <f t="shared" si="2"/>
        <v/>
      </c>
      <c r="CA38" s="2841" t="str">
        <f t="shared" si="28"/>
        <v/>
      </c>
      <c r="CB38" s="2841" t="str">
        <f t="shared" si="17"/>
        <v/>
      </c>
      <c r="CC38" s="2841" t="str">
        <f t="shared" si="18"/>
        <v/>
      </c>
      <c r="CD38" s="2841" t="str">
        <f t="shared" si="19"/>
        <v/>
      </c>
      <c r="CE38" s="2841" t="str">
        <f t="shared" si="20"/>
        <v/>
      </c>
      <c r="CF38" s="2841" t="str">
        <f t="shared" si="21"/>
        <v/>
      </c>
      <c r="CG38" s="2841" t="str">
        <f t="shared" si="22"/>
        <v/>
      </c>
      <c r="CH38" s="2841" t="str">
        <f t="shared" si="23"/>
        <v/>
      </c>
      <c r="CO38" s="2842">
        <f t="shared" si="11"/>
        <v>0</v>
      </c>
      <c r="CP38" s="2842">
        <f t="shared" si="12"/>
        <v>0</v>
      </c>
      <c r="CQ38" s="2842">
        <f t="shared" si="13"/>
        <v>0</v>
      </c>
      <c r="CR38" s="2842">
        <f t="shared" si="24"/>
        <v>0</v>
      </c>
      <c r="CS38" s="2842">
        <f t="shared" si="25"/>
        <v>0</v>
      </c>
      <c r="CT38" s="2842">
        <f t="shared" si="26"/>
        <v>0</v>
      </c>
      <c r="CU38" s="2842">
        <f t="shared" si="27"/>
        <v>0</v>
      </c>
      <c r="CV38" s="2842">
        <f t="shared" si="15"/>
        <v>0</v>
      </c>
    </row>
    <row r="39" spans="1:100">
      <c r="A39" s="6137" t="s">
        <v>1680</v>
      </c>
      <c r="B39" s="6137"/>
      <c r="C39" s="6137"/>
      <c r="D39" s="401">
        <f>SUM(D21:D38)</f>
        <v>0</v>
      </c>
      <c r="E39" s="402">
        <f>SUM(E21:E38)</f>
        <v>0</v>
      </c>
      <c r="F39" s="392">
        <f t="shared" ref="F39:AX39" si="31">SUM(F21:F38)</f>
        <v>0</v>
      </c>
      <c r="G39" s="401">
        <f t="shared" si="31"/>
        <v>0</v>
      </c>
      <c r="H39" s="392">
        <f t="shared" si="31"/>
        <v>0</v>
      </c>
      <c r="I39" s="401">
        <f t="shared" si="31"/>
        <v>0</v>
      </c>
      <c r="J39" s="392">
        <f t="shared" si="31"/>
        <v>0</v>
      </c>
      <c r="K39" s="401">
        <f t="shared" si="31"/>
        <v>0</v>
      </c>
      <c r="L39" s="392">
        <f t="shared" si="31"/>
        <v>0</v>
      </c>
      <c r="M39" s="401">
        <f t="shared" si="31"/>
        <v>0</v>
      </c>
      <c r="N39" s="392">
        <f t="shared" si="31"/>
        <v>0</v>
      </c>
      <c r="O39" s="401">
        <f t="shared" si="31"/>
        <v>0</v>
      </c>
      <c r="P39" s="392">
        <f t="shared" si="31"/>
        <v>0</v>
      </c>
      <c r="Q39" s="401">
        <f t="shared" si="31"/>
        <v>0</v>
      </c>
      <c r="R39" s="392">
        <f t="shared" si="31"/>
        <v>0</v>
      </c>
      <c r="S39" s="401">
        <f t="shared" si="31"/>
        <v>0</v>
      </c>
      <c r="T39" s="392">
        <f t="shared" si="31"/>
        <v>0</v>
      </c>
      <c r="U39" s="401">
        <f t="shared" si="31"/>
        <v>0</v>
      </c>
      <c r="V39" s="392">
        <f t="shared" si="31"/>
        <v>0</v>
      </c>
      <c r="W39" s="401">
        <f t="shared" si="31"/>
        <v>0</v>
      </c>
      <c r="X39" s="392">
        <f t="shared" si="31"/>
        <v>0</v>
      </c>
      <c r="Y39" s="401">
        <f t="shared" si="31"/>
        <v>0</v>
      </c>
      <c r="Z39" s="392">
        <f t="shared" si="31"/>
        <v>0</v>
      </c>
      <c r="AA39" s="401">
        <f t="shared" si="31"/>
        <v>0</v>
      </c>
      <c r="AB39" s="392">
        <f t="shared" si="31"/>
        <v>0</v>
      </c>
      <c r="AC39" s="401">
        <f t="shared" si="31"/>
        <v>0</v>
      </c>
      <c r="AD39" s="392">
        <f t="shared" si="31"/>
        <v>0</v>
      </c>
      <c r="AE39" s="401">
        <f t="shared" si="31"/>
        <v>0</v>
      </c>
      <c r="AF39" s="392">
        <f t="shared" si="31"/>
        <v>0</v>
      </c>
      <c r="AG39" s="401">
        <f t="shared" si="31"/>
        <v>0</v>
      </c>
      <c r="AH39" s="392">
        <f t="shared" si="31"/>
        <v>0</v>
      </c>
      <c r="AI39" s="401">
        <f t="shared" si="31"/>
        <v>0</v>
      </c>
      <c r="AJ39" s="392">
        <f t="shared" si="31"/>
        <v>0</v>
      </c>
      <c r="AK39" s="401">
        <f t="shared" si="31"/>
        <v>0</v>
      </c>
      <c r="AL39" s="392">
        <f t="shared" si="31"/>
        <v>0</v>
      </c>
      <c r="AM39" s="401">
        <f t="shared" si="31"/>
        <v>0</v>
      </c>
      <c r="AN39" s="392">
        <f t="shared" si="31"/>
        <v>0</v>
      </c>
      <c r="AO39" s="401">
        <f t="shared" si="31"/>
        <v>0</v>
      </c>
      <c r="AP39" s="392">
        <f t="shared" si="31"/>
        <v>0</v>
      </c>
      <c r="AQ39" s="401">
        <f t="shared" si="31"/>
        <v>0</v>
      </c>
      <c r="AR39" s="392">
        <f t="shared" si="31"/>
        <v>0</v>
      </c>
      <c r="AS39" s="401">
        <f t="shared" si="31"/>
        <v>0</v>
      </c>
      <c r="AT39" s="392">
        <f t="shared" si="31"/>
        <v>0</v>
      </c>
      <c r="AU39" s="401">
        <f t="shared" si="31"/>
        <v>0</v>
      </c>
      <c r="AV39" s="404">
        <f t="shared" si="31"/>
        <v>0</v>
      </c>
      <c r="AW39" s="2298">
        <f t="shared" si="31"/>
        <v>0</v>
      </c>
      <c r="AX39" s="392">
        <f t="shared" si="31"/>
        <v>0</v>
      </c>
    </row>
    <row r="40" spans="1:100" ht="18" customHeight="1">
      <c r="A40" s="1468" t="s">
        <v>1681</v>
      </c>
      <c r="B40" s="2855"/>
      <c r="C40" s="2855"/>
      <c r="D40" s="1493"/>
      <c r="E40" s="379"/>
      <c r="F40" s="379"/>
      <c r="G40" s="379"/>
      <c r="H40" s="379"/>
      <c r="I40" s="379"/>
      <c r="J40" s="379"/>
      <c r="K40" s="379"/>
      <c r="L40" s="379"/>
      <c r="M40" s="379"/>
      <c r="N40" s="379"/>
      <c r="O40" s="379"/>
      <c r="P40" s="379"/>
      <c r="Q40" s="379"/>
      <c r="R40" s="379"/>
      <c r="S40" s="379"/>
      <c r="T40" s="379"/>
      <c r="U40" s="379"/>
      <c r="V40" s="379"/>
      <c r="W40" s="379"/>
      <c r="X40" s="379"/>
      <c r="Y40" s="379"/>
      <c r="Z40" s="379"/>
      <c r="AA40" s="379"/>
      <c r="AB40" s="379"/>
      <c r="AC40" s="379"/>
      <c r="AD40" s="379"/>
      <c r="AE40" s="379"/>
      <c r="AF40" s="379"/>
      <c r="AG40" s="379"/>
      <c r="AH40" s="379"/>
      <c r="AI40" s="379"/>
      <c r="AJ40" s="379"/>
      <c r="AK40" s="379"/>
      <c r="AL40" s="379"/>
      <c r="AM40" s="379"/>
      <c r="AN40" s="379"/>
      <c r="AO40" s="379"/>
      <c r="AP40" s="379"/>
      <c r="AQ40" s="379"/>
      <c r="AR40" s="2856"/>
      <c r="AS40" s="2856"/>
      <c r="AT40" s="2856"/>
      <c r="AU40" s="379"/>
      <c r="AV40" s="379"/>
      <c r="AW40" s="379"/>
      <c r="AX40" s="379"/>
    </row>
    <row r="41" spans="1:100" ht="15" customHeight="1">
      <c r="A41" s="6140" t="s">
        <v>1000</v>
      </c>
      <c r="B41" s="6139"/>
      <c r="C41" s="6139"/>
      <c r="D41" s="6140" t="s">
        <v>229</v>
      </c>
      <c r="E41" s="6139"/>
      <c r="F41" s="6119"/>
      <c r="G41" s="5710" t="s">
        <v>115</v>
      </c>
      <c r="H41" s="6106"/>
      <c r="I41" s="6106"/>
      <c r="J41" s="6106"/>
      <c r="K41" s="6106"/>
      <c r="L41" s="6106"/>
      <c r="M41" s="6106"/>
      <c r="N41" s="6106"/>
      <c r="O41" s="6106"/>
      <c r="P41" s="6106"/>
      <c r="Q41" s="6106"/>
      <c r="R41" s="6106"/>
      <c r="S41" s="6106"/>
      <c r="T41" s="6106"/>
      <c r="U41" s="6106"/>
      <c r="V41" s="6106"/>
      <c r="W41" s="6106"/>
      <c r="X41" s="6106"/>
      <c r="Y41" s="6106"/>
      <c r="Z41" s="6106"/>
      <c r="AA41" s="6106"/>
      <c r="AB41" s="6106"/>
      <c r="AC41" s="6106"/>
      <c r="AD41" s="6106"/>
      <c r="AE41" s="6106"/>
      <c r="AF41" s="6106"/>
      <c r="AG41" s="6106"/>
      <c r="AH41" s="6106"/>
      <c r="AI41" s="6106"/>
      <c r="AJ41" s="6106"/>
      <c r="AK41" s="6106"/>
      <c r="AL41" s="6106"/>
      <c r="AM41" s="6106"/>
      <c r="AN41" s="6106"/>
      <c r="AO41" s="6106"/>
      <c r="AP41" s="5716"/>
      <c r="AQ41" s="6203" t="s">
        <v>1639</v>
      </c>
      <c r="AR41" s="6135" t="s">
        <v>476</v>
      </c>
      <c r="AS41" s="6135" t="s">
        <v>1641</v>
      </c>
      <c r="AT41" s="6685" t="s">
        <v>1642</v>
      </c>
      <c r="AU41" s="6304" t="s">
        <v>48</v>
      </c>
      <c r="AV41" s="6307" t="s">
        <v>49</v>
      </c>
      <c r="AW41" s="6135" t="s">
        <v>51</v>
      </c>
      <c r="AX41" s="6119" t="s">
        <v>1643</v>
      </c>
    </row>
    <row r="42" spans="1:100">
      <c r="A42" s="6141"/>
      <c r="B42" s="6166"/>
      <c r="C42" s="6688"/>
      <c r="D42" s="6683"/>
      <c r="E42" s="6684"/>
      <c r="F42" s="6116"/>
      <c r="G42" s="5707" t="s">
        <v>495</v>
      </c>
      <c r="H42" s="5709"/>
      <c r="I42" s="5710" t="s">
        <v>401</v>
      </c>
      <c r="J42" s="5712"/>
      <c r="K42" s="6106" t="s">
        <v>402</v>
      </c>
      <c r="L42" s="5712"/>
      <c r="M42" s="5710" t="s">
        <v>1644</v>
      </c>
      <c r="N42" s="5712"/>
      <c r="O42" s="5710" t="s">
        <v>404</v>
      </c>
      <c r="P42" s="5712"/>
      <c r="Q42" s="5710" t="s">
        <v>405</v>
      </c>
      <c r="R42" s="5712"/>
      <c r="S42" s="5710" t="s">
        <v>406</v>
      </c>
      <c r="T42" s="5712"/>
      <c r="U42" s="5710" t="s">
        <v>407</v>
      </c>
      <c r="V42" s="5712"/>
      <c r="W42" s="5710" t="s">
        <v>1645</v>
      </c>
      <c r="X42" s="5712"/>
      <c r="Y42" s="5710" t="s">
        <v>324</v>
      </c>
      <c r="Z42" s="5709"/>
      <c r="AA42" s="5710" t="s">
        <v>325</v>
      </c>
      <c r="AB42" s="5709"/>
      <c r="AC42" s="5710" t="s">
        <v>1646</v>
      </c>
      <c r="AD42" s="5709"/>
      <c r="AE42" s="5710" t="s">
        <v>1647</v>
      </c>
      <c r="AF42" s="5709"/>
      <c r="AG42" s="5710" t="s">
        <v>1648</v>
      </c>
      <c r="AH42" s="5709"/>
      <c r="AI42" s="5710" t="s">
        <v>1649</v>
      </c>
      <c r="AJ42" s="5709"/>
      <c r="AK42" s="5710" t="s">
        <v>1650</v>
      </c>
      <c r="AL42" s="5709"/>
      <c r="AM42" s="5710" t="s">
        <v>1651</v>
      </c>
      <c r="AN42" s="5709"/>
      <c r="AO42" s="5710" t="s">
        <v>966</v>
      </c>
      <c r="AP42" s="6147"/>
      <c r="AQ42" s="6268"/>
      <c r="AR42" s="6302"/>
      <c r="AS42" s="6302"/>
      <c r="AT42" s="6686"/>
      <c r="AU42" s="6305"/>
      <c r="AV42" s="6308"/>
      <c r="AW42" s="6302"/>
      <c r="AX42" s="6120"/>
    </row>
    <row r="43" spans="1:100" ht="33" customHeight="1">
      <c r="A43" s="6688"/>
      <c r="B43" s="6688"/>
      <c r="C43" s="6120"/>
      <c r="D43" s="396" t="s">
        <v>93</v>
      </c>
      <c r="E43" s="1397" t="s">
        <v>72</v>
      </c>
      <c r="F43" s="390" t="s">
        <v>73</v>
      </c>
      <c r="G43" s="396" t="s">
        <v>72</v>
      </c>
      <c r="H43" s="390" t="s">
        <v>73</v>
      </c>
      <c r="I43" s="396" t="s">
        <v>72</v>
      </c>
      <c r="J43" s="390" t="s">
        <v>73</v>
      </c>
      <c r="K43" s="397" t="s">
        <v>72</v>
      </c>
      <c r="L43" s="390" t="s">
        <v>73</v>
      </c>
      <c r="M43" s="1397" t="s">
        <v>72</v>
      </c>
      <c r="N43" s="390" t="s">
        <v>73</v>
      </c>
      <c r="O43" s="1397" t="s">
        <v>72</v>
      </c>
      <c r="P43" s="390" t="s">
        <v>73</v>
      </c>
      <c r="Q43" s="1397" t="s">
        <v>72</v>
      </c>
      <c r="R43" s="390" t="s">
        <v>73</v>
      </c>
      <c r="S43" s="1397" t="s">
        <v>72</v>
      </c>
      <c r="T43" s="390" t="s">
        <v>73</v>
      </c>
      <c r="U43" s="391" t="s">
        <v>72</v>
      </c>
      <c r="V43" s="393" t="s">
        <v>73</v>
      </c>
      <c r="W43" s="391" t="s">
        <v>72</v>
      </c>
      <c r="X43" s="393" t="s">
        <v>73</v>
      </c>
      <c r="Y43" s="1395" t="s">
        <v>72</v>
      </c>
      <c r="Z43" s="393" t="s">
        <v>73</v>
      </c>
      <c r="AA43" s="1395" t="s">
        <v>72</v>
      </c>
      <c r="AB43" s="393" t="s">
        <v>73</v>
      </c>
      <c r="AC43" s="1395" t="s">
        <v>72</v>
      </c>
      <c r="AD43" s="393" t="s">
        <v>73</v>
      </c>
      <c r="AE43" s="1395" t="s">
        <v>72</v>
      </c>
      <c r="AF43" s="393" t="s">
        <v>73</v>
      </c>
      <c r="AG43" s="1395" t="s">
        <v>72</v>
      </c>
      <c r="AH43" s="393" t="s">
        <v>73</v>
      </c>
      <c r="AI43" s="1395" t="s">
        <v>72</v>
      </c>
      <c r="AJ43" s="393" t="s">
        <v>73</v>
      </c>
      <c r="AK43" s="1395" t="s">
        <v>72</v>
      </c>
      <c r="AL43" s="393" t="s">
        <v>73</v>
      </c>
      <c r="AM43" s="1395" t="s">
        <v>72</v>
      </c>
      <c r="AN43" s="393" t="s">
        <v>73</v>
      </c>
      <c r="AO43" s="1395" t="s">
        <v>72</v>
      </c>
      <c r="AP43" s="394" t="s">
        <v>73</v>
      </c>
      <c r="AQ43" s="6204"/>
      <c r="AR43" s="6136"/>
      <c r="AS43" s="6136"/>
      <c r="AT43" s="6687"/>
      <c r="AU43" s="6306"/>
      <c r="AV43" s="6309"/>
      <c r="AW43" s="6136"/>
      <c r="AX43" s="6116"/>
    </row>
    <row r="44" spans="1:100" ht="15" customHeight="1">
      <c r="A44" s="6641" t="s">
        <v>1682</v>
      </c>
      <c r="B44" s="6642"/>
      <c r="C44" s="6643"/>
      <c r="D44" s="1734">
        <f t="shared" ref="D44:D62" si="32">SUM(E44+F44)</f>
        <v>0</v>
      </c>
      <c r="E44" s="2859">
        <f>+S44+Y44+AA44+AC44+AE44+AG44+AI44+AK44+AM44+AO44</f>
        <v>0</v>
      </c>
      <c r="F44" s="2860">
        <f>+T44+Z44+AB44+AD44+AF44+AH44+AJ44+AL44+AN44+AP44</f>
        <v>0</v>
      </c>
      <c r="G44" s="2381"/>
      <c r="H44" s="2861"/>
      <c r="I44" s="2381"/>
      <c r="J44" s="2861"/>
      <c r="K44" s="2381"/>
      <c r="L44" s="2861"/>
      <c r="M44" s="2381"/>
      <c r="N44" s="2861"/>
      <c r="O44" s="2381"/>
      <c r="P44" s="2861"/>
      <c r="Q44" s="2381"/>
      <c r="R44" s="2861"/>
      <c r="S44" s="2862"/>
      <c r="T44" s="2863"/>
      <c r="U44" s="2381"/>
      <c r="V44" s="2861"/>
      <c r="W44" s="2381"/>
      <c r="X44" s="2861"/>
      <c r="Y44" s="2862"/>
      <c r="Z44" s="2863"/>
      <c r="AA44" s="2864"/>
      <c r="AB44" s="2863"/>
      <c r="AC44" s="2865"/>
      <c r="AD44" s="2863"/>
      <c r="AE44" s="2864"/>
      <c r="AF44" s="2863"/>
      <c r="AG44" s="2862"/>
      <c r="AH44" s="2863"/>
      <c r="AI44" s="2862"/>
      <c r="AJ44" s="2863"/>
      <c r="AK44" s="2864"/>
      <c r="AL44" s="2863"/>
      <c r="AM44" s="2865"/>
      <c r="AN44" s="2863"/>
      <c r="AO44" s="2866"/>
      <c r="AP44" s="2867"/>
      <c r="AQ44" s="2868"/>
      <c r="AR44" s="2869"/>
      <c r="AS44" s="2869"/>
      <c r="AT44" s="2870"/>
      <c r="AU44" s="2871"/>
      <c r="AV44" s="2872"/>
      <c r="AW44" s="2869"/>
      <c r="AX44" s="2873"/>
      <c r="AY44" t="str">
        <f t="shared" si="2"/>
        <v/>
      </c>
      <c r="CA44" s="2841" t="str">
        <f t="shared" ref="CA44:CA62" si="33">IF(AND((Y44+Z44)&gt;0,AQ44="")," * No olvide digitar la variable 12 años (incluido en el grupo de 10-14 años). Digite Cero si no tiene.",IF(AQ44&gt;(Y44+Z44),"* Las Consultas de 12 años (incluido en el grupo de 10-14 años) NO DEBEN ser mayor que el total de Consultas entre 10-14 años",""))</f>
        <v/>
      </c>
      <c r="CB44" s="2841" t="str">
        <f>IF(AND($F44&gt;0,AR44="")," * No olvide digitar la variable Gestantes. Digite cero si no tiene.",IF(AR44&gt;$F44," * La variable Gestantes NO DEBEN ser mayor al Total de Mujeres. ",""))</f>
        <v/>
      </c>
      <c r="CC44" s="2841" t="str">
        <f t="shared" si="18"/>
        <v/>
      </c>
      <c r="CD44" s="2841" t="str">
        <f t="shared" ref="CD44:CD66" si="34">IF(AND(D44&gt;0,AT44="")," * No olvide digitar la variable Usuarios con Discapacidad. Digite Cero si no tiene.",IF(AT44&gt;D44," * La variable Usuarios con Discapacidad No puede ser mayor al Total Ambos Sexos.",""))</f>
        <v/>
      </c>
      <c r="CE44" s="2841" t="str">
        <f t="shared" ref="CE44:CE66" si="35">IF(AND(D44&gt;0,AU44="")," * No olvide digitar la variable "&amp;AU$41&amp;". Digite Cero si no tiene.",IF(AU44&gt;$D44," * La variable "&amp;AU$41&amp;" No puede ser mayor al Total Ambos Sexos.",""))</f>
        <v/>
      </c>
      <c r="CF44" s="2841" t="str">
        <f t="shared" ref="CF44:CF66" si="36">IF(AND($D44&gt;0,AV44="")," * No olvide digitar la variable "&amp;AV$41&amp;". Digite Cero si no tiene.",IF(AV44&gt;$D44," * La variable "&amp;AV$41&amp;" No puede ser mayor al Total Ambos Sexos.",""))</f>
        <v/>
      </c>
      <c r="CG44" s="2841" t="str">
        <f t="shared" ref="CG44:CG66" si="37">IF(AND($D44&gt;0,AW44="")," * No olvide digitar la variable Migrantes. Digite Cero si no tiene.",IF(AW44&gt;$D44," * La variable Migrantes No puede ser mayor al Total Ambos Sexos.",""))</f>
        <v/>
      </c>
      <c r="CH44" s="2841" t="str">
        <f t="shared" ref="CH44:CH66" si="38">IF(AND($D44&gt;0,AX44="")," * No olvide digitar la variable Persona con ingreso integral y condición crónica. Digite Cero si no tiene.",IF(AX44&gt;$D44," * La variable Persona con ingreso integral y condición crónica no puede ser mayor al Total Ambos Sexos.",""))</f>
        <v/>
      </c>
      <c r="CO44" s="2842">
        <f t="shared" si="11"/>
        <v>0</v>
      </c>
      <c r="CP44" s="2842">
        <f t="shared" si="12"/>
        <v>0</v>
      </c>
      <c r="CQ44" s="2842">
        <f t="shared" si="13"/>
        <v>0</v>
      </c>
      <c r="CR44" s="2842">
        <f t="shared" ref="CR44:CU107" si="39">IF(AND($D44&gt;0,AT44=""),1,IF(AT44&gt;$D44,1,0))</f>
        <v>0</v>
      </c>
      <c r="CS44" s="2842">
        <f t="shared" si="25"/>
        <v>0</v>
      </c>
      <c r="CT44" s="2842">
        <f t="shared" si="26"/>
        <v>0</v>
      </c>
      <c r="CU44" s="2842">
        <f t="shared" si="27"/>
        <v>0</v>
      </c>
      <c r="CV44" s="2842">
        <f t="shared" si="15"/>
        <v>0</v>
      </c>
    </row>
    <row r="45" spans="1:100" ht="15" customHeight="1">
      <c r="A45" s="6181" t="s">
        <v>1683</v>
      </c>
      <c r="B45" s="6564"/>
      <c r="C45" s="6182"/>
      <c r="D45" s="1772">
        <f t="shared" si="32"/>
        <v>0</v>
      </c>
      <c r="E45" s="2874">
        <f t="shared" ref="E45:E46" si="40">+G45+I45+K45+M45+O45+Q45+S45+U45+W45+Y45+AA45</f>
        <v>0</v>
      </c>
      <c r="F45" s="2875">
        <f t="shared" ref="F45:F46" si="41">+H45+J45+L45+N45+P45+R45+T45+V45+X45+Z45+AB45</f>
        <v>0</v>
      </c>
      <c r="G45" s="2876"/>
      <c r="H45" s="2877"/>
      <c r="I45" s="2876"/>
      <c r="J45" s="2878"/>
      <c r="K45" s="2876"/>
      <c r="L45" s="2877"/>
      <c r="M45" s="2876"/>
      <c r="N45" s="2877"/>
      <c r="O45" s="2876"/>
      <c r="P45" s="2877"/>
      <c r="Q45" s="2876"/>
      <c r="R45" s="2879"/>
      <c r="S45" s="2876"/>
      <c r="T45" s="2879"/>
      <c r="U45" s="2876"/>
      <c r="V45" s="2877"/>
      <c r="W45" s="2876"/>
      <c r="X45" s="2879"/>
      <c r="Y45" s="2876"/>
      <c r="Z45" s="2879"/>
      <c r="AA45" s="2876"/>
      <c r="AB45" s="2877"/>
      <c r="AC45" s="2381"/>
      <c r="AD45" s="2382"/>
      <c r="AE45" s="2880"/>
      <c r="AF45" s="2382"/>
      <c r="AG45" s="2381"/>
      <c r="AH45" s="2861"/>
      <c r="AI45" s="2381"/>
      <c r="AJ45" s="2861"/>
      <c r="AK45" s="2880"/>
      <c r="AL45" s="2881"/>
      <c r="AM45" s="2381"/>
      <c r="AN45" s="2382"/>
      <c r="AO45" s="2880"/>
      <c r="AP45" s="2882"/>
      <c r="AQ45" s="2883"/>
      <c r="AR45" s="2884"/>
      <c r="AS45" s="2885"/>
      <c r="AT45" s="2886"/>
      <c r="AU45" s="2887"/>
      <c r="AV45" s="2888"/>
      <c r="AW45" s="2889"/>
      <c r="AX45" s="2877"/>
      <c r="AY45" t="str">
        <f t="shared" ref="AY45:AY46" si="42">CA45&amp;CB45&amp;CD45&amp;CE45&amp;CF45&amp;CG45&amp;CH45</f>
        <v/>
      </c>
      <c r="CA45" s="2841" t="str">
        <f t="shared" si="33"/>
        <v/>
      </c>
      <c r="CB45" s="2841" t="str">
        <f t="shared" ref="CB45:CB66" si="43">IF(AND($F45&gt;0,AR45="")," * No olvide digitar la variable Gestante. Digite cero si no tiene.",IF(AR45&gt;$F45," * La variable Gestante NO DEBEN ser mayor al Total de Mujeres. ",""))</f>
        <v/>
      </c>
      <c r="CC45" s="2890"/>
      <c r="CD45" s="2841" t="str">
        <f t="shared" si="34"/>
        <v/>
      </c>
      <c r="CE45" s="2841" t="str">
        <f t="shared" si="35"/>
        <v/>
      </c>
      <c r="CF45" s="2841" t="str">
        <f t="shared" si="36"/>
        <v/>
      </c>
      <c r="CG45" s="2841" t="str">
        <f t="shared" si="37"/>
        <v/>
      </c>
      <c r="CH45" s="2841" t="str">
        <f t="shared" si="38"/>
        <v/>
      </c>
      <c r="CO45" s="2842">
        <f t="shared" si="11"/>
        <v>0</v>
      </c>
      <c r="CP45" s="2842">
        <f t="shared" si="12"/>
        <v>0</v>
      </c>
      <c r="CQ45" s="2890"/>
      <c r="CR45" s="2842">
        <f t="shared" si="39"/>
        <v>0</v>
      </c>
      <c r="CS45" s="2842">
        <f t="shared" si="25"/>
        <v>0</v>
      </c>
      <c r="CT45" s="2842">
        <f t="shared" si="26"/>
        <v>0</v>
      </c>
      <c r="CU45" s="2842">
        <f t="shared" si="27"/>
        <v>0</v>
      </c>
      <c r="CV45" s="2842">
        <f t="shared" si="15"/>
        <v>0</v>
      </c>
    </row>
    <row r="46" spans="1:100" ht="15" customHeight="1">
      <c r="A46" s="6181" t="s">
        <v>1684</v>
      </c>
      <c r="B46" s="6564"/>
      <c r="C46" s="6182"/>
      <c r="D46" s="1772">
        <f t="shared" si="32"/>
        <v>0</v>
      </c>
      <c r="E46" s="2874">
        <f t="shared" si="40"/>
        <v>0</v>
      </c>
      <c r="F46" s="2875">
        <f t="shared" si="41"/>
        <v>0</v>
      </c>
      <c r="G46" s="2876"/>
      <c r="H46" s="2877"/>
      <c r="I46" s="2876"/>
      <c r="J46" s="2878"/>
      <c r="K46" s="2876"/>
      <c r="L46" s="2877"/>
      <c r="M46" s="2876"/>
      <c r="N46" s="2877"/>
      <c r="O46" s="2876"/>
      <c r="P46" s="2877"/>
      <c r="Q46" s="2876"/>
      <c r="R46" s="2879"/>
      <c r="S46" s="2876"/>
      <c r="T46" s="2879"/>
      <c r="U46" s="2876"/>
      <c r="V46" s="2877"/>
      <c r="W46" s="2876"/>
      <c r="X46" s="2879"/>
      <c r="Y46" s="2876"/>
      <c r="Z46" s="2879"/>
      <c r="AA46" s="2876"/>
      <c r="AB46" s="2877"/>
      <c r="AC46" s="2381"/>
      <c r="AD46" s="2382"/>
      <c r="AE46" s="2880"/>
      <c r="AF46" s="2382"/>
      <c r="AG46" s="2381"/>
      <c r="AH46" s="2861"/>
      <c r="AI46" s="2381"/>
      <c r="AJ46" s="2861"/>
      <c r="AK46" s="2880"/>
      <c r="AL46" s="2881"/>
      <c r="AM46" s="2381"/>
      <c r="AN46" s="2382"/>
      <c r="AO46" s="2880"/>
      <c r="AP46" s="2882"/>
      <c r="AQ46" s="2883"/>
      <c r="AR46" s="2884"/>
      <c r="AS46" s="2885"/>
      <c r="AT46" s="2886"/>
      <c r="AU46" s="2887"/>
      <c r="AV46" s="2888"/>
      <c r="AW46" s="2889"/>
      <c r="AX46" s="2877"/>
      <c r="AY46" t="str">
        <f t="shared" si="42"/>
        <v/>
      </c>
      <c r="CA46" s="2841" t="str">
        <f t="shared" si="33"/>
        <v/>
      </c>
      <c r="CB46" s="2841" t="str">
        <f t="shared" si="43"/>
        <v/>
      </c>
      <c r="CC46" s="2890"/>
      <c r="CD46" s="2841" t="str">
        <f t="shared" si="34"/>
        <v/>
      </c>
      <c r="CE46" s="2841" t="str">
        <f t="shared" si="35"/>
        <v/>
      </c>
      <c r="CF46" s="2841" t="str">
        <f t="shared" si="36"/>
        <v/>
      </c>
      <c r="CG46" s="2841" t="str">
        <f t="shared" si="37"/>
        <v/>
      </c>
      <c r="CH46" s="2841" t="str">
        <f t="shared" si="38"/>
        <v/>
      </c>
      <c r="CO46" s="2842">
        <f t="shared" si="11"/>
        <v>0</v>
      </c>
      <c r="CP46" s="2842">
        <f t="shared" si="12"/>
        <v>0</v>
      </c>
      <c r="CQ46" s="2890"/>
      <c r="CR46" s="2842">
        <f t="shared" si="39"/>
        <v>0</v>
      </c>
      <c r="CS46" s="2842">
        <f t="shared" si="25"/>
        <v>0</v>
      </c>
      <c r="CT46" s="2842">
        <f t="shared" si="26"/>
        <v>0</v>
      </c>
      <c r="CU46" s="2842">
        <f t="shared" si="27"/>
        <v>0</v>
      </c>
      <c r="CV46" s="2842">
        <f t="shared" si="15"/>
        <v>0</v>
      </c>
    </row>
    <row r="47" spans="1:100" ht="15" customHeight="1">
      <c r="A47" s="6181" t="s">
        <v>1685</v>
      </c>
      <c r="B47" s="6564"/>
      <c r="C47" s="6182"/>
      <c r="D47" s="1772">
        <f t="shared" si="32"/>
        <v>0</v>
      </c>
      <c r="E47" s="2874">
        <f>SUM(S47+U47+W47+Y47+AA47+AC47+AE47+AG47+AI47+AK47+AM47+AO47)</f>
        <v>0</v>
      </c>
      <c r="F47" s="2875">
        <f>SUM(T47+V47+X47+Z47+AB47+AD47+AF47+AH47+AJ47+AL47+AN47+AP47)</f>
        <v>0</v>
      </c>
      <c r="G47" s="2381"/>
      <c r="H47" s="2861"/>
      <c r="I47" s="2381"/>
      <c r="J47" s="2861"/>
      <c r="K47" s="2381"/>
      <c r="L47" s="2861"/>
      <c r="M47" s="2381"/>
      <c r="N47" s="2861"/>
      <c r="O47" s="2381"/>
      <c r="P47" s="2861"/>
      <c r="Q47" s="2381"/>
      <c r="R47" s="2861"/>
      <c r="S47" s="2891"/>
      <c r="T47" s="2892"/>
      <c r="U47" s="2891"/>
      <c r="V47" s="2892"/>
      <c r="W47" s="2891"/>
      <c r="X47" s="2892"/>
      <c r="Y47" s="2891"/>
      <c r="Z47" s="2892"/>
      <c r="AA47" s="2893"/>
      <c r="AB47" s="2894"/>
      <c r="AC47" s="2891"/>
      <c r="AD47" s="2892"/>
      <c r="AE47" s="2893"/>
      <c r="AF47" s="2892"/>
      <c r="AG47" s="2891"/>
      <c r="AH47" s="2892"/>
      <c r="AI47" s="2891"/>
      <c r="AJ47" s="2892"/>
      <c r="AK47" s="2893"/>
      <c r="AL47" s="2894"/>
      <c r="AM47" s="2891"/>
      <c r="AN47" s="2892"/>
      <c r="AO47" s="2893"/>
      <c r="AP47" s="2895"/>
      <c r="AQ47" s="2896"/>
      <c r="AR47" s="2884"/>
      <c r="AS47" s="2884"/>
      <c r="AT47" s="2894"/>
      <c r="AU47" s="2897"/>
      <c r="AV47" s="2898"/>
      <c r="AW47" s="2884"/>
      <c r="AX47" s="2899"/>
      <c r="AY47" t="str">
        <f t="shared" ref="AY47:AY66" si="44">CA47&amp;CB47&amp;CC47&amp;CD47&amp;CE47&amp;CF47&amp;CG47&amp;CH47</f>
        <v/>
      </c>
      <c r="CA47" s="2841" t="str">
        <f t="shared" si="33"/>
        <v/>
      </c>
      <c r="CB47" s="2841" t="str">
        <f t="shared" si="43"/>
        <v/>
      </c>
      <c r="CC47" s="2841" t="str">
        <f t="shared" si="18"/>
        <v/>
      </c>
      <c r="CD47" s="2841" t="str">
        <f t="shared" si="34"/>
        <v/>
      </c>
      <c r="CE47" s="2841" t="str">
        <f t="shared" si="35"/>
        <v/>
      </c>
      <c r="CF47" s="2841" t="str">
        <f t="shared" si="36"/>
        <v/>
      </c>
      <c r="CG47" s="2841" t="str">
        <f t="shared" si="37"/>
        <v/>
      </c>
      <c r="CH47" s="2841" t="str">
        <f t="shared" si="38"/>
        <v/>
      </c>
      <c r="CO47" s="2842">
        <f t="shared" si="11"/>
        <v>0</v>
      </c>
      <c r="CP47" s="2842">
        <f t="shared" si="12"/>
        <v>0</v>
      </c>
      <c r="CQ47" s="2842">
        <f t="shared" si="13"/>
        <v>0</v>
      </c>
      <c r="CR47" s="2842">
        <f t="shared" si="39"/>
        <v>0</v>
      </c>
      <c r="CS47" s="2842">
        <f t="shared" si="25"/>
        <v>0</v>
      </c>
      <c r="CT47" s="2842">
        <f t="shared" si="26"/>
        <v>0</v>
      </c>
      <c r="CU47" s="2842">
        <f t="shared" si="27"/>
        <v>0</v>
      </c>
      <c r="CV47" s="2842">
        <f t="shared" si="15"/>
        <v>0</v>
      </c>
    </row>
    <row r="48" spans="1:100" ht="15" customHeight="1">
      <c r="A48" s="6571" t="s">
        <v>1686</v>
      </c>
      <c r="B48" s="6667"/>
      <c r="C48" s="6572"/>
      <c r="D48" s="1772">
        <f t="shared" si="32"/>
        <v>0</v>
      </c>
      <c r="E48" s="2874">
        <f t="shared" ref="E48:E49" si="45">SUM(G48+I48+K48+M48+O48+Q48+S48+U48+W48+Y48+AA48+AC48+AE48+AG48+AI48+AK48+AM48+AO48)</f>
        <v>0</v>
      </c>
      <c r="F48" s="2901">
        <f t="shared" ref="F48:F49" si="46">SUM(H48+J48+L48+N48+P48+R48+T48+V48+X48+Z48+AB48+AD48+AF48+AH48+AJ48+AL48+AN48+AP48)</f>
        <v>0</v>
      </c>
      <c r="G48" s="2876"/>
      <c r="H48" s="2877"/>
      <c r="I48" s="2876"/>
      <c r="J48" s="2878"/>
      <c r="K48" s="2876"/>
      <c r="L48" s="2877"/>
      <c r="M48" s="2876"/>
      <c r="N48" s="2877"/>
      <c r="O48" s="2876"/>
      <c r="P48" s="2877"/>
      <c r="Q48" s="2876"/>
      <c r="R48" s="2879"/>
      <c r="S48" s="2876"/>
      <c r="T48" s="2879"/>
      <c r="U48" s="2876"/>
      <c r="V48" s="2877"/>
      <c r="W48" s="2876"/>
      <c r="X48" s="2879"/>
      <c r="Y48" s="2876"/>
      <c r="Z48" s="2879"/>
      <c r="AA48" s="2876"/>
      <c r="AB48" s="2877"/>
      <c r="AC48" s="2891"/>
      <c r="AD48" s="2899"/>
      <c r="AE48" s="2893"/>
      <c r="AF48" s="2902"/>
      <c r="AG48" s="2891"/>
      <c r="AH48" s="2902"/>
      <c r="AI48" s="2891"/>
      <c r="AJ48" s="2899"/>
      <c r="AK48" s="2893"/>
      <c r="AL48" s="2902"/>
      <c r="AM48" s="2891"/>
      <c r="AN48" s="2899"/>
      <c r="AO48" s="2893"/>
      <c r="AP48" s="2895"/>
      <c r="AQ48" s="2896"/>
      <c r="AR48" s="2884"/>
      <c r="AS48" s="2884"/>
      <c r="AT48" s="2894"/>
      <c r="AU48" s="2897"/>
      <c r="AV48" s="2898"/>
      <c r="AW48" s="2884"/>
      <c r="AX48" s="2899"/>
      <c r="AY48" t="str">
        <f t="shared" si="44"/>
        <v/>
      </c>
      <c r="CA48" s="2841" t="str">
        <f t="shared" si="33"/>
        <v/>
      </c>
      <c r="CB48" s="2841" t="str">
        <f t="shared" si="43"/>
        <v/>
      </c>
      <c r="CC48" s="2841" t="str">
        <f t="shared" si="18"/>
        <v/>
      </c>
      <c r="CD48" s="2841" t="str">
        <f t="shared" si="34"/>
        <v/>
      </c>
      <c r="CE48" s="2841" t="str">
        <f t="shared" si="35"/>
        <v/>
      </c>
      <c r="CF48" s="2841" t="str">
        <f t="shared" si="36"/>
        <v/>
      </c>
      <c r="CG48" s="2841" t="str">
        <f t="shared" si="37"/>
        <v/>
      </c>
      <c r="CH48" s="2841" t="str">
        <f t="shared" si="38"/>
        <v/>
      </c>
      <c r="CO48" s="2842">
        <f t="shared" si="11"/>
        <v>0</v>
      </c>
      <c r="CP48" s="2842">
        <f t="shared" si="12"/>
        <v>0</v>
      </c>
      <c r="CQ48" s="2842">
        <f t="shared" si="13"/>
        <v>0</v>
      </c>
      <c r="CR48" s="2842">
        <f t="shared" si="39"/>
        <v>0</v>
      </c>
      <c r="CS48" s="2842">
        <f t="shared" si="25"/>
        <v>0</v>
      </c>
      <c r="CT48" s="2842">
        <f t="shared" si="26"/>
        <v>0</v>
      </c>
      <c r="CU48" s="2842">
        <f t="shared" si="27"/>
        <v>0</v>
      </c>
      <c r="CV48" s="2842">
        <f t="shared" si="15"/>
        <v>0</v>
      </c>
    </row>
    <row r="49" spans="1:100" ht="15" customHeight="1">
      <c r="A49" s="6618" t="s">
        <v>1687</v>
      </c>
      <c r="B49" s="6619"/>
      <c r="C49" s="6620"/>
      <c r="D49" s="2904">
        <f t="shared" si="32"/>
        <v>0</v>
      </c>
      <c r="E49" s="2874">
        <f t="shared" si="45"/>
        <v>0</v>
      </c>
      <c r="F49" s="2901">
        <f t="shared" si="46"/>
        <v>0</v>
      </c>
      <c r="G49" s="2905"/>
      <c r="H49" s="2877"/>
      <c r="I49" s="2876"/>
      <c r="J49" s="2878"/>
      <c r="K49" s="2876"/>
      <c r="L49" s="2877"/>
      <c r="M49" s="2876"/>
      <c r="N49" s="2877"/>
      <c r="O49" s="2876"/>
      <c r="P49" s="2877"/>
      <c r="Q49" s="2876"/>
      <c r="R49" s="2879"/>
      <c r="S49" s="2876"/>
      <c r="T49" s="2879"/>
      <c r="U49" s="2876"/>
      <c r="V49" s="2877"/>
      <c r="W49" s="2876"/>
      <c r="X49" s="2879"/>
      <c r="Y49" s="2876"/>
      <c r="Z49" s="2879"/>
      <c r="AA49" s="2876"/>
      <c r="AB49" s="2877"/>
      <c r="AC49" s="2906"/>
      <c r="AD49" s="2907"/>
      <c r="AE49" s="2908"/>
      <c r="AF49" s="2909"/>
      <c r="AG49" s="2906"/>
      <c r="AH49" s="2909"/>
      <c r="AI49" s="2906"/>
      <c r="AJ49" s="2907"/>
      <c r="AK49" s="2910"/>
      <c r="AL49" s="2911"/>
      <c r="AM49" s="2906"/>
      <c r="AN49" s="2907"/>
      <c r="AO49" s="2908"/>
      <c r="AP49" s="2912"/>
      <c r="AQ49" s="2913"/>
      <c r="AR49" s="2914"/>
      <c r="AS49" s="2914"/>
      <c r="AT49" s="2915"/>
      <c r="AU49" s="2916"/>
      <c r="AV49" s="2917"/>
      <c r="AW49" s="2914"/>
      <c r="AX49" s="2907"/>
      <c r="AY49" t="str">
        <f t="shared" si="44"/>
        <v/>
      </c>
      <c r="CA49" s="2841" t="str">
        <f t="shared" si="33"/>
        <v/>
      </c>
      <c r="CB49" s="2841" t="str">
        <f t="shared" si="43"/>
        <v/>
      </c>
      <c r="CC49" s="2841" t="str">
        <f t="shared" si="18"/>
        <v/>
      </c>
      <c r="CD49" s="2841" t="str">
        <f t="shared" si="34"/>
        <v/>
      </c>
      <c r="CE49" s="2841" t="str">
        <f t="shared" si="35"/>
        <v/>
      </c>
      <c r="CF49" s="2841" t="str">
        <f t="shared" si="36"/>
        <v/>
      </c>
      <c r="CG49" s="2841" t="str">
        <f t="shared" si="37"/>
        <v/>
      </c>
      <c r="CH49" s="2841" t="str">
        <f t="shared" si="38"/>
        <v/>
      </c>
      <c r="CO49" s="2842">
        <f t="shared" si="11"/>
        <v>0</v>
      </c>
      <c r="CP49" s="2842">
        <f t="shared" si="12"/>
        <v>0</v>
      </c>
      <c r="CQ49" s="2842">
        <f t="shared" si="13"/>
        <v>0</v>
      </c>
      <c r="CR49" s="2842">
        <f t="shared" si="39"/>
        <v>0</v>
      </c>
      <c r="CS49" s="2842">
        <f t="shared" si="25"/>
        <v>0</v>
      </c>
      <c r="CT49" s="2842">
        <f t="shared" si="26"/>
        <v>0</v>
      </c>
      <c r="CU49" s="2842">
        <f t="shared" si="27"/>
        <v>0</v>
      </c>
      <c r="CV49" s="2842">
        <f t="shared" si="15"/>
        <v>0</v>
      </c>
    </row>
    <row r="50" spans="1:100" ht="15" customHeight="1">
      <c r="A50" s="6214" t="s">
        <v>1053</v>
      </c>
      <c r="B50" s="6676"/>
      <c r="C50" s="6215"/>
      <c r="D50" s="2238">
        <f t="shared" si="32"/>
        <v>0</v>
      </c>
      <c r="E50" s="2239">
        <f>+G50+I50+K50+M50+O50+Q50+S50+U50+W50+Y50+AA50+AC50+AE50+AG50+AI50+AK50+AM50+AO50</f>
        <v>0</v>
      </c>
      <c r="F50" s="2918">
        <f>+H50+J50+L50+N50+P50+R50+T50+V50+X50+Z50+AB50+AD50+AF50+AH50+AJ50+AL50+AN50+AP50</f>
        <v>0</v>
      </c>
      <c r="G50" s="2919"/>
      <c r="H50" s="2920"/>
      <c r="I50" s="2919"/>
      <c r="J50" s="2921"/>
      <c r="K50" s="2919"/>
      <c r="L50" s="2920"/>
      <c r="M50" s="2919"/>
      <c r="N50" s="2920"/>
      <c r="O50" s="2919"/>
      <c r="P50" s="2920"/>
      <c r="Q50" s="2919"/>
      <c r="R50" s="2922"/>
      <c r="S50" s="2919"/>
      <c r="T50" s="2922"/>
      <c r="U50" s="2919"/>
      <c r="V50" s="2922"/>
      <c r="W50" s="2919"/>
      <c r="X50" s="2922"/>
      <c r="Y50" s="2919"/>
      <c r="Z50" s="2922"/>
      <c r="AA50" s="2919"/>
      <c r="AB50" s="2922"/>
      <c r="AC50" s="2923"/>
      <c r="AD50" s="2922"/>
      <c r="AE50" s="2924"/>
      <c r="AF50" s="2922"/>
      <c r="AG50" s="2919"/>
      <c r="AH50" s="2922"/>
      <c r="AI50" s="2919"/>
      <c r="AJ50" s="2922"/>
      <c r="AK50" s="2919"/>
      <c r="AL50" s="2922"/>
      <c r="AM50" s="2923"/>
      <c r="AN50" s="2922"/>
      <c r="AO50" s="2921"/>
      <c r="AP50" s="2925"/>
      <c r="AQ50" s="2926"/>
      <c r="AR50" s="2927"/>
      <c r="AS50" s="2927"/>
      <c r="AT50" s="2928"/>
      <c r="AU50" s="2929"/>
      <c r="AV50" s="2930"/>
      <c r="AW50" s="2927"/>
      <c r="AX50" s="2920"/>
      <c r="AY50" t="str">
        <f t="shared" si="44"/>
        <v/>
      </c>
      <c r="CA50" s="2841" t="str">
        <f t="shared" si="33"/>
        <v/>
      </c>
      <c r="CB50" s="2841" t="str">
        <f t="shared" si="43"/>
        <v/>
      </c>
      <c r="CC50" s="2841" t="str">
        <f t="shared" si="18"/>
        <v/>
      </c>
      <c r="CD50" s="2841" t="str">
        <f t="shared" si="34"/>
        <v/>
      </c>
      <c r="CE50" s="2841" t="str">
        <f t="shared" si="35"/>
        <v/>
      </c>
      <c r="CF50" s="2841" t="str">
        <f t="shared" si="36"/>
        <v/>
      </c>
      <c r="CG50" s="2841" t="str">
        <f t="shared" si="37"/>
        <v/>
      </c>
      <c r="CH50" s="2841" t="str">
        <f t="shared" si="38"/>
        <v/>
      </c>
      <c r="CO50" s="2842">
        <f t="shared" si="11"/>
        <v>0</v>
      </c>
      <c r="CP50" s="2842">
        <f t="shared" si="12"/>
        <v>0</v>
      </c>
      <c r="CQ50" s="2842">
        <f t="shared" si="13"/>
        <v>0</v>
      </c>
      <c r="CR50" s="2842">
        <f t="shared" si="39"/>
        <v>0</v>
      </c>
      <c r="CS50" s="2842">
        <f t="shared" si="25"/>
        <v>0</v>
      </c>
      <c r="CT50" s="2842">
        <f t="shared" si="26"/>
        <v>0</v>
      </c>
      <c r="CU50" s="2842">
        <f t="shared" si="27"/>
        <v>0</v>
      </c>
      <c r="CV50" s="2842">
        <f t="shared" si="15"/>
        <v>0</v>
      </c>
    </row>
    <row r="51" spans="1:100" ht="15" customHeight="1">
      <c r="A51" s="6677" t="s">
        <v>1688</v>
      </c>
      <c r="B51" s="6678"/>
      <c r="C51" s="2931">
        <v>0</v>
      </c>
      <c r="D51" s="2932">
        <f t="shared" si="32"/>
        <v>0</v>
      </c>
      <c r="E51" s="2933">
        <f t="shared" ref="E51:F62" si="47">SUM(G51+I51+K51+M51+O51+Q51+S51+U51+W51+Y51+AA51+AC51+AE51+AG51+AI51+AK51+AM51+AO51)</f>
        <v>0</v>
      </c>
      <c r="F51" s="2875">
        <f>SUM(H51+J51+L51+N51+P51+R51+T51+V51+X51+Z51+AB51+AD51+AF51+AH51+AJ51+AL51+AN51+AP51)</f>
        <v>0</v>
      </c>
      <c r="G51" s="2876"/>
      <c r="H51" s="2877"/>
      <c r="I51" s="2876"/>
      <c r="J51" s="2878"/>
      <c r="K51" s="2876"/>
      <c r="L51" s="2877"/>
      <c r="M51" s="2876"/>
      <c r="N51" s="2877"/>
      <c r="O51" s="2876"/>
      <c r="P51" s="2877"/>
      <c r="Q51" s="2876"/>
      <c r="R51" s="2879"/>
      <c r="S51" s="2876"/>
      <c r="T51" s="2879"/>
      <c r="U51" s="2876"/>
      <c r="V51" s="2879"/>
      <c r="W51" s="2876"/>
      <c r="X51" s="2879"/>
      <c r="Y51" s="2876"/>
      <c r="Z51" s="2879"/>
      <c r="AA51" s="2876"/>
      <c r="AB51" s="2879"/>
      <c r="AC51" s="2934"/>
      <c r="AD51" s="2879"/>
      <c r="AE51" s="2935"/>
      <c r="AF51" s="2879"/>
      <c r="AG51" s="2876"/>
      <c r="AH51" s="2879"/>
      <c r="AI51" s="2876"/>
      <c r="AJ51" s="2879"/>
      <c r="AK51" s="2876"/>
      <c r="AL51" s="2879"/>
      <c r="AM51" s="2934"/>
      <c r="AN51" s="2879"/>
      <c r="AO51" s="2878"/>
      <c r="AP51" s="2936"/>
      <c r="AQ51" s="2883"/>
      <c r="AR51" s="2889"/>
      <c r="AS51" s="2889"/>
      <c r="AT51" s="2886"/>
      <c r="AU51" s="2887"/>
      <c r="AV51" s="2888"/>
      <c r="AW51" s="2889"/>
      <c r="AX51" s="2877"/>
      <c r="AY51" t="str">
        <f t="shared" si="44"/>
        <v/>
      </c>
      <c r="CA51" s="2841" t="str">
        <f t="shared" si="33"/>
        <v/>
      </c>
      <c r="CB51" s="2841" t="str">
        <f t="shared" si="43"/>
        <v/>
      </c>
      <c r="CC51" s="2841" t="str">
        <f t="shared" si="18"/>
        <v/>
      </c>
      <c r="CD51" s="2841" t="str">
        <f t="shared" si="34"/>
        <v/>
      </c>
      <c r="CE51" s="2841" t="str">
        <f t="shared" si="35"/>
        <v/>
      </c>
      <c r="CF51" s="2841" t="str">
        <f t="shared" si="36"/>
        <v/>
      </c>
      <c r="CG51" s="2841" t="str">
        <f t="shared" si="37"/>
        <v/>
      </c>
      <c r="CH51" s="2841" t="str">
        <f t="shared" si="38"/>
        <v/>
      </c>
      <c r="CO51" s="2842">
        <f t="shared" si="11"/>
        <v>0</v>
      </c>
      <c r="CP51" s="2842">
        <f t="shared" si="12"/>
        <v>0</v>
      </c>
      <c r="CQ51" s="2842">
        <f t="shared" si="13"/>
        <v>0</v>
      </c>
      <c r="CR51" s="2842">
        <f t="shared" si="39"/>
        <v>0</v>
      </c>
      <c r="CS51" s="2842">
        <f t="shared" si="25"/>
        <v>0</v>
      </c>
      <c r="CT51" s="2842">
        <f t="shared" si="26"/>
        <v>0</v>
      </c>
      <c r="CU51" s="2842">
        <f t="shared" si="27"/>
        <v>0</v>
      </c>
      <c r="CV51" s="2842">
        <f t="shared" si="15"/>
        <v>0</v>
      </c>
    </row>
    <row r="52" spans="1:100" ht="15" customHeight="1">
      <c r="A52" s="6679"/>
      <c r="B52" s="6680"/>
      <c r="C52" s="2937" t="s">
        <v>1689</v>
      </c>
      <c r="D52" s="2938">
        <f t="shared" si="32"/>
        <v>0</v>
      </c>
      <c r="E52" s="2933">
        <f t="shared" si="47"/>
        <v>0</v>
      </c>
      <c r="F52" s="2875">
        <f t="shared" si="47"/>
        <v>0</v>
      </c>
      <c r="G52" s="2891"/>
      <c r="H52" s="2899"/>
      <c r="I52" s="2891"/>
      <c r="J52" s="2902"/>
      <c r="K52" s="2891"/>
      <c r="L52" s="2899"/>
      <c r="M52" s="2891"/>
      <c r="N52" s="2899"/>
      <c r="O52" s="2891"/>
      <c r="P52" s="2899"/>
      <c r="Q52" s="2891"/>
      <c r="R52" s="2892"/>
      <c r="S52" s="2891"/>
      <c r="T52" s="2892"/>
      <c r="U52" s="2891"/>
      <c r="V52" s="2892"/>
      <c r="W52" s="2891"/>
      <c r="X52" s="2892"/>
      <c r="Y52" s="2891"/>
      <c r="Z52" s="2892"/>
      <c r="AA52" s="2891"/>
      <c r="AB52" s="2892"/>
      <c r="AC52" s="2939"/>
      <c r="AD52" s="2892"/>
      <c r="AE52" s="2893"/>
      <c r="AF52" s="2892"/>
      <c r="AG52" s="2891"/>
      <c r="AH52" s="2892"/>
      <c r="AI52" s="2891"/>
      <c r="AJ52" s="2892"/>
      <c r="AK52" s="2891"/>
      <c r="AL52" s="2892"/>
      <c r="AM52" s="2939"/>
      <c r="AN52" s="2892"/>
      <c r="AO52" s="2902"/>
      <c r="AP52" s="2895"/>
      <c r="AQ52" s="2896"/>
      <c r="AR52" s="2884"/>
      <c r="AS52" s="2884"/>
      <c r="AT52" s="2894"/>
      <c r="AU52" s="2897"/>
      <c r="AV52" s="2898"/>
      <c r="AW52" s="2884"/>
      <c r="AX52" s="2899"/>
      <c r="AY52" t="str">
        <f t="shared" si="44"/>
        <v/>
      </c>
      <c r="CA52" s="2841" t="str">
        <f t="shared" si="33"/>
        <v/>
      </c>
      <c r="CB52" s="2841" t="str">
        <f t="shared" si="43"/>
        <v/>
      </c>
      <c r="CC52" s="2841" t="str">
        <f t="shared" si="18"/>
        <v/>
      </c>
      <c r="CD52" s="2841" t="str">
        <f t="shared" si="34"/>
        <v/>
      </c>
      <c r="CE52" s="2841" t="str">
        <f t="shared" si="35"/>
        <v/>
      </c>
      <c r="CF52" s="2841" t="str">
        <f t="shared" si="36"/>
        <v/>
      </c>
      <c r="CG52" s="2841" t="str">
        <f t="shared" si="37"/>
        <v/>
      </c>
      <c r="CH52" s="2841" t="str">
        <f t="shared" si="38"/>
        <v/>
      </c>
      <c r="CO52" s="2842">
        <f t="shared" si="11"/>
        <v>0</v>
      </c>
      <c r="CP52" s="2842">
        <f t="shared" si="12"/>
        <v>0</v>
      </c>
      <c r="CQ52" s="2842">
        <f t="shared" si="13"/>
        <v>0</v>
      </c>
      <c r="CR52" s="2842">
        <f t="shared" si="39"/>
        <v>0</v>
      </c>
      <c r="CS52" s="2842">
        <f t="shared" si="25"/>
        <v>0</v>
      </c>
      <c r="CT52" s="2842">
        <f t="shared" si="26"/>
        <v>0</v>
      </c>
      <c r="CU52" s="2842">
        <f t="shared" si="27"/>
        <v>0</v>
      </c>
      <c r="CV52" s="2842">
        <f t="shared" si="15"/>
        <v>0</v>
      </c>
    </row>
    <row r="53" spans="1:100" ht="15" customHeight="1">
      <c r="A53" s="6679"/>
      <c r="B53" s="6680"/>
      <c r="C53" s="2937" t="s">
        <v>1690</v>
      </c>
      <c r="D53" s="2938">
        <f t="shared" si="32"/>
        <v>0</v>
      </c>
      <c r="E53" s="2933">
        <f t="shared" si="47"/>
        <v>0</v>
      </c>
      <c r="F53" s="2875">
        <f t="shared" si="47"/>
        <v>0</v>
      </c>
      <c r="G53" s="2891"/>
      <c r="H53" s="2899"/>
      <c r="I53" s="2891"/>
      <c r="J53" s="2902"/>
      <c r="K53" s="2891"/>
      <c r="L53" s="2899"/>
      <c r="M53" s="2891"/>
      <c r="N53" s="2899"/>
      <c r="O53" s="2891"/>
      <c r="P53" s="2899"/>
      <c r="Q53" s="2891"/>
      <c r="R53" s="2892"/>
      <c r="S53" s="2891"/>
      <c r="T53" s="2892"/>
      <c r="U53" s="2891"/>
      <c r="V53" s="2892"/>
      <c r="W53" s="2891"/>
      <c r="X53" s="2892"/>
      <c r="Y53" s="2891"/>
      <c r="Z53" s="2892"/>
      <c r="AA53" s="2891"/>
      <c r="AB53" s="2892"/>
      <c r="AC53" s="2939"/>
      <c r="AD53" s="2892"/>
      <c r="AE53" s="2893"/>
      <c r="AF53" s="2892"/>
      <c r="AG53" s="2891"/>
      <c r="AH53" s="2892"/>
      <c r="AI53" s="2891"/>
      <c r="AJ53" s="2892"/>
      <c r="AK53" s="2891"/>
      <c r="AL53" s="2892"/>
      <c r="AM53" s="2939"/>
      <c r="AN53" s="2892"/>
      <c r="AO53" s="2902"/>
      <c r="AP53" s="2895"/>
      <c r="AQ53" s="2896"/>
      <c r="AR53" s="2884"/>
      <c r="AS53" s="2884"/>
      <c r="AT53" s="2894"/>
      <c r="AU53" s="2897"/>
      <c r="AV53" s="2898"/>
      <c r="AW53" s="2884"/>
      <c r="AX53" s="2899"/>
      <c r="AY53" t="str">
        <f t="shared" si="44"/>
        <v/>
      </c>
      <c r="CA53" s="2841" t="str">
        <f t="shared" si="33"/>
        <v/>
      </c>
      <c r="CB53" s="2841" t="str">
        <f t="shared" si="43"/>
        <v/>
      </c>
      <c r="CC53" s="2841" t="str">
        <f t="shared" si="18"/>
        <v/>
      </c>
      <c r="CD53" s="2841" t="str">
        <f t="shared" si="34"/>
        <v/>
      </c>
      <c r="CE53" s="2841" t="str">
        <f t="shared" si="35"/>
        <v/>
      </c>
      <c r="CF53" s="2841" t="str">
        <f t="shared" si="36"/>
        <v/>
      </c>
      <c r="CG53" s="2841" t="str">
        <f t="shared" si="37"/>
        <v/>
      </c>
      <c r="CH53" s="2841" t="str">
        <f t="shared" si="38"/>
        <v/>
      </c>
      <c r="CO53" s="2842">
        <f t="shared" si="11"/>
        <v>0</v>
      </c>
      <c r="CP53" s="2842">
        <f t="shared" si="12"/>
        <v>0</v>
      </c>
      <c r="CQ53" s="2842">
        <f t="shared" si="13"/>
        <v>0</v>
      </c>
      <c r="CR53" s="2842">
        <f t="shared" si="39"/>
        <v>0</v>
      </c>
      <c r="CS53" s="2842">
        <f t="shared" si="25"/>
        <v>0</v>
      </c>
      <c r="CT53" s="2842">
        <f t="shared" si="26"/>
        <v>0</v>
      </c>
      <c r="CU53" s="2842">
        <f t="shared" si="27"/>
        <v>0</v>
      </c>
      <c r="CV53" s="2842">
        <f t="shared" si="15"/>
        <v>0</v>
      </c>
    </row>
    <row r="54" spans="1:100" ht="15" customHeight="1">
      <c r="A54" s="6679"/>
      <c r="B54" s="6680"/>
      <c r="C54" s="2937" t="s">
        <v>1691</v>
      </c>
      <c r="D54" s="2938">
        <f t="shared" si="32"/>
        <v>0</v>
      </c>
      <c r="E54" s="2933">
        <f t="shared" si="47"/>
        <v>0</v>
      </c>
      <c r="F54" s="2875">
        <f t="shared" si="47"/>
        <v>0</v>
      </c>
      <c r="G54" s="2891"/>
      <c r="H54" s="2899"/>
      <c r="I54" s="2891"/>
      <c r="J54" s="2902"/>
      <c r="K54" s="2891"/>
      <c r="L54" s="2899"/>
      <c r="M54" s="2891"/>
      <c r="N54" s="2899"/>
      <c r="O54" s="2891"/>
      <c r="P54" s="2899"/>
      <c r="Q54" s="2891"/>
      <c r="R54" s="2892"/>
      <c r="S54" s="2891"/>
      <c r="T54" s="2892"/>
      <c r="U54" s="2891"/>
      <c r="V54" s="2892"/>
      <c r="W54" s="2891"/>
      <c r="X54" s="2892"/>
      <c r="Y54" s="2891"/>
      <c r="Z54" s="2892"/>
      <c r="AA54" s="2891"/>
      <c r="AB54" s="2892"/>
      <c r="AC54" s="2939"/>
      <c r="AD54" s="2892"/>
      <c r="AE54" s="2893"/>
      <c r="AF54" s="2892"/>
      <c r="AG54" s="2891"/>
      <c r="AH54" s="2892"/>
      <c r="AI54" s="2891"/>
      <c r="AJ54" s="2892"/>
      <c r="AK54" s="2891"/>
      <c r="AL54" s="2892"/>
      <c r="AM54" s="2939"/>
      <c r="AN54" s="2892"/>
      <c r="AO54" s="2902"/>
      <c r="AP54" s="2895"/>
      <c r="AQ54" s="2896"/>
      <c r="AR54" s="2884"/>
      <c r="AS54" s="2884"/>
      <c r="AT54" s="2894"/>
      <c r="AU54" s="2897"/>
      <c r="AV54" s="2898"/>
      <c r="AW54" s="2884"/>
      <c r="AX54" s="2899"/>
      <c r="AY54" t="str">
        <f t="shared" si="44"/>
        <v/>
      </c>
      <c r="CA54" s="2841" t="str">
        <f t="shared" si="33"/>
        <v/>
      </c>
      <c r="CB54" s="2841" t="str">
        <f t="shared" si="43"/>
        <v/>
      </c>
      <c r="CC54" s="2841" t="str">
        <f t="shared" si="18"/>
        <v/>
      </c>
      <c r="CD54" s="2841" t="str">
        <f t="shared" si="34"/>
        <v/>
      </c>
      <c r="CE54" s="2841" t="str">
        <f t="shared" si="35"/>
        <v/>
      </c>
      <c r="CF54" s="2841" t="str">
        <f t="shared" si="36"/>
        <v/>
      </c>
      <c r="CG54" s="2841" t="str">
        <f t="shared" si="37"/>
        <v/>
      </c>
      <c r="CH54" s="2841" t="str">
        <f t="shared" si="38"/>
        <v/>
      </c>
      <c r="CO54" s="2842">
        <f t="shared" si="11"/>
        <v>0</v>
      </c>
      <c r="CP54" s="2842">
        <f t="shared" si="12"/>
        <v>0</v>
      </c>
      <c r="CQ54" s="2842">
        <f t="shared" si="13"/>
        <v>0</v>
      </c>
      <c r="CR54" s="2842">
        <f t="shared" si="39"/>
        <v>0</v>
      </c>
      <c r="CS54" s="2842">
        <f t="shared" si="25"/>
        <v>0</v>
      </c>
      <c r="CT54" s="2842">
        <f t="shared" si="26"/>
        <v>0</v>
      </c>
      <c r="CU54" s="2842">
        <f t="shared" si="27"/>
        <v>0</v>
      </c>
      <c r="CV54" s="2842">
        <f t="shared" si="15"/>
        <v>0</v>
      </c>
    </row>
    <row r="55" spans="1:100" ht="15" customHeight="1">
      <c r="A55" s="6679"/>
      <c r="B55" s="6680"/>
      <c r="C55" s="2940" t="s">
        <v>1692</v>
      </c>
      <c r="D55" s="2941">
        <f t="shared" si="32"/>
        <v>0</v>
      </c>
      <c r="E55" s="2933">
        <f t="shared" si="47"/>
        <v>0</v>
      </c>
      <c r="F55" s="2875">
        <f>SUM(H55+J55+L55+N55+P55+R55+T55+V55+X55+Z55+AB55+AD55+AF55+AH55+AJ55+AL55+AN55+AP55)</f>
        <v>0</v>
      </c>
      <c r="G55" s="2891"/>
      <c r="H55" s="2899"/>
      <c r="I55" s="2891"/>
      <c r="J55" s="2902"/>
      <c r="K55" s="2942"/>
      <c r="L55" s="2943"/>
      <c r="M55" s="2942"/>
      <c r="N55" s="2943"/>
      <c r="O55" s="2942"/>
      <c r="P55" s="2943"/>
      <c r="Q55" s="2942"/>
      <c r="R55" s="2944"/>
      <c r="S55" s="2942"/>
      <c r="T55" s="2944"/>
      <c r="U55" s="2942"/>
      <c r="V55" s="2944"/>
      <c r="W55" s="2942"/>
      <c r="X55" s="2944"/>
      <c r="Y55" s="2942"/>
      <c r="Z55" s="2944"/>
      <c r="AA55" s="2942"/>
      <c r="AB55" s="2944"/>
      <c r="AC55" s="2945"/>
      <c r="AD55" s="2944"/>
      <c r="AE55" s="2946"/>
      <c r="AF55" s="2944"/>
      <c r="AG55" s="2942"/>
      <c r="AH55" s="2944"/>
      <c r="AI55" s="2942"/>
      <c r="AJ55" s="2944"/>
      <c r="AK55" s="2942"/>
      <c r="AL55" s="2944"/>
      <c r="AM55" s="2945"/>
      <c r="AN55" s="2944"/>
      <c r="AO55" s="2947"/>
      <c r="AP55" s="2948"/>
      <c r="AQ55" s="2949"/>
      <c r="AR55" s="2950"/>
      <c r="AS55" s="2950"/>
      <c r="AT55" s="2951"/>
      <c r="AU55" s="2952"/>
      <c r="AV55" s="2953"/>
      <c r="AW55" s="2950"/>
      <c r="AX55" s="2943"/>
      <c r="AY55" t="str">
        <f t="shared" si="44"/>
        <v/>
      </c>
      <c r="CA55" s="2841" t="str">
        <f t="shared" si="33"/>
        <v/>
      </c>
      <c r="CB55" s="2841" t="str">
        <f t="shared" si="43"/>
        <v/>
      </c>
      <c r="CC55" s="2841" t="str">
        <f t="shared" si="18"/>
        <v/>
      </c>
      <c r="CD55" s="2841" t="str">
        <f t="shared" si="34"/>
        <v/>
      </c>
      <c r="CE55" s="2841" t="str">
        <f t="shared" si="35"/>
        <v/>
      </c>
      <c r="CF55" s="2841" t="str">
        <f t="shared" si="36"/>
        <v/>
      </c>
      <c r="CG55" s="2841" t="str">
        <f t="shared" si="37"/>
        <v/>
      </c>
      <c r="CH55" s="2841" t="str">
        <f t="shared" si="38"/>
        <v/>
      </c>
      <c r="CO55" s="2842">
        <f t="shared" si="11"/>
        <v>0</v>
      </c>
      <c r="CP55" s="2842">
        <f t="shared" si="12"/>
        <v>0</v>
      </c>
      <c r="CQ55" s="2842">
        <f t="shared" si="13"/>
        <v>0</v>
      </c>
      <c r="CR55" s="2842">
        <f t="shared" si="39"/>
        <v>0</v>
      </c>
      <c r="CS55" s="2842">
        <f t="shared" si="25"/>
        <v>0</v>
      </c>
      <c r="CT55" s="2842">
        <f t="shared" si="26"/>
        <v>0</v>
      </c>
      <c r="CU55" s="2842">
        <f t="shared" si="27"/>
        <v>0</v>
      </c>
      <c r="CV55" s="2842">
        <f t="shared" si="15"/>
        <v>0</v>
      </c>
    </row>
    <row r="56" spans="1:100" ht="15" customHeight="1">
      <c r="A56" s="6679"/>
      <c r="B56" s="6680"/>
      <c r="C56" s="2940" t="s">
        <v>1693</v>
      </c>
      <c r="D56" s="2904">
        <f t="shared" si="32"/>
        <v>0</v>
      </c>
      <c r="E56" s="2954">
        <f>SUM(K56+M56+O56+Q56+S56+U56+W56+Y56+AA56+AC56+AE56+AG56+AI56+AK56+AM56+AO56)</f>
        <v>0</v>
      </c>
      <c r="F56" s="2955">
        <f>SUM(L56+N56+P56+R56+T56+V56+X56+Z56+AB56+AD56+AF56+AH56+AJ56+AL56+AN56+AP56)</f>
        <v>0</v>
      </c>
      <c r="G56" s="2956"/>
      <c r="H56" s="2957"/>
      <c r="I56" s="2956"/>
      <c r="J56" s="2957"/>
      <c r="K56" s="2905"/>
      <c r="L56" s="2958"/>
      <c r="M56" s="2905"/>
      <c r="N56" s="2958"/>
      <c r="O56" s="2905"/>
      <c r="P56" s="2958"/>
      <c r="Q56" s="2905"/>
      <c r="R56" s="2959"/>
      <c r="S56" s="2905"/>
      <c r="T56" s="2959"/>
      <c r="U56" s="2905"/>
      <c r="V56" s="2959"/>
      <c r="W56" s="2905"/>
      <c r="X56" s="2959"/>
      <c r="Y56" s="2905"/>
      <c r="Z56" s="2959"/>
      <c r="AA56" s="2905"/>
      <c r="AB56" s="2959"/>
      <c r="AC56" s="2960"/>
      <c r="AD56" s="2959"/>
      <c r="AE56" s="2961"/>
      <c r="AF56" s="2959"/>
      <c r="AG56" s="2905"/>
      <c r="AH56" s="2959"/>
      <c r="AI56" s="2905"/>
      <c r="AJ56" s="2959"/>
      <c r="AK56" s="2905"/>
      <c r="AL56" s="2959"/>
      <c r="AM56" s="2960"/>
      <c r="AN56" s="2959"/>
      <c r="AO56" s="2962"/>
      <c r="AP56" s="2963"/>
      <c r="AQ56" s="2964"/>
      <c r="AR56" s="2965"/>
      <c r="AS56" s="2965"/>
      <c r="AT56" s="2966"/>
      <c r="AU56" s="2967"/>
      <c r="AV56" s="2968"/>
      <c r="AW56" s="2965"/>
      <c r="AX56" s="2958"/>
      <c r="AY56" t="str">
        <f t="shared" si="44"/>
        <v/>
      </c>
      <c r="CA56" s="2841" t="str">
        <f t="shared" si="33"/>
        <v/>
      </c>
      <c r="CB56" s="2841" t="str">
        <f t="shared" si="43"/>
        <v/>
      </c>
      <c r="CC56" s="2841" t="str">
        <f t="shared" si="18"/>
        <v/>
      </c>
      <c r="CD56" s="2841" t="str">
        <f t="shared" si="34"/>
        <v/>
      </c>
      <c r="CE56" s="2841" t="str">
        <f t="shared" si="35"/>
        <v/>
      </c>
      <c r="CF56" s="2841" t="str">
        <f t="shared" si="36"/>
        <v/>
      </c>
      <c r="CG56" s="2841" t="str">
        <f t="shared" si="37"/>
        <v/>
      </c>
      <c r="CH56" s="2841" t="str">
        <f t="shared" si="38"/>
        <v/>
      </c>
      <c r="CO56" s="2842">
        <f t="shared" si="11"/>
        <v>0</v>
      </c>
      <c r="CP56" s="2842">
        <f t="shared" si="12"/>
        <v>0</v>
      </c>
      <c r="CQ56" s="2842">
        <f t="shared" si="13"/>
        <v>0</v>
      </c>
      <c r="CR56" s="2842">
        <f t="shared" si="39"/>
        <v>0</v>
      </c>
      <c r="CS56" s="2842">
        <f t="shared" si="25"/>
        <v>0</v>
      </c>
      <c r="CT56" s="2842">
        <f t="shared" si="26"/>
        <v>0</v>
      </c>
      <c r="CU56" s="2842">
        <f t="shared" si="27"/>
        <v>0</v>
      </c>
      <c r="CV56" s="2842">
        <f t="shared" si="15"/>
        <v>0</v>
      </c>
    </row>
    <row r="57" spans="1:100" ht="15" customHeight="1">
      <c r="A57" s="6137" t="s">
        <v>91</v>
      </c>
      <c r="B57" s="6137"/>
      <c r="C57" s="6137"/>
      <c r="D57" s="2238">
        <f>SUM(D51:D56)</f>
        <v>0</v>
      </c>
      <c r="E57" s="2243">
        <f>SUM(E51:E56)</f>
        <v>0</v>
      </c>
      <c r="F57" s="2918">
        <f>SUM(F51:F56)</f>
        <v>0</v>
      </c>
      <c r="G57" s="2238">
        <f>SUM(G51:G56)</f>
        <v>0</v>
      </c>
      <c r="H57" s="2243">
        <f t="shared" ref="H57:AW57" si="48">SUM(H51:H56)</f>
        <v>0</v>
      </c>
      <c r="I57" s="2238">
        <f t="shared" si="48"/>
        <v>0</v>
      </c>
      <c r="J57" s="2243">
        <f t="shared" si="48"/>
        <v>0</v>
      </c>
      <c r="K57" s="2238">
        <f t="shared" si="48"/>
        <v>0</v>
      </c>
      <c r="L57" s="2243">
        <f t="shared" si="48"/>
        <v>0</v>
      </c>
      <c r="M57" s="2238">
        <f t="shared" si="48"/>
        <v>0</v>
      </c>
      <c r="N57" s="2243">
        <f t="shared" si="48"/>
        <v>0</v>
      </c>
      <c r="O57" s="2238">
        <f t="shared" si="48"/>
        <v>0</v>
      </c>
      <c r="P57" s="2243">
        <f t="shared" si="48"/>
        <v>0</v>
      </c>
      <c r="Q57" s="2238">
        <f t="shared" si="48"/>
        <v>0</v>
      </c>
      <c r="R57" s="2243">
        <f t="shared" si="48"/>
        <v>0</v>
      </c>
      <c r="S57" s="2238">
        <f t="shared" si="48"/>
        <v>0</v>
      </c>
      <c r="T57" s="2243">
        <f t="shared" si="48"/>
        <v>0</v>
      </c>
      <c r="U57" s="2238">
        <f t="shared" si="48"/>
        <v>0</v>
      </c>
      <c r="V57" s="2243">
        <f t="shared" si="48"/>
        <v>0</v>
      </c>
      <c r="W57" s="2238">
        <f t="shared" si="48"/>
        <v>0</v>
      </c>
      <c r="X57" s="2243">
        <f t="shared" si="48"/>
        <v>0</v>
      </c>
      <c r="Y57" s="2238">
        <f>SUM(Y51:Y56)</f>
        <v>0</v>
      </c>
      <c r="Z57" s="2243">
        <f>SUM(Z51:Z56)</f>
        <v>0</v>
      </c>
      <c r="AA57" s="2238">
        <f t="shared" si="48"/>
        <v>0</v>
      </c>
      <c r="AB57" s="2243">
        <f t="shared" si="48"/>
        <v>0</v>
      </c>
      <c r="AC57" s="2238">
        <f t="shared" si="48"/>
        <v>0</v>
      </c>
      <c r="AD57" s="2243">
        <f t="shared" si="48"/>
        <v>0</v>
      </c>
      <c r="AE57" s="2238">
        <f t="shared" si="48"/>
        <v>0</v>
      </c>
      <c r="AF57" s="2243">
        <f t="shared" si="48"/>
        <v>0</v>
      </c>
      <c r="AG57" s="2238">
        <f t="shared" si="48"/>
        <v>0</v>
      </c>
      <c r="AH57" s="2243">
        <f t="shared" si="48"/>
        <v>0</v>
      </c>
      <c r="AI57" s="2238">
        <f t="shared" si="48"/>
        <v>0</v>
      </c>
      <c r="AJ57" s="2243">
        <f t="shared" si="48"/>
        <v>0</v>
      </c>
      <c r="AK57" s="2238">
        <f t="shared" si="48"/>
        <v>0</v>
      </c>
      <c r="AL57" s="2243">
        <f t="shared" si="48"/>
        <v>0</v>
      </c>
      <c r="AM57" s="2238">
        <f t="shared" si="48"/>
        <v>0</v>
      </c>
      <c r="AN57" s="2243">
        <f t="shared" si="48"/>
        <v>0</v>
      </c>
      <c r="AO57" s="2238">
        <f t="shared" si="48"/>
        <v>0</v>
      </c>
      <c r="AP57" s="2969">
        <f t="shared" si="48"/>
        <v>0</v>
      </c>
      <c r="AQ57" s="2970">
        <f t="shared" si="48"/>
        <v>0</v>
      </c>
      <c r="AR57" s="2239">
        <f t="shared" si="48"/>
        <v>0</v>
      </c>
      <c r="AS57" s="2239">
        <f t="shared" si="48"/>
        <v>0</v>
      </c>
      <c r="AT57" s="2971">
        <f t="shared" si="48"/>
        <v>0</v>
      </c>
      <c r="AU57" s="2972">
        <f t="shared" si="48"/>
        <v>0</v>
      </c>
      <c r="AV57" s="2973">
        <f>SUM(AV51:AV56)</f>
        <v>0</v>
      </c>
      <c r="AW57" s="2239">
        <f t="shared" si="48"/>
        <v>0</v>
      </c>
      <c r="AX57" s="2918">
        <f>SUM(AX51:AX56)</f>
        <v>0</v>
      </c>
      <c r="AY57" t="str">
        <f t="shared" si="44"/>
        <v/>
      </c>
      <c r="CE57" s="2832" t="str">
        <f t="shared" si="35"/>
        <v/>
      </c>
    </row>
    <row r="58" spans="1:100" ht="15" customHeight="1">
      <c r="A58" s="6679" t="s">
        <v>1694</v>
      </c>
      <c r="B58" s="6680"/>
      <c r="C58" s="2974">
        <v>0</v>
      </c>
      <c r="D58" s="1734">
        <f t="shared" si="32"/>
        <v>0</v>
      </c>
      <c r="E58" s="2975">
        <f t="shared" si="47"/>
        <v>0</v>
      </c>
      <c r="F58" s="2976">
        <f t="shared" si="47"/>
        <v>0</v>
      </c>
      <c r="G58" s="2862"/>
      <c r="H58" s="2863"/>
      <c r="I58" s="2862"/>
      <c r="J58" s="2863"/>
      <c r="K58" s="2862"/>
      <c r="L58" s="2863"/>
      <c r="M58" s="2862"/>
      <c r="N58" s="2863"/>
      <c r="O58" s="2862"/>
      <c r="P58" s="2863"/>
      <c r="Q58" s="2862"/>
      <c r="R58" s="2863"/>
      <c r="S58" s="2862"/>
      <c r="T58" s="2863"/>
      <c r="U58" s="2862"/>
      <c r="V58" s="2863"/>
      <c r="W58" s="2862"/>
      <c r="X58" s="2863"/>
      <c r="Y58" s="2862"/>
      <c r="Z58" s="2863"/>
      <c r="AA58" s="2862"/>
      <c r="AB58" s="2863"/>
      <c r="AC58" s="2862"/>
      <c r="AD58" s="2863"/>
      <c r="AE58" s="2862"/>
      <c r="AF58" s="2863"/>
      <c r="AG58" s="2862"/>
      <c r="AH58" s="2863"/>
      <c r="AI58" s="2862"/>
      <c r="AJ58" s="2863"/>
      <c r="AK58" s="2862"/>
      <c r="AL58" s="2863"/>
      <c r="AM58" s="2862"/>
      <c r="AN58" s="2863"/>
      <c r="AO58" s="2862"/>
      <c r="AP58" s="2867"/>
      <c r="AQ58" s="2868"/>
      <c r="AR58" s="2869"/>
      <c r="AS58" s="2869"/>
      <c r="AT58" s="2870"/>
      <c r="AU58" s="2871"/>
      <c r="AV58" s="2872"/>
      <c r="AW58" s="2869"/>
      <c r="AX58" s="2873"/>
      <c r="AY58" t="str">
        <f t="shared" si="44"/>
        <v/>
      </c>
      <c r="CA58" s="2841" t="str">
        <f t="shared" si="33"/>
        <v/>
      </c>
      <c r="CB58" s="2841" t="str">
        <f t="shared" si="43"/>
        <v/>
      </c>
      <c r="CC58" s="2841" t="str">
        <f t="shared" si="18"/>
        <v/>
      </c>
      <c r="CD58" s="2841" t="str">
        <f t="shared" si="34"/>
        <v/>
      </c>
      <c r="CE58" s="2841" t="str">
        <f t="shared" si="35"/>
        <v/>
      </c>
      <c r="CF58" s="2841" t="str">
        <f t="shared" si="36"/>
        <v/>
      </c>
      <c r="CG58" s="2841" t="str">
        <f t="shared" si="37"/>
        <v/>
      </c>
      <c r="CH58" s="2841" t="str">
        <f t="shared" si="38"/>
        <v/>
      </c>
      <c r="CO58" s="2842">
        <f t="shared" si="11"/>
        <v>0</v>
      </c>
      <c r="CP58" s="2842">
        <f t="shared" si="12"/>
        <v>0</v>
      </c>
      <c r="CQ58" s="2842">
        <f t="shared" si="13"/>
        <v>0</v>
      </c>
      <c r="CR58" s="2842">
        <f t="shared" si="39"/>
        <v>0</v>
      </c>
      <c r="CS58" s="2842">
        <f t="shared" si="39"/>
        <v>0</v>
      </c>
      <c r="CT58" s="2842">
        <f t="shared" si="39"/>
        <v>0</v>
      </c>
      <c r="CU58" s="2842">
        <f t="shared" si="39"/>
        <v>0</v>
      </c>
      <c r="CV58" s="2842">
        <f t="shared" si="15"/>
        <v>0</v>
      </c>
    </row>
    <row r="59" spans="1:100" ht="15" customHeight="1">
      <c r="A59" s="6679"/>
      <c r="B59" s="6680"/>
      <c r="C59" s="2937" t="s">
        <v>1695</v>
      </c>
      <c r="D59" s="2938">
        <f t="shared" si="32"/>
        <v>0</v>
      </c>
      <c r="E59" s="2977">
        <f t="shared" si="47"/>
        <v>0</v>
      </c>
      <c r="F59" s="2978">
        <f t="shared" si="47"/>
        <v>0</v>
      </c>
      <c r="G59" s="2891"/>
      <c r="H59" s="2892"/>
      <c r="I59" s="2891"/>
      <c r="J59" s="2892"/>
      <c r="K59" s="2891"/>
      <c r="L59" s="2892"/>
      <c r="M59" s="2891"/>
      <c r="N59" s="2892"/>
      <c r="O59" s="2891"/>
      <c r="P59" s="2892"/>
      <c r="Q59" s="2891"/>
      <c r="R59" s="2892"/>
      <c r="S59" s="2891"/>
      <c r="T59" s="2892"/>
      <c r="U59" s="2891"/>
      <c r="V59" s="2892"/>
      <c r="W59" s="2891"/>
      <c r="X59" s="2892"/>
      <c r="Y59" s="2891"/>
      <c r="Z59" s="2892"/>
      <c r="AA59" s="2891"/>
      <c r="AB59" s="2892"/>
      <c r="AC59" s="2891"/>
      <c r="AD59" s="2892"/>
      <c r="AE59" s="2891"/>
      <c r="AF59" s="2892"/>
      <c r="AG59" s="2891"/>
      <c r="AH59" s="2892"/>
      <c r="AI59" s="2891"/>
      <c r="AJ59" s="2892"/>
      <c r="AK59" s="2891"/>
      <c r="AL59" s="2892"/>
      <c r="AM59" s="2891"/>
      <c r="AN59" s="2892"/>
      <c r="AO59" s="2891"/>
      <c r="AP59" s="2895"/>
      <c r="AQ59" s="2896"/>
      <c r="AR59" s="2884"/>
      <c r="AS59" s="2884"/>
      <c r="AT59" s="2894"/>
      <c r="AU59" s="2897"/>
      <c r="AV59" s="2898"/>
      <c r="AW59" s="2884"/>
      <c r="AX59" s="2899"/>
      <c r="AY59" t="str">
        <f t="shared" si="44"/>
        <v/>
      </c>
      <c r="CA59" s="2841" t="str">
        <f t="shared" si="33"/>
        <v/>
      </c>
      <c r="CB59" s="2841" t="str">
        <f t="shared" si="43"/>
        <v/>
      </c>
      <c r="CC59" s="2841" t="str">
        <f t="shared" si="18"/>
        <v/>
      </c>
      <c r="CD59" s="2841" t="str">
        <f t="shared" si="34"/>
        <v/>
      </c>
      <c r="CE59" s="2841" t="str">
        <f t="shared" si="35"/>
        <v/>
      </c>
      <c r="CF59" s="2841" t="str">
        <f t="shared" si="36"/>
        <v/>
      </c>
      <c r="CG59" s="2841" t="str">
        <f t="shared" si="37"/>
        <v/>
      </c>
      <c r="CH59" s="2841" t="str">
        <f t="shared" si="38"/>
        <v/>
      </c>
      <c r="CO59" s="2842">
        <f t="shared" si="11"/>
        <v>0</v>
      </c>
      <c r="CP59" s="2842">
        <f t="shared" si="12"/>
        <v>0</v>
      </c>
      <c r="CQ59" s="2842">
        <f t="shared" si="13"/>
        <v>0</v>
      </c>
      <c r="CR59" s="2842">
        <f t="shared" si="39"/>
        <v>0</v>
      </c>
      <c r="CS59" s="2842">
        <f t="shared" si="39"/>
        <v>0</v>
      </c>
      <c r="CT59" s="2842">
        <f t="shared" si="39"/>
        <v>0</v>
      </c>
      <c r="CU59" s="2842">
        <f t="shared" si="39"/>
        <v>0</v>
      </c>
      <c r="CV59" s="2842">
        <f t="shared" si="15"/>
        <v>0</v>
      </c>
    </row>
    <row r="60" spans="1:100" ht="15" customHeight="1">
      <c r="A60" s="6679"/>
      <c r="B60" s="6680"/>
      <c r="C60" s="2937" t="s">
        <v>1696</v>
      </c>
      <c r="D60" s="2938">
        <f t="shared" si="32"/>
        <v>0</v>
      </c>
      <c r="E60" s="2977">
        <f t="shared" si="47"/>
        <v>0</v>
      </c>
      <c r="F60" s="2978">
        <f>SUM(H60+J60+L60+N60+P60+R60+T60+V60+X60+Z60+AB60+AD60+AF60+AH60+AJ60+AL60+AN60+AP60)</f>
        <v>0</v>
      </c>
      <c r="G60" s="2979"/>
      <c r="H60" s="2980"/>
      <c r="I60" s="2891"/>
      <c r="J60" s="2892"/>
      <c r="K60" s="2891"/>
      <c r="L60" s="2892"/>
      <c r="M60" s="2891"/>
      <c r="N60" s="2892"/>
      <c r="O60" s="2891"/>
      <c r="P60" s="2892"/>
      <c r="Q60" s="2891"/>
      <c r="R60" s="2892"/>
      <c r="S60" s="2891"/>
      <c r="T60" s="2892"/>
      <c r="U60" s="2891"/>
      <c r="V60" s="2892"/>
      <c r="W60" s="2891"/>
      <c r="X60" s="2892"/>
      <c r="Y60" s="2891"/>
      <c r="Z60" s="2892"/>
      <c r="AA60" s="2891"/>
      <c r="AB60" s="2892"/>
      <c r="AC60" s="2891"/>
      <c r="AD60" s="2892"/>
      <c r="AE60" s="2891"/>
      <c r="AF60" s="2892"/>
      <c r="AG60" s="2891"/>
      <c r="AH60" s="2892"/>
      <c r="AI60" s="2891"/>
      <c r="AJ60" s="2892"/>
      <c r="AK60" s="2891"/>
      <c r="AL60" s="2892"/>
      <c r="AM60" s="2891"/>
      <c r="AN60" s="2892"/>
      <c r="AO60" s="2891"/>
      <c r="AP60" s="2895"/>
      <c r="AQ60" s="2896"/>
      <c r="AR60" s="2884"/>
      <c r="AS60" s="2884"/>
      <c r="AT60" s="2894"/>
      <c r="AU60" s="2897"/>
      <c r="AV60" s="2898"/>
      <c r="AW60" s="2884"/>
      <c r="AX60" s="2899"/>
      <c r="AY60" t="str">
        <f t="shared" si="44"/>
        <v/>
      </c>
      <c r="CA60" s="2841" t="str">
        <f t="shared" si="33"/>
        <v/>
      </c>
      <c r="CB60" s="2841" t="str">
        <f t="shared" si="43"/>
        <v/>
      </c>
      <c r="CC60" s="2841" t="str">
        <f t="shared" si="18"/>
        <v/>
      </c>
      <c r="CD60" s="2841" t="str">
        <f t="shared" si="34"/>
        <v/>
      </c>
      <c r="CE60" s="2841" t="str">
        <f t="shared" si="35"/>
        <v/>
      </c>
      <c r="CF60" s="2841" t="str">
        <f t="shared" si="36"/>
        <v/>
      </c>
      <c r="CG60" s="2841" t="str">
        <f t="shared" si="37"/>
        <v/>
      </c>
      <c r="CH60" s="2841" t="str">
        <f t="shared" si="38"/>
        <v/>
      </c>
      <c r="CO60" s="2842">
        <f t="shared" si="11"/>
        <v>0</v>
      </c>
      <c r="CP60" s="2842">
        <f t="shared" si="12"/>
        <v>0</v>
      </c>
      <c r="CQ60" s="2842">
        <f t="shared" si="13"/>
        <v>0</v>
      </c>
      <c r="CR60" s="2842">
        <f t="shared" si="39"/>
        <v>0</v>
      </c>
      <c r="CS60" s="2842">
        <f t="shared" si="39"/>
        <v>0</v>
      </c>
      <c r="CT60" s="2842">
        <f t="shared" si="39"/>
        <v>0</v>
      </c>
      <c r="CU60" s="2842">
        <f t="shared" si="39"/>
        <v>0</v>
      </c>
      <c r="CV60" s="2842">
        <f t="shared" si="15"/>
        <v>0</v>
      </c>
    </row>
    <row r="61" spans="1:100" ht="15" customHeight="1">
      <c r="A61" s="6679"/>
      <c r="B61" s="6680"/>
      <c r="C61" s="2937" t="s">
        <v>1697</v>
      </c>
      <c r="D61" s="2938">
        <f t="shared" si="32"/>
        <v>0</v>
      </c>
      <c r="E61" s="2977">
        <f t="shared" si="47"/>
        <v>0</v>
      </c>
      <c r="F61" s="2978">
        <f t="shared" si="47"/>
        <v>0</v>
      </c>
      <c r="G61" s="2979"/>
      <c r="H61" s="2980"/>
      <c r="I61" s="2979"/>
      <c r="J61" s="2980"/>
      <c r="K61" s="2891"/>
      <c r="L61" s="2892"/>
      <c r="M61" s="2891"/>
      <c r="N61" s="2892"/>
      <c r="O61" s="2891"/>
      <c r="P61" s="2892"/>
      <c r="Q61" s="2891"/>
      <c r="R61" s="2892"/>
      <c r="S61" s="2891"/>
      <c r="T61" s="2892"/>
      <c r="U61" s="2891"/>
      <c r="V61" s="2892"/>
      <c r="W61" s="2891"/>
      <c r="X61" s="2892"/>
      <c r="Y61" s="2891"/>
      <c r="Z61" s="2892"/>
      <c r="AA61" s="2891"/>
      <c r="AB61" s="2892"/>
      <c r="AC61" s="2891"/>
      <c r="AD61" s="2892"/>
      <c r="AE61" s="2891"/>
      <c r="AF61" s="2892"/>
      <c r="AG61" s="2891"/>
      <c r="AH61" s="2892"/>
      <c r="AI61" s="2891"/>
      <c r="AJ61" s="2892"/>
      <c r="AK61" s="2891"/>
      <c r="AL61" s="2892"/>
      <c r="AM61" s="2891"/>
      <c r="AN61" s="2892"/>
      <c r="AO61" s="2891"/>
      <c r="AP61" s="2895"/>
      <c r="AQ61" s="2896"/>
      <c r="AR61" s="2884"/>
      <c r="AS61" s="2884"/>
      <c r="AT61" s="2894"/>
      <c r="AU61" s="2897"/>
      <c r="AV61" s="2898"/>
      <c r="AW61" s="2884"/>
      <c r="AX61" s="2899"/>
      <c r="AY61" t="str">
        <f t="shared" si="44"/>
        <v/>
      </c>
      <c r="CA61" s="2841" t="str">
        <f t="shared" si="33"/>
        <v/>
      </c>
      <c r="CB61" s="2841" t="str">
        <f t="shared" si="43"/>
        <v/>
      </c>
      <c r="CC61" s="2841" t="str">
        <f t="shared" si="18"/>
        <v/>
      </c>
      <c r="CD61" s="2841" t="str">
        <f t="shared" si="34"/>
        <v/>
      </c>
      <c r="CE61" s="2841" t="str">
        <f t="shared" si="35"/>
        <v/>
      </c>
      <c r="CF61" s="2841" t="str">
        <f t="shared" si="36"/>
        <v/>
      </c>
      <c r="CG61" s="2841" t="str">
        <f t="shared" si="37"/>
        <v/>
      </c>
      <c r="CH61" s="2841" t="str">
        <f t="shared" si="38"/>
        <v/>
      </c>
      <c r="CO61" s="2842">
        <f t="shared" si="11"/>
        <v>0</v>
      </c>
      <c r="CP61" s="2842">
        <f t="shared" si="12"/>
        <v>0</v>
      </c>
      <c r="CQ61" s="2842">
        <f t="shared" si="13"/>
        <v>0</v>
      </c>
      <c r="CR61" s="2842">
        <f t="shared" si="39"/>
        <v>0</v>
      </c>
      <c r="CS61" s="2842">
        <f t="shared" si="39"/>
        <v>0</v>
      </c>
      <c r="CT61" s="2842">
        <f t="shared" si="39"/>
        <v>0</v>
      </c>
      <c r="CU61" s="2842">
        <f t="shared" si="39"/>
        <v>0</v>
      </c>
      <c r="CV61" s="2842">
        <f t="shared" si="15"/>
        <v>0</v>
      </c>
    </row>
    <row r="62" spans="1:100" ht="15" customHeight="1">
      <c r="A62" s="6681"/>
      <c r="B62" s="6682"/>
      <c r="C62" s="1780" t="s">
        <v>1698</v>
      </c>
      <c r="D62" s="2904">
        <f t="shared" si="32"/>
        <v>0</v>
      </c>
      <c r="E62" s="2954">
        <f t="shared" si="47"/>
        <v>0</v>
      </c>
      <c r="F62" s="2981">
        <f>SUM(H62+J62+L62+N62+P62+R62+T62+V62+X62+Z62+AB62+AD62+AF62+AH62+AJ62+AL62+AN62+AP62)</f>
        <v>0</v>
      </c>
      <c r="G62" s="2956"/>
      <c r="H62" s="2982"/>
      <c r="I62" s="2956"/>
      <c r="J62" s="2982"/>
      <c r="K62" s="2905"/>
      <c r="L62" s="2959"/>
      <c r="M62" s="2905"/>
      <c r="N62" s="2959"/>
      <c r="O62" s="2905"/>
      <c r="P62" s="2959"/>
      <c r="Q62" s="2905"/>
      <c r="R62" s="2959"/>
      <c r="S62" s="2905"/>
      <c r="T62" s="2959"/>
      <c r="U62" s="2905"/>
      <c r="V62" s="2959"/>
      <c r="W62" s="2905"/>
      <c r="X62" s="2959"/>
      <c r="Y62" s="2905"/>
      <c r="Z62" s="2959"/>
      <c r="AA62" s="2905"/>
      <c r="AB62" s="2959"/>
      <c r="AC62" s="2905"/>
      <c r="AD62" s="2959"/>
      <c r="AE62" s="2905"/>
      <c r="AF62" s="2959"/>
      <c r="AG62" s="2905"/>
      <c r="AH62" s="2959"/>
      <c r="AI62" s="2905"/>
      <c r="AJ62" s="2959"/>
      <c r="AK62" s="2905"/>
      <c r="AL62" s="2959"/>
      <c r="AM62" s="2905"/>
      <c r="AN62" s="2959"/>
      <c r="AO62" s="2905"/>
      <c r="AP62" s="2963"/>
      <c r="AQ62" s="2964"/>
      <c r="AR62" s="2965"/>
      <c r="AS62" s="2965"/>
      <c r="AT62" s="2966"/>
      <c r="AU62" s="2967"/>
      <c r="AV62" s="2968"/>
      <c r="AW62" s="2965"/>
      <c r="AX62" s="2958"/>
      <c r="AY62" t="str">
        <f t="shared" si="44"/>
        <v/>
      </c>
      <c r="CA62" s="2841" t="str">
        <f t="shared" si="33"/>
        <v/>
      </c>
      <c r="CB62" s="2841" t="str">
        <f t="shared" si="43"/>
        <v/>
      </c>
      <c r="CC62" s="2841" t="str">
        <f t="shared" si="18"/>
        <v/>
      </c>
      <c r="CD62" s="2841" t="str">
        <f t="shared" si="34"/>
        <v/>
      </c>
      <c r="CE62" s="2841" t="str">
        <f t="shared" si="35"/>
        <v/>
      </c>
      <c r="CF62" s="2841" t="str">
        <f t="shared" si="36"/>
        <v/>
      </c>
      <c r="CG62" s="2841" t="str">
        <f t="shared" si="37"/>
        <v/>
      </c>
      <c r="CH62" s="2841" t="str">
        <f t="shared" si="38"/>
        <v/>
      </c>
      <c r="CO62" s="2842">
        <f t="shared" si="11"/>
        <v>0</v>
      </c>
      <c r="CP62" s="2842">
        <f t="shared" si="12"/>
        <v>0</v>
      </c>
      <c r="CQ62" s="2842">
        <f t="shared" si="13"/>
        <v>0</v>
      </c>
      <c r="CR62" s="2842">
        <f t="shared" si="39"/>
        <v>0</v>
      </c>
      <c r="CS62" s="2842">
        <f t="shared" si="39"/>
        <v>0</v>
      </c>
      <c r="CT62" s="2842">
        <f t="shared" si="39"/>
        <v>0</v>
      </c>
      <c r="CU62" s="2842">
        <f t="shared" si="39"/>
        <v>0</v>
      </c>
      <c r="CV62" s="2842">
        <f t="shared" si="15"/>
        <v>0</v>
      </c>
    </row>
    <row r="63" spans="1:100" ht="15" customHeight="1">
      <c r="A63" s="5710" t="s">
        <v>91</v>
      </c>
      <c r="B63" s="6106"/>
      <c r="C63" s="6116"/>
      <c r="D63" s="2238">
        <f>SUM(D58:D62)</f>
        <v>0</v>
      </c>
      <c r="E63" s="2239">
        <f>SUM(E58:E62)</f>
        <v>0</v>
      </c>
      <c r="F63" s="2241">
        <f>SUM(F58:F62)</f>
        <v>0</v>
      </c>
      <c r="G63" s="2238">
        <f t="shared" ref="G63:AX63" si="49">SUM(G58:G62)</f>
        <v>0</v>
      </c>
      <c r="H63" s="2243">
        <f t="shared" si="49"/>
        <v>0</v>
      </c>
      <c r="I63" s="2238">
        <f t="shared" si="49"/>
        <v>0</v>
      </c>
      <c r="J63" s="2243">
        <f t="shared" si="49"/>
        <v>0</v>
      </c>
      <c r="K63" s="2238">
        <f t="shared" si="49"/>
        <v>0</v>
      </c>
      <c r="L63" s="2243">
        <f t="shared" si="49"/>
        <v>0</v>
      </c>
      <c r="M63" s="2238">
        <f t="shared" si="49"/>
        <v>0</v>
      </c>
      <c r="N63" s="2243">
        <f t="shared" si="49"/>
        <v>0</v>
      </c>
      <c r="O63" s="2238">
        <f t="shared" si="49"/>
        <v>0</v>
      </c>
      <c r="P63" s="2243">
        <f t="shared" si="49"/>
        <v>0</v>
      </c>
      <c r="Q63" s="2238">
        <f t="shared" si="49"/>
        <v>0</v>
      </c>
      <c r="R63" s="2243">
        <f t="shared" si="49"/>
        <v>0</v>
      </c>
      <c r="S63" s="2238">
        <f t="shared" si="49"/>
        <v>0</v>
      </c>
      <c r="T63" s="2241">
        <f t="shared" si="49"/>
        <v>0</v>
      </c>
      <c r="U63" s="2238">
        <f t="shared" si="49"/>
        <v>0</v>
      </c>
      <c r="V63" s="2243">
        <f t="shared" si="49"/>
        <v>0</v>
      </c>
      <c r="W63" s="2238">
        <f t="shared" si="49"/>
        <v>0</v>
      </c>
      <c r="X63" s="2243">
        <f t="shared" si="49"/>
        <v>0</v>
      </c>
      <c r="Y63" s="2238">
        <f t="shared" si="49"/>
        <v>0</v>
      </c>
      <c r="Z63" s="2243">
        <f t="shared" si="49"/>
        <v>0</v>
      </c>
      <c r="AA63" s="2238">
        <f t="shared" si="49"/>
        <v>0</v>
      </c>
      <c r="AB63" s="2243">
        <f t="shared" si="49"/>
        <v>0</v>
      </c>
      <c r="AC63" s="2238">
        <f t="shared" si="49"/>
        <v>0</v>
      </c>
      <c r="AD63" s="2243">
        <f t="shared" si="49"/>
        <v>0</v>
      </c>
      <c r="AE63" s="2238">
        <f t="shared" si="49"/>
        <v>0</v>
      </c>
      <c r="AF63" s="2243">
        <f t="shared" si="49"/>
        <v>0</v>
      </c>
      <c r="AG63" s="2238">
        <f t="shared" si="49"/>
        <v>0</v>
      </c>
      <c r="AH63" s="2243">
        <f t="shared" si="49"/>
        <v>0</v>
      </c>
      <c r="AI63" s="2238">
        <f t="shared" si="49"/>
        <v>0</v>
      </c>
      <c r="AJ63" s="2243">
        <f t="shared" si="49"/>
        <v>0</v>
      </c>
      <c r="AK63" s="2238">
        <f t="shared" si="49"/>
        <v>0</v>
      </c>
      <c r="AL63" s="2243">
        <f t="shared" si="49"/>
        <v>0</v>
      </c>
      <c r="AM63" s="2238">
        <f t="shared" si="49"/>
        <v>0</v>
      </c>
      <c r="AN63" s="2243">
        <f t="shared" si="49"/>
        <v>0</v>
      </c>
      <c r="AO63" s="2238">
        <f t="shared" si="49"/>
        <v>0</v>
      </c>
      <c r="AP63" s="2969">
        <f t="shared" si="49"/>
        <v>0</v>
      </c>
      <c r="AQ63" s="2970">
        <f t="shared" si="49"/>
        <v>0</v>
      </c>
      <c r="AR63" s="2239">
        <f t="shared" si="49"/>
        <v>0</v>
      </c>
      <c r="AS63" s="2239">
        <f t="shared" si="49"/>
        <v>0</v>
      </c>
      <c r="AT63" s="2971">
        <f t="shared" si="49"/>
        <v>0</v>
      </c>
      <c r="AU63" s="2972">
        <f t="shared" si="49"/>
        <v>0</v>
      </c>
      <c r="AV63" s="2973">
        <f>SUM(AV58:AV62)</f>
        <v>0</v>
      </c>
      <c r="AW63" s="2239">
        <f t="shared" si="49"/>
        <v>0</v>
      </c>
      <c r="AX63" s="2918">
        <f t="shared" si="49"/>
        <v>0</v>
      </c>
      <c r="CE63" s="2832" t="str">
        <f t="shared" si="35"/>
        <v/>
      </c>
      <c r="CF63" s="2832" t="str">
        <f t="shared" si="36"/>
        <v/>
      </c>
    </row>
    <row r="64" spans="1:100" ht="15" customHeight="1">
      <c r="A64" s="6647" t="s">
        <v>1699</v>
      </c>
      <c r="B64" s="6130"/>
      <c r="C64" s="1777">
        <v>0</v>
      </c>
      <c r="D64" s="2941">
        <f t="shared" ref="D64:D66" si="50">SUM(E64:F64)</f>
        <v>0</v>
      </c>
      <c r="E64" s="2983">
        <f t="shared" ref="E64:F66" si="51">SUM(AA64+AC64+AE64+AG64+AI64+AK64+AM64+AO64)</f>
        <v>0</v>
      </c>
      <c r="F64" s="2984">
        <f t="shared" si="51"/>
        <v>0</v>
      </c>
      <c r="G64" s="2985"/>
      <c r="H64" s="2986"/>
      <c r="I64" s="2987"/>
      <c r="J64" s="2986"/>
      <c r="K64" s="2987"/>
      <c r="L64" s="2986"/>
      <c r="M64" s="2987"/>
      <c r="N64" s="2986"/>
      <c r="O64" s="2987"/>
      <c r="P64" s="2986"/>
      <c r="Q64" s="2987"/>
      <c r="R64" s="2986"/>
      <c r="S64" s="2988"/>
      <c r="T64" s="2989"/>
      <c r="U64" s="2987"/>
      <c r="V64" s="2986"/>
      <c r="W64" s="2987"/>
      <c r="X64" s="2986"/>
      <c r="Y64" s="2987"/>
      <c r="Z64" s="2986"/>
      <c r="AA64" s="2942"/>
      <c r="AB64" s="2944"/>
      <c r="AC64" s="2990"/>
      <c r="AD64" s="2991"/>
      <c r="AE64" s="2910"/>
      <c r="AF64" s="2992"/>
      <c r="AG64" s="2910"/>
      <c r="AH64" s="2992"/>
      <c r="AI64" s="2946"/>
      <c r="AJ64" s="2944"/>
      <c r="AK64" s="2942"/>
      <c r="AL64" s="2944"/>
      <c r="AM64" s="2990"/>
      <c r="AN64" s="2991"/>
      <c r="AO64" s="2946"/>
      <c r="AP64" s="2867"/>
      <c r="AQ64" s="2993"/>
      <c r="AR64" s="2950"/>
      <c r="AS64" s="2950"/>
      <c r="AT64" s="2994"/>
      <c r="AU64" s="2952"/>
      <c r="AV64" s="2953"/>
      <c r="AW64" s="2995"/>
      <c r="AX64" s="2996"/>
      <c r="AY64" t="str">
        <f t="shared" si="44"/>
        <v/>
      </c>
      <c r="CA64" s="2997"/>
      <c r="CB64" s="2841" t="str">
        <f t="shared" si="43"/>
        <v/>
      </c>
      <c r="CC64" s="2841" t="str">
        <f t="shared" si="18"/>
        <v/>
      </c>
      <c r="CD64" s="2841" t="str">
        <f t="shared" si="34"/>
        <v/>
      </c>
      <c r="CE64" s="2841" t="str">
        <f t="shared" si="35"/>
        <v/>
      </c>
      <c r="CF64" s="2841" t="str">
        <f t="shared" si="36"/>
        <v/>
      </c>
      <c r="CG64" s="2841" t="str">
        <f t="shared" si="37"/>
        <v/>
      </c>
      <c r="CH64" s="2841" t="str">
        <f t="shared" si="38"/>
        <v/>
      </c>
      <c r="CO64" s="2997"/>
      <c r="CP64" s="2842">
        <f t="shared" si="12"/>
        <v>0</v>
      </c>
      <c r="CQ64" s="2842">
        <f t="shared" si="13"/>
        <v>0</v>
      </c>
      <c r="CR64" s="2842">
        <f t="shared" si="39"/>
        <v>0</v>
      </c>
      <c r="CS64" s="2842">
        <f t="shared" si="39"/>
        <v>0</v>
      </c>
      <c r="CT64" s="2842">
        <f t="shared" si="39"/>
        <v>0</v>
      </c>
      <c r="CU64" s="2842">
        <f t="shared" si="39"/>
        <v>0</v>
      </c>
      <c r="CV64" s="2842">
        <f t="shared" si="15"/>
        <v>0</v>
      </c>
    </row>
    <row r="65" spans="1:100" ht="15" customHeight="1">
      <c r="A65" s="6648"/>
      <c r="B65" s="6131"/>
      <c r="C65" s="2937" t="s">
        <v>1700</v>
      </c>
      <c r="D65" s="2941">
        <f t="shared" si="50"/>
        <v>0</v>
      </c>
      <c r="E65" s="2983">
        <f t="shared" si="51"/>
        <v>0</v>
      </c>
      <c r="F65" s="2984">
        <f t="shared" si="51"/>
        <v>0</v>
      </c>
      <c r="G65" s="2998"/>
      <c r="H65" s="2999"/>
      <c r="I65" s="2998"/>
      <c r="J65" s="2999"/>
      <c r="K65" s="2998"/>
      <c r="L65" s="2999"/>
      <c r="M65" s="2998"/>
      <c r="N65" s="2999"/>
      <c r="O65" s="2998"/>
      <c r="P65" s="2999"/>
      <c r="Q65" s="2998"/>
      <c r="R65" s="2999"/>
      <c r="S65" s="2988"/>
      <c r="T65" s="2989"/>
      <c r="U65" s="2998"/>
      <c r="V65" s="2999"/>
      <c r="W65" s="2998"/>
      <c r="X65" s="2999"/>
      <c r="Y65" s="2998"/>
      <c r="Z65" s="2999"/>
      <c r="AA65" s="2942"/>
      <c r="AB65" s="2944"/>
      <c r="AC65" s="2942"/>
      <c r="AD65" s="2944"/>
      <c r="AE65" s="2946"/>
      <c r="AF65" s="2944"/>
      <c r="AG65" s="2946"/>
      <c r="AH65" s="2944"/>
      <c r="AI65" s="2946"/>
      <c r="AJ65" s="2944"/>
      <c r="AK65" s="2942"/>
      <c r="AL65" s="2944"/>
      <c r="AM65" s="2942"/>
      <c r="AN65" s="2944"/>
      <c r="AO65" s="2946"/>
      <c r="AP65" s="2948"/>
      <c r="AQ65" s="3000"/>
      <c r="AR65" s="2950"/>
      <c r="AS65" s="2950"/>
      <c r="AT65" s="2951"/>
      <c r="AU65" s="2952"/>
      <c r="AV65" s="2953"/>
      <c r="AW65" s="2950"/>
      <c r="AX65" s="2943"/>
      <c r="AY65" t="str">
        <f t="shared" si="44"/>
        <v/>
      </c>
      <c r="CA65" s="2997"/>
      <c r="CB65" s="2841" t="str">
        <f t="shared" si="43"/>
        <v/>
      </c>
      <c r="CC65" s="2841" t="str">
        <f t="shared" si="18"/>
        <v/>
      </c>
      <c r="CD65" s="2841" t="str">
        <f t="shared" si="34"/>
        <v/>
      </c>
      <c r="CE65" s="2841" t="str">
        <f t="shared" si="35"/>
        <v/>
      </c>
      <c r="CF65" s="2841" t="str">
        <f t="shared" si="36"/>
        <v/>
      </c>
      <c r="CG65" s="2841" t="str">
        <f t="shared" si="37"/>
        <v/>
      </c>
      <c r="CH65" s="2841" t="str">
        <f t="shared" si="38"/>
        <v/>
      </c>
      <c r="CO65" s="2997"/>
      <c r="CP65" s="2842">
        <f t="shared" si="12"/>
        <v>0</v>
      </c>
      <c r="CQ65" s="2842">
        <f t="shared" si="13"/>
        <v>0</v>
      </c>
      <c r="CR65" s="2842">
        <f t="shared" si="39"/>
        <v>0</v>
      </c>
      <c r="CS65" s="2842">
        <f t="shared" si="39"/>
        <v>0</v>
      </c>
      <c r="CT65" s="2842">
        <f t="shared" si="39"/>
        <v>0</v>
      </c>
      <c r="CU65" s="2842">
        <f t="shared" si="39"/>
        <v>0</v>
      </c>
      <c r="CV65" s="2842">
        <f t="shared" si="15"/>
        <v>0</v>
      </c>
    </row>
    <row r="66" spans="1:100" ht="15" customHeight="1">
      <c r="A66" s="6649"/>
      <c r="B66" s="6132"/>
      <c r="C66" s="1780" t="s">
        <v>1701</v>
      </c>
      <c r="D66" s="2941">
        <f t="shared" si="50"/>
        <v>0</v>
      </c>
      <c r="E66" s="2983">
        <f t="shared" si="51"/>
        <v>0</v>
      </c>
      <c r="F66" s="2984">
        <f t="shared" si="51"/>
        <v>0</v>
      </c>
      <c r="G66" s="2998"/>
      <c r="H66" s="2999"/>
      <c r="I66" s="2998"/>
      <c r="J66" s="2999"/>
      <c r="K66" s="2998"/>
      <c r="L66" s="2999"/>
      <c r="M66" s="2998"/>
      <c r="N66" s="2999"/>
      <c r="O66" s="2998"/>
      <c r="P66" s="2999"/>
      <c r="Q66" s="2998"/>
      <c r="R66" s="2999"/>
      <c r="S66" s="2988"/>
      <c r="T66" s="2989"/>
      <c r="U66" s="2998"/>
      <c r="V66" s="2999"/>
      <c r="W66" s="2998"/>
      <c r="X66" s="2999"/>
      <c r="Y66" s="2998"/>
      <c r="Z66" s="2999"/>
      <c r="AA66" s="2942"/>
      <c r="AB66" s="2944"/>
      <c r="AC66" s="2942"/>
      <c r="AD66" s="2944"/>
      <c r="AE66" s="2946"/>
      <c r="AF66" s="2944"/>
      <c r="AG66" s="2946"/>
      <c r="AH66" s="2944"/>
      <c r="AI66" s="2946"/>
      <c r="AJ66" s="2944"/>
      <c r="AK66" s="2942"/>
      <c r="AL66" s="2944"/>
      <c r="AM66" s="2905"/>
      <c r="AN66" s="2959"/>
      <c r="AO66" s="2946"/>
      <c r="AP66" s="2948"/>
      <c r="AQ66" s="3001"/>
      <c r="AR66" s="2950"/>
      <c r="AS66" s="2950"/>
      <c r="AT66" s="2951"/>
      <c r="AU66" s="2952"/>
      <c r="AV66" s="2953"/>
      <c r="AW66" s="2950"/>
      <c r="AX66" s="2943"/>
      <c r="AY66" t="str">
        <f t="shared" si="44"/>
        <v/>
      </c>
      <c r="CA66" s="2997"/>
      <c r="CB66" s="2841" t="str">
        <f t="shared" si="43"/>
        <v/>
      </c>
      <c r="CC66" s="2841" t="str">
        <f t="shared" si="18"/>
        <v/>
      </c>
      <c r="CD66" s="2841" t="str">
        <f t="shared" si="34"/>
        <v/>
      </c>
      <c r="CE66" s="2841" t="str">
        <f t="shared" si="35"/>
        <v/>
      </c>
      <c r="CF66" s="2841" t="str">
        <f t="shared" si="36"/>
        <v/>
      </c>
      <c r="CG66" s="2841" t="str">
        <f t="shared" si="37"/>
        <v/>
      </c>
      <c r="CH66" s="2841" t="str">
        <f t="shared" si="38"/>
        <v/>
      </c>
      <c r="CO66" s="2997"/>
      <c r="CP66" s="2842">
        <f t="shared" si="12"/>
        <v>0</v>
      </c>
      <c r="CQ66" s="2842">
        <f t="shared" si="13"/>
        <v>0</v>
      </c>
      <c r="CR66" s="2842">
        <f t="shared" si="39"/>
        <v>0</v>
      </c>
      <c r="CS66" s="2842">
        <f t="shared" si="39"/>
        <v>0</v>
      </c>
      <c r="CT66" s="2842">
        <f t="shared" si="39"/>
        <v>0</v>
      </c>
      <c r="CU66" s="2842">
        <f t="shared" si="39"/>
        <v>0</v>
      </c>
      <c r="CV66" s="2842">
        <f t="shared" si="15"/>
        <v>0</v>
      </c>
    </row>
    <row r="67" spans="1:100" ht="15" customHeight="1">
      <c r="A67" s="6114" t="s">
        <v>91</v>
      </c>
      <c r="B67" s="6115"/>
      <c r="C67" s="6116"/>
      <c r="D67" s="2238">
        <f>SUM(D64:D66)</f>
        <v>0</v>
      </c>
      <c r="E67" s="2239">
        <f>SUM(E64:E66)</f>
        <v>0</v>
      </c>
      <c r="F67" s="2918">
        <f>SUM(F64:F66)</f>
        <v>0</v>
      </c>
      <c r="G67" s="6710"/>
      <c r="H67" s="6711"/>
      <c r="I67" s="6711"/>
      <c r="J67" s="6711"/>
      <c r="K67" s="6711"/>
      <c r="L67" s="6711"/>
      <c r="M67" s="6711"/>
      <c r="N67" s="6711"/>
      <c r="O67" s="6711"/>
      <c r="P67" s="6711"/>
      <c r="Q67" s="6711"/>
      <c r="R67" s="6711"/>
      <c r="S67" s="6711"/>
      <c r="T67" s="6711"/>
      <c r="U67" s="6711"/>
      <c r="V67" s="6711"/>
      <c r="W67" s="6711"/>
      <c r="X67" s="6711"/>
      <c r="Y67" s="6711"/>
      <c r="Z67" s="6712"/>
      <c r="AA67" s="2238">
        <f t="shared" ref="AA67:AX67" si="52">SUM(AA64:AA66)</f>
        <v>0</v>
      </c>
      <c r="AB67" s="2918">
        <f t="shared" si="52"/>
        <v>0</v>
      </c>
      <c r="AC67" s="2238">
        <f t="shared" si="52"/>
        <v>0</v>
      </c>
      <c r="AD67" s="2241">
        <f t="shared" si="52"/>
        <v>0</v>
      </c>
      <c r="AE67" s="2243">
        <f t="shared" si="52"/>
        <v>0</v>
      </c>
      <c r="AF67" s="2241">
        <f t="shared" si="52"/>
        <v>0</v>
      </c>
      <c r="AG67" s="2243">
        <f t="shared" si="52"/>
        <v>0</v>
      </c>
      <c r="AH67" s="2241">
        <f t="shared" si="52"/>
        <v>0</v>
      </c>
      <c r="AI67" s="2243">
        <f t="shared" si="52"/>
        <v>0</v>
      </c>
      <c r="AJ67" s="2918">
        <f t="shared" si="52"/>
        <v>0</v>
      </c>
      <c r="AK67" s="2238">
        <f t="shared" si="52"/>
        <v>0</v>
      </c>
      <c r="AL67" s="2918">
        <f t="shared" si="52"/>
        <v>0</v>
      </c>
      <c r="AM67" s="2238">
        <f t="shared" si="52"/>
        <v>0</v>
      </c>
      <c r="AN67" s="2241">
        <f t="shared" si="52"/>
        <v>0</v>
      </c>
      <c r="AO67" s="2243">
        <f t="shared" si="52"/>
        <v>0</v>
      </c>
      <c r="AP67" s="2969">
        <f t="shared" si="52"/>
        <v>0</v>
      </c>
      <c r="AQ67" s="3002"/>
      <c r="AR67" s="2239">
        <f t="shared" si="52"/>
        <v>0</v>
      </c>
      <c r="AS67" s="2239">
        <f t="shared" si="52"/>
        <v>0</v>
      </c>
      <c r="AT67" s="2971">
        <f t="shared" si="52"/>
        <v>0</v>
      </c>
      <c r="AU67" s="2972">
        <f t="shared" si="52"/>
        <v>0</v>
      </c>
      <c r="AV67" s="2973">
        <f t="shared" si="52"/>
        <v>0</v>
      </c>
      <c r="AW67" s="2239">
        <f t="shared" si="52"/>
        <v>0</v>
      </c>
      <c r="AX67" s="2918">
        <f t="shared" si="52"/>
        <v>0</v>
      </c>
    </row>
    <row r="68" spans="1:100" ht="18" customHeight="1">
      <c r="A68" s="1468" t="s">
        <v>1702</v>
      </c>
      <c r="B68" s="3003"/>
      <c r="C68" s="3003"/>
      <c r="D68" s="3004"/>
      <c r="E68" s="1493"/>
      <c r="F68" s="379"/>
      <c r="G68" s="379"/>
      <c r="H68" s="379"/>
      <c r="I68" s="379"/>
      <c r="J68" s="379"/>
    </row>
    <row r="69" spans="1:100">
      <c r="A69" s="6152" t="s">
        <v>1703</v>
      </c>
      <c r="B69" s="6153"/>
      <c r="C69" s="6154"/>
      <c r="D69" s="6052" t="s">
        <v>1704</v>
      </c>
      <c r="E69" s="6053"/>
      <c r="F69" s="6053"/>
      <c r="G69" s="6053"/>
      <c r="H69" s="6054"/>
      <c r="I69" s="6052" t="s">
        <v>1705</v>
      </c>
      <c r="J69" s="6053"/>
      <c r="K69" s="6053"/>
      <c r="L69" s="6053"/>
      <c r="M69" s="6606"/>
      <c r="N69" s="6391" t="s">
        <v>1706</v>
      </c>
    </row>
    <row r="70" spans="1:100" ht="22.5" customHeight="1">
      <c r="A70" s="6155"/>
      <c r="B70" s="6156"/>
      <c r="C70" s="6157"/>
      <c r="D70" s="1643" t="s">
        <v>947</v>
      </c>
      <c r="E70" s="3005" t="s">
        <v>1036</v>
      </c>
      <c r="F70" s="2838" t="s">
        <v>1707</v>
      </c>
      <c r="G70" s="3006" t="s">
        <v>1708</v>
      </c>
      <c r="H70" s="3007" t="s">
        <v>576</v>
      </c>
      <c r="I70" s="1643" t="s">
        <v>947</v>
      </c>
      <c r="J70" s="3005" t="s">
        <v>1036</v>
      </c>
      <c r="K70" s="2838" t="s">
        <v>1707</v>
      </c>
      <c r="L70" s="3006" t="s">
        <v>1708</v>
      </c>
      <c r="M70" s="3008" t="s">
        <v>576</v>
      </c>
      <c r="N70" s="6393"/>
    </row>
    <row r="71" spans="1:100" ht="15" customHeight="1">
      <c r="A71" s="6607" t="s">
        <v>1709</v>
      </c>
      <c r="B71" s="6608"/>
      <c r="C71" s="6608"/>
      <c r="D71" s="3009">
        <f t="shared" ref="D71:D81" si="53">SUM(E71:H71)</f>
        <v>0</v>
      </c>
      <c r="E71" s="1405"/>
      <c r="F71" s="1407"/>
      <c r="G71" s="1407"/>
      <c r="H71" s="1846"/>
      <c r="I71" s="3010">
        <f t="shared" ref="I71:I81" si="54">SUM(J71:M71)</f>
        <v>0</v>
      </c>
      <c r="J71" s="1405"/>
      <c r="K71" s="1407"/>
      <c r="L71" s="1407"/>
      <c r="M71" s="1409"/>
      <c r="N71" s="1417"/>
      <c r="O71" t="str">
        <f t="shared" ref="O71:O81" si="55">CA71&amp;CB71</f>
        <v/>
      </c>
      <c r="CA71" s="2841" t="str">
        <f>IF(I71&gt;D71," * El Total de "&amp;I$69&amp;" No puede ser mayor al Total de "&amp;D$69&amp;".","")</f>
        <v/>
      </c>
      <c r="CO71" s="3011">
        <f t="shared" ref="CO71:CO81" si="56">IF(I71&gt;D71,1,0)</f>
        <v>0</v>
      </c>
    </row>
    <row r="72" spans="1:100" ht="15" customHeight="1">
      <c r="A72" s="6609" t="s">
        <v>1710</v>
      </c>
      <c r="B72" s="6611" t="s">
        <v>1711</v>
      </c>
      <c r="C72" s="6564"/>
      <c r="D72" s="3012">
        <f t="shared" si="53"/>
        <v>0</v>
      </c>
      <c r="E72" s="1485"/>
      <c r="F72" s="1712"/>
      <c r="G72" s="1712"/>
      <c r="H72" s="1824"/>
      <c r="I72" s="2941">
        <f t="shared" si="54"/>
        <v>0</v>
      </c>
      <c r="J72" s="1485"/>
      <c r="K72" s="1712"/>
      <c r="L72" s="1712"/>
      <c r="M72" s="1486"/>
      <c r="N72" s="1692"/>
      <c r="O72" t="str">
        <f t="shared" si="55"/>
        <v/>
      </c>
      <c r="CA72" s="2841" t="str">
        <f t="shared" ref="CA72:CA81" si="57">IF(I72&gt;D72," * El Total de PERTINENCIA ORIGEN  No puede ser mayor al Total Interconsultas generadas.","")</f>
        <v/>
      </c>
      <c r="CO72" s="3011">
        <f t="shared" si="56"/>
        <v>0</v>
      </c>
    </row>
    <row r="73" spans="1:100" ht="15" customHeight="1">
      <c r="A73" s="6610"/>
      <c r="B73" s="6611" t="s">
        <v>1712</v>
      </c>
      <c r="C73" s="6564"/>
      <c r="D73" s="3012">
        <f t="shared" si="53"/>
        <v>0</v>
      </c>
      <c r="E73" s="1440"/>
      <c r="F73" s="1442"/>
      <c r="G73" s="1442"/>
      <c r="H73" s="1680"/>
      <c r="I73" s="2941">
        <f t="shared" si="54"/>
        <v>0</v>
      </c>
      <c r="J73" s="1440"/>
      <c r="K73" s="1442"/>
      <c r="L73" s="1442"/>
      <c r="M73" s="1444"/>
      <c r="N73" s="1452"/>
      <c r="O73" t="str">
        <f t="shared" si="55"/>
        <v/>
      </c>
      <c r="CA73" s="2841" t="str">
        <f t="shared" si="57"/>
        <v/>
      </c>
      <c r="CO73" s="3011">
        <f t="shared" si="56"/>
        <v>0</v>
      </c>
    </row>
    <row r="74" spans="1:100" ht="15" customHeight="1">
      <c r="A74" s="6611" t="s">
        <v>1713</v>
      </c>
      <c r="B74" s="6564"/>
      <c r="C74" s="6564"/>
      <c r="D74" s="3012">
        <f t="shared" si="53"/>
        <v>0</v>
      </c>
      <c r="E74" s="1440"/>
      <c r="F74" s="1442"/>
      <c r="G74" s="1442"/>
      <c r="H74" s="1680"/>
      <c r="I74" s="2941">
        <f t="shared" si="54"/>
        <v>0</v>
      </c>
      <c r="J74" s="1440"/>
      <c r="K74" s="1442"/>
      <c r="L74" s="1442"/>
      <c r="M74" s="1444"/>
      <c r="N74" s="1452"/>
      <c r="O74" t="str">
        <f t="shared" si="55"/>
        <v/>
      </c>
      <c r="CA74" s="2841" t="str">
        <f t="shared" si="57"/>
        <v/>
      </c>
      <c r="CO74" s="3011">
        <f t="shared" si="56"/>
        <v>0</v>
      </c>
    </row>
    <row r="75" spans="1:100" ht="15" customHeight="1">
      <c r="A75" s="6674" t="s">
        <v>1714</v>
      </c>
      <c r="B75" s="6675"/>
      <c r="C75" s="6675"/>
      <c r="D75" s="3012">
        <f t="shared" si="53"/>
        <v>0</v>
      </c>
      <c r="E75" s="1440"/>
      <c r="F75" s="1442"/>
      <c r="G75" s="1442"/>
      <c r="H75" s="1680"/>
      <c r="I75" s="2941">
        <f t="shared" si="54"/>
        <v>0</v>
      </c>
      <c r="J75" s="1440"/>
      <c r="K75" s="1442"/>
      <c r="L75" s="1442"/>
      <c r="M75" s="1444"/>
      <c r="N75" s="1452"/>
      <c r="O75" t="str">
        <f t="shared" si="55"/>
        <v/>
      </c>
      <c r="CA75" s="2841" t="str">
        <f t="shared" si="57"/>
        <v/>
      </c>
      <c r="CO75" s="3011">
        <f t="shared" si="56"/>
        <v>0</v>
      </c>
    </row>
    <row r="76" spans="1:100" ht="15" customHeight="1">
      <c r="A76" s="6611" t="s">
        <v>1715</v>
      </c>
      <c r="B76" s="6564"/>
      <c r="C76" s="6564"/>
      <c r="D76" s="3012">
        <f t="shared" si="53"/>
        <v>0</v>
      </c>
      <c r="E76" s="1440"/>
      <c r="F76" s="1442"/>
      <c r="G76" s="1442"/>
      <c r="H76" s="1680"/>
      <c r="I76" s="2941">
        <f t="shared" si="54"/>
        <v>0</v>
      </c>
      <c r="J76" s="1440"/>
      <c r="K76" s="1442"/>
      <c r="L76" s="1442"/>
      <c r="M76" s="1444"/>
      <c r="N76" s="1452"/>
      <c r="O76" t="str">
        <f t="shared" si="55"/>
        <v/>
      </c>
      <c r="CA76" s="2841" t="str">
        <f t="shared" si="57"/>
        <v/>
      </c>
      <c r="CO76" s="3011">
        <f t="shared" si="56"/>
        <v>0</v>
      </c>
    </row>
    <row r="77" spans="1:100" ht="15" customHeight="1">
      <c r="A77" s="6674" t="s">
        <v>1716</v>
      </c>
      <c r="B77" s="6675"/>
      <c r="C77" s="6675"/>
      <c r="D77" s="3012">
        <f t="shared" si="53"/>
        <v>0</v>
      </c>
      <c r="E77" s="1440"/>
      <c r="F77" s="1442"/>
      <c r="G77" s="1442"/>
      <c r="H77" s="1680"/>
      <c r="I77" s="2941">
        <f t="shared" si="54"/>
        <v>0</v>
      </c>
      <c r="J77" s="1440"/>
      <c r="K77" s="1442"/>
      <c r="L77" s="1442"/>
      <c r="M77" s="1444"/>
      <c r="N77" s="1452"/>
      <c r="O77" t="str">
        <f t="shared" si="55"/>
        <v/>
      </c>
      <c r="CA77" s="2841" t="str">
        <f t="shared" si="57"/>
        <v/>
      </c>
      <c r="CO77" s="3011">
        <f t="shared" si="56"/>
        <v>0</v>
      </c>
    </row>
    <row r="78" spans="1:100" ht="15" customHeight="1">
      <c r="A78" s="6611" t="s">
        <v>1717</v>
      </c>
      <c r="B78" s="6564"/>
      <c r="C78" s="6564"/>
      <c r="D78" s="3012">
        <f t="shared" si="53"/>
        <v>0</v>
      </c>
      <c r="E78" s="1440"/>
      <c r="F78" s="1442"/>
      <c r="G78" s="1442"/>
      <c r="H78" s="1680"/>
      <c r="I78" s="2941">
        <f t="shared" si="54"/>
        <v>0</v>
      </c>
      <c r="J78" s="1440"/>
      <c r="K78" s="1442"/>
      <c r="L78" s="1442"/>
      <c r="M78" s="1444"/>
      <c r="N78" s="1452"/>
      <c r="O78" t="str">
        <f t="shared" si="55"/>
        <v/>
      </c>
      <c r="CA78" s="2841" t="str">
        <f t="shared" si="57"/>
        <v/>
      </c>
      <c r="CO78" s="3011">
        <f t="shared" si="56"/>
        <v>0</v>
      </c>
    </row>
    <row r="79" spans="1:100" ht="15" customHeight="1">
      <c r="A79" s="6611" t="s">
        <v>1718</v>
      </c>
      <c r="B79" s="6564"/>
      <c r="C79" s="6564"/>
      <c r="D79" s="3012">
        <f t="shared" si="53"/>
        <v>0</v>
      </c>
      <c r="E79" s="1440"/>
      <c r="F79" s="1442"/>
      <c r="G79" s="1442"/>
      <c r="H79" s="1680"/>
      <c r="I79" s="2941">
        <f t="shared" si="54"/>
        <v>0</v>
      </c>
      <c r="J79" s="1440"/>
      <c r="K79" s="1442"/>
      <c r="L79" s="1442"/>
      <c r="M79" s="1444"/>
      <c r="N79" s="1452"/>
      <c r="O79" t="str">
        <f t="shared" si="55"/>
        <v/>
      </c>
      <c r="CA79" s="2841" t="str">
        <f t="shared" si="57"/>
        <v/>
      </c>
      <c r="CO79" s="3011">
        <f t="shared" si="56"/>
        <v>0</v>
      </c>
    </row>
    <row r="80" spans="1:100" ht="15" customHeight="1">
      <c r="A80" s="6611" t="s">
        <v>1719</v>
      </c>
      <c r="B80" s="6564"/>
      <c r="C80" s="6564"/>
      <c r="D80" s="3012">
        <f t="shared" si="53"/>
        <v>0</v>
      </c>
      <c r="E80" s="1440"/>
      <c r="F80" s="1442"/>
      <c r="G80" s="1442"/>
      <c r="H80" s="1680"/>
      <c r="I80" s="2941">
        <f t="shared" si="54"/>
        <v>0</v>
      </c>
      <c r="J80" s="1440"/>
      <c r="K80" s="1442"/>
      <c r="L80" s="1442"/>
      <c r="M80" s="1444"/>
      <c r="N80" s="1452"/>
      <c r="O80" t="str">
        <f t="shared" si="55"/>
        <v/>
      </c>
      <c r="CA80" s="2841" t="str">
        <f t="shared" si="57"/>
        <v/>
      </c>
      <c r="CO80" s="3011">
        <f t="shared" si="56"/>
        <v>0</v>
      </c>
    </row>
    <row r="81" spans="1:102" ht="15" customHeight="1">
      <c r="A81" s="6671" t="s">
        <v>1720</v>
      </c>
      <c r="B81" s="6619"/>
      <c r="C81" s="6619"/>
      <c r="D81" s="2154">
        <f t="shared" si="53"/>
        <v>0</v>
      </c>
      <c r="E81" s="1455"/>
      <c r="F81" s="1457"/>
      <c r="G81" s="1457"/>
      <c r="H81" s="1684"/>
      <c r="I81" s="2154">
        <f t="shared" si="54"/>
        <v>0</v>
      </c>
      <c r="J81" s="1455"/>
      <c r="K81" s="1457"/>
      <c r="L81" s="1457"/>
      <c r="M81" s="1459"/>
      <c r="N81" s="1467"/>
      <c r="O81" t="str">
        <f t="shared" si="55"/>
        <v/>
      </c>
      <c r="CA81" s="2841" t="str">
        <f t="shared" si="57"/>
        <v/>
      </c>
      <c r="CO81" s="3011">
        <f t="shared" si="56"/>
        <v>0</v>
      </c>
    </row>
    <row r="82" spans="1:102" ht="18" customHeight="1">
      <c r="A82" s="2101" t="s">
        <v>1721</v>
      </c>
    </row>
    <row r="83" spans="1:102" ht="15" customHeight="1">
      <c r="A83" s="6152" t="s">
        <v>1722</v>
      </c>
      <c r="B83" s="6153"/>
      <c r="C83" s="6154"/>
      <c r="D83" s="5707" t="s">
        <v>1723</v>
      </c>
      <c r="E83" s="5708"/>
      <c r="F83" s="5709"/>
    </row>
    <row r="84" spans="1:102" ht="15" customHeight="1">
      <c r="A84" s="6155"/>
      <c r="B84" s="6156"/>
      <c r="C84" s="6157"/>
      <c r="D84" s="400" t="s">
        <v>91</v>
      </c>
      <c r="E84" s="396" t="s">
        <v>72</v>
      </c>
      <c r="F84" s="398" t="s">
        <v>73</v>
      </c>
    </row>
    <row r="85" spans="1:102" ht="15" customHeight="1">
      <c r="A85" s="6127" t="s">
        <v>1724</v>
      </c>
      <c r="B85" s="6672" t="s">
        <v>1725</v>
      </c>
      <c r="C85" s="6673"/>
      <c r="D85" s="1947">
        <f t="shared" ref="D85:D86" si="58">SUM(E85+F85)</f>
        <v>0</v>
      </c>
      <c r="E85" s="1480"/>
      <c r="F85" s="1769"/>
    </row>
    <row r="86" spans="1:102" ht="15" customHeight="1">
      <c r="A86" s="6129"/>
      <c r="B86" s="6263" t="s">
        <v>1726</v>
      </c>
      <c r="C86" s="6264"/>
      <c r="D86" s="1506">
        <f t="shared" si="58"/>
        <v>0</v>
      </c>
      <c r="E86" s="1455"/>
      <c r="F86" s="1684"/>
    </row>
    <row r="87" spans="1:102" ht="18" customHeight="1">
      <c r="A87" s="1468" t="s">
        <v>1727</v>
      </c>
      <c r="B87" s="3013"/>
      <c r="C87" s="3013"/>
      <c r="D87" s="383"/>
      <c r="E87" s="383"/>
      <c r="F87" s="383"/>
      <c r="G87" s="383"/>
      <c r="H87" s="383"/>
      <c r="I87" s="383"/>
      <c r="J87" s="383"/>
      <c r="K87" s="383"/>
      <c r="L87" s="383"/>
      <c r="M87" s="383"/>
      <c r="N87" s="383"/>
      <c r="O87" s="383"/>
      <c r="P87" s="383"/>
      <c r="Q87" s="383"/>
      <c r="R87" s="383"/>
      <c r="S87" s="383"/>
      <c r="T87" s="383"/>
      <c r="U87" s="383"/>
      <c r="V87" s="383"/>
      <c r="W87" s="383"/>
      <c r="X87" s="383"/>
      <c r="Y87" s="383"/>
      <c r="Z87" s="383"/>
      <c r="AA87" s="383"/>
      <c r="AB87" s="383"/>
      <c r="AC87" s="383"/>
      <c r="AD87" s="383"/>
      <c r="AE87" s="383"/>
      <c r="AF87" s="383"/>
      <c r="AG87" s="383"/>
      <c r="AH87" s="383"/>
      <c r="AI87" s="383"/>
      <c r="AJ87" s="383"/>
      <c r="AK87" s="383"/>
      <c r="AL87" s="383"/>
      <c r="AM87" s="383"/>
      <c r="AN87" s="383"/>
      <c r="AO87" s="383"/>
      <c r="AP87" s="383"/>
      <c r="AQ87" s="383"/>
      <c r="AR87" s="383"/>
      <c r="AS87" s="383"/>
      <c r="AT87" s="383"/>
      <c r="AU87" s="383"/>
      <c r="AV87" s="383"/>
      <c r="AW87" s="383"/>
    </row>
    <row r="88" spans="1:102" ht="15" customHeight="1">
      <c r="A88" s="6153" t="s">
        <v>1728</v>
      </c>
      <c r="B88" s="6153"/>
      <c r="C88" s="6154"/>
      <c r="D88" s="6152" t="s">
        <v>91</v>
      </c>
      <c r="E88" s="6153"/>
      <c r="F88" s="6154"/>
      <c r="G88" s="5710" t="s">
        <v>115</v>
      </c>
      <c r="H88" s="6106"/>
      <c r="I88" s="6106"/>
      <c r="J88" s="6106"/>
      <c r="K88" s="6106"/>
      <c r="L88" s="6106"/>
      <c r="M88" s="6106"/>
      <c r="N88" s="6106"/>
      <c r="O88" s="6106"/>
      <c r="P88" s="6106"/>
      <c r="Q88" s="6106"/>
      <c r="R88" s="6106"/>
      <c r="S88" s="6106"/>
      <c r="T88" s="6106"/>
      <c r="U88" s="6106"/>
      <c r="V88" s="6106"/>
      <c r="W88" s="6106"/>
      <c r="X88" s="6106"/>
      <c r="Y88" s="6106"/>
      <c r="Z88" s="6106"/>
      <c r="AA88" s="6106"/>
      <c r="AB88" s="6106"/>
      <c r="AC88" s="6106"/>
      <c r="AD88" s="6106"/>
      <c r="AE88" s="6106"/>
      <c r="AF88" s="6106"/>
      <c r="AG88" s="6106"/>
      <c r="AH88" s="6106"/>
      <c r="AI88" s="6106"/>
      <c r="AJ88" s="6106"/>
      <c r="AK88" s="6106"/>
      <c r="AL88" s="6106"/>
      <c r="AM88" s="6106"/>
      <c r="AN88" s="5716"/>
      <c r="AO88" s="6669" t="s">
        <v>1729</v>
      </c>
      <c r="AP88" s="6670" t="s">
        <v>1660</v>
      </c>
      <c r="AQ88" s="6135" t="s">
        <v>1730</v>
      </c>
      <c r="AR88" s="6135" t="s">
        <v>1731</v>
      </c>
      <c r="AS88" s="6135" t="s">
        <v>1732</v>
      </c>
      <c r="AT88" s="6668" t="s">
        <v>1733</v>
      </c>
      <c r="AU88" s="6304" t="s">
        <v>514</v>
      </c>
      <c r="AV88" s="6307" t="s">
        <v>49</v>
      </c>
      <c r="AW88" s="6589" t="s">
        <v>51</v>
      </c>
      <c r="AX88" s="6391" t="s">
        <v>1734</v>
      </c>
    </row>
    <row r="89" spans="1:102" ht="15" customHeight="1">
      <c r="A89" s="6578"/>
      <c r="B89" s="6578"/>
      <c r="C89" s="6448"/>
      <c r="D89" s="6155"/>
      <c r="E89" s="6156"/>
      <c r="F89" s="6157"/>
      <c r="G89" s="6586" t="s">
        <v>1735</v>
      </c>
      <c r="H89" s="6575"/>
      <c r="I89" s="5710" t="s">
        <v>402</v>
      </c>
      <c r="J89" s="5712"/>
      <c r="K89" s="5710" t="s">
        <v>1644</v>
      </c>
      <c r="L89" s="5712"/>
      <c r="M89" s="5710" t="s">
        <v>404</v>
      </c>
      <c r="N89" s="5712"/>
      <c r="O89" s="5710" t="s">
        <v>405</v>
      </c>
      <c r="P89" s="5712"/>
      <c r="Q89" s="5710" t="s">
        <v>406</v>
      </c>
      <c r="R89" s="5712"/>
      <c r="S89" s="5710" t="s">
        <v>407</v>
      </c>
      <c r="T89" s="5712"/>
      <c r="U89" s="6106" t="s">
        <v>1645</v>
      </c>
      <c r="V89" s="5712"/>
      <c r="W89" s="5710" t="s">
        <v>324</v>
      </c>
      <c r="X89" s="5709"/>
      <c r="Y89" s="5710" t="s">
        <v>325</v>
      </c>
      <c r="Z89" s="5709"/>
      <c r="AA89" s="5710" t="s">
        <v>1646</v>
      </c>
      <c r="AB89" s="5709"/>
      <c r="AC89" s="5710" t="s">
        <v>1647</v>
      </c>
      <c r="AD89" s="5709"/>
      <c r="AE89" s="5710" t="s">
        <v>1648</v>
      </c>
      <c r="AF89" s="5709"/>
      <c r="AG89" s="5710" t="s">
        <v>1649</v>
      </c>
      <c r="AH89" s="5709"/>
      <c r="AI89" s="5710" t="s">
        <v>1650</v>
      </c>
      <c r="AJ89" s="5709"/>
      <c r="AK89" s="6106" t="s">
        <v>1651</v>
      </c>
      <c r="AL89" s="5709"/>
      <c r="AM89" s="5710" t="s">
        <v>966</v>
      </c>
      <c r="AN89" s="6147"/>
      <c r="AO89" s="6669"/>
      <c r="AP89" s="6670"/>
      <c r="AQ89" s="6302"/>
      <c r="AR89" s="6302"/>
      <c r="AS89" s="6302"/>
      <c r="AT89" s="6668"/>
      <c r="AU89" s="6305"/>
      <c r="AV89" s="6308"/>
      <c r="AW89" s="6590"/>
      <c r="AX89" s="6592"/>
    </row>
    <row r="90" spans="1:102" ht="36" customHeight="1">
      <c r="A90" s="6156"/>
      <c r="B90" s="6156"/>
      <c r="C90" s="6157"/>
      <c r="D90" s="1395" t="s">
        <v>93</v>
      </c>
      <c r="E90" s="1396" t="s">
        <v>72</v>
      </c>
      <c r="F90" s="393" t="s">
        <v>73</v>
      </c>
      <c r="G90" s="1395" t="s">
        <v>72</v>
      </c>
      <c r="H90" s="393" t="s">
        <v>73</v>
      </c>
      <c r="I90" s="1395" t="s">
        <v>72</v>
      </c>
      <c r="J90" s="1495" t="s">
        <v>73</v>
      </c>
      <c r="K90" s="1395" t="s">
        <v>72</v>
      </c>
      <c r="L90" s="393" t="s">
        <v>73</v>
      </c>
      <c r="M90" s="1395" t="s">
        <v>72</v>
      </c>
      <c r="N90" s="393" t="s">
        <v>73</v>
      </c>
      <c r="O90" s="1396" t="s">
        <v>72</v>
      </c>
      <c r="P90" s="393" t="s">
        <v>73</v>
      </c>
      <c r="Q90" s="1396" t="s">
        <v>72</v>
      </c>
      <c r="R90" s="393" t="s">
        <v>73</v>
      </c>
      <c r="S90" s="1396" t="s">
        <v>72</v>
      </c>
      <c r="T90" s="393" t="s">
        <v>73</v>
      </c>
      <c r="U90" s="1396" t="s">
        <v>72</v>
      </c>
      <c r="V90" s="393" t="s">
        <v>73</v>
      </c>
      <c r="W90" s="1396" t="s">
        <v>72</v>
      </c>
      <c r="X90" s="393" t="s">
        <v>73</v>
      </c>
      <c r="Y90" s="1396" t="s">
        <v>72</v>
      </c>
      <c r="Z90" s="393" t="s">
        <v>73</v>
      </c>
      <c r="AA90" s="1396" t="s">
        <v>72</v>
      </c>
      <c r="AB90" s="393" t="s">
        <v>73</v>
      </c>
      <c r="AC90" s="1396" t="s">
        <v>72</v>
      </c>
      <c r="AD90" s="393" t="s">
        <v>73</v>
      </c>
      <c r="AE90" s="1396" t="s">
        <v>72</v>
      </c>
      <c r="AF90" s="393" t="s">
        <v>73</v>
      </c>
      <c r="AG90" s="1396" t="s">
        <v>72</v>
      </c>
      <c r="AH90" s="393" t="s">
        <v>73</v>
      </c>
      <c r="AI90" s="1396" t="s">
        <v>72</v>
      </c>
      <c r="AJ90" s="393" t="s">
        <v>73</v>
      </c>
      <c r="AK90" s="1396" t="s">
        <v>72</v>
      </c>
      <c r="AL90" s="393" t="s">
        <v>73</v>
      </c>
      <c r="AM90" s="1396" t="s">
        <v>72</v>
      </c>
      <c r="AN90" s="394" t="s">
        <v>73</v>
      </c>
      <c r="AO90" s="6669"/>
      <c r="AP90" s="6670"/>
      <c r="AQ90" s="6136"/>
      <c r="AR90" s="6136"/>
      <c r="AS90" s="6136"/>
      <c r="AT90" s="6668"/>
      <c r="AU90" s="6306"/>
      <c r="AV90" s="6309"/>
      <c r="AW90" s="6591"/>
      <c r="AX90" s="6393"/>
    </row>
    <row r="91" spans="1:102" ht="15" customHeight="1">
      <c r="A91" s="6127" t="s">
        <v>1736</v>
      </c>
      <c r="B91" s="6561" t="s">
        <v>1737</v>
      </c>
      <c r="C91" s="6563"/>
      <c r="D91" s="1988">
        <f t="shared" ref="D91:D101" si="59">SUM(E91:F91)</f>
        <v>0</v>
      </c>
      <c r="E91" s="409">
        <f t="shared" ref="E91:F103" si="60">SUM(G91+I91+K91+M91+O91+Q91+S91+U91+W91+Y91+AA91+AC91+AE91+AG91+AI91+AK91+AM91)</f>
        <v>0</v>
      </c>
      <c r="F91" s="1649">
        <f>SUM(H91+J91+L91+N91+P91+R91+T91+V91+X91+Z91+AB91+AD91+AF91+AH91+AJ91+AL91+AN91)</f>
        <v>0</v>
      </c>
      <c r="G91" s="1424"/>
      <c r="H91" s="1676"/>
      <c r="I91" s="1424"/>
      <c r="J91" s="1427"/>
      <c r="K91" s="1424"/>
      <c r="L91" s="1676"/>
      <c r="M91" s="1424"/>
      <c r="N91" s="1676"/>
      <c r="O91" s="1425"/>
      <c r="P91" s="1676"/>
      <c r="Q91" s="1425"/>
      <c r="R91" s="1676"/>
      <c r="S91" s="1425"/>
      <c r="T91" s="1676"/>
      <c r="U91" s="1425"/>
      <c r="V91" s="1676"/>
      <c r="W91" s="1425"/>
      <c r="X91" s="1676"/>
      <c r="Y91" s="1425"/>
      <c r="Z91" s="1676"/>
      <c r="AA91" s="1425"/>
      <c r="AB91" s="1676"/>
      <c r="AC91" s="1425"/>
      <c r="AD91" s="1676"/>
      <c r="AE91" s="1425"/>
      <c r="AF91" s="1676"/>
      <c r="AG91" s="1425"/>
      <c r="AH91" s="1676"/>
      <c r="AI91" s="1425"/>
      <c r="AJ91" s="1676"/>
      <c r="AK91" s="1425"/>
      <c r="AL91" s="1676"/>
      <c r="AM91" s="1425"/>
      <c r="AN91" s="1428"/>
      <c r="AO91" s="1707"/>
      <c r="AP91" s="1426"/>
      <c r="AQ91" s="1426"/>
      <c r="AR91" s="1426"/>
      <c r="AS91" s="1426"/>
      <c r="AT91" s="1427"/>
      <c r="AU91" s="2276"/>
      <c r="AV91" s="2111"/>
      <c r="AW91" s="1425"/>
      <c r="AX91" s="1815"/>
      <c r="AY91" t="str">
        <f t="shared" ref="AY91:AY141" si="61">CA91&amp;CB91&amp;CC91&amp;CD91&amp;CE91&amp;CF91&amp;CG91&amp;CH91&amp;CI91&amp;CJ91</f>
        <v/>
      </c>
      <c r="CA91" s="2841" t="str">
        <f t="shared" ref="CA91:CA103" si="62">IF(AND((W91+X91)&gt;0,AO91="")," * No olvide digitar la variable 12 años (incluido en el grupo de 10-14 años). Digite Cero si no tiene.",IF(AO91&gt;(W91+X91),"* Las Consultas de 12 años (incluido en el grupo de 10-14 años) NO DEBEN ser mayor que el total de Consultas entre 10-14 años",""))</f>
        <v/>
      </c>
      <c r="CB91" s="2841" t="str">
        <f t="shared" ref="CB91:CB142" si="63">IF(AND($F91&gt;0,AP91="")," * No olvide digitar la variable Gestante. Digite cero si no tiene.",IF(AP91&gt;$F91," * La variable Gestante NO DEBEN ser mayor al Total de Mujeres. ",""))</f>
        <v/>
      </c>
      <c r="CC91" s="2841" t="str">
        <f t="shared" ref="CC91:CC142" si="64">IF(AND(D91&gt;0,AQ91="")," * No olvide digitar la variable  Atención bajo sedación inhalatoria (con óxido nitroso). Digite Cero si no tiene.",IF(AQ91&gt;D91," * La variable  Atención bajo sedación inhalatoria (con óxido nitroso) NO DEBE ser mayor que el Total Ambos Sexos",""))</f>
        <v/>
      </c>
      <c r="CD91" s="2841" t="str">
        <f t="shared" ref="CD91:CD142" si="65">IF(AND((AI91+AJ91)&gt;0,AR91="")," * No olvide digitar la variable 60 años (incluido en grupos de 60-64 años). Digite Cero si no tiene.",IF(AR91&gt;(AI91+AJ91)," * La variable 60 años (incluido en grupos de 60-64 años) NO DEBE ser mayor que el Total de consultas del grupo 60-64 años",""))</f>
        <v/>
      </c>
      <c r="CE91" s="2841" t="str">
        <f t="shared" ref="CE91:CE142" si="66">IF(AND($D91&gt;0,AS91="")," * No olvide digitar la variable Compra de Servicios. Digite Cero si no tiene.","")</f>
        <v/>
      </c>
      <c r="CF91" s="2841" t="str">
        <f t="shared" ref="CF91:CF142" si="67">IF(AND($D91&gt;0,AT91="")," * No olvide digitar la Usuarios con Discapacidad. Digite Cero si no tiene.",IF(AT91&gt;$D91," * La variable Usuarios con Discapacidad No puede ser mayor al Total Ambos Sexos.",""))</f>
        <v/>
      </c>
      <c r="CG91" s="2841" t="str">
        <f t="shared" ref="CG91:CG142" si="68">IF(AND($D91&gt;0,AU91="")," * No olvide digitar la variable "&amp;AU$88&amp;". Digite Cero si no tiene.",IF(AU91&gt;$D91," * La variable "&amp;AU$88&amp;" No puede ser mayor al Total Ambos Sexos.",""))</f>
        <v/>
      </c>
      <c r="CH91" s="2841" t="str">
        <f>IF(AND($D91&gt;0,AV91="")," * No olvide digitar la variable "&amp;AV$88&amp;" Digite Cero si no tiene.",IF(AV91&gt;$D91," * La variable "&amp;AV$88&amp;"no puede ser mayor al Total Ambos Sexos.",""))</f>
        <v/>
      </c>
      <c r="CI91" s="2841" t="str">
        <f t="shared" ref="CI91:CI142" si="69">IF(AND($D91&gt;0,AW91="")," * No olvide digitar la variable Migrantes. Digite Cero si no tiene.",IF(AW91&gt;$D91," * La variable Migrantes no puede ser mayor al Total Ambos Sexos.",""))</f>
        <v/>
      </c>
      <c r="CJ91" s="2890"/>
      <c r="CO91" s="2842">
        <f t="shared" ref="CO91:CO103" si="70">IF(AND($D91&gt;0,AO91=""),1,IF(AO91&gt;D91,1,0))</f>
        <v>0</v>
      </c>
      <c r="CP91" s="2842">
        <f t="shared" ref="CP91:CP122" si="71">IF(AND($F91&gt;0,AP91=""),1,IF(AP91&gt;$F91,1,0))</f>
        <v>0</v>
      </c>
      <c r="CQ91" s="2842">
        <f t="shared" ref="CQ91:CQ122" si="72">IF(AND($D91&gt;0,AQ91=""),1,IF(AQ91&gt;$D91,1,0))</f>
        <v>0</v>
      </c>
      <c r="CR91" s="2842">
        <f t="shared" ref="CR91:CR104" si="73">IF(AND(AI91+AJ91&gt;0,AR91=""),1,IF(AR91&gt;AI91+AJ91,1,0))</f>
        <v>0</v>
      </c>
      <c r="CS91" s="2842">
        <f t="shared" ref="CS91:CS142" si="74">IF(AND($D91&gt;0,AS91=""),1,0)</f>
        <v>0</v>
      </c>
      <c r="CT91" s="2842">
        <f t="shared" si="39"/>
        <v>0</v>
      </c>
      <c r="CU91" s="2842">
        <f t="shared" ref="CU91:CU122" si="75">IF(AND($D91&gt;0,AU91=""),1,IF(AU91&gt;$D91,1,0))</f>
        <v>0</v>
      </c>
      <c r="CV91" s="2842">
        <f t="shared" ref="CV91:CV122" si="76">IF(AND($D91&gt;0,AV91=""),1,IF(AV91&gt;$D91,1,0))</f>
        <v>0</v>
      </c>
      <c r="CW91" s="2842">
        <f t="shared" ref="CW91:CW122" si="77">IF(AND($D91&gt;0,AW91=""),1,IF(AW91&gt;$D91,1,0))</f>
        <v>0</v>
      </c>
      <c r="CX91" s="2890"/>
    </row>
    <row r="92" spans="1:102" ht="15" customHeight="1">
      <c r="A92" s="6128"/>
      <c r="B92" s="6181" t="s">
        <v>1709</v>
      </c>
      <c r="C92" s="6182"/>
      <c r="D92" s="1991">
        <f t="shared" si="59"/>
        <v>0</v>
      </c>
      <c r="E92" s="421">
        <f t="shared" si="60"/>
        <v>0</v>
      </c>
      <c r="F92" s="421">
        <f t="shared" si="60"/>
        <v>0</v>
      </c>
      <c r="G92" s="1480"/>
      <c r="H92" s="1769"/>
      <c r="I92" s="1480"/>
      <c r="J92" s="1959"/>
      <c r="K92" s="1480"/>
      <c r="L92" s="1769"/>
      <c r="M92" s="1480"/>
      <c r="N92" s="1769"/>
      <c r="O92" s="1796"/>
      <c r="P92" s="1769"/>
      <c r="Q92" s="1796"/>
      <c r="R92" s="1769"/>
      <c r="S92" s="1796"/>
      <c r="T92" s="1769"/>
      <c r="U92" s="1796"/>
      <c r="V92" s="1769"/>
      <c r="W92" s="1796"/>
      <c r="X92" s="1769"/>
      <c r="Y92" s="1796"/>
      <c r="Z92" s="1769"/>
      <c r="AA92" s="1796"/>
      <c r="AB92" s="1769"/>
      <c r="AC92" s="1796"/>
      <c r="AD92" s="1769"/>
      <c r="AE92" s="1796"/>
      <c r="AF92" s="1769"/>
      <c r="AG92" s="1796"/>
      <c r="AH92" s="1769"/>
      <c r="AI92" s="1796"/>
      <c r="AJ92" s="1769"/>
      <c r="AK92" s="1796"/>
      <c r="AL92" s="1769"/>
      <c r="AM92" s="1796"/>
      <c r="AN92" s="1481"/>
      <c r="AO92" s="1754"/>
      <c r="AP92" s="1541"/>
      <c r="AQ92" s="1541"/>
      <c r="AR92" s="1541"/>
      <c r="AS92" s="1541"/>
      <c r="AT92" s="1959"/>
      <c r="AU92" s="2840"/>
      <c r="AV92" s="2325"/>
      <c r="AW92" s="1796"/>
      <c r="AX92" s="1870"/>
      <c r="AY92" t="str">
        <f t="shared" si="61"/>
        <v/>
      </c>
      <c r="CA92" s="2841" t="str">
        <f t="shared" si="62"/>
        <v/>
      </c>
      <c r="CB92" s="2841" t="str">
        <f t="shared" si="63"/>
        <v/>
      </c>
      <c r="CC92" s="2841" t="str">
        <f t="shared" si="64"/>
        <v/>
      </c>
      <c r="CD92" s="2841" t="str">
        <f t="shared" si="65"/>
        <v/>
      </c>
      <c r="CE92" s="2841" t="str">
        <f t="shared" si="66"/>
        <v/>
      </c>
      <c r="CF92" s="2841" t="str">
        <f t="shared" si="67"/>
        <v/>
      </c>
      <c r="CG92" s="2841" t="str">
        <f t="shared" si="68"/>
        <v/>
      </c>
      <c r="CH92" s="2841" t="str">
        <f t="shared" ref="CH92:CH142" si="78">IF(AND($D92&gt;0,AV92="")," * No olvide digitar la variable "&amp;AV$88&amp;" Digite Cero si no tiene.",IF(AV92&gt;$D92," * La variable"&amp;AV$88&amp;"no puede ser mayor al Total Ambos Sexos.",""))</f>
        <v/>
      </c>
      <c r="CI92" s="2841" t="str">
        <f t="shared" si="69"/>
        <v/>
      </c>
      <c r="CJ92" s="2890"/>
      <c r="CO92" s="2842">
        <f t="shared" si="70"/>
        <v>0</v>
      </c>
      <c r="CP92" s="2842">
        <f t="shared" si="71"/>
        <v>0</v>
      </c>
      <c r="CQ92" s="2842">
        <f t="shared" si="72"/>
        <v>0</v>
      </c>
      <c r="CR92" s="2842">
        <f t="shared" si="73"/>
        <v>0</v>
      </c>
      <c r="CS92" s="2842">
        <f t="shared" si="74"/>
        <v>0</v>
      </c>
      <c r="CT92" s="2842">
        <f t="shared" si="39"/>
        <v>0</v>
      </c>
      <c r="CU92" s="2842">
        <f t="shared" si="75"/>
        <v>0</v>
      </c>
      <c r="CV92" s="2842">
        <f t="shared" si="76"/>
        <v>0</v>
      </c>
      <c r="CW92" s="2842">
        <f t="shared" si="77"/>
        <v>0</v>
      </c>
      <c r="CX92" s="2890"/>
    </row>
    <row r="93" spans="1:102" ht="15" customHeight="1">
      <c r="A93" s="6128"/>
      <c r="B93" s="6181" t="s">
        <v>1714</v>
      </c>
      <c r="C93" s="6182"/>
      <c r="D93" s="1991">
        <f t="shared" si="59"/>
        <v>0</v>
      </c>
      <c r="E93" s="421">
        <f t="shared" si="60"/>
        <v>0</v>
      </c>
      <c r="F93" s="421">
        <f t="shared" si="60"/>
        <v>0</v>
      </c>
      <c r="G93" s="1440"/>
      <c r="H93" s="1769"/>
      <c r="I93" s="1480"/>
      <c r="J93" s="1959"/>
      <c r="K93" s="1480"/>
      <c r="L93" s="1680"/>
      <c r="M93" s="1440"/>
      <c r="N93" s="1680"/>
      <c r="O93" s="1441"/>
      <c r="P93" s="1680"/>
      <c r="Q93" s="1441"/>
      <c r="R93" s="1680"/>
      <c r="S93" s="1441"/>
      <c r="T93" s="1680"/>
      <c r="U93" s="1441"/>
      <c r="V93" s="1680"/>
      <c r="W93" s="1441"/>
      <c r="X93" s="1680"/>
      <c r="Y93" s="1441"/>
      <c r="Z93" s="1680"/>
      <c r="AA93" s="1441"/>
      <c r="AB93" s="1680"/>
      <c r="AC93" s="1441"/>
      <c r="AD93" s="1680"/>
      <c r="AE93" s="1441"/>
      <c r="AF93" s="1680"/>
      <c r="AG93" s="1441"/>
      <c r="AH93" s="1680"/>
      <c r="AI93" s="1441"/>
      <c r="AJ93" s="1680"/>
      <c r="AK93" s="1441"/>
      <c r="AL93" s="1680"/>
      <c r="AM93" s="1441"/>
      <c r="AN93" s="1444"/>
      <c r="AO93" s="1709"/>
      <c r="AP93" s="1541"/>
      <c r="AQ93" s="1541"/>
      <c r="AR93" s="1541"/>
      <c r="AS93" s="1541"/>
      <c r="AT93" s="1959"/>
      <c r="AU93" s="2840"/>
      <c r="AV93" s="2325"/>
      <c r="AW93" s="1796"/>
      <c r="AX93" s="1870"/>
      <c r="AY93" t="str">
        <f t="shared" si="61"/>
        <v/>
      </c>
      <c r="CA93" s="2841" t="str">
        <f t="shared" si="62"/>
        <v/>
      </c>
      <c r="CB93" s="2841" t="str">
        <f t="shared" si="63"/>
        <v/>
      </c>
      <c r="CC93" s="2841" t="str">
        <f t="shared" si="64"/>
        <v/>
      </c>
      <c r="CD93" s="2841" t="str">
        <f t="shared" si="65"/>
        <v/>
      </c>
      <c r="CE93" s="2841" t="str">
        <f t="shared" si="66"/>
        <v/>
      </c>
      <c r="CF93" s="2841" t="str">
        <f t="shared" si="67"/>
        <v/>
      </c>
      <c r="CG93" s="2841" t="str">
        <f t="shared" si="68"/>
        <v/>
      </c>
      <c r="CH93" s="2841" t="str">
        <f t="shared" si="78"/>
        <v/>
      </c>
      <c r="CI93" s="2841" t="str">
        <f t="shared" si="69"/>
        <v/>
      </c>
      <c r="CJ93" s="2890"/>
      <c r="CO93" s="2842">
        <f t="shared" si="70"/>
        <v>0</v>
      </c>
      <c r="CP93" s="2842">
        <f t="shared" si="71"/>
        <v>0</v>
      </c>
      <c r="CQ93" s="2842">
        <f t="shared" si="72"/>
        <v>0</v>
      </c>
      <c r="CR93" s="2842">
        <f t="shared" si="73"/>
        <v>0</v>
      </c>
      <c r="CS93" s="2842">
        <f t="shared" si="74"/>
        <v>0</v>
      </c>
      <c r="CT93" s="2842">
        <f t="shared" si="39"/>
        <v>0</v>
      </c>
      <c r="CU93" s="2842">
        <f t="shared" si="75"/>
        <v>0</v>
      </c>
      <c r="CV93" s="2842">
        <f t="shared" si="76"/>
        <v>0</v>
      </c>
      <c r="CW93" s="2842">
        <f t="shared" si="77"/>
        <v>0</v>
      </c>
      <c r="CX93" s="2890"/>
    </row>
    <row r="94" spans="1:102" ht="15" customHeight="1">
      <c r="A94" s="6128"/>
      <c r="B94" s="6181" t="s">
        <v>1738</v>
      </c>
      <c r="C94" s="6182"/>
      <c r="D94" s="1991">
        <f t="shared" si="59"/>
        <v>0</v>
      </c>
      <c r="E94" s="421">
        <f t="shared" si="60"/>
        <v>0</v>
      </c>
      <c r="F94" s="421">
        <f t="shared" ref="F94:F95" si="79">SUM(H94+J94+L94+N94+P94+R94+T94+V94+X94+Z94+AB94+AD94+AF94+AH94+AJ94+AL94+AN94)</f>
        <v>0</v>
      </c>
      <c r="G94" s="1440"/>
      <c r="H94" s="1769"/>
      <c r="I94" s="1480"/>
      <c r="J94" s="1959"/>
      <c r="K94" s="1480"/>
      <c r="L94" s="1680"/>
      <c r="M94" s="1440"/>
      <c r="N94" s="1680"/>
      <c r="O94" s="1441"/>
      <c r="P94" s="1680"/>
      <c r="Q94" s="1441"/>
      <c r="R94" s="1680"/>
      <c r="S94" s="1441"/>
      <c r="T94" s="1680"/>
      <c r="U94" s="1441"/>
      <c r="V94" s="1680"/>
      <c r="W94" s="1441"/>
      <c r="X94" s="1680"/>
      <c r="Y94" s="1441"/>
      <c r="Z94" s="1680"/>
      <c r="AA94" s="1441"/>
      <c r="AB94" s="1680"/>
      <c r="AC94" s="1441"/>
      <c r="AD94" s="1680"/>
      <c r="AE94" s="1441"/>
      <c r="AF94" s="1680"/>
      <c r="AG94" s="1441"/>
      <c r="AH94" s="1680"/>
      <c r="AI94" s="1441"/>
      <c r="AJ94" s="1680"/>
      <c r="AK94" s="1441"/>
      <c r="AL94" s="1680"/>
      <c r="AM94" s="1441"/>
      <c r="AN94" s="1444"/>
      <c r="AO94" s="1709"/>
      <c r="AP94" s="1541"/>
      <c r="AQ94" s="1541"/>
      <c r="AR94" s="1541"/>
      <c r="AS94" s="1541"/>
      <c r="AT94" s="1959"/>
      <c r="AU94" s="2840"/>
      <c r="AV94" s="2325"/>
      <c r="AW94" s="1796"/>
      <c r="AX94" s="1870"/>
      <c r="AY94" t="str">
        <f t="shared" si="61"/>
        <v/>
      </c>
      <c r="CA94" s="2841" t="str">
        <f t="shared" si="62"/>
        <v/>
      </c>
      <c r="CB94" s="2841" t="str">
        <f t="shared" si="63"/>
        <v/>
      </c>
      <c r="CC94" s="2841" t="str">
        <f t="shared" si="64"/>
        <v/>
      </c>
      <c r="CD94" s="2841" t="str">
        <f t="shared" si="65"/>
        <v/>
      </c>
      <c r="CE94" s="2841" t="str">
        <f t="shared" si="66"/>
        <v/>
      </c>
      <c r="CF94" s="2841" t="str">
        <f t="shared" si="67"/>
        <v/>
      </c>
      <c r="CG94" s="2841" t="str">
        <f t="shared" si="68"/>
        <v/>
      </c>
      <c r="CH94" s="2841" t="str">
        <f t="shared" si="78"/>
        <v/>
      </c>
      <c r="CI94" s="2841" t="str">
        <f t="shared" si="69"/>
        <v/>
      </c>
      <c r="CJ94" s="2890"/>
      <c r="CO94" s="2842">
        <f t="shared" si="70"/>
        <v>0</v>
      </c>
      <c r="CP94" s="2842">
        <f t="shared" si="71"/>
        <v>0</v>
      </c>
      <c r="CQ94" s="2842">
        <f t="shared" si="72"/>
        <v>0</v>
      </c>
      <c r="CR94" s="2842">
        <f t="shared" si="73"/>
        <v>0</v>
      </c>
      <c r="CS94" s="2842">
        <f t="shared" si="74"/>
        <v>0</v>
      </c>
      <c r="CT94" s="2842">
        <f t="shared" si="39"/>
        <v>0</v>
      </c>
      <c r="CU94" s="2842">
        <f t="shared" si="75"/>
        <v>0</v>
      </c>
      <c r="CV94" s="2842">
        <f t="shared" si="76"/>
        <v>0</v>
      </c>
      <c r="CW94" s="2842">
        <f t="shared" si="77"/>
        <v>0</v>
      </c>
      <c r="CX94" s="2890"/>
    </row>
    <row r="95" spans="1:102" ht="15" customHeight="1">
      <c r="A95" s="6128"/>
      <c r="B95" s="6181" t="s">
        <v>1739</v>
      </c>
      <c r="C95" s="6182"/>
      <c r="D95" s="1991">
        <f t="shared" si="59"/>
        <v>0</v>
      </c>
      <c r="E95" s="421">
        <f t="shared" si="60"/>
        <v>0</v>
      </c>
      <c r="F95" s="421">
        <f t="shared" si="79"/>
        <v>0</v>
      </c>
      <c r="G95" s="1440"/>
      <c r="H95" s="1680"/>
      <c r="I95" s="1440"/>
      <c r="J95" s="1443"/>
      <c r="K95" s="1440"/>
      <c r="L95" s="1680"/>
      <c r="M95" s="1440"/>
      <c r="N95" s="1680"/>
      <c r="O95" s="1441"/>
      <c r="P95" s="1680"/>
      <c r="Q95" s="1441"/>
      <c r="R95" s="1680"/>
      <c r="S95" s="1441"/>
      <c r="T95" s="1680"/>
      <c r="U95" s="1441"/>
      <c r="V95" s="1680"/>
      <c r="W95" s="1441"/>
      <c r="X95" s="1680"/>
      <c r="Y95" s="1441"/>
      <c r="Z95" s="1680"/>
      <c r="AA95" s="1441"/>
      <c r="AB95" s="1680"/>
      <c r="AC95" s="1441"/>
      <c r="AD95" s="1680"/>
      <c r="AE95" s="1441"/>
      <c r="AF95" s="1680"/>
      <c r="AG95" s="1441"/>
      <c r="AH95" s="1680"/>
      <c r="AI95" s="1441"/>
      <c r="AJ95" s="1680"/>
      <c r="AK95" s="1441"/>
      <c r="AL95" s="1680"/>
      <c r="AM95" s="1441"/>
      <c r="AN95" s="1444"/>
      <c r="AO95" s="1709"/>
      <c r="AP95" s="1442"/>
      <c r="AQ95" s="1442"/>
      <c r="AR95" s="1442"/>
      <c r="AS95" s="1442"/>
      <c r="AT95" s="1443"/>
      <c r="AU95" s="2281"/>
      <c r="AV95" s="2117"/>
      <c r="AW95" s="1441"/>
      <c r="AX95" s="1870"/>
      <c r="AY95" t="str">
        <f t="shared" si="61"/>
        <v/>
      </c>
      <c r="CA95" s="2841" t="str">
        <f t="shared" si="62"/>
        <v/>
      </c>
      <c r="CB95" s="2841" t="str">
        <f t="shared" si="63"/>
        <v/>
      </c>
      <c r="CC95" s="2841" t="str">
        <f t="shared" si="64"/>
        <v/>
      </c>
      <c r="CD95" s="2841" t="str">
        <f t="shared" si="65"/>
        <v/>
      </c>
      <c r="CE95" s="2841" t="str">
        <f t="shared" si="66"/>
        <v/>
      </c>
      <c r="CF95" s="2841" t="str">
        <f t="shared" si="67"/>
        <v/>
      </c>
      <c r="CG95" s="2841" t="str">
        <f t="shared" si="68"/>
        <v/>
      </c>
      <c r="CH95" s="2841" t="str">
        <f t="shared" si="78"/>
        <v/>
      </c>
      <c r="CI95" s="2841" t="str">
        <f t="shared" si="69"/>
        <v/>
      </c>
      <c r="CJ95" s="2890"/>
      <c r="CO95" s="2842">
        <f t="shared" si="70"/>
        <v>0</v>
      </c>
      <c r="CP95" s="2842">
        <f t="shared" si="71"/>
        <v>0</v>
      </c>
      <c r="CQ95" s="2842">
        <f t="shared" si="72"/>
        <v>0</v>
      </c>
      <c r="CR95" s="2842">
        <f t="shared" si="73"/>
        <v>0</v>
      </c>
      <c r="CS95" s="2842">
        <f t="shared" si="74"/>
        <v>0</v>
      </c>
      <c r="CT95" s="2842">
        <f t="shared" si="39"/>
        <v>0</v>
      </c>
      <c r="CU95" s="2842">
        <f t="shared" si="75"/>
        <v>0</v>
      </c>
      <c r="CV95" s="2842">
        <f t="shared" si="76"/>
        <v>0</v>
      </c>
      <c r="CW95" s="2842">
        <f t="shared" si="77"/>
        <v>0</v>
      </c>
      <c r="CX95" s="2890"/>
    </row>
    <row r="96" spans="1:102" ht="15" customHeight="1">
      <c r="A96" s="6129"/>
      <c r="B96" s="6663" t="s">
        <v>1740</v>
      </c>
      <c r="C96" s="6664"/>
      <c r="D96" s="1930">
        <f t="shared" si="59"/>
        <v>0</v>
      </c>
      <c r="E96" s="2333">
        <f t="shared" si="60"/>
        <v>0</v>
      </c>
      <c r="F96" s="2333">
        <f t="shared" si="60"/>
        <v>0</v>
      </c>
      <c r="G96" s="1517"/>
      <c r="H96" s="1821"/>
      <c r="I96" s="1517"/>
      <c r="J96" s="2355"/>
      <c r="K96" s="1517"/>
      <c r="L96" s="1821"/>
      <c r="M96" s="1517"/>
      <c r="N96" s="1821"/>
      <c r="O96" s="1881"/>
      <c r="P96" s="1821"/>
      <c r="Q96" s="1881"/>
      <c r="R96" s="1821"/>
      <c r="S96" s="1881"/>
      <c r="T96" s="1821"/>
      <c r="U96" s="1881"/>
      <c r="V96" s="1821"/>
      <c r="W96" s="1881"/>
      <c r="X96" s="1821"/>
      <c r="Y96" s="1881"/>
      <c r="Z96" s="1821"/>
      <c r="AA96" s="1881"/>
      <c r="AB96" s="1821"/>
      <c r="AC96" s="1881"/>
      <c r="AD96" s="1821"/>
      <c r="AE96" s="1881"/>
      <c r="AF96" s="1821"/>
      <c r="AG96" s="1881"/>
      <c r="AH96" s="1821"/>
      <c r="AI96" s="1881"/>
      <c r="AJ96" s="1821"/>
      <c r="AK96" s="1881"/>
      <c r="AL96" s="1821"/>
      <c r="AM96" s="1881"/>
      <c r="AN96" s="3015"/>
      <c r="AO96" s="1907"/>
      <c r="AP96" s="1518"/>
      <c r="AQ96" s="1518"/>
      <c r="AR96" s="1518"/>
      <c r="AS96" s="1518"/>
      <c r="AT96" s="2355"/>
      <c r="AU96" s="3016"/>
      <c r="AV96" s="3017"/>
      <c r="AW96" s="1881"/>
      <c r="AX96" s="1914"/>
      <c r="AY96" t="str">
        <f t="shared" si="61"/>
        <v/>
      </c>
      <c r="CA96" s="2841" t="str">
        <f t="shared" si="62"/>
        <v/>
      </c>
      <c r="CB96" s="2841" t="str">
        <f t="shared" si="63"/>
        <v/>
      </c>
      <c r="CC96" s="2841" t="str">
        <f t="shared" si="64"/>
        <v/>
      </c>
      <c r="CD96" s="2841" t="str">
        <f t="shared" si="65"/>
        <v/>
      </c>
      <c r="CE96" s="2841" t="str">
        <f t="shared" si="66"/>
        <v/>
      </c>
      <c r="CF96" s="2841" t="str">
        <f t="shared" si="67"/>
        <v/>
      </c>
      <c r="CG96" s="2841" t="str">
        <f t="shared" si="68"/>
        <v/>
      </c>
      <c r="CH96" s="2841" t="str">
        <f t="shared" si="78"/>
        <v/>
      </c>
      <c r="CI96" s="2841" t="str">
        <f t="shared" si="69"/>
        <v/>
      </c>
      <c r="CJ96" s="2890"/>
      <c r="CO96" s="2842">
        <f t="shared" si="70"/>
        <v>0</v>
      </c>
      <c r="CP96" s="2842">
        <f t="shared" si="71"/>
        <v>0</v>
      </c>
      <c r="CQ96" s="2842">
        <f t="shared" si="72"/>
        <v>0</v>
      </c>
      <c r="CR96" s="2842">
        <f t="shared" si="73"/>
        <v>0</v>
      </c>
      <c r="CS96" s="2842">
        <f t="shared" si="74"/>
        <v>0</v>
      </c>
      <c r="CT96" s="2842">
        <f t="shared" si="39"/>
        <v>0</v>
      </c>
      <c r="CU96" s="2842">
        <f t="shared" si="75"/>
        <v>0</v>
      </c>
      <c r="CV96" s="2842">
        <f t="shared" si="76"/>
        <v>0</v>
      </c>
      <c r="CW96" s="2842">
        <f t="shared" si="77"/>
        <v>0</v>
      </c>
      <c r="CX96" s="2890"/>
    </row>
    <row r="97" spans="1:102" ht="15" customHeight="1">
      <c r="A97" s="6127" t="s">
        <v>1741</v>
      </c>
      <c r="B97" s="6561" t="s">
        <v>1737</v>
      </c>
      <c r="C97" s="6563"/>
      <c r="D97" s="1988">
        <f t="shared" si="59"/>
        <v>0</v>
      </c>
      <c r="E97" s="409">
        <f t="shared" si="60"/>
        <v>0</v>
      </c>
      <c r="F97" s="409">
        <f t="shared" si="60"/>
        <v>0</v>
      </c>
      <c r="G97" s="1424"/>
      <c r="H97" s="1676"/>
      <c r="I97" s="1424"/>
      <c r="J97" s="1427"/>
      <c r="K97" s="1424"/>
      <c r="L97" s="1676"/>
      <c r="M97" s="1424"/>
      <c r="N97" s="1676"/>
      <c r="O97" s="1425"/>
      <c r="P97" s="1676"/>
      <c r="Q97" s="1425"/>
      <c r="R97" s="1676"/>
      <c r="S97" s="1425"/>
      <c r="T97" s="1676"/>
      <c r="U97" s="1425"/>
      <c r="V97" s="1676"/>
      <c r="W97" s="1425"/>
      <c r="X97" s="1676"/>
      <c r="Y97" s="1425"/>
      <c r="Z97" s="1676"/>
      <c r="AA97" s="1425"/>
      <c r="AB97" s="1676"/>
      <c r="AC97" s="1425"/>
      <c r="AD97" s="1676"/>
      <c r="AE97" s="1425"/>
      <c r="AF97" s="1676"/>
      <c r="AG97" s="1425"/>
      <c r="AH97" s="1676"/>
      <c r="AI97" s="1425"/>
      <c r="AJ97" s="1676"/>
      <c r="AK97" s="1425"/>
      <c r="AL97" s="1676"/>
      <c r="AM97" s="1425"/>
      <c r="AN97" s="1428"/>
      <c r="AO97" s="1707"/>
      <c r="AP97" s="1426"/>
      <c r="AQ97" s="1426"/>
      <c r="AR97" s="1426"/>
      <c r="AS97" s="1426"/>
      <c r="AT97" s="1427"/>
      <c r="AU97" s="2276"/>
      <c r="AV97" s="2111"/>
      <c r="AW97" s="1425"/>
      <c r="AX97" s="1912"/>
      <c r="AY97" t="str">
        <f t="shared" si="61"/>
        <v/>
      </c>
      <c r="CA97" s="2841" t="str">
        <f t="shared" si="62"/>
        <v/>
      </c>
      <c r="CB97" s="2841" t="str">
        <f t="shared" si="63"/>
        <v/>
      </c>
      <c r="CC97" s="2841" t="str">
        <f t="shared" si="64"/>
        <v/>
      </c>
      <c r="CD97" s="2841" t="str">
        <f t="shared" si="65"/>
        <v/>
      </c>
      <c r="CE97" s="2841" t="str">
        <f t="shared" si="66"/>
        <v/>
      </c>
      <c r="CF97" s="2841" t="str">
        <f t="shared" si="67"/>
        <v/>
      </c>
      <c r="CG97" s="2841" t="str">
        <f t="shared" si="68"/>
        <v/>
      </c>
      <c r="CH97" s="2841" t="str">
        <f t="shared" si="78"/>
        <v/>
      </c>
      <c r="CI97" s="2841" t="str">
        <f t="shared" si="69"/>
        <v/>
      </c>
      <c r="CJ97" s="2890"/>
      <c r="CO97" s="2842">
        <f t="shared" si="70"/>
        <v>0</v>
      </c>
      <c r="CP97" s="2842">
        <f t="shared" si="71"/>
        <v>0</v>
      </c>
      <c r="CQ97" s="2842">
        <f t="shared" si="72"/>
        <v>0</v>
      </c>
      <c r="CR97" s="2842">
        <f t="shared" si="73"/>
        <v>0</v>
      </c>
      <c r="CS97" s="2842">
        <f t="shared" si="74"/>
        <v>0</v>
      </c>
      <c r="CT97" s="2842">
        <f t="shared" si="39"/>
        <v>0</v>
      </c>
      <c r="CU97" s="2842">
        <f t="shared" si="75"/>
        <v>0</v>
      </c>
      <c r="CV97" s="2842">
        <f t="shared" si="76"/>
        <v>0</v>
      </c>
      <c r="CW97" s="2842">
        <f t="shared" si="77"/>
        <v>0</v>
      </c>
      <c r="CX97" s="2890"/>
    </row>
    <row r="98" spans="1:102" ht="15" customHeight="1">
      <c r="A98" s="6128"/>
      <c r="B98" s="6181" t="s">
        <v>1709</v>
      </c>
      <c r="C98" s="6182"/>
      <c r="D98" s="1991">
        <f t="shared" si="59"/>
        <v>0</v>
      </c>
      <c r="E98" s="421">
        <f t="shared" si="60"/>
        <v>0</v>
      </c>
      <c r="F98" s="421">
        <f t="shared" si="60"/>
        <v>0</v>
      </c>
      <c r="G98" s="1480"/>
      <c r="H98" s="1769"/>
      <c r="I98" s="1480"/>
      <c r="J98" s="1959"/>
      <c r="K98" s="1480"/>
      <c r="L98" s="1769"/>
      <c r="M98" s="1480"/>
      <c r="N98" s="1769"/>
      <c r="O98" s="1796"/>
      <c r="P98" s="1769"/>
      <c r="Q98" s="1796"/>
      <c r="R98" s="1769"/>
      <c r="S98" s="1796"/>
      <c r="T98" s="1769"/>
      <c r="U98" s="1796"/>
      <c r="V98" s="1769"/>
      <c r="W98" s="1796"/>
      <c r="X98" s="1769"/>
      <c r="Y98" s="1796"/>
      <c r="Z98" s="1769"/>
      <c r="AA98" s="1796"/>
      <c r="AB98" s="1769"/>
      <c r="AC98" s="1796"/>
      <c r="AD98" s="1769"/>
      <c r="AE98" s="1796"/>
      <c r="AF98" s="1769"/>
      <c r="AG98" s="1796"/>
      <c r="AH98" s="1769"/>
      <c r="AI98" s="1796"/>
      <c r="AJ98" s="1769"/>
      <c r="AK98" s="1796"/>
      <c r="AL98" s="1769"/>
      <c r="AM98" s="1796"/>
      <c r="AN98" s="1481"/>
      <c r="AO98" s="1754"/>
      <c r="AP98" s="1541"/>
      <c r="AQ98" s="1541"/>
      <c r="AR98" s="1541"/>
      <c r="AS98" s="1541"/>
      <c r="AT98" s="1959"/>
      <c r="AU98" s="2840"/>
      <c r="AV98" s="2325"/>
      <c r="AW98" s="1796"/>
      <c r="AX98" s="1870"/>
      <c r="AY98" t="str">
        <f t="shared" si="61"/>
        <v/>
      </c>
      <c r="CA98" s="2841" t="str">
        <f t="shared" si="62"/>
        <v/>
      </c>
      <c r="CB98" s="2841" t="str">
        <f t="shared" si="63"/>
        <v/>
      </c>
      <c r="CC98" s="2841" t="str">
        <f t="shared" si="64"/>
        <v/>
      </c>
      <c r="CD98" s="2841" t="str">
        <f t="shared" si="65"/>
        <v/>
      </c>
      <c r="CE98" s="2841" t="str">
        <f t="shared" si="66"/>
        <v/>
      </c>
      <c r="CF98" s="2841" t="str">
        <f t="shared" si="67"/>
        <v/>
      </c>
      <c r="CG98" s="2841" t="str">
        <f t="shared" si="68"/>
        <v/>
      </c>
      <c r="CH98" s="2841" t="str">
        <f t="shared" si="78"/>
        <v/>
      </c>
      <c r="CI98" s="2841" t="str">
        <f t="shared" si="69"/>
        <v/>
      </c>
      <c r="CJ98" s="2890"/>
      <c r="CO98" s="2842">
        <f t="shared" si="70"/>
        <v>0</v>
      </c>
      <c r="CP98" s="2842">
        <f t="shared" si="71"/>
        <v>0</v>
      </c>
      <c r="CQ98" s="2842">
        <f t="shared" si="72"/>
        <v>0</v>
      </c>
      <c r="CR98" s="2842">
        <f t="shared" si="73"/>
        <v>0</v>
      </c>
      <c r="CS98" s="2842">
        <f t="shared" si="74"/>
        <v>0</v>
      </c>
      <c r="CT98" s="2842">
        <f t="shared" si="39"/>
        <v>0</v>
      </c>
      <c r="CU98" s="2842">
        <f t="shared" si="75"/>
        <v>0</v>
      </c>
      <c r="CV98" s="2842">
        <f t="shared" si="76"/>
        <v>0</v>
      </c>
      <c r="CW98" s="2842">
        <f t="shared" si="77"/>
        <v>0</v>
      </c>
      <c r="CX98" s="2890"/>
    </row>
    <row r="99" spans="1:102" ht="15" customHeight="1">
      <c r="A99" s="6128"/>
      <c r="B99" s="6181" t="s">
        <v>1714</v>
      </c>
      <c r="C99" s="6182"/>
      <c r="D99" s="1991">
        <f t="shared" si="59"/>
        <v>0</v>
      </c>
      <c r="E99" s="1690">
        <f t="shared" si="60"/>
        <v>0</v>
      </c>
      <c r="F99" s="421">
        <f t="shared" si="60"/>
        <v>0</v>
      </c>
      <c r="G99" s="1440"/>
      <c r="H99" s="1769"/>
      <c r="I99" s="1480"/>
      <c r="J99" s="1959"/>
      <c r="K99" s="1480"/>
      <c r="L99" s="1680"/>
      <c r="M99" s="1440"/>
      <c r="N99" s="1680"/>
      <c r="O99" s="1441"/>
      <c r="P99" s="1680"/>
      <c r="Q99" s="1441"/>
      <c r="R99" s="1680"/>
      <c r="S99" s="1441"/>
      <c r="T99" s="1680"/>
      <c r="U99" s="1441"/>
      <c r="V99" s="1680"/>
      <c r="W99" s="1441"/>
      <c r="X99" s="1680"/>
      <c r="Y99" s="1441"/>
      <c r="Z99" s="1680"/>
      <c r="AA99" s="1441"/>
      <c r="AB99" s="1680"/>
      <c r="AC99" s="1441"/>
      <c r="AD99" s="1680"/>
      <c r="AE99" s="1441"/>
      <c r="AF99" s="1680"/>
      <c r="AG99" s="1441"/>
      <c r="AH99" s="1680"/>
      <c r="AI99" s="1441"/>
      <c r="AJ99" s="1680"/>
      <c r="AK99" s="1441"/>
      <c r="AL99" s="1680"/>
      <c r="AM99" s="1441"/>
      <c r="AN99" s="1444"/>
      <c r="AO99" s="1709"/>
      <c r="AP99" s="1541"/>
      <c r="AQ99" s="1541"/>
      <c r="AR99" s="1541"/>
      <c r="AS99" s="1541"/>
      <c r="AT99" s="1959"/>
      <c r="AU99" s="2840"/>
      <c r="AV99" s="2325"/>
      <c r="AW99" s="1796"/>
      <c r="AX99" s="1870"/>
      <c r="AY99" t="str">
        <f t="shared" si="61"/>
        <v/>
      </c>
      <c r="CA99" s="2841" t="str">
        <f t="shared" si="62"/>
        <v/>
      </c>
      <c r="CB99" s="2841" t="str">
        <f t="shared" si="63"/>
        <v/>
      </c>
      <c r="CC99" s="2841" t="str">
        <f t="shared" si="64"/>
        <v/>
      </c>
      <c r="CD99" s="2841" t="str">
        <f t="shared" si="65"/>
        <v/>
      </c>
      <c r="CE99" s="2841" t="str">
        <f t="shared" si="66"/>
        <v/>
      </c>
      <c r="CF99" s="2841" t="str">
        <f t="shared" si="67"/>
        <v/>
      </c>
      <c r="CG99" s="2841" t="str">
        <f t="shared" si="68"/>
        <v/>
      </c>
      <c r="CH99" s="2841" t="str">
        <f t="shared" si="78"/>
        <v/>
      </c>
      <c r="CI99" s="2841" t="str">
        <f t="shared" si="69"/>
        <v/>
      </c>
      <c r="CJ99" s="2890"/>
      <c r="CO99" s="2842">
        <f t="shared" si="70"/>
        <v>0</v>
      </c>
      <c r="CP99" s="2842">
        <f t="shared" si="71"/>
        <v>0</v>
      </c>
      <c r="CQ99" s="2842">
        <f t="shared" si="72"/>
        <v>0</v>
      </c>
      <c r="CR99" s="2842">
        <f t="shared" si="73"/>
        <v>0</v>
      </c>
      <c r="CS99" s="2842">
        <f t="shared" si="74"/>
        <v>0</v>
      </c>
      <c r="CT99" s="2842">
        <f t="shared" si="39"/>
        <v>0</v>
      </c>
      <c r="CU99" s="2842">
        <f t="shared" si="75"/>
        <v>0</v>
      </c>
      <c r="CV99" s="2842">
        <f t="shared" si="76"/>
        <v>0</v>
      </c>
      <c r="CW99" s="2842">
        <f t="shared" si="77"/>
        <v>0</v>
      </c>
      <c r="CX99" s="2890"/>
    </row>
    <row r="100" spans="1:102" ht="15" customHeight="1">
      <c r="A100" s="6128"/>
      <c r="B100" s="6665" t="s">
        <v>1738</v>
      </c>
      <c r="C100" s="6666"/>
      <c r="D100" s="1991">
        <f t="shared" si="59"/>
        <v>0</v>
      </c>
      <c r="E100" s="1690">
        <f t="shared" ref="E100:E101" si="80">SUM(G100+I100+K100+M100+O100+Q100+S100+U100+W100+Y100+AA100+AC100+AE100+AG100+AI100+AK100+AM100)</f>
        <v>0</v>
      </c>
      <c r="F100" s="421">
        <f t="shared" ref="F100:F101" si="81">SUM(H100+J100+L100+N100+P100+R100+T100+V100+X100+Z100+AB100+AD100+AF100+AH100+AJ100+AL100+AN100)</f>
        <v>0</v>
      </c>
      <c r="G100" s="1440"/>
      <c r="H100" s="1769"/>
      <c r="I100" s="1480"/>
      <c r="J100" s="1959"/>
      <c r="K100" s="1480"/>
      <c r="L100" s="1680"/>
      <c r="M100" s="1440"/>
      <c r="N100" s="1680"/>
      <c r="O100" s="1441"/>
      <c r="P100" s="1680"/>
      <c r="Q100" s="1441"/>
      <c r="R100" s="1680"/>
      <c r="S100" s="1441"/>
      <c r="T100" s="1680"/>
      <c r="U100" s="1441"/>
      <c r="V100" s="1680"/>
      <c r="W100" s="1441"/>
      <c r="X100" s="1680"/>
      <c r="Y100" s="1441"/>
      <c r="Z100" s="1680"/>
      <c r="AA100" s="1441"/>
      <c r="AB100" s="1680"/>
      <c r="AC100" s="1441"/>
      <c r="AD100" s="1680"/>
      <c r="AE100" s="1441"/>
      <c r="AF100" s="1680"/>
      <c r="AG100" s="1441"/>
      <c r="AH100" s="1680"/>
      <c r="AI100" s="1441"/>
      <c r="AJ100" s="1680"/>
      <c r="AK100" s="1441"/>
      <c r="AL100" s="1680"/>
      <c r="AM100" s="1441"/>
      <c r="AN100" s="1444"/>
      <c r="AO100" s="1709"/>
      <c r="AP100" s="1541"/>
      <c r="AQ100" s="1541"/>
      <c r="AR100" s="1541"/>
      <c r="AS100" s="1541"/>
      <c r="AT100" s="1959"/>
      <c r="AU100" s="2840"/>
      <c r="AV100" s="2325"/>
      <c r="AW100" s="1796"/>
      <c r="AX100" s="1870"/>
      <c r="AY100" t="str">
        <f t="shared" si="61"/>
        <v/>
      </c>
      <c r="CA100" s="2841" t="str">
        <f t="shared" si="62"/>
        <v/>
      </c>
      <c r="CB100" s="2841" t="str">
        <f t="shared" si="63"/>
        <v/>
      </c>
      <c r="CC100" s="2841" t="str">
        <f t="shared" si="64"/>
        <v/>
      </c>
      <c r="CD100" s="2841" t="str">
        <f t="shared" si="65"/>
        <v/>
      </c>
      <c r="CE100" s="2841" t="str">
        <f t="shared" si="66"/>
        <v/>
      </c>
      <c r="CF100" s="2841" t="str">
        <f t="shared" si="67"/>
        <v/>
      </c>
      <c r="CG100" s="2841" t="str">
        <f t="shared" si="68"/>
        <v/>
      </c>
      <c r="CH100" s="2841" t="str">
        <f t="shared" si="78"/>
        <v/>
      </c>
      <c r="CI100" s="2841" t="str">
        <f t="shared" si="69"/>
        <v/>
      </c>
      <c r="CJ100" s="2890"/>
      <c r="CO100" s="2842">
        <f t="shared" si="70"/>
        <v>0</v>
      </c>
      <c r="CP100" s="2842">
        <f t="shared" si="71"/>
        <v>0</v>
      </c>
      <c r="CQ100" s="2842">
        <f t="shared" si="72"/>
        <v>0</v>
      </c>
      <c r="CR100" s="2842">
        <f t="shared" si="73"/>
        <v>0</v>
      </c>
      <c r="CS100" s="2842">
        <f t="shared" si="74"/>
        <v>0</v>
      </c>
      <c r="CT100" s="2842">
        <f t="shared" si="39"/>
        <v>0</v>
      </c>
      <c r="CU100" s="2842">
        <f t="shared" si="75"/>
        <v>0</v>
      </c>
      <c r="CV100" s="2842">
        <f t="shared" si="76"/>
        <v>0</v>
      </c>
      <c r="CW100" s="2842">
        <f t="shared" si="77"/>
        <v>0</v>
      </c>
      <c r="CX100" s="2890"/>
    </row>
    <row r="101" spans="1:102" ht="15" customHeight="1">
      <c r="A101" s="6128"/>
      <c r="B101" s="6181" t="s">
        <v>1739</v>
      </c>
      <c r="C101" s="6182"/>
      <c r="D101" s="1991">
        <f t="shared" si="59"/>
        <v>0</v>
      </c>
      <c r="E101" s="1690">
        <f t="shared" si="80"/>
        <v>0</v>
      </c>
      <c r="F101" s="421">
        <f t="shared" si="81"/>
        <v>0</v>
      </c>
      <c r="G101" s="1485"/>
      <c r="H101" s="1680"/>
      <c r="I101" s="1440"/>
      <c r="J101" s="1443"/>
      <c r="K101" s="1440"/>
      <c r="L101" s="1680"/>
      <c r="M101" s="1485"/>
      <c r="N101" s="1824"/>
      <c r="O101" s="1826"/>
      <c r="P101" s="1824"/>
      <c r="Q101" s="1826"/>
      <c r="R101" s="1824"/>
      <c r="S101" s="1826"/>
      <c r="T101" s="1824"/>
      <c r="U101" s="1826"/>
      <c r="V101" s="1824"/>
      <c r="W101" s="1826"/>
      <c r="X101" s="1824"/>
      <c r="Y101" s="1826"/>
      <c r="Z101" s="1824"/>
      <c r="AA101" s="1826"/>
      <c r="AB101" s="1824"/>
      <c r="AC101" s="1826"/>
      <c r="AD101" s="1824"/>
      <c r="AE101" s="1826"/>
      <c r="AF101" s="1824"/>
      <c r="AG101" s="1826"/>
      <c r="AH101" s="1824"/>
      <c r="AI101" s="1826"/>
      <c r="AJ101" s="1824"/>
      <c r="AK101" s="1826"/>
      <c r="AL101" s="1824"/>
      <c r="AM101" s="1826"/>
      <c r="AN101" s="1486"/>
      <c r="AO101" s="1711"/>
      <c r="AP101" s="1442"/>
      <c r="AQ101" s="1442"/>
      <c r="AR101" s="1442"/>
      <c r="AS101" s="1442"/>
      <c r="AT101" s="1443"/>
      <c r="AU101" s="2281"/>
      <c r="AV101" s="2117"/>
      <c r="AW101" s="1441"/>
      <c r="AX101" s="1870"/>
      <c r="AY101" t="str">
        <f t="shared" si="61"/>
        <v/>
      </c>
      <c r="CA101" s="2841" t="str">
        <f t="shared" si="62"/>
        <v/>
      </c>
      <c r="CB101" s="2841" t="str">
        <f t="shared" si="63"/>
        <v/>
      </c>
      <c r="CC101" s="2841" t="str">
        <f t="shared" si="64"/>
        <v/>
      </c>
      <c r="CD101" s="2841" t="str">
        <f t="shared" si="65"/>
        <v/>
      </c>
      <c r="CE101" s="2841" t="str">
        <f t="shared" si="66"/>
        <v/>
      </c>
      <c r="CF101" s="2841" t="str">
        <f t="shared" si="67"/>
        <v/>
      </c>
      <c r="CG101" s="2841" t="str">
        <f t="shared" si="68"/>
        <v/>
      </c>
      <c r="CH101" s="2841" t="str">
        <f t="shared" si="78"/>
        <v/>
      </c>
      <c r="CI101" s="2841" t="str">
        <f t="shared" si="69"/>
        <v/>
      </c>
      <c r="CJ101" s="2890"/>
      <c r="CO101" s="2842">
        <f t="shared" si="70"/>
        <v>0</v>
      </c>
      <c r="CP101" s="2842">
        <f t="shared" si="71"/>
        <v>0</v>
      </c>
      <c r="CQ101" s="2842">
        <f t="shared" si="72"/>
        <v>0</v>
      </c>
      <c r="CR101" s="2842">
        <f t="shared" si="73"/>
        <v>0</v>
      </c>
      <c r="CS101" s="2842">
        <f t="shared" si="74"/>
        <v>0</v>
      </c>
      <c r="CT101" s="2842">
        <f t="shared" si="39"/>
        <v>0</v>
      </c>
      <c r="CU101" s="2842">
        <f t="shared" si="75"/>
        <v>0</v>
      </c>
      <c r="CV101" s="2842">
        <f t="shared" si="76"/>
        <v>0</v>
      </c>
      <c r="CW101" s="2842">
        <f t="shared" si="77"/>
        <v>0</v>
      </c>
      <c r="CX101" s="2890"/>
    </row>
    <row r="102" spans="1:102" ht="15" customHeight="1">
      <c r="A102" s="6129"/>
      <c r="B102" s="6618" t="s">
        <v>1742</v>
      </c>
      <c r="C102" s="6620"/>
      <c r="D102" s="1928">
        <f t="shared" ref="D102:D143" si="82">SUM(E102:F102)</f>
        <v>0</v>
      </c>
      <c r="E102" s="1713">
        <f t="shared" si="60"/>
        <v>0</v>
      </c>
      <c r="F102" s="431">
        <f t="shared" si="60"/>
        <v>0</v>
      </c>
      <c r="G102" s="1455"/>
      <c r="H102" s="1801"/>
      <c r="I102" s="1528"/>
      <c r="J102" s="1986"/>
      <c r="K102" s="1528"/>
      <c r="L102" s="1801"/>
      <c r="M102" s="1455"/>
      <c r="N102" s="1684"/>
      <c r="O102" s="1456"/>
      <c r="P102" s="1684"/>
      <c r="Q102" s="1456"/>
      <c r="R102" s="1684"/>
      <c r="S102" s="1456"/>
      <c r="T102" s="1684"/>
      <c r="U102" s="1456"/>
      <c r="V102" s="1684"/>
      <c r="W102" s="1456"/>
      <c r="X102" s="1684"/>
      <c r="Y102" s="1456"/>
      <c r="Z102" s="1684"/>
      <c r="AA102" s="1456"/>
      <c r="AB102" s="1684"/>
      <c r="AC102" s="1456"/>
      <c r="AD102" s="1684"/>
      <c r="AE102" s="1456"/>
      <c r="AF102" s="1684"/>
      <c r="AG102" s="1456"/>
      <c r="AH102" s="1684"/>
      <c r="AI102" s="1456"/>
      <c r="AJ102" s="1684"/>
      <c r="AK102" s="1456"/>
      <c r="AL102" s="1684"/>
      <c r="AM102" s="1456"/>
      <c r="AN102" s="1459"/>
      <c r="AO102" s="1714"/>
      <c r="AP102" s="1529"/>
      <c r="AQ102" s="1529"/>
      <c r="AR102" s="1529"/>
      <c r="AS102" s="1529"/>
      <c r="AT102" s="1986"/>
      <c r="AU102" s="3018"/>
      <c r="AV102" s="3019"/>
      <c r="AW102" s="1552"/>
      <c r="AX102" s="1914"/>
      <c r="AY102" t="str">
        <f t="shared" si="61"/>
        <v/>
      </c>
      <c r="CA102" s="2841" t="str">
        <f t="shared" si="62"/>
        <v/>
      </c>
      <c r="CB102" s="2841" t="str">
        <f t="shared" si="63"/>
        <v/>
      </c>
      <c r="CC102" s="2841" t="str">
        <f t="shared" si="64"/>
        <v/>
      </c>
      <c r="CD102" s="2841" t="str">
        <f t="shared" si="65"/>
        <v/>
      </c>
      <c r="CE102" s="2841" t="str">
        <f t="shared" si="66"/>
        <v/>
      </c>
      <c r="CF102" s="2841" t="str">
        <f t="shared" si="67"/>
        <v/>
      </c>
      <c r="CG102" s="2841" t="str">
        <f t="shared" si="68"/>
        <v/>
      </c>
      <c r="CH102" s="2841" t="str">
        <f t="shared" si="78"/>
        <v/>
      </c>
      <c r="CI102" s="2841" t="str">
        <f t="shared" si="69"/>
        <v/>
      </c>
      <c r="CJ102" s="2890"/>
      <c r="CO102" s="2842">
        <f t="shared" si="70"/>
        <v>0</v>
      </c>
      <c r="CP102" s="2842">
        <f t="shared" si="71"/>
        <v>0</v>
      </c>
      <c r="CQ102" s="2842">
        <f t="shared" si="72"/>
        <v>0</v>
      </c>
      <c r="CR102" s="2842">
        <f t="shared" si="73"/>
        <v>0</v>
      </c>
      <c r="CS102" s="2842">
        <f t="shared" si="74"/>
        <v>0</v>
      </c>
      <c r="CT102" s="2842">
        <f t="shared" si="39"/>
        <v>0</v>
      </c>
      <c r="CU102" s="2842">
        <f t="shared" si="75"/>
        <v>0</v>
      </c>
      <c r="CV102" s="2842">
        <f t="shared" si="76"/>
        <v>0</v>
      </c>
      <c r="CW102" s="2842">
        <f t="shared" si="77"/>
        <v>0</v>
      </c>
      <c r="CX102" s="2890"/>
    </row>
    <row r="103" spans="1:102" ht="15" customHeight="1">
      <c r="A103" s="6571" t="s">
        <v>1743</v>
      </c>
      <c r="B103" s="6667"/>
      <c r="C103" s="6572"/>
      <c r="D103" s="2002">
        <f t="shared" si="82"/>
        <v>0</v>
      </c>
      <c r="E103" s="2333">
        <f t="shared" si="60"/>
        <v>0</v>
      </c>
      <c r="F103" s="1689">
        <f t="shared" si="60"/>
        <v>0</v>
      </c>
      <c r="G103" s="1480"/>
      <c r="H103" s="1769"/>
      <c r="I103" s="1480"/>
      <c r="J103" s="1959"/>
      <c r="K103" s="1480"/>
      <c r="L103" s="1769"/>
      <c r="M103" s="1480"/>
      <c r="N103" s="1769"/>
      <c r="O103" s="1796"/>
      <c r="P103" s="1769"/>
      <c r="Q103" s="1796"/>
      <c r="R103" s="1769"/>
      <c r="S103" s="1796"/>
      <c r="T103" s="1769"/>
      <c r="U103" s="1796"/>
      <c r="V103" s="1769"/>
      <c r="W103" s="1796"/>
      <c r="X103" s="1769"/>
      <c r="Y103" s="1796"/>
      <c r="Z103" s="1769"/>
      <c r="AA103" s="1796"/>
      <c r="AB103" s="1769"/>
      <c r="AC103" s="1796"/>
      <c r="AD103" s="1769"/>
      <c r="AE103" s="1796"/>
      <c r="AF103" s="1769"/>
      <c r="AG103" s="1796"/>
      <c r="AH103" s="1769"/>
      <c r="AI103" s="1796"/>
      <c r="AJ103" s="1769"/>
      <c r="AK103" s="1796"/>
      <c r="AL103" s="1769"/>
      <c r="AM103" s="1796"/>
      <c r="AN103" s="1481"/>
      <c r="AO103" s="1754"/>
      <c r="AP103" s="1541"/>
      <c r="AQ103" s="1541"/>
      <c r="AR103" s="1541"/>
      <c r="AS103" s="1541"/>
      <c r="AT103" s="1959"/>
      <c r="AU103" s="2840"/>
      <c r="AV103" s="2325"/>
      <c r="AW103" s="1796"/>
      <c r="AX103" s="1912"/>
      <c r="AY103" t="str">
        <f t="shared" si="61"/>
        <v/>
      </c>
      <c r="CA103" s="2841" t="str">
        <f t="shared" si="62"/>
        <v/>
      </c>
      <c r="CB103" s="2841" t="str">
        <f t="shared" si="63"/>
        <v/>
      </c>
      <c r="CC103" s="2841" t="str">
        <f t="shared" si="64"/>
        <v/>
      </c>
      <c r="CD103" s="2841" t="str">
        <f t="shared" si="65"/>
        <v/>
      </c>
      <c r="CE103" s="2841" t="str">
        <f t="shared" si="66"/>
        <v/>
      </c>
      <c r="CF103" s="2841" t="str">
        <f t="shared" si="67"/>
        <v/>
      </c>
      <c r="CG103" s="2841" t="str">
        <f t="shared" si="68"/>
        <v/>
      </c>
      <c r="CH103" s="2841" t="str">
        <f t="shared" si="78"/>
        <v/>
      </c>
      <c r="CI103" s="2841" t="str">
        <f t="shared" si="69"/>
        <v/>
      </c>
      <c r="CJ103" s="2890"/>
      <c r="CO103" s="2842">
        <f t="shared" si="70"/>
        <v>0</v>
      </c>
      <c r="CP103" s="2842">
        <f t="shared" si="71"/>
        <v>0</v>
      </c>
      <c r="CQ103" s="2842">
        <f t="shared" si="72"/>
        <v>0</v>
      </c>
      <c r="CR103" s="2842">
        <f t="shared" si="73"/>
        <v>0</v>
      </c>
      <c r="CS103" s="2842">
        <f t="shared" si="74"/>
        <v>0</v>
      </c>
      <c r="CT103" s="2842">
        <f t="shared" si="39"/>
        <v>0</v>
      </c>
      <c r="CU103" s="2842">
        <f t="shared" si="75"/>
        <v>0</v>
      </c>
      <c r="CV103" s="2842">
        <f t="shared" si="76"/>
        <v>0</v>
      </c>
      <c r="CW103" s="2842">
        <f t="shared" si="77"/>
        <v>0</v>
      </c>
      <c r="CX103" s="2890"/>
    </row>
    <row r="104" spans="1:102" ht="15" customHeight="1">
      <c r="A104" s="6597" t="s">
        <v>1744</v>
      </c>
      <c r="B104" s="6598"/>
      <c r="C104" s="6599"/>
      <c r="D104" s="1991">
        <f t="shared" si="82"/>
        <v>0</v>
      </c>
      <c r="E104" s="421">
        <f>SUM(Y104+AA104+AC104+AE104+AG104+AI104+AK104+AM104)</f>
        <v>0</v>
      </c>
      <c r="F104" s="1654">
        <f>SUM(Z104+AB104+AD104+AF104+AH104+AJ104+AL104+AN104)</f>
        <v>0</v>
      </c>
      <c r="G104" s="1869"/>
      <c r="H104" s="3023"/>
      <c r="I104" s="1869"/>
      <c r="J104" s="3024"/>
      <c r="K104" s="1869"/>
      <c r="L104" s="3023"/>
      <c r="M104" s="1869"/>
      <c r="N104" s="3023"/>
      <c r="O104" s="1560"/>
      <c r="P104" s="3023"/>
      <c r="Q104" s="1560"/>
      <c r="R104" s="3023"/>
      <c r="S104" s="1560"/>
      <c r="T104" s="3023"/>
      <c r="U104" s="1560"/>
      <c r="V104" s="3023"/>
      <c r="W104" s="1560"/>
      <c r="X104" s="3023"/>
      <c r="Y104" s="1441"/>
      <c r="Z104" s="1680"/>
      <c r="AA104" s="1441"/>
      <c r="AB104" s="1680"/>
      <c r="AC104" s="1441"/>
      <c r="AD104" s="1680"/>
      <c r="AE104" s="1441"/>
      <c r="AF104" s="1680"/>
      <c r="AG104" s="1441"/>
      <c r="AH104" s="1680"/>
      <c r="AI104" s="1441"/>
      <c r="AJ104" s="1680"/>
      <c r="AK104" s="1441"/>
      <c r="AL104" s="1680"/>
      <c r="AM104" s="1441"/>
      <c r="AN104" s="1444"/>
      <c r="AO104" s="2039"/>
      <c r="AP104" s="1541"/>
      <c r="AQ104" s="1541"/>
      <c r="AR104" s="1541"/>
      <c r="AS104" s="1541"/>
      <c r="AT104" s="1959"/>
      <c r="AU104" s="2840"/>
      <c r="AV104" s="2325"/>
      <c r="AW104" s="1796"/>
      <c r="AX104" s="1545"/>
      <c r="AY104" t="str">
        <f t="shared" si="61"/>
        <v/>
      </c>
      <c r="CA104" s="2890"/>
      <c r="CB104" s="2841" t="str">
        <f>IF(AND($F104&gt;0,AP104="")," * No olvide digitar la variable Gestante. Digite cero si no tiene.",IF(AP104&gt;$F104," * La variable Gestante NO DEBEN ser mayor al Total de Mujeres. ",""))</f>
        <v/>
      </c>
      <c r="CC104" s="2841" t="str">
        <f t="shared" si="64"/>
        <v/>
      </c>
      <c r="CD104" s="2841" t="str">
        <f t="shared" si="65"/>
        <v/>
      </c>
      <c r="CE104" s="2841" t="str">
        <f t="shared" si="66"/>
        <v/>
      </c>
      <c r="CF104" s="2841" t="str">
        <f t="shared" si="67"/>
        <v/>
      </c>
      <c r="CG104" s="2841" t="str">
        <f t="shared" si="68"/>
        <v/>
      </c>
      <c r="CH104" s="2841" t="str">
        <f t="shared" si="78"/>
        <v/>
      </c>
      <c r="CI104" s="2841" t="str">
        <f t="shared" si="69"/>
        <v/>
      </c>
      <c r="CJ104" s="2841" t="str">
        <f>IF(AND($D104&gt;0,AX104="")," * No olvide digitar la variable Flujo digital. Digite Cero si no tiene.",IF(AX104&gt;$D104," * La variable Flujo digital no puede ser mayor al Total Ambos Sexos.",""))</f>
        <v/>
      </c>
      <c r="CO104" s="2890"/>
      <c r="CP104" s="2842">
        <f t="shared" si="71"/>
        <v>0</v>
      </c>
      <c r="CQ104" s="2842">
        <f t="shared" si="72"/>
        <v>0</v>
      </c>
      <c r="CR104" s="2842">
        <f t="shared" si="73"/>
        <v>0</v>
      </c>
      <c r="CS104" s="2842">
        <f t="shared" si="74"/>
        <v>0</v>
      </c>
      <c r="CT104" s="2842">
        <f t="shared" si="39"/>
        <v>0</v>
      </c>
      <c r="CU104" s="2842">
        <f t="shared" si="75"/>
        <v>0</v>
      </c>
      <c r="CV104" s="2842">
        <f t="shared" si="76"/>
        <v>0</v>
      </c>
      <c r="CW104" s="2842">
        <f t="shared" si="77"/>
        <v>0</v>
      </c>
      <c r="CX104" s="2842">
        <f>IF(AND($D104&gt;0,AX104=""),1,IF(AX104&gt;$D104,1,0))</f>
        <v>0</v>
      </c>
    </row>
    <row r="105" spans="1:102" ht="15" customHeight="1">
      <c r="A105" s="6597" t="s">
        <v>1745</v>
      </c>
      <c r="B105" s="6598"/>
      <c r="C105" s="6599"/>
      <c r="D105" s="1991">
        <f t="shared" si="82"/>
        <v>0</v>
      </c>
      <c r="E105" s="421">
        <f>SUM(G105+I105+K105+M105+O105+Q105+S105+U105+W105+Y105)</f>
        <v>0</v>
      </c>
      <c r="F105" s="1654">
        <f>SUM(H105+J105+L105+N105+P105+R105+T105+V105+X105+Z105)</f>
        <v>0</v>
      </c>
      <c r="G105" s="1440"/>
      <c r="H105" s="1680"/>
      <c r="I105" s="1440"/>
      <c r="J105" s="1443"/>
      <c r="K105" s="1480"/>
      <c r="L105" s="1680"/>
      <c r="M105" s="1440"/>
      <c r="N105" s="1680"/>
      <c r="O105" s="1441"/>
      <c r="P105" s="1680"/>
      <c r="Q105" s="1441"/>
      <c r="R105" s="1680"/>
      <c r="S105" s="1441"/>
      <c r="T105" s="1680"/>
      <c r="U105" s="1441"/>
      <c r="V105" s="1680"/>
      <c r="W105" s="1441"/>
      <c r="X105" s="1680"/>
      <c r="Y105" s="1441"/>
      <c r="Z105" s="1680"/>
      <c r="AA105" s="1560"/>
      <c r="AB105" s="3023"/>
      <c r="AC105" s="1560"/>
      <c r="AD105" s="3023"/>
      <c r="AE105" s="1560"/>
      <c r="AF105" s="3023"/>
      <c r="AG105" s="1560"/>
      <c r="AH105" s="3023"/>
      <c r="AI105" s="1560"/>
      <c r="AJ105" s="3023"/>
      <c r="AK105" s="1560"/>
      <c r="AL105" s="3023"/>
      <c r="AM105" s="1560"/>
      <c r="AN105" s="1514"/>
      <c r="AO105" s="1709"/>
      <c r="AP105" s="1442"/>
      <c r="AQ105" s="1442"/>
      <c r="AR105" s="1513"/>
      <c r="AS105" s="1442"/>
      <c r="AT105" s="1443"/>
      <c r="AU105" s="2281"/>
      <c r="AV105" s="2117"/>
      <c r="AW105" s="1441"/>
      <c r="AX105" s="1870"/>
      <c r="AY105" t="str">
        <f t="shared" si="61"/>
        <v/>
      </c>
      <c r="CA105" s="2841" t="str">
        <f t="shared" ref="CA105:CA142" si="83">IF(AND((W105+X105)&gt;0,AO105="")," * No olvide digitar la variable 12 años (incluido en el grupo de 10-14 años). Digite Cero si no tiene.",IF(AO105&gt;(W105+X105),"* Las Consultas de 12 años (incluido en el grupo de 10-14 años) NO DEBEN ser mayor que el total de Consultas entre 10-14 años",""))</f>
        <v/>
      </c>
      <c r="CB105" s="2841" t="str">
        <f t="shared" si="63"/>
        <v/>
      </c>
      <c r="CC105" s="2841" t="str">
        <f t="shared" si="64"/>
        <v/>
      </c>
      <c r="CD105" s="2890"/>
      <c r="CE105" s="2841" t="str">
        <f t="shared" si="66"/>
        <v/>
      </c>
      <c r="CF105" s="2841" t="str">
        <f t="shared" si="67"/>
        <v/>
      </c>
      <c r="CG105" s="2841" t="str">
        <f t="shared" si="68"/>
        <v/>
      </c>
      <c r="CH105" s="2841" t="str">
        <f t="shared" si="78"/>
        <v/>
      </c>
      <c r="CI105" s="2841" t="str">
        <f t="shared" si="69"/>
        <v/>
      </c>
      <c r="CJ105" s="2890"/>
      <c r="CO105" s="2842">
        <f t="shared" ref="CO105:CO126" si="84">IF(AND($D105&gt;0,AO105=""),1,IF(AO105&gt;D105,1,0))</f>
        <v>0</v>
      </c>
      <c r="CP105" s="2842">
        <f t="shared" si="71"/>
        <v>0</v>
      </c>
      <c r="CQ105" s="2842">
        <f t="shared" si="72"/>
        <v>0</v>
      </c>
      <c r="CR105" s="2890"/>
      <c r="CS105" s="2842">
        <f t="shared" si="74"/>
        <v>0</v>
      </c>
      <c r="CT105" s="2842">
        <f t="shared" si="39"/>
        <v>0</v>
      </c>
      <c r="CU105" s="2842">
        <f t="shared" si="75"/>
        <v>0</v>
      </c>
      <c r="CV105" s="2842">
        <f t="shared" si="76"/>
        <v>0</v>
      </c>
      <c r="CW105" s="2842">
        <f t="shared" si="77"/>
        <v>0</v>
      </c>
      <c r="CX105" s="2890"/>
    </row>
    <row r="106" spans="1:102" ht="15" customHeight="1">
      <c r="A106" s="6597" t="s">
        <v>1746</v>
      </c>
      <c r="B106" s="6598"/>
      <c r="C106" s="6599"/>
      <c r="D106" s="1991">
        <f t="shared" si="82"/>
        <v>0</v>
      </c>
      <c r="E106" s="421">
        <f t="shared" ref="E106:F109" si="85">SUM(G106+I106+K106+M106+O106+Q106+S106+U106+W106+Y106+AA106+AC106+AE106+AG106+AI106+AK106+AM106)</f>
        <v>0</v>
      </c>
      <c r="F106" s="1654">
        <f t="shared" si="85"/>
        <v>0</v>
      </c>
      <c r="G106" s="1440"/>
      <c r="H106" s="1680"/>
      <c r="I106" s="1440"/>
      <c r="J106" s="1443"/>
      <c r="K106" s="1480"/>
      <c r="L106" s="1680"/>
      <c r="M106" s="1440"/>
      <c r="N106" s="1680"/>
      <c r="O106" s="1441"/>
      <c r="P106" s="1680"/>
      <c r="Q106" s="1441"/>
      <c r="R106" s="1680"/>
      <c r="S106" s="1441"/>
      <c r="T106" s="1680"/>
      <c r="U106" s="1441"/>
      <c r="V106" s="1680"/>
      <c r="W106" s="1441"/>
      <c r="X106" s="1680"/>
      <c r="Y106" s="1441"/>
      <c r="Z106" s="1680"/>
      <c r="AA106" s="1441"/>
      <c r="AB106" s="1680"/>
      <c r="AC106" s="1441"/>
      <c r="AD106" s="1680"/>
      <c r="AE106" s="1441"/>
      <c r="AF106" s="1680"/>
      <c r="AG106" s="1441"/>
      <c r="AH106" s="1680"/>
      <c r="AI106" s="1441"/>
      <c r="AJ106" s="1680"/>
      <c r="AK106" s="1441"/>
      <c r="AL106" s="1680"/>
      <c r="AM106" s="1441"/>
      <c r="AN106" s="1444"/>
      <c r="AO106" s="1709"/>
      <c r="AP106" s="1442"/>
      <c r="AQ106" s="1442"/>
      <c r="AR106" s="1541"/>
      <c r="AS106" s="1442"/>
      <c r="AT106" s="1443"/>
      <c r="AU106" s="2281"/>
      <c r="AV106" s="2117"/>
      <c r="AW106" s="1441"/>
      <c r="AX106" s="1870"/>
      <c r="AY106" t="str">
        <f t="shared" si="61"/>
        <v/>
      </c>
      <c r="CA106" s="2841" t="str">
        <f t="shared" si="83"/>
        <v/>
      </c>
      <c r="CB106" s="2841" t="str">
        <f t="shared" si="63"/>
        <v/>
      </c>
      <c r="CC106" s="2841" t="str">
        <f t="shared" si="64"/>
        <v/>
      </c>
      <c r="CD106" s="2841" t="str">
        <f t="shared" si="65"/>
        <v/>
      </c>
      <c r="CE106" s="2841" t="str">
        <f t="shared" si="66"/>
        <v/>
      </c>
      <c r="CF106" s="2841" t="str">
        <f t="shared" si="67"/>
        <v/>
      </c>
      <c r="CG106" s="2841" t="str">
        <f t="shared" si="68"/>
        <v/>
      </c>
      <c r="CH106" s="2841" t="str">
        <f t="shared" si="78"/>
        <v/>
      </c>
      <c r="CI106" s="2841" t="str">
        <f t="shared" si="69"/>
        <v/>
      </c>
      <c r="CJ106" s="2890"/>
      <c r="CO106" s="2842">
        <f t="shared" si="84"/>
        <v>0</v>
      </c>
      <c r="CP106" s="2842">
        <f t="shared" si="71"/>
        <v>0</v>
      </c>
      <c r="CQ106" s="2842">
        <f t="shared" si="72"/>
        <v>0</v>
      </c>
      <c r="CR106" s="2842">
        <f t="shared" ref="CR106:CR142" si="86">IF(AND(AI106+AJ106&gt;0,AR106=""),1,IF(AR106&gt;AI106+AJ106,1,0))</f>
        <v>0</v>
      </c>
      <c r="CS106" s="2842">
        <f t="shared" si="74"/>
        <v>0</v>
      </c>
      <c r="CT106" s="2842">
        <f t="shared" si="39"/>
        <v>0</v>
      </c>
      <c r="CU106" s="2842">
        <f t="shared" si="75"/>
        <v>0</v>
      </c>
      <c r="CV106" s="2842">
        <f t="shared" si="76"/>
        <v>0</v>
      </c>
      <c r="CW106" s="2842">
        <f t="shared" si="77"/>
        <v>0</v>
      </c>
      <c r="CX106" s="2890"/>
    </row>
    <row r="107" spans="1:102" ht="15" customHeight="1">
      <c r="A107" s="6597" t="s">
        <v>1747</v>
      </c>
      <c r="B107" s="6598"/>
      <c r="C107" s="6599"/>
      <c r="D107" s="1991">
        <f t="shared" si="82"/>
        <v>0</v>
      </c>
      <c r="E107" s="421">
        <f t="shared" si="85"/>
        <v>0</v>
      </c>
      <c r="F107" s="1654">
        <f t="shared" si="85"/>
        <v>0</v>
      </c>
      <c r="G107" s="1440"/>
      <c r="H107" s="1680"/>
      <c r="I107" s="1440"/>
      <c r="J107" s="1443"/>
      <c r="K107" s="1480"/>
      <c r="L107" s="1680"/>
      <c r="M107" s="1440"/>
      <c r="N107" s="1680"/>
      <c r="O107" s="1441"/>
      <c r="P107" s="1680"/>
      <c r="Q107" s="1441"/>
      <c r="R107" s="1680"/>
      <c r="S107" s="1441"/>
      <c r="T107" s="1680"/>
      <c r="U107" s="1441"/>
      <c r="V107" s="1680"/>
      <c r="W107" s="1441"/>
      <c r="X107" s="1680"/>
      <c r="Y107" s="1441"/>
      <c r="Z107" s="1680"/>
      <c r="AA107" s="1441"/>
      <c r="AB107" s="1680"/>
      <c r="AC107" s="1441"/>
      <c r="AD107" s="1680"/>
      <c r="AE107" s="1441"/>
      <c r="AF107" s="1680"/>
      <c r="AG107" s="1441"/>
      <c r="AH107" s="1680"/>
      <c r="AI107" s="1441"/>
      <c r="AJ107" s="1680"/>
      <c r="AK107" s="1441"/>
      <c r="AL107" s="1680"/>
      <c r="AM107" s="1441"/>
      <c r="AN107" s="1444"/>
      <c r="AO107" s="1709"/>
      <c r="AP107" s="1442"/>
      <c r="AQ107" s="1442"/>
      <c r="AR107" s="1541"/>
      <c r="AS107" s="1442"/>
      <c r="AT107" s="1443"/>
      <c r="AU107" s="2281"/>
      <c r="AV107" s="2117"/>
      <c r="AW107" s="1441"/>
      <c r="AX107" s="1870"/>
      <c r="AY107" t="str">
        <f t="shared" si="61"/>
        <v/>
      </c>
      <c r="CA107" s="2841" t="str">
        <f t="shared" si="83"/>
        <v/>
      </c>
      <c r="CB107" s="2841" t="str">
        <f t="shared" si="63"/>
        <v/>
      </c>
      <c r="CC107" s="2841" t="str">
        <f t="shared" si="64"/>
        <v/>
      </c>
      <c r="CD107" s="2841" t="str">
        <f t="shared" si="65"/>
        <v/>
      </c>
      <c r="CE107" s="2841" t="str">
        <f t="shared" si="66"/>
        <v/>
      </c>
      <c r="CF107" s="2841" t="str">
        <f t="shared" si="67"/>
        <v/>
      </c>
      <c r="CG107" s="2841" t="str">
        <f t="shared" si="68"/>
        <v/>
      </c>
      <c r="CH107" s="2841" t="str">
        <f t="shared" si="78"/>
        <v/>
      </c>
      <c r="CI107" s="2841" t="str">
        <f t="shared" si="69"/>
        <v/>
      </c>
      <c r="CJ107" s="2890"/>
      <c r="CO107" s="2842">
        <f t="shared" si="84"/>
        <v>0</v>
      </c>
      <c r="CP107" s="2842">
        <f t="shared" si="71"/>
        <v>0</v>
      </c>
      <c r="CQ107" s="2842">
        <f t="shared" si="72"/>
        <v>0</v>
      </c>
      <c r="CR107" s="2842">
        <f t="shared" si="86"/>
        <v>0</v>
      </c>
      <c r="CS107" s="2842">
        <f t="shared" si="74"/>
        <v>0</v>
      </c>
      <c r="CT107" s="2842">
        <f t="shared" si="39"/>
        <v>0</v>
      </c>
      <c r="CU107" s="2842">
        <f t="shared" si="75"/>
        <v>0</v>
      </c>
      <c r="CV107" s="2842">
        <f t="shared" si="76"/>
        <v>0</v>
      </c>
      <c r="CW107" s="2842">
        <f t="shared" si="77"/>
        <v>0</v>
      </c>
      <c r="CX107" s="2890"/>
    </row>
    <row r="108" spans="1:102" ht="15" customHeight="1">
      <c r="A108" s="6597" t="s">
        <v>1748</v>
      </c>
      <c r="B108" s="6598"/>
      <c r="C108" s="6599"/>
      <c r="D108" s="1991">
        <f t="shared" si="82"/>
        <v>0</v>
      </c>
      <c r="E108" s="421">
        <f t="shared" si="85"/>
        <v>0</v>
      </c>
      <c r="F108" s="1654">
        <f t="shared" si="85"/>
        <v>0</v>
      </c>
      <c r="G108" s="1440"/>
      <c r="H108" s="1680"/>
      <c r="I108" s="1440"/>
      <c r="J108" s="1443"/>
      <c r="K108" s="1440"/>
      <c r="L108" s="1680"/>
      <c r="M108" s="1440"/>
      <c r="N108" s="1680"/>
      <c r="O108" s="1441"/>
      <c r="P108" s="1680"/>
      <c r="Q108" s="1441"/>
      <c r="R108" s="1680"/>
      <c r="S108" s="1441"/>
      <c r="T108" s="1680"/>
      <c r="U108" s="1441"/>
      <c r="V108" s="1680"/>
      <c r="W108" s="1441"/>
      <c r="X108" s="1680"/>
      <c r="Y108" s="1441"/>
      <c r="Z108" s="1680"/>
      <c r="AA108" s="1441"/>
      <c r="AB108" s="1680"/>
      <c r="AC108" s="1441"/>
      <c r="AD108" s="1680"/>
      <c r="AE108" s="1441"/>
      <c r="AF108" s="1680"/>
      <c r="AG108" s="1441"/>
      <c r="AH108" s="1680"/>
      <c r="AI108" s="1441"/>
      <c r="AJ108" s="1680"/>
      <c r="AK108" s="1441"/>
      <c r="AL108" s="1680"/>
      <c r="AM108" s="1441"/>
      <c r="AN108" s="1444"/>
      <c r="AO108" s="1709"/>
      <c r="AP108" s="1442"/>
      <c r="AQ108" s="1442"/>
      <c r="AR108" s="1541"/>
      <c r="AS108" s="1442"/>
      <c r="AT108" s="1443"/>
      <c r="AU108" s="2281"/>
      <c r="AV108" s="2117"/>
      <c r="AW108" s="1441"/>
      <c r="AX108" s="1870"/>
      <c r="AY108" t="str">
        <f t="shared" si="61"/>
        <v/>
      </c>
      <c r="CA108" s="2841" t="str">
        <f t="shared" si="83"/>
        <v/>
      </c>
      <c r="CB108" s="2841" t="str">
        <f t="shared" si="63"/>
        <v/>
      </c>
      <c r="CC108" s="2841" t="str">
        <f t="shared" si="64"/>
        <v/>
      </c>
      <c r="CD108" s="2841" t="str">
        <f t="shared" si="65"/>
        <v/>
      </c>
      <c r="CE108" s="2841" t="str">
        <f t="shared" si="66"/>
        <v/>
      </c>
      <c r="CF108" s="2841" t="str">
        <f t="shared" si="67"/>
        <v/>
      </c>
      <c r="CG108" s="2841" t="str">
        <f t="shared" si="68"/>
        <v/>
      </c>
      <c r="CH108" s="2841" t="str">
        <f t="shared" si="78"/>
        <v/>
      </c>
      <c r="CI108" s="2841" t="str">
        <f t="shared" si="69"/>
        <v/>
      </c>
      <c r="CJ108" s="2890"/>
      <c r="CO108" s="2842">
        <f t="shared" si="84"/>
        <v>0</v>
      </c>
      <c r="CP108" s="2842">
        <f t="shared" si="71"/>
        <v>0</v>
      </c>
      <c r="CQ108" s="2842">
        <f t="shared" si="72"/>
        <v>0</v>
      </c>
      <c r="CR108" s="2842">
        <f t="shared" si="86"/>
        <v>0</v>
      </c>
      <c r="CS108" s="2842">
        <f t="shared" si="74"/>
        <v>0</v>
      </c>
      <c r="CT108" s="2842">
        <f t="shared" ref="CT108:CT122" si="87">IF(AND($D108&gt;0,AV108=""),1,IF(AV108&gt;$D108,1,0))</f>
        <v>0</v>
      </c>
      <c r="CU108" s="2842">
        <f t="shared" si="75"/>
        <v>0</v>
      </c>
      <c r="CV108" s="2842">
        <f t="shared" si="76"/>
        <v>0</v>
      </c>
      <c r="CW108" s="2842">
        <f t="shared" si="77"/>
        <v>0</v>
      </c>
      <c r="CX108" s="2890"/>
    </row>
    <row r="109" spans="1:102" ht="15" customHeight="1">
      <c r="A109" s="6597" t="s">
        <v>1749</v>
      </c>
      <c r="B109" s="6598"/>
      <c r="C109" s="6599"/>
      <c r="D109" s="1991">
        <f t="shared" si="82"/>
        <v>0</v>
      </c>
      <c r="E109" s="421">
        <f t="shared" si="85"/>
        <v>0</v>
      </c>
      <c r="F109" s="1654">
        <f t="shared" si="85"/>
        <v>0</v>
      </c>
      <c r="G109" s="1440"/>
      <c r="H109" s="1680"/>
      <c r="I109" s="1440"/>
      <c r="J109" s="1443"/>
      <c r="K109" s="1440"/>
      <c r="L109" s="1680"/>
      <c r="M109" s="1440"/>
      <c r="N109" s="1680"/>
      <c r="O109" s="1441"/>
      <c r="P109" s="1680"/>
      <c r="Q109" s="1441"/>
      <c r="R109" s="1680"/>
      <c r="S109" s="1441"/>
      <c r="T109" s="1680"/>
      <c r="U109" s="1441"/>
      <c r="V109" s="1680"/>
      <c r="W109" s="1441"/>
      <c r="X109" s="1680"/>
      <c r="Y109" s="1441"/>
      <c r="Z109" s="1680"/>
      <c r="AA109" s="1441"/>
      <c r="AB109" s="1680"/>
      <c r="AC109" s="1441"/>
      <c r="AD109" s="1680"/>
      <c r="AE109" s="1441"/>
      <c r="AF109" s="1680"/>
      <c r="AG109" s="1441"/>
      <c r="AH109" s="1680"/>
      <c r="AI109" s="1441"/>
      <c r="AJ109" s="1680"/>
      <c r="AK109" s="1441"/>
      <c r="AL109" s="1680"/>
      <c r="AM109" s="1441"/>
      <c r="AN109" s="1444"/>
      <c r="AO109" s="1709"/>
      <c r="AP109" s="1442"/>
      <c r="AQ109" s="1442"/>
      <c r="AR109" s="1541"/>
      <c r="AS109" s="1442"/>
      <c r="AT109" s="1443"/>
      <c r="AU109" s="2281"/>
      <c r="AV109" s="2117"/>
      <c r="AW109" s="1441"/>
      <c r="AX109" s="1870"/>
      <c r="AY109" t="str">
        <f t="shared" si="61"/>
        <v/>
      </c>
      <c r="CA109" s="2841" t="str">
        <f t="shared" si="83"/>
        <v/>
      </c>
      <c r="CB109" s="2841" t="str">
        <f t="shared" si="63"/>
        <v/>
      </c>
      <c r="CC109" s="2841" t="str">
        <f t="shared" si="64"/>
        <v/>
      </c>
      <c r="CD109" s="2841" t="str">
        <f t="shared" si="65"/>
        <v/>
      </c>
      <c r="CE109" s="2841" t="str">
        <f t="shared" si="66"/>
        <v/>
      </c>
      <c r="CF109" s="2841" t="str">
        <f t="shared" si="67"/>
        <v/>
      </c>
      <c r="CG109" s="2841" t="str">
        <f t="shared" si="68"/>
        <v/>
      </c>
      <c r="CH109" s="2841" t="str">
        <f t="shared" si="78"/>
        <v/>
      </c>
      <c r="CI109" s="2841" t="str">
        <f t="shared" si="69"/>
        <v/>
      </c>
      <c r="CJ109" s="2890"/>
      <c r="CO109" s="2842">
        <f t="shared" si="84"/>
        <v>0</v>
      </c>
      <c r="CP109" s="2842">
        <f t="shared" si="71"/>
        <v>0</v>
      </c>
      <c r="CQ109" s="2842">
        <f t="shared" si="72"/>
        <v>0</v>
      </c>
      <c r="CR109" s="2842">
        <f t="shared" si="86"/>
        <v>0</v>
      </c>
      <c r="CS109" s="2842">
        <f t="shared" si="74"/>
        <v>0</v>
      </c>
      <c r="CT109" s="2842">
        <f t="shared" si="87"/>
        <v>0</v>
      </c>
      <c r="CU109" s="2842">
        <f t="shared" si="75"/>
        <v>0</v>
      </c>
      <c r="CV109" s="2842">
        <f t="shared" si="76"/>
        <v>0</v>
      </c>
      <c r="CW109" s="2842">
        <f t="shared" si="77"/>
        <v>0</v>
      </c>
      <c r="CX109" s="2890"/>
    </row>
    <row r="110" spans="1:102" ht="15" customHeight="1">
      <c r="A110" s="6597" t="s">
        <v>1750</v>
      </c>
      <c r="B110" s="6598"/>
      <c r="C110" s="6599"/>
      <c r="D110" s="1991">
        <f t="shared" si="82"/>
        <v>0</v>
      </c>
      <c r="E110" s="421">
        <f t="shared" ref="E110:E114" si="88">SUM(Q110+S110+U110+W110+Y110+AA110+AC110+AE110+AG110+AI110+AK110+AM110)</f>
        <v>0</v>
      </c>
      <c r="F110" s="1654">
        <f t="shared" ref="F110:F114" si="89">SUM(R110+T110+V110+X110+Z110+AB110+AD110+AF110+AH110+AJ110+AL110+AN110)</f>
        <v>0</v>
      </c>
      <c r="G110" s="1763"/>
      <c r="H110" s="2205"/>
      <c r="I110" s="1763"/>
      <c r="J110" s="3025"/>
      <c r="K110" s="1763"/>
      <c r="L110" s="2205"/>
      <c r="M110" s="1763"/>
      <c r="N110" s="2205"/>
      <c r="O110" s="1833"/>
      <c r="P110" s="2205"/>
      <c r="Q110" s="1441"/>
      <c r="R110" s="1680"/>
      <c r="S110" s="1441"/>
      <c r="T110" s="1680"/>
      <c r="U110" s="1441"/>
      <c r="V110" s="1680"/>
      <c r="W110" s="1441"/>
      <c r="X110" s="1680"/>
      <c r="Y110" s="1441"/>
      <c r="Z110" s="1680"/>
      <c r="AA110" s="1441"/>
      <c r="AB110" s="1680"/>
      <c r="AC110" s="1441"/>
      <c r="AD110" s="1680"/>
      <c r="AE110" s="1441"/>
      <c r="AF110" s="1680"/>
      <c r="AG110" s="1441"/>
      <c r="AH110" s="1680"/>
      <c r="AI110" s="1441"/>
      <c r="AJ110" s="1680"/>
      <c r="AK110" s="1441"/>
      <c r="AL110" s="1680"/>
      <c r="AM110" s="1441"/>
      <c r="AN110" s="1444"/>
      <c r="AO110" s="1709"/>
      <c r="AP110" s="1442"/>
      <c r="AQ110" s="1442"/>
      <c r="AR110" s="1442"/>
      <c r="AS110" s="1442"/>
      <c r="AT110" s="1443"/>
      <c r="AU110" s="2281"/>
      <c r="AV110" s="2117"/>
      <c r="AW110" s="1441"/>
      <c r="AX110" s="1870"/>
      <c r="AY110" t="str">
        <f t="shared" si="61"/>
        <v/>
      </c>
      <c r="CA110" s="2841" t="str">
        <f t="shared" si="83"/>
        <v/>
      </c>
      <c r="CB110" s="2841" t="str">
        <f t="shared" si="63"/>
        <v/>
      </c>
      <c r="CC110" s="2841" t="str">
        <f t="shared" si="64"/>
        <v/>
      </c>
      <c r="CD110" s="2841" t="str">
        <f>IF(AND((AI110+AJ110)&gt;0,AR110="")," * No olvide digitar la variable 60 años (incluido en grupos de 60-64 años). Digite Cero si no tiene.",IF(AR110&gt;(AI110+AJ110)," * La variable 60 años (incluido en grupos de 60-64 años) NO DEBE ser mayor que el Total de consultas del grupo 60-64 años",""))</f>
        <v/>
      </c>
      <c r="CE110" s="2841" t="str">
        <f t="shared" si="66"/>
        <v/>
      </c>
      <c r="CF110" s="2841" t="str">
        <f t="shared" si="67"/>
        <v/>
      </c>
      <c r="CG110" s="2841" t="str">
        <f t="shared" si="68"/>
        <v/>
      </c>
      <c r="CH110" s="2841" t="str">
        <f t="shared" si="78"/>
        <v/>
      </c>
      <c r="CI110" s="2841" t="str">
        <f t="shared" si="69"/>
        <v/>
      </c>
      <c r="CJ110" s="2890"/>
      <c r="CO110" s="2842">
        <f t="shared" si="84"/>
        <v>0</v>
      </c>
      <c r="CP110" s="2842">
        <f t="shared" si="71"/>
        <v>0</v>
      </c>
      <c r="CQ110" s="2842">
        <f t="shared" si="72"/>
        <v>0</v>
      </c>
      <c r="CR110" s="2842">
        <f t="shared" si="86"/>
        <v>0</v>
      </c>
      <c r="CS110" s="2842">
        <f t="shared" si="74"/>
        <v>0</v>
      </c>
      <c r="CT110" s="2842">
        <f t="shared" si="87"/>
        <v>0</v>
      </c>
      <c r="CU110" s="2842">
        <f t="shared" si="75"/>
        <v>0</v>
      </c>
      <c r="CV110" s="2842">
        <f t="shared" si="76"/>
        <v>0</v>
      </c>
      <c r="CW110" s="2842">
        <f t="shared" si="77"/>
        <v>0</v>
      </c>
      <c r="CX110" s="2890"/>
    </row>
    <row r="111" spans="1:102" ht="15" customHeight="1">
      <c r="A111" s="6597" t="s">
        <v>1751</v>
      </c>
      <c r="B111" s="6598"/>
      <c r="C111" s="6599"/>
      <c r="D111" s="1991">
        <f t="shared" si="82"/>
        <v>0</v>
      </c>
      <c r="E111" s="421">
        <f t="shared" si="88"/>
        <v>0</v>
      </c>
      <c r="F111" s="1654">
        <f t="shared" si="89"/>
        <v>0</v>
      </c>
      <c r="G111" s="1763"/>
      <c r="H111" s="2205"/>
      <c r="I111" s="1763"/>
      <c r="J111" s="3025"/>
      <c r="K111" s="1763"/>
      <c r="L111" s="2205"/>
      <c r="M111" s="1763"/>
      <c r="N111" s="2205"/>
      <c r="O111" s="1833"/>
      <c r="P111" s="2205"/>
      <c r="Q111" s="1441"/>
      <c r="R111" s="1680"/>
      <c r="S111" s="1441"/>
      <c r="T111" s="1680"/>
      <c r="U111" s="1441"/>
      <c r="V111" s="1680"/>
      <c r="W111" s="1441"/>
      <c r="X111" s="1680"/>
      <c r="Y111" s="1441"/>
      <c r="Z111" s="1680"/>
      <c r="AA111" s="1441"/>
      <c r="AB111" s="1680"/>
      <c r="AC111" s="1441"/>
      <c r="AD111" s="1680"/>
      <c r="AE111" s="1441"/>
      <c r="AF111" s="1680"/>
      <c r="AG111" s="1441"/>
      <c r="AH111" s="1680"/>
      <c r="AI111" s="1441"/>
      <c r="AJ111" s="1680"/>
      <c r="AK111" s="1441"/>
      <c r="AL111" s="1680"/>
      <c r="AM111" s="1441"/>
      <c r="AN111" s="1444"/>
      <c r="AO111" s="1709"/>
      <c r="AP111" s="1442"/>
      <c r="AQ111" s="1442"/>
      <c r="AR111" s="1442"/>
      <c r="AS111" s="1442"/>
      <c r="AT111" s="1443"/>
      <c r="AU111" s="2281"/>
      <c r="AV111" s="2117"/>
      <c r="AW111" s="1441"/>
      <c r="AX111" s="1870"/>
      <c r="AY111" t="str">
        <f t="shared" si="61"/>
        <v/>
      </c>
      <c r="CA111" s="2841" t="str">
        <f t="shared" si="83"/>
        <v/>
      </c>
      <c r="CB111" s="2841" t="str">
        <f t="shared" si="63"/>
        <v/>
      </c>
      <c r="CC111" s="2841" t="str">
        <f t="shared" si="64"/>
        <v/>
      </c>
      <c r="CD111" s="2841" t="str">
        <f t="shared" si="65"/>
        <v/>
      </c>
      <c r="CE111" s="2841" t="str">
        <f t="shared" si="66"/>
        <v/>
      </c>
      <c r="CF111" s="2841" t="str">
        <f t="shared" si="67"/>
        <v/>
      </c>
      <c r="CG111" s="2841" t="str">
        <f t="shared" si="68"/>
        <v/>
      </c>
      <c r="CH111" s="2841" t="str">
        <f t="shared" si="78"/>
        <v/>
      </c>
      <c r="CI111" s="2841" t="str">
        <f t="shared" si="69"/>
        <v/>
      </c>
      <c r="CJ111" s="2890"/>
      <c r="CO111" s="2842">
        <f t="shared" si="84"/>
        <v>0</v>
      </c>
      <c r="CP111" s="2842">
        <f t="shared" si="71"/>
        <v>0</v>
      </c>
      <c r="CQ111" s="2842">
        <f t="shared" si="72"/>
        <v>0</v>
      </c>
      <c r="CR111" s="2842">
        <f t="shared" si="86"/>
        <v>0</v>
      </c>
      <c r="CS111" s="2842">
        <f t="shared" si="74"/>
        <v>0</v>
      </c>
      <c r="CT111" s="2842">
        <f t="shared" si="87"/>
        <v>0</v>
      </c>
      <c r="CU111" s="2842">
        <f t="shared" si="75"/>
        <v>0</v>
      </c>
      <c r="CV111" s="2842">
        <f t="shared" si="76"/>
        <v>0</v>
      </c>
      <c r="CW111" s="2842">
        <f t="shared" si="77"/>
        <v>0</v>
      </c>
      <c r="CX111" s="2890"/>
    </row>
    <row r="112" spans="1:102" ht="15" customHeight="1">
      <c r="A112" s="6597" t="s">
        <v>1752</v>
      </c>
      <c r="B112" s="6598"/>
      <c r="C112" s="6599"/>
      <c r="D112" s="1991">
        <f t="shared" si="82"/>
        <v>0</v>
      </c>
      <c r="E112" s="421">
        <f t="shared" si="88"/>
        <v>0</v>
      </c>
      <c r="F112" s="1654">
        <f t="shared" si="89"/>
        <v>0</v>
      </c>
      <c r="G112" s="1763"/>
      <c r="H112" s="2205"/>
      <c r="I112" s="1763"/>
      <c r="J112" s="3025"/>
      <c r="K112" s="1763"/>
      <c r="L112" s="2205"/>
      <c r="M112" s="1763"/>
      <c r="N112" s="2205"/>
      <c r="O112" s="1833"/>
      <c r="P112" s="2205"/>
      <c r="Q112" s="1441"/>
      <c r="R112" s="1680"/>
      <c r="S112" s="1441"/>
      <c r="T112" s="1680"/>
      <c r="U112" s="1441"/>
      <c r="V112" s="1680"/>
      <c r="W112" s="1441"/>
      <c r="X112" s="1680"/>
      <c r="Y112" s="1441"/>
      <c r="Z112" s="1680"/>
      <c r="AA112" s="1441"/>
      <c r="AB112" s="1680"/>
      <c r="AC112" s="1441"/>
      <c r="AD112" s="1680"/>
      <c r="AE112" s="1441"/>
      <c r="AF112" s="1680"/>
      <c r="AG112" s="1441"/>
      <c r="AH112" s="1680"/>
      <c r="AI112" s="1441"/>
      <c r="AJ112" s="1680"/>
      <c r="AK112" s="1441"/>
      <c r="AL112" s="1680"/>
      <c r="AM112" s="1441"/>
      <c r="AN112" s="1444"/>
      <c r="AO112" s="1709"/>
      <c r="AP112" s="1442"/>
      <c r="AQ112" s="1442"/>
      <c r="AR112" s="1442"/>
      <c r="AS112" s="1442"/>
      <c r="AT112" s="1443"/>
      <c r="AU112" s="2281"/>
      <c r="AV112" s="2117"/>
      <c r="AW112" s="1441"/>
      <c r="AX112" s="1870"/>
      <c r="AY112" t="str">
        <f t="shared" si="61"/>
        <v/>
      </c>
      <c r="CA112" s="2841" t="str">
        <f t="shared" si="83"/>
        <v/>
      </c>
      <c r="CB112" s="2841" t="str">
        <f t="shared" si="63"/>
        <v/>
      </c>
      <c r="CC112" s="2841" t="str">
        <f t="shared" si="64"/>
        <v/>
      </c>
      <c r="CD112" s="2841" t="str">
        <f t="shared" si="65"/>
        <v/>
      </c>
      <c r="CE112" s="2841" t="str">
        <f t="shared" si="66"/>
        <v/>
      </c>
      <c r="CF112" s="2841" t="str">
        <f t="shared" si="67"/>
        <v/>
      </c>
      <c r="CG112" s="2841" t="str">
        <f t="shared" si="68"/>
        <v/>
      </c>
      <c r="CH112" s="2841" t="str">
        <f t="shared" si="78"/>
        <v/>
      </c>
      <c r="CI112" s="2841" t="str">
        <f t="shared" si="69"/>
        <v/>
      </c>
      <c r="CJ112" s="2890"/>
      <c r="CO112" s="2842">
        <f t="shared" si="84"/>
        <v>0</v>
      </c>
      <c r="CP112" s="2842">
        <f t="shared" si="71"/>
        <v>0</v>
      </c>
      <c r="CQ112" s="2842">
        <f t="shared" si="72"/>
        <v>0</v>
      </c>
      <c r="CR112" s="2842">
        <f t="shared" si="86"/>
        <v>0</v>
      </c>
      <c r="CS112" s="2842">
        <f t="shared" si="74"/>
        <v>0</v>
      </c>
      <c r="CT112" s="2842">
        <f t="shared" si="87"/>
        <v>0</v>
      </c>
      <c r="CU112" s="2842">
        <f t="shared" si="75"/>
        <v>0</v>
      </c>
      <c r="CV112" s="2842">
        <f t="shared" si="76"/>
        <v>0</v>
      </c>
      <c r="CW112" s="2842">
        <f t="shared" si="77"/>
        <v>0</v>
      </c>
      <c r="CX112" s="2890"/>
    </row>
    <row r="113" spans="1:102" ht="15" customHeight="1">
      <c r="A113" s="6597" t="s">
        <v>1753</v>
      </c>
      <c r="B113" s="6598"/>
      <c r="C113" s="6599"/>
      <c r="D113" s="1991">
        <f t="shared" si="82"/>
        <v>0</v>
      </c>
      <c r="E113" s="421">
        <f t="shared" si="88"/>
        <v>0</v>
      </c>
      <c r="F113" s="1654">
        <f t="shared" si="89"/>
        <v>0</v>
      </c>
      <c r="G113" s="1869"/>
      <c r="H113" s="3023"/>
      <c r="I113" s="1869"/>
      <c r="J113" s="3024"/>
      <c r="K113" s="1869"/>
      <c r="L113" s="3023"/>
      <c r="M113" s="1869"/>
      <c r="N113" s="3023"/>
      <c r="O113" s="1560"/>
      <c r="P113" s="3023"/>
      <c r="Q113" s="1441"/>
      <c r="R113" s="1680"/>
      <c r="S113" s="1441"/>
      <c r="T113" s="1680"/>
      <c r="U113" s="1441"/>
      <c r="V113" s="1680"/>
      <c r="W113" s="1441"/>
      <c r="X113" s="1680"/>
      <c r="Y113" s="1441"/>
      <c r="Z113" s="1680"/>
      <c r="AA113" s="1560"/>
      <c r="AB113" s="3023"/>
      <c r="AC113" s="1560"/>
      <c r="AD113" s="3023"/>
      <c r="AE113" s="1560"/>
      <c r="AF113" s="3023"/>
      <c r="AG113" s="1560"/>
      <c r="AH113" s="3023"/>
      <c r="AI113" s="1560"/>
      <c r="AJ113" s="3023"/>
      <c r="AK113" s="1560"/>
      <c r="AL113" s="3023"/>
      <c r="AM113" s="1560"/>
      <c r="AN113" s="1514"/>
      <c r="AO113" s="1709"/>
      <c r="AP113" s="1442"/>
      <c r="AQ113" s="1442"/>
      <c r="AR113" s="1513"/>
      <c r="AS113" s="1442"/>
      <c r="AT113" s="1443"/>
      <c r="AU113" s="2281"/>
      <c r="AV113" s="2117"/>
      <c r="AW113" s="1441"/>
      <c r="AX113" s="1870"/>
      <c r="AY113" t="str">
        <f t="shared" si="61"/>
        <v/>
      </c>
      <c r="CA113" s="2841" t="str">
        <f t="shared" si="83"/>
        <v/>
      </c>
      <c r="CB113" s="2841" t="str">
        <f t="shared" si="63"/>
        <v/>
      </c>
      <c r="CC113" s="2841" t="str">
        <f t="shared" si="64"/>
        <v/>
      </c>
      <c r="CD113" s="2890"/>
      <c r="CE113" s="2841" t="str">
        <f t="shared" si="66"/>
        <v/>
      </c>
      <c r="CF113" s="2841" t="str">
        <f t="shared" si="67"/>
        <v/>
      </c>
      <c r="CG113" s="2841" t="str">
        <f t="shared" si="68"/>
        <v/>
      </c>
      <c r="CH113" s="2841" t="str">
        <f t="shared" si="78"/>
        <v/>
      </c>
      <c r="CI113" s="2841" t="str">
        <f t="shared" si="69"/>
        <v/>
      </c>
      <c r="CJ113" s="2890"/>
      <c r="CO113" s="2842">
        <f t="shared" si="84"/>
        <v>0</v>
      </c>
      <c r="CP113" s="2842">
        <f t="shared" si="71"/>
        <v>0</v>
      </c>
      <c r="CQ113" s="2842">
        <f t="shared" si="72"/>
        <v>0</v>
      </c>
      <c r="CR113" s="2842">
        <f t="shared" si="86"/>
        <v>0</v>
      </c>
      <c r="CS113" s="2842">
        <f t="shared" si="74"/>
        <v>0</v>
      </c>
      <c r="CT113" s="2842">
        <f t="shared" si="87"/>
        <v>0</v>
      </c>
      <c r="CU113" s="2842">
        <f t="shared" si="75"/>
        <v>0</v>
      </c>
      <c r="CV113" s="2842">
        <f t="shared" si="76"/>
        <v>0</v>
      </c>
      <c r="CW113" s="2842">
        <f t="shared" si="77"/>
        <v>0</v>
      </c>
      <c r="CX113" s="2890"/>
    </row>
    <row r="114" spans="1:102" ht="15" customHeight="1">
      <c r="A114" s="6597" t="s">
        <v>1754</v>
      </c>
      <c r="B114" s="6598"/>
      <c r="C114" s="6599"/>
      <c r="D114" s="1991">
        <f t="shared" si="82"/>
        <v>0</v>
      </c>
      <c r="E114" s="421">
        <f t="shared" si="88"/>
        <v>0</v>
      </c>
      <c r="F114" s="1654">
        <f t="shared" si="89"/>
        <v>0</v>
      </c>
      <c r="G114" s="1869"/>
      <c r="H114" s="3023"/>
      <c r="I114" s="1869"/>
      <c r="J114" s="3024"/>
      <c r="K114" s="1869"/>
      <c r="L114" s="3023"/>
      <c r="M114" s="1869"/>
      <c r="N114" s="3023"/>
      <c r="O114" s="1560"/>
      <c r="P114" s="3023"/>
      <c r="Q114" s="1441"/>
      <c r="R114" s="1680"/>
      <c r="S114" s="1441"/>
      <c r="T114" s="1680"/>
      <c r="U114" s="1441"/>
      <c r="V114" s="1680"/>
      <c r="W114" s="1441"/>
      <c r="X114" s="1680"/>
      <c r="Y114" s="1441"/>
      <c r="Z114" s="1680"/>
      <c r="AA114" s="1441"/>
      <c r="AB114" s="1680"/>
      <c r="AC114" s="1441"/>
      <c r="AD114" s="1680"/>
      <c r="AE114" s="1441"/>
      <c r="AF114" s="1680"/>
      <c r="AG114" s="1441"/>
      <c r="AH114" s="1680"/>
      <c r="AI114" s="1441"/>
      <c r="AJ114" s="1680"/>
      <c r="AK114" s="1441"/>
      <c r="AL114" s="1680"/>
      <c r="AM114" s="1441"/>
      <c r="AN114" s="1444"/>
      <c r="AO114" s="1709"/>
      <c r="AP114" s="1442"/>
      <c r="AQ114" s="1442"/>
      <c r="AR114" s="1442"/>
      <c r="AS114" s="1442"/>
      <c r="AT114" s="1443"/>
      <c r="AU114" s="2281"/>
      <c r="AV114" s="2117"/>
      <c r="AW114" s="1441"/>
      <c r="AX114" s="1870"/>
      <c r="AY114" t="str">
        <f t="shared" si="61"/>
        <v/>
      </c>
      <c r="CA114" s="2841" t="str">
        <f t="shared" si="83"/>
        <v/>
      </c>
      <c r="CB114" s="2841" t="str">
        <f t="shared" si="63"/>
        <v/>
      </c>
      <c r="CC114" s="2841" t="str">
        <f t="shared" si="64"/>
        <v/>
      </c>
      <c r="CD114" s="2841" t="str">
        <f t="shared" si="65"/>
        <v/>
      </c>
      <c r="CE114" s="2841" t="str">
        <f t="shared" si="66"/>
        <v/>
      </c>
      <c r="CF114" s="2841" t="str">
        <f t="shared" si="67"/>
        <v/>
      </c>
      <c r="CG114" s="2841" t="str">
        <f t="shared" si="68"/>
        <v/>
      </c>
      <c r="CH114" s="2841" t="str">
        <f t="shared" si="78"/>
        <v/>
      </c>
      <c r="CI114" s="2841" t="str">
        <f t="shared" si="69"/>
        <v/>
      </c>
      <c r="CJ114" s="2890"/>
      <c r="CO114" s="2842">
        <f t="shared" si="84"/>
        <v>0</v>
      </c>
      <c r="CP114" s="2842">
        <f t="shared" si="71"/>
        <v>0</v>
      </c>
      <c r="CQ114" s="2842">
        <f t="shared" si="72"/>
        <v>0</v>
      </c>
      <c r="CR114" s="2842">
        <f t="shared" si="86"/>
        <v>0</v>
      </c>
      <c r="CS114" s="2842">
        <f t="shared" si="74"/>
        <v>0</v>
      </c>
      <c r="CT114" s="2842">
        <f t="shared" si="87"/>
        <v>0</v>
      </c>
      <c r="CU114" s="2842">
        <f t="shared" si="75"/>
        <v>0</v>
      </c>
      <c r="CV114" s="2842">
        <f t="shared" si="76"/>
        <v>0</v>
      </c>
      <c r="CW114" s="2842">
        <f t="shared" si="77"/>
        <v>0</v>
      </c>
      <c r="CX114" s="2890"/>
    </row>
    <row r="115" spans="1:102" ht="15" customHeight="1">
      <c r="A115" s="6597" t="s">
        <v>1755</v>
      </c>
      <c r="B115" s="6598"/>
      <c r="C115" s="6599"/>
      <c r="D115" s="1991">
        <f t="shared" si="82"/>
        <v>0</v>
      </c>
      <c r="E115" s="421">
        <f t="shared" ref="E115:F117" si="90">SUM(G115+I115+K115+M115+O115+Q115+S115+U115+W115+Y115+AA115+AC115+AE115+AG115+AI115+AK115+AM115)</f>
        <v>0</v>
      </c>
      <c r="F115" s="1654">
        <f t="shared" si="90"/>
        <v>0</v>
      </c>
      <c r="G115" s="1440"/>
      <c r="H115" s="1680"/>
      <c r="I115" s="1440"/>
      <c r="J115" s="1443"/>
      <c r="K115" s="1440"/>
      <c r="L115" s="1680"/>
      <c r="M115" s="1440"/>
      <c r="N115" s="1680"/>
      <c r="O115" s="1441"/>
      <c r="P115" s="1680"/>
      <c r="Q115" s="1441"/>
      <c r="R115" s="1680"/>
      <c r="S115" s="1441"/>
      <c r="T115" s="1680"/>
      <c r="U115" s="1441"/>
      <c r="V115" s="1680"/>
      <c r="W115" s="1441"/>
      <c r="X115" s="1680"/>
      <c r="Y115" s="1441"/>
      <c r="Z115" s="1680"/>
      <c r="AA115" s="1441"/>
      <c r="AB115" s="1680"/>
      <c r="AC115" s="1441"/>
      <c r="AD115" s="1680"/>
      <c r="AE115" s="1441"/>
      <c r="AF115" s="1680"/>
      <c r="AG115" s="1441"/>
      <c r="AH115" s="1680"/>
      <c r="AI115" s="1441"/>
      <c r="AJ115" s="1680"/>
      <c r="AK115" s="1441"/>
      <c r="AL115" s="1680"/>
      <c r="AM115" s="1441"/>
      <c r="AN115" s="1444"/>
      <c r="AO115" s="1709"/>
      <c r="AP115" s="1442"/>
      <c r="AQ115" s="1442"/>
      <c r="AR115" s="1442"/>
      <c r="AS115" s="1442"/>
      <c r="AT115" s="1443"/>
      <c r="AU115" s="2281"/>
      <c r="AV115" s="2117"/>
      <c r="AW115" s="1441"/>
      <c r="AX115" s="1870"/>
      <c r="AY115" t="str">
        <f t="shared" si="61"/>
        <v/>
      </c>
      <c r="CA115" s="2841" t="str">
        <f t="shared" si="83"/>
        <v/>
      </c>
      <c r="CB115" s="2841" t="str">
        <f t="shared" si="63"/>
        <v/>
      </c>
      <c r="CC115" s="2841" t="str">
        <f t="shared" si="64"/>
        <v/>
      </c>
      <c r="CD115" s="2841" t="str">
        <f t="shared" si="65"/>
        <v/>
      </c>
      <c r="CE115" s="2841" t="str">
        <f t="shared" si="66"/>
        <v/>
      </c>
      <c r="CF115" s="2841" t="str">
        <f t="shared" si="67"/>
        <v/>
      </c>
      <c r="CG115" s="2841" t="str">
        <f t="shared" si="68"/>
        <v/>
      </c>
      <c r="CH115" s="2841" t="str">
        <f t="shared" si="78"/>
        <v/>
      </c>
      <c r="CI115" s="2841" t="str">
        <f t="shared" si="69"/>
        <v/>
      </c>
      <c r="CJ115" s="2890"/>
      <c r="CO115" s="2842">
        <f t="shared" si="84"/>
        <v>0</v>
      </c>
      <c r="CP115" s="2842">
        <f t="shared" si="71"/>
        <v>0</v>
      </c>
      <c r="CQ115" s="2842">
        <f t="shared" si="72"/>
        <v>0</v>
      </c>
      <c r="CR115" s="2842">
        <f t="shared" si="86"/>
        <v>0</v>
      </c>
      <c r="CS115" s="2842">
        <f t="shared" si="74"/>
        <v>0</v>
      </c>
      <c r="CT115" s="2842">
        <f t="shared" si="87"/>
        <v>0</v>
      </c>
      <c r="CU115" s="2842">
        <f t="shared" si="75"/>
        <v>0</v>
      </c>
      <c r="CV115" s="2842">
        <f t="shared" si="76"/>
        <v>0</v>
      </c>
      <c r="CW115" s="2842">
        <f t="shared" si="77"/>
        <v>0</v>
      </c>
      <c r="CX115" s="2890"/>
    </row>
    <row r="116" spans="1:102" ht="15" customHeight="1">
      <c r="A116" s="6597" t="s">
        <v>1756</v>
      </c>
      <c r="B116" s="6598"/>
      <c r="C116" s="6599"/>
      <c r="D116" s="1991">
        <f t="shared" si="82"/>
        <v>0</v>
      </c>
      <c r="E116" s="421">
        <f t="shared" si="90"/>
        <v>0</v>
      </c>
      <c r="F116" s="1654">
        <f t="shared" si="90"/>
        <v>0</v>
      </c>
      <c r="G116" s="1440"/>
      <c r="H116" s="1680"/>
      <c r="I116" s="1440"/>
      <c r="J116" s="1443"/>
      <c r="K116" s="1440"/>
      <c r="L116" s="1680"/>
      <c r="M116" s="1440"/>
      <c r="N116" s="1680"/>
      <c r="O116" s="1441"/>
      <c r="P116" s="1680"/>
      <c r="Q116" s="1441"/>
      <c r="R116" s="1680"/>
      <c r="S116" s="1441"/>
      <c r="T116" s="1680"/>
      <c r="U116" s="1441"/>
      <c r="V116" s="1680"/>
      <c r="W116" s="1441"/>
      <c r="X116" s="1680"/>
      <c r="Y116" s="1441"/>
      <c r="Z116" s="1680"/>
      <c r="AA116" s="1441"/>
      <c r="AB116" s="1680"/>
      <c r="AC116" s="1441"/>
      <c r="AD116" s="1680"/>
      <c r="AE116" s="1441"/>
      <c r="AF116" s="1680"/>
      <c r="AG116" s="1441"/>
      <c r="AH116" s="1680"/>
      <c r="AI116" s="1441"/>
      <c r="AJ116" s="1680"/>
      <c r="AK116" s="1441"/>
      <c r="AL116" s="1680"/>
      <c r="AM116" s="1441"/>
      <c r="AN116" s="1444"/>
      <c r="AO116" s="1709"/>
      <c r="AP116" s="1442"/>
      <c r="AQ116" s="1442"/>
      <c r="AR116" s="1442"/>
      <c r="AS116" s="1442"/>
      <c r="AT116" s="1443"/>
      <c r="AU116" s="2281"/>
      <c r="AV116" s="2117"/>
      <c r="AW116" s="1441"/>
      <c r="AX116" s="1452"/>
      <c r="AY116" t="str">
        <f t="shared" si="61"/>
        <v/>
      </c>
      <c r="CA116" s="2841" t="str">
        <f t="shared" si="83"/>
        <v/>
      </c>
      <c r="CB116" s="2841" t="str">
        <f t="shared" si="63"/>
        <v/>
      </c>
      <c r="CC116" s="2841" t="str">
        <f t="shared" si="64"/>
        <v/>
      </c>
      <c r="CD116" s="2841" t="str">
        <f t="shared" si="65"/>
        <v/>
      </c>
      <c r="CE116" s="2841" t="str">
        <f t="shared" si="66"/>
        <v/>
      </c>
      <c r="CF116" s="2841" t="str">
        <f t="shared" si="67"/>
        <v/>
      </c>
      <c r="CG116" s="2841" t="str">
        <f t="shared" si="68"/>
        <v/>
      </c>
      <c r="CH116" s="2841" t="str">
        <f t="shared" si="78"/>
        <v/>
      </c>
      <c r="CI116" s="2841" t="str">
        <f t="shared" si="69"/>
        <v/>
      </c>
      <c r="CJ116" s="2841" t="str">
        <f t="shared" ref="CJ116:CJ142" si="91">IF(AND($D116&gt;0,AX116="")," * No olvide digitar la variable Flujo digital. Digite Cero si no tiene.",IF(AX116&gt;$D116," * La variable Flujo digital no puede ser mayor al Total Ambos Sexos.",""))</f>
        <v/>
      </c>
      <c r="CO116" s="2842">
        <f t="shared" si="84"/>
        <v>0</v>
      </c>
      <c r="CP116" s="2842">
        <f t="shared" si="71"/>
        <v>0</v>
      </c>
      <c r="CQ116" s="2842">
        <f t="shared" si="72"/>
        <v>0</v>
      </c>
      <c r="CR116" s="2842">
        <f t="shared" si="86"/>
        <v>0</v>
      </c>
      <c r="CS116" s="2842">
        <f t="shared" si="74"/>
        <v>0</v>
      </c>
      <c r="CT116" s="2842">
        <f t="shared" si="87"/>
        <v>0</v>
      </c>
      <c r="CU116" s="2842">
        <f t="shared" si="75"/>
        <v>0</v>
      </c>
      <c r="CV116" s="2842">
        <f t="shared" si="76"/>
        <v>0</v>
      </c>
      <c r="CW116" s="2842">
        <f t="shared" si="77"/>
        <v>0</v>
      </c>
      <c r="CX116" s="2842">
        <f>IF(AND($D116&gt;0,AX116=""),1,IF(AX116&gt;$D116,1,0))</f>
        <v>0</v>
      </c>
    </row>
    <row r="117" spans="1:102" ht="15" customHeight="1">
      <c r="A117" s="6597" t="s">
        <v>1757</v>
      </c>
      <c r="B117" s="6598"/>
      <c r="C117" s="6599"/>
      <c r="D117" s="1991">
        <f t="shared" si="82"/>
        <v>0</v>
      </c>
      <c r="E117" s="421">
        <f t="shared" si="90"/>
        <v>0</v>
      </c>
      <c r="F117" s="1654">
        <f>SUM(H117+J117+L117+N117+P117+R117+T117+V117+X117+Z117+AB117+AD117+AF117+AH117+AJ117+AL117+AN117)</f>
        <v>0</v>
      </c>
      <c r="G117" s="1440"/>
      <c r="H117" s="1680"/>
      <c r="I117" s="1440"/>
      <c r="J117" s="1443"/>
      <c r="K117" s="1440"/>
      <c r="L117" s="1680"/>
      <c r="M117" s="1440"/>
      <c r="N117" s="1680"/>
      <c r="O117" s="1441"/>
      <c r="P117" s="1680"/>
      <c r="Q117" s="1441"/>
      <c r="R117" s="1680"/>
      <c r="S117" s="1441"/>
      <c r="T117" s="1680"/>
      <c r="U117" s="1441"/>
      <c r="V117" s="1680"/>
      <c r="W117" s="1441"/>
      <c r="X117" s="1680"/>
      <c r="Y117" s="1441"/>
      <c r="Z117" s="1680"/>
      <c r="AA117" s="1441"/>
      <c r="AB117" s="1680"/>
      <c r="AC117" s="1441"/>
      <c r="AD117" s="1680"/>
      <c r="AE117" s="1441"/>
      <c r="AF117" s="1680"/>
      <c r="AG117" s="1441"/>
      <c r="AH117" s="1680"/>
      <c r="AI117" s="1441"/>
      <c r="AJ117" s="1680"/>
      <c r="AK117" s="1441"/>
      <c r="AL117" s="1680"/>
      <c r="AM117" s="1441"/>
      <c r="AN117" s="1444"/>
      <c r="AO117" s="1709"/>
      <c r="AP117" s="1442"/>
      <c r="AQ117" s="1442"/>
      <c r="AR117" s="1442"/>
      <c r="AS117" s="1442"/>
      <c r="AT117" s="1443"/>
      <c r="AU117" s="2281"/>
      <c r="AV117" s="2117"/>
      <c r="AW117" s="1441"/>
      <c r="AX117" s="1870"/>
      <c r="AY117" t="str">
        <f t="shared" si="61"/>
        <v/>
      </c>
      <c r="CA117" s="2841" t="str">
        <f t="shared" si="83"/>
        <v/>
      </c>
      <c r="CB117" s="2841" t="str">
        <f t="shared" si="63"/>
        <v/>
      </c>
      <c r="CC117" s="2841" t="str">
        <f t="shared" si="64"/>
        <v/>
      </c>
      <c r="CD117" s="2841" t="str">
        <f t="shared" si="65"/>
        <v/>
      </c>
      <c r="CE117" s="2841" t="str">
        <f t="shared" si="66"/>
        <v/>
      </c>
      <c r="CF117" s="2841" t="str">
        <f t="shared" si="67"/>
        <v/>
      </c>
      <c r="CG117" s="2841" t="str">
        <f t="shared" si="68"/>
        <v/>
      </c>
      <c r="CH117" s="2841" t="str">
        <f t="shared" si="78"/>
        <v/>
      </c>
      <c r="CI117" s="2841" t="str">
        <f t="shared" si="69"/>
        <v/>
      </c>
      <c r="CJ117" s="2890"/>
      <c r="CO117" s="2842">
        <f t="shared" si="84"/>
        <v>0</v>
      </c>
      <c r="CP117" s="2842">
        <f t="shared" si="71"/>
        <v>0</v>
      </c>
      <c r="CQ117" s="2842">
        <f t="shared" si="72"/>
        <v>0</v>
      </c>
      <c r="CR117" s="2842">
        <f t="shared" si="86"/>
        <v>0</v>
      </c>
      <c r="CS117" s="2842">
        <f t="shared" si="74"/>
        <v>0</v>
      </c>
      <c r="CT117" s="2842">
        <f t="shared" si="87"/>
        <v>0</v>
      </c>
      <c r="CU117" s="2842">
        <f t="shared" si="75"/>
        <v>0</v>
      </c>
      <c r="CV117" s="2842">
        <f t="shared" si="76"/>
        <v>0</v>
      </c>
      <c r="CW117" s="2842">
        <f t="shared" si="77"/>
        <v>0</v>
      </c>
      <c r="CX117" s="2890"/>
    </row>
    <row r="118" spans="1:102" ht="15" customHeight="1">
      <c r="A118" s="6597" t="s">
        <v>1758</v>
      </c>
      <c r="B118" s="6598"/>
      <c r="C118" s="6599"/>
      <c r="D118" s="1991">
        <f t="shared" si="82"/>
        <v>0</v>
      </c>
      <c r="E118" s="421">
        <f>SUM(S118+U118+W118+Y118+AA118+AC118+AE118+AG118+AI118+AK118+AM118)</f>
        <v>0</v>
      </c>
      <c r="F118" s="1654">
        <f>SUM(T118+V118+X118+Z118+AB118+AD118+AF118+AH118+AJ118+AL118+AN118)</f>
        <v>0</v>
      </c>
      <c r="G118" s="1763"/>
      <c r="H118" s="2205"/>
      <c r="I118" s="1763"/>
      <c r="J118" s="3025"/>
      <c r="K118" s="1763"/>
      <c r="L118" s="2205"/>
      <c r="M118" s="1763"/>
      <c r="N118" s="2205"/>
      <c r="O118" s="1833"/>
      <c r="P118" s="2205"/>
      <c r="Q118" s="1833"/>
      <c r="R118" s="2205"/>
      <c r="S118" s="1441"/>
      <c r="T118" s="1680"/>
      <c r="U118" s="1441"/>
      <c r="V118" s="1680"/>
      <c r="W118" s="1441"/>
      <c r="X118" s="1680"/>
      <c r="Y118" s="1441"/>
      <c r="Z118" s="1680"/>
      <c r="AA118" s="1441"/>
      <c r="AB118" s="1680"/>
      <c r="AC118" s="1441"/>
      <c r="AD118" s="1680"/>
      <c r="AE118" s="1441"/>
      <c r="AF118" s="1680"/>
      <c r="AG118" s="1441"/>
      <c r="AH118" s="1680"/>
      <c r="AI118" s="1441"/>
      <c r="AJ118" s="1680"/>
      <c r="AK118" s="1441"/>
      <c r="AL118" s="1680"/>
      <c r="AM118" s="1441"/>
      <c r="AN118" s="1444"/>
      <c r="AO118" s="1709"/>
      <c r="AP118" s="1442"/>
      <c r="AQ118" s="1442"/>
      <c r="AR118" s="1442"/>
      <c r="AS118" s="1442"/>
      <c r="AT118" s="1443"/>
      <c r="AU118" s="2281"/>
      <c r="AV118" s="2117"/>
      <c r="AW118" s="1441"/>
      <c r="AX118" s="1870"/>
      <c r="AY118" t="str">
        <f t="shared" si="61"/>
        <v/>
      </c>
      <c r="CA118" s="2841" t="str">
        <f t="shared" si="83"/>
        <v/>
      </c>
      <c r="CB118" s="2841" t="str">
        <f t="shared" si="63"/>
        <v/>
      </c>
      <c r="CC118" s="2841" t="str">
        <f t="shared" si="64"/>
        <v/>
      </c>
      <c r="CD118" s="2841" t="str">
        <f t="shared" si="65"/>
        <v/>
      </c>
      <c r="CE118" s="2841" t="str">
        <f t="shared" si="66"/>
        <v/>
      </c>
      <c r="CF118" s="2841" t="str">
        <f t="shared" si="67"/>
        <v/>
      </c>
      <c r="CG118" s="2841" t="str">
        <f t="shared" si="68"/>
        <v/>
      </c>
      <c r="CH118" s="2841" t="str">
        <f t="shared" si="78"/>
        <v/>
      </c>
      <c r="CI118" s="2841" t="str">
        <f t="shared" si="69"/>
        <v/>
      </c>
      <c r="CJ118" s="2890"/>
      <c r="CO118" s="2842">
        <f t="shared" si="84"/>
        <v>0</v>
      </c>
      <c r="CP118" s="2842">
        <f t="shared" si="71"/>
        <v>0</v>
      </c>
      <c r="CQ118" s="2842">
        <f t="shared" si="72"/>
        <v>0</v>
      </c>
      <c r="CR118" s="2842">
        <f t="shared" si="86"/>
        <v>0</v>
      </c>
      <c r="CS118" s="2842">
        <f t="shared" si="74"/>
        <v>0</v>
      </c>
      <c r="CT118" s="2842">
        <f t="shared" si="87"/>
        <v>0</v>
      </c>
      <c r="CU118" s="2842">
        <f t="shared" si="75"/>
        <v>0</v>
      </c>
      <c r="CV118" s="2842">
        <f t="shared" si="76"/>
        <v>0</v>
      </c>
      <c r="CW118" s="2842">
        <f t="shared" si="77"/>
        <v>0</v>
      </c>
      <c r="CX118" s="2890"/>
    </row>
    <row r="119" spans="1:102" ht="15" customHeight="1">
      <c r="A119" s="6597" t="s">
        <v>1759</v>
      </c>
      <c r="B119" s="6598"/>
      <c r="C119" s="6599"/>
      <c r="D119" s="1991">
        <f t="shared" si="82"/>
        <v>0</v>
      </c>
      <c r="E119" s="421">
        <f>SUM(K119+M119+O119+Q119+S119+U119+W119+Y119+AA119+AC119+AE119+AG119+AI119+AK119+AM119)</f>
        <v>0</v>
      </c>
      <c r="F119" s="1654">
        <f>SUM(L119+N119+P119+R119+T119+V119+X119+Z119+AB119+AD119+AF119+AH119+AJ119+AL119+AN119)</f>
        <v>0</v>
      </c>
      <c r="G119" s="1869"/>
      <c r="H119" s="3023"/>
      <c r="I119" s="1869"/>
      <c r="J119" s="3024"/>
      <c r="K119" s="1440"/>
      <c r="L119" s="1680"/>
      <c r="M119" s="1440"/>
      <c r="N119" s="1680"/>
      <c r="O119" s="1441"/>
      <c r="P119" s="1680"/>
      <c r="Q119" s="1441"/>
      <c r="R119" s="1680"/>
      <c r="S119" s="1441"/>
      <c r="T119" s="1680"/>
      <c r="U119" s="1441"/>
      <c r="V119" s="1680"/>
      <c r="W119" s="1441"/>
      <c r="X119" s="1680"/>
      <c r="Y119" s="1441"/>
      <c r="Z119" s="1680"/>
      <c r="AA119" s="1441"/>
      <c r="AB119" s="1680"/>
      <c r="AC119" s="1441"/>
      <c r="AD119" s="1680"/>
      <c r="AE119" s="1441"/>
      <c r="AF119" s="1680"/>
      <c r="AG119" s="1441"/>
      <c r="AH119" s="1680"/>
      <c r="AI119" s="1441"/>
      <c r="AJ119" s="1680"/>
      <c r="AK119" s="1441"/>
      <c r="AL119" s="1680"/>
      <c r="AM119" s="1441"/>
      <c r="AN119" s="1444"/>
      <c r="AO119" s="1709"/>
      <c r="AP119" s="1442"/>
      <c r="AQ119" s="1442"/>
      <c r="AR119" s="1442"/>
      <c r="AS119" s="1442"/>
      <c r="AT119" s="1443"/>
      <c r="AU119" s="2281"/>
      <c r="AV119" s="2117"/>
      <c r="AW119" s="1441"/>
      <c r="AX119" s="1870"/>
      <c r="AY119" t="str">
        <f t="shared" si="61"/>
        <v/>
      </c>
      <c r="CA119" s="2841" t="str">
        <f t="shared" si="83"/>
        <v/>
      </c>
      <c r="CB119" s="2841" t="str">
        <f t="shared" si="63"/>
        <v/>
      </c>
      <c r="CC119" s="2841" t="str">
        <f t="shared" si="64"/>
        <v/>
      </c>
      <c r="CD119" s="2841" t="str">
        <f t="shared" si="65"/>
        <v/>
      </c>
      <c r="CE119" s="2841" t="str">
        <f t="shared" si="66"/>
        <v/>
      </c>
      <c r="CF119" s="2841" t="str">
        <f t="shared" si="67"/>
        <v/>
      </c>
      <c r="CG119" s="2841" t="str">
        <f t="shared" si="68"/>
        <v/>
      </c>
      <c r="CH119" s="2841" t="str">
        <f t="shared" si="78"/>
        <v/>
      </c>
      <c r="CI119" s="2841" t="str">
        <f t="shared" si="69"/>
        <v/>
      </c>
      <c r="CJ119" s="2890"/>
      <c r="CO119" s="2842">
        <f t="shared" si="84"/>
        <v>0</v>
      </c>
      <c r="CP119" s="2842">
        <f t="shared" si="71"/>
        <v>0</v>
      </c>
      <c r="CQ119" s="2842">
        <f t="shared" si="72"/>
        <v>0</v>
      </c>
      <c r="CR119" s="2842">
        <f t="shared" si="86"/>
        <v>0</v>
      </c>
      <c r="CS119" s="2842">
        <f t="shared" si="74"/>
        <v>0</v>
      </c>
      <c r="CT119" s="2842">
        <f t="shared" si="87"/>
        <v>0</v>
      </c>
      <c r="CU119" s="2842">
        <f t="shared" si="75"/>
        <v>0</v>
      </c>
      <c r="CV119" s="2842">
        <f t="shared" si="76"/>
        <v>0</v>
      </c>
      <c r="CW119" s="2842">
        <f t="shared" si="77"/>
        <v>0</v>
      </c>
      <c r="CX119" s="2890"/>
    </row>
    <row r="120" spans="1:102" ht="15" customHeight="1">
      <c r="A120" s="6181" t="s">
        <v>1760</v>
      </c>
      <c r="B120" s="6564"/>
      <c r="C120" s="6182"/>
      <c r="D120" s="1991">
        <f t="shared" si="82"/>
        <v>0</v>
      </c>
      <c r="E120" s="421">
        <f>SUM(G120+I120+K120+M120+O120+Q120+S120+U120+W120+Y120+AA120+AC120+AE120+AG120+AI120+AK120+AM120)</f>
        <v>0</v>
      </c>
      <c r="F120" s="1654">
        <f>SUM(H120+J120+L120+N120+P120+R120+T120+V120+X120+Z120+AB120+AD120+AF120+AH120+AJ120+AL120+AN120)</f>
        <v>0</v>
      </c>
      <c r="G120" s="1440"/>
      <c r="H120" s="1680"/>
      <c r="I120" s="1440"/>
      <c r="J120" s="1443"/>
      <c r="K120" s="1440"/>
      <c r="L120" s="1680"/>
      <c r="M120" s="1440"/>
      <c r="N120" s="1680"/>
      <c r="O120" s="1441"/>
      <c r="P120" s="1680"/>
      <c r="Q120" s="1441"/>
      <c r="R120" s="1680"/>
      <c r="S120" s="1441"/>
      <c r="T120" s="1680"/>
      <c r="U120" s="1441"/>
      <c r="V120" s="1680"/>
      <c r="W120" s="1441"/>
      <c r="X120" s="1680"/>
      <c r="Y120" s="1441"/>
      <c r="Z120" s="1680"/>
      <c r="AA120" s="1441"/>
      <c r="AB120" s="1680"/>
      <c r="AC120" s="1441"/>
      <c r="AD120" s="1680"/>
      <c r="AE120" s="1441"/>
      <c r="AF120" s="1680"/>
      <c r="AG120" s="1441"/>
      <c r="AH120" s="1680"/>
      <c r="AI120" s="1441"/>
      <c r="AJ120" s="1680"/>
      <c r="AK120" s="1441"/>
      <c r="AL120" s="1680"/>
      <c r="AM120" s="1441"/>
      <c r="AN120" s="1444"/>
      <c r="AO120" s="1709"/>
      <c r="AP120" s="1442"/>
      <c r="AQ120" s="1442"/>
      <c r="AR120" s="1442"/>
      <c r="AS120" s="1442"/>
      <c r="AT120" s="1443"/>
      <c r="AU120" s="2281"/>
      <c r="AV120" s="2117"/>
      <c r="AW120" s="1441"/>
      <c r="AX120" s="1870"/>
      <c r="AY120" t="str">
        <f t="shared" si="61"/>
        <v/>
      </c>
      <c r="CA120" s="2841" t="str">
        <f t="shared" si="83"/>
        <v/>
      </c>
      <c r="CB120" s="2841" t="str">
        <f t="shared" si="63"/>
        <v/>
      </c>
      <c r="CC120" s="2841" t="str">
        <f t="shared" si="64"/>
        <v/>
      </c>
      <c r="CD120" s="2841" t="str">
        <f t="shared" si="65"/>
        <v/>
      </c>
      <c r="CE120" s="2841" t="str">
        <f t="shared" si="66"/>
        <v/>
      </c>
      <c r="CF120" s="2841" t="str">
        <f t="shared" si="67"/>
        <v/>
      </c>
      <c r="CG120" s="2841" t="str">
        <f t="shared" si="68"/>
        <v/>
      </c>
      <c r="CH120" s="2841" t="str">
        <f t="shared" si="78"/>
        <v/>
      </c>
      <c r="CI120" s="2841" t="str">
        <f t="shared" si="69"/>
        <v/>
      </c>
      <c r="CJ120" s="2890"/>
      <c r="CO120" s="2842">
        <f t="shared" si="84"/>
        <v>0</v>
      </c>
      <c r="CP120" s="2842">
        <f t="shared" si="71"/>
        <v>0</v>
      </c>
      <c r="CQ120" s="2842">
        <f t="shared" si="72"/>
        <v>0</v>
      </c>
      <c r="CR120" s="2842">
        <f t="shared" si="86"/>
        <v>0</v>
      </c>
      <c r="CS120" s="2842">
        <f t="shared" si="74"/>
        <v>0</v>
      </c>
      <c r="CT120" s="2842">
        <f t="shared" si="87"/>
        <v>0</v>
      </c>
      <c r="CU120" s="2842">
        <f t="shared" si="75"/>
        <v>0</v>
      </c>
      <c r="CV120" s="2842">
        <f t="shared" si="76"/>
        <v>0</v>
      </c>
      <c r="CW120" s="2842">
        <f t="shared" si="77"/>
        <v>0</v>
      </c>
      <c r="CX120" s="2890"/>
    </row>
    <row r="121" spans="1:102" ht="15" customHeight="1">
      <c r="A121" s="6565" t="s">
        <v>1761</v>
      </c>
      <c r="B121" s="6566"/>
      <c r="C121" s="6567"/>
      <c r="D121" s="1991">
        <f t="shared" si="82"/>
        <v>0</v>
      </c>
      <c r="E121" s="421">
        <f>SUM(Q121+S121+U121+W121+Y121+AA121+AC121+AE121+AG121+AI121+AK121+AM121)</f>
        <v>0</v>
      </c>
      <c r="F121" s="1654">
        <f>SUM(R121+T121+V121+X121+Z121+AB121+AD121+AF121+AH121+AJ121+AL121+AN121)</f>
        <v>0</v>
      </c>
      <c r="G121" s="1869"/>
      <c r="H121" s="3023"/>
      <c r="I121" s="1869"/>
      <c r="J121" s="3024"/>
      <c r="K121" s="1869"/>
      <c r="L121" s="3023"/>
      <c r="M121" s="1869"/>
      <c r="N121" s="3023"/>
      <c r="O121" s="1560"/>
      <c r="P121" s="3023"/>
      <c r="Q121" s="1441"/>
      <c r="R121" s="1680"/>
      <c r="S121" s="1441"/>
      <c r="T121" s="1680"/>
      <c r="U121" s="1441"/>
      <c r="V121" s="1680"/>
      <c r="W121" s="1441"/>
      <c r="X121" s="1680"/>
      <c r="Y121" s="1441"/>
      <c r="Z121" s="1680"/>
      <c r="AA121" s="1441"/>
      <c r="AB121" s="1680"/>
      <c r="AC121" s="1441"/>
      <c r="AD121" s="1680"/>
      <c r="AE121" s="1441"/>
      <c r="AF121" s="1680"/>
      <c r="AG121" s="1441"/>
      <c r="AH121" s="1680"/>
      <c r="AI121" s="1441"/>
      <c r="AJ121" s="1680"/>
      <c r="AK121" s="1441"/>
      <c r="AL121" s="1680"/>
      <c r="AM121" s="1441"/>
      <c r="AN121" s="1444"/>
      <c r="AO121" s="2039"/>
      <c r="AP121" s="1442"/>
      <c r="AQ121" s="1442"/>
      <c r="AR121" s="1442"/>
      <c r="AS121" s="1442"/>
      <c r="AT121" s="1443"/>
      <c r="AU121" s="2281"/>
      <c r="AV121" s="2117"/>
      <c r="AW121" s="1441"/>
      <c r="AX121" s="1452"/>
      <c r="AY121" t="str">
        <f t="shared" si="61"/>
        <v/>
      </c>
      <c r="CA121" s="2890"/>
      <c r="CB121" s="2841" t="str">
        <f t="shared" si="63"/>
        <v/>
      </c>
      <c r="CC121" s="2841" t="str">
        <f t="shared" si="64"/>
        <v/>
      </c>
      <c r="CD121" s="2841" t="str">
        <f t="shared" si="65"/>
        <v/>
      </c>
      <c r="CE121" s="2841" t="str">
        <f t="shared" si="66"/>
        <v/>
      </c>
      <c r="CF121" s="2841" t="str">
        <f t="shared" si="67"/>
        <v/>
      </c>
      <c r="CG121" s="2841" t="str">
        <f t="shared" si="68"/>
        <v/>
      </c>
      <c r="CH121" s="2841" t="str">
        <f t="shared" si="78"/>
        <v/>
      </c>
      <c r="CI121" s="2841" t="str">
        <f t="shared" si="69"/>
        <v/>
      </c>
      <c r="CJ121" s="2841" t="str">
        <f t="shared" si="91"/>
        <v/>
      </c>
      <c r="CO121" s="3026"/>
      <c r="CP121" s="2842">
        <f t="shared" si="71"/>
        <v>0</v>
      </c>
      <c r="CQ121" s="2842">
        <f t="shared" si="72"/>
        <v>0</v>
      </c>
      <c r="CR121" s="2842">
        <f t="shared" si="86"/>
        <v>0</v>
      </c>
      <c r="CS121" s="2842">
        <f t="shared" si="74"/>
        <v>0</v>
      </c>
      <c r="CT121" s="2842">
        <f t="shared" si="87"/>
        <v>0</v>
      </c>
      <c r="CU121" s="2842">
        <f t="shared" si="75"/>
        <v>0</v>
      </c>
      <c r="CV121" s="2842">
        <f t="shared" si="76"/>
        <v>0</v>
      </c>
      <c r="CW121" s="2842">
        <f t="shared" si="77"/>
        <v>0</v>
      </c>
      <c r="CX121" s="2842">
        <f t="shared" ref="CX121:CX142" si="92">IF(AND($D121&gt;0,AX121=""),1,IF(AX121&gt;$D121,1,0))</f>
        <v>0</v>
      </c>
    </row>
    <row r="122" spans="1:102" ht="15" customHeight="1">
      <c r="A122" s="6565" t="s">
        <v>1762</v>
      </c>
      <c r="B122" s="6566"/>
      <c r="C122" s="6567"/>
      <c r="D122" s="1991">
        <f t="shared" si="82"/>
        <v>0</v>
      </c>
      <c r="E122" s="421">
        <f t="shared" ref="E122:F127" si="93">SUM(Y122+AA122+AC122+AE122+AG122+AI122+AK122+AM122)</f>
        <v>0</v>
      </c>
      <c r="F122" s="1654">
        <f>SUM(Z122+AB122+AD122+AF122+AH122+AJ122+AL122+AN122)</f>
        <v>0</v>
      </c>
      <c r="G122" s="1869"/>
      <c r="H122" s="3023"/>
      <c r="I122" s="1869"/>
      <c r="J122" s="3024"/>
      <c r="K122" s="1869"/>
      <c r="L122" s="3023"/>
      <c r="M122" s="1869"/>
      <c r="N122" s="3023"/>
      <c r="O122" s="1560"/>
      <c r="P122" s="3023"/>
      <c r="Q122" s="1560"/>
      <c r="R122" s="3023"/>
      <c r="S122" s="1560"/>
      <c r="T122" s="3023"/>
      <c r="U122" s="1560"/>
      <c r="V122" s="3023"/>
      <c r="W122" s="1560"/>
      <c r="X122" s="3023"/>
      <c r="Y122" s="1441"/>
      <c r="Z122" s="1680"/>
      <c r="AA122" s="1441"/>
      <c r="AB122" s="1680"/>
      <c r="AC122" s="1441"/>
      <c r="AD122" s="1680"/>
      <c r="AE122" s="1441"/>
      <c r="AF122" s="1680"/>
      <c r="AG122" s="1441"/>
      <c r="AH122" s="1680"/>
      <c r="AI122" s="1441"/>
      <c r="AJ122" s="1680"/>
      <c r="AK122" s="1441"/>
      <c r="AL122" s="1680"/>
      <c r="AM122" s="1441"/>
      <c r="AN122" s="1444"/>
      <c r="AO122" s="2039"/>
      <c r="AP122" s="1442"/>
      <c r="AQ122" s="1442"/>
      <c r="AR122" s="1442"/>
      <c r="AS122" s="1442"/>
      <c r="AT122" s="1443"/>
      <c r="AU122" s="2281"/>
      <c r="AV122" s="2117"/>
      <c r="AW122" s="1441"/>
      <c r="AX122" s="1452"/>
      <c r="AY122" t="str">
        <f t="shared" si="61"/>
        <v/>
      </c>
      <c r="CA122" s="2890"/>
      <c r="CB122" s="2841" t="str">
        <f t="shared" si="63"/>
        <v/>
      </c>
      <c r="CC122" s="2841" t="str">
        <f t="shared" si="64"/>
        <v/>
      </c>
      <c r="CD122" s="2841" t="str">
        <f t="shared" si="65"/>
        <v/>
      </c>
      <c r="CE122" s="2841" t="str">
        <f t="shared" si="66"/>
        <v/>
      </c>
      <c r="CF122" s="2841" t="str">
        <f t="shared" si="67"/>
        <v/>
      </c>
      <c r="CG122" s="2841" t="str">
        <f t="shared" si="68"/>
        <v/>
      </c>
      <c r="CH122" s="2841" t="str">
        <f t="shared" si="78"/>
        <v/>
      </c>
      <c r="CI122" s="2841" t="str">
        <f t="shared" si="69"/>
        <v/>
      </c>
      <c r="CJ122" s="2841" t="str">
        <f t="shared" si="91"/>
        <v/>
      </c>
      <c r="CO122" s="3026"/>
      <c r="CP122" s="2842">
        <f t="shared" si="71"/>
        <v>0</v>
      </c>
      <c r="CQ122" s="2842">
        <f t="shared" si="72"/>
        <v>0</v>
      </c>
      <c r="CR122" s="2842">
        <f t="shared" si="86"/>
        <v>0</v>
      </c>
      <c r="CS122" s="2842">
        <f t="shared" si="74"/>
        <v>0</v>
      </c>
      <c r="CT122" s="2842">
        <f t="shared" si="87"/>
        <v>0</v>
      </c>
      <c r="CU122" s="2842">
        <f t="shared" si="75"/>
        <v>0</v>
      </c>
      <c r="CV122" s="2842">
        <f t="shared" si="76"/>
        <v>0</v>
      </c>
      <c r="CW122" s="2842">
        <f t="shared" si="77"/>
        <v>0</v>
      </c>
      <c r="CX122" s="2842">
        <f t="shared" si="92"/>
        <v>0</v>
      </c>
    </row>
    <row r="123" spans="1:102" ht="15" customHeight="1">
      <c r="A123" s="6181" t="s">
        <v>1763</v>
      </c>
      <c r="B123" s="6564"/>
      <c r="C123" s="6182"/>
      <c r="D123" s="1991">
        <f t="shared" si="82"/>
        <v>0</v>
      </c>
      <c r="E123" s="421">
        <f t="shared" si="93"/>
        <v>0</v>
      </c>
      <c r="F123" s="1654">
        <f t="shared" si="93"/>
        <v>0</v>
      </c>
      <c r="G123" s="1869"/>
      <c r="H123" s="3023"/>
      <c r="I123" s="1869"/>
      <c r="J123" s="3024"/>
      <c r="K123" s="1869"/>
      <c r="L123" s="3023"/>
      <c r="M123" s="1869"/>
      <c r="N123" s="3023"/>
      <c r="O123" s="1560"/>
      <c r="P123" s="3023"/>
      <c r="Q123" s="1560"/>
      <c r="R123" s="3023"/>
      <c r="S123" s="1560"/>
      <c r="T123" s="3023"/>
      <c r="U123" s="1560"/>
      <c r="V123" s="3023"/>
      <c r="W123" s="1560"/>
      <c r="X123" s="3023"/>
      <c r="Y123" s="1441"/>
      <c r="Z123" s="1680"/>
      <c r="AA123" s="1441"/>
      <c r="AB123" s="1680"/>
      <c r="AC123" s="1441"/>
      <c r="AD123" s="1680"/>
      <c r="AE123" s="1441"/>
      <c r="AF123" s="1680"/>
      <c r="AG123" s="1441"/>
      <c r="AH123" s="1680"/>
      <c r="AI123" s="1441"/>
      <c r="AJ123" s="1680"/>
      <c r="AK123" s="1441"/>
      <c r="AL123" s="1680"/>
      <c r="AM123" s="1441"/>
      <c r="AN123" s="1444"/>
      <c r="AO123" s="2039"/>
      <c r="AP123" s="1442"/>
      <c r="AQ123" s="1442"/>
      <c r="AR123" s="1442"/>
      <c r="AS123" s="1442"/>
      <c r="AT123" s="1443"/>
      <c r="AU123" s="2281"/>
      <c r="AV123" s="2117"/>
      <c r="AW123" s="1441"/>
      <c r="AX123" s="1452"/>
      <c r="AY123" t="str">
        <f t="shared" si="61"/>
        <v/>
      </c>
      <c r="CA123" s="2890"/>
      <c r="CB123" s="2841" t="str">
        <f t="shared" si="63"/>
        <v/>
      </c>
      <c r="CC123" s="2841" t="str">
        <f t="shared" si="64"/>
        <v/>
      </c>
      <c r="CD123" s="2841" t="str">
        <f t="shared" si="65"/>
        <v/>
      </c>
      <c r="CE123" s="2841" t="str">
        <f t="shared" si="66"/>
        <v/>
      </c>
      <c r="CF123" s="2841" t="str">
        <f t="shared" si="67"/>
        <v/>
      </c>
      <c r="CG123" s="2841" t="str">
        <f t="shared" si="68"/>
        <v/>
      </c>
      <c r="CH123" s="2841" t="str">
        <f t="shared" si="78"/>
        <v/>
      </c>
      <c r="CI123" s="2841" t="str">
        <f t="shared" si="69"/>
        <v/>
      </c>
      <c r="CJ123" s="2841" t="str">
        <f t="shared" si="91"/>
        <v/>
      </c>
      <c r="CO123" s="3026"/>
      <c r="CP123" s="2842">
        <f t="shared" ref="CP123:CP142" si="94">IF(AND($F123&gt;0,AP123=""),1,IF(AP123&gt;$F123,1,0))</f>
        <v>0</v>
      </c>
      <c r="CQ123" s="2842">
        <f t="shared" ref="CQ123:CQ142" si="95">IF(AND($D123&gt;0,AQ123=""),1,IF(AQ123&gt;$D123,1,0))</f>
        <v>0</v>
      </c>
      <c r="CR123" s="2842">
        <f t="shared" si="86"/>
        <v>0</v>
      </c>
      <c r="CS123" s="2842">
        <f t="shared" si="74"/>
        <v>0</v>
      </c>
      <c r="CT123" s="2842">
        <f t="shared" ref="CT123:CT142" si="96">IF(AND($D123&gt;0,AT123=""),1,IF(AT123&gt;$D123,1,0))</f>
        <v>0</v>
      </c>
      <c r="CU123" s="2842">
        <f t="shared" ref="CU123:CU142" si="97">IF(AND($D123&gt;0,AU123=""),1,IF(AU123&gt;$D123,1,0))</f>
        <v>0</v>
      </c>
      <c r="CV123" s="2842">
        <f t="shared" ref="CV123:CV142" si="98">IF(AND($D123&gt;0,AV123=""),1,IF(AV123&gt;$D123,1,0))</f>
        <v>0</v>
      </c>
      <c r="CW123" s="2842">
        <f t="shared" ref="CW123:CW142" si="99">IF(AND($D123&gt;0,AW123=""),1,IF(AW123&gt;$D123,1,0))</f>
        <v>0</v>
      </c>
      <c r="CX123" s="2842">
        <f t="shared" si="92"/>
        <v>0</v>
      </c>
    </row>
    <row r="124" spans="1:102" ht="15" customHeight="1">
      <c r="A124" s="6597" t="s">
        <v>1764</v>
      </c>
      <c r="B124" s="6598"/>
      <c r="C124" s="6599"/>
      <c r="D124" s="1991">
        <f t="shared" si="82"/>
        <v>0</v>
      </c>
      <c r="E124" s="421">
        <f t="shared" si="93"/>
        <v>0</v>
      </c>
      <c r="F124" s="1654">
        <f t="shared" si="93"/>
        <v>0</v>
      </c>
      <c r="G124" s="1869"/>
      <c r="H124" s="3023"/>
      <c r="I124" s="1869"/>
      <c r="J124" s="3024"/>
      <c r="K124" s="1869"/>
      <c r="L124" s="3023"/>
      <c r="M124" s="1869"/>
      <c r="N124" s="3023"/>
      <c r="O124" s="1560"/>
      <c r="P124" s="3023"/>
      <c r="Q124" s="1560"/>
      <c r="R124" s="3023"/>
      <c r="S124" s="1560"/>
      <c r="T124" s="3023"/>
      <c r="U124" s="1560"/>
      <c r="V124" s="3023"/>
      <c r="W124" s="1560"/>
      <c r="X124" s="3023"/>
      <c r="Y124" s="1441"/>
      <c r="Z124" s="1680"/>
      <c r="AA124" s="1441"/>
      <c r="AB124" s="1680"/>
      <c r="AC124" s="1441"/>
      <c r="AD124" s="1680"/>
      <c r="AE124" s="1441"/>
      <c r="AF124" s="1680"/>
      <c r="AG124" s="1441"/>
      <c r="AH124" s="1680"/>
      <c r="AI124" s="1441"/>
      <c r="AJ124" s="1680"/>
      <c r="AK124" s="1441"/>
      <c r="AL124" s="1680"/>
      <c r="AM124" s="1441"/>
      <c r="AN124" s="1444"/>
      <c r="AO124" s="2039"/>
      <c r="AP124" s="1442"/>
      <c r="AQ124" s="1442"/>
      <c r="AR124" s="1442"/>
      <c r="AS124" s="1442"/>
      <c r="AT124" s="1443"/>
      <c r="AU124" s="2281"/>
      <c r="AV124" s="2117"/>
      <c r="AW124" s="1441"/>
      <c r="AX124" s="1452"/>
      <c r="AY124" t="str">
        <f t="shared" si="61"/>
        <v/>
      </c>
      <c r="CA124" s="2890"/>
      <c r="CB124" s="2841" t="str">
        <f t="shared" si="63"/>
        <v/>
      </c>
      <c r="CC124" s="2841" t="str">
        <f t="shared" si="64"/>
        <v/>
      </c>
      <c r="CD124" s="2841" t="str">
        <f t="shared" si="65"/>
        <v/>
      </c>
      <c r="CE124" s="2841" t="str">
        <f t="shared" si="66"/>
        <v/>
      </c>
      <c r="CF124" s="2841" t="str">
        <f t="shared" si="67"/>
        <v/>
      </c>
      <c r="CG124" s="2841" t="str">
        <f t="shared" si="68"/>
        <v/>
      </c>
      <c r="CH124" s="2841" t="str">
        <f t="shared" si="78"/>
        <v/>
      </c>
      <c r="CI124" s="2841" t="str">
        <f t="shared" si="69"/>
        <v/>
      </c>
      <c r="CJ124" s="2841" t="str">
        <f t="shared" si="91"/>
        <v/>
      </c>
      <c r="CO124" s="3026"/>
      <c r="CP124" s="2842">
        <f t="shared" si="94"/>
        <v>0</v>
      </c>
      <c r="CQ124" s="2842">
        <f t="shared" si="95"/>
        <v>0</v>
      </c>
      <c r="CR124" s="2842">
        <f t="shared" si="86"/>
        <v>0</v>
      </c>
      <c r="CS124" s="2842">
        <f t="shared" si="74"/>
        <v>0</v>
      </c>
      <c r="CT124" s="2842">
        <f t="shared" si="96"/>
        <v>0</v>
      </c>
      <c r="CU124" s="2842">
        <f t="shared" si="97"/>
        <v>0</v>
      </c>
      <c r="CV124" s="2842">
        <f t="shared" si="98"/>
        <v>0</v>
      </c>
      <c r="CW124" s="2842">
        <f t="shared" si="99"/>
        <v>0</v>
      </c>
      <c r="CX124" s="2842">
        <f t="shared" si="92"/>
        <v>0</v>
      </c>
    </row>
    <row r="125" spans="1:102" ht="15" customHeight="1">
      <c r="A125" s="6597" t="s">
        <v>1765</v>
      </c>
      <c r="B125" s="6598"/>
      <c r="C125" s="6599"/>
      <c r="D125" s="1991">
        <f t="shared" si="82"/>
        <v>0</v>
      </c>
      <c r="E125" s="421">
        <f t="shared" si="93"/>
        <v>0</v>
      </c>
      <c r="F125" s="1654">
        <f t="shared" si="93"/>
        <v>0</v>
      </c>
      <c r="G125" s="1869"/>
      <c r="H125" s="3023"/>
      <c r="I125" s="1869"/>
      <c r="J125" s="3024"/>
      <c r="K125" s="1869"/>
      <c r="L125" s="3023"/>
      <c r="M125" s="1869"/>
      <c r="N125" s="3023"/>
      <c r="O125" s="1560"/>
      <c r="P125" s="3023"/>
      <c r="Q125" s="1560"/>
      <c r="R125" s="3023"/>
      <c r="S125" s="1560"/>
      <c r="T125" s="3023"/>
      <c r="U125" s="1560"/>
      <c r="V125" s="3023"/>
      <c r="W125" s="1560"/>
      <c r="X125" s="3023"/>
      <c r="Y125" s="1441"/>
      <c r="Z125" s="1680"/>
      <c r="AA125" s="1441"/>
      <c r="AB125" s="1680"/>
      <c r="AC125" s="1441"/>
      <c r="AD125" s="1680"/>
      <c r="AE125" s="1441"/>
      <c r="AF125" s="1680"/>
      <c r="AG125" s="1441"/>
      <c r="AH125" s="1680"/>
      <c r="AI125" s="1441"/>
      <c r="AJ125" s="1680"/>
      <c r="AK125" s="1441"/>
      <c r="AL125" s="1680"/>
      <c r="AM125" s="1441"/>
      <c r="AN125" s="1444"/>
      <c r="AO125" s="2039"/>
      <c r="AP125" s="1442"/>
      <c r="AQ125" s="1442"/>
      <c r="AR125" s="1442"/>
      <c r="AS125" s="1442"/>
      <c r="AT125" s="1443"/>
      <c r="AU125" s="2281"/>
      <c r="AV125" s="2117"/>
      <c r="AW125" s="1441"/>
      <c r="AX125" s="1452"/>
      <c r="AY125" t="str">
        <f t="shared" si="61"/>
        <v/>
      </c>
      <c r="CA125" s="2890"/>
      <c r="CB125" s="2841" t="str">
        <f t="shared" si="63"/>
        <v/>
      </c>
      <c r="CC125" s="2841" t="str">
        <f t="shared" si="64"/>
        <v/>
      </c>
      <c r="CD125" s="2841" t="str">
        <f t="shared" si="65"/>
        <v/>
      </c>
      <c r="CE125" s="2841" t="str">
        <f t="shared" si="66"/>
        <v/>
      </c>
      <c r="CF125" s="2841" t="str">
        <f t="shared" si="67"/>
        <v/>
      </c>
      <c r="CG125" s="2841" t="str">
        <f t="shared" si="68"/>
        <v/>
      </c>
      <c r="CH125" s="2841" t="str">
        <f t="shared" si="78"/>
        <v/>
      </c>
      <c r="CI125" s="2841" t="str">
        <f t="shared" si="69"/>
        <v/>
      </c>
      <c r="CJ125" s="2841" t="str">
        <f t="shared" si="91"/>
        <v/>
      </c>
      <c r="CO125" s="3026"/>
      <c r="CP125" s="2842">
        <f t="shared" si="94"/>
        <v>0</v>
      </c>
      <c r="CQ125" s="2842">
        <f t="shared" si="95"/>
        <v>0</v>
      </c>
      <c r="CR125" s="2842">
        <f t="shared" si="86"/>
        <v>0</v>
      </c>
      <c r="CS125" s="2842">
        <f t="shared" si="74"/>
        <v>0</v>
      </c>
      <c r="CT125" s="2842">
        <f t="shared" si="96"/>
        <v>0</v>
      </c>
      <c r="CU125" s="2842">
        <f t="shared" si="97"/>
        <v>0</v>
      </c>
      <c r="CV125" s="2842">
        <f t="shared" si="98"/>
        <v>0</v>
      </c>
      <c r="CW125" s="2842">
        <f t="shared" si="99"/>
        <v>0</v>
      </c>
      <c r="CX125" s="2842">
        <f t="shared" si="92"/>
        <v>0</v>
      </c>
    </row>
    <row r="126" spans="1:102" ht="15" customHeight="1">
      <c r="A126" s="6597" t="s">
        <v>1766</v>
      </c>
      <c r="B126" s="6598"/>
      <c r="C126" s="6599"/>
      <c r="D126" s="1991">
        <f t="shared" si="82"/>
        <v>0</v>
      </c>
      <c r="E126" s="421">
        <f>SUM(Q126+S126+U126+W126+Y126+AA126+AC126+AE126+AG126+AI126+AK126+AM126)</f>
        <v>0</v>
      </c>
      <c r="F126" s="1654">
        <f>SUM(R126+T126+V126+X126+Z126+AB126+AD126+AF126+AH126+AJ126+AL126+AN126)</f>
        <v>0</v>
      </c>
      <c r="G126" s="1869"/>
      <c r="H126" s="3023"/>
      <c r="I126" s="1869"/>
      <c r="J126" s="3024"/>
      <c r="K126" s="1869"/>
      <c r="L126" s="3023"/>
      <c r="M126" s="1869"/>
      <c r="N126" s="3023"/>
      <c r="O126" s="1560"/>
      <c r="P126" s="3023"/>
      <c r="Q126" s="1441"/>
      <c r="R126" s="1680"/>
      <c r="S126" s="1441"/>
      <c r="T126" s="1680"/>
      <c r="U126" s="1441"/>
      <c r="V126" s="1680"/>
      <c r="W126" s="1441"/>
      <c r="X126" s="1680"/>
      <c r="Y126" s="1441"/>
      <c r="Z126" s="1680"/>
      <c r="AA126" s="1441"/>
      <c r="AB126" s="1680"/>
      <c r="AC126" s="1441"/>
      <c r="AD126" s="1680"/>
      <c r="AE126" s="1441"/>
      <c r="AF126" s="1680"/>
      <c r="AG126" s="1441"/>
      <c r="AH126" s="1680"/>
      <c r="AI126" s="1441"/>
      <c r="AJ126" s="1680"/>
      <c r="AK126" s="1441"/>
      <c r="AL126" s="1680"/>
      <c r="AM126" s="1441"/>
      <c r="AN126" s="1444"/>
      <c r="AO126" s="1709"/>
      <c r="AP126" s="1442"/>
      <c r="AQ126" s="1442"/>
      <c r="AR126" s="1442"/>
      <c r="AS126" s="1442"/>
      <c r="AT126" s="1443"/>
      <c r="AU126" s="2281"/>
      <c r="AV126" s="2117"/>
      <c r="AW126" s="1441"/>
      <c r="AX126" s="1452"/>
      <c r="AY126" t="str">
        <f t="shared" si="61"/>
        <v/>
      </c>
      <c r="CA126" s="2841" t="str">
        <f t="shared" si="83"/>
        <v/>
      </c>
      <c r="CB126" s="2841" t="str">
        <f t="shared" si="63"/>
        <v/>
      </c>
      <c r="CC126" s="2841" t="str">
        <f t="shared" si="64"/>
        <v/>
      </c>
      <c r="CD126" s="2841" t="str">
        <f t="shared" si="65"/>
        <v/>
      </c>
      <c r="CE126" s="2841" t="str">
        <f t="shared" si="66"/>
        <v/>
      </c>
      <c r="CF126" s="2841" t="str">
        <f t="shared" si="67"/>
        <v/>
      </c>
      <c r="CG126" s="2841" t="str">
        <f t="shared" si="68"/>
        <v/>
      </c>
      <c r="CH126" s="2841" t="str">
        <f t="shared" si="78"/>
        <v/>
      </c>
      <c r="CI126" s="2841" t="str">
        <f t="shared" si="69"/>
        <v/>
      </c>
      <c r="CJ126" s="2841" t="str">
        <f t="shared" si="91"/>
        <v/>
      </c>
      <c r="CO126" s="2842">
        <f t="shared" si="84"/>
        <v>0</v>
      </c>
      <c r="CP126" s="2842">
        <f t="shared" si="94"/>
        <v>0</v>
      </c>
      <c r="CQ126" s="2842">
        <f t="shared" si="95"/>
        <v>0</v>
      </c>
      <c r="CR126" s="2842">
        <f t="shared" si="86"/>
        <v>0</v>
      </c>
      <c r="CS126" s="2842">
        <f t="shared" si="74"/>
        <v>0</v>
      </c>
      <c r="CT126" s="2842">
        <f t="shared" si="96"/>
        <v>0</v>
      </c>
      <c r="CU126" s="2842">
        <f t="shared" si="97"/>
        <v>0</v>
      </c>
      <c r="CV126" s="2842">
        <f t="shared" si="98"/>
        <v>0</v>
      </c>
      <c r="CW126" s="2842">
        <f t="shared" si="99"/>
        <v>0</v>
      </c>
      <c r="CX126" s="2842">
        <f t="shared" si="92"/>
        <v>0</v>
      </c>
    </row>
    <row r="127" spans="1:102" ht="15" customHeight="1">
      <c r="A127" s="6597" t="s">
        <v>1767</v>
      </c>
      <c r="B127" s="6598"/>
      <c r="C127" s="6599"/>
      <c r="D127" s="1991">
        <f t="shared" si="82"/>
        <v>0</v>
      </c>
      <c r="E127" s="421">
        <f t="shared" si="93"/>
        <v>0</v>
      </c>
      <c r="F127" s="1654">
        <f t="shared" si="93"/>
        <v>0</v>
      </c>
      <c r="G127" s="1869"/>
      <c r="H127" s="3023"/>
      <c r="I127" s="1869"/>
      <c r="J127" s="3024"/>
      <c r="K127" s="1869"/>
      <c r="L127" s="3023"/>
      <c r="M127" s="1869"/>
      <c r="N127" s="3023"/>
      <c r="O127" s="1560"/>
      <c r="P127" s="3023"/>
      <c r="Q127" s="1560"/>
      <c r="R127" s="3023"/>
      <c r="S127" s="1560"/>
      <c r="T127" s="3023"/>
      <c r="U127" s="1560"/>
      <c r="V127" s="3023"/>
      <c r="W127" s="1560"/>
      <c r="X127" s="3023"/>
      <c r="Y127" s="1441"/>
      <c r="Z127" s="1680"/>
      <c r="AA127" s="1441"/>
      <c r="AB127" s="1680"/>
      <c r="AC127" s="1441"/>
      <c r="AD127" s="1680"/>
      <c r="AE127" s="1441"/>
      <c r="AF127" s="1680"/>
      <c r="AG127" s="1441"/>
      <c r="AH127" s="1680"/>
      <c r="AI127" s="1441"/>
      <c r="AJ127" s="1680"/>
      <c r="AK127" s="1441"/>
      <c r="AL127" s="1680"/>
      <c r="AM127" s="1441"/>
      <c r="AN127" s="1444"/>
      <c r="AO127" s="2039"/>
      <c r="AP127" s="1442"/>
      <c r="AQ127" s="1442"/>
      <c r="AR127" s="1442"/>
      <c r="AS127" s="1442"/>
      <c r="AT127" s="1443"/>
      <c r="AU127" s="2281"/>
      <c r="AV127" s="2117"/>
      <c r="AW127" s="1441"/>
      <c r="AX127" s="1452"/>
      <c r="AY127" t="str">
        <f t="shared" si="61"/>
        <v/>
      </c>
      <c r="CA127" s="2890"/>
      <c r="CB127" s="2841" t="str">
        <f t="shared" si="63"/>
        <v/>
      </c>
      <c r="CC127" s="2841" t="str">
        <f t="shared" si="64"/>
        <v/>
      </c>
      <c r="CD127" s="2841" t="str">
        <f t="shared" si="65"/>
        <v/>
      </c>
      <c r="CE127" s="2841" t="str">
        <f t="shared" si="66"/>
        <v/>
      </c>
      <c r="CF127" s="2841" t="str">
        <f t="shared" si="67"/>
        <v/>
      </c>
      <c r="CG127" s="2841" t="str">
        <f t="shared" si="68"/>
        <v/>
      </c>
      <c r="CH127" s="2841" t="str">
        <f t="shared" si="78"/>
        <v/>
      </c>
      <c r="CI127" s="2841" t="str">
        <f t="shared" si="69"/>
        <v/>
      </c>
      <c r="CJ127" s="2841" t="str">
        <f t="shared" si="91"/>
        <v/>
      </c>
      <c r="CO127" s="2890"/>
      <c r="CP127" s="2842">
        <f t="shared" si="94"/>
        <v>0</v>
      </c>
      <c r="CQ127" s="2842">
        <f t="shared" si="95"/>
        <v>0</v>
      </c>
      <c r="CR127" s="2842">
        <f t="shared" si="86"/>
        <v>0</v>
      </c>
      <c r="CS127" s="2842">
        <f t="shared" si="74"/>
        <v>0</v>
      </c>
      <c r="CT127" s="2842">
        <f t="shared" si="96"/>
        <v>0</v>
      </c>
      <c r="CU127" s="2842">
        <f t="shared" si="97"/>
        <v>0</v>
      </c>
      <c r="CV127" s="2842">
        <f t="shared" si="98"/>
        <v>0</v>
      </c>
      <c r="CW127" s="2842">
        <f t="shared" si="99"/>
        <v>0</v>
      </c>
      <c r="CX127" s="2842">
        <f t="shared" si="92"/>
        <v>0</v>
      </c>
    </row>
    <row r="128" spans="1:102" ht="15" customHeight="1">
      <c r="A128" s="6597" t="s">
        <v>1768</v>
      </c>
      <c r="B128" s="6598"/>
      <c r="C128" s="6599"/>
      <c r="D128" s="1991">
        <f t="shared" si="82"/>
        <v>0</v>
      </c>
      <c r="E128" s="421">
        <f t="shared" ref="E128:E143" si="100">SUM(G128+I128+K128+M128+O128+Q128+S128+U128+W128+Y128+AA128+AC128+AE128+AG128+AI128+AK128+AM128)</f>
        <v>0</v>
      </c>
      <c r="F128" s="1654">
        <f t="shared" ref="F128:F143" si="101">SUM(H128+J128+L128+N128+P128+R128+T128+V128+X128+Z128+AB128+AD128+AF128+AH128+AJ128+AL128+AN128)</f>
        <v>0</v>
      </c>
      <c r="G128" s="1440"/>
      <c r="H128" s="1680"/>
      <c r="I128" s="1440"/>
      <c r="J128" s="1443"/>
      <c r="K128" s="1440"/>
      <c r="L128" s="1680"/>
      <c r="M128" s="1440"/>
      <c r="N128" s="1680"/>
      <c r="O128" s="1441"/>
      <c r="P128" s="1680"/>
      <c r="Q128" s="1441"/>
      <c r="R128" s="1680"/>
      <c r="S128" s="1441"/>
      <c r="T128" s="1680"/>
      <c r="U128" s="1441"/>
      <c r="V128" s="1680"/>
      <c r="W128" s="1441"/>
      <c r="X128" s="1680"/>
      <c r="Y128" s="1441"/>
      <c r="Z128" s="1680"/>
      <c r="AA128" s="1441"/>
      <c r="AB128" s="1680"/>
      <c r="AC128" s="1441"/>
      <c r="AD128" s="1680"/>
      <c r="AE128" s="1441"/>
      <c r="AF128" s="1680"/>
      <c r="AG128" s="1441"/>
      <c r="AH128" s="1680"/>
      <c r="AI128" s="1441"/>
      <c r="AJ128" s="1680"/>
      <c r="AK128" s="1441"/>
      <c r="AL128" s="1680"/>
      <c r="AM128" s="1441"/>
      <c r="AN128" s="1444"/>
      <c r="AO128" s="1709"/>
      <c r="AP128" s="1442"/>
      <c r="AQ128" s="1442"/>
      <c r="AR128" s="1442"/>
      <c r="AS128" s="1442"/>
      <c r="AT128" s="1443"/>
      <c r="AU128" s="2281"/>
      <c r="AV128" s="2117"/>
      <c r="AW128" s="1441"/>
      <c r="AX128" s="1870"/>
      <c r="AY128" t="str">
        <f t="shared" si="61"/>
        <v/>
      </c>
      <c r="CA128" s="2841" t="str">
        <f t="shared" si="83"/>
        <v/>
      </c>
      <c r="CB128" s="2841" t="str">
        <f t="shared" si="63"/>
        <v/>
      </c>
      <c r="CC128" s="2841" t="str">
        <f t="shared" si="64"/>
        <v/>
      </c>
      <c r="CD128" s="2841" t="str">
        <f t="shared" si="65"/>
        <v/>
      </c>
      <c r="CE128" s="2841" t="str">
        <f t="shared" si="66"/>
        <v/>
      </c>
      <c r="CF128" s="2841" t="str">
        <f t="shared" si="67"/>
        <v/>
      </c>
      <c r="CG128" s="2841" t="str">
        <f t="shared" si="68"/>
        <v/>
      </c>
      <c r="CH128" s="2841" t="str">
        <f t="shared" si="78"/>
        <v/>
      </c>
      <c r="CI128" s="2841" t="str">
        <f t="shared" si="69"/>
        <v/>
      </c>
      <c r="CJ128" s="2890"/>
      <c r="CO128" s="2842">
        <f t="shared" ref="CO128:CO129" si="102">IF(AND($D128&gt;0,AO128=""),1,IF(AO128&gt;$D128,1,0))</f>
        <v>0</v>
      </c>
      <c r="CP128" s="2842">
        <f t="shared" si="94"/>
        <v>0</v>
      </c>
      <c r="CQ128" s="2842">
        <f t="shared" si="95"/>
        <v>0</v>
      </c>
      <c r="CR128" s="2842">
        <f t="shared" si="86"/>
        <v>0</v>
      </c>
      <c r="CS128" s="2842">
        <f t="shared" si="74"/>
        <v>0</v>
      </c>
      <c r="CT128" s="2842">
        <f t="shared" si="96"/>
        <v>0</v>
      </c>
      <c r="CU128" s="2842">
        <f t="shared" si="97"/>
        <v>0</v>
      </c>
      <c r="CV128" s="2842">
        <f t="shared" si="98"/>
        <v>0</v>
      </c>
      <c r="CW128" s="2842">
        <f t="shared" si="99"/>
        <v>0</v>
      </c>
      <c r="CX128" s="2890"/>
    </row>
    <row r="129" spans="1:102" ht="15" customHeight="1">
      <c r="A129" s="6597" t="s">
        <v>1769</v>
      </c>
      <c r="B129" s="6598"/>
      <c r="C129" s="6599"/>
      <c r="D129" s="1991">
        <f t="shared" si="82"/>
        <v>0</v>
      </c>
      <c r="E129" s="421">
        <f t="shared" si="100"/>
        <v>0</v>
      </c>
      <c r="F129" s="1654">
        <f t="shared" si="101"/>
        <v>0</v>
      </c>
      <c r="G129" s="1440"/>
      <c r="H129" s="1680"/>
      <c r="I129" s="1440"/>
      <c r="J129" s="1443"/>
      <c r="K129" s="1440"/>
      <c r="L129" s="1680"/>
      <c r="M129" s="1440"/>
      <c r="N129" s="1680"/>
      <c r="O129" s="1441"/>
      <c r="P129" s="1680"/>
      <c r="Q129" s="1441"/>
      <c r="R129" s="1680"/>
      <c r="S129" s="1441"/>
      <c r="T129" s="1680"/>
      <c r="U129" s="1441"/>
      <c r="V129" s="1680"/>
      <c r="W129" s="1441"/>
      <c r="X129" s="1680"/>
      <c r="Y129" s="1441"/>
      <c r="Z129" s="1680"/>
      <c r="AA129" s="1441"/>
      <c r="AB129" s="1680"/>
      <c r="AC129" s="1441"/>
      <c r="AD129" s="1680"/>
      <c r="AE129" s="1441"/>
      <c r="AF129" s="1680"/>
      <c r="AG129" s="1441"/>
      <c r="AH129" s="1680"/>
      <c r="AI129" s="1441"/>
      <c r="AJ129" s="1680"/>
      <c r="AK129" s="1441"/>
      <c r="AL129" s="1680"/>
      <c r="AM129" s="1441"/>
      <c r="AN129" s="1444"/>
      <c r="AO129" s="1709"/>
      <c r="AP129" s="1442"/>
      <c r="AQ129" s="1442"/>
      <c r="AR129" s="1442"/>
      <c r="AS129" s="1442"/>
      <c r="AT129" s="1443"/>
      <c r="AU129" s="2281"/>
      <c r="AV129" s="2117"/>
      <c r="AW129" s="1441"/>
      <c r="AX129" s="1870"/>
      <c r="AY129" t="str">
        <f t="shared" si="61"/>
        <v/>
      </c>
      <c r="CA129" s="2841" t="str">
        <f t="shared" si="83"/>
        <v/>
      </c>
      <c r="CB129" s="2841" t="str">
        <f t="shared" si="63"/>
        <v/>
      </c>
      <c r="CC129" s="2841" t="str">
        <f t="shared" si="64"/>
        <v/>
      </c>
      <c r="CD129" s="2841" t="str">
        <f t="shared" si="65"/>
        <v/>
      </c>
      <c r="CE129" s="2841" t="str">
        <f t="shared" si="66"/>
        <v/>
      </c>
      <c r="CF129" s="2841" t="str">
        <f t="shared" si="67"/>
        <v/>
      </c>
      <c r="CG129" s="2841" t="str">
        <f t="shared" si="68"/>
        <v/>
      </c>
      <c r="CH129" s="2841" t="str">
        <f t="shared" si="78"/>
        <v/>
      </c>
      <c r="CI129" s="2841" t="str">
        <f t="shared" si="69"/>
        <v/>
      </c>
      <c r="CJ129" s="2890"/>
      <c r="CO129" s="2842">
        <f t="shared" si="102"/>
        <v>0</v>
      </c>
      <c r="CP129" s="2842">
        <f t="shared" si="94"/>
        <v>0</v>
      </c>
      <c r="CQ129" s="2842">
        <f t="shared" si="95"/>
        <v>0</v>
      </c>
      <c r="CR129" s="2842">
        <f t="shared" si="86"/>
        <v>0</v>
      </c>
      <c r="CS129" s="2842">
        <f t="shared" si="74"/>
        <v>0</v>
      </c>
      <c r="CT129" s="2842">
        <f t="shared" si="96"/>
        <v>0</v>
      </c>
      <c r="CU129" s="2842">
        <f t="shared" si="97"/>
        <v>0</v>
      </c>
      <c r="CV129" s="2842">
        <f t="shared" si="98"/>
        <v>0</v>
      </c>
      <c r="CW129" s="2842">
        <f t="shared" si="99"/>
        <v>0</v>
      </c>
      <c r="CX129" s="2890"/>
    </row>
    <row r="130" spans="1:102" ht="15" customHeight="1">
      <c r="A130" s="6597" t="s">
        <v>1770</v>
      </c>
      <c r="B130" s="6598"/>
      <c r="C130" s="6599"/>
      <c r="D130" s="1991">
        <f t="shared" si="82"/>
        <v>0</v>
      </c>
      <c r="E130" s="421">
        <f t="shared" si="100"/>
        <v>0</v>
      </c>
      <c r="F130" s="1654">
        <f t="shared" si="101"/>
        <v>0</v>
      </c>
      <c r="G130" s="1440"/>
      <c r="H130" s="1680"/>
      <c r="I130" s="1440"/>
      <c r="J130" s="1443"/>
      <c r="K130" s="1440"/>
      <c r="L130" s="1680"/>
      <c r="M130" s="1440"/>
      <c r="N130" s="1680"/>
      <c r="O130" s="1441"/>
      <c r="P130" s="1680"/>
      <c r="Q130" s="1441"/>
      <c r="R130" s="1680"/>
      <c r="S130" s="1441"/>
      <c r="T130" s="1680"/>
      <c r="U130" s="1441"/>
      <c r="V130" s="1680"/>
      <c r="W130" s="1441"/>
      <c r="X130" s="1680"/>
      <c r="Y130" s="1441"/>
      <c r="Z130" s="1680"/>
      <c r="AA130" s="1441"/>
      <c r="AB130" s="1680"/>
      <c r="AC130" s="1441"/>
      <c r="AD130" s="1680"/>
      <c r="AE130" s="1441"/>
      <c r="AF130" s="1680"/>
      <c r="AG130" s="1441"/>
      <c r="AH130" s="1680"/>
      <c r="AI130" s="1441"/>
      <c r="AJ130" s="1680"/>
      <c r="AK130" s="1441"/>
      <c r="AL130" s="1680"/>
      <c r="AM130" s="1441"/>
      <c r="AN130" s="1444"/>
      <c r="AO130" s="1709"/>
      <c r="AP130" s="1442"/>
      <c r="AQ130" s="1442"/>
      <c r="AR130" s="1442"/>
      <c r="AS130" s="1442"/>
      <c r="AT130" s="1443"/>
      <c r="AU130" s="2281"/>
      <c r="AV130" s="2117"/>
      <c r="AW130" s="1441"/>
      <c r="AX130" s="1870"/>
      <c r="AY130" t="str">
        <f t="shared" si="61"/>
        <v/>
      </c>
      <c r="CA130" s="2841" t="str">
        <f t="shared" si="83"/>
        <v/>
      </c>
      <c r="CB130" s="2841" t="str">
        <f t="shared" si="63"/>
        <v/>
      </c>
      <c r="CC130" s="2841" t="str">
        <f t="shared" si="64"/>
        <v/>
      </c>
      <c r="CD130" s="2841" t="str">
        <f t="shared" si="65"/>
        <v/>
      </c>
      <c r="CE130" s="2841" t="str">
        <f t="shared" si="66"/>
        <v/>
      </c>
      <c r="CF130" s="2841" t="str">
        <f t="shared" si="67"/>
        <v/>
      </c>
      <c r="CG130" s="2841" t="str">
        <f t="shared" si="68"/>
        <v/>
      </c>
      <c r="CH130" s="2841" t="str">
        <f t="shared" si="78"/>
        <v/>
      </c>
      <c r="CI130" s="2841" t="str">
        <f t="shared" si="69"/>
        <v/>
      </c>
      <c r="CJ130" s="2890"/>
      <c r="CO130" s="2842">
        <f t="shared" ref="CO130:CO142" si="103">IF(AND($D130&gt;0,AO130=""),1,IF(AO130&gt;D130,1,0))</f>
        <v>0</v>
      </c>
      <c r="CP130" s="2842">
        <f t="shared" si="94"/>
        <v>0</v>
      </c>
      <c r="CQ130" s="2842">
        <f t="shared" si="95"/>
        <v>0</v>
      </c>
      <c r="CR130" s="2842">
        <f t="shared" si="86"/>
        <v>0</v>
      </c>
      <c r="CS130" s="2842">
        <f t="shared" si="74"/>
        <v>0</v>
      </c>
      <c r="CT130" s="2842">
        <f t="shared" si="96"/>
        <v>0</v>
      </c>
      <c r="CU130" s="2842">
        <f t="shared" si="97"/>
        <v>0</v>
      </c>
      <c r="CV130" s="2842">
        <f t="shared" si="98"/>
        <v>0</v>
      </c>
      <c r="CW130" s="2842">
        <f t="shared" si="99"/>
        <v>0</v>
      </c>
      <c r="CX130" s="2890"/>
    </row>
    <row r="131" spans="1:102" ht="15" customHeight="1">
      <c r="A131" s="6597" t="s">
        <v>1771</v>
      </c>
      <c r="B131" s="6598"/>
      <c r="C131" s="6599"/>
      <c r="D131" s="1991">
        <f t="shared" si="82"/>
        <v>0</v>
      </c>
      <c r="E131" s="421">
        <f t="shared" si="100"/>
        <v>0</v>
      </c>
      <c r="F131" s="1654">
        <f t="shared" si="101"/>
        <v>0</v>
      </c>
      <c r="G131" s="1440"/>
      <c r="H131" s="1680"/>
      <c r="I131" s="1440"/>
      <c r="J131" s="1443"/>
      <c r="K131" s="1440"/>
      <c r="L131" s="1680"/>
      <c r="M131" s="1440"/>
      <c r="N131" s="1680"/>
      <c r="O131" s="1441"/>
      <c r="P131" s="1680"/>
      <c r="Q131" s="1441"/>
      <c r="R131" s="1680"/>
      <c r="S131" s="1441"/>
      <c r="T131" s="1680"/>
      <c r="U131" s="1441"/>
      <c r="V131" s="1680"/>
      <c r="W131" s="1441"/>
      <c r="X131" s="1680"/>
      <c r="Y131" s="1441"/>
      <c r="Z131" s="1680"/>
      <c r="AA131" s="1441"/>
      <c r="AB131" s="1680"/>
      <c r="AC131" s="1441"/>
      <c r="AD131" s="1680"/>
      <c r="AE131" s="1441"/>
      <c r="AF131" s="1680"/>
      <c r="AG131" s="1441"/>
      <c r="AH131" s="1680"/>
      <c r="AI131" s="1441"/>
      <c r="AJ131" s="1680"/>
      <c r="AK131" s="1441"/>
      <c r="AL131" s="1680"/>
      <c r="AM131" s="1441"/>
      <c r="AN131" s="1444"/>
      <c r="AO131" s="1709"/>
      <c r="AP131" s="1442"/>
      <c r="AQ131" s="1442"/>
      <c r="AR131" s="1442"/>
      <c r="AS131" s="1442"/>
      <c r="AT131" s="1443"/>
      <c r="AU131" s="2281"/>
      <c r="AV131" s="2117"/>
      <c r="AW131" s="1441"/>
      <c r="AX131" s="1870"/>
      <c r="AY131" t="str">
        <f t="shared" si="61"/>
        <v/>
      </c>
      <c r="CA131" s="2841" t="str">
        <f t="shared" si="83"/>
        <v/>
      </c>
      <c r="CB131" s="2841" t="str">
        <f t="shared" si="63"/>
        <v/>
      </c>
      <c r="CC131" s="2841" t="str">
        <f t="shared" si="64"/>
        <v/>
      </c>
      <c r="CD131" s="2841" t="str">
        <f t="shared" si="65"/>
        <v/>
      </c>
      <c r="CE131" s="2841" t="str">
        <f t="shared" si="66"/>
        <v/>
      </c>
      <c r="CF131" s="2841" t="str">
        <f t="shared" si="67"/>
        <v/>
      </c>
      <c r="CG131" s="2841" t="str">
        <f t="shared" si="68"/>
        <v/>
      </c>
      <c r="CH131" s="2841" t="str">
        <f t="shared" si="78"/>
        <v/>
      </c>
      <c r="CI131" s="2841" t="str">
        <f t="shared" si="69"/>
        <v/>
      </c>
      <c r="CJ131" s="2890"/>
      <c r="CO131" s="2842">
        <f t="shared" si="103"/>
        <v>0</v>
      </c>
      <c r="CP131" s="2842">
        <f t="shared" si="94"/>
        <v>0</v>
      </c>
      <c r="CQ131" s="2842">
        <f t="shared" si="95"/>
        <v>0</v>
      </c>
      <c r="CR131" s="2842">
        <f t="shared" si="86"/>
        <v>0</v>
      </c>
      <c r="CS131" s="2842">
        <f t="shared" si="74"/>
        <v>0</v>
      </c>
      <c r="CT131" s="2842">
        <f t="shared" si="96"/>
        <v>0</v>
      </c>
      <c r="CU131" s="2842">
        <f t="shared" si="97"/>
        <v>0</v>
      </c>
      <c r="CV131" s="2842">
        <f t="shared" si="98"/>
        <v>0</v>
      </c>
      <c r="CW131" s="2842">
        <f t="shared" si="99"/>
        <v>0</v>
      </c>
      <c r="CX131" s="2890"/>
    </row>
    <row r="132" spans="1:102" ht="15" customHeight="1">
      <c r="A132" s="6597" t="s">
        <v>1772</v>
      </c>
      <c r="B132" s="6598"/>
      <c r="C132" s="6599"/>
      <c r="D132" s="1991">
        <f t="shared" si="82"/>
        <v>0</v>
      </c>
      <c r="E132" s="421">
        <f t="shared" si="100"/>
        <v>0</v>
      </c>
      <c r="F132" s="1654">
        <f t="shared" si="101"/>
        <v>0</v>
      </c>
      <c r="G132" s="1440"/>
      <c r="H132" s="1680"/>
      <c r="I132" s="1440"/>
      <c r="J132" s="1443"/>
      <c r="K132" s="1440"/>
      <c r="L132" s="1680"/>
      <c r="M132" s="1440"/>
      <c r="N132" s="1680"/>
      <c r="O132" s="1441"/>
      <c r="P132" s="1680"/>
      <c r="Q132" s="1441"/>
      <c r="R132" s="1680"/>
      <c r="S132" s="1441"/>
      <c r="T132" s="1680"/>
      <c r="U132" s="1441"/>
      <c r="V132" s="1680"/>
      <c r="W132" s="1441"/>
      <c r="X132" s="1680"/>
      <c r="Y132" s="1441"/>
      <c r="Z132" s="1680"/>
      <c r="AA132" s="1441"/>
      <c r="AB132" s="1680"/>
      <c r="AC132" s="1441"/>
      <c r="AD132" s="1680"/>
      <c r="AE132" s="1441"/>
      <c r="AF132" s="1680"/>
      <c r="AG132" s="1441"/>
      <c r="AH132" s="1680"/>
      <c r="AI132" s="1441"/>
      <c r="AJ132" s="1680"/>
      <c r="AK132" s="1441"/>
      <c r="AL132" s="1680"/>
      <c r="AM132" s="1441"/>
      <c r="AN132" s="1444"/>
      <c r="AO132" s="1709"/>
      <c r="AP132" s="1442"/>
      <c r="AQ132" s="1442"/>
      <c r="AR132" s="1442"/>
      <c r="AS132" s="1442"/>
      <c r="AT132" s="1443"/>
      <c r="AU132" s="2281"/>
      <c r="AV132" s="2117"/>
      <c r="AW132" s="1441"/>
      <c r="AX132" s="1870"/>
      <c r="AY132" t="str">
        <f t="shared" si="61"/>
        <v/>
      </c>
      <c r="CA132" s="2841" t="str">
        <f t="shared" si="83"/>
        <v/>
      </c>
      <c r="CB132" s="2841" t="str">
        <f t="shared" si="63"/>
        <v/>
      </c>
      <c r="CC132" s="2841" t="str">
        <f t="shared" si="64"/>
        <v/>
      </c>
      <c r="CD132" s="2841" t="str">
        <f t="shared" si="65"/>
        <v/>
      </c>
      <c r="CE132" s="2841" t="str">
        <f t="shared" si="66"/>
        <v/>
      </c>
      <c r="CF132" s="2841" t="str">
        <f t="shared" si="67"/>
        <v/>
      </c>
      <c r="CG132" s="2841" t="str">
        <f t="shared" si="68"/>
        <v/>
      </c>
      <c r="CH132" s="2841" t="str">
        <f t="shared" si="78"/>
        <v/>
      </c>
      <c r="CI132" s="2841" t="str">
        <f t="shared" si="69"/>
        <v/>
      </c>
      <c r="CJ132" s="2890"/>
      <c r="CO132" s="2842">
        <f t="shared" si="103"/>
        <v>0</v>
      </c>
      <c r="CP132" s="2842">
        <f t="shared" si="94"/>
        <v>0</v>
      </c>
      <c r="CQ132" s="2842">
        <f t="shared" si="95"/>
        <v>0</v>
      </c>
      <c r="CR132" s="2842">
        <f t="shared" si="86"/>
        <v>0</v>
      </c>
      <c r="CS132" s="2842">
        <f t="shared" si="74"/>
        <v>0</v>
      </c>
      <c r="CT132" s="2842">
        <f t="shared" si="96"/>
        <v>0</v>
      </c>
      <c r="CU132" s="2842">
        <f t="shared" si="97"/>
        <v>0</v>
      </c>
      <c r="CV132" s="2842">
        <f t="shared" si="98"/>
        <v>0</v>
      </c>
      <c r="CW132" s="2842">
        <f t="shared" si="99"/>
        <v>0</v>
      </c>
      <c r="CX132" s="2890"/>
    </row>
    <row r="133" spans="1:102" ht="15" customHeight="1">
      <c r="A133" s="6597" t="s">
        <v>1773</v>
      </c>
      <c r="B133" s="6598"/>
      <c r="C133" s="6599"/>
      <c r="D133" s="1991">
        <f t="shared" si="82"/>
        <v>0</v>
      </c>
      <c r="E133" s="421">
        <f t="shared" si="100"/>
        <v>0</v>
      </c>
      <c r="F133" s="1654">
        <f t="shared" si="101"/>
        <v>0</v>
      </c>
      <c r="G133" s="1440"/>
      <c r="H133" s="1680"/>
      <c r="I133" s="1440"/>
      <c r="J133" s="1443"/>
      <c r="K133" s="1440"/>
      <c r="L133" s="1680"/>
      <c r="M133" s="1440"/>
      <c r="N133" s="1680"/>
      <c r="O133" s="1441"/>
      <c r="P133" s="1680"/>
      <c r="Q133" s="1441"/>
      <c r="R133" s="1680"/>
      <c r="S133" s="1441"/>
      <c r="T133" s="1680"/>
      <c r="U133" s="1441"/>
      <c r="V133" s="1680"/>
      <c r="W133" s="1441"/>
      <c r="X133" s="1680"/>
      <c r="Y133" s="1441"/>
      <c r="Z133" s="1680"/>
      <c r="AA133" s="1441"/>
      <c r="AB133" s="1680"/>
      <c r="AC133" s="1441"/>
      <c r="AD133" s="1680"/>
      <c r="AE133" s="1441"/>
      <c r="AF133" s="1680"/>
      <c r="AG133" s="1441"/>
      <c r="AH133" s="1680"/>
      <c r="AI133" s="1441"/>
      <c r="AJ133" s="1680"/>
      <c r="AK133" s="1441"/>
      <c r="AL133" s="1680"/>
      <c r="AM133" s="1441"/>
      <c r="AN133" s="1444"/>
      <c r="AO133" s="1709"/>
      <c r="AP133" s="1442"/>
      <c r="AQ133" s="1442"/>
      <c r="AR133" s="1442"/>
      <c r="AS133" s="1442"/>
      <c r="AT133" s="1443"/>
      <c r="AU133" s="2281"/>
      <c r="AV133" s="2117"/>
      <c r="AW133" s="1441"/>
      <c r="AX133" s="1870"/>
      <c r="AY133" t="str">
        <f t="shared" si="61"/>
        <v/>
      </c>
      <c r="CA133" s="2841" t="str">
        <f t="shared" si="83"/>
        <v/>
      </c>
      <c r="CB133" s="2841" t="str">
        <f t="shared" si="63"/>
        <v/>
      </c>
      <c r="CC133" s="2841" t="str">
        <f t="shared" si="64"/>
        <v/>
      </c>
      <c r="CD133" s="2841" t="str">
        <f t="shared" si="65"/>
        <v/>
      </c>
      <c r="CE133" s="2841" t="str">
        <f t="shared" si="66"/>
        <v/>
      </c>
      <c r="CF133" s="2841" t="str">
        <f t="shared" si="67"/>
        <v/>
      </c>
      <c r="CG133" s="2841" t="str">
        <f t="shared" si="68"/>
        <v/>
      </c>
      <c r="CH133" s="2841" t="str">
        <f t="shared" si="78"/>
        <v/>
      </c>
      <c r="CI133" s="2841" t="str">
        <f t="shared" si="69"/>
        <v/>
      </c>
      <c r="CJ133" s="2890"/>
      <c r="CO133" s="2842">
        <f t="shared" si="103"/>
        <v>0</v>
      </c>
      <c r="CP133" s="2842">
        <f t="shared" si="94"/>
        <v>0</v>
      </c>
      <c r="CQ133" s="2842">
        <f t="shared" si="95"/>
        <v>0</v>
      </c>
      <c r="CR133" s="2842">
        <f t="shared" si="86"/>
        <v>0</v>
      </c>
      <c r="CS133" s="2842">
        <f t="shared" si="74"/>
        <v>0</v>
      </c>
      <c r="CT133" s="2842">
        <f t="shared" si="96"/>
        <v>0</v>
      </c>
      <c r="CU133" s="2842">
        <f t="shared" si="97"/>
        <v>0</v>
      </c>
      <c r="CV133" s="2842">
        <f t="shared" si="98"/>
        <v>0</v>
      </c>
      <c r="CW133" s="2842">
        <f t="shared" si="99"/>
        <v>0</v>
      </c>
      <c r="CX133" s="2890"/>
    </row>
    <row r="134" spans="1:102" ht="15" customHeight="1">
      <c r="A134" s="6597" t="s">
        <v>1774</v>
      </c>
      <c r="B134" s="6598"/>
      <c r="C134" s="6599"/>
      <c r="D134" s="1991">
        <f t="shared" si="82"/>
        <v>0</v>
      </c>
      <c r="E134" s="421">
        <f t="shared" si="100"/>
        <v>0</v>
      </c>
      <c r="F134" s="1654">
        <f t="shared" si="101"/>
        <v>0</v>
      </c>
      <c r="G134" s="1440"/>
      <c r="H134" s="1680"/>
      <c r="I134" s="1440"/>
      <c r="J134" s="1443"/>
      <c r="K134" s="1440"/>
      <c r="L134" s="1680"/>
      <c r="M134" s="1440"/>
      <c r="N134" s="1680"/>
      <c r="O134" s="1441"/>
      <c r="P134" s="1680"/>
      <c r="Q134" s="1441"/>
      <c r="R134" s="1680"/>
      <c r="S134" s="1441"/>
      <c r="T134" s="1680"/>
      <c r="U134" s="1441"/>
      <c r="V134" s="1680"/>
      <c r="W134" s="1441"/>
      <c r="X134" s="1680"/>
      <c r="Y134" s="1441"/>
      <c r="Z134" s="1680"/>
      <c r="AA134" s="1441"/>
      <c r="AB134" s="1680"/>
      <c r="AC134" s="1441"/>
      <c r="AD134" s="1680"/>
      <c r="AE134" s="1441"/>
      <c r="AF134" s="1680"/>
      <c r="AG134" s="1441"/>
      <c r="AH134" s="1680"/>
      <c r="AI134" s="1441"/>
      <c r="AJ134" s="1680"/>
      <c r="AK134" s="1441"/>
      <c r="AL134" s="1680"/>
      <c r="AM134" s="1441"/>
      <c r="AN134" s="1444"/>
      <c r="AO134" s="1709"/>
      <c r="AP134" s="1442"/>
      <c r="AQ134" s="1442"/>
      <c r="AR134" s="1442"/>
      <c r="AS134" s="1442"/>
      <c r="AT134" s="1443"/>
      <c r="AU134" s="2281"/>
      <c r="AV134" s="2117"/>
      <c r="AW134" s="1441"/>
      <c r="AX134" s="1870"/>
      <c r="AY134" t="str">
        <f t="shared" si="61"/>
        <v/>
      </c>
      <c r="CA134" s="2841" t="str">
        <f t="shared" si="83"/>
        <v/>
      </c>
      <c r="CB134" s="2841" t="str">
        <f t="shared" si="63"/>
        <v/>
      </c>
      <c r="CC134" s="2841" t="str">
        <f t="shared" si="64"/>
        <v/>
      </c>
      <c r="CD134" s="2841" t="str">
        <f t="shared" si="65"/>
        <v/>
      </c>
      <c r="CE134" s="2841" t="str">
        <f t="shared" si="66"/>
        <v/>
      </c>
      <c r="CF134" s="2841" t="str">
        <f t="shared" si="67"/>
        <v/>
      </c>
      <c r="CG134" s="2841" t="str">
        <f t="shared" si="68"/>
        <v/>
      </c>
      <c r="CH134" s="2841" t="str">
        <f t="shared" si="78"/>
        <v/>
      </c>
      <c r="CI134" s="2841" t="str">
        <f t="shared" si="69"/>
        <v/>
      </c>
      <c r="CJ134" s="2890"/>
      <c r="CO134" s="2842">
        <f t="shared" si="103"/>
        <v>0</v>
      </c>
      <c r="CP134" s="2842">
        <f t="shared" si="94"/>
        <v>0</v>
      </c>
      <c r="CQ134" s="2842">
        <f t="shared" si="95"/>
        <v>0</v>
      </c>
      <c r="CR134" s="2842">
        <f t="shared" si="86"/>
        <v>0</v>
      </c>
      <c r="CS134" s="2842">
        <f t="shared" si="74"/>
        <v>0</v>
      </c>
      <c r="CT134" s="2842">
        <f t="shared" si="96"/>
        <v>0</v>
      </c>
      <c r="CU134" s="2842">
        <f t="shared" si="97"/>
        <v>0</v>
      </c>
      <c r="CV134" s="2842">
        <f t="shared" si="98"/>
        <v>0</v>
      </c>
      <c r="CW134" s="2842">
        <f t="shared" si="99"/>
        <v>0</v>
      </c>
      <c r="CX134" s="2890"/>
    </row>
    <row r="135" spans="1:102" ht="15" customHeight="1">
      <c r="A135" s="6597" t="s">
        <v>1775</v>
      </c>
      <c r="B135" s="6598"/>
      <c r="C135" s="6599"/>
      <c r="D135" s="1991">
        <f t="shared" si="82"/>
        <v>0</v>
      </c>
      <c r="E135" s="421">
        <f t="shared" si="100"/>
        <v>0</v>
      </c>
      <c r="F135" s="1654">
        <f t="shared" si="101"/>
        <v>0</v>
      </c>
      <c r="G135" s="1485"/>
      <c r="H135" s="1824"/>
      <c r="I135" s="1485"/>
      <c r="J135" s="2352"/>
      <c r="K135" s="1485"/>
      <c r="L135" s="1680"/>
      <c r="M135" s="1440"/>
      <c r="N135" s="1680"/>
      <c r="O135" s="1441"/>
      <c r="P135" s="1680"/>
      <c r="Q135" s="1441"/>
      <c r="R135" s="1680"/>
      <c r="S135" s="1441"/>
      <c r="T135" s="1680"/>
      <c r="U135" s="1441"/>
      <c r="V135" s="1680"/>
      <c r="W135" s="1441"/>
      <c r="X135" s="1680"/>
      <c r="Y135" s="1441"/>
      <c r="Z135" s="1680"/>
      <c r="AA135" s="1441"/>
      <c r="AB135" s="1680"/>
      <c r="AC135" s="1441"/>
      <c r="AD135" s="1680"/>
      <c r="AE135" s="1441"/>
      <c r="AF135" s="1680"/>
      <c r="AG135" s="1441"/>
      <c r="AH135" s="1680"/>
      <c r="AI135" s="1441"/>
      <c r="AJ135" s="1680"/>
      <c r="AK135" s="1441"/>
      <c r="AL135" s="1680"/>
      <c r="AM135" s="1441"/>
      <c r="AN135" s="1444"/>
      <c r="AO135" s="1709"/>
      <c r="AP135" s="1712"/>
      <c r="AQ135" s="1442"/>
      <c r="AR135" s="1442"/>
      <c r="AS135" s="1712"/>
      <c r="AT135" s="1443"/>
      <c r="AU135" s="2281"/>
      <c r="AV135" s="2117"/>
      <c r="AW135" s="1441"/>
      <c r="AX135" s="1870"/>
      <c r="AY135" t="str">
        <f t="shared" si="61"/>
        <v/>
      </c>
      <c r="CA135" s="2841" t="str">
        <f t="shared" si="83"/>
        <v/>
      </c>
      <c r="CB135" s="2841" t="str">
        <f t="shared" si="63"/>
        <v/>
      </c>
      <c r="CC135" s="2841" t="str">
        <f t="shared" si="64"/>
        <v/>
      </c>
      <c r="CD135" s="2841" t="str">
        <f t="shared" si="65"/>
        <v/>
      </c>
      <c r="CE135" s="2841" t="str">
        <f t="shared" si="66"/>
        <v/>
      </c>
      <c r="CF135" s="2841" t="str">
        <f t="shared" si="67"/>
        <v/>
      </c>
      <c r="CG135" s="2841" t="str">
        <f t="shared" si="68"/>
        <v/>
      </c>
      <c r="CH135" s="2841" t="str">
        <f t="shared" si="78"/>
        <v/>
      </c>
      <c r="CI135" s="2841" t="str">
        <f t="shared" si="69"/>
        <v/>
      </c>
      <c r="CJ135" s="2890"/>
      <c r="CO135" s="2842">
        <f t="shared" si="103"/>
        <v>0</v>
      </c>
      <c r="CP135" s="2842">
        <f t="shared" si="94"/>
        <v>0</v>
      </c>
      <c r="CQ135" s="2842">
        <f t="shared" si="95"/>
        <v>0</v>
      </c>
      <c r="CR135" s="2842">
        <f t="shared" si="86"/>
        <v>0</v>
      </c>
      <c r="CS135" s="2842">
        <f t="shared" si="74"/>
        <v>0</v>
      </c>
      <c r="CT135" s="2842">
        <f t="shared" si="96"/>
        <v>0</v>
      </c>
      <c r="CU135" s="2842">
        <f t="shared" si="97"/>
        <v>0</v>
      </c>
      <c r="CV135" s="2842">
        <f t="shared" si="98"/>
        <v>0</v>
      </c>
      <c r="CW135" s="2842">
        <f t="shared" si="99"/>
        <v>0</v>
      </c>
      <c r="CX135" s="2890"/>
    </row>
    <row r="136" spans="1:102" ht="15" customHeight="1">
      <c r="A136" s="6597" t="s">
        <v>1776</v>
      </c>
      <c r="B136" s="6598"/>
      <c r="C136" s="6599"/>
      <c r="D136" s="1991">
        <f t="shared" si="82"/>
        <v>0</v>
      </c>
      <c r="E136" s="421">
        <f t="shared" si="100"/>
        <v>0</v>
      </c>
      <c r="F136" s="1654">
        <f t="shared" si="101"/>
        <v>0</v>
      </c>
      <c r="G136" s="1485"/>
      <c r="H136" s="1824"/>
      <c r="I136" s="1485"/>
      <c r="J136" s="2352"/>
      <c r="K136" s="1485"/>
      <c r="L136" s="1680"/>
      <c r="M136" s="1440"/>
      <c r="N136" s="1680"/>
      <c r="O136" s="1441"/>
      <c r="P136" s="1680"/>
      <c r="Q136" s="1441"/>
      <c r="R136" s="1680"/>
      <c r="S136" s="1441"/>
      <c r="T136" s="1680"/>
      <c r="U136" s="1441"/>
      <c r="V136" s="1680"/>
      <c r="W136" s="1441"/>
      <c r="X136" s="1680"/>
      <c r="Y136" s="1441"/>
      <c r="Z136" s="1680"/>
      <c r="AA136" s="1441"/>
      <c r="AB136" s="1680"/>
      <c r="AC136" s="1441"/>
      <c r="AD136" s="1680"/>
      <c r="AE136" s="1441"/>
      <c r="AF136" s="1680"/>
      <c r="AG136" s="1441"/>
      <c r="AH136" s="1680"/>
      <c r="AI136" s="1441"/>
      <c r="AJ136" s="1680"/>
      <c r="AK136" s="1441"/>
      <c r="AL136" s="1680"/>
      <c r="AM136" s="1441"/>
      <c r="AN136" s="1444"/>
      <c r="AO136" s="1709"/>
      <c r="AP136" s="1712"/>
      <c r="AQ136" s="1442"/>
      <c r="AR136" s="1442"/>
      <c r="AS136" s="1712"/>
      <c r="AT136" s="1443"/>
      <c r="AU136" s="2281"/>
      <c r="AV136" s="2117"/>
      <c r="AW136" s="1441"/>
      <c r="AX136" s="1870"/>
      <c r="AY136" t="str">
        <f t="shared" si="61"/>
        <v/>
      </c>
      <c r="CA136" s="2841" t="str">
        <f t="shared" si="83"/>
        <v/>
      </c>
      <c r="CB136" s="2841" t="str">
        <f t="shared" si="63"/>
        <v/>
      </c>
      <c r="CC136" s="2841" t="str">
        <f t="shared" si="64"/>
        <v/>
      </c>
      <c r="CD136" s="2841" t="str">
        <f t="shared" si="65"/>
        <v/>
      </c>
      <c r="CE136" s="2841" t="str">
        <f t="shared" si="66"/>
        <v/>
      </c>
      <c r="CF136" s="2841" t="str">
        <f t="shared" si="67"/>
        <v/>
      </c>
      <c r="CG136" s="2841" t="str">
        <f t="shared" si="68"/>
        <v/>
      </c>
      <c r="CH136" s="2841" t="str">
        <f t="shared" si="78"/>
        <v/>
      </c>
      <c r="CI136" s="2841" t="str">
        <f t="shared" si="69"/>
        <v/>
      </c>
      <c r="CJ136" s="2890"/>
      <c r="CO136" s="2842">
        <f t="shared" si="103"/>
        <v>0</v>
      </c>
      <c r="CP136" s="2842">
        <f t="shared" si="94"/>
        <v>0</v>
      </c>
      <c r="CQ136" s="2842">
        <f t="shared" si="95"/>
        <v>0</v>
      </c>
      <c r="CR136" s="2842">
        <f t="shared" si="86"/>
        <v>0</v>
      </c>
      <c r="CS136" s="2842">
        <f t="shared" si="74"/>
        <v>0</v>
      </c>
      <c r="CT136" s="2842">
        <f t="shared" si="96"/>
        <v>0</v>
      </c>
      <c r="CU136" s="2842">
        <f t="shared" si="97"/>
        <v>0</v>
      </c>
      <c r="CV136" s="2842">
        <f t="shared" si="98"/>
        <v>0</v>
      </c>
      <c r="CW136" s="2842">
        <f t="shared" si="99"/>
        <v>0</v>
      </c>
      <c r="CX136" s="2890"/>
    </row>
    <row r="137" spans="1:102" ht="15" customHeight="1">
      <c r="A137" s="6597" t="s">
        <v>1777</v>
      </c>
      <c r="B137" s="6598"/>
      <c r="C137" s="6599"/>
      <c r="D137" s="1991">
        <f t="shared" si="82"/>
        <v>0</v>
      </c>
      <c r="E137" s="421">
        <f t="shared" si="100"/>
        <v>0</v>
      </c>
      <c r="F137" s="1654">
        <f t="shared" si="101"/>
        <v>0</v>
      </c>
      <c r="G137" s="1485"/>
      <c r="H137" s="1824"/>
      <c r="I137" s="1485"/>
      <c r="J137" s="2352"/>
      <c r="K137" s="1485"/>
      <c r="L137" s="1680"/>
      <c r="M137" s="1440"/>
      <c r="N137" s="1680"/>
      <c r="O137" s="1441"/>
      <c r="P137" s="1680"/>
      <c r="Q137" s="1441"/>
      <c r="R137" s="1680"/>
      <c r="S137" s="1441"/>
      <c r="T137" s="1680"/>
      <c r="U137" s="1441"/>
      <c r="V137" s="1680"/>
      <c r="W137" s="1441"/>
      <c r="X137" s="1680"/>
      <c r="Y137" s="1441"/>
      <c r="Z137" s="1680"/>
      <c r="AA137" s="1441"/>
      <c r="AB137" s="1680"/>
      <c r="AC137" s="1441"/>
      <c r="AD137" s="1680"/>
      <c r="AE137" s="1441"/>
      <c r="AF137" s="1680"/>
      <c r="AG137" s="1441"/>
      <c r="AH137" s="1680"/>
      <c r="AI137" s="1441"/>
      <c r="AJ137" s="1680"/>
      <c r="AK137" s="1441"/>
      <c r="AL137" s="1680"/>
      <c r="AM137" s="1441"/>
      <c r="AN137" s="1444"/>
      <c r="AO137" s="1709"/>
      <c r="AP137" s="1712"/>
      <c r="AQ137" s="1442"/>
      <c r="AR137" s="1442"/>
      <c r="AS137" s="1712"/>
      <c r="AT137" s="1443"/>
      <c r="AU137" s="2281"/>
      <c r="AV137" s="2117"/>
      <c r="AW137" s="1441"/>
      <c r="AX137" s="1870"/>
      <c r="AY137" t="str">
        <f t="shared" si="61"/>
        <v/>
      </c>
      <c r="CA137" s="2841" t="str">
        <f t="shared" si="83"/>
        <v/>
      </c>
      <c r="CB137" s="2841" t="str">
        <f t="shared" si="63"/>
        <v/>
      </c>
      <c r="CC137" s="2841" t="str">
        <f t="shared" si="64"/>
        <v/>
      </c>
      <c r="CD137" s="2841" t="str">
        <f t="shared" si="65"/>
        <v/>
      </c>
      <c r="CE137" s="2841" t="str">
        <f t="shared" si="66"/>
        <v/>
      </c>
      <c r="CF137" s="2841" t="str">
        <f t="shared" si="67"/>
        <v/>
      </c>
      <c r="CG137" s="2841" t="str">
        <f t="shared" si="68"/>
        <v/>
      </c>
      <c r="CH137" s="2841" t="str">
        <f t="shared" si="78"/>
        <v/>
      </c>
      <c r="CI137" s="2841" t="str">
        <f t="shared" si="69"/>
        <v/>
      </c>
      <c r="CJ137" s="2890"/>
      <c r="CO137" s="2842">
        <f t="shared" si="103"/>
        <v>0</v>
      </c>
      <c r="CP137" s="2842">
        <f t="shared" si="94"/>
        <v>0</v>
      </c>
      <c r="CQ137" s="2842">
        <f t="shared" si="95"/>
        <v>0</v>
      </c>
      <c r="CR137" s="2842">
        <f t="shared" si="86"/>
        <v>0</v>
      </c>
      <c r="CS137" s="2842">
        <f t="shared" si="74"/>
        <v>0</v>
      </c>
      <c r="CT137" s="2842">
        <f t="shared" si="96"/>
        <v>0</v>
      </c>
      <c r="CU137" s="2842">
        <f t="shared" si="97"/>
        <v>0</v>
      </c>
      <c r="CV137" s="2842">
        <f t="shared" si="98"/>
        <v>0</v>
      </c>
      <c r="CW137" s="2842">
        <f t="shared" si="99"/>
        <v>0</v>
      </c>
      <c r="CX137" s="2890"/>
    </row>
    <row r="138" spans="1:102" ht="15" customHeight="1">
      <c r="A138" s="6597" t="s">
        <v>1778</v>
      </c>
      <c r="B138" s="6598"/>
      <c r="C138" s="6599"/>
      <c r="D138" s="1991">
        <f t="shared" si="82"/>
        <v>0</v>
      </c>
      <c r="E138" s="421">
        <f t="shared" si="100"/>
        <v>0</v>
      </c>
      <c r="F138" s="1654">
        <f t="shared" si="101"/>
        <v>0</v>
      </c>
      <c r="G138" s="1485"/>
      <c r="H138" s="1824"/>
      <c r="I138" s="1485"/>
      <c r="J138" s="2352"/>
      <c r="K138" s="1485"/>
      <c r="L138" s="1680"/>
      <c r="M138" s="1440"/>
      <c r="N138" s="1680"/>
      <c r="O138" s="1441"/>
      <c r="P138" s="1680"/>
      <c r="Q138" s="1441"/>
      <c r="R138" s="1680"/>
      <c r="S138" s="1441"/>
      <c r="T138" s="1680"/>
      <c r="U138" s="1441"/>
      <c r="V138" s="1680"/>
      <c r="W138" s="1441"/>
      <c r="X138" s="1680"/>
      <c r="Y138" s="1441"/>
      <c r="Z138" s="1680"/>
      <c r="AA138" s="1441"/>
      <c r="AB138" s="1680"/>
      <c r="AC138" s="1441"/>
      <c r="AD138" s="1680"/>
      <c r="AE138" s="1441"/>
      <c r="AF138" s="1680"/>
      <c r="AG138" s="1441"/>
      <c r="AH138" s="1680"/>
      <c r="AI138" s="1441"/>
      <c r="AJ138" s="1680"/>
      <c r="AK138" s="1441"/>
      <c r="AL138" s="1680"/>
      <c r="AM138" s="1441"/>
      <c r="AN138" s="1444"/>
      <c r="AO138" s="1709"/>
      <c r="AP138" s="1712"/>
      <c r="AQ138" s="1442"/>
      <c r="AR138" s="1442"/>
      <c r="AS138" s="1712"/>
      <c r="AT138" s="1443"/>
      <c r="AU138" s="2281"/>
      <c r="AV138" s="2117"/>
      <c r="AW138" s="1441"/>
      <c r="AX138" s="1452"/>
      <c r="AY138" t="str">
        <f t="shared" si="61"/>
        <v/>
      </c>
      <c r="CA138" s="2841" t="str">
        <f t="shared" si="83"/>
        <v/>
      </c>
      <c r="CB138" s="2841" t="str">
        <f t="shared" si="63"/>
        <v/>
      </c>
      <c r="CC138" s="2841" t="str">
        <f t="shared" si="64"/>
        <v/>
      </c>
      <c r="CD138" s="2841" t="str">
        <f t="shared" si="65"/>
        <v/>
      </c>
      <c r="CE138" s="2841" t="str">
        <f t="shared" si="66"/>
        <v/>
      </c>
      <c r="CF138" s="2841" t="str">
        <f t="shared" si="67"/>
        <v/>
      </c>
      <c r="CG138" s="2841" t="str">
        <f t="shared" si="68"/>
        <v/>
      </c>
      <c r="CH138" s="2841" t="str">
        <f t="shared" si="78"/>
        <v/>
      </c>
      <c r="CI138" s="2841" t="str">
        <f t="shared" si="69"/>
        <v/>
      </c>
      <c r="CJ138" s="2841" t="str">
        <f t="shared" si="91"/>
        <v/>
      </c>
      <c r="CO138" s="2842">
        <f t="shared" si="103"/>
        <v>0</v>
      </c>
      <c r="CP138" s="2842">
        <f t="shared" si="94"/>
        <v>0</v>
      </c>
      <c r="CQ138" s="2842">
        <f t="shared" si="95"/>
        <v>0</v>
      </c>
      <c r="CR138" s="2842">
        <f t="shared" si="86"/>
        <v>0</v>
      </c>
      <c r="CS138" s="2842">
        <f t="shared" si="74"/>
        <v>0</v>
      </c>
      <c r="CT138" s="2842">
        <f t="shared" si="96"/>
        <v>0</v>
      </c>
      <c r="CU138" s="2842">
        <f t="shared" si="97"/>
        <v>0</v>
      </c>
      <c r="CV138" s="2842">
        <f t="shared" si="98"/>
        <v>0</v>
      </c>
      <c r="CW138" s="2842">
        <f t="shared" si="99"/>
        <v>0</v>
      </c>
      <c r="CX138" s="2842">
        <f t="shared" si="92"/>
        <v>0</v>
      </c>
    </row>
    <row r="139" spans="1:102" ht="15" customHeight="1">
      <c r="A139" s="6597" t="s">
        <v>1779</v>
      </c>
      <c r="B139" s="6598"/>
      <c r="C139" s="6599"/>
      <c r="D139" s="1991">
        <f t="shared" si="82"/>
        <v>0</v>
      </c>
      <c r="E139" s="421">
        <f t="shared" si="100"/>
        <v>0</v>
      </c>
      <c r="F139" s="1654">
        <f t="shared" si="101"/>
        <v>0</v>
      </c>
      <c r="G139" s="1485"/>
      <c r="H139" s="1824"/>
      <c r="I139" s="1485"/>
      <c r="J139" s="2352"/>
      <c r="K139" s="1485"/>
      <c r="L139" s="1680"/>
      <c r="M139" s="1440"/>
      <c r="N139" s="1680"/>
      <c r="O139" s="1441"/>
      <c r="P139" s="1680"/>
      <c r="Q139" s="1441"/>
      <c r="R139" s="1680"/>
      <c r="S139" s="1441"/>
      <c r="T139" s="1680"/>
      <c r="U139" s="1441"/>
      <c r="V139" s="1680"/>
      <c r="W139" s="1441"/>
      <c r="X139" s="1680"/>
      <c r="Y139" s="1441"/>
      <c r="Z139" s="1680"/>
      <c r="AA139" s="1441"/>
      <c r="AB139" s="1680"/>
      <c r="AC139" s="1441"/>
      <c r="AD139" s="1680"/>
      <c r="AE139" s="1441"/>
      <c r="AF139" s="1680"/>
      <c r="AG139" s="1441"/>
      <c r="AH139" s="1680"/>
      <c r="AI139" s="1441"/>
      <c r="AJ139" s="1680"/>
      <c r="AK139" s="1441"/>
      <c r="AL139" s="1680"/>
      <c r="AM139" s="1441"/>
      <c r="AN139" s="1444"/>
      <c r="AO139" s="1709"/>
      <c r="AP139" s="1712"/>
      <c r="AQ139" s="1442"/>
      <c r="AR139" s="1442"/>
      <c r="AS139" s="1712"/>
      <c r="AT139" s="1443"/>
      <c r="AU139" s="2281"/>
      <c r="AV139" s="2117"/>
      <c r="AW139" s="1441"/>
      <c r="AX139" s="1452"/>
      <c r="AY139" t="str">
        <f t="shared" si="61"/>
        <v/>
      </c>
      <c r="CA139" s="2841" t="str">
        <f t="shared" si="83"/>
        <v/>
      </c>
      <c r="CB139" s="2841" t="str">
        <f t="shared" si="63"/>
        <v/>
      </c>
      <c r="CC139" s="2841" t="str">
        <f t="shared" si="64"/>
        <v/>
      </c>
      <c r="CD139" s="2841" t="str">
        <f t="shared" si="65"/>
        <v/>
      </c>
      <c r="CE139" s="2841" t="str">
        <f t="shared" si="66"/>
        <v/>
      </c>
      <c r="CF139" s="2841" t="str">
        <f t="shared" si="67"/>
        <v/>
      </c>
      <c r="CG139" s="2841" t="str">
        <f t="shared" si="68"/>
        <v/>
      </c>
      <c r="CH139" s="2841" t="str">
        <f t="shared" si="78"/>
        <v/>
      </c>
      <c r="CI139" s="2841" t="str">
        <f t="shared" si="69"/>
        <v/>
      </c>
      <c r="CJ139" s="2841" t="str">
        <f t="shared" si="91"/>
        <v/>
      </c>
      <c r="CO139" s="2842">
        <f t="shared" si="103"/>
        <v>0</v>
      </c>
      <c r="CP139" s="2842">
        <f t="shared" si="94"/>
        <v>0</v>
      </c>
      <c r="CQ139" s="2842">
        <f t="shared" si="95"/>
        <v>0</v>
      </c>
      <c r="CR139" s="2842">
        <f t="shared" si="86"/>
        <v>0</v>
      </c>
      <c r="CS139" s="2842">
        <f t="shared" si="74"/>
        <v>0</v>
      </c>
      <c r="CT139" s="2842">
        <f t="shared" si="96"/>
        <v>0</v>
      </c>
      <c r="CU139" s="2842">
        <f t="shared" si="97"/>
        <v>0</v>
      </c>
      <c r="CV139" s="2842">
        <f t="shared" si="98"/>
        <v>0</v>
      </c>
      <c r="CW139" s="2842">
        <f t="shared" si="99"/>
        <v>0</v>
      </c>
      <c r="CX139" s="2842">
        <f t="shared" si="92"/>
        <v>0</v>
      </c>
    </row>
    <row r="140" spans="1:102" ht="15" customHeight="1">
      <c r="A140" s="3020" t="s">
        <v>1780</v>
      </c>
      <c r="B140" s="3021"/>
      <c r="C140" s="3022"/>
      <c r="D140" s="1991">
        <f t="shared" si="82"/>
        <v>0</v>
      </c>
      <c r="E140" s="421">
        <f t="shared" si="100"/>
        <v>0</v>
      </c>
      <c r="F140" s="1654">
        <f t="shared" si="101"/>
        <v>0</v>
      </c>
      <c r="G140" s="1485"/>
      <c r="H140" s="1824"/>
      <c r="I140" s="1485"/>
      <c r="J140" s="2352"/>
      <c r="K140" s="1485"/>
      <c r="L140" s="1680"/>
      <c r="M140" s="1440"/>
      <c r="N140" s="1680"/>
      <c r="O140" s="1441"/>
      <c r="P140" s="1680"/>
      <c r="Q140" s="1441"/>
      <c r="R140" s="1680"/>
      <c r="S140" s="1441"/>
      <c r="T140" s="1680"/>
      <c r="U140" s="1441"/>
      <c r="V140" s="1680"/>
      <c r="W140" s="1441"/>
      <c r="X140" s="1680"/>
      <c r="Y140" s="1441"/>
      <c r="Z140" s="1680"/>
      <c r="AA140" s="1441"/>
      <c r="AB140" s="1680"/>
      <c r="AC140" s="1441"/>
      <c r="AD140" s="1680"/>
      <c r="AE140" s="1441"/>
      <c r="AF140" s="1680"/>
      <c r="AG140" s="1441"/>
      <c r="AH140" s="1680"/>
      <c r="AI140" s="1441"/>
      <c r="AJ140" s="1680"/>
      <c r="AK140" s="1441"/>
      <c r="AL140" s="1680"/>
      <c r="AM140" s="1441"/>
      <c r="AN140" s="1444"/>
      <c r="AO140" s="1709"/>
      <c r="AP140" s="1712"/>
      <c r="AQ140" s="1442"/>
      <c r="AR140" s="1442"/>
      <c r="AS140" s="1712"/>
      <c r="AT140" s="1443"/>
      <c r="AU140" s="2281"/>
      <c r="AV140" s="2117"/>
      <c r="AW140" s="1441"/>
      <c r="AX140" s="1870"/>
      <c r="AY140" t="str">
        <f t="shared" si="61"/>
        <v/>
      </c>
      <c r="CA140" s="2841" t="str">
        <f t="shared" si="83"/>
        <v/>
      </c>
      <c r="CB140" s="2841" t="str">
        <f t="shared" si="63"/>
        <v/>
      </c>
      <c r="CC140" s="2841" t="str">
        <f t="shared" si="64"/>
        <v/>
      </c>
      <c r="CD140" s="2841" t="str">
        <f t="shared" si="65"/>
        <v/>
      </c>
      <c r="CE140" s="2841" t="str">
        <f t="shared" si="66"/>
        <v/>
      </c>
      <c r="CF140" s="2841" t="str">
        <f t="shared" si="67"/>
        <v/>
      </c>
      <c r="CG140" s="2841" t="str">
        <f t="shared" si="68"/>
        <v/>
      </c>
      <c r="CH140" s="2841" t="str">
        <f t="shared" si="78"/>
        <v/>
      </c>
      <c r="CI140" s="2841" t="str">
        <f t="shared" si="69"/>
        <v/>
      </c>
      <c r="CJ140" s="2890"/>
      <c r="CO140" s="2842">
        <f t="shared" si="103"/>
        <v>0</v>
      </c>
      <c r="CP140" s="2842">
        <f t="shared" si="94"/>
        <v>0</v>
      </c>
      <c r="CQ140" s="2842">
        <f t="shared" si="95"/>
        <v>0</v>
      </c>
      <c r="CR140" s="2842">
        <f t="shared" si="86"/>
        <v>0</v>
      </c>
      <c r="CS140" s="2842">
        <f t="shared" si="74"/>
        <v>0</v>
      </c>
      <c r="CT140" s="2842">
        <f t="shared" si="96"/>
        <v>0</v>
      </c>
      <c r="CU140" s="2842">
        <f t="shared" si="97"/>
        <v>0</v>
      </c>
      <c r="CV140" s="2842">
        <f t="shared" si="98"/>
        <v>0</v>
      </c>
      <c r="CW140" s="2842">
        <f t="shared" si="99"/>
        <v>0</v>
      </c>
      <c r="CX140" s="2890"/>
    </row>
    <row r="141" spans="1:102" ht="15" customHeight="1">
      <c r="A141" s="6597" t="s">
        <v>1781</v>
      </c>
      <c r="B141" s="6598"/>
      <c r="C141" s="6599"/>
      <c r="D141" s="1991">
        <f t="shared" si="82"/>
        <v>0</v>
      </c>
      <c r="E141" s="421">
        <f t="shared" si="100"/>
        <v>0</v>
      </c>
      <c r="F141" s="1654">
        <f t="shared" si="101"/>
        <v>0</v>
      </c>
      <c r="G141" s="1440"/>
      <c r="H141" s="1680"/>
      <c r="I141" s="1440"/>
      <c r="J141" s="1443"/>
      <c r="K141" s="1440"/>
      <c r="L141" s="1680"/>
      <c r="M141" s="1440"/>
      <c r="N141" s="1680"/>
      <c r="O141" s="1441"/>
      <c r="P141" s="1680"/>
      <c r="Q141" s="1441"/>
      <c r="R141" s="1680"/>
      <c r="S141" s="1441"/>
      <c r="T141" s="1680"/>
      <c r="U141" s="1441"/>
      <c r="V141" s="1680"/>
      <c r="W141" s="1441"/>
      <c r="X141" s="1680"/>
      <c r="Y141" s="1441"/>
      <c r="Z141" s="1680"/>
      <c r="AA141" s="1441"/>
      <c r="AB141" s="1680"/>
      <c r="AC141" s="1441"/>
      <c r="AD141" s="1680"/>
      <c r="AE141" s="1441"/>
      <c r="AF141" s="1680"/>
      <c r="AG141" s="1441"/>
      <c r="AH141" s="1680"/>
      <c r="AI141" s="1441"/>
      <c r="AJ141" s="1680"/>
      <c r="AK141" s="1441"/>
      <c r="AL141" s="1680"/>
      <c r="AM141" s="1441"/>
      <c r="AN141" s="1444"/>
      <c r="AO141" s="1709"/>
      <c r="AP141" s="1442"/>
      <c r="AQ141" s="1442"/>
      <c r="AR141" s="1442"/>
      <c r="AS141" s="1442"/>
      <c r="AT141" s="1443"/>
      <c r="AU141" s="2281"/>
      <c r="AV141" s="2117"/>
      <c r="AW141" s="1441"/>
      <c r="AX141" s="1452"/>
      <c r="AY141" t="str">
        <f t="shared" si="61"/>
        <v/>
      </c>
      <c r="CA141" s="2841" t="str">
        <f t="shared" si="83"/>
        <v/>
      </c>
      <c r="CB141" s="2841" t="str">
        <f t="shared" si="63"/>
        <v/>
      </c>
      <c r="CC141" s="2841" t="str">
        <f t="shared" si="64"/>
        <v/>
      </c>
      <c r="CD141" s="2841" t="str">
        <f t="shared" si="65"/>
        <v/>
      </c>
      <c r="CE141" s="2841" t="str">
        <f t="shared" si="66"/>
        <v/>
      </c>
      <c r="CF141" s="2841" t="str">
        <f t="shared" si="67"/>
        <v/>
      </c>
      <c r="CG141" s="2841" t="str">
        <f t="shared" si="68"/>
        <v/>
      </c>
      <c r="CH141" s="2841" t="str">
        <f t="shared" si="78"/>
        <v/>
      </c>
      <c r="CI141" s="2841" t="str">
        <f t="shared" si="69"/>
        <v/>
      </c>
      <c r="CJ141" s="2841" t="str">
        <f t="shared" si="91"/>
        <v/>
      </c>
      <c r="CO141" s="2842">
        <f t="shared" si="103"/>
        <v>0</v>
      </c>
      <c r="CP141" s="2842">
        <f t="shared" si="94"/>
        <v>0</v>
      </c>
      <c r="CQ141" s="2842">
        <f t="shared" si="95"/>
        <v>0</v>
      </c>
      <c r="CR141" s="2842">
        <f t="shared" si="86"/>
        <v>0</v>
      </c>
      <c r="CS141" s="2842">
        <f t="shared" si="74"/>
        <v>0</v>
      </c>
      <c r="CT141" s="2842">
        <f t="shared" si="96"/>
        <v>0</v>
      </c>
      <c r="CU141" s="2842">
        <f t="shared" si="97"/>
        <v>0</v>
      </c>
      <c r="CV141" s="2842">
        <f t="shared" si="98"/>
        <v>0</v>
      </c>
      <c r="CW141" s="2842">
        <f t="shared" si="99"/>
        <v>0</v>
      </c>
      <c r="CX141" s="2842">
        <f t="shared" si="92"/>
        <v>0</v>
      </c>
    </row>
    <row r="142" spans="1:102" ht="15" customHeight="1">
      <c r="A142" s="6618" t="s">
        <v>1782</v>
      </c>
      <c r="B142" s="6619"/>
      <c r="C142" s="6620"/>
      <c r="D142" s="1928">
        <f t="shared" si="82"/>
        <v>0</v>
      </c>
      <c r="E142" s="430">
        <f t="shared" si="100"/>
        <v>0</v>
      </c>
      <c r="F142" s="1659">
        <f t="shared" si="101"/>
        <v>0</v>
      </c>
      <c r="G142" s="1517"/>
      <c r="H142" s="1821"/>
      <c r="I142" s="1517"/>
      <c r="J142" s="2355"/>
      <c r="K142" s="1517"/>
      <c r="L142" s="1684"/>
      <c r="M142" s="1455"/>
      <c r="N142" s="1684"/>
      <c r="O142" s="1456"/>
      <c r="P142" s="1684"/>
      <c r="Q142" s="1456"/>
      <c r="R142" s="1684"/>
      <c r="S142" s="1456"/>
      <c r="T142" s="1684"/>
      <c r="U142" s="1456"/>
      <c r="V142" s="1684"/>
      <c r="W142" s="1456"/>
      <c r="X142" s="1684"/>
      <c r="Y142" s="1456"/>
      <c r="Z142" s="1684"/>
      <c r="AA142" s="1456"/>
      <c r="AB142" s="1684"/>
      <c r="AC142" s="1456"/>
      <c r="AD142" s="1684"/>
      <c r="AE142" s="1456"/>
      <c r="AF142" s="1684"/>
      <c r="AG142" s="1456"/>
      <c r="AH142" s="1684"/>
      <c r="AI142" s="1456"/>
      <c r="AJ142" s="1684"/>
      <c r="AK142" s="1456"/>
      <c r="AL142" s="1684"/>
      <c r="AM142" s="1456"/>
      <c r="AN142" s="1459"/>
      <c r="AO142" s="1714"/>
      <c r="AP142" s="1442"/>
      <c r="AQ142" s="1442"/>
      <c r="AR142" s="1442"/>
      <c r="AS142" s="1442"/>
      <c r="AT142" s="1443"/>
      <c r="AU142" s="3016"/>
      <c r="AV142" s="3017"/>
      <c r="AW142" s="1881"/>
      <c r="AX142" s="1523"/>
      <c r="AY142" t="str">
        <f>CA142&amp;CB142&amp;CC142&amp;CD142&amp;CE142&amp;CF142&amp;CG142&amp;CH142&amp;CI142&amp;CJ142</f>
        <v/>
      </c>
      <c r="CA142" s="2841" t="str">
        <f t="shared" si="83"/>
        <v/>
      </c>
      <c r="CB142" s="2841" t="str">
        <f t="shared" si="63"/>
        <v/>
      </c>
      <c r="CC142" s="2841" t="str">
        <f t="shared" si="64"/>
        <v/>
      </c>
      <c r="CD142" s="2841" t="str">
        <f t="shared" si="65"/>
        <v/>
      </c>
      <c r="CE142" s="2841" t="str">
        <f t="shared" si="66"/>
        <v/>
      </c>
      <c r="CF142" s="2841" t="str">
        <f t="shared" si="67"/>
        <v/>
      </c>
      <c r="CG142" s="2841" t="str">
        <f t="shared" si="68"/>
        <v/>
      </c>
      <c r="CH142" s="2841" t="str">
        <f t="shared" si="78"/>
        <v/>
      </c>
      <c r="CI142" s="2841" t="str">
        <f t="shared" si="69"/>
        <v/>
      </c>
      <c r="CJ142" s="2841" t="str">
        <f t="shared" si="91"/>
        <v/>
      </c>
      <c r="CO142" s="2842">
        <f t="shared" si="103"/>
        <v>0</v>
      </c>
      <c r="CP142" s="2842">
        <f t="shared" si="94"/>
        <v>0</v>
      </c>
      <c r="CQ142" s="2842">
        <f t="shared" si="95"/>
        <v>0</v>
      </c>
      <c r="CR142" s="2842">
        <f t="shared" si="86"/>
        <v>0</v>
      </c>
      <c r="CS142" s="2842">
        <f t="shared" si="74"/>
        <v>0</v>
      </c>
      <c r="CT142" s="2842">
        <f t="shared" si="96"/>
        <v>0</v>
      </c>
      <c r="CU142" s="2842">
        <f t="shared" si="97"/>
        <v>0</v>
      </c>
      <c r="CV142" s="2842">
        <f t="shared" si="98"/>
        <v>0</v>
      </c>
      <c r="CW142" s="2842">
        <f t="shared" si="99"/>
        <v>0</v>
      </c>
      <c r="CX142" s="2842">
        <f t="shared" si="92"/>
        <v>0</v>
      </c>
    </row>
    <row r="143" spans="1:102" ht="15" customHeight="1">
      <c r="A143" s="5710" t="s">
        <v>91</v>
      </c>
      <c r="B143" s="6106"/>
      <c r="C143" s="5712"/>
      <c r="D143" s="2130">
        <f t="shared" si="82"/>
        <v>0</v>
      </c>
      <c r="E143" s="402">
        <f t="shared" si="100"/>
        <v>0</v>
      </c>
      <c r="F143" s="403">
        <f t="shared" si="101"/>
        <v>0</v>
      </c>
      <c r="G143" s="2130">
        <f>SUM(G91:G103,G105:G109,G115:G117,G120,G128:G142)</f>
        <v>0</v>
      </c>
      <c r="H143" s="3027">
        <f>SUM(H91:H103,H105:H109,H115:H117,H120,H128:H142)</f>
        <v>0</v>
      </c>
      <c r="I143" s="2130">
        <f>SUM(I91:I103,I105:I109,I115:I117,I120,I128:I142)</f>
        <v>0</v>
      </c>
      <c r="J143" s="3028">
        <f>SUM(J91:J103,J105:J109,J115:J117,J120,J128:J142)</f>
        <v>0</v>
      </c>
      <c r="K143" s="2130">
        <f t="shared" ref="K143:P143" si="104">SUM(K91:K103,K105:K109,K115:K117,K119:K120,K128:K142)</f>
        <v>0</v>
      </c>
      <c r="L143" s="3027">
        <f t="shared" si="104"/>
        <v>0</v>
      </c>
      <c r="M143" s="1743">
        <f t="shared" si="104"/>
        <v>0</v>
      </c>
      <c r="N143" s="1745">
        <f t="shared" si="104"/>
        <v>0</v>
      </c>
      <c r="O143" s="1743">
        <f t="shared" si="104"/>
        <v>0</v>
      </c>
      <c r="P143" s="1745">
        <f t="shared" si="104"/>
        <v>0</v>
      </c>
      <c r="Q143" s="1743">
        <f>SUM(Q91:Q103,Q105:Q117,Q119:Q121,Q126,Q128:Q142)</f>
        <v>0</v>
      </c>
      <c r="R143" s="2310">
        <f>SUM(R91:R103,R105:R117,R119:R121,R126,R128:R142)</f>
        <v>0</v>
      </c>
      <c r="S143" s="1743">
        <f t="shared" ref="S143:X143" si="105">SUM(S91:S103,S105:S121,S126,S128:S142)</f>
        <v>0</v>
      </c>
      <c r="T143" s="1745">
        <f t="shared" si="105"/>
        <v>0</v>
      </c>
      <c r="U143" s="1743">
        <f t="shared" si="105"/>
        <v>0</v>
      </c>
      <c r="V143" s="1745">
        <f t="shared" si="105"/>
        <v>0</v>
      </c>
      <c r="W143" s="1743">
        <f t="shared" si="105"/>
        <v>0</v>
      </c>
      <c r="X143" s="1745">
        <f t="shared" si="105"/>
        <v>0</v>
      </c>
      <c r="Y143" s="1743">
        <f>SUM(Y91:Y142)</f>
        <v>0</v>
      </c>
      <c r="Z143" s="1745">
        <f>SUM(Z91:Z142)</f>
        <v>0</v>
      </c>
      <c r="AA143" s="1743">
        <f t="shared" ref="AA143:AN143" si="106">SUM(AA91:AA104,AA106:AA112,AA114:AA142)</f>
        <v>0</v>
      </c>
      <c r="AB143" s="1745">
        <f t="shared" si="106"/>
        <v>0</v>
      </c>
      <c r="AC143" s="1743">
        <f t="shared" si="106"/>
        <v>0</v>
      </c>
      <c r="AD143" s="1745">
        <f t="shared" si="106"/>
        <v>0</v>
      </c>
      <c r="AE143" s="1743">
        <f t="shared" si="106"/>
        <v>0</v>
      </c>
      <c r="AF143" s="1745">
        <f t="shared" si="106"/>
        <v>0</v>
      </c>
      <c r="AG143" s="1743">
        <f t="shared" si="106"/>
        <v>0</v>
      </c>
      <c r="AH143" s="1745">
        <f t="shared" si="106"/>
        <v>0</v>
      </c>
      <c r="AI143" s="1743">
        <f t="shared" si="106"/>
        <v>0</v>
      </c>
      <c r="AJ143" s="1745">
        <f t="shared" si="106"/>
        <v>0</v>
      </c>
      <c r="AK143" s="1743">
        <f t="shared" si="106"/>
        <v>0</v>
      </c>
      <c r="AL143" s="1745">
        <f t="shared" si="106"/>
        <v>0</v>
      </c>
      <c r="AM143" s="1743">
        <f t="shared" si="106"/>
        <v>0</v>
      </c>
      <c r="AN143" s="1745">
        <f t="shared" si="106"/>
        <v>0</v>
      </c>
      <c r="AO143" s="1747">
        <f>SUM(AO91:AO103,AO105:AO120,AO128:AO142,AO126)</f>
        <v>0</v>
      </c>
      <c r="AP143" s="1744">
        <f>SUM(AP91:AP142)</f>
        <v>0</v>
      </c>
      <c r="AQ143" s="1744">
        <f>SUM(AQ91:AQ142)</f>
        <v>0</v>
      </c>
      <c r="AR143" s="1744">
        <f>SUM(AR91:AR104,AR106:AR112,AR114:AR142)</f>
        <v>0</v>
      </c>
      <c r="AS143" s="1744">
        <f>SUM(AS91:AS142)</f>
        <v>0</v>
      </c>
      <c r="AT143" s="3029">
        <f t="shared" ref="AT143:AW143" si="107">SUM(AT91:AT142)</f>
        <v>0</v>
      </c>
      <c r="AU143" s="3030">
        <f t="shared" si="107"/>
        <v>0</v>
      </c>
      <c r="AV143" s="3031">
        <f t="shared" si="107"/>
        <v>0</v>
      </c>
      <c r="AW143" s="2310">
        <f t="shared" si="107"/>
        <v>0</v>
      </c>
      <c r="AX143" s="1745">
        <f>SUM(AX104,AX116,AX121:AX127,AX138:AX139,AX141:AX142)</f>
        <v>0</v>
      </c>
    </row>
    <row r="144" spans="1:102" ht="18" customHeight="1">
      <c r="A144" s="1468" t="s">
        <v>1783</v>
      </c>
      <c r="B144" s="1645"/>
      <c r="C144" s="1645"/>
      <c r="D144" s="3032"/>
      <c r="E144" s="441"/>
      <c r="F144" s="441"/>
      <c r="G144" s="3032"/>
      <c r="H144" s="3032"/>
      <c r="I144" s="3032"/>
      <c r="J144" s="3032"/>
      <c r="K144" s="3032"/>
      <c r="L144" s="3032"/>
      <c r="M144" s="3033"/>
      <c r="N144" s="3033"/>
      <c r="O144" s="383"/>
      <c r="P144" s="383"/>
      <c r="Q144" s="383"/>
      <c r="R144" s="383"/>
      <c r="S144" s="383"/>
      <c r="T144" s="383"/>
      <c r="U144" s="383"/>
      <c r="V144" s="383"/>
      <c r="W144" s="383"/>
      <c r="X144" s="383"/>
      <c r="Y144" s="383"/>
      <c r="Z144" s="383"/>
      <c r="AA144" s="383"/>
      <c r="AB144" s="383"/>
      <c r="AC144" s="383"/>
      <c r="AD144" s="383"/>
      <c r="AE144" s="383"/>
      <c r="AF144" s="383"/>
      <c r="AG144" s="383"/>
      <c r="AH144" s="383"/>
      <c r="AI144" s="383"/>
      <c r="AJ144" s="383"/>
      <c r="AK144" s="383"/>
      <c r="AL144" s="383"/>
      <c r="AM144" s="383"/>
      <c r="AN144" s="383"/>
      <c r="AO144" s="383"/>
      <c r="AP144" s="383"/>
      <c r="AQ144" s="383"/>
      <c r="AR144" s="383"/>
      <c r="AS144" s="383"/>
      <c r="AT144" s="383"/>
      <c r="AU144" s="383"/>
      <c r="AV144" s="383"/>
      <c r="AW144" s="383"/>
      <c r="AX144" s="383"/>
    </row>
    <row r="145" spans="1:50" ht="21.75" customHeight="1">
      <c r="A145" s="6298" t="s">
        <v>1703</v>
      </c>
      <c r="B145" s="5718" t="s">
        <v>1784</v>
      </c>
      <c r="C145" s="6187" t="s">
        <v>1785</v>
      </c>
      <c r="D145" s="6135" t="s">
        <v>1786</v>
      </c>
      <c r="E145" s="6228" t="s">
        <v>1787</v>
      </c>
      <c r="F145" s="6133" t="s">
        <v>1788</v>
      </c>
      <c r="G145" s="6135" t="s">
        <v>1789</v>
      </c>
      <c r="H145" s="6602" t="s">
        <v>1790</v>
      </c>
      <c r="I145" s="6119" t="s">
        <v>1791</v>
      </c>
      <c r="J145" s="6345" t="s">
        <v>1792</v>
      </c>
      <c r="K145" s="6605" t="s">
        <v>1793</v>
      </c>
      <c r="L145" s="6203" t="s">
        <v>1788</v>
      </c>
      <c r="M145" s="6135" t="s">
        <v>1789</v>
      </c>
      <c r="N145" s="6154" t="s">
        <v>1790</v>
      </c>
      <c r="O145" s="3035"/>
      <c r="P145" s="3035"/>
      <c r="Q145" s="3035"/>
      <c r="R145" s="3035"/>
      <c r="S145" s="3035"/>
      <c r="T145" s="3035"/>
      <c r="U145" s="3035"/>
      <c r="V145" s="3035"/>
      <c r="W145" s="3035"/>
      <c r="X145" s="3035"/>
      <c r="Y145" s="3035"/>
      <c r="Z145" s="3035"/>
      <c r="AA145" s="3035"/>
      <c r="AB145" s="3035"/>
      <c r="AC145" s="3035"/>
      <c r="AD145" s="3035"/>
      <c r="AE145" s="3035"/>
      <c r="AF145" s="3035"/>
      <c r="AG145" s="3035"/>
      <c r="AH145" s="3035"/>
      <c r="AI145" s="3035"/>
      <c r="AJ145" s="3035"/>
      <c r="AK145" s="3035"/>
      <c r="AL145" s="3035"/>
      <c r="AM145" s="3035"/>
      <c r="AN145" s="3035"/>
      <c r="AO145" s="3035"/>
      <c r="AP145" s="3035"/>
      <c r="AQ145" s="6166"/>
      <c r="AR145" s="6166"/>
      <c r="AS145" s="6166"/>
      <c r="AT145" s="6166"/>
      <c r="AU145" s="6166"/>
      <c r="AV145" s="6166"/>
      <c r="AW145" s="6166"/>
      <c r="AX145" s="6166"/>
    </row>
    <row r="146" spans="1:50" ht="27" customHeight="1">
      <c r="A146" s="6299"/>
      <c r="B146" s="6110"/>
      <c r="C146" s="6600"/>
      <c r="D146" s="6302"/>
      <c r="E146" s="6601"/>
      <c r="F146" s="6235"/>
      <c r="G146" s="6302"/>
      <c r="H146" s="6603"/>
      <c r="I146" s="6120"/>
      <c r="J146" s="6345"/>
      <c r="K146" s="6605"/>
      <c r="L146" s="6268"/>
      <c r="M146" s="6302"/>
      <c r="N146" s="6448"/>
      <c r="O146" s="3035"/>
      <c r="P146" s="3035"/>
      <c r="Q146" s="3035"/>
      <c r="R146" s="3035"/>
      <c r="S146" s="3035"/>
      <c r="T146" s="3035"/>
      <c r="U146" s="3035"/>
      <c r="V146" s="3035"/>
      <c r="W146" s="3035"/>
      <c r="X146" s="3035"/>
      <c r="Y146" s="3035"/>
      <c r="Z146" s="3037"/>
      <c r="AA146" s="3035"/>
      <c r="AB146" s="3037"/>
      <c r="AC146" s="3035"/>
      <c r="AD146" s="3037"/>
      <c r="AE146" s="3035"/>
      <c r="AF146" s="3037"/>
      <c r="AG146" s="3035"/>
      <c r="AH146" s="3037"/>
      <c r="AI146" s="3035"/>
      <c r="AJ146" s="3037"/>
      <c r="AK146" s="3035"/>
      <c r="AL146" s="3037"/>
      <c r="AM146" s="3035"/>
      <c r="AN146" s="3037"/>
      <c r="AO146" s="3035"/>
      <c r="AP146" s="3037"/>
      <c r="AQ146" s="6166"/>
      <c r="AR146" s="6166"/>
      <c r="AS146" s="6166"/>
      <c r="AT146" s="6166"/>
      <c r="AU146" s="6166"/>
      <c r="AV146" s="6166"/>
      <c r="AW146" s="6166"/>
      <c r="AX146" s="6166"/>
    </row>
    <row r="147" spans="1:50" ht="22.5" customHeight="1">
      <c r="A147" s="6300"/>
      <c r="B147" s="5719"/>
      <c r="C147" s="6188"/>
      <c r="D147" s="6136"/>
      <c r="E147" s="6229"/>
      <c r="F147" s="6134"/>
      <c r="G147" s="6136"/>
      <c r="H147" s="6604"/>
      <c r="I147" s="6116"/>
      <c r="J147" s="6345"/>
      <c r="K147" s="6605"/>
      <c r="L147" s="6204"/>
      <c r="M147" s="6136"/>
      <c r="N147" s="6157"/>
      <c r="O147" s="1645"/>
      <c r="P147" s="1645"/>
      <c r="Q147" s="1645"/>
      <c r="R147" s="1645"/>
      <c r="S147" s="1645"/>
      <c r="T147" s="1645"/>
      <c r="U147" s="1645"/>
      <c r="V147" s="1645"/>
      <c r="W147" s="1645"/>
      <c r="X147" s="1645"/>
      <c r="Y147" s="1645"/>
      <c r="Z147" s="1645"/>
      <c r="AA147" s="1645"/>
      <c r="AB147" s="1645"/>
      <c r="AC147" s="1645"/>
      <c r="AD147" s="1645"/>
      <c r="AE147" s="1645"/>
      <c r="AF147" s="1645"/>
      <c r="AG147" s="1645"/>
      <c r="AH147" s="1645"/>
      <c r="AI147" s="1645"/>
      <c r="AJ147" s="1645"/>
      <c r="AK147" s="1645"/>
      <c r="AL147" s="1645"/>
      <c r="AM147" s="1645"/>
      <c r="AN147" s="1645"/>
      <c r="AO147" s="1645"/>
      <c r="AP147" s="1645"/>
      <c r="AQ147" s="6166"/>
      <c r="AR147" s="6166"/>
      <c r="AS147" s="6166"/>
      <c r="AT147" s="6166"/>
      <c r="AU147" s="6166"/>
      <c r="AV147" s="6166"/>
      <c r="AW147" s="6166"/>
      <c r="AX147" s="6166"/>
    </row>
    <row r="148" spans="1:50" ht="15" customHeight="1">
      <c r="A148" s="3038" t="s">
        <v>1709</v>
      </c>
      <c r="B148" s="2347">
        <f t="shared" ref="B148:B157" si="108">SUM(C148:E148)</f>
        <v>0</v>
      </c>
      <c r="C148" s="3039"/>
      <c r="D148" s="1426"/>
      <c r="E148" s="1428"/>
      <c r="F148" s="1560"/>
      <c r="G148" s="1426"/>
      <c r="H148" s="1846"/>
      <c r="I148" s="1997">
        <f t="shared" ref="I148:I157" si="109">SUM(J148:K148)</f>
        <v>0</v>
      </c>
      <c r="J148" s="1424"/>
      <c r="K148" s="1428"/>
      <c r="L148" s="2039"/>
      <c r="M148" s="1426"/>
      <c r="N148" s="1523"/>
      <c r="P148" s="3040"/>
      <c r="Q148" s="3040"/>
      <c r="R148" s="3040"/>
      <c r="S148" s="3040"/>
      <c r="T148" s="3040"/>
      <c r="U148" s="3040"/>
      <c r="V148" s="3040"/>
      <c r="W148" s="3040"/>
      <c r="X148" s="3040"/>
      <c r="Y148" s="3040"/>
      <c r="Z148" s="3040"/>
      <c r="AA148" s="3040"/>
      <c r="AB148" s="3040"/>
      <c r="AC148" s="3040"/>
      <c r="AD148" s="3040"/>
      <c r="AE148" s="3040"/>
      <c r="AF148" s="3040"/>
      <c r="AG148" s="3040"/>
      <c r="AH148" s="3040"/>
      <c r="AI148" s="3040"/>
      <c r="AJ148" s="3040"/>
      <c r="AK148" s="3040"/>
      <c r="AL148" s="3040"/>
      <c r="AM148" s="3040"/>
      <c r="AN148" s="3040"/>
      <c r="AO148" s="3040"/>
      <c r="AP148" s="3040"/>
      <c r="AQ148" s="3040"/>
      <c r="AR148" s="3040"/>
      <c r="AS148" s="3040"/>
      <c r="AT148" s="3040"/>
      <c r="AU148" s="3040"/>
      <c r="AV148" s="3040"/>
      <c r="AW148" s="3040"/>
      <c r="AX148" s="3040"/>
    </row>
    <row r="149" spans="1:50" ht="15" customHeight="1">
      <c r="A149" s="3038" t="s">
        <v>1739</v>
      </c>
      <c r="B149" s="2351">
        <f t="shared" si="108"/>
        <v>0</v>
      </c>
      <c r="C149" s="3041"/>
      <c r="D149" s="1442"/>
      <c r="E149" s="1444"/>
      <c r="F149" s="1441"/>
      <c r="G149" s="1442"/>
      <c r="H149" s="1824"/>
      <c r="I149" s="1997">
        <f t="shared" si="109"/>
        <v>0</v>
      </c>
      <c r="J149" s="1440"/>
      <c r="K149" s="1444"/>
      <c r="L149" s="1709"/>
      <c r="M149" s="1442"/>
      <c r="N149" s="1692"/>
      <c r="P149" s="3040"/>
      <c r="Q149" s="3040"/>
      <c r="R149" s="3040"/>
      <c r="S149" s="3040"/>
      <c r="T149" s="3040"/>
      <c r="U149" s="3040"/>
      <c r="V149" s="3040"/>
      <c r="W149" s="3040"/>
      <c r="X149" s="3040"/>
      <c r="Y149" s="3040"/>
      <c r="Z149" s="3040"/>
      <c r="AA149" s="3040"/>
      <c r="AB149" s="3040"/>
      <c r="AC149" s="3040"/>
      <c r="AD149" s="3040"/>
      <c r="AE149" s="3040"/>
      <c r="AF149" s="3040"/>
      <c r="AG149" s="3040"/>
      <c r="AH149" s="3040"/>
      <c r="AI149" s="3040"/>
      <c r="AJ149" s="3040"/>
      <c r="AK149" s="3040"/>
      <c r="AL149" s="3040"/>
      <c r="AM149" s="3040"/>
      <c r="AN149" s="3040"/>
      <c r="AO149" s="3040"/>
      <c r="AP149" s="3040"/>
      <c r="AQ149" s="3040"/>
      <c r="AR149" s="3040"/>
      <c r="AS149" s="3040"/>
      <c r="AT149" s="3040"/>
      <c r="AU149" s="3040"/>
      <c r="AV149" s="3040"/>
      <c r="AW149" s="3040"/>
      <c r="AX149" s="3040"/>
    </row>
    <row r="150" spans="1:50" ht="15" customHeight="1">
      <c r="A150" s="3038" t="s">
        <v>1713</v>
      </c>
      <c r="B150" s="2351">
        <f t="shared" si="108"/>
        <v>0</v>
      </c>
      <c r="C150" s="3042"/>
      <c r="D150" s="1442"/>
      <c r="E150" s="1444"/>
      <c r="F150" s="1441"/>
      <c r="G150" s="1442"/>
      <c r="H150" s="1824"/>
      <c r="I150" s="1997">
        <f t="shared" si="109"/>
        <v>0</v>
      </c>
      <c r="J150" s="1440"/>
      <c r="K150" s="1444"/>
      <c r="L150" s="1709"/>
      <c r="M150" s="1442"/>
      <c r="N150" s="1692"/>
      <c r="P150" s="3040"/>
      <c r="Q150" s="3040"/>
      <c r="R150" s="3040"/>
      <c r="S150" s="3040"/>
      <c r="T150" s="3040"/>
      <c r="U150" s="3040"/>
      <c r="V150" s="3040"/>
      <c r="W150" s="3040"/>
      <c r="X150" s="3040"/>
      <c r="Y150" s="3040"/>
      <c r="Z150" s="3040"/>
      <c r="AA150" s="3040"/>
      <c r="AB150" s="3040"/>
      <c r="AC150" s="3040"/>
      <c r="AD150" s="3040"/>
      <c r="AE150" s="3040"/>
      <c r="AF150" s="3040"/>
      <c r="AG150" s="3040"/>
      <c r="AH150" s="3040"/>
      <c r="AI150" s="3040"/>
      <c r="AJ150" s="3040"/>
      <c r="AK150" s="3040"/>
      <c r="AL150" s="3040"/>
      <c r="AM150" s="3040"/>
      <c r="AN150" s="3040"/>
      <c r="AO150" s="3040"/>
      <c r="AP150" s="3040"/>
      <c r="AQ150" s="3040"/>
      <c r="AR150" s="3040"/>
      <c r="AS150" s="3040"/>
      <c r="AT150" s="3040"/>
      <c r="AU150" s="3040"/>
      <c r="AV150" s="3040"/>
      <c r="AW150" s="3040"/>
      <c r="AX150" s="3040"/>
    </row>
    <row r="151" spans="1:50" ht="15" customHeight="1">
      <c r="A151" s="3038" t="s">
        <v>1714</v>
      </c>
      <c r="B151" s="2351">
        <f t="shared" si="108"/>
        <v>0</v>
      </c>
      <c r="C151" s="3041"/>
      <c r="D151" s="1442"/>
      <c r="E151" s="1444"/>
      <c r="F151" s="1560"/>
      <c r="G151" s="1442"/>
      <c r="H151" s="1824"/>
      <c r="I151" s="1997">
        <f t="shared" si="109"/>
        <v>0</v>
      </c>
      <c r="J151" s="1440"/>
      <c r="K151" s="1444"/>
      <c r="L151" s="2039"/>
      <c r="M151" s="1442"/>
      <c r="N151" s="1692"/>
      <c r="P151" s="3040"/>
      <c r="Q151" s="3040"/>
      <c r="R151" s="3040"/>
      <c r="S151" s="3040"/>
      <c r="T151" s="3040"/>
      <c r="U151" s="3040"/>
      <c r="V151" s="3040"/>
      <c r="W151" s="3040"/>
      <c r="X151" s="3040"/>
      <c r="Y151" s="3040"/>
      <c r="Z151" s="3040"/>
      <c r="AA151" s="3040"/>
      <c r="AB151" s="3040"/>
      <c r="AC151" s="3040"/>
      <c r="AD151" s="3040"/>
      <c r="AE151" s="3040"/>
      <c r="AF151" s="3040"/>
      <c r="AG151" s="3040"/>
      <c r="AH151" s="3040"/>
      <c r="AI151" s="3040"/>
      <c r="AJ151" s="3040"/>
      <c r="AK151" s="3040"/>
      <c r="AL151" s="3040"/>
      <c r="AM151" s="3040"/>
      <c r="AN151" s="3040"/>
      <c r="AO151" s="3040"/>
      <c r="AP151" s="3040"/>
      <c r="AQ151" s="3040"/>
      <c r="AR151" s="3040"/>
      <c r="AS151" s="3040"/>
      <c r="AT151" s="3040"/>
      <c r="AU151" s="3040"/>
      <c r="AV151" s="3040"/>
      <c r="AW151" s="3040"/>
      <c r="AX151" s="3040"/>
    </row>
    <row r="152" spans="1:50" ht="15" customHeight="1">
      <c r="A152" s="3038" t="s">
        <v>1794</v>
      </c>
      <c r="B152" s="2351">
        <f t="shared" si="108"/>
        <v>0</v>
      </c>
      <c r="C152" s="3042"/>
      <c r="D152" s="1442"/>
      <c r="E152" s="1444"/>
      <c r="F152" s="1560"/>
      <c r="G152" s="1442"/>
      <c r="H152" s="1824"/>
      <c r="I152" s="1997">
        <f t="shared" si="109"/>
        <v>0</v>
      </c>
      <c r="J152" s="1440"/>
      <c r="K152" s="1444"/>
      <c r="L152" s="2039"/>
      <c r="M152" s="1442"/>
      <c r="N152" s="1692"/>
      <c r="P152" s="3040"/>
      <c r="Q152" s="3040"/>
      <c r="R152" s="3040"/>
      <c r="S152" s="3040"/>
      <c r="T152" s="3040"/>
      <c r="U152" s="3040"/>
      <c r="V152" s="3040"/>
      <c r="W152" s="3040"/>
      <c r="X152" s="3040"/>
      <c r="Y152" s="3040"/>
      <c r="Z152" s="3040"/>
      <c r="AA152" s="3040"/>
      <c r="AB152" s="3040"/>
      <c r="AC152" s="3040"/>
      <c r="AD152" s="3040"/>
      <c r="AE152" s="3040"/>
      <c r="AF152" s="3040"/>
      <c r="AG152" s="3040"/>
      <c r="AH152" s="3040"/>
      <c r="AI152" s="3040"/>
      <c r="AJ152" s="3040"/>
      <c r="AK152" s="3040"/>
      <c r="AL152" s="3040"/>
      <c r="AM152" s="3040"/>
      <c r="AN152" s="3040"/>
      <c r="AO152" s="3040"/>
      <c r="AP152" s="3040"/>
      <c r="AQ152" s="3040"/>
      <c r="AR152" s="3040"/>
      <c r="AS152" s="3040"/>
      <c r="AT152" s="3040"/>
      <c r="AU152" s="3040"/>
      <c r="AV152" s="3040"/>
      <c r="AW152" s="3040"/>
      <c r="AX152" s="3040"/>
    </row>
    <row r="153" spans="1:50" ht="15" customHeight="1">
      <c r="A153" s="3038" t="s">
        <v>1716</v>
      </c>
      <c r="B153" s="2351">
        <f t="shared" si="108"/>
        <v>0</v>
      </c>
      <c r="C153" s="3041"/>
      <c r="D153" s="1442"/>
      <c r="E153" s="1444"/>
      <c r="F153" s="1441"/>
      <c r="G153" s="1442"/>
      <c r="H153" s="1824"/>
      <c r="I153" s="1997">
        <f t="shared" si="109"/>
        <v>0</v>
      </c>
      <c r="J153" s="1440"/>
      <c r="K153" s="1444"/>
      <c r="L153" s="1709"/>
      <c r="M153" s="1442"/>
      <c r="N153" s="1692"/>
      <c r="P153" s="3040"/>
      <c r="Q153" s="3040"/>
      <c r="R153" s="3040"/>
      <c r="S153" s="3040"/>
      <c r="T153" s="3040"/>
      <c r="U153" s="3040"/>
      <c r="V153" s="3040"/>
      <c r="W153" s="3040"/>
      <c r="X153" s="3040"/>
      <c r="Y153" s="3040"/>
      <c r="Z153" s="3040"/>
      <c r="AA153" s="3040"/>
      <c r="AB153" s="3040"/>
      <c r="AC153" s="3040"/>
      <c r="AD153" s="3040"/>
      <c r="AE153" s="3040"/>
      <c r="AF153" s="3040"/>
      <c r="AG153" s="3040"/>
      <c r="AH153" s="3040"/>
      <c r="AI153" s="3040"/>
      <c r="AJ153" s="3040"/>
      <c r="AK153" s="3040"/>
      <c r="AL153" s="3040"/>
      <c r="AM153" s="3040"/>
      <c r="AN153" s="3040"/>
      <c r="AO153" s="3040"/>
      <c r="AP153" s="3040"/>
      <c r="AQ153" s="3040"/>
      <c r="AR153" s="3040"/>
      <c r="AS153" s="3040"/>
      <c r="AT153" s="3040"/>
      <c r="AU153" s="3040"/>
      <c r="AV153" s="3040"/>
      <c r="AW153" s="3040"/>
      <c r="AX153" s="3040"/>
    </row>
    <row r="154" spans="1:50" ht="15" customHeight="1">
      <c r="A154" s="3038" t="s">
        <v>1717</v>
      </c>
      <c r="B154" s="2351">
        <f t="shared" si="108"/>
        <v>0</v>
      </c>
      <c r="C154" s="3041"/>
      <c r="D154" s="1442"/>
      <c r="E154" s="1444"/>
      <c r="F154" s="1560"/>
      <c r="G154" s="1442"/>
      <c r="H154" s="1824"/>
      <c r="I154" s="1997">
        <f t="shared" si="109"/>
        <v>0</v>
      </c>
      <c r="J154" s="1440"/>
      <c r="K154" s="1444"/>
      <c r="L154" s="2039"/>
      <c r="M154" s="1442"/>
      <c r="N154" s="1692"/>
      <c r="P154" s="3040"/>
      <c r="Q154" s="3040"/>
      <c r="R154" s="3040"/>
      <c r="S154" s="3040"/>
      <c r="T154" s="3040"/>
      <c r="U154" s="3040"/>
      <c r="V154" s="3040"/>
      <c r="W154" s="3040"/>
      <c r="X154" s="3040"/>
      <c r="Y154" s="3040"/>
      <c r="Z154" s="3040"/>
      <c r="AA154" s="3040"/>
      <c r="AB154" s="3040"/>
      <c r="AC154" s="3040"/>
      <c r="AD154" s="3040"/>
      <c r="AE154" s="3040"/>
      <c r="AF154" s="3040"/>
      <c r="AG154" s="3040"/>
      <c r="AH154" s="3040"/>
      <c r="AI154" s="3040"/>
      <c r="AJ154" s="3040"/>
      <c r="AK154" s="3040"/>
      <c r="AL154" s="3040"/>
      <c r="AM154" s="3040"/>
      <c r="AN154" s="3040"/>
      <c r="AO154" s="3040"/>
      <c r="AP154" s="3040"/>
      <c r="AQ154" s="3040"/>
      <c r="AR154" s="3040"/>
      <c r="AS154" s="3040"/>
      <c r="AT154" s="3040"/>
      <c r="AU154" s="3040"/>
      <c r="AV154" s="3040"/>
      <c r="AW154" s="3040"/>
      <c r="AX154" s="3040"/>
    </row>
    <row r="155" spans="1:50" ht="15" customHeight="1">
      <c r="A155" s="3038" t="s">
        <v>1718</v>
      </c>
      <c r="B155" s="2351">
        <f t="shared" si="108"/>
        <v>0</v>
      </c>
      <c r="C155" s="3041"/>
      <c r="D155" s="1442"/>
      <c r="E155" s="1444"/>
      <c r="F155" s="1441"/>
      <c r="G155" s="1442"/>
      <c r="H155" s="1824"/>
      <c r="I155" s="1997">
        <f t="shared" si="109"/>
        <v>0</v>
      </c>
      <c r="J155" s="1440"/>
      <c r="K155" s="1444"/>
      <c r="L155" s="1709"/>
      <c r="M155" s="1442"/>
      <c r="N155" s="1692"/>
      <c r="P155" s="3040"/>
      <c r="Q155" s="3040"/>
      <c r="R155" s="3040"/>
      <c r="S155" s="3040"/>
      <c r="T155" s="3040"/>
      <c r="U155" s="3040"/>
      <c r="V155" s="3040"/>
      <c r="W155" s="3040"/>
      <c r="X155" s="3040"/>
      <c r="Y155" s="3040"/>
      <c r="Z155" s="3040"/>
      <c r="AA155" s="3040"/>
      <c r="AB155" s="3040"/>
      <c r="AC155" s="3040"/>
      <c r="AD155" s="3040"/>
      <c r="AE155" s="3040"/>
      <c r="AF155" s="3040"/>
      <c r="AG155" s="3040"/>
      <c r="AH155" s="3040"/>
      <c r="AI155" s="3040"/>
      <c r="AJ155" s="3040"/>
      <c r="AK155" s="3040"/>
      <c r="AL155" s="3040"/>
      <c r="AM155" s="3040"/>
      <c r="AN155" s="3040"/>
      <c r="AO155" s="3040"/>
      <c r="AP155" s="3040"/>
      <c r="AQ155" s="3040"/>
      <c r="AR155" s="3040"/>
      <c r="AS155" s="3040"/>
      <c r="AT155" s="3040"/>
      <c r="AU155" s="3040"/>
      <c r="AV155" s="3040"/>
      <c r="AW155" s="3040"/>
      <c r="AX155" s="3040"/>
    </row>
    <row r="156" spans="1:50" ht="21">
      <c r="A156" s="3043" t="s">
        <v>1719</v>
      </c>
      <c r="B156" s="2351">
        <f t="shared" si="108"/>
        <v>0</v>
      </c>
      <c r="C156" s="3041"/>
      <c r="D156" s="1442"/>
      <c r="E156" s="1444"/>
      <c r="F156" s="1560"/>
      <c r="G156" s="1442"/>
      <c r="H156" s="1824"/>
      <c r="I156" s="1997">
        <f t="shared" si="109"/>
        <v>0</v>
      </c>
      <c r="J156" s="1440"/>
      <c r="K156" s="1444"/>
      <c r="L156" s="2039"/>
      <c r="M156" s="1442"/>
      <c r="N156" s="1692"/>
      <c r="P156" s="3040"/>
      <c r="Q156" s="3040"/>
      <c r="R156" s="3040"/>
      <c r="S156" s="3040"/>
      <c r="T156" s="3040"/>
      <c r="U156" s="3040"/>
      <c r="V156" s="3040"/>
      <c r="W156" s="3040"/>
      <c r="X156" s="3040"/>
      <c r="Y156" s="3040"/>
      <c r="Z156" s="3040"/>
      <c r="AA156" s="3040"/>
      <c r="AB156" s="3040"/>
      <c r="AC156" s="3040"/>
      <c r="AD156" s="3040"/>
      <c r="AE156" s="3040"/>
      <c r="AF156" s="3040"/>
      <c r="AG156" s="3040"/>
      <c r="AH156" s="3040"/>
      <c r="AI156" s="3040"/>
      <c r="AJ156" s="3040"/>
      <c r="AK156" s="3040"/>
      <c r="AL156" s="3040"/>
      <c r="AM156" s="3040"/>
      <c r="AN156" s="3040"/>
      <c r="AO156" s="3040"/>
      <c r="AP156" s="3040"/>
      <c r="AQ156" s="3040"/>
      <c r="AR156" s="3040"/>
      <c r="AS156" s="3040"/>
      <c r="AT156" s="3040"/>
      <c r="AU156" s="3040"/>
      <c r="AV156" s="3040"/>
      <c r="AW156" s="3040"/>
      <c r="AX156" s="3040"/>
    </row>
    <row r="157" spans="1:50">
      <c r="A157" s="3038" t="s">
        <v>1720</v>
      </c>
      <c r="B157" s="2360">
        <f t="shared" si="108"/>
        <v>0</v>
      </c>
      <c r="C157" s="3044"/>
      <c r="D157" s="1457"/>
      <c r="E157" s="1459"/>
      <c r="F157" s="1441"/>
      <c r="G157" s="1457"/>
      <c r="H157" s="1684"/>
      <c r="I157" s="1997">
        <f t="shared" si="109"/>
        <v>0</v>
      </c>
      <c r="J157" s="1455"/>
      <c r="K157" s="1486"/>
      <c r="L157" s="1709"/>
      <c r="M157" s="1457"/>
      <c r="N157" s="1692"/>
      <c r="P157" s="3033"/>
      <c r="Q157" s="3033"/>
      <c r="R157" s="3033"/>
      <c r="S157" s="3033"/>
      <c r="T157" s="3033"/>
      <c r="U157" s="3033"/>
      <c r="V157" s="3033"/>
      <c r="W157" s="3033"/>
      <c r="X157" s="3033"/>
      <c r="Y157" s="3033"/>
      <c r="Z157" s="3033"/>
      <c r="AA157" s="3033"/>
      <c r="AB157" s="3033"/>
      <c r="AC157" s="3033"/>
      <c r="AD157" s="3033"/>
      <c r="AE157" s="3033"/>
      <c r="AF157" s="3033"/>
      <c r="AG157" s="3033"/>
      <c r="AH157" s="3033"/>
      <c r="AI157" s="3033"/>
      <c r="AJ157" s="3033"/>
      <c r="AK157" s="3033"/>
      <c r="AL157" s="3033"/>
      <c r="AM157" s="3033"/>
      <c r="AN157" s="3033"/>
      <c r="AO157" s="3033"/>
      <c r="AP157" s="3033"/>
      <c r="AQ157" s="3033"/>
      <c r="AR157" s="3033"/>
      <c r="AS157" s="3033"/>
      <c r="AT157" s="3033"/>
      <c r="AU157" s="3033"/>
      <c r="AV157" s="3033"/>
      <c r="AW157" s="3033"/>
      <c r="AX157" s="3033"/>
    </row>
    <row r="158" spans="1:50">
      <c r="A158" s="1574" t="s">
        <v>91</v>
      </c>
      <c r="B158" s="3045">
        <f>SUM(B148:B157)</f>
        <v>0</v>
      </c>
      <c r="C158" s="2238">
        <f>SUM(C148:C157)</f>
        <v>0</v>
      </c>
      <c r="D158" s="2239">
        <f>SUM(D148:D157)</f>
        <v>0</v>
      </c>
      <c r="E158" s="2969">
        <f>SUM(E148:E157)</f>
        <v>0</v>
      </c>
      <c r="F158" s="2243">
        <f>SUM(F149,F150,F153,F155,F157)</f>
        <v>0</v>
      </c>
      <c r="G158" s="2239">
        <f>SUM(G148:G157)</f>
        <v>0</v>
      </c>
      <c r="H158" s="2241">
        <f>SUM(H148:H157)</f>
        <v>0</v>
      </c>
      <c r="I158" s="2918">
        <f>SUM(I148:I157)</f>
        <v>0</v>
      </c>
      <c r="J158" s="2238">
        <f>SUM(J148:J157)</f>
        <v>0</v>
      </c>
      <c r="K158" s="2969">
        <f>SUM(K148:K157)</f>
        <v>0</v>
      </c>
      <c r="L158" s="2970">
        <f t="array" ref="L158">SUM(L149:L150+L153+L155+L157)</f>
        <v>0</v>
      </c>
      <c r="M158" s="2239">
        <f>SUM(M148:M157)</f>
        <v>0</v>
      </c>
      <c r="N158" s="2918">
        <f>SUM(N148:N157)</f>
        <v>0</v>
      </c>
      <c r="O158" s="3033"/>
      <c r="P158" s="3033"/>
      <c r="Q158" s="3033"/>
      <c r="R158" s="3033"/>
      <c r="S158" s="3033"/>
      <c r="T158" s="3033"/>
      <c r="U158" s="3033"/>
      <c r="V158" s="3033"/>
      <c r="W158" s="3033"/>
      <c r="X158" s="3033"/>
      <c r="Y158" s="3033"/>
      <c r="Z158" s="3033"/>
      <c r="AA158" s="3033"/>
      <c r="AB158" s="3033"/>
      <c r="AC158" s="3033"/>
      <c r="AD158" s="3033"/>
      <c r="AE158" s="3033"/>
      <c r="AF158" s="3033"/>
      <c r="AG158" s="3033"/>
      <c r="AH158" s="3033"/>
      <c r="AI158" s="3033"/>
      <c r="AJ158" s="3033"/>
      <c r="AK158" s="3033"/>
      <c r="AL158" s="3033"/>
      <c r="AM158" s="3033"/>
      <c r="AN158" s="3033"/>
      <c r="AO158" s="3033"/>
      <c r="AP158" s="3033"/>
      <c r="AQ158" s="3033"/>
      <c r="AR158" s="3033"/>
      <c r="AS158" s="3033"/>
      <c r="AT158" s="3046"/>
      <c r="AU158" s="3046"/>
      <c r="AV158" s="3046"/>
      <c r="AW158" s="3046"/>
      <c r="AX158" s="3046"/>
    </row>
    <row r="159" spans="1:50" ht="18" customHeight="1">
      <c r="A159" s="1468" t="s">
        <v>1795</v>
      </c>
      <c r="B159" s="439"/>
      <c r="C159" s="439"/>
      <c r="D159" s="383"/>
      <c r="E159" s="383"/>
      <c r="F159" s="383"/>
      <c r="G159" s="383"/>
      <c r="H159" s="383"/>
      <c r="I159" s="383"/>
      <c r="J159" s="383"/>
      <c r="K159" s="383"/>
      <c r="L159" s="383"/>
      <c r="M159" s="383"/>
      <c r="N159" s="383"/>
      <c r="O159" s="383"/>
      <c r="P159" s="383"/>
      <c r="Q159" s="383"/>
      <c r="R159" s="383"/>
      <c r="S159" s="383"/>
      <c r="T159" s="383"/>
      <c r="U159" s="383"/>
      <c r="V159" s="383"/>
      <c r="W159" s="383"/>
      <c r="X159" s="383"/>
      <c r="Y159" s="383"/>
      <c r="Z159" s="383"/>
      <c r="AA159" s="383"/>
      <c r="AB159" s="383"/>
      <c r="AC159" s="383"/>
      <c r="AD159" s="383"/>
      <c r="AE159" s="383"/>
      <c r="AF159" s="383"/>
      <c r="AG159" s="383"/>
      <c r="AH159" s="383"/>
      <c r="AI159" s="383"/>
      <c r="AJ159" s="383"/>
      <c r="AK159" s="383"/>
      <c r="AL159" s="383"/>
      <c r="AM159" s="383"/>
      <c r="AN159" s="383"/>
      <c r="AO159" s="383"/>
      <c r="AP159" s="383"/>
      <c r="AQ159" s="383"/>
      <c r="AR159" s="383"/>
      <c r="AS159" s="383"/>
      <c r="AT159" s="383"/>
      <c r="AU159" s="383"/>
      <c r="AV159" s="383"/>
      <c r="AW159" s="383"/>
      <c r="AX159" s="383"/>
    </row>
    <row r="160" spans="1:50">
      <c r="A160" s="6621" t="s">
        <v>1796</v>
      </c>
      <c r="B160" s="6622"/>
      <c r="C160" s="6583"/>
      <c r="D160" s="6140" t="s">
        <v>91</v>
      </c>
      <c r="E160" s="6139"/>
      <c r="F160" s="6119"/>
      <c r="G160" s="5710" t="s">
        <v>1797</v>
      </c>
      <c r="H160" s="6106"/>
      <c r="I160" s="6106"/>
      <c r="J160" s="6106"/>
      <c r="K160" s="6106"/>
      <c r="L160" s="6106"/>
      <c r="M160" s="6106"/>
      <c r="N160" s="6106"/>
      <c r="O160" s="6106"/>
      <c r="P160" s="6106"/>
      <c r="Q160" s="6106"/>
      <c r="R160" s="6106"/>
      <c r="S160" s="6106"/>
      <c r="T160" s="6106"/>
      <c r="U160" s="6106"/>
      <c r="V160" s="6106"/>
      <c r="W160" s="6106"/>
      <c r="X160" s="6106"/>
      <c r="Y160" s="6106"/>
      <c r="Z160" s="6106"/>
      <c r="AA160" s="6106"/>
      <c r="AB160" s="6106"/>
      <c r="AC160" s="6106"/>
      <c r="AD160" s="6106"/>
      <c r="AE160" s="6106"/>
      <c r="AF160" s="6106"/>
      <c r="AG160" s="6106"/>
      <c r="AH160" s="6106"/>
      <c r="AI160" s="6106"/>
      <c r="AJ160" s="6106"/>
      <c r="AK160" s="6106"/>
      <c r="AL160" s="6106"/>
      <c r="AM160" s="6106"/>
      <c r="AN160" s="6106"/>
      <c r="AO160" s="6106"/>
      <c r="AP160" s="5716"/>
      <c r="AQ160" s="6191" t="s">
        <v>1729</v>
      </c>
      <c r="AR160" s="6137" t="s">
        <v>476</v>
      </c>
      <c r="AS160" s="6106" t="s">
        <v>1641</v>
      </c>
      <c r="AT160" s="6137" t="s">
        <v>1661</v>
      </c>
      <c r="AU160" s="6053" t="s">
        <v>1733</v>
      </c>
      <c r="AV160" s="6662" t="s">
        <v>48</v>
      </c>
      <c r="AW160" s="6223" t="s">
        <v>49</v>
      </c>
      <c r="AX160" s="6054" t="s">
        <v>51</v>
      </c>
    </row>
    <row r="161" spans="1:100" ht="18" customHeight="1">
      <c r="A161" s="6623"/>
      <c r="B161" s="6624"/>
      <c r="C161" s="6584"/>
      <c r="D161" s="6114"/>
      <c r="E161" s="6115"/>
      <c r="F161" s="6116"/>
      <c r="G161" s="6586" t="s">
        <v>495</v>
      </c>
      <c r="H161" s="6575"/>
      <c r="I161" s="5710" t="s">
        <v>401</v>
      </c>
      <c r="J161" s="5712"/>
      <c r="K161" s="6106" t="s">
        <v>402</v>
      </c>
      <c r="L161" s="5712"/>
      <c r="M161" s="5710" t="s">
        <v>1644</v>
      </c>
      <c r="N161" s="5712"/>
      <c r="O161" s="5710" t="s">
        <v>404</v>
      </c>
      <c r="P161" s="5712"/>
      <c r="Q161" s="5710" t="s">
        <v>405</v>
      </c>
      <c r="R161" s="5712"/>
      <c r="S161" s="5710" t="s">
        <v>406</v>
      </c>
      <c r="T161" s="5712"/>
      <c r="U161" s="5710" t="s">
        <v>407</v>
      </c>
      <c r="V161" s="5712"/>
      <c r="W161" s="5710" t="s">
        <v>1645</v>
      </c>
      <c r="X161" s="5712"/>
      <c r="Y161" s="5710" t="s">
        <v>324</v>
      </c>
      <c r="Z161" s="5709"/>
      <c r="AA161" s="5710" t="s">
        <v>325</v>
      </c>
      <c r="AB161" s="5709"/>
      <c r="AC161" s="5710" t="s">
        <v>1646</v>
      </c>
      <c r="AD161" s="5709"/>
      <c r="AE161" s="5710" t="s">
        <v>1647</v>
      </c>
      <c r="AF161" s="5709"/>
      <c r="AG161" s="5710" t="s">
        <v>1648</v>
      </c>
      <c r="AH161" s="5709"/>
      <c r="AI161" s="5710" t="s">
        <v>1649</v>
      </c>
      <c r="AJ161" s="5709"/>
      <c r="AK161" s="5710" t="s">
        <v>1650</v>
      </c>
      <c r="AL161" s="5709"/>
      <c r="AM161" s="5710" t="s">
        <v>1651</v>
      </c>
      <c r="AN161" s="5709"/>
      <c r="AO161" s="5710" t="s">
        <v>966</v>
      </c>
      <c r="AP161" s="6147"/>
      <c r="AQ161" s="6191"/>
      <c r="AR161" s="6137"/>
      <c r="AS161" s="6106"/>
      <c r="AT161" s="6137"/>
      <c r="AU161" s="6053"/>
      <c r="AV161" s="6662"/>
      <c r="AW161" s="6223"/>
      <c r="AX161" s="6054"/>
    </row>
    <row r="162" spans="1:100" ht="36.75" customHeight="1">
      <c r="A162" s="6625"/>
      <c r="B162" s="6626"/>
      <c r="C162" s="6585"/>
      <c r="D162" s="1395" t="s">
        <v>1798</v>
      </c>
      <c r="E162" s="1396" t="s">
        <v>72</v>
      </c>
      <c r="F162" s="393" t="s">
        <v>73</v>
      </c>
      <c r="G162" s="1395" t="s">
        <v>72</v>
      </c>
      <c r="H162" s="393" t="s">
        <v>73</v>
      </c>
      <c r="I162" s="1395" t="s">
        <v>72</v>
      </c>
      <c r="J162" s="393" t="s">
        <v>73</v>
      </c>
      <c r="K162" s="1395" t="s">
        <v>72</v>
      </c>
      <c r="L162" s="393" t="s">
        <v>73</v>
      </c>
      <c r="M162" s="1395" t="s">
        <v>72</v>
      </c>
      <c r="N162" s="393" t="s">
        <v>73</v>
      </c>
      <c r="O162" s="1395" t="s">
        <v>72</v>
      </c>
      <c r="P162" s="393" t="s">
        <v>73</v>
      </c>
      <c r="Q162" s="1395" t="s">
        <v>72</v>
      </c>
      <c r="R162" s="393" t="s">
        <v>73</v>
      </c>
      <c r="S162" s="1395" t="s">
        <v>72</v>
      </c>
      <c r="T162" s="393" t="s">
        <v>73</v>
      </c>
      <c r="U162" s="1395" t="s">
        <v>72</v>
      </c>
      <c r="V162" s="393" t="s">
        <v>73</v>
      </c>
      <c r="W162" s="1395" t="s">
        <v>72</v>
      </c>
      <c r="X162" s="393" t="s">
        <v>73</v>
      </c>
      <c r="Y162" s="1395" t="s">
        <v>72</v>
      </c>
      <c r="Z162" s="393" t="s">
        <v>73</v>
      </c>
      <c r="AA162" s="1395" t="s">
        <v>72</v>
      </c>
      <c r="AB162" s="393" t="s">
        <v>73</v>
      </c>
      <c r="AC162" s="1395" t="s">
        <v>72</v>
      </c>
      <c r="AD162" s="393" t="s">
        <v>73</v>
      </c>
      <c r="AE162" s="1395" t="s">
        <v>72</v>
      </c>
      <c r="AF162" s="393" t="s">
        <v>73</v>
      </c>
      <c r="AG162" s="1395" t="s">
        <v>72</v>
      </c>
      <c r="AH162" s="393" t="s">
        <v>73</v>
      </c>
      <c r="AI162" s="1395" t="s">
        <v>72</v>
      </c>
      <c r="AJ162" s="393" t="s">
        <v>73</v>
      </c>
      <c r="AK162" s="1395" t="s">
        <v>72</v>
      </c>
      <c r="AL162" s="393" t="s">
        <v>73</v>
      </c>
      <c r="AM162" s="1395" t="s">
        <v>72</v>
      </c>
      <c r="AN162" s="393" t="s">
        <v>73</v>
      </c>
      <c r="AO162" s="1395" t="s">
        <v>72</v>
      </c>
      <c r="AP162" s="394" t="s">
        <v>73</v>
      </c>
      <c r="AQ162" s="6191"/>
      <c r="AR162" s="6137"/>
      <c r="AS162" s="6106"/>
      <c r="AT162" s="6137"/>
      <c r="AU162" s="6053"/>
      <c r="AV162" s="6662"/>
      <c r="AW162" s="6223"/>
      <c r="AX162" s="6054"/>
    </row>
    <row r="163" spans="1:100" ht="15" customHeight="1">
      <c r="A163" s="6659" t="s">
        <v>1799</v>
      </c>
      <c r="B163" s="6660"/>
      <c r="C163" s="6661"/>
      <c r="D163" s="409">
        <f t="shared" ref="D163:D173" si="110">E163+F163</f>
        <v>0</v>
      </c>
      <c r="E163" s="409">
        <f t="shared" ref="E163:E173" si="111">SUM(G163+I163+K163+M163+O163+Q163+S163+U163+W163+Y163+AA163+AC163+AE163+AG163+AI163+AK163+AM163+AO163)</f>
        <v>0</v>
      </c>
      <c r="F163" s="1649">
        <f t="shared" ref="F163:F173" si="112">SUM(H163+J163+L163+N163+P163+R163+T163+V163+X163+Z163+AB163+AD163+AF163+AH163+AJ163+AL163+AN163+AP163)</f>
        <v>0</v>
      </c>
      <c r="G163" s="1424"/>
      <c r="H163" s="1676"/>
      <c r="I163" s="1425"/>
      <c r="J163" s="1676"/>
      <c r="K163" s="1425"/>
      <c r="L163" s="1676"/>
      <c r="M163" s="1425"/>
      <c r="N163" s="1676"/>
      <c r="O163" s="1426"/>
      <c r="P163" s="1676"/>
      <c r="Q163" s="1426"/>
      <c r="R163" s="1676"/>
      <c r="S163" s="1426"/>
      <c r="T163" s="1676"/>
      <c r="U163" s="1425"/>
      <c r="V163" s="1676"/>
      <c r="W163" s="1425"/>
      <c r="X163" s="1676"/>
      <c r="Y163" s="1425"/>
      <c r="Z163" s="1676"/>
      <c r="AA163" s="1425"/>
      <c r="AB163" s="1676"/>
      <c r="AC163" s="1425"/>
      <c r="AD163" s="1676"/>
      <c r="AE163" s="1425"/>
      <c r="AF163" s="1676"/>
      <c r="AG163" s="1425"/>
      <c r="AH163" s="1676"/>
      <c r="AI163" s="1425"/>
      <c r="AJ163" s="1676"/>
      <c r="AK163" s="1425"/>
      <c r="AL163" s="1676"/>
      <c r="AM163" s="1425"/>
      <c r="AN163" s="1676"/>
      <c r="AO163" s="1425"/>
      <c r="AP163" s="1428"/>
      <c r="AQ163" s="1429"/>
      <c r="AR163" s="1483"/>
      <c r="AS163" s="1482"/>
      <c r="AT163" s="1483"/>
      <c r="AU163" s="1482"/>
      <c r="AV163" s="3047"/>
      <c r="AW163" s="1483"/>
      <c r="AX163" s="1545"/>
      <c r="AY163" t="str">
        <f t="shared" ref="AY163:AY226" si="113">CA163&amp;CB163&amp;CC163&amp;CD163&amp;CE163&amp;CF163&amp;CG163&amp;CH163</f>
        <v/>
      </c>
      <c r="CA163" s="2841" t="str">
        <f t="shared" ref="CA163:CA173" si="114">IF(AND(Y163+Z163&gt;0,AQ163="")," * No olvide digitar la variable 12 años (incluidos en  grupo de 10-14 años). Digite Cero si no tiene.",IF(AQ163&gt;Y163+Z163," * La variable 12 años (incluidos en  grupo de 10-14 años) no pueden superar la suma del Grupo 10-14 años.",""))</f>
        <v/>
      </c>
      <c r="CB163" s="2841" t="str">
        <f t="shared" ref="CB163:CB173" si="115">IF(AND(F163&gt;0,AR163="")," * No olvide digitar la variable Gestante. Digite Cero si no tiene.",IF(AR163&gt;F163," * La variable Gestante no pueden superar el Total Mujeres.",""))</f>
        <v/>
      </c>
      <c r="CC163" s="2841" t="str">
        <f t="shared" ref="CC163:CC173" si="116">IF(AND(AK163+AL163&gt;0,AS163="")," * No olvide digitar la variable 60 años (incluido en grupos de 60-64 años). Digite Cero si no tiene.",IF(AS163&gt;AK163+AL163," * La variable 60 años (incluido en grupos de 60-64 años) no pueden superar la suma del Grupo 60-64 años.",""))</f>
        <v/>
      </c>
      <c r="CD163" s="2841" t="str">
        <f t="shared" ref="CD163:CD173" si="117">IF(AND($D163&gt;0,AT163=""),"  * No olvide digitar la variable Compra de servicio. Digite Cero si no tiene.","")</f>
        <v/>
      </c>
      <c r="CE163" s="2841" t="str">
        <f t="shared" ref="CE163:CE173" si="118">IF(AND($D163&gt;0,AU163="")," * No olvide digitar la variable Usuario con Discapacidad. Digite Cero si no tiene.",IF(AU163&gt;$D163," * La variable Usuario con Discapacidad no pueden superar el Total Ambos Sexos.",""))</f>
        <v/>
      </c>
      <c r="CF163" s="2841" t="str">
        <f t="shared" ref="CF163:CF173" si="119">IF(AND($D163&gt;0,AV163=""),"  * No olvide digitar la variable "&amp;AV$160&amp;". Digite Cero si no tiene.",IF(AV163&gt;$D163," * La variable "&amp;AV$160&amp;" no pueden superar el Total Ambos Sexos.",""))</f>
        <v/>
      </c>
      <c r="CG163" s="2841" t="str">
        <f t="shared" ref="CG163:CG173" si="120">IF(AND($D163&gt;0,AW163=""),"  * No olvide digitar la variable "&amp;AW$160&amp;". Digite Cero si no tiene.",IF(AW163&gt;$D163," * La variable "&amp;AW$160&amp;" no pueden superar el Total Ambos Sexos.",""))</f>
        <v/>
      </c>
      <c r="CH163" s="2841" t="str">
        <f t="shared" ref="CH163:CH173" si="121">IF(AND($D163&gt;0,AX163=""),"  * No olvide digitar la variable Migrantes. Digite Cero si no tiene.",IF(AX163&gt;$D163," * La variable Migrantes no pueden superar el Total Ambos Sexos.",""))</f>
        <v/>
      </c>
      <c r="CO163" s="2842">
        <f t="shared" ref="CO163:CO173" si="122">IF(AND(Y163+Z163&gt;0,AQ163=""),1,IF(AQ163&gt;Y163+Z163,1,0))</f>
        <v>0</v>
      </c>
      <c r="CP163" s="2842">
        <f t="shared" ref="CP163:CP173" si="123">IF(AND(F163&gt;0,AR163=""),1,IF(AR163&gt;F163,1,0))</f>
        <v>0</v>
      </c>
      <c r="CQ163" s="2842">
        <f t="shared" ref="CQ163:CQ173" si="124">IF(AND(AK163+AL163&gt;0,AS163=""),1,IF(AS163&gt;AK163+AL163,1,0))</f>
        <v>0</v>
      </c>
      <c r="CR163" s="2842">
        <f t="shared" ref="CR163:CR173" si="125">IF(AND(D163&gt;0,AT163=""),1,0)</f>
        <v>0</v>
      </c>
      <c r="CS163" s="2842">
        <f t="shared" ref="CS163:CV226" si="126">IF(AND($D163&gt;0,AU163=""),1,IF(AU163&gt;$D163,1,0))</f>
        <v>0</v>
      </c>
      <c r="CT163" s="2842">
        <f t="shared" ref="CT163:CT173" si="127">IF(AND($D163&gt;0,AV163=""),1,IF(AV163&gt;$D163,1,0))</f>
        <v>0</v>
      </c>
      <c r="CU163" s="2842">
        <f t="shared" ref="CU163:CV182" si="128">IF(AND($D163&gt;0,AW163=""),1,IF(AW163&gt;$D163,1,0))</f>
        <v>0</v>
      </c>
      <c r="CV163" s="2842">
        <f t="shared" ref="CV163:CV173" si="129">IF(AND($D163&gt;0,AX163=""),1,IF(AX163&gt;$D163,1,0))</f>
        <v>0</v>
      </c>
    </row>
    <row r="164" spans="1:100">
      <c r="A164" s="6597" t="s">
        <v>1800</v>
      </c>
      <c r="B164" s="6598"/>
      <c r="C164" s="6599"/>
      <c r="D164" s="421">
        <f t="shared" si="110"/>
        <v>0</v>
      </c>
      <c r="E164" s="421">
        <f t="shared" si="111"/>
        <v>0</v>
      </c>
      <c r="F164" s="1654">
        <f t="shared" si="112"/>
        <v>0</v>
      </c>
      <c r="G164" s="1440"/>
      <c r="H164" s="1680"/>
      <c r="I164" s="1441"/>
      <c r="J164" s="1680"/>
      <c r="K164" s="1441"/>
      <c r="L164" s="1680"/>
      <c r="M164" s="1441"/>
      <c r="N164" s="1680"/>
      <c r="O164" s="1442"/>
      <c r="P164" s="1680"/>
      <c r="Q164" s="1442"/>
      <c r="R164" s="1680"/>
      <c r="S164" s="1442"/>
      <c r="T164" s="1680"/>
      <c r="U164" s="1441"/>
      <c r="V164" s="1680"/>
      <c r="W164" s="1441"/>
      <c r="X164" s="1680"/>
      <c r="Y164" s="1441"/>
      <c r="Z164" s="1680"/>
      <c r="AA164" s="1441"/>
      <c r="AB164" s="1680"/>
      <c r="AC164" s="1441"/>
      <c r="AD164" s="1680"/>
      <c r="AE164" s="1441"/>
      <c r="AF164" s="1680"/>
      <c r="AG164" s="1441"/>
      <c r="AH164" s="1680"/>
      <c r="AI164" s="1441"/>
      <c r="AJ164" s="1680"/>
      <c r="AK164" s="1441"/>
      <c r="AL164" s="1680"/>
      <c r="AM164" s="1441"/>
      <c r="AN164" s="1680"/>
      <c r="AO164" s="1441"/>
      <c r="AP164" s="1444"/>
      <c r="AQ164" s="1445"/>
      <c r="AR164" s="1483"/>
      <c r="AS164" s="1482"/>
      <c r="AT164" s="1483"/>
      <c r="AU164" s="1482"/>
      <c r="AV164" s="3047"/>
      <c r="AW164" s="1483"/>
      <c r="AX164" s="1545"/>
      <c r="AY164" t="str">
        <f t="shared" si="113"/>
        <v/>
      </c>
      <c r="CA164" s="2841" t="str">
        <f t="shared" si="114"/>
        <v/>
      </c>
      <c r="CB164" s="2841" t="str">
        <f t="shared" si="115"/>
        <v/>
      </c>
      <c r="CC164" s="2841" t="str">
        <f t="shared" si="116"/>
        <v/>
      </c>
      <c r="CD164" s="2841" t="str">
        <f t="shared" si="117"/>
        <v/>
      </c>
      <c r="CE164" s="2841" t="str">
        <f t="shared" si="118"/>
        <v/>
      </c>
      <c r="CF164" s="2841" t="str">
        <f t="shared" si="119"/>
        <v/>
      </c>
      <c r="CG164" s="2841" t="str">
        <f t="shared" si="120"/>
        <v/>
      </c>
      <c r="CH164" s="2841" t="str">
        <f t="shared" si="121"/>
        <v/>
      </c>
      <c r="CO164" s="2842">
        <f t="shared" si="122"/>
        <v>0</v>
      </c>
      <c r="CP164" s="2842">
        <f t="shared" si="123"/>
        <v>0</v>
      </c>
      <c r="CQ164" s="2842">
        <f t="shared" si="124"/>
        <v>0</v>
      </c>
      <c r="CR164" s="2842">
        <f t="shared" si="125"/>
        <v>0</v>
      </c>
      <c r="CS164" s="2842">
        <f t="shared" si="126"/>
        <v>0</v>
      </c>
      <c r="CT164" s="2842">
        <f t="shared" si="127"/>
        <v>0</v>
      </c>
      <c r="CU164" s="2842">
        <f t="shared" si="128"/>
        <v>0</v>
      </c>
      <c r="CV164" s="2842">
        <f t="shared" si="129"/>
        <v>0</v>
      </c>
    </row>
    <row r="165" spans="1:100" ht="15" customHeight="1">
      <c r="A165" s="6181" t="s">
        <v>1801</v>
      </c>
      <c r="B165" s="6564"/>
      <c r="C165" s="6182"/>
      <c r="D165" s="421">
        <f t="shared" si="110"/>
        <v>0</v>
      </c>
      <c r="E165" s="421">
        <f t="shared" si="111"/>
        <v>0</v>
      </c>
      <c r="F165" s="1654">
        <f t="shared" si="112"/>
        <v>0</v>
      </c>
      <c r="G165" s="1440"/>
      <c r="H165" s="1680"/>
      <c r="I165" s="1441"/>
      <c r="J165" s="1680"/>
      <c r="K165" s="1441"/>
      <c r="L165" s="1680"/>
      <c r="M165" s="1441"/>
      <c r="N165" s="1680"/>
      <c r="O165" s="1442"/>
      <c r="P165" s="1680"/>
      <c r="Q165" s="1442"/>
      <c r="R165" s="1680"/>
      <c r="S165" s="1442"/>
      <c r="T165" s="1680"/>
      <c r="U165" s="1441"/>
      <c r="V165" s="1680"/>
      <c r="W165" s="1441"/>
      <c r="X165" s="1680"/>
      <c r="Y165" s="1441"/>
      <c r="Z165" s="1680"/>
      <c r="AA165" s="1441"/>
      <c r="AB165" s="1680"/>
      <c r="AC165" s="1441"/>
      <c r="AD165" s="1680"/>
      <c r="AE165" s="1441"/>
      <c r="AF165" s="1680"/>
      <c r="AG165" s="1441"/>
      <c r="AH165" s="1680"/>
      <c r="AI165" s="1441"/>
      <c r="AJ165" s="1680"/>
      <c r="AK165" s="1441"/>
      <c r="AL165" s="1680"/>
      <c r="AM165" s="1441"/>
      <c r="AN165" s="1680"/>
      <c r="AO165" s="1441"/>
      <c r="AP165" s="1444"/>
      <c r="AQ165" s="1445"/>
      <c r="AR165" s="1483"/>
      <c r="AS165" s="1482"/>
      <c r="AT165" s="1483"/>
      <c r="AU165" s="1482"/>
      <c r="AV165" s="3047"/>
      <c r="AW165" s="1483"/>
      <c r="AX165" s="1545"/>
      <c r="AY165" t="str">
        <f t="shared" si="113"/>
        <v/>
      </c>
      <c r="CA165" s="2841" t="str">
        <f t="shared" si="114"/>
        <v/>
      </c>
      <c r="CB165" s="2841" t="str">
        <f t="shared" si="115"/>
        <v/>
      </c>
      <c r="CC165" s="2841" t="str">
        <f t="shared" si="116"/>
        <v/>
      </c>
      <c r="CD165" s="2841" t="str">
        <f t="shared" si="117"/>
        <v/>
      </c>
      <c r="CE165" s="2841" t="str">
        <f t="shared" si="118"/>
        <v/>
      </c>
      <c r="CF165" s="2841" t="str">
        <f t="shared" si="119"/>
        <v/>
      </c>
      <c r="CG165" s="2841" t="str">
        <f t="shared" si="120"/>
        <v/>
      </c>
      <c r="CH165" s="2841" t="str">
        <f t="shared" si="121"/>
        <v/>
      </c>
      <c r="CO165" s="2842">
        <f t="shared" si="122"/>
        <v>0</v>
      </c>
      <c r="CP165" s="2842">
        <f t="shared" si="123"/>
        <v>0</v>
      </c>
      <c r="CQ165" s="2842">
        <f t="shared" si="124"/>
        <v>0</v>
      </c>
      <c r="CR165" s="2842">
        <f t="shared" si="125"/>
        <v>0</v>
      </c>
      <c r="CS165" s="2842">
        <f t="shared" si="126"/>
        <v>0</v>
      </c>
      <c r="CT165" s="2842">
        <f t="shared" si="127"/>
        <v>0</v>
      </c>
      <c r="CU165" s="2842">
        <f t="shared" si="128"/>
        <v>0</v>
      </c>
      <c r="CV165" s="2842">
        <f t="shared" si="129"/>
        <v>0</v>
      </c>
    </row>
    <row r="166" spans="1:100" ht="15" customHeight="1">
      <c r="A166" s="6565" t="s">
        <v>1802</v>
      </c>
      <c r="B166" s="6566"/>
      <c r="C166" s="6567"/>
      <c r="D166" s="421">
        <f t="shared" si="110"/>
        <v>0</v>
      </c>
      <c r="E166" s="421">
        <f t="shared" si="111"/>
        <v>0</v>
      </c>
      <c r="F166" s="1654">
        <f t="shared" si="112"/>
        <v>0</v>
      </c>
      <c r="G166" s="1440"/>
      <c r="H166" s="1680"/>
      <c r="I166" s="1441"/>
      <c r="J166" s="1680"/>
      <c r="K166" s="1441"/>
      <c r="L166" s="1680"/>
      <c r="M166" s="1441"/>
      <c r="N166" s="1680"/>
      <c r="O166" s="1442"/>
      <c r="P166" s="1680"/>
      <c r="Q166" s="1442"/>
      <c r="R166" s="1680"/>
      <c r="S166" s="1442"/>
      <c r="T166" s="1680"/>
      <c r="U166" s="1441"/>
      <c r="V166" s="1680"/>
      <c r="W166" s="1441"/>
      <c r="X166" s="1680"/>
      <c r="Y166" s="1441"/>
      <c r="Z166" s="1680"/>
      <c r="AA166" s="1441"/>
      <c r="AB166" s="1680"/>
      <c r="AC166" s="1441"/>
      <c r="AD166" s="1680"/>
      <c r="AE166" s="1441"/>
      <c r="AF166" s="1680"/>
      <c r="AG166" s="1441"/>
      <c r="AH166" s="1680"/>
      <c r="AI166" s="1441"/>
      <c r="AJ166" s="1680"/>
      <c r="AK166" s="1441"/>
      <c r="AL166" s="1680"/>
      <c r="AM166" s="1441"/>
      <c r="AN166" s="1680"/>
      <c r="AO166" s="1441"/>
      <c r="AP166" s="1444"/>
      <c r="AQ166" s="1445"/>
      <c r="AR166" s="1483"/>
      <c r="AS166" s="1482"/>
      <c r="AT166" s="1483"/>
      <c r="AU166" s="1482"/>
      <c r="AV166" s="3047"/>
      <c r="AW166" s="1483"/>
      <c r="AX166" s="1545"/>
      <c r="AY166" t="str">
        <f t="shared" si="113"/>
        <v/>
      </c>
      <c r="CA166" s="2841" t="str">
        <f t="shared" si="114"/>
        <v/>
      </c>
      <c r="CB166" s="2841" t="str">
        <f t="shared" si="115"/>
        <v/>
      </c>
      <c r="CC166" s="2841" t="str">
        <f t="shared" si="116"/>
        <v/>
      </c>
      <c r="CD166" s="2841" t="str">
        <f t="shared" si="117"/>
        <v/>
      </c>
      <c r="CE166" s="2841" t="str">
        <f t="shared" si="118"/>
        <v/>
      </c>
      <c r="CF166" s="2841" t="str">
        <f t="shared" si="119"/>
        <v/>
      </c>
      <c r="CG166" s="2841" t="str">
        <f t="shared" si="120"/>
        <v/>
      </c>
      <c r="CH166" s="2841" t="str">
        <f t="shared" si="121"/>
        <v/>
      </c>
      <c r="CO166" s="2842">
        <f t="shared" si="122"/>
        <v>0</v>
      </c>
      <c r="CP166" s="2842">
        <f t="shared" si="123"/>
        <v>0</v>
      </c>
      <c r="CQ166" s="2842">
        <f t="shared" si="124"/>
        <v>0</v>
      </c>
      <c r="CR166" s="2842">
        <f t="shared" si="125"/>
        <v>0</v>
      </c>
      <c r="CS166" s="2842">
        <f t="shared" si="126"/>
        <v>0</v>
      </c>
      <c r="CT166" s="2842">
        <f t="shared" si="127"/>
        <v>0</v>
      </c>
      <c r="CU166" s="2842">
        <f t="shared" si="128"/>
        <v>0</v>
      </c>
      <c r="CV166" s="2842">
        <f t="shared" si="129"/>
        <v>0</v>
      </c>
    </row>
    <row r="167" spans="1:100" ht="15" customHeight="1">
      <c r="A167" s="6565" t="s">
        <v>1803</v>
      </c>
      <c r="B167" s="6566"/>
      <c r="C167" s="6567"/>
      <c r="D167" s="421">
        <f t="shared" si="110"/>
        <v>0</v>
      </c>
      <c r="E167" s="421">
        <f t="shared" si="111"/>
        <v>0</v>
      </c>
      <c r="F167" s="1654">
        <f t="shared" si="112"/>
        <v>0</v>
      </c>
      <c r="G167" s="1440"/>
      <c r="H167" s="1680"/>
      <c r="I167" s="1441"/>
      <c r="J167" s="1680"/>
      <c r="K167" s="1441"/>
      <c r="L167" s="1680"/>
      <c r="M167" s="1441"/>
      <c r="N167" s="1680"/>
      <c r="O167" s="1442"/>
      <c r="P167" s="1680"/>
      <c r="Q167" s="1442"/>
      <c r="R167" s="1680"/>
      <c r="S167" s="1442"/>
      <c r="T167" s="1680"/>
      <c r="U167" s="1441"/>
      <c r="V167" s="1680"/>
      <c r="W167" s="1441"/>
      <c r="X167" s="1680"/>
      <c r="Y167" s="1441"/>
      <c r="Z167" s="1680"/>
      <c r="AA167" s="1441"/>
      <c r="AB167" s="1680"/>
      <c r="AC167" s="1441"/>
      <c r="AD167" s="1680"/>
      <c r="AE167" s="1441"/>
      <c r="AF167" s="1680"/>
      <c r="AG167" s="1441"/>
      <c r="AH167" s="1680"/>
      <c r="AI167" s="1441"/>
      <c r="AJ167" s="1680"/>
      <c r="AK167" s="1441"/>
      <c r="AL167" s="1680"/>
      <c r="AM167" s="1441"/>
      <c r="AN167" s="1680"/>
      <c r="AO167" s="1441"/>
      <c r="AP167" s="1444"/>
      <c r="AQ167" s="1445"/>
      <c r="AR167" s="1483"/>
      <c r="AS167" s="1482"/>
      <c r="AT167" s="1483"/>
      <c r="AU167" s="1482"/>
      <c r="AV167" s="3047"/>
      <c r="AW167" s="1483"/>
      <c r="AX167" s="1545"/>
      <c r="AY167" t="str">
        <f t="shared" si="113"/>
        <v/>
      </c>
      <c r="CA167" s="2841" t="str">
        <f t="shared" si="114"/>
        <v/>
      </c>
      <c r="CB167" s="2841" t="str">
        <f t="shared" si="115"/>
        <v/>
      </c>
      <c r="CC167" s="2841" t="str">
        <f t="shared" si="116"/>
        <v/>
      </c>
      <c r="CD167" s="2841" t="str">
        <f t="shared" si="117"/>
        <v/>
      </c>
      <c r="CE167" s="2841" t="str">
        <f t="shared" si="118"/>
        <v/>
      </c>
      <c r="CF167" s="2841" t="str">
        <f t="shared" si="119"/>
        <v/>
      </c>
      <c r="CG167" s="2841" t="str">
        <f t="shared" si="120"/>
        <v/>
      </c>
      <c r="CH167" s="2841" t="str">
        <f t="shared" si="121"/>
        <v/>
      </c>
      <c r="CO167" s="2842">
        <f t="shared" si="122"/>
        <v>0</v>
      </c>
      <c r="CP167" s="2842">
        <f t="shared" si="123"/>
        <v>0</v>
      </c>
      <c r="CQ167" s="2842">
        <f t="shared" si="124"/>
        <v>0</v>
      </c>
      <c r="CR167" s="2842">
        <f t="shared" si="125"/>
        <v>0</v>
      </c>
      <c r="CS167" s="2842">
        <f t="shared" si="126"/>
        <v>0</v>
      </c>
      <c r="CT167" s="2842">
        <f t="shared" si="127"/>
        <v>0</v>
      </c>
      <c r="CU167" s="2842">
        <f t="shared" si="128"/>
        <v>0</v>
      </c>
      <c r="CV167" s="2842">
        <f t="shared" si="129"/>
        <v>0</v>
      </c>
    </row>
    <row r="168" spans="1:100" ht="15" customHeight="1">
      <c r="A168" s="6565" t="s">
        <v>1804</v>
      </c>
      <c r="B168" s="6566"/>
      <c r="C168" s="6567"/>
      <c r="D168" s="421">
        <f t="shared" si="110"/>
        <v>0</v>
      </c>
      <c r="E168" s="421">
        <f t="shared" si="111"/>
        <v>0</v>
      </c>
      <c r="F168" s="1654">
        <f t="shared" si="112"/>
        <v>0</v>
      </c>
      <c r="G168" s="1440"/>
      <c r="H168" s="1680"/>
      <c r="I168" s="1441"/>
      <c r="J168" s="1680"/>
      <c r="K168" s="1441"/>
      <c r="L168" s="1680"/>
      <c r="M168" s="1441"/>
      <c r="N168" s="1680"/>
      <c r="O168" s="1442"/>
      <c r="P168" s="1680"/>
      <c r="Q168" s="1442"/>
      <c r="R168" s="1680"/>
      <c r="S168" s="1442"/>
      <c r="T168" s="1680"/>
      <c r="U168" s="1441"/>
      <c r="V168" s="1680"/>
      <c r="W168" s="1441"/>
      <c r="X168" s="1680"/>
      <c r="Y168" s="1441"/>
      <c r="Z168" s="1680"/>
      <c r="AA168" s="1441"/>
      <c r="AB168" s="1680"/>
      <c r="AC168" s="1441"/>
      <c r="AD168" s="1680"/>
      <c r="AE168" s="1441"/>
      <c r="AF168" s="1680"/>
      <c r="AG168" s="1441"/>
      <c r="AH168" s="1680"/>
      <c r="AI168" s="1441"/>
      <c r="AJ168" s="1680"/>
      <c r="AK168" s="1441"/>
      <c r="AL168" s="1680"/>
      <c r="AM168" s="1441"/>
      <c r="AN168" s="1680"/>
      <c r="AO168" s="1441"/>
      <c r="AP168" s="1444"/>
      <c r="AQ168" s="1445"/>
      <c r="AR168" s="1483"/>
      <c r="AS168" s="1482"/>
      <c r="AT168" s="1483"/>
      <c r="AU168" s="1482"/>
      <c r="AV168" s="3047"/>
      <c r="AW168" s="1483"/>
      <c r="AX168" s="1545"/>
      <c r="AY168" t="str">
        <f t="shared" si="113"/>
        <v/>
      </c>
      <c r="CA168" s="2841" t="str">
        <f t="shared" si="114"/>
        <v/>
      </c>
      <c r="CB168" s="2841" t="str">
        <f t="shared" si="115"/>
        <v/>
      </c>
      <c r="CC168" s="2841" t="str">
        <f t="shared" si="116"/>
        <v/>
      </c>
      <c r="CD168" s="2841" t="str">
        <f t="shared" si="117"/>
        <v/>
      </c>
      <c r="CE168" s="2841" t="str">
        <f t="shared" si="118"/>
        <v/>
      </c>
      <c r="CF168" s="2841" t="str">
        <f t="shared" si="119"/>
        <v/>
      </c>
      <c r="CG168" s="2841" t="str">
        <f t="shared" si="120"/>
        <v/>
      </c>
      <c r="CH168" s="2841" t="str">
        <f t="shared" si="121"/>
        <v/>
      </c>
      <c r="CO168" s="2842">
        <f t="shared" si="122"/>
        <v>0</v>
      </c>
      <c r="CP168" s="2842">
        <f t="shared" si="123"/>
        <v>0</v>
      </c>
      <c r="CQ168" s="2842">
        <f t="shared" si="124"/>
        <v>0</v>
      </c>
      <c r="CR168" s="2842">
        <f t="shared" si="125"/>
        <v>0</v>
      </c>
      <c r="CS168" s="2842">
        <f t="shared" si="126"/>
        <v>0</v>
      </c>
      <c r="CT168" s="2842">
        <f t="shared" si="127"/>
        <v>0</v>
      </c>
      <c r="CU168" s="2842">
        <f t="shared" si="128"/>
        <v>0</v>
      </c>
      <c r="CV168" s="2842">
        <f t="shared" si="129"/>
        <v>0</v>
      </c>
    </row>
    <row r="169" spans="1:100" ht="15" customHeight="1">
      <c r="A169" s="6565" t="s">
        <v>1805</v>
      </c>
      <c r="B169" s="6566"/>
      <c r="C169" s="6567"/>
      <c r="D169" s="421">
        <f t="shared" si="110"/>
        <v>0</v>
      </c>
      <c r="E169" s="421">
        <f t="shared" si="111"/>
        <v>0</v>
      </c>
      <c r="F169" s="1654">
        <f t="shared" si="112"/>
        <v>0</v>
      </c>
      <c r="G169" s="1440"/>
      <c r="H169" s="1680"/>
      <c r="I169" s="1441"/>
      <c r="J169" s="1680"/>
      <c r="K169" s="1441"/>
      <c r="L169" s="1680"/>
      <c r="M169" s="1441"/>
      <c r="N169" s="1680"/>
      <c r="O169" s="1442"/>
      <c r="P169" s="1680"/>
      <c r="Q169" s="1442"/>
      <c r="R169" s="1680"/>
      <c r="S169" s="1442"/>
      <c r="T169" s="1680"/>
      <c r="U169" s="1441"/>
      <c r="V169" s="1680"/>
      <c r="W169" s="1441"/>
      <c r="X169" s="1680"/>
      <c r="Y169" s="1441"/>
      <c r="Z169" s="1680"/>
      <c r="AA169" s="1441"/>
      <c r="AB169" s="1680"/>
      <c r="AC169" s="1441"/>
      <c r="AD169" s="1680"/>
      <c r="AE169" s="1441"/>
      <c r="AF169" s="1680"/>
      <c r="AG169" s="1441"/>
      <c r="AH169" s="1680"/>
      <c r="AI169" s="1441"/>
      <c r="AJ169" s="1680"/>
      <c r="AK169" s="1441"/>
      <c r="AL169" s="1680"/>
      <c r="AM169" s="1441"/>
      <c r="AN169" s="1680"/>
      <c r="AO169" s="1441"/>
      <c r="AP169" s="1444"/>
      <c r="AQ169" s="1445"/>
      <c r="AR169" s="1483"/>
      <c r="AS169" s="1482"/>
      <c r="AT169" s="1483"/>
      <c r="AU169" s="1482"/>
      <c r="AV169" s="3047"/>
      <c r="AW169" s="1483"/>
      <c r="AX169" s="1545"/>
      <c r="AY169" t="str">
        <f t="shared" si="113"/>
        <v/>
      </c>
      <c r="CA169" s="2841" t="str">
        <f t="shared" si="114"/>
        <v/>
      </c>
      <c r="CB169" s="2841" t="str">
        <f t="shared" si="115"/>
        <v/>
      </c>
      <c r="CC169" s="2841" t="str">
        <f t="shared" si="116"/>
        <v/>
      </c>
      <c r="CD169" s="2841" t="str">
        <f t="shared" si="117"/>
        <v/>
      </c>
      <c r="CE169" s="2841" t="str">
        <f t="shared" si="118"/>
        <v/>
      </c>
      <c r="CF169" s="2841" t="str">
        <f t="shared" si="119"/>
        <v/>
      </c>
      <c r="CG169" s="2841" t="str">
        <f t="shared" si="120"/>
        <v/>
      </c>
      <c r="CH169" s="2841" t="str">
        <f t="shared" si="121"/>
        <v/>
      </c>
      <c r="CO169" s="2842">
        <f t="shared" si="122"/>
        <v>0</v>
      </c>
      <c r="CP169" s="2842">
        <f t="shared" si="123"/>
        <v>0</v>
      </c>
      <c r="CQ169" s="2842">
        <f t="shared" si="124"/>
        <v>0</v>
      </c>
      <c r="CR169" s="2842">
        <f t="shared" si="125"/>
        <v>0</v>
      </c>
      <c r="CS169" s="2842">
        <f t="shared" si="126"/>
        <v>0</v>
      </c>
      <c r="CT169" s="2842">
        <f t="shared" si="127"/>
        <v>0</v>
      </c>
      <c r="CU169" s="2842">
        <f t="shared" si="128"/>
        <v>0</v>
      </c>
      <c r="CV169" s="2842">
        <f t="shared" si="129"/>
        <v>0</v>
      </c>
    </row>
    <row r="170" spans="1:100" ht="15" customHeight="1">
      <c r="A170" s="6565" t="s">
        <v>1806</v>
      </c>
      <c r="B170" s="6566"/>
      <c r="C170" s="2851"/>
      <c r="D170" s="421">
        <f t="shared" si="110"/>
        <v>0</v>
      </c>
      <c r="E170" s="421">
        <f t="shared" si="111"/>
        <v>0</v>
      </c>
      <c r="F170" s="1654">
        <f t="shared" si="112"/>
        <v>0</v>
      </c>
      <c r="G170" s="1440"/>
      <c r="H170" s="1680"/>
      <c r="I170" s="1441"/>
      <c r="J170" s="1680"/>
      <c r="K170" s="1441"/>
      <c r="L170" s="1680"/>
      <c r="M170" s="1441"/>
      <c r="N170" s="1680"/>
      <c r="O170" s="1442"/>
      <c r="P170" s="1680"/>
      <c r="Q170" s="1442"/>
      <c r="R170" s="1680"/>
      <c r="S170" s="1442"/>
      <c r="T170" s="1680"/>
      <c r="U170" s="1441"/>
      <c r="V170" s="1680"/>
      <c r="W170" s="1441"/>
      <c r="X170" s="1680"/>
      <c r="Y170" s="1441"/>
      <c r="Z170" s="1680"/>
      <c r="AA170" s="1441"/>
      <c r="AB170" s="1680"/>
      <c r="AC170" s="1441"/>
      <c r="AD170" s="1680"/>
      <c r="AE170" s="1441"/>
      <c r="AF170" s="1680"/>
      <c r="AG170" s="1441"/>
      <c r="AH170" s="1680"/>
      <c r="AI170" s="1441"/>
      <c r="AJ170" s="1680"/>
      <c r="AK170" s="1441"/>
      <c r="AL170" s="1680"/>
      <c r="AM170" s="1441"/>
      <c r="AN170" s="1680"/>
      <c r="AO170" s="1441"/>
      <c r="AP170" s="1444"/>
      <c r="AQ170" s="1445"/>
      <c r="AR170" s="1483"/>
      <c r="AS170" s="1482"/>
      <c r="AT170" s="1483"/>
      <c r="AU170" s="1482"/>
      <c r="AV170" s="3047"/>
      <c r="AW170" s="1483"/>
      <c r="AX170" s="1545"/>
      <c r="AY170" t="str">
        <f t="shared" si="113"/>
        <v/>
      </c>
      <c r="CA170" s="2841" t="str">
        <f t="shared" si="114"/>
        <v/>
      </c>
      <c r="CB170" s="2841" t="str">
        <f t="shared" si="115"/>
        <v/>
      </c>
      <c r="CC170" s="2841" t="str">
        <f t="shared" si="116"/>
        <v/>
      </c>
      <c r="CD170" s="2841" t="str">
        <f t="shared" si="117"/>
        <v/>
      </c>
      <c r="CE170" s="2841" t="str">
        <f t="shared" si="118"/>
        <v/>
      </c>
      <c r="CF170" s="2841" t="str">
        <f t="shared" si="119"/>
        <v/>
      </c>
      <c r="CG170" s="2841" t="str">
        <f t="shared" si="120"/>
        <v/>
      </c>
      <c r="CH170" s="2841" t="str">
        <f t="shared" si="121"/>
        <v/>
      </c>
      <c r="CO170" s="2842">
        <f t="shared" si="122"/>
        <v>0</v>
      </c>
      <c r="CP170" s="2842">
        <f t="shared" si="123"/>
        <v>0</v>
      </c>
      <c r="CQ170" s="2842">
        <f t="shared" si="124"/>
        <v>0</v>
      </c>
      <c r="CR170" s="2842">
        <f t="shared" si="125"/>
        <v>0</v>
      </c>
      <c r="CS170" s="2842">
        <f t="shared" si="126"/>
        <v>0</v>
      </c>
      <c r="CT170" s="2842">
        <f t="shared" si="127"/>
        <v>0</v>
      </c>
      <c r="CU170" s="2842">
        <f t="shared" si="128"/>
        <v>0</v>
      </c>
      <c r="CV170" s="2842">
        <f t="shared" si="129"/>
        <v>0</v>
      </c>
    </row>
    <row r="171" spans="1:100" ht="15" customHeight="1">
      <c r="A171" s="6181" t="s">
        <v>1807</v>
      </c>
      <c r="B171" s="6564"/>
      <c r="C171" s="6182"/>
      <c r="D171" s="421">
        <f t="shared" si="110"/>
        <v>0</v>
      </c>
      <c r="E171" s="421">
        <f t="shared" si="111"/>
        <v>0</v>
      </c>
      <c r="F171" s="1654">
        <f t="shared" si="112"/>
        <v>0</v>
      </c>
      <c r="G171" s="1440"/>
      <c r="H171" s="1680"/>
      <c r="I171" s="1441"/>
      <c r="J171" s="1680"/>
      <c r="K171" s="1441"/>
      <c r="L171" s="1680"/>
      <c r="M171" s="1441"/>
      <c r="N171" s="1680"/>
      <c r="O171" s="1442"/>
      <c r="P171" s="1680"/>
      <c r="Q171" s="1442"/>
      <c r="R171" s="1680"/>
      <c r="S171" s="1442"/>
      <c r="T171" s="1680"/>
      <c r="U171" s="1441"/>
      <c r="V171" s="1680"/>
      <c r="W171" s="1441"/>
      <c r="X171" s="1680"/>
      <c r="Y171" s="1441"/>
      <c r="Z171" s="1680"/>
      <c r="AA171" s="1441"/>
      <c r="AB171" s="1680"/>
      <c r="AC171" s="1441"/>
      <c r="AD171" s="1680"/>
      <c r="AE171" s="1441"/>
      <c r="AF171" s="1680"/>
      <c r="AG171" s="1441"/>
      <c r="AH171" s="1680"/>
      <c r="AI171" s="1441"/>
      <c r="AJ171" s="1680"/>
      <c r="AK171" s="1441"/>
      <c r="AL171" s="1680"/>
      <c r="AM171" s="1441"/>
      <c r="AN171" s="1680"/>
      <c r="AO171" s="1441"/>
      <c r="AP171" s="1444"/>
      <c r="AQ171" s="1445"/>
      <c r="AR171" s="1483"/>
      <c r="AS171" s="1482"/>
      <c r="AT171" s="1488"/>
      <c r="AU171" s="1487"/>
      <c r="AV171" s="3048"/>
      <c r="AW171" s="1488"/>
      <c r="AX171" s="1692"/>
      <c r="AY171" t="str">
        <f t="shared" si="113"/>
        <v/>
      </c>
      <c r="CA171" s="2841" t="str">
        <f t="shared" si="114"/>
        <v/>
      </c>
      <c r="CB171" s="2841" t="str">
        <f t="shared" si="115"/>
        <v/>
      </c>
      <c r="CC171" s="2841" t="str">
        <f t="shared" si="116"/>
        <v/>
      </c>
      <c r="CD171" s="2841" t="str">
        <f t="shared" si="117"/>
        <v/>
      </c>
      <c r="CE171" s="2841" t="str">
        <f t="shared" si="118"/>
        <v/>
      </c>
      <c r="CF171" s="2841" t="str">
        <f t="shared" si="119"/>
        <v/>
      </c>
      <c r="CG171" s="2841" t="str">
        <f t="shared" si="120"/>
        <v/>
      </c>
      <c r="CH171" s="2841" t="str">
        <f t="shared" si="121"/>
        <v/>
      </c>
      <c r="CO171" s="2842">
        <f t="shared" si="122"/>
        <v>0</v>
      </c>
      <c r="CP171" s="2842">
        <f t="shared" si="123"/>
        <v>0</v>
      </c>
      <c r="CQ171" s="2842">
        <f t="shared" si="124"/>
        <v>0</v>
      </c>
      <c r="CR171" s="2842">
        <f t="shared" si="125"/>
        <v>0</v>
      </c>
      <c r="CS171" s="2842">
        <f t="shared" si="126"/>
        <v>0</v>
      </c>
      <c r="CT171" s="2842">
        <f t="shared" si="127"/>
        <v>0</v>
      </c>
      <c r="CU171" s="2842">
        <f t="shared" si="128"/>
        <v>0</v>
      </c>
      <c r="CV171" s="2842">
        <f t="shared" si="129"/>
        <v>0</v>
      </c>
    </row>
    <row r="172" spans="1:100" ht="15" customHeight="1">
      <c r="A172" s="6613" t="s">
        <v>1808</v>
      </c>
      <c r="B172" s="6613"/>
      <c r="C172" s="6614"/>
      <c r="D172" s="408">
        <f t="shared" si="110"/>
        <v>0</v>
      </c>
      <c r="E172" s="421">
        <f t="shared" si="111"/>
        <v>0</v>
      </c>
      <c r="F172" s="1654">
        <f t="shared" si="112"/>
        <v>0</v>
      </c>
      <c r="G172" s="1440"/>
      <c r="H172" s="1680"/>
      <c r="I172" s="1440"/>
      <c r="J172" s="1680"/>
      <c r="K172" s="1440"/>
      <c r="L172" s="1680"/>
      <c r="M172" s="1440"/>
      <c r="N172" s="1680"/>
      <c r="O172" s="1440"/>
      <c r="P172" s="1680"/>
      <c r="Q172" s="1440"/>
      <c r="R172" s="1680"/>
      <c r="S172" s="1440"/>
      <c r="T172" s="1680"/>
      <c r="U172" s="1440"/>
      <c r="V172" s="1680"/>
      <c r="W172" s="1440"/>
      <c r="X172" s="1680"/>
      <c r="Y172" s="1440"/>
      <c r="Z172" s="1680"/>
      <c r="AA172" s="1440"/>
      <c r="AB172" s="1680"/>
      <c r="AC172" s="1440"/>
      <c r="AD172" s="1680"/>
      <c r="AE172" s="1440"/>
      <c r="AF172" s="1680"/>
      <c r="AG172" s="1440"/>
      <c r="AH172" s="1680"/>
      <c r="AI172" s="1440"/>
      <c r="AJ172" s="1680"/>
      <c r="AK172" s="1440"/>
      <c r="AL172" s="1680"/>
      <c r="AM172" s="1440"/>
      <c r="AN172" s="1680"/>
      <c r="AO172" s="1440"/>
      <c r="AP172" s="1444"/>
      <c r="AQ172" s="1693"/>
      <c r="AR172" s="1446"/>
      <c r="AS172" s="1482"/>
      <c r="AT172" s="1488"/>
      <c r="AU172" s="1487"/>
      <c r="AV172" s="3048"/>
      <c r="AW172" s="1488"/>
      <c r="AX172" s="1692"/>
      <c r="AY172" t="str">
        <f t="shared" si="113"/>
        <v/>
      </c>
      <c r="CA172" s="2841" t="str">
        <f t="shared" si="114"/>
        <v/>
      </c>
      <c r="CB172" s="2841" t="str">
        <f t="shared" si="115"/>
        <v/>
      </c>
      <c r="CC172" s="2841" t="str">
        <f t="shared" si="116"/>
        <v/>
      </c>
      <c r="CD172" s="2841" t="str">
        <f t="shared" si="117"/>
        <v/>
      </c>
      <c r="CE172" s="2841" t="str">
        <f t="shared" si="118"/>
        <v/>
      </c>
      <c r="CF172" s="2841" t="str">
        <f t="shared" si="119"/>
        <v/>
      </c>
      <c r="CG172" s="2841" t="str">
        <f t="shared" si="120"/>
        <v/>
      </c>
      <c r="CH172" s="2841" t="str">
        <f t="shared" si="121"/>
        <v/>
      </c>
      <c r="CO172" s="2842">
        <f t="shared" si="122"/>
        <v>0</v>
      </c>
      <c r="CP172" s="2842">
        <f t="shared" si="123"/>
        <v>0</v>
      </c>
      <c r="CQ172" s="2842">
        <f t="shared" si="124"/>
        <v>0</v>
      </c>
      <c r="CR172" s="2842">
        <f t="shared" si="125"/>
        <v>0</v>
      </c>
      <c r="CS172" s="2842">
        <f t="shared" si="126"/>
        <v>0</v>
      </c>
      <c r="CT172" s="2842">
        <f t="shared" si="127"/>
        <v>0</v>
      </c>
      <c r="CU172" s="2842">
        <f t="shared" si="128"/>
        <v>0</v>
      </c>
      <c r="CV172" s="2842">
        <f t="shared" si="129"/>
        <v>0</v>
      </c>
    </row>
    <row r="173" spans="1:100" ht="15" customHeight="1">
      <c r="A173" s="3049" t="s">
        <v>1809</v>
      </c>
      <c r="B173" s="3049"/>
      <c r="C173" s="3050"/>
      <c r="D173" s="1695">
        <f t="shared" si="110"/>
        <v>0</v>
      </c>
      <c r="E173" s="3051">
        <f t="shared" si="111"/>
        <v>0</v>
      </c>
      <c r="F173" s="1697">
        <f t="shared" si="112"/>
        <v>0</v>
      </c>
      <c r="G173" s="1440"/>
      <c r="H173" s="1680"/>
      <c r="I173" s="1440"/>
      <c r="J173" s="1680"/>
      <c r="K173" s="1440"/>
      <c r="L173" s="1680"/>
      <c r="M173" s="1440"/>
      <c r="N173" s="1680"/>
      <c r="O173" s="1440"/>
      <c r="P173" s="1680"/>
      <c r="Q173" s="1440"/>
      <c r="R173" s="1680"/>
      <c r="S173" s="1440"/>
      <c r="T173" s="1680"/>
      <c r="U173" s="1440"/>
      <c r="V173" s="1680"/>
      <c r="W173" s="1440"/>
      <c r="X173" s="1680"/>
      <c r="Y173" s="1440"/>
      <c r="Z173" s="1680"/>
      <c r="AA173" s="1440"/>
      <c r="AB173" s="1680"/>
      <c r="AC173" s="1440"/>
      <c r="AD173" s="1680"/>
      <c r="AE173" s="1440"/>
      <c r="AF173" s="1680"/>
      <c r="AG173" s="1440"/>
      <c r="AH173" s="1680"/>
      <c r="AI173" s="1440"/>
      <c r="AJ173" s="1680"/>
      <c r="AK173" s="1440"/>
      <c r="AL173" s="1680"/>
      <c r="AM173" s="1440"/>
      <c r="AN173" s="1680"/>
      <c r="AO173" s="1455"/>
      <c r="AP173" s="1459"/>
      <c r="AQ173" s="1445"/>
      <c r="AR173" s="1461"/>
      <c r="AS173" s="1482"/>
      <c r="AT173" s="1461"/>
      <c r="AU173" s="1487"/>
      <c r="AV173" s="3048"/>
      <c r="AW173" s="1461"/>
      <c r="AX173" s="1692"/>
      <c r="AY173" t="str">
        <f t="shared" si="113"/>
        <v/>
      </c>
      <c r="CA173" s="2841" t="str">
        <f t="shared" si="114"/>
        <v/>
      </c>
      <c r="CB173" s="2841" t="str">
        <f t="shared" si="115"/>
        <v/>
      </c>
      <c r="CC173" s="2841" t="str">
        <f t="shared" si="116"/>
        <v/>
      </c>
      <c r="CD173" s="2841" t="str">
        <f t="shared" si="117"/>
        <v/>
      </c>
      <c r="CE173" s="2841" t="str">
        <f t="shared" si="118"/>
        <v/>
      </c>
      <c r="CF173" s="2841" t="str">
        <f t="shared" si="119"/>
        <v/>
      </c>
      <c r="CG173" s="2841" t="str">
        <f t="shared" si="120"/>
        <v/>
      </c>
      <c r="CH173" s="2841" t="str">
        <f t="shared" si="121"/>
        <v/>
      </c>
      <c r="CO173" s="2842">
        <f t="shared" si="122"/>
        <v>0</v>
      </c>
      <c r="CP173" s="2842">
        <f t="shared" si="123"/>
        <v>0</v>
      </c>
      <c r="CQ173" s="2842">
        <f t="shared" si="124"/>
        <v>0</v>
      </c>
      <c r="CR173" s="2842">
        <f t="shared" si="125"/>
        <v>0</v>
      </c>
      <c r="CS173" s="2842">
        <f t="shared" si="126"/>
        <v>0</v>
      </c>
      <c r="CT173" s="2842">
        <f t="shared" si="127"/>
        <v>0</v>
      </c>
      <c r="CU173" s="2842">
        <f t="shared" si="128"/>
        <v>0</v>
      </c>
      <c r="CV173" s="2842">
        <f t="shared" si="129"/>
        <v>0</v>
      </c>
    </row>
    <row r="174" spans="1:100" ht="15" customHeight="1">
      <c r="A174" s="5710" t="s">
        <v>91</v>
      </c>
      <c r="B174" s="6106"/>
      <c r="C174" s="5712"/>
      <c r="D174" s="2130">
        <f t="shared" ref="D174:AX174" si="130">SUM(D163:D173)</f>
        <v>0</v>
      </c>
      <c r="E174" s="3052">
        <f t="shared" si="130"/>
        <v>0</v>
      </c>
      <c r="F174" s="1745">
        <f t="shared" si="130"/>
        <v>0</v>
      </c>
      <c r="G174" s="1743">
        <f t="shared" si="130"/>
        <v>0</v>
      </c>
      <c r="H174" s="1745">
        <f t="shared" si="130"/>
        <v>0</v>
      </c>
      <c r="I174" s="1743">
        <f t="shared" si="130"/>
        <v>0</v>
      </c>
      <c r="J174" s="1745">
        <f t="shared" si="130"/>
        <v>0</v>
      </c>
      <c r="K174" s="1743">
        <f t="shared" si="130"/>
        <v>0</v>
      </c>
      <c r="L174" s="1745">
        <f>SUM(L163:L173)</f>
        <v>0</v>
      </c>
      <c r="M174" s="1743">
        <f t="shared" si="130"/>
        <v>0</v>
      </c>
      <c r="N174" s="1745">
        <f t="shared" si="130"/>
        <v>0</v>
      </c>
      <c r="O174" s="1743">
        <f t="shared" si="130"/>
        <v>0</v>
      </c>
      <c r="P174" s="1745">
        <f t="shared" si="130"/>
        <v>0</v>
      </c>
      <c r="Q174" s="1743">
        <f t="shared" si="130"/>
        <v>0</v>
      </c>
      <c r="R174" s="1745">
        <f t="shared" si="130"/>
        <v>0</v>
      </c>
      <c r="S174" s="1743">
        <f t="shared" si="130"/>
        <v>0</v>
      </c>
      <c r="T174" s="1745">
        <f t="shared" si="130"/>
        <v>0</v>
      </c>
      <c r="U174" s="1743">
        <f t="shared" si="130"/>
        <v>0</v>
      </c>
      <c r="V174" s="1745">
        <f t="shared" si="130"/>
        <v>0</v>
      </c>
      <c r="W174" s="1743">
        <f t="shared" si="130"/>
        <v>0</v>
      </c>
      <c r="X174" s="1745">
        <f t="shared" si="130"/>
        <v>0</v>
      </c>
      <c r="Y174" s="1743">
        <f t="shared" si="130"/>
        <v>0</v>
      </c>
      <c r="Z174" s="1745">
        <f t="shared" si="130"/>
        <v>0</v>
      </c>
      <c r="AA174" s="1743">
        <f t="shared" si="130"/>
        <v>0</v>
      </c>
      <c r="AB174" s="1745">
        <f t="shared" si="130"/>
        <v>0</v>
      </c>
      <c r="AC174" s="1743">
        <f t="shared" si="130"/>
        <v>0</v>
      </c>
      <c r="AD174" s="1745">
        <f t="shared" si="130"/>
        <v>0</v>
      </c>
      <c r="AE174" s="1743">
        <f t="shared" si="130"/>
        <v>0</v>
      </c>
      <c r="AF174" s="1745">
        <f t="shared" si="130"/>
        <v>0</v>
      </c>
      <c r="AG174" s="1743">
        <f t="shared" si="130"/>
        <v>0</v>
      </c>
      <c r="AH174" s="1745">
        <f t="shared" si="130"/>
        <v>0</v>
      </c>
      <c r="AI174" s="1743">
        <f t="shared" si="130"/>
        <v>0</v>
      </c>
      <c r="AJ174" s="1745">
        <f t="shared" si="130"/>
        <v>0</v>
      </c>
      <c r="AK174" s="1743">
        <f t="shared" si="130"/>
        <v>0</v>
      </c>
      <c r="AL174" s="1745">
        <f t="shared" si="130"/>
        <v>0</v>
      </c>
      <c r="AM174" s="1743">
        <f t="shared" si="130"/>
        <v>0</v>
      </c>
      <c r="AN174" s="1745">
        <f t="shared" si="130"/>
        <v>0</v>
      </c>
      <c r="AO174" s="1743">
        <f t="shared" si="130"/>
        <v>0</v>
      </c>
      <c r="AP174" s="1748">
        <f t="shared" si="130"/>
        <v>0</v>
      </c>
      <c r="AQ174" s="1747">
        <f t="shared" si="130"/>
        <v>0</v>
      </c>
      <c r="AR174" s="1744">
        <f t="shared" si="130"/>
        <v>0</v>
      </c>
      <c r="AS174" s="1744">
        <f t="shared" si="130"/>
        <v>0</v>
      </c>
      <c r="AT174" s="3053">
        <f t="shared" si="130"/>
        <v>0</v>
      </c>
      <c r="AU174" s="3054">
        <f t="shared" si="130"/>
        <v>0</v>
      </c>
      <c r="AV174" s="3055">
        <f t="shared" si="130"/>
        <v>0</v>
      </c>
      <c r="AW174" s="3056">
        <f t="shared" si="130"/>
        <v>0</v>
      </c>
      <c r="AX174" s="3057">
        <f t="shared" si="130"/>
        <v>0</v>
      </c>
    </row>
    <row r="175" spans="1:100" ht="18" customHeight="1">
      <c r="A175" s="1468" t="s">
        <v>1810</v>
      </c>
      <c r="B175" s="3058"/>
      <c r="C175" s="3058"/>
      <c r="D175" s="3058"/>
      <c r="E175" s="1582"/>
      <c r="F175" s="1582"/>
      <c r="G175" s="1582"/>
      <c r="H175" s="1582"/>
      <c r="I175" s="1582"/>
      <c r="J175" s="1582"/>
      <c r="K175" s="1582"/>
      <c r="L175" s="1582"/>
      <c r="M175" s="1582"/>
      <c r="N175" s="1582"/>
      <c r="O175" s="1582"/>
      <c r="P175" s="1582"/>
      <c r="Q175" s="3059"/>
      <c r="R175" s="1493"/>
      <c r="S175" s="456"/>
      <c r="T175" s="456"/>
      <c r="U175" s="456"/>
      <c r="V175" s="456"/>
      <c r="W175" s="456"/>
      <c r="X175" s="439"/>
      <c r="Y175" s="456"/>
      <c r="Z175" s="456"/>
      <c r="AA175" s="456"/>
      <c r="AB175" s="456"/>
      <c r="AC175" s="456"/>
      <c r="AD175" s="456"/>
      <c r="AE175" s="456"/>
      <c r="AF175" s="456"/>
      <c r="AG175" s="383"/>
      <c r="AH175" s="383"/>
      <c r="AI175" s="383"/>
      <c r="AJ175" s="383"/>
      <c r="AK175" s="383"/>
      <c r="AL175" s="383"/>
      <c r="AM175" s="383"/>
      <c r="AN175" s="383"/>
      <c r="AO175" s="383"/>
      <c r="AP175" s="383"/>
      <c r="AQ175" s="383"/>
      <c r="AR175" s="383"/>
      <c r="AS175" s="383"/>
      <c r="AT175" s="383"/>
      <c r="AU175" s="383"/>
      <c r="AV175" s="383"/>
      <c r="AW175" s="383"/>
    </row>
    <row r="176" spans="1:100" ht="15" customHeight="1">
      <c r="A176" s="6152" t="s">
        <v>1811</v>
      </c>
      <c r="B176" s="6153"/>
      <c r="C176" s="6154"/>
      <c r="D176" s="6140" t="s">
        <v>91</v>
      </c>
      <c r="E176" s="6139"/>
      <c r="F176" s="6119"/>
      <c r="G176" s="5710" t="s">
        <v>115</v>
      </c>
      <c r="H176" s="6106"/>
      <c r="I176" s="6106"/>
      <c r="J176" s="6106"/>
      <c r="K176" s="6106"/>
      <c r="L176" s="6106"/>
      <c r="M176" s="6106"/>
      <c r="N176" s="6106"/>
      <c r="O176" s="6106"/>
      <c r="P176" s="6106"/>
      <c r="Q176" s="6106"/>
      <c r="R176" s="6106"/>
      <c r="S176" s="6106"/>
      <c r="T176" s="6106"/>
      <c r="U176" s="6106"/>
      <c r="V176" s="6106"/>
      <c r="W176" s="6106"/>
      <c r="X176" s="6106"/>
      <c r="Y176" s="6106"/>
      <c r="Z176" s="6106"/>
      <c r="AA176" s="6106"/>
      <c r="AB176" s="6106"/>
      <c r="AC176" s="6106"/>
      <c r="AD176" s="6106"/>
      <c r="AE176" s="6106"/>
      <c r="AF176" s="6106"/>
      <c r="AG176" s="6106"/>
      <c r="AH176" s="6106"/>
      <c r="AI176" s="6106"/>
      <c r="AJ176" s="6106"/>
      <c r="AK176" s="6106"/>
      <c r="AL176" s="6106"/>
      <c r="AM176" s="6106"/>
      <c r="AN176" s="6106"/>
      <c r="AO176" s="6106"/>
      <c r="AP176" s="6301"/>
      <c r="AQ176" s="6139" t="s">
        <v>1661</v>
      </c>
      <c r="AR176" s="5705" t="s">
        <v>1642</v>
      </c>
      <c r="AS176" s="6053" t="s">
        <v>48</v>
      </c>
      <c r="AT176" s="6223" t="s">
        <v>49</v>
      </c>
      <c r="AU176" s="6260" t="s">
        <v>51</v>
      </c>
      <c r="AV176" s="6390" t="s">
        <v>1812</v>
      </c>
      <c r="AW176" s="6260" t="s">
        <v>1643</v>
      </c>
      <c r="AX176" s="6391" t="s">
        <v>343</v>
      </c>
    </row>
    <row r="177" spans="1:100" ht="15" customHeight="1">
      <c r="A177" s="6447"/>
      <c r="B177" s="6578"/>
      <c r="C177" s="6448"/>
      <c r="D177" s="6141"/>
      <c r="E177" s="6166"/>
      <c r="F177" s="6120"/>
      <c r="G177" s="6586" t="s">
        <v>495</v>
      </c>
      <c r="H177" s="6575"/>
      <c r="I177" s="5710" t="s">
        <v>401</v>
      </c>
      <c r="J177" s="5712"/>
      <c r="K177" s="6106" t="s">
        <v>402</v>
      </c>
      <c r="L177" s="5712"/>
      <c r="M177" s="5710" t="s">
        <v>1644</v>
      </c>
      <c r="N177" s="5712"/>
      <c r="O177" s="5710" t="s">
        <v>404</v>
      </c>
      <c r="P177" s="5712"/>
      <c r="Q177" s="5710" t="s">
        <v>405</v>
      </c>
      <c r="R177" s="5712"/>
      <c r="S177" s="5710" t="s">
        <v>406</v>
      </c>
      <c r="T177" s="5712"/>
      <c r="U177" s="5710" t="s">
        <v>407</v>
      </c>
      <c r="V177" s="5712"/>
      <c r="W177" s="5710" t="s">
        <v>1645</v>
      </c>
      <c r="X177" s="5712"/>
      <c r="Y177" s="5710" t="s">
        <v>324</v>
      </c>
      <c r="Z177" s="5709"/>
      <c r="AA177" s="5710" t="s">
        <v>325</v>
      </c>
      <c r="AB177" s="5709"/>
      <c r="AC177" s="6594" t="s">
        <v>1646</v>
      </c>
      <c r="AD177" s="6595"/>
      <c r="AE177" s="6594" t="s">
        <v>1647</v>
      </c>
      <c r="AF177" s="6595"/>
      <c r="AG177" s="6594" t="s">
        <v>1648</v>
      </c>
      <c r="AH177" s="6595"/>
      <c r="AI177" s="6594" t="s">
        <v>1649</v>
      </c>
      <c r="AJ177" s="6595"/>
      <c r="AK177" s="5710" t="s">
        <v>1650</v>
      </c>
      <c r="AL177" s="5709"/>
      <c r="AM177" s="5710" t="s">
        <v>1651</v>
      </c>
      <c r="AN177" s="5709"/>
      <c r="AO177" s="5710" t="s">
        <v>966</v>
      </c>
      <c r="AP177" s="6576"/>
      <c r="AQ177" s="6166"/>
      <c r="AR177" s="6581"/>
      <c r="AS177" s="6053"/>
      <c r="AT177" s="6223"/>
      <c r="AU177" s="6261"/>
      <c r="AV177" s="6596"/>
      <c r="AW177" s="6261"/>
      <c r="AX177" s="6592"/>
    </row>
    <row r="178" spans="1:100" ht="33.75" customHeight="1">
      <c r="A178" s="6155"/>
      <c r="B178" s="6156"/>
      <c r="C178" s="6157"/>
      <c r="D178" s="400" t="s">
        <v>93</v>
      </c>
      <c r="E178" s="397" t="s">
        <v>72</v>
      </c>
      <c r="F178" s="393" t="s">
        <v>73</v>
      </c>
      <c r="G178" s="1396" t="s">
        <v>72</v>
      </c>
      <c r="H178" s="1584" t="s">
        <v>73</v>
      </c>
      <c r="I178" s="1396" t="s">
        <v>72</v>
      </c>
      <c r="J178" s="1584" t="s">
        <v>73</v>
      </c>
      <c r="K178" s="1396" t="s">
        <v>72</v>
      </c>
      <c r="L178" s="1584" t="s">
        <v>73</v>
      </c>
      <c r="M178" s="1396" t="s">
        <v>72</v>
      </c>
      <c r="N178" s="1584" t="s">
        <v>73</v>
      </c>
      <c r="O178" s="1396" t="s">
        <v>72</v>
      </c>
      <c r="P178" s="1584" t="s">
        <v>73</v>
      </c>
      <c r="Q178" s="1396" t="s">
        <v>72</v>
      </c>
      <c r="R178" s="393" t="s">
        <v>73</v>
      </c>
      <c r="S178" s="1395" t="s">
        <v>72</v>
      </c>
      <c r="T178" s="393" t="s">
        <v>73</v>
      </c>
      <c r="U178" s="1395" t="s">
        <v>72</v>
      </c>
      <c r="V178" s="393" t="s">
        <v>73</v>
      </c>
      <c r="W178" s="1395" t="s">
        <v>72</v>
      </c>
      <c r="X178" s="393" t="s">
        <v>73</v>
      </c>
      <c r="Y178" s="1395" t="s">
        <v>72</v>
      </c>
      <c r="Z178" s="393" t="s">
        <v>73</v>
      </c>
      <c r="AA178" s="1395" t="s">
        <v>72</v>
      </c>
      <c r="AB178" s="393" t="s">
        <v>73</v>
      </c>
      <c r="AC178" s="1395" t="s">
        <v>72</v>
      </c>
      <c r="AD178" s="393" t="s">
        <v>73</v>
      </c>
      <c r="AE178" s="1395" t="s">
        <v>72</v>
      </c>
      <c r="AF178" s="393" t="s">
        <v>73</v>
      </c>
      <c r="AG178" s="1395" t="s">
        <v>72</v>
      </c>
      <c r="AH178" s="393" t="s">
        <v>73</v>
      </c>
      <c r="AI178" s="1395" t="s">
        <v>72</v>
      </c>
      <c r="AJ178" s="393" t="s">
        <v>73</v>
      </c>
      <c r="AK178" s="1395" t="s">
        <v>72</v>
      </c>
      <c r="AL178" s="393" t="s">
        <v>73</v>
      </c>
      <c r="AM178" s="1395" t="s">
        <v>72</v>
      </c>
      <c r="AN178" s="393" t="s">
        <v>73</v>
      </c>
      <c r="AO178" s="1395" t="s">
        <v>72</v>
      </c>
      <c r="AP178" s="2305" t="s">
        <v>73</v>
      </c>
      <c r="AQ178" s="6115"/>
      <c r="AR178" s="5706"/>
      <c r="AS178" s="6053"/>
      <c r="AT178" s="6223"/>
      <c r="AU178" s="6262"/>
      <c r="AV178" s="6392"/>
      <c r="AW178" s="6262"/>
      <c r="AX178" s="6593"/>
    </row>
    <row r="179" spans="1:100" ht="15" customHeight="1">
      <c r="A179" s="3061"/>
      <c r="B179" s="6657" t="s">
        <v>1813</v>
      </c>
      <c r="C179" s="6658"/>
      <c r="D179" s="3062">
        <f t="shared" ref="D179:D191" si="131">SUM(F179)</f>
        <v>0</v>
      </c>
      <c r="E179" s="3063"/>
      <c r="F179" s="3064">
        <f t="shared" ref="F179:F191" si="132">SUM(AD179+AF179+AH179+AJ179+AL179+AN179+AP179)</f>
        <v>0</v>
      </c>
      <c r="G179" s="1557"/>
      <c r="H179" s="2051"/>
      <c r="I179" s="1557"/>
      <c r="J179" s="2051"/>
      <c r="K179" s="1557"/>
      <c r="L179" s="2051"/>
      <c r="M179" s="1557"/>
      <c r="N179" s="2051"/>
      <c r="O179" s="1557"/>
      <c r="P179" s="2051"/>
      <c r="Q179" s="1557"/>
      <c r="R179" s="2051"/>
      <c r="S179" s="1557"/>
      <c r="T179" s="2051"/>
      <c r="U179" s="1557"/>
      <c r="V179" s="2051"/>
      <c r="W179" s="1557"/>
      <c r="X179" s="2051"/>
      <c r="Y179" s="1557"/>
      <c r="Z179" s="2051"/>
      <c r="AA179" s="1557"/>
      <c r="AB179" s="2051"/>
      <c r="AC179" s="1557"/>
      <c r="AD179" s="3065"/>
      <c r="AE179" s="1814"/>
      <c r="AF179" s="3065"/>
      <c r="AG179" s="1814"/>
      <c r="AH179" s="3065"/>
      <c r="AI179" s="1814"/>
      <c r="AJ179" s="3065"/>
      <c r="AK179" s="1814"/>
      <c r="AL179" s="3065"/>
      <c r="AM179" s="1814"/>
      <c r="AN179" s="3065"/>
      <c r="AO179" s="1814"/>
      <c r="AP179" s="3065"/>
      <c r="AQ179" s="3066"/>
      <c r="AR179" s="3067"/>
      <c r="AS179" s="3068"/>
      <c r="AT179" s="3067"/>
      <c r="AU179" s="3067"/>
      <c r="AV179" s="1896"/>
      <c r="AW179" s="3069"/>
      <c r="AX179" s="3070"/>
      <c r="CA179" s="3026"/>
      <c r="CB179" s="3026"/>
      <c r="CC179" s="3026"/>
      <c r="CD179" s="3026"/>
      <c r="CE179" s="3026"/>
      <c r="CF179" s="3026"/>
      <c r="CG179" s="3026"/>
      <c r="CH179" s="3026"/>
      <c r="CO179" s="3026"/>
      <c r="CP179" s="3026"/>
      <c r="CQ179" s="3026"/>
      <c r="CR179" s="3026"/>
      <c r="CS179" s="3026"/>
      <c r="CT179" s="3026"/>
      <c r="CU179" s="3026"/>
      <c r="CV179" s="3026"/>
    </row>
    <row r="180" spans="1:100" ht="15" customHeight="1">
      <c r="A180" s="3071"/>
      <c r="B180" s="6654" t="s">
        <v>1711</v>
      </c>
      <c r="C180" s="6655"/>
      <c r="D180" s="3072">
        <f t="shared" si="131"/>
        <v>0</v>
      </c>
      <c r="E180" s="3073"/>
      <c r="F180" s="3074">
        <f t="shared" si="132"/>
        <v>0</v>
      </c>
      <c r="G180" s="1560"/>
      <c r="H180" s="3023"/>
      <c r="I180" s="1560"/>
      <c r="J180" s="3023"/>
      <c r="K180" s="1560"/>
      <c r="L180" s="3023"/>
      <c r="M180" s="1560"/>
      <c r="N180" s="3023"/>
      <c r="O180" s="1560"/>
      <c r="P180" s="3023"/>
      <c r="Q180" s="1560"/>
      <c r="R180" s="3023"/>
      <c r="S180" s="1560"/>
      <c r="T180" s="3023"/>
      <c r="U180" s="1560"/>
      <c r="V180" s="3023"/>
      <c r="W180" s="1560"/>
      <c r="X180" s="3023"/>
      <c r="Y180" s="1560"/>
      <c r="Z180" s="3023"/>
      <c r="AA180" s="1560"/>
      <c r="AB180" s="3023"/>
      <c r="AC180" s="1560"/>
      <c r="AD180" s="3075"/>
      <c r="AE180" s="1869"/>
      <c r="AF180" s="3075"/>
      <c r="AG180" s="1869"/>
      <c r="AH180" s="3075"/>
      <c r="AI180" s="1869"/>
      <c r="AJ180" s="3075"/>
      <c r="AK180" s="1869"/>
      <c r="AL180" s="3075"/>
      <c r="AM180" s="1869"/>
      <c r="AN180" s="3075"/>
      <c r="AO180" s="1869"/>
      <c r="AP180" s="3075"/>
      <c r="AQ180" s="3076"/>
      <c r="AR180" s="3069"/>
      <c r="AS180" s="3077"/>
      <c r="AT180" s="3069"/>
      <c r="AU180" s="3078"/>
      <c r="AV180" s="3079"/>
      <c r="AW180" s="3069"/>
      <c r="AX180" s="3070"/>
      <c r="CA180" s="3026"/>
      <c r="CB180" s="3026"/>
      <c r="CC180" s="3026"/>
      <c r="CD180" s="3026"/>
      <c r="CE180" s="3026"/>
      <c r="CF180" s="3026"/>
      <c r="CG180" s="3026"/>
      <c r="CH180" s="3026"/>
      <c r="CO180" s="3026"/>
      <c r="CP180" s="3026"/>
      <c r="CQ180" s="3026"/>
      <c r="CR180" s="3026"/>
      <c r="CS180" s="3026"/>
      <c r="CT180" s="3026"/>
      <c r="CU180" s="3026"/>
      <c r="CV180" s="3026"/>
    </row>
    <row r="181" spans="1:100" ht="15" customHeight="1">
      <c r="A181" s="3071"/>
      <c r="B181" s="6652" t="s">
        <v>1709</v>
      </c>
      <c r="C181" s="6653"/>
      <c r="D181" s="3072">
        <f t="shared" si="131"/>
        <v>0</v>
      </c>
      <c r="E181" s="3073"/>
      <c r="F181" s="3074">
        <f t="shared" si="132"/>
        <v>0</v>
      </c>
      <c r="G181" s="1560"/>
      <c r="H181" s="3023"/>
      <c r="I181" s="1560"/>
      <c r="J181" s="3023"/>
      <c r="K181" s="1560"/>
      <c r="L181" s="3023"/>
      <c r="M181" s="1560"/>
      <c r="N181" s="3023"/>
      <c r="O181" s="1560"/>
      <c r="P181" s="3023"/>
      <c r="Q181" s="1560"/>
      <c r="R181" s="3023"/>
      <c r="S181" s="1560"/>
      <c r="T181" s="3023"/>
      <c r="U181" s="1560"/>
      <c r="V181" s="3023"/>
      <c r="W181" s="1560"/>
      <c r="X181" s="3023"/>
      <c r="Y181" s="1560"/>
      <c r="Z181" s="3023"/>
      <c r="AA181" s="1560"/>
      <c r="AB181" s="3023"/>
      <c r="AC181" s="1560"/>
      <c r="AD181" s="3080"/>
      <c r="AE181" s="1869"/>
      <c r="AF181" s="3080"/>
      <c r="AG181" s="1869"/>
      <c r="AH181" s="3080"/>
      <c r="AI181" s="1869"/>
      <c r="AJ181" s="3080"/>
      <c r="AK181" s="1869"/>
      <c r="AL181" s="3080"/>
      <c r="AM181" s="1869"/>
      <c r="AN181" s="3080"/>
      <c r="AO181" s="1869"/>
      <c r="AP181" s="3080"/>
      <c r="AQ181" s="3081"/>
      <c r="AR181" s="3078"/>
      <c r="AS181" s="3082"/>
      <c r="AT181" s="3078"/>
      <c r="AU181" s="3078"/>
      <c r="AV181" s="2074"/>
      <c r="AW181" s="3083"/>
      <c r="AX181" s="3084"/>
      <c r="CA181" s="3026"/>
      <c r="CB181" s="3026"/>
      <c r="CC181" s="3026"/>
      <c r="CD181" s="3026"/>
      <c r="CE181" s="3026"/>
      <c r="CF181" s="3026"/>
      <c r="CG181" s="3026"/>
      <c r="CH181" s="3026"/>
      <c r="CO181" s="3026"/>
      <c r="CP181" s="3026"/>
      <c r="CQ181" s="3026"/>
      <c r="CR181" s="3026"/>
      <c r="CS181" s="3026"/>
      <c r="CT181" s="3026"/>
      <c r="CU181" s="3026"/>
      <c r="CV181" s="3026"/>
    </row>
    <row r="182" spans="1:100" ht="15" customHeight="1">
      <c r="A182" s="5718" t="s">
        <v>1814</v>
      </c>
      <c r="B182" s="6656" t="s">
        <v>1766</v>
      </c>
      <c r="C182" s="6634"/>
      <c r="D182" s="3085">
        <f t="shared" si="131"/>
        <v>0</v>
      </c>
      <c r="E182" s="3086"/>
      <c r="F182" s="3087">
        <f t="shared" si="132"/>
        <v>0</v>
      </c>
      <c r="G182" s="3088"/>
      <c r="H182" s="3089"/>
      <c r="I182" s="3088"/>
      <c r="J182" s="3089"/>
      <c r="K182" s="3088"/>
      <c r="L182" s="3089"/>
      <c r="M182" s="3088"/>
      <c r="N182" s="3089"/>
      <c r="O182" s="3088"/>
      <c r="P182" s="3089"/>
      <c r="Q182" s="3088"/>
      <c r="R182" s="3089"/>
      <c r="S182" s="3088"/>
      <c r="T182" s="3089"/>
      <c r="U182" s="3088"/>
      <c r="V182" s="3089"/>
      <c r="W182" s="3088"/>
      <c r="X182" s="3089"/>
      <c r="Y182" s="3088"/>
      <c r="Z182" s="3089"/>
      <c r="AA182" s="3088"/>
      <c r="AB182" s="3089"/>
      <c r="AC182" s="3090"/>
      <c r="AD182" s="1824"/>
      <c r="AE182" s="1872"/>
      <c r="AF182" s="1824"/>
      <c r="AG182" s="1872"/>
      <c r="AH182" s="1824"/>
      <c r="AI182" s="1872"/>
      <c r="AJ182" s="1824"/>
      <c r="AK182" s="1872"/>
      <c r="AL182" s="1824"/>
      <c r="AM182" s="1872"/>
      <c r="AN182" s="1824"/>
      <c r="AO182" s="1872"/>
      <c r="AP182" s="1824"/>
      <c r="AQ182" s="1693"/>
      <c r="AR182" s="1488"/>
      <c r="AS182" s="1487"/>
      <c r="AT182" s="1488"/>
      <c r="AU182" s="1488"/>
      <c r="AV182" s="2074"/>
      <c r="AW182" s="1483"/>
      <c r="AX182" s="1545"/>
      <c r="AY182" t="str">
        <f t="shared" si="113"/>
        <v/>
      </c>
      <c r="CA182" s="2841" t="str">
        <f>IF(AND($D182&gt;0,AQ182=""),"  * No olvide digitar la variable "&amp;AQ$176&amp;". Digite Cero si no tiene.",IF(AQ182&gt;$D182," * La variable "&amp;AQ$176&amp;" no pueden superar el Total Ambos Sexos.",""))</f>
        <v/>
      </c>
      <c r="CB182" s="2841" t="str">
        <f>IF(AND($D182&gt;0,AR182="")," *No olvide digitar la variable Usuario con Discapacidad. Digite Cero si no tiene.",IF(AR182&gt;$D182," *La variable Usuario con Discapacidad no pueden superar el Total Ambos Sexos.",""))</f>
        <v/>
      </c>
      <c r="CC182" s="2841" t="str">
        <f>IF(AND($D182&gt;0,AS182="")," *No olvide digitar la variable "&amp;AS$176&amp;". Digite Cero si no tiene.",IF(AS182&gt;D182," *La variable "&amp;AS$176&amp;"no pueden superar el Total Ambos Sexos.",""))</f>
        <v/>
      </c>
      <c r="CD182" s="2841" t="str">
        <f t="shared" ref="CD182:CD226" si="133">IF(AND($D182&gt;0,AT182="")," * No olvide digitar la variable "&amp;AT$176&amp;". Digite Cero si no tiene.",IF(AT182&gt;$D182," * La variable "&amp;AT$176&amp;" no pueden superar el Total Ambos Sexos.",""))</f>
        <v/>
      </c>
      <c r="CE182" s="2841" t="str">
        <f>IF(AND($D182&gt;0,AU182="")," * No olvide digitar la variable Migrantes. Digite Cero si no tiene.",IF(AU182&gt;$D182," * La variable Migrantes no pueden superar el Total Ambos Sexos.",""))</f>
        <v/>
      </c>
      <c r="CF182" s="2890"/>
      <c r="CG182" s="2841" t="str">
        <f>IF(AND($D182&gt;0,AW182="")," *No olvide digitar la variable Persona con ingreso integral y condición crónica. Digite Cero si no tiene.",IF(AW182&gt;$D182," *La variable Persona con ingreso integral y condición crónica no pueden superar el Total Ambos Sexos.",""))</f>
        <v/>
      </c>
      <c r="CH182" s="2841" t="str">
        <f>IF(AND($D182&gt;0,AX182="")," *No olvide digitar la variable Pueblos Originarios. Digite Cero si no tiene.",IF(AX182&gt;$D182," *La variable Pueblos Originarios no pueden superar el Total Ambos Sexos.",""))</f>
        <v/>
      </c>
      <c r="CO182" s="2842">
        <f t="shared" ref="CO182:CO226" si="134">IF(AND($D182&gt;0,AQ182=""),1,0)</f>
        <v>0</v>
      </c>
      <c r="CP182" s="2842">
        <f t="shared" ref="CP182:CQ226" si="135">IF(AND($D182&gt;0,AR182=""),1,IF(AR182&gt;$D182,1,0))</f>
        <v>0</v>
      </c>
      <c r="CQ182" s="2842">
        <f t="shared" si="135"/>
        <v>0</v>
      </c>
      <c r="CR182" s="2842">
        <f>IF(AND(D182&gt;0,AT182=""),1,IF(AT182&gt;D182,1,0))</f>
        <v>0</v>
      </c>
      <c r="CS182" s="2842">
        <f t="shared" si="126"/>
        <v>0</v>
      </c>
      <c r="CT182" s="3026"/>
      <c r="CU182" s="2842">
        <f t="shared" si="128"/>
        <v>0</v>
      </c>
      <c r="CV182" s="2842">
        <f t="shared" si="128"/>
        <v>0</v>
      </c>
    </row>
    <row r="183" spans="1:100" ht="15" customHeight="1">
      <c r="A183" s="6110"/>
      <c r="B183" s="5718" t="s">
        <v>1815</v>
      </c>
      <c r="C183" s="400" t="s">
        <v>91</v>
      </c>
      <c r="D183" s="3091">
        <f t="shared" si="131"/>
        <v>0</v>
      </c>
      <c r="E183" s="3092"/>
      <c r="F183" s="3057">
        <f t="shared" si="132"/>
        <v>0</v>
      </c>
      <c r="G183" s="3093"/>
      <c r="H183" s="3094"/>
      <c r="I183" s="3093"/>
      <c r="J183" s="3094"/>
      <c r="K183" s="3093"/>
      <c r="L183" s="3094"/>
      <c r="M183" s="3093"/>
      <c r="N183" s="3094"/>
      <c r="O183" s="3093"/>
      <c r="P183" s="3094"/>
      <c r="Q183" s="3093"/>
      <c r="R183" s="3094"/>
      <c r="S183" s="3093"/>
      <c r="T183" s="3094"/>
      <c r="U183" s="3093"/>
      <c r="V183" s="3094"/>
      <c r="W183" s="3093"/>
      <c r="X183" s="3094"/>
      <c r="Y183" s="3093"/>
      <c r="Z183" s="3094"/>
      <c r="AA183" s="3093"/>
      <c r="AB183" s="3094"/>
      <c r="AC183" s="1810"/>
      <c r="AD183" s="403">
        <f>SUM(AD184:AD189)</f>
        <v>0</v>
      </c>
      <c r="AE183" s="1805"/>
      <c r="AF183" s="403">
        <f>SUM(AF184:AF189)</f>
        <v>0</v>
      </c>
      <c r="AG183" s="1805"/>
      <c r="AH183" s="403">
        <f>SUM(AH184:AH189)</f>
        <v>0</v>
      </c>
      <c r="AI183" s="1805"/>
      <c r="AJ183" s="403">
        <f>SUM(AJ184:AJ189)</f>
        <v>0</v>
      </c>
      <c r="AK183" s="1805"/>
      <c r="AL183" s="403">
        <f>SUM(AL184:AL189)</f>
        <v>0</v>
      </c>
      <c r="AM183" s="1805"/>
      <c r="AN183" s="403">
        <f>SUM(AN184:AN189)</f>
        <v>0</v>
      </c>
      <c r="AO183" s="1805"/>
      <c r="AP183" s="403">
        <f t="shared" ref="AP183:AX183" si="136">SUM(AP184:AP189)</f>
        <v>0</v>
      </c>
      <c r="AQ183" s="405">
        <f t="shared" si="136"/>
        <v>0</v>
      </c>
      <c r="AR183" s="406">
        <f t="shared" si="136"/>
        <v>0</v>
      </c>
      <c r="AS183" s="404">
        <f t="shared" si="136"/>
        <v>0</v>
      </c>
      <c r="AT183" s="406">
        <f t="shared" si="136"/>
        <v>0</v>
      </c>
      <c r="AU183" s="406">
        <f t="shared" si="136"/>
        <v>0</v>
      </c>
      <c r="AV183" s="404">
        <f t="shared" si="136"/>
        <v>0</v>
      </c>
      <c r="AW183" s="406">
        <f t="shared" si="136"/>
        <v>0</v>
      </c>
      <c r="AX183" s="392">
        <f t="shared" si="136"/>
        <v>0</v>
      </c>
      <c r="CA183" s="2832" t="str">
        <f t="shared" ref="CA183:CA226" si="137">IF(AND($D183&gt;0,AQ183=""),"  * No olvide digitar la variable Compra de servicio. Digite Cero si no tiene.","")</f>
        <v/>
      </c>
      <c r="CC183" s="2832" t="str">
        <f t="shared" ref="CC183:CC226" si="138">IF(AND($D183&gt;0,AS183=""),"  * No olvide digitar la variable "&amp;AS$176&amp;". Digite Cero si no tiene.",IF(AS183&gt;D183," * La variable "&amp;AS$176&amp;"no pueden superar el Total Ambos Sexos.",""))</f>
        <v/>
      </c>
    </row>
    <row r="184" spans="1:100" ht="15" customHeight="1">
      <c r="A184" s="6110"/>
      <c r="B184" s="6110"/>
      <c r="C184" s="407" t="s">
        <v>1816</v>
      </c>
      <c r="D184" s="3095">
        <f t="shared" si="131"/>
        <v>0</v>
      </c>
      <c r="E184" s="3096"/>
      <c r="F184" s="3097">
        <f t="shared" si="132"/>
        <v>0</v>
      </c>
      <c r="G184" s="3098"/>
      <c r="H184" s="3099"/>
      <c r="I184" s="3098"/>
      <c r="J184" s="3099"/>
      <c r="K184" s="3098"/>
      <c r="L184" s="3099"/>
      <c r="M184" s="3098"/>
      <c r="N184" s="3099"/>
      <c r="O184" s="3098"/>
      <c r="P184" s="3099"/>
      <c r="Q184" s="3098"/>
      <c r="R184" s="3099"/>
      <c r="S184" s="3098"/>
      <c r="T184" s="3099"/>
      <c r="U184" s="3098"/>
      <c r="V184" s="3099"/>
      <c r="W184" s="3098"/>
      <c r="X184" s="3099"/>
      <c r="Y184" s="3098"/>
      <c r="Z184" s="3099"/>
      <c r="AA184" s="3098"/>
      <c r="AB184" s="3099"/>
      <c r="AC184" s="1570"/>
      <c r="AD184" s="1769"/>
      <c r="AE184" s="1911"/>
      <c r="AF184" s="1769"/>
      <c r="AG184" s="1911"/>
      <c r="AH184" s="1769"/>
      <c r="AI184" s="1911"/>
      <c r="AJ184" s="1769"/>
      <c r="AK184" s="1911"/>
      <c r="AL184" s="1769"/>
      <c r="AM184" s="1911"/>
      <c r="AN184" s="1769"/>
      <c r="AO184" s="1911"/>
      <c r="AP184" s="1769"/>
      <c r="AQ184" s="1544"/>
      <c r="AR184" s="1483"/>
      <c r="AS184" s="1482"/>
      <c r="AT184" s="1483"/>
      <c r="AU184" s="1483"/>
      <c r="AV184" s="1482"/>
      <c r="AW184" s="1483"/>
      <c r="AX184" s="1545"/>
      <c r="AY184" t="str">
        <f t="shared" si="113"/>
        <v/>
      </c>
      <c r="CA184" s="2841" t="str">
        <f t="shared" ref="CA184:CA198" si="139">IF(AND($D184&gt;0,AQ184=""),"  * No olvide digitar la variable "&amp;AQ$176&amp;". Digite Cero si no tiene.",IF(AQ184&gt;$D184," * La variable "&amp;AQ$176&amp;" no pueden superar el Total Ambos Sexos.",""))</f>
        <v/>
      </c>
      <c r="CB184" s="2841" t="str">
        <f t="shared" ref="CB184:CB226" si="140">IF(AND($D184&gt;0,AR184="")," * No olvide digitar la variable Usuario con Discapacidad. Digite Cero si no tiene.",IF(AR184&gt;$D184," * La variable Usuario con Discapacidad no pueden superar el Total Ambos Sexos.",""))</f>
        <v/>
      </c>
      <c r="CC184" s="2841" t="str">
        <f t="shared" si="138"/>
        <v/>
      </c>
      <c r="CD184" s="2841" t="str">
        <f t="shared" si="133"/>
        <v/>
      </c>
      <c r="CE184" s="2841" t="str">
        <f t="shared" ref="CE184:CE226" si="141">IF(AND($D184&gt;0,AU184="")," * No olvide digitar la variable Migrantes. Digite Cero si no tiene.",IF(AU184&gt;$D184," * La variable Migrantes no pueden superar el Total Ambos Sexos.",""))</f>
        <v/>
      </c>
      <c r="CF184" s="2841" t="str">
        <f t="shared" ref="CF184:CF224" si="142">IF(AND($D184&gt;0,AV184="")," * No olvide digitar la variable Egreso por Abandono. Digite Cero si no tiene.",IF(AV184&gt;$D184," * La variable Egreso por Abandono no pueden superar el Total Ambos Sexos.",""))</f>
        <v/>
      </c>
      <c r="CG184" s="2841" t="str">
        <f t="shared" ref="CG184:CG226" si="143">IF(AND($D184&gt;0,AW184=""),"  * No olvide digitar la variable Persona con ingreso integral y condición crónica. Digite Cero si no tiene.",IF(AW184&gt;$D184," * La variable Persona con ingreso integral y condición crónica no pueden superar el Total Ambos Sexos.",""))</f>
        <v/>
      </c>
      <c r="CH184" s="2841" t="str">
        <f t="shared" ref="CH184:CH226" si="144">IF(AND($D184&gt;0,AX184=""),"  * No olvide digitar la variable Pueblos Originarios. Digite Cero si no tiene.",IF(AX184&gt;$D184," * La variable Pueblos Originarios no pueden superar el Total Ambos Sexos.",""))</f>
        <v/>
      </c>
      <c r="CO184" s="2842">
        <f t="shared" si="134"/>
        <v>0</v>
      </c>
      <c r="CP184" s="2842">
        <f t="shared" si="135"/>
        <v>0</v>
      </c>
      <c r="CQ184" s="2842">
        <f t="shared" ref="CQ184:CQ226" si="145">IF(AND($D184&gt;0,AS184=""),1,IF(AS184&gt;$D184,1,0))</f>
        <v>0</v>
      </c>
      <c r="CR184" s="2842">
        <f t="shared" ref="CR184:CR226" si="146">IF(AND(D184&gt;0,AT184=""),1,IF(AT184&gt;D184,1,0))</f>
        <v>0</v>
      </c>
      <c r="CS184" s="2842">
        <f t="shared" si="126"/>
        <v>0</v>
      </c>
      <c r="CT184" s="2842">
        <f t="shared" si="126"/>
        <v>0</v>
      </c>
      <c r="CU184" s="2842">
        <f t="shared" si="126"/>
        <v>0</v>
      </c>
      <c r="CV184" s="2842">
        <f t="shared" si="126"/>
        <v>0</v>
      </c>
    </row>
    <row r="185" spans="1:100" ht="15" customHeight="1">
      <c r="A185" s="6110"/>
      <c r="B185" s="6110"/>
      <c r="C185" s="2387" t="s">
        <v>1817</v>
      </c>
      <c r="D185" s="3095">
        <f t="shared" si="131"/>
        <v>0</v>
      </c>
      <c r="E185" s="3073"/>
      <c r="F185" s="3100">
        <f t="shared" si="132"/>
        <v>0</v>
      </c>
      <c r="G185" s="1833"/>
      <c r="H185" s="2205"/>
      <c r="I185" s="1833"/>
      <c r="J185" s="2205"/>
      <c r="K185" s="1833"/>
      <c r="L185" s="2205"/>
      <c r="M185" s="1833"/>
      <c r="N185" s="2205"/>
      <c r="O185" s="1833"/>
      <c r="P185" s="2205"/>
      <c r="Q185" s="1833"/>
      <c r="R185" s="2205"/>
      <c r="S185" s="1833"/>
      <c r="T185" s="2205"/>
      <c r="U185" s="1833"/>
      <c r="V185" s="2205"/>
      <c r="W185" s="1833"/>
      <c r="X185" s="2205"/>
      <c r="Y185" s="1833"/>
      <c r="Z185" s="2205"/>
      <c r="AA185" s="1833"/>
      <c r="AB185" s="2205"/>
      <c r="AC185" s="1560"/>
      <c r="AD185" s="1769"/>
      <c r="AE185" s="1869"/>
      <c r="AF185" s="1769"/>
      <c r="AG185" s="1869"/>
      <c r="AH185" s="1769"/>
      <c r="AI185" s="1869"/>
      <c r="AJ185" s="1769"/>
      <c r="AK185" s="1869"/>
      <c r="AL185" s="1769"/>
      <c r="AM185" s="1869"/>
      <c r="AN185" s="1769"/>
      <c r="AO185" s="1869"/>
      <c r="AP185" s="1769"/>
      <c r="AQ185" s="1544"/>
      <c r="AR185" s="1483"/>
      <c r="AS185" s="1482"/>
      <c r="AT185" s="1483"/>
      <c r="AU185" s="1483"/>
      <c r="AV185" s="1482"/>
      <c r="AW185" s="1483"/>
      <c r="AX185" s="1545"/>
      <c r="AY185" t="str">
        <f t="shared" si="113"/>
        <v/>
      </c>
      <c r="CA185" s="2841" t="str">
        <f t="shared" si="139"/>
        <v/>
      </c>
      <c r="CB185" s="2841" t="str">
        <f t="shared" si="140"/>
        <v/>
      </c>
      <c r="CC185" s="2841" t="str">
        <f t="shared" si="138"/>
        <v/>
      </c>
      <c r="CD185" s="2841" t="str">
        <f t="shared" si="133"/>
        <v/>
      </c>
      <c r="CE185" s="2841" t="str">
        <f t="shared" si="141"/>
        <v/>
      </c>
      <c r="CF185" s="2841" t="str">
        <f t="shared" si="142"/>
        <v/>
      </c>
      <c r="CG185" s="2841" t="str">
        <f t="shared" si="143"/>
        <v/>
      </c>
      <c r="CH185" s="2841" t="str">
        <f t="shared" si="144"/>
        <v/>
      </c>
      <c r="CO185" s="2842">
        <f t="shared" si="134"/>
        <v>0</v>
      </c>
      <c r="CP185" s="2842">
        <f t="shared" si="135"/>
        <v>0</v>
      </c>
      <c r="CQ185" s="2842">
        <f t="shared" si="145"/>
        <v>0</v>
      </c>
      <c r="CR185" s="2842">
        <f t="shared" si="146"/>
        <v>0</v>
      </c>
      <c r="CS185" s="2842">
        <f t="shared" si="126"/>
        <v>0</v>
      </c>
      <c r="CT185" s="2842">
        <f t="shared" si="126"/>
        <v>0</v>
      </c>
      <c r="CU185" s="2842">
        <f t="shared" si="126"/>
        <v>0</v>
      </c>
      <c r="CV185" s="2842">
        <f t="shared" si="126"/>
        <v>0</v>
      </c>
    </row>
    <row r="186" spans="1:100" ht="15.75" customHeight="1">
      <c r="A186" s="6110"/>
      <c r="B186" s="6110"/>
      <c r="C186" s="407" t="s">
        <v>1818</v>
      </c>
      <c r="D186" s="3095">
        <f t="shared" si="131"/>
        <v>0</v>
      </c>
      <c r="E186" s="3073"/>
      <c r="F186" s="3100">
        <f t="shared" si="132"/>
        <v>0</v>
      </c>
      <c r="G186" s="1833"/>
      <c r="H186" s="2205"/>
      <c r="I186" s="1833"/>
      <c r="J186" s="2205"/>
      <c r="K186" s="1833"/>
      <c r="L186" s="2205"/>
      <c r="M186" s="1833"/>
      <c r="N186" s="2205"/>
      <c r="O186" s="1833"/>
      <c r="P186" s="2205"/>
      <c r="Q186" s="1833"/>
      <c r="R186" s="2205"/>
      <c r="S186" s="1833"/>
      <c r="T186" s="2205"/>
      <c r="U186" s="1833"/>
      <c r="V186" s="2205"/>
      <c r="W186" s="1833"/>
      <c r="X186" s="2205"/>
      <c r="Y186" s="1833"/>
      <c r="Z186" s="2205"/>
      <c r="AA186" s="1833"/>
      <c r="AB186" s="2205"/>
      <c r="AC186" s="1560"/>
      <c r="AD186" s="1769"/>
      <c r="AE186" s="1869"/>
      <c r="AF186" s="1769"/>
      <c r="AG186" s="1869"/>
      <c r="AH186" s="1769"/>
      <c r="AI186" s="1869"/>
      <c r="AJ186" s="1769"/>
      <c r="AK186" s="1869"/>
      <c r="AL186" s="1769"/>
      <c r="AM186" s="1869"/>
      <c r="AN186" s="1769"/>
      <c r="AO186" s="1869"/>
      <c r="AP186" s="1769"/>
      <c r="AQ186" s="1544"/>
      <c r="AR186" s="1483"/>
      <c r="AS186" s="1482"/>
      <c r="AT186" s="1483"/>
      <c r="AU186" s="1483"/>
      <c r="AV186" s="1482"/>
      <c r="AW186" s="1483"/>
      <c r="AX186" s="1545"/>
      <c r="AY186" t="str">
        <f t="shared" si="113"/>
        <v/>
      </c>
      <c r="CA186" s="2841" t="str">
        <f t="shared" si="139"/>
        <v/>
      </c>
      <c r="CB186" s="2841" t="str">
        <f t="shared" si="140"/>
        <v/>
      </c>
      <c r="CC186" s="2841" t="str">
        <f t="shared" si="138"/>
        <v/>
      </c>
      <c r="CD186" s="2841" t="str">
        <f t="shared" si="133"/>
        <v/>
      </c>
      <c r="CE186" s="2841" t="str">
        <f t="shared" si="141"/>
        <v/>
      </c>
      <c r="CF186" s="2841" t="str">
        <f t="shared" si="142"/>
        <v/>
      </c>
      <c r="CG186" s="2841" t="str">
        <f t="shared" si="143"/>
        <v/>
      </c>
      <c r="CH186" s="2841" t="str">
        <f t="shared" si="144"/>
        <v/>
      </c>
      <c r="CO186" s="2842">
        <f t="shared" si="134"/>
        <v>0</v>
      </c>
      <c r="CP186" s="2842">
        <f t="shared" si="135"/>
        <v>0</v>
      </c>
      <c r="CQ186" s="2842">
        <f t="shared" si="145"/>
        <v>0</v>
      </c>
      <c r="CR186" s="2842">
        <f t="shared" si="146"/>
        <v>0</v>
      </c>
      <c r="CS186" s="2842">
        <f t="shared" si="126"/>
        <v>0</v>
      </c>
      <c r="CT186" s="2842">
        <f t="shared" si="126"/>
        <v>0</v>
      </c>
      <c r="CU186" s="2842">
        <f t="shared" si="126"/>
        <v>0</v>
      </c>
      <c r="CV186" s="2842">
        <f t="shared" si="126"/>
        <v>0</v>
      </c>
    </row>
    <row r="187" spans="1:100" ht="29.25" customHeight="1">
      <c r="A187" s="6110"/>
      <c r="B187" s="6110"/>
      <c r="C187" s="3014" t="s">
        <v>1819</v>
      </c>
      <c r="D187" s="3095">
        <f t="shared" si="131"/>
        <v>0</v>
      </c>
      <c r="E187" s="3073"/>
      <c r="F187" s="3100">
        <f t="shared" si="132"/>
        <v>0</v>
      </c>
      <c r="G187" s="1833"/>
      <c r="H187" s="2205"/>
      <c r="I187" s="1833"/>
      <c r="J187" s="2205"/>
      <c r="K187" s="1833"/>
      <c r="L187" s="2205"/>
      <c r="M187" s="1833"/>
      <c r="N187" s="2205"/>
      <c r="O187" s="1833"/>
      <c r="P187" s="2205"/>
      <c r="Q187" s="1833"/>
      <c r="R187" s="2205"/>
      <c r="S187" s="1833"/>
      <c r="T187" s="2205"/>
      <c r="U187" s="1833"/>
      <c r="V187" s="2205"/>
      <c r="W187" s="1833"/>
      <c r="X187" s="2205"/>
      <c r="Y187" s="1833"/>
      <c r="Z187" s="2205"/>
      <c r="AA187" s="1833"/>
      <c r="AB187" s="2205"/>
      <c r="AC187" s="1560"/>
      <c r="AD187" s="1769"/>
      <c r="AE187" s="1869"/>
      <c r="AF187" s="1769"/>
      <c r="AG187" s="1869"/>
      <c r="AH187" s="1769"/>
      <c r="AI187" s="1869"/>
      <c r="AJ187" s="1769"/>
      <c r="AK187" s="1869"/>
      <c r="AL187" s="1769"/>
      <c r="AM187" s="1869"/>
      <c r="AN187" s="1769"/>
      <c r="AO187" s="1869"/>
      <c r="AP187" s="1769"/>
      <c r="AQ187" s="1544"/>
      <c r="AR187" s="1446"/>
      <c r="AS187" s="1482"/>
      <c r="AT187" s="1483"/>
      <c r="AU187" s="1483"/>
      <c r="AV187" s="1482"/>
      <c r="AW187" s="1483"/>
      <c r="AX187" s="1545"/>
      <c r="AY187" t="str">
        <f t="shared" si="113"/>
        <v/>
      </c>
      <c r="CA187" s="2841" t="str">
        <f t="shared" si="139"/>
        <v/>
      </c>
      <c r="CB187" s="2841" t="str">
        <f t="shared" si="140"/>
        <v/>
      </c>
      <c r="CC187" s="2841" t="str">
        <f t="shared" si="138"/>
        <v/>
      </c>
      <c r="CD187" s="2841" t="str">
        <f t="shared" si="133"/>
        <v/>
      </c>
      <c r="CE187" s="2841" t="str">
        <f t="shared" si="141"/>
        <v/>
      </c>
      <c r="CF187" s="2841" t="str">
        <f t="shared" si="142"/>
        <v/>
      </c>
      <c r="CG187" s="2841" t="str">
        <f t="shared" si="143"/>
        <v/>
      </c>
      <c r="CH187" s="2841" t="str">
        <f t="shared" si="144"/>
        <v/>
      </c>
      <c r="CO187" s="2842">
        <f t="shared" si="134"/>
        <v>0</v>
      </c>
      <c r="CP187" s="2842">
        <f t="shared" si="135"/>
        <v>0</v>
      </c>
      <c r="CQ187" s="2842">
        <f t="shared" si="145"/>
        <v>0</v>
      </c>
      <c r="CR187" s="2842">
        <f t="shared" si="146"/>
        <v>0</v>
      </c>
      <c r="CS187" s="2842">
        <f t="shared" si="126"/>
        <v>0</v>
      </c>
      <c r="CT187" s="2842">
        <f t="shared" si="126"/>
        <v>0</v>
      </c>
      <c r="CU187" s="2842">
        <f t="shared" si="126"/>
        <v>0</v>
      </c>
      <c r="CV187" s="2842">
        <f t="shared" si="126"/>
        <v>0</v>
      </c>
    </row>
    <row r="188" spans="1:100" ht="15" customHeight="1">
      <c r="A188" s="6110"/>
      <c r="B188" s="6110"/>
      <c r="C188" s="420" t="s">
        <v>1820</v>
      </c>
      <c r="D188" s="3095">
        <f t="shared" si="131"/>
        <v>0</v>
      </c>
      <c r="E188" s="3073"/>
      <c r="F188" s="3100">
        <f t="shared" si="132"/>
        <v>0</v>
      </c>
      <c r="G188" s="1833"/>
      <c r="H188" s="2205"/>
      <c r="I188" s="1833"/>
      <c r="J188" s="2205"/>
      <c r="K188" s="1833"/>
      <c r="L188" s="2205"/>
      <c r="M188" s="1833"/>
      <c r="N188" s="2205"/>
      <c r="O188" s="1833"/>
      <c r="P188" s="2205"/>
      <c r="Q188" s="1833"/>
      <c r="R188" s="2205"/>
      <c r="S188" s="1833"/>
      <c r="T188" s="2205"/>
      <c r="U188" s="1833"/>
      <c r="V188" s="2205"/>
      <c r="W188" s="1833"/>
      <c r="X188" s="2205"/>
      <c r="Y188" s="1833"/>
      <c r="Z188" s="2205"/>
      <c r="AA188" s="1833"/>
      <c r="AB188" s="2205"/>
      <c r="AC188" s="1560"/>
      <c r="AD188" s="1769"/>
      <c r="AE188" s="1513"/>
      <c r="AF188" s="1769"/>
      <c r="AG188" s="1869"/>
      <c r="AH188" s="1769"/>
      <c r="AI188" s="1513"/>
      <c r="AJ188" s="1769"/>
      <c r="AK188" s="1513"/>
      <c r="AL188" s="1769"/>
      <c r="AM188" s="1869"/>
      <c r="AN188" s="1769"/>
      <c r="AO188" s="1869"/>
      <c r="AP188" s="1769"/>
      <c r="AQ188" s="1445"/>
      <c r="AR188" s="1483"/>
      <c r="AS188" s="1447"/>
      <c r="AT188" s="1446"/>
      <c r="AU188" s="1483"/>
      <c r="AV188" s="1482"/>
      <c r="AW188" s="1483"/>
      <c r="AX188" s="1545"/>
      <c r="AY188" t="str">
        <f t="shared" si="113"/>
        <v/>
      </c>
      <c r="CA188" s="2841" t="str">
        <f t="shared" si="139"/>
        <v/>
      </c>
      <c r="CB188" s="2841" t="str">
        <f t="shared" si="140"/>
        <v/>
      </c>
      <c r="CC188" s="2841" t="str">
        <f t="shared" si="138"/>
        <v/>
      </c>
      <c r="CD188" s="2841" t="str">
        <f t="shared" si="133"/>
        <v/>
      </c>
      <c r="CE188" s="2841" t="str">
        <f t="shared" si="141"/>
        <v/>
      </c>
      <c r="CF188" s="2841" t="str">
        <f t="shared" si="142"/>
        <v/>
      </c>
      <c r="CG188" s="2841" t="str">
        <f t="shared" si="143"/>
        <v/>
      </c>
      <c r="CH188" s="2841" t="str">
        <f t="shared" si="144"/>
        <v/>
      </c>
      <c r="CO188" s="2842">
        <f t="shared" si="134"/>
        <v>0</v>
      </c>
      <c r="CP188" s="2842">
        <f t="shared" si="135"/>
        <v>0</v>
      </c>
      <c r="CQ188" s="2842">
        <f t="shared" si="145"/>
        <v>0</v>
      </c>
      <c r="CR188" s="2842">
        <f t="shared" si="146"/>
        <v>0</v>
      </c>
      <c r="CS188" s="2842">
        <f t="shared" si="126"/>
        <v>0</v>
      </c>
      <c r="CT188" s="2842">
        <f t="shared" si="126"/>
        <v>0</v>
      </c>
      <c r="CU188" s="2842">
        <f t="shared" si="126"/>
        <v>0</v>
      </c>
      <c r="CV188" s="2842">
        <f t="shared" si="126"/>
        <v>0</v>
      </c>
    </row>
    <row r="189" spans="1:100" ht="15" customHeight="1">
      <c r="A189" s="6110"/>
      <c r="B189" s="6110"/>
      <c r="C189" s="407" t="s">
        <v>1821</v>
      </c>
      <c r="D189" s="3095">
        <f t="shared" si="131"/>
        <v>0</v>
      </c>
      <c r="E189" s="3073"/>
      <c r="F189" s="3100">
        <f t="shared" si="132"/>
        <v>0</v>
      </c>
      <c r="G189" s="1833"/>
      <c r="H189" s="2205"/>
      <c r="I189" s="1833"/>
      <c r="J189" s="2205"/>
      <c r="K189" s="1833"/>
      <c r="L189" s="2205"/>
      <c r="M189" s="1833"/>
      <c r="N189" s="2205"/>
      <c r="O189" s="1833"/>
      <c r="P189" s="2205"/>
      <c r="Q189" s="1833"/>
      <c r="R189" s="2205"/>
      <c r="S189" s="1833"/>
      <c r="T189" s="2205"/>
      <c r="U189" s="1833"/>
      <c r="V189" s="2205"/>
      <c r="W189" s="1833"/>
      <c r="X189" s="2205"/>
      <c r="Y189" s="1833"/>
      <c r="Z189" s="2205"/>
      <c r="AA189" s="1833"/>
      <c r="AB189" s="2205"/>
      <c r="AC189" s="1560"/>
      <c r="AD189" s="1769"/>
      <c r="AE189" s="1513"/>
      <c r="AF189" s="1769"/>
      <c r="AG189" s="1513"/>
      <c r="AH189" s="1769"/>
      <c r="AI189" s="1513"/>
      <c r="AJ189" s="1769"/>
      <c r="AK189" s="1513"/>
      <c r="AL189" s="1769"/>
      <c r="AM189" s="1869"/>
      <c r="AN189" s="1769"/>
      <c r="AO189" s="1869"/>
      <c r="AP189" s="1769"/>
      <c r="AQ189" s="1445"/>
      <c r="AR189" s="1483"/>
      <c r="AS189" s="1482"/>
      <c r="AT189" s="1483"/>
      <c r="AU189" s="1483"/>
      <c r="AV189" s="1482"/>
      <c r="AW189" s="1483"/>
      <c r="AX189" s="1545"/>
      <c r="AY189" t="str">
        <f t="shared" si="113"/>
        <v/>
      </c>
      <c r="CA189" s="2841" t="str">
        <f t="shared" si="139"/>
        <v/>
      </c>
      <c r="CB189" s="2841" t="str">
        <f t="shared" si="140"/>
        <v/>
      </c>
      <c r="CC189" s="2841" t="str">
        <f t="shared" si="138"/>
        <v/>
      </c>
      <c r="CD189" s="2841" t="str">
        <f t="shared" si="133"/>
        <v/>
      </c>
      <c r="CE189" s="2841" t="str">
        <f t="shared" si="141"/>
        <v/>
      </c>
      <c r="CF189" s="2841" t="str">
        <f t="shared" si="142"/>
        <v/>
      </c>
      <c r="CG189" s="2841" t="str">
        <f t="shared" si="143"/>
        <v/>
      </c>
      <c r="CH189" s="2841" t="str">
        <f t="shared" si="144"/>
        <v/>
      </c>
      <c r="CO189" s="2842">
        <f t="shared" si="134"/>
        <v>0</v>
      </c>
      <c r="CP189" s="2842">
        <f t="shared" si="135"/>
        <v>0</v>
      </c>
      <c r="CQ189" s="2842">
        <f t="shared" si="145"/>
        <v>0</v>
      </c>
      <c r="CR189" s="2842">
        <f t="shared" si="146"/>
        <v>0</v>
      </c>
      <c r="CS189" s="2842">
        <f t="shared" si="126"/>
        <v>0</v>
      </c>
      <c r="CT189" s="2842">
        <f t="shared" si="126"/>
        <v>0</v>
      </c>
      <c r="CU189" s="2842">
        <f t="shared" si="126"/>
        <v>0</v>
      </c>
      <c r="CV189" s="2842">
        <f t="shared" si="126"/>
        <v>0</v>
      </c>
    </row>
    <row r="190" spans="1:100" ht="25.5" customHeight="1">
      <c r="A190" s="3071"/>
      <c r="B190" s="3071"/>
      <c r="C190" s="3101" t="s">
        <v>1822</v>
      </c>
      <c r="D190" s="3102">
        <f t="shared" si="131"/>
        <v>0</v>
      </c>
      <c r="E190" s="3073"/>
      <c r="F190" s="3103">
        <f t="shared" si="132"/>
        <v>0</v>
      </c>
      <c r="G190" s="1570"/>
      <c r="H190" s="3104"/>
      <c r="I190" s="1570"/>
      <c r="J190" s="3104"/>
      <c r="K190" s="1570"/>
      <c r="L190" s="3104"/>
      <c r="M190" s="1570"/>
      <c r="N190" s="3104"/>
      <c r="O190" s="1570"/>
      <c r="P190" s="3104"/>
      <c r="Q190" s="1570"/>
      <c r="R190" s="3104"/>
      <c r="S190" s="1570"/>
      <c r="T190" s="3104"/>
      <c r="U190" s="1570"/>
      <c r="V190" s="3104"/>
      <c r="W190" s="1570"/>
      <c r="X190" s="3104"/>
      <c r="Y190" s="1570"/>
      <c r="Z190" s="3104"/>
      <c r="AA190" s="1570"/>
      <c r="AB190" s="3104"/>
      <c r="AC190" s="1560"/>
      <c r="AD190" s="3104"/>
      <c r="AE190" s="1513"/>
      <c r="AF190" s="3104"/>
      <c r="AG190" s="1513"/>
      <c r="AH190" s="3104"/>
      <c r="AI190" s="1513"/>
      <c r="AJ190" s="3104"/>
      <c r="AK190" s="1513"/>
      <c r="AL190" s="3104"/>
      <c r="AM190" s="1513"/>
      <c r="AN190" s="3104"/>
      <c r="AO190" s="1513"/>
      <c r="AP190" s="3104"/>
      <c r="AQ190" s="3105"/>
      <c r="AR190" s="3106"/>
      <c r="AS190" s="3107"/>
      <c r="AT190" s="3108"/>
      <c r="AU190" s="3106"/>
      <c r="AV190" s="3079"/>
      <c r="AW190" s="3106"/>
      <c r="AX190" s="1912"/>
      <c r="AY190" t="str">
        <f t="shared" si="113"/>
        <v/>
      </c>
      <c r="CA190" s="3026"/>
      <c r="CB190" s="3026"/>
      <c r="CC190" s="3026"/>
      <c r="CD190" s="3026"/>
      <c r="CE190" s="3026"/>
      <c r="CF190" s="3026"/>
      <c r="CG190" s="3026"/>
      <c r="CH190" s="3026"/>
      <c r="CO190" s="3026"/>
      <c r="CP190" s="3026"/>
      <c r="CQ190" s="3026"/>
      <c r="CR190" s="3026"/>
      <c r="CS190" s="3026"/>
      <c r="CT190" s="3026"/>
      <c r="CU190" s="3026"/>
      <c r="CV190" s="3026"/>
    </row>
    <row r="191" spans="1:100" ht="25.5" customHeight="1">
      <c r="A191" s="3109"/>
      <c r="B191" s="3109"/>
      <c r="C191" s="3110" t="s">
        <v>1823</v>
      </c>
      <c r="D191" s="3111">
        <f t="shared" si="131"/>
        <v>0</v>
      </c>
      <c r="E191" s="3086"/>
      <c r="F191" s="3112">
        <f t="shared" si="132"/>
        <v>0</v>
      </c>
      <c r="G191" s="1561"/>
      <c r="H191" s="2073"/>
      <c r="I191" s="1561"/>
      <c r="J191" s="2073"/>
      <c r="K191" s="1561"/>
      <c r="L191" s="2073"/>
      <c r="M191" s="1561"/>
      <c r="N191" s="2073"/>
      <c r="O191" s="1561"/>
      <c r="P191" s="2073"/>
      <c r="Q191" s="1561"/>
      <c r="R191" s="2073"/>
      <c r="S191" s="1561"/>
      <c r="T191" s="2073"/>
      <c r="U191" s="1561"/>
      <c r="V191" s="2073"/>
      <c r="W191" s="1561"/>
      <c r="X191" s="2073"/>
      <c r="Y191" s="1561"/>
      <c r="Z191" s="2073"/>
      <c r="AA191" s="1561"/>
      <c r="AB191" s="3113"/>
      <c r="AC191" s="1561"/>
      <c r="AD191" s="2073"/>
      <c r="AE191" s="1872"/>
      <c r="AF191" s="2073"/>
      <c r="AG191" s="1872"/>
      <c r="AH191" s="2073"/>
      <c r="AI191" s="1872"/>
      <c r="AJ191" s="2073"/>
      <c r="AK191" s="1872"/>
      <c r="AL191" s="2073"/>
      <c r="AM191" s="1872"/>
      <c r="AN191" s="2073"/>
      <c r="AO191" s="1872"/>
      <c r="AP191" s="2073"/>
      <c r="AQ191" s="3114"/>
      <c r="AR191" s="3115"/>
      <c r="AS191" s="3116"/>
      <c r="AT191" s="3117"/>
      <c r="AU191" s="3115"/>
      <c r="AV191" s="2074"/>
      <c r="AW191" s="3115"/>
      <c r="AX191" s="1819"/>
      <c r="AY191" t="str">
        <f t="shared" si="113"/>
        <v/>
      </c>
      <c r="CA191" s="3026"/>
      <c r="CB191" s="3026"/>
      <c r="CC191" s="3026"/>
      <c r="CD191" s="3026"/>
      <c r="CE191" s="3026"/>
      <c r="CF191" s="3026"/>
      <c r="CG191" s="3026"/>
      <c r="CH191" s="3026"/>
      <c r="CO191" s="3026"/>
      <c r="CP191" s="3026"/>
      <c r="CQ191" s="3026"/>
      <c r="CR191" s="3026"/>
      <c r="CS191" s="3026"/>
      <c r="CT191" s="3026"/>
      <c r="CU191" s="3026"/>
      <c r="CV191" s="3026"/>
    </row>
    <row r="192" spans="1:100" ht="15" customHeight="1">
      <c r="A192" s="3061"/>
      <c r="B192" s="6652" t="s">
        <v>1711</v>
      </c>
      <c r="C192" s="6653"/>
      <c r="D192" s="3062">
        <f t="shared" ref="D192:D200" si="147">SUM(E192)</f>
        <v>0</v>
      </c>
      <c r="E192" s="3063">
        <f t="shared" ref="E192:E200" si="148">SUM(AC192+AE192+AG192+AI192+AK192+AM192+AO192)</f>
        <v>0</v>
      </c>
      <c r="F192" s="3118"/>
      <c r="G192" s="1814"/>
      <c r="H192" s="2051"/>
      <c r="I192" s="1557"/>
      <c r="J192" s="2051"/>
      <c r="K192" s="1557"/>
      <c r="L192" s="2051"/>
      <c r="M192" s="1557"/>
      <c r="N192" s="2051"/>
      <c r="O192" s="1557"/>
      <c r="P192" s="2051"/>
      <c r="Q192" s="1557"/>
      <c r="R192" s="2051"/>
      <c r="S192" s="1557"/>
      <c r="T192" s="2051"/>
      <c r="U192" s="1557"/>
      <c r="V192" s="2051"/>
      <c r="W192" s="1557"/>
      <c r="X192" s="2051"/>
      <c r="Y192" s="1557"/>
      <c r="Z192" s="2051"/>
      <c r="AA192" s="1557"/>
      <c r="AB192" s="2051"/>
      <c r="AC192" s="1814"/>
      <c r="AD192" s="1815"/>
      <c r="AE192" s="1814"/>
      <c r="AF192" s="1815"/>
      <c r="AG192" s="1814"/>
      <c r="AH192" s="1815"/>
      <c r="AI192" s="1814"/>
      <c r="AJ192" s="1815"/>
      <c r="AK192" s="1814"/>
      <c r="AL192" s="1815"/>
      <c r="AM192" s="1964"/>
      <c r="AN192" s="3119"/>
      <c r="AO192" s="3119"/>
      <c r="AP192" s="1815"/>
      <c r="AQ192" s="3120"/>
      <c r="AR192" s="3119"/>
      <c r="AS192" s="1896"/>
      <c r="AT192" s="3119"/>
      <c r="AU192" s="3119"/>
      <c r="AV192" s="1896"/>
      <c r="AW192" s="3119"/>
      <c r="AX192" s="1815"/>
      <c r="AY192" t="str">
        <f t="shared" si="113"/>
        <v/>
      </c>
      <c r="CA192" s="3026"/>
      <c r="CB192" s="3026"/>
      <c r="CC192" s="3026"/>
      <c r="CD192" s="3026"/>
      <c r="CE192" s="3026"/>
      <c r="CF192" s="3026"/>
      <c r="CG192" s="3026"/>
      <c r="CH192" s="3026"/>
      <c r="CO192" s="3026"/>
      <c r="CP192" s="3026"/>
      <c r="CQ192" s="3026"/>
      <c r="CR192" s="3026"/>
      <c r="CS192" s="3026"/>
      <c r="CT192" s="3026"/>
      <c r="CU192" s="3026"/>
      <c r="CV192" s="3026"/>
    </row>
    <row r="193" spans="1:100" ht="15" customHeight="1">
      <c r="A193" s="3071"/>
      <c r="B193" s="6654" t="s">
        <v>1824</v>
      </c>
      <c r="C193" s="6655"/>
      <c r="D193" s="3121">
        <f t="shared" si="147"/>
        <v>0</v>
      </c>
      <c r="E193" s="3073">
        <f t="shared" si="148"/>
        <v>0</v>
      </c>
      <c r="F193" s="3103"/>
      <c r="G193" s="1869"/>
      <c r="H193" s="3023"/>
      <c r="I193" s="1560"/>
      <c r="J193" s="3023"/>
      <c r="K193" s="1560"/>
      <c r="L193" s="3023"/>
      <c r="M193" s="1560"/>
      <c r="N193" s="3023"/>
      <c r="O193" s="1560"/>
      <c r="P193" s="3023"/>
      <c r="Q193" s="1560"/>
      <c r="R193" s="3023"/>
      <c r="S193" s="1560"/>
      <c r="T193" s="3023"/>
      <c r="U193" s="1560"/>
      <c r="V193" s="3023"/>
      <c r="W193" s="1560"/>
      <c r="X193" s="3023"/>
      <c r="Y193" s="1560"/>
      <c r="Z193" s="3023"/>
      <c r="AA193" s="1560"/>
      <c r="AB193" s="3023"/>
      <c r="AC193" s="1869"/>
      <c r="AD193" s="1912"/>
      <c r="AE193" s="1869"/>
      <c r="AF193" s="1912"/>
      <c r="AG193" s="1869"/>
      <c r="AH193" s="1912"/>
      <c r="AI193" s="1869"/>
      <c r="AJ193" s="1912"/>
      <c r="AK193" s="1869"/>
      <c r="AL193" s="1912"/>
      <c r="AM193" s="3122"/>
      <c r="AN193" s="3106"/>
      <c r="AO193" s="3108"/>
      <c r="AP193" s="1912"/>
      <c r="AQ193" s="3105"/>
      <c r="AR193" s="3108"/>
      <c r="AS193" s="3107"/>
      <c r="AT193" s="3108"/>
      <c r="AU193" s="3106"/>
      <c r="AV193" s="3079"/>
      <c r="AW193" s="3106"/>
      <c r="AX193" s="1912"/>
      <c r="AY193" t="str">
        <f t="shared" si="113"/>
        <v/>
      </c>
      <c r="CA193" s="3026"/>
      <c r="CB193" s="3026"/>
      <c r="CC193" s="3026"/>
      <c r="CD193" s="3026"/>
      <c r="CE193" s="3026"/>
      <c r="CF193" s="3026"/>
      <c r="CG193" s="3026"/>
      <c r="CH193" s="3026"/>
      <c r="CO193" s="3026"/>
      <c r="CP193" s="3026"/>
      <c r="CQ193" s="3026"/>
      <c r="CR193" s="3026"/>
      <c r="CS193" s="3026"/>
      <c r="CT193" s="3026"/>
      <c r="CU193" s="3026"/>
      <c r="CV193" s="3026"/>
    </row>
    <row r="194" spans="1:100" ht="15" customHeight="1">
      <c r="A194" s="3071"/>
      <c r="B194" s="6654" t="s">
        <v>1709</v>
      </c>
      <c r="C194" s="6655"/>
      <c r="D194" s="3121">
        <f t="shared" si="147"/>
        <v>0</v>
      </c>
      <c r="E194" s="3073">
        <f t="shared" si="148"/>
        <v>0</v>
      </c>
      <c r="F194" s="3103"/>
      <c r="G194" s="1869"/>
      <c r="H194" s="3023"/>
      <c r="I194" s="1560"/>
      <c r="J194" s="3023"/>
      <c r="K194" s="1560"/>
      <c r="L194" s="3023"/>
      <c r="M194" s="1560"/>
      <c r="N194" s="3023"/>
      <c r="O194" s="1560"/>
      <c r="P194" s="3023"/>
      <c r="Q194" s="1560"/>
      <c r="R194" s="3023"/>
      <c r="S194" s="1560"/>
      <c r="T194" s="3023"/>
      <c r="U194" s="1560"/>
      <c r="V194" s="3023"/>
      <c r="W194" s="1560"/>
      <c r="X194" s="3023"/>
      <c r="Y194" s="1560"/>
      <c r="Z194" s="3023"/>
      <c r="AA194" s="1560"/>
      <c r="AB194" s="3023"/>
      <c r="AC194" s="1872"/>
      <c r="AD194" s="1819"/>
      <c r="AE194" s="1872"/>
      <c r="AF194" s="1819"/>
      <c r="AG194" s="1872"/>
      <c r="AH194" s="1819"/>
      <c r="AI194" s="1872"/>
      <c r="AJ194" s="1819"/>
      <c r="AK194" s="1872"/>
      <c r="AL194" s="1819"/>
      <c r="AM194" s="3123"/>
      <c r="AN194" s="3106"/>
      <c r="AO194" s="3117"/>
      <c r="AP194" s="1819"/>
      <c r="AQ194" s="3114"/>
      <c r="AR194" s="3117"/>
      <c r="AS194" s="3116"/>
      <c r="AT194" s="3117"/>
      <c r="AU194" s="3106"/>
      <c r="AV194" s="2074"/>
      <c r="AW194" s="3106"/>
      <c r="AX194" s="1912"/>
      <c r="AY194" t="str">
        <f t="shared" si="113"/>
        <v/>
      </c>
      <c r="CA194" s="3026"/>
      <c r="CB194" s="3026"/>
      <c r="CC194" s="3026"/>
      <c r="CD194" s="3026"/>
      <c r="CE194" s="3026"/>
      <c r="CF194" s="3026"/>
      <c r="CG194" s="3026"/>
      <c r="CH194" s="3026"/>
      <c r="CO194" s="3026"/>
      <c r="CP194" s="3026"/>
      <c r="CQ194" s="3026"/>
      <c r="CR194" s="3026"/>
      <c r="CS194" s="3026"/>
      <c r="CT194" s="3026"/>
      <c r="CU194" s="3026"/>
      <c r="CV194" s="3026"/>
    </row>
    <row r="195" spans="1:100" ht="15" customHeight="1">
      <c r="A195" s="5718" t="s">
        <v>1825</v>
      </c>
      <c r="B195" s="6656" t="s">
        <v>1766</v>
      </c>
      <c r="C195" s="6634"/>
      <c r="D195" s="3124">
        <f t="shared" si="147"/>
        <v>0</v>
      </c>
      <c r="E195" s="3125">
        <f t="shared" si="148"/>
        <v>0</v>
      </c>
      <c r="F195" s="1766"/>
      <c r="G195" s="1765"/>
      <c r="H195" s="2202"/>
      <c r="I195" s="3126"/>
      <c r="J195" s="2202"/>
      <c r="K195" s="3126"/>
      <c r="L195" s="2202"/>
      <c r="M195" s="3126"/>
      <c r="N195" s="2202"/>
      <c r="O195" s="3126"/>
      <c r="P195" s="2202"/>
      <c r="Q195" s="3126"/>
      <c r="R195" s="2202"/>
      <c r="S195" s="3126"/>
      <c r="T195" s="2202"/>
      <c r="U195" s="3126"/>
      <c r="V195" s="2202"/>
      <c r="W195" s="3126"/>
      <c r="X195" s="2202"/>
      <c r="Y195" s="3126"/>
      <c r="Z195" s="2202"/>
      <c r="AA195" s="3126"/>
      <c r="AB195" s="2367"/>
      <c r="AC195" s="1455"/>
      <c r="AD195" s="1914"/>
      <c r="AE195" s="1455"/>
      <c r="AF195" s="1914"/>
      <c r="AG195" s="1455"/>
      <c r="AH195" s="1914"/>
      <c r="AI195" s="1455"/>
      <c r="AJ195" s="1914"/>
      <c r="AK195" s="1455"/>
      <c r="AL195" s="1914"/>
      <c r="AM195" s="1664"/>
      <c r="AN195" s="3127"/>
      <c r="AO195" s="1461"/>
      <c r="AP195" s="3128"/>
      <c r="AQ195" s="1487"/>
      <c r="AR195" s="1488"/>
      <c r="AS195" s="1487"/>
      <c r="AT195" s="1488"/>
      <c r="AU195" s="1522"/>
      <c r="AV195" s="3107"/>
      <c r="AW195" s="1522"/>
      <c r="AX195" s="1523"/>
      <c r="AY195" t="str">
        <f t="shared" si="113"/>
        <v/>
      </c>
      <c r="CA195" s="2841" t="str">
        <f t="shared" si="139"/>
        <v/>
      </c>
      <c r="CB195" s="2841" t="str">
        <f t="shared" si="140"/>
        <v/>
      </c>
      <c r="CC195" s="2841" t="str">
        <f t="shared" si="138"/>
        <v/>
      </c>
      <c r="CD195" s="2841" t="str">
        <f t="shared" si="133"/>
        <v/>
      </c>
      <c r="CE195" s="2841" t="str">
        <f t="shared" si="141"/>
        <v/>
      </c>
      <c r="CF195" s="2890"/>
      <c r="CG195" s="2841" t="str">
        <f t="shared" si="143"/>
        <v/>
      </c>
      <c r="CH195" s="2841" t="str">
        <f t="shared" si="144"/>
        <v/>
      </c>
      <c r="CO195" s="2842">
        <f t="shared" si="134"/>
        <v>0</v>
      </c>
      <c r="CP195" s="2842">
        <f t="shared" si="135"/>
        <v>0</v>
      </c>
      <c r="CQ195" s="2842">
        <f t="shared" si="145"/>
        <v>0</v>
      </c>
      <c r="CR195" s="2842">
        <f t="shared" si="146"/>
        <v>0</v>
      </c>
      <c r="CS195" s="2842">
        <f t="shared" si="126"/>
        <v>0</v>
      </c>
      <c r="CT195" s="2890"/>
      <c r="CU195" s="2842">
        <f t="shared" ref="CU195:CU198" si="149">IF(AND($D195&gt;0,AW195=""),1,IF(AW195&gt;$D195,1,0))</f>
        <v>0</v>
      </c>
      <c r="CV195" s="2842">
        <f t="shared" ref="CV195:CV198" si="150">IF(AND($D195&gt;0,AX195=""),1,IF(AX195&gt;$D195,1,0))</f>
        <v>0</v>
      </c>
    </row>
    <row r="196" spans="1:100" ht="15" customHeight="1">
      <c r="A196" s="6110"/>
      <c r="B196" s="6140" t="s">
        <v>1826</v>
      </c>
      <c r="C196" s="3129" t="s">
        <v>91</v>
      </c>
      <c r="D196" s="3130">
        <f t="shared" si="147"/>
        <v>0</v>
      </c>
      <c r="E196" s="3131">
        <f t="shared" si="148"/>
        <v>0</v>
      </c>
      <c r="F196" s="3132"/>
      <c r="G196" s="3133"/>
      <c r="H196" s="3134"/>
      <c r="I196" s="3135"/>
      <c r="J196" s="3136"/>
      <c r="K196" s="3135"/>
      <c r="L196" s="3134"/>
      <c r="M196" s="3135"/>
      <c r="N196" s="3136"/>
      <c r="O196" s="3135"/>
      <c r="P196" s="3134"/>
      <c r="Q196" s="3135"/>
      <c r="R196" s="3136"/>
      <c r="S196" s="3135"/>
      <c r="T196" s="3134"/>
      <c r="U196" s="3135"/>
      <c r="V196" s="3136"/>
      <c r="W196" s="3135"/>
      <c r="X196" s="3134"/>
      <c r="Y196" s="3135"/>
      <c r="Z196" s="3136"/>
      <c r="AA196" s="3135"/>
      <c r="AB196" s="3136"/>
      <c r="AC196" s="3137">
        <f>SUM(AC197:AC198)</f>
        <v>0</v>
      </c>
      <c r="AD196" s="3138"/>
      <c r="AE196" s="3137">
        <f>SUM(AE197:AE198)</f>
        <v>0</v>
      </c>
      <c r="AF196" s="3138"/>
      <c r="AG196" s="3137">
        <f>SUM(AG197:AG198)</f>
        <v>0</v>
      </c>
      <c r="AH196" s="3138"/>
      <c r="AI196" s="3137">
        <f>SUM(AI197:AI198)</f>
        <v>0</v>
      </c>
      <c r="AJ196" s="3138"/>
      <c r="AK196" s="3137">
        <f>SUM(AK197:AK198)</f>
        <v>0</v>
      </c>
      <c r="AL196" s="3138"/>
      <c r="AM196" s="3139">
        <f>SUM(AM197:AM198)</f>
        <v>0</v>
      </c>
      <c r="AN196" s="3140"/>
      <c r="AO196" s="3139">
        <f>SUM(AO197:AO198)</f>
        <v>0</v>
      </c>
      <c r="AP196" s="3141"/>
      <c r="AQ196" s="3142">
        <f t="shared" ref="AQ196:AX196" si="151">SUM(AQ197:AQ198)</f>
        <v>0</v>
      </c>
      <c r="AR196" s="3139">
        <f t="shared" si="151"/>
        <v>0</v>
      </c>
      <c r="AS196" s="3143">
        <f t="shared" si="151"/>
        <v>0</v>
      </c>
      <c r="AT196" s="3139">
        <f t="shared" si="151"/>
        <v>0</v>
      </c>
      <c r="AU196" s="3139">
        <f t="shared" si="151"/>
        <v>0</v>
      </c>
      <c r="AV196" s="3143">
        <f t="shared" si="151"/>
        <v>0</v>
      </c>
      <c r="AW196" s="3139">
        <f t="shared" si="151"/>
        <v>0</v>
      </c>
      <c r="AX196" s="3144">
        <f t="shared" si="151"/>
        <v>0</v>
      </c>
      <c r="AY196" t="str">
        <f t="shared" si="113"/>
        <v/>
      </c>
      <c r="CA196" s="2841" t="str">
        <f t="shared" si="139"/>
        <v/>
      </c>
      <c r="CB196" s="2841" t="str">
        <f t="shared" si="140"/>
        <v/>
      </c>
      <c r="CC196" s="2841" t="str">
        <f t="shared" si="138"/>
        <v/>
      </c>
      <c r="CD196" s="2841" t="str">
        <f t="shared" si="133"/>
        <v/>
      </c>
      <c r="CE196" s="2841" t="str">
        <f t="shared" si="141"/>
        <v/>
      </c>
      <c r="CF196" s="2841" t="str">
        <f t="shared" si="142"/>
        <v/>
      </c>
      <c r="CG196" s="2841" t="str">
        <f t="shared" si="143"/>
        <v/>
      </c>
      <c r="CH196" s="2841" t="str">
        <f t="shared" si="144"/>
        <v/>
      </c>
      <c r="CO196" s="2842">
        <f t="shared" si="134"/>
        <v>0</v>
      </c>
      <c r="CP196" s="2842">
        <f t="shared" si="135"/>
        <v>0</v>
      </c>
      <c r="CQ196" s="2842">
        <f t="shared" si="145"/>
        <v>0</v>
      </c>
      <c r="CR196" s="2842">
        <f t="shared" si="146"/>
        <v>0</v>
      </c>
      <c r="CS196" s="2842">
        <f t="shared" si="126"/>
        <v>0</v>
      </c>
      <c r="CT196" s="2842">
        <f t="shared" ref="CT196:CT198" si="152">IF(AND($D196&gt;0,AV196=""),1,IF(AV196&gt;$D196,1,0))</f>
        <v>0</v>
      </c>
      <c r="CU196" s="2842">
        <f t="shared" si="149"/>
        <v>0</v>
      </c>
      <c r="CV196" s="2842">
        <f t="shared" si="150"/>
        <v>0</v>
      </c>
    </row>
    <row r="197" spans="1:100" ht="21.75" customHeight="1">
      <c r="A197" s="6110"/>
      <c r="B197" s="6141"/>
      <c r="C197" s="3014" t="s">
        <v>1819</v>
      </c>
      <c r="D197" s="3095">
        <f t="shared" si="147"/>
        <v>0</v>
      </c>
      <c r="E197" s="3145">
        <f t="shared" si="148"/>
        <v>0</v>
      </c>
      <c r="F197" s="2379"/>
      <c r="G197" s="2378"/>
      <c r="H197" s="3099"/>
      <c r="I197" s="3098"/>
      <c r="J197" s="3099"/>
      <c r="K197" s="3098"/>
      <c r="L197" s="3099"/>
      <c r="M197" s="3098"/>
      <c r="N197" s="3099"/>
      <c r="O197" s="3098"/>
      <c r="P197" s="3099"/>
      <c r="Q197" s="3098"/>
      <c r="R197" s="3099"/>
      <c r="S197" s="3098"/>
      <c r="T197" s="3099"/>
      <c r="U197" s="3098"/>
      <c r="V197" s="3099"/>
      <c r="W197" s="3098"/>
      <c r="X197" s="3099"/>
      <c r="Y197" s="3098"/>
      <c r="Z197" s="3099"/>
      <c r="AA197" s="3098"/>
      <c r="AB197" s="3146"/>
      <c r="AC197" s="1480"/>
      <c r="AD197" s="1912"/>
      <c r="AE197" s="1480"/>
      <c r="AF197" s="1912"/>
      <c r="AG197" s="1480"/>
      <c r="AH197" s="1912"/>
      <c r="AI197" s="1517"/>
      <c r="AJ197" s="1912"/>
      <c r="AK197" s="1480"/>
      <c r="AL197" s="1912"/>
      <c r="AM197" s="1768"/>
      <c r="AN197" s="3106"/>
      <c r="AO197" s="1522"/>
      <c r="AP197" s="3147"/>
      <c r="AQ197" s="1482"/>
      <c r="AR197" s="1483"/>
      <c r="AS197" s="1482"/>
      <c r="AT197" s="1483"/>
      <c r="AU197" s="1483"/>
      <c r="AV197" s="1482"/>
      <c r="AW197" s="1483"/>
      <c r="AX197" s="1545"/>
      <c r="AY197" t="str">
        <f t="shared" si="113"/>
        <v/>
      </c>
      <c r="CA197" s="2841" t="str">
        <f t="shared" si="139"/>
        <v/>
      </c>
      <c r="CB197" s="2841" t="str">
        <f t="shared" si="140"/>
        <v/>
      </c>
      <c r="CC197" s="2841" t="str">
        <f t="shared" si="138"/>
        <v/>
      </c>
      <c r="CD197" s="2841" t="str">
        <f t="shared" si="133"/>
        <v/>
      </c>
      <c r="CE197" s="2841" t="str">
        <f t="shared" si="141"/>
        <v/>
      </c>
      <c r="CF197" s="2841" t="str">
        <f t="shared" si="142"/>
        <v/>
      </c>
      <c r="CG197" s="2841" t="str">
        <f t="shared" si="143"/>
        <v/>
      </c>
      <c r="CH197" s="2841" t="str">
        <f t="shared" si="144"/>
        <v/>
      </c>
      <c r="CO197" s="2842">
        <f t="shared" si="134"/>
        <v>0</v>
      </c>
      <c r="CP197" s="2842">
        <f t="shared" si="135"/>
        <v>0</v>
      </c>
      <c r="CQ197" s="2842">
        <f t="shared" si="145"/>
        <v>0</v>
      </c>
      <c r="CR197" s="2842">
        <f t="shared" si="146"/>
        <v>0</v>
      </c>
      <c r="CS197" s="2842">
        <f t="shared" si="126"/>
        <v>0</v>
      </c>
      <c r="CT197" s="2842">
        <f t="shared" si="152"/>
        <v>0</v>
      </c>
      <c r="CU197" s="2842">
        <f t="shared" si="149"/>
        <v>0</v>
      </c>
      <c r="CV197" s="2842">
        <f t="shared" si="150"/>
        <v>0</v>
      </c>
    </row>
    <row r="198" spans="1:100" ht="15" customHeight="1">
      <c r="A198" s="6110"/>
      <c r="B198" s="6141"/>
      <c r="C198" s="3014" t="s">
        <v>1821</v>
      </c>
      <c r="D198" s="3095">
        <f t="shared" si="147"/>
        <v>0</v>
      </c>
      <c r="E198" s="3145">
        <f t="shared" si="148"/>
        <v>0</v>
      </c>
      <c r="F198" s="3103"/>
      <c r="G198" s="1763"/>
      <c r="H198" s="2205"/>
      <c r="I198" s="1833"/>
      <c r="J198" s="3023"/>
      <c r="K198" s="1833"/>
      <c r="L198" s="2205"/>
      <c r="M198" s="1833"/>
      <c r="N198" s="3023"/>
      <c r="O198" s="1833"/>
      <c r="P198" s="2205"/>
      <c r="Q198" s="1833"/>
      <c r="R198" s="3023"/>
      <c r="S198" s="1833"/>
      <c r="T198" s="2205"/>
      <c r="U198" s="1833"/>
      <c r="V198" s="3023"/>
      <c r="W198" s="1833"/>
      <c r="X198" s="2205"/>
      <c r="Y198" s="1833"/>
      <c r="Z198" s="3023"/>
      <c r="AA198" s="1833"/>
      <c r="AB198" s="3023"/>
      <c r="AC198" s="1440"/>
      <c r="AD198" s="1912"/>
      <c r="AE198" s="1440"/>
      <c r="AF198" s="1912"/>
      <c r="AG198" s="1440"/>
      <c r="AH198" s="1912"/>
      <c r="AI198" s="1485"/>
      <c r="AJ198" s="1912"/>
      <c r="AK198" s="1440"/>
      <c r="AL198" s="1912"/>
      <c r="AM198" s="1657"/>
      <c r="AN198" s="3106"/>
      <c r="AO198" s="1488"/>
      <c r="AP198" s="1912"/>
      <c r="AQ198" s="1445"/>
      <c r="AR198" s="1483"/>
      <c r="AS198" s="1447"/>
      <c r="AT198" s="1446"/>
      <c r="AU198" s="1483"/>
      <c r="AV198" s="1482"/>
      <c r="AW198" s="1483"/>
      <c r="AX198" s="1545"/>
      <c r="AY198" t="str">
        <f t="shared" si="113"/>
        <v/>
      </c>
      <c r="CA198" s="2841" t="str">
        <f t="shared" si="139"/>
        <v/>
      </c>
      <c r="CB198" s="2841" t="str">
        <f t="shared" si="140"/>
        <v/>
      </c>
      <c r="CC198" s="2841" t="str">
        <f t="shared" si="138"/>
        <v/>
      </c>
      <c r="CD198" s="2841" t="str">
        <f t="shared" si="133"/>
        <v/>
      </c>
      <c r="CE198" s="2841" t="str">
        <f t="shared" si="141"/>
        <v/>
      </c>
      <c r="CF198" s="2841" t="str">
        <f t="shared" si="142"/>
        <v/>
      </c>
      <c r="CG198" s="2841" t="str">
        <f t="shared" si="143"/>
        <v/>
      </c>
      <c r="CH198" s="2841" t="str">
        <f t="shared" si="144"/>
        <v/>
      </c>
      <c r="CO198" s="2842">
        <f t="shared" si="134"/>
        <v>0</v>
      </c>
      <c r="CP198" s="2842">
        <f t="shared" si="135"/>
        <v>0</v>
      </c>
      <c r="CQ198" s="2842">
        <f t="shared" si="145"/>
        <v>0</v>
      </c>
      <c r="CR198" s="2842">
        <f t="shared" si="146"/>
        <v>0</v>
      </c>
      <c r="CS198" s="2842">
        <f t="shared" si="126"/>
        <v>0</v>
      </c>
      <c r="CT198" s="2842">
        <f t="shared" si="152"/>
        <v>0</v>
      </c>
      <c r="CU198" s="2842">
        <f t="shared" si="149"/>
        <v>0</v>
      </c>
      <c r="CV198" s="2842">
        <f t="shared" si="150"/>
        <v>0</v>
      </c>
    </row>
    <row r="199" spans="1:100" ht="23.25" customHeight="1">
      <c r="A199" s="3071"/>
      <c r="B199" s="3071"/>
      <c r="C199" s="3148" t="s">
        <v>1822</v>
      </c>
      <c r="D199" s="3121">
        <f t="shared" si="147"/>
        <v>0</v>
      </c>
      <c r="E199" s="3096">
        <f t="shared" si="148"/>
        <v>0</v>
      </c>
      <c r="F199" s="3102"/>
      <c r="G199" s="1869"/>
      <c r="H199" s="3023"/>
      <c r="I199" s="1560"/>
      <c r="J199" s="3023"/>
      <c r="K199" s="1560"/>
      <c r="L199" s="3023"/>
      <c r="M199" s="1560"/>
      <c r="N199" s="3023"/>
      <c r="O199" s="1560"/>
      <c r="P199" s="3023"/>
      <c r="Q199" s="1560"/>
      <c r="R199" s="3023"/>
      <c r="S199" s="1560"/>
      <c r="T199" s="3023"/>
      <c r="U199" s="1560"/>
      <c r="V199" s="3023"/>
      <c r="W199" s="1560"/>
      <c r="X199" s="3023"/>
      <c r="Y199" s="1560"/>
      <c r="Z199" s="3023"/>
      <c r="AA199" s="1560"/>
      <c r="AB199" s="3023"/>
      <c r="AC199" s="1869"/>
      <c r="AD199" s="1912"/>
      <c r="AE199" s="1869"/>
      <c r="AF199" s="1912"/>
      <c r="AG199" s="1869"/>
      <c r="AH199" s="1912"/>
      <c r="AI199" s="1872"/>
      <c r="AJ199" s="1912"/>
      <c r="AK199" s="1869"/>
      <c r="AL199" s="1912"/>
      <c r="AM199" s="3122"/>
      <c r="AN199" s="3106"/>
      <c r="AO199" s="3117"/>
      <c r="AP199" s="1912"/>
      <c r="AQ199" s="3105"/>
      <c r="AR199" s="3106"/>
      <c r="AS199" s="3107"/>
      <c r="AT199" s="3108"/>
      <c r="AU199" s="3106"/>
      <c r="AV199" s="3079"/>
      <c r="AW199" s="3106"/>
      <c r="AX199" s="1912"/>
      <c r="AY199" t="str">
        <f t="shared" si="113"/>
        <v/>
      </c>
      <c r="CA199" s="3026"/>
      <c r="CB199" s="3026"/>
      <c r="CC199" s="3026"/>
      <c r="CD199" s="3026"/>
      <c r="CE199" s="3026"/>
      <c r="CF199" s="3026"/>
      <c r="CG199" s="3026"/>
      <c r="CH199" s="3026"/>
      <c r="CO199" s="3026"/>
      <c r="CP199" s="3026"/>
      <c r="CQ199" s="3026"/>
      <c r="CR199" s="3026"/>
      <c r="CS199" s="3026"/>
      <c r="CT199" s="3026"/>
      <c r="CU199" s="3026"/>
      <c r="CV199" s="3026"/>
    </row>
    <row r="200" spans="1:100" ht="24" customHeight="1">
      <c r="A200" s="3109"/>
      <c r="B200" s="3109"/>
      <c r="C200" s="3148" t="s">
        <v>1827</v>
      </c>
      <c r="D200" s="3149">
        <f t="shared" si="147"/>
        <v>0</v>
      </c>
      <c r="E200" s="3150">
        <f t="shared" si="148"/>
        <v>0</v>
      </c>
      <c r="F200" s="3151"/>
      <c r="G200" s="1875"/>
      <c r="H200" s="3152"/>
      <c r="I200" s="1558"/>
      <c r="J200" s="3152"/>
      <c r="K200" s="1558"/>
      <c r="L200" s="3152"/>
      <c r="M200" s="1558"/>
      <c r="N200" s="3152"/>
      <c r="O200" s="1558"/>
      <c r="P200" s="3152"/>
      <c r="Q200" s="1558"/>
      <c r="R200" s="3152"/>
      <c r="S200" s="1558"/>
      <c r="T200" s="3152"/>
      <c r="U200" s="1558"/>
      <c r="V200" s="3152"/>
      <c r="W200" s="1558"/>
      <c r="X200" s="3152"/>
      <c r="Y200" s="1558"/>
      <c r="Z200" s="3152"/>
      <c r="AA200" s="1558"/>
      <c r="AB200" s="3152"/>
      <c r="AC200" s="1913"/>
      <c r="AD200" s="1914"/>
      <c r="AE200" s="1913"/>
      <c r="AF200" s="1914"/>
      <c r="AG200" s="1913"/>
      <c r="AH200" s="1914"/>
      <c r="AI200" s="1913"/>
      <c r="AJ200" s="1914"/>
      <c r="AK200" s="1913"/>
      <c r="AL200" s="1914"/>
      <c r="AM200" s="3153"/>
      <c r="AN200" s="3127"/>
      <c r="AO200" s="3154"/>
      <c r="AP200" s="1914"/>
      <c r="AQ200" s="3155"/>
      <c r="AR200" s="3127"/>
      <c r="AS200" s="3156"/>
      <c r="AT200" s="3154"/>
      <c r="AU200" s="3127"/>
      <c r="AV200" s="3157"/>
      <c r="AW200" s="3127"/>
      <c r="AX200" s="1914"/>
      <c r="AY200" t="str">
        <f t="shared" si="113"/>
        <v/>
      </c>
      <c r="CA200" s="3026"/>
      <c r="CB200" s="3026"/>
      <c r="CC200" s="3026"/>
      <c r="CD200" s="3026"/>
      <c r="CE200" s="3026"/>
      <c r="CF200" s="3026"/>
      <c r="CG200" s="3026"/>
      <c r="CH200" s="3026"/>
      <c r="CO200" s="3026"/>
      <c r="CP200" s="3026"/>
      <c r="CQ200" s="3026"/>
      <c r="CR200" s="3026"/>
      <c r="CS200" s="3026"/>
      <c r="CT200" s="3026"/>
      <c r="CU200" s="3026"/>
      <c r="CV200" s="3026"/>
    </row>
    <row r="201" spans="1:100" ht="15" customHeight="1">
      <c r="A201" s="6644" t="s">
        <v>1828</v>
      </c>
      <c r="B201" s="6615" t="s">
        <v>1829</v>
      </c>
      <c r="C201" s="3158" t="s">
        <v>1830</v>
      </c>
      <c r="D201" s="3159">
        <f t="shared" ref="D201:D203" si="153">SUM(E201:F201)</f>
        <v>0</v>
      </c>
      <c r="E201" s="3125">
        <f t="shared" ref="E201:F203" si="154">+G201+I201+K201+M201+O201+Q201+S201+U201+W201+Y201+AA201+AC201+AE201+AG201+AI201+AK201+AM201+AO201</f>
        <v>0</v>
      </c>
      <c r="F201" s="3160">
        <f>+H201+J201+L201+N201+P201+R201+T201+V201+X201+Z201+AB201+AD201+AF201+AH201+AJ201+AL201+AN201+AP201</f>
        <v>0</v>
      </c>
      <c r="G201" s="3161">
        <f t="shared" ref="G201:AW201" si="155">SUM(G202:G203)</f>
        <v>0</v>
      </c>
      <c r="H201" s="3162">
        <f t="shared" si="155"/>
        <v>0</v>
      </c>
      <c r="I201" s="3161">
        <f t="shared" si="155"/>
        <v>0</v>
      </c>
      <c r="J201" s="3162">
        <f t="shared" si="155"/>
        <v>0</v>
      </c>
      <c r="K201" s="3161">
        <f t="shared" si="155"/>
        <v>0</v>
      </c>
      <c r="L201" s="3162">
        <f t="shared" si="155"/>
        <v>0</v>
      </c>
      <c r="M201" s="3161">
        <f t="shared" si="155"/>
        <v>0</v>
      </c>
      <c r="N201" s="3162">
        <f t="shared" si="155"/>
        <v>0</v>
      </c>
      <c r="O201" s="3161">
        <f t="shared" si="155"/>
        <v>0</v>
      </c>
      <c r="P201" s="3162">
        <f t="shared" si="155"/>
        <v>0</v>
      </c>
      <c r="Q201" s="3161">
        <f t="shared" si="155"/>
        <v>0</v>
      </c>
      <c r="R201" s="3162">
        <f t="shared" si="155"/>
        <v>0</v>
      </c>
      <c r="S201" s="3161">
        <f t="shared" si="155"/>
        <v>0</v>
      </c>
      <c r="T201" s="3162">
        <f t="shared" si="155"/>
        <v>0</v>
      </c>
      <c r="U201" s="3161">
        <f t="shared" si="155"/>
        <v>0</v>
      </c>
      <c r="V201" s="3162">
        <f t="shared" si="155"/>
        <v>0</v>
      </c>
      <c r="W201" s="3161">
        <f t="shared" si="155"/>
        <v>0</v>
      </c>
      <c r="X201" s="3162">
        <f t="shared" si="155"/>
        <v>0</v>
      </c>
      <c r="Y201" s="3161">
        <f t="shared" si="155"/>
        <v>0</v>
      </c>
      <c r="Z201" s="3162">
        <f t="shared" si="155"/>
        <v>0</v>
      </c>
      <c r="AA201" s="3161">
        <f t="shared" si="155"/>
        <v>0</v>
      </c>
      <c r="AB201" s="3163">
        <f t="shared" si="155"/>
        <v>0</v>
      </c>
      <c r="AC201" s="3164">
        <f t="shared" si="155"/>
        <v>0</v>
      </c>
      <c r="AD201" s="3163">
        <f t="shared" si="155"/>
        <v>0</v>
      </c>
      <c r="AE201" s="3164">
        <f t="shared" si="155"/>
        <v>0</v>
      </c>
      <c r="AF201" s="3163">
        <f t="shared" si="155"/>
        <v>0</v>
      </c>
      <c r="AG201" s="3164">
        <f t="shared" si="155"/>
        <v>0</v>
      </c>
      <c r="AH201" s="3163">
        <f t="shared" si="155"/>
        <v>0</v>
      </c>
      <c r="AI201" s="3164">
        <f t="shared" si="155"/>
        <v>0</v>
      </c>
      <c r="AJ201" s="3163">
        <f t="shared" si="155"/>
        <v>0</v>
      </c>
      <c r="AK201" s="3164">
        <f t="shared" si="155"/>
        <v>0</v>
      </c>
      <c r="AL201" s="3163">
        <f t="shared" si="155"/>
        <v>0</v>
      </c>
      <c r="AM201" s="3164">
        <f t="shared" si="155"/>
        <v>0</v>
      </c>
      <c r="AN201" s="3163">
        <f t="shared" si="155"/>
        <v>0</v>
      </c>
      <c r="AO201" s="3164">
        <f t="shared" si="155"/>
        <v>0</v>
      </c>
      <c r="AP201" s="3163">
        <f t="shared" si="155"/>
        <v>0</v>
      </c>
      <c r="AQ201" s="3165">
        <f t="shared" si="155"/>
        <v>0</v>
      </c>
      <c r="AR201" s="3166">
        <f t="shared" si="155"/>
        <v>0</v>
      </c>
      <c r="AS201" s="3167">
        <f t="shared" si="155"/>
        <v>0</v>
      </c>
      <c r="AT201" s="3166">
        <f t="shared" si="155"/>
        <v>0</v>
      </c>
      <c r="AU201" s="3166">
        <f t="shared" si="155"/>
        <v>0</v>
      </c>
      <c r="AV201" s="3167">
        <f t="shared" si="155"/>
        <v>0</v>
      </c>
      <c r="AW201" s="3166">
        <f t="shared" si="155"/>
        <v>0</v>
      </c>
      <c r="AX201" s="3163">
        <f>SUM(AX202:AX203)</f>
        <v>0</v>
      </c>
      <c r="CA201" s="2832" t="str">
        <f t="shared" si="137"/>
        <v/>
      </c>
      <c r="CC201" s="2832" t="str">
        <f t="shared" si="138"/>
        <v/>
      </c>
    </row>
    <row r="202" spans="1:100" ht="15" customHeight="1">
      <c r="A202" s="6645"/>
      <c r="B202" s="6616"/>
      <c r="C202" s="3168" t="s">
        <v>1831</v>
      </c>
      <c r="D202" s="3095">
        <f t="shared" si="153"/>
        <v>0</v>
      </c>
      <c r="E202" s="3145">
        <f t="shared" si="154"/>
        <v>0</v>
      </c>
      <c r="F202" s="3169">
        <f t="shared" si="154"/>
        <v>0</v>
      </c>
      <c r="G202" s="1425"/>
      <c r="H202" s="1676"/>
      <c r="I202" s="1424"/>
      <c r="J202" s="1436"/>
      <c r="K202" s="1424"/>
      <c r="L202" s="1652"/>
      <c r="M202" s="1424"/>
      <c r="N202" s="1676"/>
      <c r="O202" s="1424"/>
      <c r="P202" s="1545"/>
      <c r="Q202" s="1424"/>
      <c r="R202" s="1545"/>
      <c r="S202" s="1424"/>
      <c r="T202" s="1545"/>
      <c r="U202" s="1424"/>
      <c r="V202" s="1545"/>
      <c r="W202" s="1424"/>
      <c r="X202" s="1545"/>
      <c r="Y202" s="1424"/>
      <c r="Z202" s="1545"/>
      <c r="AA202" s="1480"/>
      <c r="AB202" s="1545"/>
      <c r="AC202" s="1480"/>
      <c r="AD202" s="1545"/>
      <c r="AE202" s="1480"/>
      <c r="AF202" s="1545"/>
      <c r="AG202" s="1480"/>
      <c r="AH202" s="1545"/>
      <c r="AI202" s="1480"/>
      <c r="AJ202" s="1545"/>
      <c r="AK202" s="1480"/>
      <c r="AL202" s="1545"/>
      <c r="AM202" s="1480"/>
      <c r="AN202" s="1545"/>
      <c r="AO202" s="1480"/>
      <c r="AP202" s="1545"/>
      <c r="AQ202" s="1544"/>
      <c r="AR202" s="1483"/>
      <c r="AS202" s="1482"/>
      <c r="AT202" s="1483"/>
      <c r="AU202" s="1483"/>
      <c r="AV202" s="1482"/>
      <c r="AW202" s="1483"/>
      <c r="AX202" s="1545"/>
      <c r="AY202" t="str">
        <f t="shared" si="113"/>
        <v/>
      </c>
      <c r="CA202" s="2841" t="str">
        <f t="shared" si="137"/>
        <v/>
      </c>
      <c r="CB202" s="2841" t="str">
        <f t="shared" si="140"/>
        <v/>
      </c>
      <c r="CC202" s="2841" t="str">
        <f t="shared" si="138"/>
        <v/>
      </c>
      <c r="CD202" s="2841" t="str">
        <f t="shared" si="133"/>
        <v/>
      </c>
      <c r="CE202" s="2841" t="str">
        <f t="shared" si="141"/>
        <v/>
      </c>
      <c r="CF202" s="2841" t="str">
        <f t="shared" si="142"/>
        <v/>
      </c>
      <c r="CG202" s="2841" t="str">
        <f t="shared" si="143"/>
        <v/>
      </c>
      <c r="CH202" s="2841" t="str">
        <f t="shared" si="144"/>
        <v/>
      </c>
      <c r="CO202" s="2842">
        <f t="shared" si="134"/>
        <v>0</v>
      </c>
      <c r="CP202" s="2842">
        <f t="shared" si="135"/>
        <v>0</v>
      </c>
      <c r="CQ202" s="2842">
        <f t="shared" si="145"/>
        <v>0</v>
      </c>
      <c r="CR202" s="2842">
        <f t="shared" si="146"/>
        <v>0</v>
      </c>
      <c r="CS202" s="2842">
        <f t="shared" si="126"/>
        <v>0</v>
      </c>
      <c r="CT202" s="2842">
        <f t="shared" si="126"/>
        <v>0</v>
      </c>
      <c r="CU202" s="2842">
        <f t="shared" si="126"/>
        <v>0</v>
      </c>
      <c r="CV202" s="2842">
        <f t="shared" si="126"/>
        <v>0</v>
      </c>
    </row>
    <row r="203" spans="1:100" ht="21" customHeight="1">
      <c r="A203" s="6646"/>
      <c r="B203" s="6617"/>
      <c r="C203" s="3170" t="s">
        <v>1832</v>
      </c>
      <c r="D203" s="3171">
        <f t="shared" si="153"/>
        <v>0</v>
      </c>
      <c r="E203" s="3172">
        <f t="shared" si="154"/>
        <v>0</v>
      </c>
      <c r="F203" s="3173">
        <f t="shared" si="154"/>
        <v>0</v>
      </c>
      <c r="G203" s="1456"/>
      <c r="H203" s="1684"/>
      <c r="I203" s="1455"/>
      <c r="J203" s="1467"/>
      <c r="K203" s="1455"/>
      <c r="L203" s="1490"/>
      <c r="M203" s="1455"/>
      <c r="N203" s="1684"/>
      <c r="O203" s="1455"/>
      <c r="P203" s="1467"/>
      <c r="Q203" s="1455"/>
      <c r="R203" s="1467"/>
      <c r="S203" s="1455"/>
      <c r="T203" s="1467"/>
      <c r="U203" s="1455"/>
      <c r="V203" s="1467"/>
      <c r="W203" s="1455"/>
      <c r="X203" s="1467"/>
      <c r="Y203" s="1455"/>
      <c r="Z203" s="1467"/>
      <c r="AA203" s="1455"/>
      <c r="AB203" s="1467"/>
      <c r="AC203" s="1455"/>
      <c r="AD203" s="1467"/>
      <c r="AE203" s="1455"/>
      <c r="AF203" s="1467"/>
      <c r="AG203" s="1455"/>
      <c r="AH203" s="1467"/>
      <c r="AI203" s="1455"/>
      <c r="AJ203" s="1467"/>
      <c r="AK203" s="1455"/>
      <c r="AL203" s="1467"/>
      <c r="AM203" s="1455"/>
      <c r="AN203" s="1467"/>
      <c r="AO203" s="1455"/>
      <c r="AP203" s="1467"/>
      <c r="AQ203" s="1460"/>
      <c r="AR203" s="1461"/>
      <c r="AS203" s="1490"/>
      <c r="AT203" s="1461"/>
      <c r="AU203" s="1461"/>
      <c r="AV203" s="1490"/>
      <c r="AW203" s="1461"/>
      <c r="AX203" s="1467"/>
      <c r="AY203" t="str">
        <f t="shared" si="113"/>
        <v/>
      </c>
      <c r="CA203" s="2841" t="str">
        <f t="shared" si="137"/>
        <v/>
      </c>
      <c r="CB203" s="2841" t="str">
        <f t="shared" si="140"/>
        <v/>
      </c>
      <c r="CC203" s="2841" t="str">
        <f t="shared" si="138"/>
        <v/>
      </c>
      <c r="CD203" s="2841" t="str">
        <f t="shared" si="133"/>
        <v/>
      </c>
      <c r="CE203" s="2841" t="str">
        <f t="shared" si="141"/>
        <v/>
      </c>
      <c r="CF203" s="2841" t="str">
        <f t="shared" si="142"/>
        <v/>
      </c>
      <c r="CG203" s="2841" t="str">
        <f t="shared" si="143"/>
        <v/>
      </c>
      <c r="CH203" s="2841" t="str">
        <f t="shared" si="144"/>
        <v/>
      </c>
      <c r="CO203" s="2842">
        <f t="shared" si="134"/>
        <v>0</v>
      </c>
      <c r="CP203" s="2842">
        <f t="shared" si="135"/>
        <v>0</v>
      </c>
      <c r="CQ203" s="2842">
        <f t="shared" si="145"/>
        <v>0</v>
      </c>
      <c r="CR203" s="2842">
        <f t="shared" si="146"/>
        <v>0</v>
      </c>
      <c r="CS203" s="2842">
        <f t="shared" si="126"/>
        <v>0</v>
      </c>
      <c r="CT203" s="2842">
        <f t="shared" si="126"/>
        <v>0</v>
      </c>
      <c r="CU203" s="2842">
        <f t="shared" si="126"/>
        <v>0</v>
      </c>
      <c r="CV203" s="2842">
        <f t="shared" si="126"/>
        <v>0</v>
      </c>
    </row>
    <row r="204" spans="1:100" ht="15" customHeight="1">
      <c r="A204" s="6644" t="s">
        <v>1833</v>
      </c>
      <c r="B204" s="6127" t="s">
        <v>1834</v>
      </c>
      <c r="C204" s="446" t="s">
        <v>1835</v>
      </c>
      <c r="D204" s="3095">
        <f t="shared" ref="D204:D235" si="156">SUM(E204+F204)</f>
        <v>0</v>
      </c>
      <c r="E204" s="3145">
        <f t="shared" ref="E204:F208" si="157">SUM(AA204+AC204+AE204+AG204+AI204+AK204+AM204+AO204)</f>
        <v>0</v>
      </c>
      <c r="F204" s="3174">
        <f t="shared" si="157"/>
        <v>0</v>
      </c>
      <c r="G204" s="1557"/>
      <c r="H204" s="2051"/>
      <c r="I204" s="1557"/>
      <c r="J204" s="2051"/>
      <c r="K204" s="1557"/>
      <c r="L204" s="2051"/>
      <c r="M204" s="1557"/>
      <c r="N204" s="2051"/>
      <c r="O204" s="1557"/>
      <c r="P204" s="2051"/>
      <c r="Q204" s="1557"/>
      <c r="R204" s="2051"/>
      <c r="S204" s="1557"/>
      <c r="T204" s="2051"/>
      <c r="U204" s="1557"/>
      <c r="V204" s="2051"/>
      <c r="W204" s="1557"/>
      <c r="X204" s="2051"/>
      <c r="Y204" s="1557"/>
      <c r="Z204" s="2051"/>
      <c r="AA204" s="1796"/>
      <c r="AB204" s="1545"/>
      <c r="AC204" s="1480"/>
      <c r="AD204" s="1545"/>
      <c r="AE204" s="1480"/>
      <c r="AF204" s="1545"/>
      <c r="AG204" s="1480"/>
      <c r="AH204" s="1545"/>
      <c r="AI204" s="1480"/>
      <c r="AJ204" s="1545"/>
      <c r="AK204" s="1480"/>
      <c r="AL204" s="1545"/>
      <c r="AM204" s="1480"/>
      <c r="AN204" s="1545"/>
      <c r="AO204" s="1480"/>
      <c r="AP204" s="1545"/>
      <c r="AQ204" s="1544"/>
      <c r="AR204" s="1483"/>
      <c r="AS204" s="1482"/>
      <c r="AT204" s="1483"/>
      <c r="AU204" s="1483"/>
      <c r="AV204" s="1482"/>
      <c r="AW204" s="1483"/>
      <c r="AX204" s="1545"/>
      <c r="AY204" t="str">
        <f t="shared" si="113"/>
        <v/>
      </c>
      <c r="CA204" s="2841" t="str">
        <f t="shared" si="137"/>
        <v/>
      </c>
      <c r="CB204" s="2841" t="str">
        <f t="shared" si="140"/>
        <v/>
      </c>
      <c r="CC204" s="2841" t="str">
        <f t="shared" si="138"/>
        <v/>
      </c>
      <c r="CD204" s="2841" t="str">
        <f t="shared" si="133"/>
        <v/>
      </c>
      <c r="CE204" s="2841" t="str">
        <f t="shared" si="141"/>
        <v/>
      </c>
      <c r="CF204" s="2841" t="str">
        <f t="shared" si="142"/>
        <v/>
      </c>
      <c r="CG204" s="2841" t="str">
        <f t="shared" si="143"/>
        <v/>
      </c>
      <c r="CH204" s="2841" t="str">
        <f t="shared" si="144"/>
        <v/>
      </c>
      <c r="CO204" s="2842">
        <f t="shared" si="134"/>
        <v>0</v>
      </c>
      <c r="CP204" s="2842">
        <f t="shared" si="135"/>
        <v>0</v>
      </c>
      <c r="CQ204" s="2842">
        <f t="shared" si="145"/>
        <v>0</v>
      </c>
      <c r="CR204" s="2842">
        <f t="shared" si="146"/>
        <v>0</v>
      </c>
      <c r="CS204" s="2842">
        <f t="shared" si="126"/>
        <v>0</v>
      </c>
      <c r="CT204" s="2842">
        <f t="shared" si="126"/>
        <v>0</v>
      </c>
      <c r="CU204" s="2842">
        <f t="shared" si="126"/>
        <v>0</v>
      </c>
      <c r="CV204" s="2842">
        <f t="shared" si="126"/>
        <v>0</v>
      </c>
    </row>
    <row r="205" spans="1:100" ht="15" customHeight="1">
      <c r="A205" s="6645"/>
      <c r="B205" s="6128"/>
      <c r="C205" s="420" t="s">
        <v>1836</v>
      </c>
      <c r="D205" s="3085">
        <f t="shared" si="156"/>
        <v>0</v>
      </c>
      <c r="E205" s="3145">
        <f t="shared" si="157"/>
        <v>0</v>
      </c>
      <c r="F205" s="3174">
        <f t="shared" si="157"/>
        <v>0</v>
      </c>
      <c r="G205" s="1560"/>
      <c r="H205" s="3023"/>
      <c r="I205" s="1560"/>
      <c r="J205" s="3023"/>
      <c r="K205" s="1560"/>
      <c r="L205" s="3023"/>
      <c r="M205" s="1560"/>
      <c r="N205" s="3023"/>
      <c r="O205" s="1560"/>
      <c r="P205" s="3023"/>
      <c r="Q205" s="1560"/>
      <c r="R205" s="3023"/>
      <c r="S205" s="1560"/>
      <c r="T205" s="3023"/>
      <c r="U205" s="1560"/>
      <c r="V205" s="3023"/>
      <c r="W205" s="1560"/>
      <c r="X205" s="3023"/>
      <c r="Y205" s="1560"/>
      <c r="Z205" s="3023"/>
      <c r="AA205" s="1881"/>
      <c r="AB205" s="1523"/>
      <c r="AC205" s="1517"/>
      <c r="AD205" s="1523"/>
      <c r="AE205" s="1517"/>
      <c r="AF205" s="1523"/>
      <c r="AG205" s="1517"/>
      <c r="AH205" s="1523"/>
      <c r="AI205" s="1517"/>
      <c r="AJ205" s="1523"/>
      <c r="AK205" s="1517"/>
      <c r="AL205" s="1523"/>
      <c r="AM205" s="1517"/>
      <c r="AN205" s="1523"/>
      <c r="AO205" s="1517"/>
      <c r="AP205" s="1523"/>
      <c r="AQ205" s="1521"/>
      <c r="AR205" s="1522"/>
      <c r="AS205" s="1770"/>
      <c r="AT205" s="1522"/>
      <c r="AU205" s="1522"/>
      <c r="AV205" s="3116"/>
      <c r="AW205" s="1522"/>
      <c r="AX205" s="1523"/>
      <c r="AY205" t="str">
        <f t="shared" si="113"/>
        <v/>
      </c>
      <c r="CA205" s="2841" t="str">
        <f t="shared" si="137"/>
        <v/>
      </c>
      <c r="CB205" s="2841" t="str">
        <f t="shared" si="140"/>
        <v/>
      </c>
      <c r="CC205" s="2841" t="str">
        <f t="shared" si="138"/>
        <v/>
      </c>
      <c r="CD205" s="2841" t="str">
        <f t="shared" si="133"/>
        <v/>
      </c>
      <c r="CE205" s="2841" t="str">
        <f t="shared" si="141"/>
        <v/>
      </c>
      <c r="CF205" s="3175"/>
      <c r="CG205" s="2841" t="str">
        <f t="shared" si="143"/>
        <v/>
      </c>
      <c r="CH205" s="2841" t="str">
        <f t="shared" si="144"/>
        <v/>
      </c>
      <c r="CO205" s="2842">
        <f t="shared" si="134"/>
        <v>0</v>
      </c>
      <c r="CP205" s="2842">
        <f t="shared" si="135"/>
        <v>0</v>
      </c>
      <c r="CQ205" s="2842">
        <f t="shared" si="145"/>
        <v>0</v>
      </c>
      <c r="CR205" s="2842">
        <f t="shared" si="146"/>
        <v>0</v>
      </c>
      <c r="CS205" s="2842">
        <f t="shared" si="126"/>
        <v>0</v>
      </c>
      <c r="CT205" s="3175"/>
      <c r="CU205" s="2842">
        <f t="shared" ref="CU205:CU226" si="158">IF(AND($D205&gt;0,AW205=""),1,IF(AW205&gt;$D205,1,0))</f>
        <v>0</v>
      </c>
      <c r="CV205" s="2842">
        <f t="shared" ref="CV205:CV226" si="159">IF(AND($D205&gt;0,AX205=""),1,IF(AX205&gt;$D205,1,0))</f>
        <v>0</v>
      </c>
    </row>
    <row r="206" spans="1:100" ht="15" customHeight="1">
      <c r="A206" s="6645"/>
      <c r="B206" s="6129"/>
      <c r="C206" s="3176" t="s">
        <v>1837</v>
      </c>
      <c r="D206" s="3085">
        <f t="shared" si="156"/>
        <v>0</v>
      </c>
      <c r="E206" s="3172">
        <f t="shared" si="157"/>
        <v>0</v>
      </c>
      <c r="F206" s="3173">
        <f t="shared" si="157"/>
        <v>0</v>
      </c>
      <c r="G206" s="1560"/>
      <c r="H206" s="3023"/>
      <c r="I206" s="1560"/>
      <c r="J206" s="3023"/>
      <c r="K206" s="1560"/>
      <c r="L206" s="3023"/>
      <c r="M206" s="1560"/>
      <c r="N206" s="3023"/>
      <c r="O206" s="1560"/>
      <c r="P206" s="3023"/>
      <c r="Q206" s="1560"/>
      <c r="R206" s="3023"/>
      <c r="S206" s="1560"/>
      <c r="T206" s="3023"/>
      <c r="U206" s="1560"/>
      <c r="V206" s="3023"/>
      <c r="W206" s="1560"/>
      <c r="X206" s="3023"/>
      <c r="Y206" s="1560"/>
      <c r="Z206" s="3023"/>
      <c r="AA206" s="1456"/>
      <c r="AB206" s="1467"/>
      <c r="AC206" s="1455"/>
      <c r="AD206" s="1467"/>
      <c r="AE206" s="1455"/>
      <c r="AF206" s="1467"/>
      <c r="AG206" s="1455"/>
      <c r="AH206" s="1467"/>
      <c r="AI206" s="1455"/>
      <c r="AJ206" s="1467"/>
      <c r="AK206" s="1455"/>
      <c r="AL206" s="1467"/>
      <c r="AM206" s="1455"/>
      <c r="AN206" s="1467"/>
      <c r="AO206" s="1455"/>
      <c r="AP206" s="1467"/>
      <c r="AQ206" s="1460"/>
      <c r="AR206" s="1461"/>
      <c r="AS206" s="1490"/>
      <c r="AT206" s="1461"/>
      <c r="AU206" s="1461"/>
      <c r="AV206" s="3156"/>
      <c r="AW206" s="1461"/>
      <c r="AX206" s="1467"/>
      <c r="AY206" t="str">
        <f t="shared" si="113"/>
        <v/>
      </c>
      <c r="CA206" s="2841" t="str">
        <f t="shared" si="137"/>
        <v/>
      </c>
      <c r="CB206" s="2841" t="str">
        <f t="shared" si="140"/>
        <v/>
      </c>
      <c r="CC206" s="2841" t="str">
        <f t="shared" si="138"/>
        <v/>
      </c>
      <c r="CD206" s="2841" t="str">
        <f t="shared" si="133"/>
        <v/>
      </c>
      <c r="CE206" s="2841" t="str">
        <f t="shared" si="141"/>
        <v/>
      </c>
      <c r="CF206" s="3175"/>
      <c r="CG206" s="2841" t="str">
        <f t="shared" si="143"/>
        <v/>
      </c>
      <c r="CH206" s="2841" t="str">
        <f t="shared" si="144"/>
        <v/>
      </c>
      <c r="CO206" s="2842">
        <f t="shared" si="134"/>
        <v>0</v>
      </c>
      <c r="CP206" s="2842">
        <f t="shared" si="135"/>
        <v>0</v>
      </c>
      <c r="CQ206" s="2842">
        <f t="shared" si="145"/>
        <v>0</v>
      </c>
      <c r="CR206" s="2842">
        <f t="shared" si="146"/>
        <v>0</v>
      </c>
      <c r="CS206" s="2842">
        <f t="shared" si="126"/>
        <v>0</v>
      </c>
      <c r="CT206" s="3175"/>
      <c r="CU206" s="2842">
        <f t="shared" si="158"/>
        <v>0</v>
      </c>
      <c r="CV206" s="2842">
        <f t="shared" si="159"/>
        <v>0</v>
      </c>
    </row>
    <row r="207" spans="1:100" ht="15" customHeight="1">
      <c r="A207" s="6645"/>
      <c r="B207" s="6615" t="s">
        <v>1838</v>
      </c>
      <c r="C207" s="3168" t="s">
        <v>1835</v>
      </c>
      <c r="D207" s="3177">
        <f t="shared" si="156"/>
        <v>0</v>
      </c>
      <c r="E207" s="3145">
        <f t="shared" si="157"/>
        <v>0</v>
      </c>
      <c r="F207" s="3174">
        <f t="shared" si="157"/>
        <v>0</v>
      </c>
      <c r="G207" s="1560"/>
      <c r="H207" s="3023"/>
      <c r="I207" s="1560"/>
      <c r="J207" s="3023"/>
      <c r="K207" s="1560"/>
      <c r="L207" s="3023"/>
      <c r="M207" s="1560"/>
      <c r="N207" s="3023"/>
      <c r="O207" s="1560"/>
      <c r="P207" s="3023"/>
      <c r="Q207" s="1560"/>
      <c r="R207" s="3023"/>
      <c r="S207" s="1560"/>
      <c r="T207" s="3023"/>
      <c r="U207" s="1560"/>
      <c r="V207" s="3023"/>
      <c r="W207" s="1560"/>
      <c r="X207" s="3023"/>
      <c r="Y207" s="1560"/>
      <c r="Z207" s="3023"/>
      <c r="AA207" s="1425"/>
      <c r="AB207" s="1436"/>
      <c r="AC207" s="1424"/>
      <c r="AD207" s="1436"/>
      <c r="AE207" s="1424"/>
      <c r="AF207" s="1436"/>
      <c r="AG207" s="1424"/>
      <c r="AH207" s="1436"/>
      <c r="AI207" s="1424"/>
      <c r="AJ207" s="1436"/>
      <c r="AK207" s="1424"/>
      <c r="AL207" s="1436"/>
      <c r="AM207" s="1424"/>
      <c r="AN207" s="1436"/>
      <c r="AO207" s="1424"/>
      <c r="AP207" s="1436"/>
      <c r="AQ207" s="1429"/>
      <c r="AR207" s="1430"/>
      <c r="AS207" s="1652"/>
      <c r="AT207" s="1430"/>
      <c r="AU207" s="1430"/>
      <c r="AV207" s="1652"/>
      <c r="AW207" s="1430"/>
      <c r="AX207" s="1436"/>
      <c r="AY207" t="str">
        <f t="shared" si="113"/>
        <v/>
      </c>
      <c r="CA207" s="2841" t="str">
        <f t="shared" si="137"/>
        <v/>
      </c>
      <c r="CB207" s="2841" t="str">
        <f t="shared" si="140"/>
        <v/>
      </c>
      <c r="CC207" s="2841" t="str">
        <f t="shared" si="138"/>
        <v/>
      </c>
      <c r="CD207" s="2841" t="str">
        <f t="shared" si="133"/>
        <v/>
      </c>
      <c r="CE207" s="2841" t="str">
        <f t="shared" si="141"/>
        <v/>
      </c>
      <c r="CF207" s="2841" t="str">
        <f t="shared" si="142"/>
        <v/>
      </c>
      <c r="CG207" s="2841" t="str">
        <f t="shared" si="143"/>
        <v/>
      </c>
      <c r="CH207" s="2841" t="str">
        <f t="shared" si="144"/>
        <v/>
      </c>
      <c r="CO207" s="2842">
        <f t="shared" si="134"/>
        <v>0</v>
      </c>
      <c r="CP207" s="2842">
        <f t="shared" si="135"/>
        <v>0</v>
      </c>
      <c r="CQ207" s="2842">
        <f t="shared" si="145"/>
        <v>0</v>
      </c>
      <c r="CR207" s="2842">
        <f t="shared" si="146"/>
        <v>0</v>
      </c>
      <c r="CS207" s="2842">
        <f t="shared" si="126"/>
        <v>0</v>
      </c>
      <c r="CT207" s="2842">
        <f>IF(AND($D207&gt;0,AV207=""),1,IF(AV207&gt;$D207,1,0))</f>
        <v>0</v>
      </c>
      <c r="CU207" s="2842">
        <f t="shared" si="158"/>
        <v>0</v>
      </c>
      <c r="CV207" s="2842">
        <f t="shared" si="159"/>
        <v>0</v>
      </c>
    </row>
    <row r="208" spans="1:100" ht="15" customHeight="1">
      <c r="A208" s="6645"/>
      <c r="B208" s="6617"/>
      <c r="C208" s="3178" t="s">
        <v>1839</v>
      </c>
      <c r="D208" s="3124">
        <f t="shared" si="156"/>
        <v>0</v>
      </c>
      <c r="E208" s="3172">
        <f t="shared" si="157"/>
        <v>0</v>
      </c>
      <c r="F208" s="3173">
        <f t="shared" si="157"/>
        <v>0</v>
      </c>
      <c r="G208" s="1560"/>
      <c r="H208" s="3023"/>
      <c r="I208" s="1560"/>
      <c r="J208" s="3023"/>
      <c r="K208" s="1560"/>
      <c r="L208" s="3023"/>
      <c r="M208" s="1560"/>
      <c r="N208" s="3023"/>
      <c r="O208" s="1560"/>
      <c r="P208" s="3023"/>
      <c r="Q208" s="1560"/>
      <c r="R208" s="3023"/>
      <c r="S208" s="1560"/>
      <c r="T208" s="3023"/>
      <c r="U208" s="1560"/>
      <c r="V208" s="3023"/>
      <c r="W208" s="1560"/>
      <c r="X208" s="3023"/>
      <c r="Y208" s="1560"/>
      <c r="Z208" s="3023"/>
      <c r="AA208" s="1456"/>
      <c r="AB208" s="1684"/>
      <c r="AC208" s="1456"/>
      <c r="AD208" s="1467"/>
      <c r="AE208" s="1455"/>
      <c r="AF208" s="1467"/>
      <c r="AG208" s="1455"/>
      <c r="AH208" s="1467"/>
      <c r="AI208" s="1455"/>
      <c r="AJ208" s="1467"/>
      <c r="AK208" s="1455"/>
      <c r="AL208" s="1467"/>
      <c r="AM208" s="1455"/>
      <c r="AN208" s="1467"/>
      <c r="AO208" s="1455"/>
      <c r="AP208" s="1467"/>
      <c r="AQ208" s="1460"/>
      <c r="AR208" s="1461"/>
      <c r="AS208" s="1490"/>
      <c r="AT208" s="1461"/>
      <c r="AU208" s="1461"/>
      <c r="AV208" s="3156"/>
      <c r="AW208" s="1461"/>
      <c r="AX208" s="1467"/>
      <c r="AY208" t="str">
        <f t="shared" si="113"/>
        <v/>
      </c>
      <c r="CA208" s="2841" t="str">
        <f t="shared" si="137"/>
        <v/>
      </c>
      <c r="CB208" s="2841" t="str">
        <f t="shared" si="140"/>
        <v/>
      </c>
      <c r="CC208" s="2841" t="str">
        <f t="shared" si="138"/>
        <v/>
      </c>
      <c r="CD208" s="2841" t="str">
        <f t="shared" si="133"/>
        <v/>
      </c>
      <c r="CE208" s="2841" t="str">
        <f t="shared" si="141"/>
        <v/>
      </c>
      <c r="CF208" s="3175"/>
      <c r="CG208" s="2841" t="str">
        <f t="shared" si="143"/>
        <v/>
      </c>
      <c r="CH208" s="2841" t="str">
        <f t="shared" si="144"/>
        <v/>
      </c>
      <c r="CO208" s="2842">
        <f t="shared" si="134"/>
        <v>0</v>
      </c>
      <c r="CP208" s="2842">
        <f t="shared" si="135"/>
        <v>0</v>
      </c>
      <c r="CQ208" s="2842">
        <f t="shared" si="145"/>
        <v>0</v>
      </c>
      <c r="CR208" s="2842">
        <f t="shared" si="146"/>
        <v>0</v>
      </c>
      <c r="CS208" s="2842">
        <f t="shared" si="126"/>
        <v>0</v>
      </c>
      <c r="CT208" s="3175"/>
      <c r="CU208" s="2842">
        <f t="shared" si="158"/>
        <v>0</v>
      </c>
      <c r="CV208" s="2842">
        <f t="shared" si="159"/>
        <v>0</v>
      </c>
    </row>
    <row r="209" spans="1:100" ht="15" customHeight="1">
      <c r="A209" s="6645"/>
      <c r="B209" s="6647" t="s">
        <v>1711</v>
      </c>
      <c r="C209" s="446" t="s">
        <v>1835</v>
      </c>
      <c r="D209" s="3095">
        <f t="shared" si="156"/>
        <v>0</v>
      </c>
      <c r="E209" s="3145">
        <f t="shared" ref="E209:F211" si="160">SUM(AC209+AE209+AG209+AI209+AK209+AM209+AO209)</f>
        <v>0</v>
      </c>
      <c r="F209" s="3174">
        <f t="shared" si="160"/>
        <v>0</v>
      </c>
      <c r="G209" s="1560"/>
      <c r="H209" s="3023"/>
      <c r="I209" s="1560"/>
      <c r="J209" s="3023"/>
      <c r="K209" s="1560"/>
      <c r="L209" s="3023"/>
      <c r="M209" s="1560"/>
      <c r="N209" s="3023"/>
      <c r="O209" s="1560"/>
      <c r="P209" s="3023"/>
      <c r="Q209" s="1560"/>
      <c r="R209" s="3023"/>
      <c r="S209" s="1560"/>
      <c r="T209" s="3023"/>
      <c r="U209" s="1560"/>
      <c r="V209" s="3023"/>
      <c r="W209" s="1560"/>
      <c r="X209" s="3023"/>
      <c r="Y209" s="1560"/>
      <c r="Z209" s="3023"/>
      <c r="AA209" s="1557"/>
      <c r="AB209" s="2051"/>
      <c r="AC209" s="1425"/>
      <c r="AD209" s="1436"/>
      <c r="AE209" s="1424"/>
      <c r="AF209" s="1436"/>
      <c r="AG209" s="1424"/>
      <c r="AH209" s="1436"/>
      <c r="AI209" s="1424"/>
      <c r="AJ209" s="1436"/>
      <c r="AK209" s="1424"/>
      <c r="AL209" s="1436"/>
      <c r="AM209" s="1424"/>
      <c r="AN209" s="1436"/>
      <c r="AO209" s="1424"/>
      <c r="AP209" s="1436"/>
      <c r="AQ209" s="1429"/>
      <c r="AR209" s="1430"/>
      <c r="AS209" s="1652"/>
      <c r="AT209" s="1430"/>
      <c r="AU209" s="1430"/>
      <c r="AV209" s="1652"/>
      <c r="AW209" s="1430"/>
      <c r="AX209" s="1436"/>
      <c r="AY209" t="str">
        <f t="shared" si="113"/>
        <v/>
      </c>
      <c r="CA209" s="2841" t="str">
        <f t="shared" si="137"/>
        <v/>
      </c>
      <c r="CB209" s="2841" t="str">
        <f t="shared" si="140"/>
        <v/>
      </c>
      <c r="CC209" s="2841" t="str">
        <f t="shared" si="138"/>
        <v/>
      </c>
      <c r="CD209" s="2841" t="str">
        <f t="shared" si="133"/>
        <v/>
      </c>
      <c r="CE209" s="2841" t="str">
        <f t="shared" si="141"/>
        <v/>
      </c>
      <c r="CF209" s="2841" t="str">
        <f t="shared" si="142"/>
        <v/>
      </c>
      <c r="CG209" s="2841" t="str">
        <f t="shared" si="143"/>
        <v/>
      </c>
      <c r="CH209" s="2841" t="str">
        <f t="shared" si="144"/>
        <v/>
      </c>
      <c r="CO209" s="2842">
        <f t="shared" si="134"/>
        <v>0</v>
      </c>
      <c r="CP209" s="2842">
        <f t="shared" si="135"/>
        <v>0</v>
      </c>
      <c r="CQ209" s="2842">
        <f t="shared" si="145"/>
        <v>0</v>
      </c>
      <c r="CR209" s="2842">
        <f t="shared" si="146"/>
        <v>0</v>
      </c>
      <c r="CS209" s="2842">
        <f t="shared" si="126"/>
        <v>0</v>
      </c>
      <c r="CT209" s="2842">
        <f>IF(AND($D209&gt;0,AV209=""),1,IF(AV209&gt;$D209,1,0))</f>
        <v>0</v>
      </c>
      <c r="CU209" s="2842">
        <f t="shared" si="158"/>
        <v>0</v>
      </c>
      <c r="CV209" s="2842">
        <f t="shared" si="159"/>
        <v>0</v>
      </c>
    </row>
    <row r="210" spans="1:100" ht="21">
      <c r="A210" s="6645"/>
      <c r="B210" s="6648"/>
      <c r="C210" s="2237" t="s">
        <v>1840</v>
      </c>
      <c r="D210" s="3085">
        <f t="shared" si="156"/>
        <v>0</v>
      </c>
      <c r="E210" s="3145">
        <f t="shared" si="160"/>
        <v>0</v>
      </c>
      <c r="F210" s="3174">
        <f t="shared" si="160"/>
        <v>0</v>
      </c>
      <c r="G210" s="1560"/>
      <c r="H210" s="3023"/>
      <c r="I210" s="1560"/>
      <c r="J210" s="3023"/>
      <c r="K210" s="1560"/>
      <c r="L210" s="3023"/>
      <c r="M210" s="1560"/>
      <c r="N210" s="3023"/>
      <c r="O210" s="1560"/>
      <c r="P210" s="3023"/>
      <c r="Q210" s="1560"/>
      <c r="R210" s="3023"/>
      <c r="S210" s="1560"/>
      <c r="T210" s="3023"/>
      <c r="U210" s="1560"/>
      <c r="V210" s="3023"/>
      <c r="W210" s="1560"/>
      <c r="X210" s="3023"/>
      <c r="Y210" s="1560"/>
      <c r="Z210" s="3023"/>
      <c r="AA210" s="1560"/>
      <c r="AB210" s="3023"/>
      <c r="AC210" s="1881"/>
      <c r="AD210" s="1523"/>
      <c r="AE210" s="1517"/>
      <c r="AF210" s="1523"/>
      <c r="AG210" s="1517"/>
      <c r="AH210" s="1523"/>
      <c r="AI210" s="1517"/>
      <c r="AJ210" s="1523"/>
      <c r="AK210" s="1517"/>
      <c r="AL210" s="1523"/>
      <c r="AM210" s="1517"/>
      <c r="AN210" s="1523"/>
      <c r="AO210" s="1517"/>
      <c r="AP210" s="1523"/>
      <c r="AQ210" s="1521"/>
      <c r="AR210" s="1522"/>
      <c r="AS210" s="1770"/>
      <c r="AT210" s="1522"/>
      <c r="AU210" s="1522"/>
      <c r="AV210" s="2074"/>
      <c r="AW210" s="1522"/>
      <c r="AX210" s="1523"/>
      <c r="AY210" t="str">
        <f t="shared" si="113"/>
        <v/>
      </c>
      <c r="CA210" s="2841" t="str">
        <f t="shared" si="137"/>
        <v/>
      </c>
      <c r="CB210" s="2841" t="str">
        <f t="shared" si="140"/>
        <v/>
      </c>
      <c r="CC210" s="2841" t="str">
        <f t="shared" si="138"/>
        <v/>
      </c>
      <c r="CD210" s="2841" t="str">
        <f t="shared" si="133"/>
        <v/>
      </c>
      <c r="CE210" s="2841" t="str">
        <f t="shared" si="141"/>
        <v/>
      </c>
      <c r="CF210" s="3175"/>
      <c r="CG210" s="2841" t="str">
        <f t="shared" si="143"/>
        <v/>
      </c>
      <c r="CH210" s="2841" t="str">
        <f t="shared" si="144"/>
        <v/>
      </c>
      <c r="CO210" s="2842">
        <f t="shared" si="134"/>
        <v>0</v>
      </c>
      <c r="CP210" s="2842">
        <f t="shared" si="135"/>
        <v>0</v>
      </c>
      <c r="CQ210" s="2842">
        <f t="shared" si="145"/>
        <v>0</v>
      </c>
      <c r="CR210" s="2842">
        <f t="shared" si="146"/>
        <v>0</v>
      </c>
      <c r="CS210" s="2842">
        <f t="shared" si="126"/>
        <v>0</v>
      </c>
      <c r="CT210" s="3175"/>
      <c r="CU210" s="2842">
        <f t="shared" si="158"/>
        <v>0</v>
      </c>
      <c r="CV210" s="2842">
        <f t="shared" si="159"/>
        <v>0</v>
      </c>
    </row>
    <row r="211" spans="1:100" ht="21">
      <c r="A211" s="6646"/>
      <c r="B211" s="6649"/>
      <c r="C211" s="458" t="s">
        <v>1841</v>
      </c>
      <c r="D211" s="3085">
        <f t="shared" si="156"/>
        <v>0</v>
      </c>
      <c r="E211" s="3172">
        <f t="shared" si="160"/>
        <v>0</v>
      </c>
      <c r="F211" s="3173">
        <f t="shared" si="160"/>
        <v>0</v>
      </c>
      <c r="G211" s="1560"/>
      <c r="H211" s="3023"/>
      <c r="I211" s="1560"/>
      <c r="J211" s="3023"/>
      <c r="K211" s="1560"/>
      <c r="L211" s="3023"/>
      <c r="M211" s="1560"/>
      <c r="N211" s="3023"/>
      <c r="O211" s="1560"/>
      <c r="P211" s="3023"/>
      <c r="Q211" s="1560"/>
      <c r="R211" s="3023"/>
      <c r="S211" s="1560"/>
      <c r="T211" s="3023"/>
      <c r="U211" s="1560"/>
      <c r="V211" s="3023"/>
      <c r="W211" s="1560"/>
      <c r="X211" s="3023"/>
      <c r="Y211" s="1560"/>
      <c r="Z211" s="3023"/>
      <c r="AA211" s="1560"/>
      <c r="AB211" s="3023"/>
      <c r="AC211" s="1456"/>
      <c r="AD211" s="1467"/>
      <c r="AE211" s="1455"/>
      <c r="AF211" s="1467"/>
      <c r="AG211" s="1455"/>
      <c r="AH211" s="1467"/>
      <c r="AI211" s="1455"/>
      <c r="AJ211" s="1467"/>
      <c r="AK211" s="1455"/>
      <c r="AL211" s="1467"/>
      <c r="AM211" s="1455"/>
      <c r="AN211" s="1467"/>
      <c r="AO211" s="1455"/>
      <c r="AP211" s="1467"/>
      <c r="AQ211" s="1460"/>
      <c r="AR211" s="1461"/>
      <c r="AS211" s="1490"/>
      <c r="AT211" s="1461"/>
      <c r="AU211" s="1461"/>
      <c r="AV211" s="3156"/>
      <c r="AW211" s="1461"/>
      <c r="AX211" s="1467"/>
      <c r="AY211" t="str">
        <f t="shared" si="113"/>
        <v/>
      </c>
      <c r="CA211" s="2841" t="str">
        <f t="shared" si="137"/>
        <v/>
      </c>
      <c r="CB211" s="2841" t="str">
        <f t="shared" si="140"/>
        <v/>
      </c>
      <c r="CC211" s="2841" t="str">
        <f t="shared" si="138"/>
        <v/>
      </c>
      <c r="CD211" s="2841" t="str">
        <f t="shared" si="133"/>
        <v/>
      </c>
      <c r="CE211" s="2841" t="str">
        <f t="shared" si="141"/>
        <v/>
      </c>
      <c r="CF211" s="3175"/>
      <c r="CG211" s="2841" t="str">
        <f t="shared" si="143"/>
        <v/>
      </c>
      <c r="CH211" s="2841" t="str">
        <f t="shared" si="144"/>
        <v/>
      </c>
      <c r="CO211" s="2842">
        <f t="shared" si="134"/>
        <v>0</v>
      </c>
      <c r="CP211" s="2842">
        <f t="shared" si="135"/>
        <v>0</v>
      </c>
      <c r="CQ211" s="2842">
        <f t="shared" si="145"/>
        <v>0</v>
      </c>
      <c r="CR211" s="2842">
        <f t="shared" si="146"/>
        <v>0</v>
      </c>
      <c r="CS211" s="2842">
        <f t="shared" si="126"/>
        <v>0</v>
      </c>
      <c r="CT211" s="3175"/>
      <c r="CU211" s="2842">
        <f t="shared" si="158"/>
        <v>0</v>
      </c>
      <c r="CV211" s="2842">
        <f t="shared" si="159"/>
        <v>0</v>
      </c>
    </row>
    <row r="212" spans="1:100" ht="15" customHeight="1">
      <c r="A212" s="6127" t="s">
        <v>1842</v>
      </c>
      <c r="B212" s="5707" t="s">
        <v>1843</v>
      </c>
      <c r="C212" s="5709"/>
      <c r="D212" s="3091">
        <f t="shared" si="156"/>
        <v>0</v>
      </c>
      <c r="E212" s="3179">
        <f t="shared" ref="E212:F216" si="161">SUM(AK212)</f>
        <v>0</v>
      </c>
      <c r="F212" s="3180">
        <f t="shared" si="161"/>
        <v>0</v>
      </c>
      <c r="G212" s="1833"/>
      <c r="H212" s="2205"/>
      <c r="I212" s="1833"/>
      <c r="J212" s="2205"/>
      <c r="K212" s="1833"/>
      <c r="L212" s="2205"/>
      <c r="M212" s="1833"/>
      <c r="N212" s="2205"/>
      <c r="O212" s="1833"/>
      <c r="P212" s="2205"/>
      <c r="Q212" s="1833"/>
      <c r="R212" s="2205"/>
      <c r="S212" s="1833"/>
      <c r="T212" s="2205"/>
      <c r="U212" s="1833"/>
      <c r="V212" s="2205"/>
      <c r="W212" s="1833"/>
      <c r="X212" s="2205"/>
      <c r="Y212" s="1833"/>
      <c r="Z212" s="2205"/>
      <c r="AA212" s="1833"/>
      <c r="AB212" s="2205"/>
      <c r="AC212" s="3181"/>
      <c r="AD212" s="3182"/>
      <c r="AE212" s="3182"/>
      <c r="AF212" s="3182"/>
      <c r="AG212" s="3182"/>
      <c r="AH212" s="3182"/>
      <c r="AI212" s="3182"/>
      <c r="AJ212" s="2200"/>
      <c r="AK212" s="1424"/>
      <c r="AL212" s="1436"/>
      <c r="AM212" s="2197"/>
      <c r="AN212" s="3182"/>
      <c r="AO212" s="3182"/>
      <c r="AP212" s="2200"/>
      <c r="AQ212" s="1429"/>
      <c r="AR212" s="1430"/>
      <c r="AS212" s="3183"/>
      <c r="AT212" s="3184"/>
      <c r="AU212" s="1430"/>
      <c r="AV212" s="1652"/>
      <c r="AW212" s="1430"/>
      <c r="AX212" s="1436"/>
      <c r="AY212" t="str">
        <f t="shared" si="113"/>
        <v/>
      </c>
      <c r="CA212" s="2841" t="str">
        <f t="shared" si="137"/>
        <v/>
      </c>
      <c r="CB212" s="2841" t="str">
        <f t="shared" si="140"/>
        <v/>
      </c>
      <c r="CC212" s="3175"/>
      <c r="CD212" s="3175"/>
      <c r="CE212" s="2841" t="str">
        <f t="shared" si="141"/>
        <v/>
      </c>
      <c r="CF212" s="2841" t="str">
        <f t="shared" si="142"/>
        <v/>
      </c>
      <c r="CG212" s="2841" t="str">
        <f t="shared" si="143"/>
        <v/>
      </c>
      <c r="CH212" s="2841" t="str">
        <f t="shared" si="144"/>
        <v/>
      </c>
      <c r="CO212" s="2842">
        <f t="shared" si="134"/>
        <v>0</v>
      </c>
      <c r="CP212" s="2842">
        <f t="shared" si="135"/>
        <v>0</v>
      </c>
      <c r="CQ212" s="3175"/>
      <c r="CR212" s="3175"/>
      <c r="CS212" s="2842">
        <f t="shared" si="126"/>
        <v>0</v>
      </c>
      <c r="CT212" s="2842">
        <f t="shared" ref="CT212:CT224" si="162">IF(AND($D212&gt;0,AV212=""),1,IF(AV212&gt;$D212,1,0))</f>
        <v>0</v>
      </c>
      <c r="CU212" s="2842">
        <f t="shared" si="158"/>
        <v>0</v>
      </c>
      <c r="CV212" s="2842">
        <f t="shared" si="159"/>
        <v>0</v>
      </c>
    </row>
    <row r="213" spans="1:100" ht="15" customHeight="1">
      <c r="A213" s="6128"/>
      <c r="B213" s="6128" t="s">
        <v>1834</v>
      </c>
      <c r="C213" s="407" t="s">
        <v>1835</v>
      </c>
      <c r="D213" s="3177">
        <f t="shared" si="156"/>
        <v>0</v>
      </c>
      <c r="E213" s="3185">
        <f t="shared" si="161"/>
        <v>0</v>
      </c>
      <c r="F213" s="3174">
        <f t="shared" si="161"/>
        <v>0</v>
      </c>
      <c r="G213" s="1833"/>
      <c r="H213" s="2205"/>
      <c r="I213" s="1833"/>
      <c r="J213" s="2205"/>
      <c r="K213" s="1833"/>
      <c r="L213" s="2205"/>
      <c r="M213" s="1833"/>
      <c r="N213" s="2205"/>
      <c r="O213" s="1833"/>
      <c r="P213" s="2205"/>
      <c r="Q213" s="1833"/>
      <c r="R213" s="2205"/>
      <c r="S213" s="1833"/>
      <c r="T213" s="2205"/>
      <c r="U213" s="1833"/>
      <c r="V213" s="2205"/>
      <c r="W213" s="1833"/>
      <c r="X213" s="2205"/>
      <c r="Y213" s="1833"/>
      <c r="Z213" s="2205"/>
      <c r="AA213" s="1833"/>
      <c r="AB213" s="2205"/>
      <c r="AC213" s="1833"/>
      <c r="AD213" s="2327"/>
      <c r="AE213" s="2327"/>
      <c r="AF213" s="2327"/>
      <c r="AG213" s="2327"/>
      <c r="AH213" s="2327"/>
      <c r="AI213" s="2327"/>
      <c r="AJ213" s="2205"/>
      <c r="AK213" s="1440"/>
      <c r="AL213" s="1452"/>
      <c r="AM213" s="1763"/>
      <c r="AN213" s="2327"/>
      <c r="AO213" s="2327"/>
      <c r="AP213" s="2205"/>
      <c r="AQ213" s="1445"/>
      <c r="AR213" s="1446"/>
      <c r="AS213" s="3183"/>
      <c r="AT213" s="3184"/>
      <c r="AU213" s="1446"/>
      <c r="AV213" s="1447"/>
      <c r="AW213" s="1446"/>
      <c r="AX213" s="1452"/>
      <c r="AY213" t="str">
        <f t="shared" si="113"/>
        <v/>
      </c>
      <c r="CA213" s="2841" t="str">
        <f t="shared" si="137"/>
        <v/>
      </c>
      <c r="CB213" s="2841" t="str">
        <f t="shared" si="140"/>
        <v/>
      </c>
      <c r="CC213" s="3175"/>
      <c r="CD213" s="3175"/>
      <c r="CE213" s="2841" t="str">
        <f t="shared" si="141"/>
        <v/>
      </c>
      <c r="CF213" s="2841" t="str">
        <f t="shared" si="142"/>
        <v/>
      </c>
      <c r="CG213" s="2841" t="str">
        <f t="shared" si="143"/>
        <v/>
      </c>
      <c r="CH213" s="2841" t="str">
        <f t="shared" si="144"/>
        <v/>
      </c>
      <c r="CO213" s="2842">
        <f t="shared" si="134"/>
        <v>0</v>
      </c>
      <c r="CP213" s="2842">
        <f t="shared" si="135"/>
        <v>0</v>
      </c>
      <c r="CQ213" s="3175"/>
      <c r="CR213" s="3175"/>
      <c r="CS213" s="2842">
        <f t="shared" si="126"/>
        <v>0</v>
      </c>
      <c r="CT213" s="2842">
        <f t="shared" si="162"/>
        <v>0</v>
      </c>
      <c r="CU213" s="2842">
        <f t="shared" si="158"/>
        <v>0</v>
      </c>
      <c r="CV213" s="2842">
        <f t="shared" si="159"/>
        <v>0</v>
      </c>
    </row>
    <row r="214" spans="1:100" ht="15" customHeight="1">
      <c r="A214" s="6128"/>
      <c r="B214" s="6128"/>
      <c r="C214" s="427" t="s">
        <v>1844</v>
      </c>
      <c r="D214" s="3171">
        <f t="shared" si="156"/>
        <v>0</v>
      </c>
      <c r="E214" s="3172">
        <f t="shared" si="161"/>
        <v>0</v>
      </c>
      <c r="F214" s="3173">
        <f t="shared" si="161"/>
        <v>0</v>
      </c>
      <c r="G214" s="1833"/>
      <c r="H214" s="2205"/>
      <c r="I214" s="1833"/>
      <c r="J214" s="2205"/>
      <c r="K214" s="1833"/>
      <c r="L214" s="2205"/>
      <c r="M214" s="1833"/>
      <c r="N214" s="2205"/>
      <c r="O214" s="1833"/>
      <c r="P214" s="2205"/>
      <c r="Q214" s="1833"/>
      <c r="R214" s="2205"/>
      <c r="S214" s="1833"/>
      <c r="T214" s="2205"/>
      <c r="U214" s="1833"/>
      <c r="V214" s="2205"/>
      <c r="W214" s="1833"/>
      <c r="X214" s="2205"/>
      <c r="Y214" s="1833"/>
      <c r="Z214" s="2205"/>
      <c r="AA214" s="1833"/>
      <c r="AB214" s="2205"/>
      <c r="AC214" s="1833"/>
      <c r="AD214" s="2327"/>
      <c r="AE214" s="2327"/>
      <c r="AF214" s="2327"/>
      <c r="AG214" s="2327"/>
      <c r="AH214" s="2327"/>
      <c r="AI214" s="2327"/>
      <c r="AJ214" s="2205"/>
      <c r="AK214" s="1440"/>
      <c r="AL214" s="1452"/>
      <c r="AM214" s="1763"/>
      <c r="AN214" s="2327"/>
      <c r="AO214" s="2327"/>
      <c r="AP214" s="2205"/>
      <c r="AQ214" s="1445"/>
      <c r="AR214" s="1446"/>
      <c r="AS214" s="3183"/>
      <c r="AT214" s="3184"/>
      <c r="AU214" s="1446"/>
      <c r="AV214" s="3107"/>
      <c r="AW214" s="1446"/>
      <c r="AX214" s="1452"/>
      <c r="AY214" t="str">
        <f t="shared" si="113"/>
        <v/>
      </c>
      <c r="CA214" s="2841" t="str">
        <f t="shared" si="137"/>
        <v/>
      </c>
      <c r="CB214" s="2841" t="str">
        <f t="shared" si="140"/>
        <v/>
      </c>
      <c r="CC214" s="3175"/>
      <c r="CD214" s="3175"/>
      <c r="CE214" s="2841" t="str">
        <f t="shared" si="141"/>
        <v/>
      </c>
      <c r="CF214" s="3175"/>
      <c r="CG214" s="2841" t="str">
        <f t="shared" si="143"/>
        <v/>
      </c>
      <c r="CH214" s="2841" t="str">
        <f t="shared" si="144"/>
        <v/>
      </c>
      <c r="CO214" s="2842">
        <f t="shared" si="134"/>
        <v>0</v>
      </c>
      <c r="CP214" s="2842">
        <f t="shared" si="135"/>
        <v>0</v>
      </c>
      <c r="CQ214" s="3175"/>
      <c r="CR214" s="3175"/>
      <c r="CS214" s="2842">
        <f t="shared" si="126"/>
        <v>0</v>
      </c>
      <c r="CT214" s="3175"/>
      <c r="CU214" s="2842">
        <f t="shared" si="158"/>
        <v>0</v>
      </c>
      <c r="CV214" s="2842">
        <f t="shared" si="159"/>
        <v>0</v>
      </c>
    </row>
    <row r="215" spans="1:100" ht="15" customHeight="1">
      <c r="A215" s="6128"/>
      <c r="B215" s="6127" t="s">
        <v>1711</v>
      </c>
      <c r="C215" s="446" t="s">
        <v>1835</v>
      </c>
      <c r="D215" s="3177">
        <f t="shared" si="156"/>
        <v>0</v>
      </c>
      <c r="E215" s="3145">
        <f t="shared" si="161"/>
        <v>0</v>
      </c>
      <c r="F215" s="3174">
        <f t="shared" si="161"/>
        <v>0</v>
      </c>
      <c r="G215" s="1833"/>
      <c r="H215" s="2205"/>
      <c r="I215" s="1833"/>
      <c r="J215" s="2205"/>
      <c r="K215" s="1833"/>
      <c r="L215" s="2205"/>
      <c r="M215" s="1833"/>
      <c r="N215" s="2205"/>
      <c r="O215" s="1833"/>
      <c r="P215" s="2205"/>
      <c r="Q215" s="1833"/>
      <c r="R215" s="2205"/>
      <c r="S215" s="1833"/>
      <c r="T215" s="2205"/>
      <c r="U215" s="1833"/>
      <c r="V215" s="2205"/>
      <c r="W215" s="1833"/>
      <c r="X215" s="2205"/>
      <c r="Y215" s="1833"/>
      <c r="Z215" s="2205"/>
      <c r="AA215" s="1833"/>
      <c r="AB215" s="2205"/>
      <c r="AC215" s="1833"/>
      <c r="AD215" s="2327"/>
      <c r="AE215" s="2327"/>
      <c r="AF215" s="2327"/>
      <c r="AG215" s="2327"/>
      <c r="AH215" s="2327"/>
      <c r="AI215" s="2327"/>
      <c r="AJ215" s="2205"/>
      <c r="AK215" s="1480"/>
      <c r="AL215" s="1545"/>
      <c r="AM215" s="1763"/>
      <c r="AN215" s="2327"/>
      <c r="AO215" s="2327"/>
      <c r="AP215" s="2205"/>
      <c r="AQ215" s="1544"/>
      <c r="AR215" s="1483"/>
      <c r="AS215" s="3183"/>
      <c r="AT215" s="3184"/>
      <c r="AU215" s="1483"/>
      <c r="AV215" s="1482"/>
      <c r="AW215" s="1483"/>
      <c r="AX215" s="1545"/>
      <c r="AY215" t="str">
        <f t="shared" si="113"/>
        <v/>
      </c>
      <c r="CA215" s="2841" t="str">
        <f t="shared" si="137"/>
        <v/>
      </c>
      <c r="CB215" s="2841" t="str">
        <f t="shared" si="140"/>
        <v/>
      </c>
      <c r="CC215" s="3175"/>
      <c r="CD215" s="3175"/>
      <c r="CE215" s="2841" t="str">
        <f t="shared" si="141"/>
        <v/>
      </c>
      <c r="CF215" s="2841" t="str">
        <f t="shared" si="142"/>
        <v/>
      </c>
      <c r="CG215" s="2841" t="str">
        <f t="shared" si="143"/>
        <v/>
      </c>
      <c r="CH215" s="2841" t="str">
        <f t="shared" si="144"/>
        <v/>
      </c>
      <c r="CO215" s="2842">
        <f t="shared" si="134"/>
        <v>0</v>
      </c>
      <c r="CP215" s="2842">
        <f t="shared" si="135"/>
        <v>0</v>
      </c>
      <c r="CQ215" s="3175"/>
      <c r="CR215" s="3175"/>
      <c r="CS215" s="2842">
        <f t="shared" si="126"/>
        <v>0</v>
      </c>
      <c r="CT215" s="2842">
        <f t="shared" si="162"/>
        <v>0</v>
      </c>
      <c r="CU215" s="2842">
        <f t="shared" si="158"/>
        <v>0</v>
      </c>
      <c r="CV215" s="2842">
        <f t="shared" si="159"/>
        <v>0</v>
      </c>
    </row>
    <row r="216" spans="1:100" ht="15" customHeight="1">
      <c r="A216" s="6129"/>
      <c r="B216" s="6129"/>
      <c r="C216" s="444" t="s">
        <v>1845</v>
      </c>
      <c r="D216" s="3171">
        <f t="shared" si="156"/>
        <v>0</v>
      </c>
      <c r="E216" s="3145">
        <f t="shared" si="161"/>
        <v>0</v>
      </c>
      <c r="F216" s="3174">
        <f t="shared" si="161"/>
        <v>0</v>
      </c>
      <c r="G216" s="1833"/>
      <c r="H216" s="2205"/>
      <c r="I216" s="1833"/>
      <c r="J216" s="2205"/>
      <c r="K216" s="1833"/>
      <c r="L216" s="2205"/>
      <c r="M216" s="1833"/>
      <c r="N216" s="2205"/>
      <c r="O216" s="1833"/>
      <c r="P216" s="2205"/>
      <c r="Q216" s="1833"/>
      <c r="R216" s="2205"/>
      <c r="S216" s="1833"/>
      <c r="T216" s="2205"/>
      <c r="U216" s="1833"/>
      <c r="V216" s="2205"/>
      <c r="W216" s="1833"/>
      <c r="X216" s="2205"/>
      <c r="Y216" s="3126"/>
      <c r="Z216" s="2202"/>
      <c r="AA216" s="3126"/>
      <c r="AB216" s="2202"/>
      <c r="AC216" s="3126"/>
      <c r="AD216" s="2367"/>
      <c r="AE216" s="2367"/>
      <c r="AF216" s="2367"/>
      <c r="AG216" s="2367"/>
      <c r="AH216" s="2367"/>
      <c r="AI216" s="2367"/>
      <c r="AJ216" s="2202"/>
      <c r="AK216" s="1528"/>
      <c r="AL216" s="1534"/>
      <c r="AM216" s="1765"/>
      <c r="AN216" s="2367"/>
      <c r="AO216" s="2367"/>
      <c r="AP216" s="2202"/>
      <c r="AQ216" s="1532"/>
      <c r="AR216" s="1533"/>
      <c r="AS216" s="1970"/>
      <c r="AT216" s="3186"/>
      <c r="AU216" s="1533"/>
      <c r="AV216" s="3156"/>
      <c r="AW216" s="1461"/>
      <c r="AX216" s="1467"/>
      <c r="AY216" t="str">
        <f t="shared" si="113"/>
        <v/>
      </c>
      <c r="CA216" s="2841" t="str">
        <f t="shared" si="137"/>
        <v/>
      </c>
      <c r="CB216" s="2841" t="str">
        <f t="shared" si="140"/>
        <v/>
      </c>
      <c r="CC216" s="3175"/>
      <c r="CD216" s="3175"/>
      <c r="CE216" s="2841" t="str">
        <f t="shared" si="141"/>
        <v/>
      </c>
      <c r="CF216" s="3175"/>
      <c r="CG216" s="2841" t="str">
        <f t="shared" si="143"/>
        <v/>
      </c>
      <c r="CH216" s="2841" t="str">
        <f t="shared" si="144"/>
        <v/>
      </c>
      <c r="CO216" s="2842">
        <f t="shared" si="134"/>
        <v>0</v>
      </c>
      <c r="CP216" s="2842">
        <f t="shared" si="135"/>
        <v>0</v>
      </c>
      <c r="CQ216" s="3175"/>
      <c r="CR216" s="3175"/>
      <c r="CS216" s="2842">
        <f t="shared" si="126"/>
        <v>0</v>
      </c>
      <c r="CT216" s="3175"/>
      <c r="CU216" s="2842">
        <f t="shared" si="158"/>
        <v>0</v>
      </c>
      <c r="CV216" s="2842">
        <f t="shared" si="159"/>
        <v>0</v>
      </c>
    </row>
    <row r="217" spans="1:100" ht="15" customHeight="1">
      <c r="A217" s="6644" t="s">
        <v>1846</v>
      </c>
      <c r="B217" s="6127" t="s">
        <v>1847</v>
      </c>
      <c r="C217" s="1862" t="s">
        <v>1848</v>
      </c>
      <c r="D217" s="3177">
        <f t="shared" si="156"/>
        <v>0</v>
      </c>
      <c r="E217" s="3185">
        <f t="shared" ref="E217:F219" si="163">SUM(Y217+AA217+AC217+AE217+AG217+AI217+AK217+AM217+AO217)</f>
        <v>0</v>
      </c>
      <c r="F217" s="3187">
        <f t="shared" si="163"/>
        <v>0</v>
      </c>
      <c r="G217" s="1560"/>
      <c r="H217" s="3023"/>
      <c r="I217" s="1560"/>
      <c r="J217" s="3023"/>
      <c r="K217" s="1560"/>
      <c r="L217" s="3023"/>
      <c r="M217" s="1560"/>
      <c r="N217" s="3023"/>
      <c r="O217" s="1560"/>
      <c r="P217" s="3023"/>
      <c r="Q217" s="1560"/>
      <c r="R217" s="3023"/>
      <c r="S217" s="1560"/>
      <c r="T217" s="3023"/>
      <c r="U217" s="1560"/>
      <c r="V217" s="3023"/>
      <c r="W217" s="1560"/>
      <c r="X217" s="3023"/>
      <c r="Y217" s="1796"/>
      <c r="Z217" s="1769"/>
      <c r="AA217" s="1796"/>
      <c r="AB217" s="1769"/>
      <c r="AC217" s="1796"/>
      <c r="AD217" s="1545"/>
      <c r="AE217" s="1480"/>
      <c r="AF217" s="1545"/>
      <c r="AG217" s="1480"/>
      <c r="AH217" s="1545"/>
      <c r="AI217" s="1480"/>
      <c r="AJ217" s="1545"/>
      <c r="AK217" s="1480"/>
      <c r="AL217" s="1545"/>
      <c r="AM217" s="1480"/>
      <c r="AN217" s="1545"/>
      <c r="AO217" s="1480"/>
      <c r="AP217" s="1545"/>
      <c r="AQ217" s="1544"/>
      <c r="AR217" s="1483"/>
      <c r="AS217" s="1482"/>
      <c r="AT217" s="1483"/>
      <c r="AU217" s="1483"/>
      <c r="AV217" s="1482"/>
      <c r="AW217" s="1483"/>
      <c r="AX217" s="1545"/>
      <c r="AY217" t="str">
        <f t="shared" si="113"/>
        <v/>
      </c>
      <c r="CA217" s="2841" t="str">
        <f t="shared" si="137"/>
        <v/>
      </c>
      <c r="CB217" s="2841" t="str">
        <f t="shared" si="140"/>
        <v/>
      </c>
      <c r="CC217" s="2841" t="str">
        <f t="shared" si="138"/>
        <v/>
      </c>
      <c r="CD217" s="2841" t="str">
        <f t="shared" si="133"/>
        <v/>
      </c>
      <c r="CE217" s="2841" t="str">
        <f t="shared" si="141"/>
        <v/>
      </c>
      <c r="CF217" s="2841" t="str">
        <f t="shared" si="142"/>
        <v/>
      </c>
      <c r="CG217" s="2841" t="str">
        <f t="shared" si="143"/>
        <v/>
      </c>
      <c r="CH217" s="2841" t="str">
        <f t="shared" si="144"/>
        <v/>
      </c>
      <c r="CO217" s="2842">
        <f t="shared" si="134"/>
        <v>0</v>
      </c>
      <c r="CP217" s="2842">
        <f t="shared" si="135"/>
        <v>0</v>
      </c>
      <c r="CQ217" s="2842">
        <f t="shared" si="145"/>
        <v>0</v>
      </c>
      <c r="CR217" s="2842">
        <f t="shared" si="146"/>
        <v>0</v>
      </c>
      <c r="CS217" s="2842">
        <f t="shared" si="126"/>
        <v>0</v>
      </c>
      <c r="CT217" s="2842">
        <f t="shared" si="162"/>
        <v>0</v>
      </c>
      <c r="CU217" s="2842">
        <f t="shared" si="158"/>
        <v>0</v>
      </c>
      <c r="CV217" s="2842">
        <f t="shared" si="159"/>
        <v>0</v>
      </c>
    </row>
    <row r="218" spans="1:100" ht="22.5">
      <c r="A218" s="6645"/>
      <c r="B218" s="6128"/>
      <c r="C218" s="1694" t="s">
        <v>1849</v>
      </c>
      <c r="D218" s="3188">
        <f t="shared" si="156"/>
        <v>0</v>
      </c>
      <c r="E218" s="3189">
        <f t="shared" si="163"/>
        <v>0</v>
      </c>
      <c r="F218" s="3100">
        <f t="shared" si="163"/>
        <v>0</v>
      </c>
      <c r="G218" s="1560"/>
      <c r="H218" s="3023"/>
      <c r="I218" s="1560"/>
      <c r="J218" s="3023"/>
      <c r="K218" s="1560"/>
      <c r="L218" s="3023"/>
      <c r="M218" s="1560"/>
      <c r="N218" s="3023"/>
      <c r="O218" s="1560"/>
      <c r="P218" s="3023"/>
      <c r="Q218" s="1560"/>
      <c r="R218" s="3023"/>
      <c r="S218" s="1560"/>
      <c r="T218" s="3023"/>
      <c r="U218" s="1560"/>
      <c r="V218" s="3023"/>
      <c r="W218" s="1560"/>
      <c r="X218" s="3023"/>
      <c r="Y218" s="1881"/>
      <c r="Z218" s="1821"/>
      <c r="AA218" s="1881"/>
      <c r="AB218" s="1821"/>
      <c r="AC218" s="1881"/>
      <c r="AD218" s="1523"/>
      <c r="AE218" s="1517"/>
      <c r="AF218" s="1523"/>
      <c r="AG218" s="1517"/>
      <c r="AH218" s="1523"/>
      <c r="AI218" s="1517"/>
      <c r="AJ218" s="1523"/>
      <c r="AK218" s="1517"/>
      <c r="AL218" s="1523"/>
      <c r="AM218" s="1517"/>
      <c r="AN218" s="1523"/>
      <c r="AO218" s="1517"/>
      <c r="AP218" s="1523"/>
      <c r="AQ218" s="1521"/>
      <c r="AR218" s="1522"/>
      <c r="AS218" s="1770"/>
      <c r="AT218" s="1522"/>
      <c r="AU218" s="1522"/>
      <c r="AV218" s="1770"/>
      <c r="AW218" s="1522"/>
      <c r="AX218" s="1523"/>
      <c r="AY218" t="str">
        <f t="shared" si="113"/>
        <v/>
      </c>
      <c r="CA218" s="2841" t="str">
        <f t="shared" si="137"/>
        <v/>
      </c>
      <c r="CB218" s="2841" t="str">
        <f t="shared" si="140"/>
        <v/>
      </c>
      <c r="CC218" s="2841" t="str">
        <f t="shared" si="138"/>
        <v/>
      </c>
      <c r="CD218" s="2841" t="str">
        <f t="shared" si="133"/>
        <v/>
      </c>
      <c r="CE218" s="2841" t="str">
        <f t="shared" si="141"/>
        <v/>
      </c>
      <c r="CF218" s="2841" t="str">
        <f t="shared" si="142"/>
        <v/>
      </c>
      <c r="CG218" s="2841" t="str">
        <f t="shared" si="143"/>
        <v/>
      </c>
      <c r="CH218" s="2841" t="str">
        <f t="shared" si="144"/>
        <v/>
      </c>
      <c r="CO218" s="2842">
        <f t="shared" si="134"/>
        <v>0</v>
      </c>
      <c r="CP218" s="2842">
        <f t="shared" si="135"/>
        <v>0</v>
      </c>
      <c r="CQ218" s="2842">
        <f t="shared" si="145"/>
        <v>0</v>
      </c>
      <c r="CR218" s="2842">
        <f t="shared" si="146"/>
        <v>0</v>
      </c>
      <c r="CS218" s="2842">
        <f t="shared" si="126"/>
        <v>0</v>
      </c>
      <c r="CT218" s="2842">
        <f t="shared" si="162"/>
        <v>0</v>
      </c>
      <c r="CU218" s="2842">
        <f t="shared" si="158"/>
        <v>0</v>
      </c>
      <c r="CV218" s="2842">
        <f t="shared" si="159"/>
        <v>0</v>
      </c>
    </row>
    <row r="219" spans="1:100" ht="22.5">
      <c r="A219" s="6646"/>
      <c r="B219" s="6129"/>
      <c r="C219" s="1883" t="s">
        <v>1850</v>
      </c>
      <c r="D219" s="3171">
        <f t="shared" si="156"/>
        <v>0</v>
      </c>
      <c r="E219" s="3172">
        <f t="shared" si="163"/>
        <v>0</v>
      </c>
      <c r="F219" s="3190">
        <f t="shared" si="163"/>
        <v>0</v>
      </c>
      <c r="G219" s="1560"/>
      <c r="H219" s="3023"/>
      <c r="I219" s="1560"/>
      <c r="J219" s="3023"/>
      <c r="K219" s="1560"/>
      <c r="L219" s="3023"/>
      <c r="M219" s="1560"/>
      <c r="N219" s="3023"/>
      <c r="O219" s="1560"/>
      <c r="P219" s="3023"/>
      <c r="Q219" s="1560"/>
      <c r="R219" s="3023"/>
      <c r="S219" s="1560"/>
      <c r="T219" s="3023"/>
      <c r="U219" s="1560"/>
      <c r="V219" s="3023"/>
      <c r="W219" s="1560"/>
      <c r="X219" s="3023"/>
      <c r="Y219" s="1456"/>
      <c r="Z219" s="1684"/>
      <c r="AA219" s="1456"/>
      <c r="AB219" s="1684"/>
      <c r="AC219" s="1456"/>
      <c r="AD219" s="1467"/>
      <c r="AE219" s="1455"/>
      <c r="AF219" s="1467"/>
      <c r="AG219" s="1455"/>
      <c r="AH219" s="1467"/>
      <c r="AI219" s="1455"/>
      <c r="AJ219" s="1467"/>
      <c r="AK219" s="1455"/>
      <c r="AL219" s="1467"/>
      <c r="AM219" s="1455"/>
      <c r="AN219" s="1467"/>
      <c r="AO219" s="1455"/>
      <c r="AP219" s="1467"/>
      <c r="AQ219" s="1460"/>
      <c r="AR219" s="1461"/>
      <c r="AS219" s="1490"/>
      <c r="AT219" s="1461"/>
      <c r="AU219" s="1461"/>
      <c r="AV219" s="1490"/>
      <c r="AW219" s="1461"/>
      <c r="AX219" s="1467"/>
      <c r="AY219" t="str">
        <f t="shared" si="113"/>
        <v/>
      </c>
      <c r="CA219" s="2841" t="str">
        <f t="shared" si="137"/>
        <v/>
      </c>
      <c r="CB219" s="2841" t="str">
        <f t="shared" si="140"/>
        <v/>
      </c>
      <c r="CC219" s="2841" t="str">
        <f t="shared" si="138"/>
        <v/>
      </c>
      <c r="CD219" s="2841" t="str">
        <f t="shared" si="133"/>
        <v/>
      </c>
      <c r="CE219" s="2841" t="str">
        <f t="shared" si="141"/>
        <v/>
      </c>
      <c r="CF219" s="2841" t="str">
        <f t="shared" si="142"/>
        <v/>
      </c>
      <c r="CG219" s="2841" t="str">
        <f t="shared" si="143"/>
        <v/>
      </c>
      <c r="CH219" s="2841" t="str">
        <f t="shared" si="144"/>
        <v/>
      </c>
      <c r="CO219" s="2842">
        <f t="shared" si="134"/>
        <v>0</v>
      </c>
      <c r="CP219" s="2842">
        <f t="shared" si="135"/>
        <v>0</v>
      </c>
      <c r="CQ219" s="2842">
        <f t="shared" si="145"/>
        <v>0</v>
      </c>
      <c r="CR219" s="2842">
        <f t="shared" si="146"/>
        <v>0</v>
      </c>
      <c r="CS219" s="2842">
        <f t="shared" si="126"/>
        <v>0</v>
      </c>
      <c r="CT219" s="2842">
        <f t="shared" si="162"/>
        <v>0</v>
      </c>
      <c r="CU219" s="2842">
        <f t="shared" si="158"/>
        <v>0</v>
      </c>
      <c r="CV219" s="2842">
        <f t="shared" si="159"/>
        <v>0</v>
      </c>
    </row>
    <row r="220" spans="1:100" ht="35.25" customHeight="1">
      <c r="A220" s="6645" t="s">
        <v>1851</v>
      </c>
      <c r="B220" s="6127" t="s">
        <v>1852</v>
      </c>
      <c r="C220" s="2056" t="s">
        <v>1853</v>
      </c>
      <c r="D220" s="3095">
        <f t="shared" si="156"/>
        <v>0</v>
      </c>
      <c r="E220" s="3145">
        <f t="shared" ref="E220:E221" si="164">SUM(AC220+AE220+AG220+AI220+AK220+AM220+AO220)</f>
        <v>0</v>
      </c>
      <c r="F220" s="3097">
        <f t="shared" ref="F220:F221" si="165">SUM(AD220+AF220+AH220+AJ220+AL220+AN220+AP220)</f>
        <v>0</v>
      </c>
      <c r="G220" s="1833"/>
      <c r="H220" s="2205"/>
      <c r="I220" s="1833"/>
      <c r="J220" s="2205"/>
      <c r="K220" s="1833"/>
      <c r="L220" s="2205"/>
      <c r="M220" s="1833"/>
      <c r="N220" s="2205"/>
      <c r="O220" s="1833"/>
      <c r="P220" s="2205"/>
      <c r="Q220" s="1833"/>
      <c r="R220" s="2205"/>
      <c r="S220" s="1833"/>
      <c r="T220" s="2205"/>
      <c r="U220" s="1833"/>
      <c r="V220" s="2205"/>
      <c r="W220" s="1833"/>
      <c r="X220" s="2205"/>
      <c r="Y220" s="3181"/>
      <c r="Z220" s="2200"/>
      <c r="AA220" s="3181"/>
      <c r="AB220" s="2200"/>
      <c r="AC220" s="1425"/>
      <c r="AD220" s="1436"/>
      <c r="AE220" s="1424"/>
      <c r="AF220" s="1436"/>
      <c r="AG220" s="1424"/>
      <c r="AH220" s="1436"/>
      <c r="AI220" s="1424"/>
      <c r="AJ220" s="1436"/>
      <c r="AK220" s="1424"/>
      <c r="AL220" s="1436"/>
      <c r="AM220" s="1424"/>
      <c r="AN220" s="1436"/>
      <c r="AO220" s="1424"/>
      <c r="AP220" s="1652"/>
      <c r="AQ220" s="1429"/>
      <c r="AR220" s="1430"/>
      <c r="AS220" s="1652"/>
      <c r="AT220" s="1430"/>
      <c r="AU220" s="1430"/>
      <c r="AV220" s="3191"/>
      <c r="AW220" s="1430"/>
      <c r="AX220" s="1436"/>
      <c r="AY220" t="str">
        <f t="shared" si="113"/>
        <v/>
      </c>
      <c r="CA220" s="2841" t="str">
        <f t="shared" si="137"/>
        <v/>
      </c>
      <c r="CB220" s="2841" t="str">
        <f t="shared" si="140"/>
        <v/>
      </c>
      <c r="CC220" s="2841" t="str">
        <f t="shared" si="138"/>
        <v/>
      </c>
      <c r="CD220" s="2841" t="str">
        <f t="shared" si="133"/>
        <v/>
      </c>
      <c r="CE220" s="2841" t="str">
        <f t="shared" si="141"/>
        <v/>
      </c>
      <c r="CF220" s="3175"/>
      <c r="CG220" s="2841" t="str">
        <f t="shared" si="143"/>
        <v/>
      </c>
      <c r="CH220" s="2841" t="str">
        <f t="shared" si="144"/>
        <v/>
      </c>
      <c r="CO220" s="2842">
        <f t="shared" si="134"/>
        <v>0</v>
      </c>
      <c r="CP220" s="2842">
        <f t="shared" si="135"/>
        <v>0</v>
      </c>
      <c r="CQ220" s="2842">
        <f t="shared" si="145"/>
        <v>0</v>
      </c>
      <c r="CR220" s="2842">
        <f t="shared" si="146"/>
        <v>0</v>
      </c>
      <c r="CS220" s="2842">
        <f t="shared" si="126"/>
        <v>0</v>
      </c>
      <c r="CT220" s="3175"/>
      <c r="CU220" s="2842">
        <f t="shared" si="158"/>
        <v>0</v>
      </c>
      <c r="CV220" s="2842">
        <f t="shared" si="159"/>
        <v>0</v>
      </c>
    </row>
    <row r="221" spans="1:100" ht="28.5" customHeight="1">
      <c r="A221" s="6646"/>
      <c r="B221" s="6129"/>
      <c r="C221" s="2303" t="s">
        <v>1854</v>
      </c>
      <c r="D221" s="3171">
        <f t="shared" si="156"/>
        <v>0</v>
      </c>
      <c r="E221" s="3172">
        <f t="shared" si="164"/>
        <v>0</v>
      </c>
      <c r="F221" s="3190">
        <f t="shared" si="165"/>
        <v>0</v>
      </c>
      <c r="G221" s="3126"/>
      <c r="H221" s="2202"/>
      <c r="I221" s="3126"/>
      <c r="J221" s="2202"/>
      <c r="K221" s="3126"/>
      <c r="L221" s="2202"/>
      <c r="M221" s="3126"/>
      <c r="N221" s="2202"/>
      <c r="O221" s="3126"/>
      <c r="P221" s="2202"/>
      <c r="Q221" s="3126"/>
      <c r="R221" s="2202"/>
      <c r="S221" s="3126"/>
      <c r="T221" s="2202"/>
      <c r="U221" s="3126"/>
      <c r="V221" s="2202"/>
      <c r="W221" s="3126"/>
      <c r="X221" s="2202"/>
      <c r="Y221" s="3126"/>
      <c r="Z221" s="2202"/>
      <c r="AA221" s="3126"/>
      <c r="AB221" s="2202"/>
      <c r="AC221" s="1456"/>
      <c r="AD221" s="1467"/>
      <c r="AE221" s="1455"/>
      <c r="AF221" s="1467"/>
      <c r="AG221" s="1455"/>
      <c r="AH221" s="1467"/>
      <c r="AI221" s="1455"/>
      <c r="AJ221" s="1467"/>
      <c r="AK221" s="1455"/>
      <c r="AL221" s="1467"/>
      <c r="AM221" s="1455"/>
      <c r="AN221" s="1467"/>
      <c r="AO221" s="1455"/>
      <c r="AP221" s="1490"/>
      <c r="AQ221" s="1460"/>
      <c r="AR221" s="1461"/>
      <c r="AS221" s="1490"/>
      <c r="AT221" s="1461"/>
      <c r="AU221" s="1461"/>
      <c r="AV221" s="1970"/>
      <c r="AW221" s="1461"/>
      <c r="AX221" s="1467"/>
      <c r="AY221" t="str">
        <f t="shared" si="113"/>
        <v/>
      </c>
      <c r="CA221" s="2841" t="str">
        <f t="shared" si="137"/>
        <v/>
      </c>
      <c r="CB221" s="2841" t="str">
        <f t="shared" si="140"/>
        <v/>
      </c>
      <c r="CC221" s="2841" t="str">
        <f t="shared" si="138"/>
        <v/>
      </c>
      <c r="CD221" s="2841" t="str">
        <f t="shared" si="133"/>
        <v/>
      </c>
      <c r="CE221" s="2841" t="str">
        <f t="shared" si="141"/>
        <v/>
      </c>
      <c r="CF221" s="3175"/>
      <c r="CG221" s="2841" t="str">
        <f t="shared" si="143"/>
        <v/>
      </c>
      <c r="CH221" s="2841" t="str">
        <f t="shared" si="144"/>
        <v/>
      </c>
      <c r="CO221" s="2842">
        <f t="shared" si="134"/>
        <v>0</v>
      </c>
      <c r="CP221" s="2842">
        <f t="shared" si="135"/>
        <v>0</v>
      </c>
      <c r="CQ221" s="2842">
        <f t="shared" si="145"/>
        <v>0</v>
      </c>
      <c r="CR221" s="2842">
        <f t="shared" si="146"/>
        <v>0</v>
      </c>
      <c r="CS221" s="2842">
        <f t="shared" si="126"/>
        <v>0</v>
      </c>
      <c r="CT221" s="3175"/>
      <c r="CU221" s="2842">
        <f t="shared" si="158"/>
        <v>0</v>
      </c>
      <c r="CV221" s="2842">
        <f t="shared" si="159"/>
        <v>0</v>
      </c>
    </row>
    <row r="222" spans="1:100" ht="15" customHeight="1">
      <c r="A222" s="6644" t="s">
        <v>1855</v>
      </c>
      <c r="B222" s="6650" t="s">
        <v>1856</v>
      </c>
      <c r="C222" s="2056" t="s">
        <v>1835</v>
      </c>
      <c r="D222" s="3177">
        <f t="shared" si="156"/>
        <v>0</v>
      </c>
      <c r="E222" s="3192">
        <f t="shared" ref="E222:F227" si="166">SUM(AA222+AC222+AE222+AG222+AI222+AK222+AM222+AO222)</f>
        <v>0</v>
      </c>
      <c r="F222" s="3187">
        <f t="shared" si="166"/>
        <v>0</v>
      </c>
      <c r="G222" s="1814"/>
      <c r="H222" s="2205"/>
      <c r="I222" s="1833"/>
      <c r="J222" s="2205"/>
      <c r="K222" s="1833"/>
      <c r="L222" s="2205"/>
      <c r="M222" s="1833"/>
      <c r="N222" s="2205"/>
      <c r="O222" s="1833"/>
      <c r="P222" s="2205"/>
      <c r="Q222" s="1833"/>
      <c r="R222" s="2205"/>
      <c r="S222" s="1833"/>
      <c r="T222" s="2205"/>
      <c r="U222" s="1833"/>
      <c r="V222" s="2205"/>
      <c r="W222" s="1833"/>
      <c r="X222" s="2205"/>
      <c r="Y222" s="1833"/>
      <c r="Z222" s="2200"/>
      <c r="AA222" s="1425"/>
      <c r="AB222" s="1676"/>
      <c r="AC222" s="1425"/>
      <c r="AD222" s="1436"/>
      <c r="AE222" s="1425"/>
      <c r="AF222" s="1436"/>
      <c r="AG222" s="1425"/>
      <c r="AH222" s="1436"/>
      <c r="AI222" s="1425"/>
      <c r="AJ222" s="1436"/>
      <c r="AK222" s="1425"/>
      <c r="AL222" s="1436"/>
      <c r="AM222" s="1425"/>
      <c r="AN222" s="1436"/>
      <c r="AO222" s="1424"/>
      <c r="AP222" s="1652"/>
      <c r="AQ222" s="1429"/>
      <c r="AR222" s="1430"/>
      <c r="AS222" s="1652"/>
      <c r="AT222" s="1430"/>
      <c r="AU222" s="1430"/>
      <c r="AV222" s="1652"/>
      <c r="AW222" s="1430"/>
      <c r="AX222" s="1436"/>
      <c r="AY222" t="str">
        <f t="shared" si="113"/>
        <v/>
      </c>
      <c r="CA222" s="2841" t="str">
        <f t="shared" si="137"/>
        <v/>
      </c>
      <c r="CB222" s="2841" t="str">
        <f t="shared" si="140"/>
        <v/>
      </c>
      <c r="CC222" s="2841" t="str">
        <f t="shared" si="138"/>
        <v/>
      </c>
      <c r="CD222" s="2841" t="str">
        <f t="shared" si="133"/>
        <v/>
      </c>
      <c r="CE222" s="2841" t="str">
        <f t="shared" si="141"/>
        <v/>
      </c>
      <c r="CF222" s="2841" t="str">
        <f t="shared" si="142"/>
        <v/>
      </c>
      <c r="CG222" s="2841" t="str">
        <f t="shared" si="143"/>
        <v/>
      </c>
      <c r="CH222" s="2841" t="str">
        <f t="shared" si="144"/>
        <v/>
      </c>
      <c r="CO222" s="2842">
        <f t="shared" si="134"/>
        <v>0</v>
      </c>
      <c r="CP222" s="2842">
        <f t="shared" si="135"/>
        <v>0</v>
      </c>
      <c r="CQ222" s="2842">
        <f t="shared" si="145"/>
        <v>0</v>
      </c>
      <c r="CR222" s="2842">
        <f t="shared" si="146"/>
        <v>0</v>
      </c>
      <c r="CS222" s="2842">
        <f t="shared" si="126"/>
        <v>0</v>
      </c>
      <c r="CT222" s="2842">
        <f t="shared" si="162"/>
        <v>0</v>
      </c>
      <c r="CU222" s="2842">
        <f t="shared" si="158"/>
        <v>0</v>
      </c>
      <c r="CV222" s="2842">
        <f t="shared" si="159"/>
        <v>0</v>
      </c>
    </row>
    <row r="223" spans="1:100" ht="15" customHeight="1">
      <c r="A223" s="6645"/>
      <c r="B223" s="6651"/>
      <c r="C223" s="3193" t="s">
        <v>1857</v>
      </c>
      <c r="D223" s="3194">
        <f t="shared" si="156"/>
        <v>0</v>
      </c>
      <c r="E223" s="3195">
        <f t="shared" si="166"/>
        <v>0</v>
      </c>
      <c r="F223" s="3190">
        <f t="shared" si="166"/>
        <v>0</v>
      </c>
      <c r="G223" s="1872"/>
      <c r="H223" s="3196"/>
      <c r="I223" s="3090"/>
      <c r="J223" s="3196"/>
      <c r="K223" s="3090"/>
      <c r="L223" s="3196"/>
      <c r="M223" s="3090"/>
      <c r="N223" s="3196"/>
      <c r="O223" s="3090"/>
      <c r="P223" s="3196"/>
      <c r="Q223" s="3090"/>
      <c r="R223" s="3196"/>
      <c r="S223" s="3090"/>
      <c r="T223" s="3196"/>
      <c r="U223" s="3090"/>
      <c r="V223" s="3196"/>
      <c r="W223" s="3090"/>
      <c r="X223" s="3196"/>
      <c r="Y223" s="3090"/>
      <c r="Z223" s="3196"/>
      <c r="AA223" s="1456"/>
      <c r="AB223" s="1684"/>
      <c r="AC223" s="1456"/>
      <c r="AD223" s="1467"/>
      <c r="AE223" s="1456"/>
      <c r="AF223" s="1467"/>
      <c r="AG223" s="1456"/>
      <c r="AH223" s="1467"/>
      <c r="AI223" s="1456"/>
      <c r="AJ223" s="1467"/>
      <c r="AK223" s="1456"/>
      <c r="AL223" s="1467"/>
      <c r="AM223" s="1456"/>
      <c r="AN223" s="1467"/>
      <c r="AO223" s="1455"/>
      <c r="AP223" s="1490"/>
      <c r="AQ223" s="1460"/>
      <c r="AR223" s="1461"/>
      <c r="AS223" s="1490"/>
      <c r="AT223" s="1461"/>
      <c r="AU223" s="1461"/>
      <c r="AV223" s="1970"/>
      <c r="AW223" s="1461"/>
      <c r="AX223" s="1467"/>
      <c r="AY223" t="str">
        <f t="shared" si="113"/>
        <v/>
      </c>
      <c r="CA223" s="2841" t="str">
        <f t="shared" si="137"/>
        <v/>
      </c>
      <c r="CB223" s="2841" t="str">
        <f t="shared" si="140"/>
        <v/>
      </c>
      <c r="CC223" s="2841" t="str">
        <f t="shared" si="138"/>
        <v/>
      </c>
      <c r="CD223" s="2841" t="str">
        <f t="shared" si="133"/>
        <v/>
      </c>
      <c r="CE223" s="2841" t="str">
        <f t="shared" si="141"/>
        <v/>
      </c>
      <c r="CF223" s="3175"/>
      <c r="CG223" s="2841" t="str">
        <f t="shared" si="143"/>
        <v/>
      </c>
      <c r="CH223" s="2841" t="str">
        <f t="shared" si="144"/>
        <v/>
      </c>
      <c r="CO223" s="2842">
        <f t="shared" si="134"/>
        <v>0</v>
      </c>
      <c r="CP223" s="2842">
        <f t="shared" si="135"/>
        <v>0</v>
      </c>
      <c r="CQ223" s="2842">
        <f t="shared" si="145"/>
        <v>0</v>
      </c>
      <c r="CR223" s="2842">
        <f t="shared" si="146"/>
        <v>0</v>
      </c>
      <c r="CS223" s="2842">
        <f t="shared" si="126"/>
        <v>0</v>
      </c>
      <c r="CT223" s="3175"/>
      <c r="CU223" s="2842">
        <f t="shared" si="158"/>
        <v>0</v>
      </c>
      <c r="CV223" s="2842">
        <f t="shared" si="159"/>
        <v>0</v>
      </c>
    </row>
    <row r="224" spans="1:100" ht="15" customHeight="1">
      <c r="A224" s="6645"/>
      <c r="B224" s="6127" t="s">
        <v>1858</v>
      </c>
      <c r="C224" s="2056" t="s">
        <v>1835</v>
      </c>
      <c r="D224" s="3177">
        <f t="shared" si="156"/>
        <v>0</v>
      </c>
      <c r="E224" s="3145">
        <f t="shared" si="166"/>
        <v>0</v>
      </c>
      <c r="F224" s="3097">
        <f t="shared" si="166"/>
        <v>0</v>
      </c>
      <c r="G224" s="1814"/>
      <c r="H224" s="2200"/>
      <c r="I224" s="3181"/>
      <c r="J224" s="2200"/>
      <c r="K224" s="3181"/>
      <c r="L224" s="2200"/>
      <c r="M224" s="3181"/>
      <c r="N224" s="2200"/>
      <c r="O224" s="3181"/>
      <c r="P224" s="2200"/>
      <c r="Q224" s="3181"/>
      <c r="R224" s="2200"/>
      <c r="S224" s="3181"/>
      <c r="T224" s="2200"/>
      <c r="U224" s="3181"/>
      <c r="V224" s="2200"/>
      <c r="W224" s="3181"/>
      <c r="X224" s="2200"/>
      <c r="Y224" s="3181"/>
      <c r="Z224" s="2200"/>
      <c r="AA224" s="1796"/>
      <c r="AB224" s="1769"/>
      <c r="AC224" s="1425"/>
      <c r="AD224" s="1436"/>
      <c r="AE224" s="1425"/>
      <c r="AF224" s="1436"/>
      <c r="AG224" s="1425"/>
      <c r="AH224" s="1436"/>
      <c r="AI224" s="1425"/>
      <c r="AJ224" s="1436"/>
      <c r="AK224" s="1425"/>
      <c r="AL224" s="1436"/>
      <c r="AM224" s="1425"/>
      <c r="AN224" s="1436"/>
      <c r="AO224" s="1424"/>
      <c r="AP224" s="1436"/>
      <c r="AQ224" s="1429"/>
      <c r="AR224" s="1430"/>
      <c r="AS224" s="1652"/>
      <c r="AT224" s="1430"/>
      <c r="AU224" s="1430"/>
      <c r="AV224" s="1652"/>
      <c r="AW224" s="1430"/>
      <c r="AX224" s="1436"/>
      <c r="AY224" t="str">
        <f t="shared" si="113"/>
        <v/>
      </c>
      <c r="CA224" s="2841" t="str">
        <f t="shared" si="137"/>
        <v/>
      </c>
      <c r="CB224" s="2841" t="str">
        <f t="shared" si="140"/>
        <v/>
      </c>
      <c r="CC224" s="2841" t="str">
        <f t="shared" si="138"/>
        <v/>
      </c>
      <c r="CD224" s="2841" t="str">
        <f t="shared" si="133"/>
        <v/>
      </c>
      <c r="CE224" s="2841" t="str">
        <f t="shared" si="141"/>
        <v/>
      </c>
      <c r="CF224" s="2841" t="str">
        <f t="shared" si="142"/>
        <v/>
      </c>
      <c r="CG224" s="2841" t="str">
        <f t="shared" si="143"/>
        <v/>
      </c>
      <c r="CH224" s="2841" t="str">
        <f t="shared" si="144"/>
        <v/>
      </c>
      <c r="CO224" s="2842">
        <f t="shared" si="134"/>
        <v>0</v>
      </c>
      <c r="CP224" s="2842">
        <f t="shared" si="135"/>
        <v>0</v>
      </c>
      <c r="CQ224" s="2842">
        <f t="shared" si="145"/>
        <v>0</v>
      </c>
      <c r="CR224" s="2842">
        <f t="shared" si="146"/>
        <v>0</v>
      </c>
      <c r="CS224" s="2842">
        <f t="shared" si="126"/>
        <v>0</v>
      </c>
      <c r="CT224" s="2842">
        <f t="shared" si="162"/>
        <v>0</v>
      </c>
      <c r="CU224" s="2842">
        <f t="shared" si="158"/>
        <v>0</v>
      </c>
      <c r="CV224" s="2842">
        <f t="shared" si="159"/>
        <v>0</v>
      </c>
    </row>
    <row r="225" spans="1:100" ht="15" customHeight="1">
      <c r="A225" s="6645"/>
      <c r="B225" s="6128"/>
      <c r="C225" s="3197" t="s">
        <v>1839</v>
      </c>
      <c r="D225" s="3095">
        <f t="shared" si="156"/>
        <v>0</v>
      </c>
      <c r="E225" s="3145">
        <f t="shared" si="166"/>
        <v>0</v>
      </c>
      <c r="F225" s="3100">
        <f t="shared" si="166"/>
        <v>0</v>
      </c>
      <c r="G225" s="1869"/>
      <c r="H225" s="3023"/>
      <c r="I225" s="1560"/>
      <c r="J225" s="3023"/>
      <c r="K225" s="1560"/>
      <c r="L225" s="3023"/>
      <c r="M225" s="1560"/>
      <c r="N225" s="3023"/>
      <c r="O225" s="1560"/>
      <c r="P225" s="3023"/>
      <c r="Q225" s="1560"/>
      <c r="R225" s="3023"/>
      <c r="S225" s="1560"/>
      <c r="T225" s="3023"/>
      <c r="U225" s="1560"/>
      <c r="V225" s="3023"/>
      <c r="W225" s="1560"/>
      <c r="X225" s="3023"/>
      <c r="Y225" s="1560"/>
      <c r="Z225" s="3023"/>
      <c r="AA225" s="1881"/>
      <c r="AB225" s="1821"/>
      <c r="AC225" s="1881"/>
      <c r="AD225" s="1523"/>
      <c r="AE225" s="1881"/>
      <c r="AF225" s="1523"/>
      <c r="AG225" s="1881"/>
      <c r="AH225" s="1523"/>
      <c r="AI225" s="1881"/>
      <c r="AJ225" s="1523"/>
      <c r="AK225" s="1881"/>
      <c r="AL225" s="1523"/>
      <c r="AM225" s="1881"/>
      <c r="AN225" s="1523"/>
      <c r="AO225" s="1517"/>
      <c r="AP225" s="1523"/>
      <c r="AQ225" s="1521"/>
      <c r="AR225" s="1522"/>
      <c r="AS225" s="1770"/>
      <c r="AT225" s="1522"/>
      <c r="AU225" s="1522"/>
      <c r="AV225" s="3183"/>
      <c r="AW225" s="1522"/>
      <c r="AX225" s="1523"/>
      <c r="AY225" t="str">
        <f t="shared" si="113"/>
        <v/>
      </c>
      <c r="CA225" s="2841" t="str">
        <f t="shared" si="137"/>
        <v/>
      </c>
      <c r="CB225" s="2841" t="str">
        <f t="shared" si="140"/>
        <v/>
      </c>
      <c r="CC225" s="2841" t="str">
        <f t="shared" si="138"/>
        <v/>
      </c>
      <c r="CD225" s="2841" t="str">
        <f t="shared" si="133"/>
        <v/>
      </c>
      <c r="CE225" s="2841" t="str">
        <f t="shared" si="141"/>
        <v/>
      </c>
      <c r="CF225" s="3175"/>
      <c r="CG225" s="2841" t="str">
        <f t="shared" si="143"/>
        <v/>
      </c>
      <c r="CH225" s="2841" t="str">
        <f t="shared" si="144"/>
        <v/>
      </c>
      <c r="CO225" s="2842">
        <f t="shared" si="134"/>
        <v>0</v>
      </c>
      <c r="CP225" s="2842">
        <f t="shared" si="135"/>
        <v>0</v>
      </c>
      <c r="CQ225" s="2842">
        <f t="shared" si="145"/>
        <v>0</v>
      </c>
      <c r="CR225" s="2842">
        <f t="shared" si="146"/>
        <v>0</v>
      </c>
      <c r="CS225" s="2842">
        <f t="shared" si="126"/>
        <v>0</v>
      </c>
      <c r="CT225" s="3175"/>
      <c r="CU225" s="2842">
        <f t="shared" si="158"/>
        <v>0</v>
      </c>
      <c r="CV225" s="2842">
        <f t="shared" si="159"/>
        <v>0</v>
      </c>
    </row>
    <row r="226" spans="1:100" ht="15" customHeight="1">
      <c r="A226" s="6646"/>
      <c r="B226" s="6129"/>
      <c r="C226" s="2303" t="s">
        <v>1859</v>
      </c>
      <c r="D226" s="3124">
        <f t="shared" si="156"/>
        <v>0</v>
      </c>
      <c r="E226" s="3198">
        <f t="shared" si="166"/>
        <v>0</v>
      </c>
      <c r="F226" s="3190">
        <f t="shared" si="166"/>
        <v>0</v>
      </c>
      <c r="G226" s="1872"/>
      <c r="H226" s="3089"/>
      <c r="I226" s="3088"/>
      <c r="J226" s="3089"/>
      <c r="K226" s="3088"/>
      <c r="L226" s="3089"/>
      <c r="M226" s="3088"/>
      <c r="N226" s="3089"/>
      <c r="O226" s="3088"/>
      <c r="P226" s="3089"/>
      <c r="Q226" s="3088"/>
      <c r="R226" s="3089"/>
      <c r="S226" s="3088"/>
      <c r="T226" s="3089"/>
      <c r="U226" s="3088"/>
      <c r="V226" s="3089"/>
      <c r="W226" s="3088"/>
      <c r="X226" s="3089"/>
      <c r="Y226" s="3088"/>
      <c r="Z226" s="3089"/>
      <c r="AA226" s="1826"/>
      <c r="AB226" s="1824"/>
      <c r="AC226" s="1826"/>
      <c r="AD226" s="1692"/>
      <c r="AE226" s="1826"/>
      <c r="AF226" s="1692"/>
      <c r="AG226" s="1826"/>
      <c r="AH226" s="1692"/>
      <c r="AI226" s="1456"/>
      <c r="AJ226" s="1467"/>
      <c r="AK226" s="1456"/>
      <c r="AL226" s="1467"/>
      <c r="AM226" s="1456"/>
      <c r="AN226" s="1467"/>
      <c r="AO226" s="1455"/>
      <c r="AP226" s="1467"/>
      <c r="AQ226" s="1460"/>
      <c r="AR226" s="1461"/>
      <c r="AS226" s="1490"/>
      <c r="AT226" s="1461"/>
      <c r="AU226" s="1461"/>
      <c r="AV226" s="3199"/>
      <c r="AW226" s="1461"/>
      <c r="AX226" s="1467"/>
      <c r="AY226" t="str">
        <f t="shared" si="113"/>
        <v/>
      </c>
      <c r="CA226" s="2841" t="str">
        <f t="shared" si="137"/>
        <v/>
      </c>
      <c r="CB226" s="2841" t="str">
        <f t="shared" si="140"/>
        <v/>
      </c>
      <c r="CC226" s="2841" t="str">
        <f t="shared" si="138"/>
        <v/>
      </c>
      <c r="CD226" s="2841" t="str">
        <f t="shared" si="133"/>
        <v/>
      </c>
      <c r="CE226" s="2841" t="str">
        <f t="shared" si="141"/>
        <v/>
      </c>
      <c r="CF226" s="3175"/>
      <c r="CG226" s="2841" t="str">
        <f t="shared" si="143"/>
        <v/>
      </c>
      <c r="CH226" s="2841" t="str">
        <f t="shared" si="144"/>
        <v/>
      </c>
      <c r="CO226" s="2842">
        <f t="shared" si="134"/>
        <v>0</v>
      </c>
      <c r="CP226" s="2842">
        <f t="shared" si="135"/>
        <v>0</v>
      </c>
      <c r="CQ226" s="2842">
        <f t="shared" si="145"/>
        <v>0</v>
      </c>
      <c r="CR226" s="2842">
        <f t="shared" si="146"/>
        <v>0</v>
      </c>
      <c r="CS226" s="2842">
        <f t="shared" si="126"/>
        <v>0</v>
      </c>
      <c r="CT226" s="3175"/>
      <c r="CU226" s="2842">
        <f t="shared" si="158"/>
        <v>0</v>
      </c>
      <c r="CV226" s="2842">
        <f t="shared" si="159"/>
        <v>0</v>
      </c>
    </row>
    <row r="227" spans="1:100" ht="15" customHeight="1">
      <c r="A227" s="6550" t="s">
        <v>1860</v>
      </c>
      <c r="B227" s="6550"/>
      <c r="C227" s="6550"/>
      <c r="D227" s="3124">
        <f t="shared" si="156"/>
        <v>0</v>
      </c>
      <c r="E227" s="3198">
        <f t="shared" si="166"/>
        <v>0</v>
      </c>
      <c r="F227" s="3200">
        <f>SUM(AB227+AD227+AF227+AH227+AJ227+AL227+AN227+AP227)</f>
        <v>0</v>
      </c>
      <c r="G227" s="3201"/>
      <c r="H227" s="3094"/>
      <c r="I227" s="3093"/>
      <c r="J227" s="3094"/>
      <c r="K227" s="3093"/>
      <c r="L227" s="3094"/>
      <c r="M227" s="3093"/>
      <c r="N227" s="3094"/>
      <c r="O227" s="3093"/>
      <c r="P227" s="3094"/>
      <c r="Q227" s="3093"/>
      <c r="R227" s="3094"/>
      <c r="S227" s="3093"/>
      <c r="T227" s="3094"/>
      <c r="U227" s="3093"/>
      <c r="V227" s="3094"/>
      <c r="W227" s="3093"/>
      <c r="X227" s="3094"/>
      <c r="Y227" s="3093"/>
      <c r="Z227" s="3094"/>
      <c r="AA227" s="1585"/>
      <c r="AB227" s="1786"/>
      <c r="AC227" s="1585"/>
      <c r="AD227" s="1786"/>
      <c r="AE227" s="1585"/>
      <c r="AF227" s="1786"/>
      <c r="AG227" s="1585"/>
      <c r="AH227" s="1786"/>
      <c r="AI227" s="1456"/>
      <c r="AJ227" s="1684"/>
      <c r="AK227" s="1456"/>
      <c r="AL227" s="1684"/>
      <c r="AM227" s="1456"/>
      <c r="AN227" s="1684"/>
      <c r="AO227" s="1455"/>
      <c r="AP227" s="1467"/>
      <c r="AQ227" s="1460"/>
      <c r="AR227" s="1461"/>
      <c r="AS227" s="1490"/>
      <c r="AT227" s="1461"/>
      <c r="AU227" s="1461"/>
      <c r="AV227" s="1478"/>
      <c r="AW227" s="1461"/>
      <c r="AX227" s="1467"/>
      <c r="AY227" t="str">
        <f t="shared" ref="AY227" si="167">CA227&amp;CB227&amp;CC227&amp;CD227&amp;CE227&amp;CF227&amp;CG227&amp;CH227</f>
        <v/>
      </c>
      <c r="CA227" s="2841"/>
      <c r="CB227" s="2841"/>
      <c r="CC227" s="2841"/>
      <c r="CD227" s="2841"/>
      <c r="CE227" s="2841"/>
      <c r="CF227" s="3175"/>
      <c r="CG227" s="2841"/>
      <c r="CH227" s="2841"/>
      <c r="CO227" s="2842"/>
      <c r="CP227" s="2842"/>
      <c r="CQ227" s="2842"/>
      <c r="CR227" s="2842"/>
      <c r="CS227" s="2842"/>
      <c r="CT227" s="3175"/>
      <c r="CU227" s="2842"/>
      <c r="CV227" s="2842"/>
    </row>
    <row r="228" spans="1:100" ht="18" customHeight="1">
      <c r="A228" s="1468" t="s">
        <v>1861</v>
      </c>
      <c r="B228" s="3058"/>
      <c r="C228" s="3058"/>
      <c r="D228" s="3058"/>
      <c r="E228" s="1582"/>
      <c r="F228" s="1582"/>
      <c r="G228" s="1582"/>
      <c r="H228" s="1582"/>
      <c r="I228" s="1582"/>
      <c r="J228" s="1582"/>
      <c r="K228" s="1582"/>
      <c r="L228" s="1582"/>
      <c r="M228" s="1582"/>
      <c r="N228" s="1582"/>
      <c r="O228" s="439"/>
      <c r="P228" s="439"/>
      <c r="Q228" s="439"/>
      <c r="R228" s="439"/>
      <c r="S228" s="439"/>
      <c r="T228" s="439"/>
      <c r="U228" s="439"/>
      <c r="V228" s="439"/>
      <c r="W228" s="439"/>
      <c r="X228" s="439"/>
      <c r="Y228" s="456"/>
      <c r="Z228" s="456"/>
      <c r="AA228" s="456"/>
      <c r="AB228" s="456"/>
      <c r="AC228" s="456"/>
      <c r="AD228" s="456"/>
      <c r="AE228" s="456"/>
      <c r="AF228" s="456"/>
      <c r="AG228" s="456"/>
      <c r="AY228" t="str">
        <f t="shared" ref="AY228:AY247" si="168">CA228&amp;CB228&amp;CC228&amp;CD228&amp;CE228&amp;CF228&amp;CH228</f>
        <v/>
      </c>
    </row>
    <row r="229" spans="1:100" ht="15" customHeight="1">
      <c r="A229" s="6152" t="s">
        <v>236</v>
      </c>
      <c r="B229" s="6153"/>
      <c r="C229" s="6154"/>
      <c r="D229" s="6140" t="s">
        <v>91</v>
      </c>
      <c r="E229" s="6139"/>
      <c r="F229" s="6119"/>
      <c r="G229" s="5710" t="s">
        <v>115</v>
      </c>
      <c r="H229" s="6106"/>
      <c r="I229" s="6106"/>
      <c r="J229" s="6106"/>
      <c r="K229" s="6106"/>
      <c r="L229" s="6106"/>
      <c r="M229" s="6106"/>
      <c r="N229" s="6106"/>
      <c r="O229" s="6106"/>
      <c r="P229" s="6106"/>
      <c r="Q229" s="6106"/>
      <c r="R229" s="6106"/>
      <c r="S229" s="6106"/>
      <c r="T229" s="6106"/>
      <c r="U229" s="6106"/>
      <c r="V229" s="6106"/>
      <c r="W229" s="6106"/>
      <c r="X229" s="6106"/>
      <c r="Y229" s="6106"/>
      <c r="Z229" s="6106"/>
      <c r="AA229" s="6106"/>
      <c r="AB229" s="6301"/>
      <c r="AC229" s="6622" t="s">
        <v>1642</v>
      </c>
      <c r="AD229" s="5705" t="s">
        <v>947</v>
      </c>
      <c r="AE229" s="5705" t="s">
        <v>1862</v>
      </c>
      <c r="AF229" s="5705" t="s">
        <v>1863</v>
      </c>
      <c r="AG229" s="6627" t="s">
        <v>1864</v>
      </c>
      <c r="AH229" s="6630" t="s">
        <v>1865</v>
      </c>
      <c r="AI229" s="5705" t="s">
        <v>1866</v>
      </c>
    </row>
    <row r="230" spans="1:100" ht="15" customHeight="1">
      <c r="A230" s="6447"/>
      <c r="B230" s="6578"/>
      <c r="C230" s="6448"/>
      <c r="D230" s="6141"/>
      <c r="E230" s="6166"/>
      <c r="F230" s="6120"/>
      <c r="G230" s="6586" t="s">
        <v>495</v>
      </c>
      <c r="H230" s="6575"/>
      <c r="I230" s="5710" t="s">
        <v>401</v>
      </c>
      <c r="J230" s="5712"/>
      <c r="K230" s="6106" t="s">
        <v>402</v>
      </c>
      <c r="L230" s="5712"/>
      <c r="M230" s="5710" t="s">
        <v>1644</v>
      </c>
      <c r="N230" s="5712"/>
      <c r="O230" s="5710" t="s">
        <v>404</v>
      </c>
      <c r="P230" s="5712"/>
      <c r="Q230" s="5710" t="s">
        <v>405</v>
      </c>
      <c r="R230" s="5712"/>
      <c r="S230" s="5710" t="s">
        <v>406</v>
      </c>
      <c r="T230" s="5712"/>
      <c r="U230" s="5710" t="s">
        <v>407</v>
      </c>
      <c r="V230" s="5712"/>
      <c r="W230" s="5710" t="s">
        <v>1645</v>
      </c>
      <c r="X230" s="5712"/>
      <c r="Y230" s="5710" t="s">
        <v>324</v>
      </c>
      <c r="Z230" s="5709"/>
      <c r="AA230" s="5710" t="s">
        <v>325</v>
      </c>
      <c r="AB230" s="6576"/>
      <c r="AC230" s="6624"/>
      <c r="AD230" s="6581"/>
      <c r="AE230" s="6581"/>
      <c r="AF230" s="6581"/>
      <c r="AG230" s="6628"/>
      <c r="AH230" s="6631"/>
      <c r="AI230" s="6581"/>
    </row>
    <row r="231" spans="1:100" ht="15" customHeight="1">
      <c r="A231" s="6155"/>
      <c r="B231" s="6156"/>
      <c r="C231" s="6157"/>
      <c r="D231" s="400" t="s">
        <v>93</v>
      </c>
      <c r="E231" s="397" t="s">
        <v>72</v>
      </c>
      <c r="F231" s="393" t="s">
        <v>73</v>
      </c>
      <c r="G231" s="391" t="s">
        <v>72</v>
      </c>
      <c r="H231" s="393" t="s">
        <v>73</v>
      </c>
      <c r="I231" s="391" t="s">
        <v>72</v>
      </c>
      <c r="J231" s="393" t="s">
        <v>73</v>
      </c>
      <c r="K231" s="1395" t="s">
        <v>72</v>
      </c>
      <c r="L231" s="393" t="s">
        <v>73</v>
      </c>
      <c r="M231" s="1395" t="s">
        <v>72</v>
      </c>
      <c r="N231" s="393" t="s">
        <v>73</v>
      </c>
      <c r="O231" s="1395" t="s">
        <v>72</v>
      </c>
      <c r="P231" s="393" t="s">
        <v>73</v>
      </c>
      <c r="Q231" s="1395" t="s">
        <v>72</v>
      </c>
      <c r="R231" s="393" t="s">
        <v>73</v>
      </c>
      <c r="S231" s="1395" t="s">
        <v>72</v>
      </c>
      <c r="T231" s="393" t="s">
        <v>73</v>
      </c>
      <c r="U231" s="1395" t="s">
        <v>72</v>
      </c>
      <c r="V231" s="393" t="s">
        <v>73</v>
      </c>
      <c r="W231" s="1395" t="s">
        <v>72</v>
      </c>
      <c r="X231" s="393" t="s">
        <v>73</v>
      </c>
      <c r="Y231" s="1395" t="s">
        <v>72</v>
      </c>
      <c r="Z231" s="393" t="s">
        <v>73</v>
      </c>
      <c r="AA231" s="1395" t="s">
        <v>72</v>
      </c>
      <c r="AB231" s="2305" t="s">
        <v>73</v>
      </c>
      <c r="AC231" s="6626"/>
      <c r="AD231" s="5706"/>
      <c r="AE231" s="5706"/>
      <c r="AF231" s="5706"/>
      <c r="AG231" s="6629"/>
      <c r="AH231" s="6632"/>
      <c r="AI231" s="5706"/>
    </row>
    <row r="232" spans="1:100" ht="15" customHeight="1">
      <c r="A232" s="6641" t="s">
        <v>1867</v>
      </c>
      <c r="B232" s="6642"/>
      <c r="C232" s="6643"/>
      <c r="D232" s="3177">
        <f t="shared" si="156"/>
        <v>0</v>
      </c>
      <c r="E232" s="409">
        <f t="shared" ref="E232:E234" si="169">+K232+M232+O232+Q232+S232</f>
        <v>0</v>
      </c>
      <c r="F232" s="410">
        <f t="shared" ref="E232:F235" si="170">+L232+N232+P232+R232+T232</f>
        <v>0</v>
      </c>
      <c r="G232" s="2197"/>
      <c r="H232" s="2198"/>
      <c r="I232" s="2197"/>
      <c r="J232" s="2198"/>
      <c r="K232" s="1424"/>
      <c r="L232" s="1436"/>
      <c r="M232" s="1424"/>
      <c r="N232" s="1436"/>
      <c r="O232" s="1424"/>
      <c r="P232" s="1436"/>
      <c r="Q232" s="1424"/>
      <c r="R232" s="1436"/>
      <c r="S232" s="1424"/>
      <c r="T232" s="1436"/>
      <c r="U232" s="1814"/>
      <c r="V232" s="1815"/>
      <c r="W232" s="1814"/>
      <c r="X232" s="1815"/>
      <c r="Y232" s="1814"/>
      <c r="Z232" s="1815"/>
      <c r="AA232" s="1814"/>
      <c r="AB232" s="1896"/>
      <c r="AC232" s="1429"/>
      <c r="AD232" s="1422">
        <f t="shared" ref="AD232:AD237" si="171">SUM(AE232:AG232)</f>
        <v>0</v>
      </c>
      <c r="AE232" s="1430"/>
      <c r="AF232" s="1430"/>
      <c r="AG232" s="1650"/>
      <c r="AH232" s="1429"/>
      <c r="AI232" s="1430"/>
      <c r="AJ232" t="str">
        <f t="shared" ref="AJ232:AJ237" si="172">CA232&amp;CB232&amp;CC232&amp;CD232</f>
        <v/>
      </c>
      <c r="CA232" s="2841" t="str">
        <f t="shared" ref="CA232:CA235" si="173">IF(AND($D232&gt;0,AC232="")," * No olvide digitar la variable Usuarios con Discapacidad. Digite Cero si no tiene.",IF(AC232&gt;D232," * La variable Usuarios con Discapacidad no puede superar el Total Ambos Sexos.",""))</f>
        <v/>
      </c>
      <c r="CB232" s="2841" t="str">
        <f t="shared" ref="CB232:CB235" si="174">IF((AD232)&gt;D232," * El Total de actividades (JUNJI + INTEGRA + MINEDUC) no puede ser mayor al Total Ambos Sexos.","")</f>
        <v/>
      </c>
      <c r="CC232" s="2841" t="str">
        <f t="shared" ref="CC232:CC235" si="175">IF(AND($D232&gt;0,AH232="")," * No olvide ingresar la variable Pueblos Originarios. Digite cero si no tiene.",IF(AH232&gt;$D232," * La variable Pueblos Originarios No puede ser mayor al Total Ambos Sexos.",""))</f>
        <v/>
      </c>
      <c r="CD232" s="2841" t="str">
        <f t="shared" ref="CD232:CD235" si="176">IF(AND($D232&gt;0,AI232="")," * No olvide ingresar la variable Migrantes. Digite cero si no tiene.",IF(AI232&gt;$D232," * La variable Migrantes No puede ser mayor al Total Ambos Sexos.",""))</f>
        <v/>
      </c>
      <c r="CO232" s="3011">
        <f t="shared" ref="CO232:CO235" si="177">IF(AND($D232&gt;0,AC232=""),1,IF(AC232&gt;D232,1,0))</f>
        <v>0</v>
      </c>
      <c r="CP232" s="3011">
        <f t="shared" ref="CP232:CP235" si="178">IF((AD232)&gt;D232,1,0)</f>
        <v>0</v>
      </c>
      <c r="CQ232" s="3011">
        <f t="shared" ref="CQ232:CR235" si="179">IF(AND($D232&gt;0,AH232=""),1,IF(AH232&gt;$D232,1,0))</f>
        <v>0</v>
      </c>
      <c r="CR232" s="3011">
        <f t="shared" si="179"/>
        <v>0</v>
      </c>
    </row>
    <row r="233" spans="1:100" ht="15" customHeight="1">
      <c r="A233" s="6565" t="s">
        <v>1868</v>
      </c>
      <c r="B233" s="6566"/>
      <c r="C233" s="6567"/>
      <c r="D233" s="3095">
        <f t="shared" si="156"/>
        <v>0</v>
      </c>
      <c r="E233" s="421">
        <f t="shared" si="169"/>
        <v>0</v>
      </c>
      <c r="F233" s="422">
        <f t="shared" si="170"/>
        <v>0</v>
      </c>
      <c r="G233" s="2378"/>
      <c r="H233" s="2379"/>
      <c r="I233" s="2378"/>
      <c r="J233" s="2379"/>
      <c r="K233" s="1480"/>
      <c r="L233" s="1545"/>
      <c r="M233" s="1480"/>
      <c r="N233" s="1545"/>
      <c r="O233" s="1480"/>
      <c r="P233" s="1545"/>
      <c r="Q233" s="1480"/>
      <c r="R233" s="1545"/>
      <c r="S233" s="1480"/>
      <c r="T233" s="1545"/>
      <c r="U233" s="1911"/>
      <c r="V233" s="1912"/>
      <c r="W233" s="1911"/>
      <c r="X233" s="1912"/>
      <c r="Y233" s="1911"/>
      <c r="Z233" s="1912"/>
      <c r="AA233" s="1911"/>
      <c r="AB233" s="3079"/>
      <c r="AC233" s="1544"/>
      <c r="AD233" s="1512">
        <f t="shared" si="171"/>
        <v>0</v>
      </c>
      <c r="AE233" s="1483"/>
      <c r="AF233" s="1483"/>
      <c r="AG233" s="1725"/>
      <c r="AH233" s="1544"/>
      <c r="AI233" s="1483"/>
      <c r="AJ233" t="str">
        <f t="shared" si="172"/>
        <v/>
      </c>
      <c r="CA233" s="2841" t="str">
        <f t="shared" si="173"/>
        <v/>
      </c>
      <c r="CB233" s="2841" t="str">
        <f t="shared" si="174"/>
        <v/>
      </c>
      <c r="CC233" s="2841" t="str">
        <f t="shared" si="175"/>
        <v/>
      </c>
      <c r="CD233" s="2841" t="str">
        <f t="shared" si="176"/>
        <v/>
      </c>
      <c r="CO233" s="3011">
        <f t="shared" si="177"/>
        <v>0</v>
      </c>
      <c r="CP233" s="3011">
        <f t="shared" si="178"/>
        <v>0</v>
      </c>
      <c r="CQ233" s="3011">
        <f t="shared" si="179"/>
        <v>0</v>
      </c>
      <c r="CR233" s="3011">
        <f t="shared" si="179"/>
        <v>0</v>
      </c>
    </row>
    <row r="234" spans="1:100" ht="15" customHeight="1">
      <c r="A234" s="6565" t="s">
        <v>1869</v>
      </c>
      <c r="B234" s="6566"/>
      <c r="C234" s="6567"/>
      <c r="D234" s="3188">
        <f t="shared" si="156"/>
        <v>0</v>
      </c>
      <c r="E234" s="3202">
        <f t="shared" si="169"/>
        <v>0</v>
      </c>
      <c r="F234" s="1753">
        <f t="shared" si="170"/>
        <v>0</v>
      </c>
      <c r="G234" s="2378"/>
      <c r="H234" s="2379"/>
      <c r="I234" s="2378"/>
      <c r="J234" s="2379"/>
      <c r="K234" s="1480"/>
      <c r="L234" s="1545"/>
      <c r="M234" s="1480"/>
      <c r="N234" s="1545"/>
      <c r="O234" s="1480"/>
      <c r="P234" s="1545"/>
      <c r="Q234" s="1480"/>
      <c r="R234" s="1545"/>
      <c r="S234" s="1480"/>
      <c r="T234" s="1545"/>
      <c r="U234" s="1911"/>
      <c r="V234" s="1912"/>
      <c r="W234" s="1911"/>
      <c r="X234" s="1912"/>
      <c r="Y234" s="1911"/>
      <c r="Z234" s="1912"/>
      <c r="AA234" s="1911"/>
      <c r="AB234" s="3079"/>
      <c r="AC234" s="1544"/>
      <c r="AD234" s="1512">
        <f t="shared" si="171"/>
        <v>0</v>
      </c>
      <c r="AE234" s="1483"/>
      <c r="AF234" s="1483"/>
      <c r="AG234" s="1725"/>
      <c r="AH234" s="1544"/>
      <c r="AI234" s="1483"/>
      <c r="AJ234" t="str">
        <f t="shared" si="172"/>
        <v/>
      </c>
      <c r="CA234" s="2841" t="str">
        <f t="shared" si="173"/>
        <v/>
      </c>
      <c r="CB234" s="2841" t="str">
        <f t="shared" si="174"/>
        <v/>
      </c>
      <c r="CC234" s="2841" t="str">
        <f t="shared" si="175"/>
        <v/>
      </c>
      <c r="CD234" s="2841" t="str">
        <f t="shared" si="176"/>
        <v/>
      </c>
      <c r="CO234" s="3011">
        <f t="shared" si="177"/>
        <v>0</v>
      </c>
      <c r="CP234" s="3011">
        <f t="shared" si="178"/>
        <v>0</v>
      </c>
      <c r="CQ234" s="3011">
        <f t="shared" si="179"/>
        <v>0</v>
      </c>
      <c r="CR234" s="3011">
        <f t="shared" si="179"/>
        <v>0</v>
      </c>
    </row>
    <row r="235" spans="1:100" ht="15" customHeight="1">
      <c r="A235" s="6565" t="s">
        <v>1870</v>
      </c>
      <c r="B235" s="6566"/>
      <c r="C235" s="6567"/>
      <c r="D235" s="3188">
        <f t="shared" si="156"/>
        <v>0</v>
      </c>
      <c r="E235" s="3202">
        <f t="shared" si="170"/>
        <v>0</v>
      </c>
      <c r="F235" s="1739">
        <f t="shared" si="170"/>
        <v>0</v>
      </c>
      <c r="G235" s="1763"/>
      <c r="H235" s="1764"/>
      <c r="I235" s="1763"/>
      <c r="J235" s="1764"/>
      <c r="K235" s="1440"/>
      <c r="L235" s="1452"/>
      <c r="M235" s="1440"/>
      <c r="N235" s="1452"/>
      <c r="O235" s="1440"/>
      <c r="P235" s="1452"/>
      <c r="Q235" s="1440"/>
      <c r="R235" s="1452"/>
      <c r="S235" s="1440"/>
      <c r="T235" s="1452"/>
      <c r="U235" s="1869"/>
      <c r="V235" s="1870"/>
      <c r="W235" s="1869"/>
      <c r="X235" s="1870"/>
      <c r="Y235" s="1869"/>
      <c r="Z235" s="1870"/>
      <c r="AA235" s="1869"/>
      <c r="AB235" s="3107"/>
      <c r="AC235" s="1445"/>
      <c r="AD235" s="1512">
        <f t="shared" si="171"/>
        <v>0</v>
      </c>
      <c r="AE235" s="1446"/>
      <c r="AF235" s="1446"/>
      <c r="AG235" s="1655"/>
      <c r="AH235" s="1445"/>
      <c r="AI235" s="1446"/>
      <c r="AJ235" t="str">
        <f t="shared" si="172"/>
        <v/>
      </c>
      <c r="CA235" s="2841" t="str">
        <f t="shared" si="173"/>
        <v/>
      </c>
      <c r="CB235" s="2841" t="str">
        <f t="shared" si="174"/>
        <v/>
      </c>
      <c r="CC235" s="2841" t="str">
        <f t="shared" si="175"/>
        <v/>
      </c>
      <c r="CD235" s="2841" t="str">
        <f t="shared" si="176"/>
        <v/>
      </c>
      <c r="CO235" s="3011">
        <f t="shared" si="177"/>
        <v>0</v>
      </c>
      <c r="CP235" s="3011">
        <f t="shared" si="178"/>
        <v>0</v>
      </c>
      <c r="CQ235" s="3011">
        <f t="shared" si="179"/>
        <v>0</v>
      </c>
      <c r="CR235" s="3011">
        <f t="shared" si="179"/>
        <v>0</v>
      </c>
    </row>
    <row r="236" spans="1:100" ht="15" customHeight="1">
      <c r="A236" s="6565" t="s">
        <v>1871</v>
      </c>
      <c r="B236" s="6566"/>
      <c r="C236" s="6567"/>
      <c r="D236" s="3203"/>
      <c r="E236" s="3204"/>
      <c r="F236" s="3205"/>
      <c r="G236" s="3088"/>
      <c r="H236" s="3206"/>
      <c r="I236" s="3207"/>
      <c r="J236" s="3206"/>
      <c r="K236" s="3207"/>
      <c r="L236" s="3206"/>
      <c r="M236" s="3207"/>
      <c r="N236" s="3206"/>
      <c r="O236" s="3207"/>
      <c r="P236" s="3206"/>
      <c r="Q236" s="3207"/>
      <c r="R236" s="3206"/>
      <c r="S236" s="3207"/>
      <c r="T236" s="3206"/>
      <c r="U236" s="3207"/>
      <c r="V236" s="3206"/>
      <c r="W236" s="3207"/>
      <c r="X236" s="3206"/>
      <c r="Y236" s="3207"/>
      <c r="Z236" s="3206"/>
      <c r="AA236" s="3207"/>
      <c r="AB236" s="3208"/>
      <c r="AC236" s="3114"/>
      <c r="AD236" s="1729">
        <f t="shared" si="171"/>
        <v>0</v>
      </c>
      <c r="AE236" s="1483"/>
      <c r="AF236" s="1483"/>
      <c r="AG236" s="1725"/>
      <c r="AH236" s="3209"/>
      <c r="AI236" s="3210"/>
      <c r="AJ236" t="str">
        <f t="shared" si="172"/>
        <v/>
      </c>
      <c r="CA236" s="2890"/>
      <c r="CB236" s="2890"/>
      <c r="CC236" s="2890"/>
      <c r="CD236" s="2890"/>
      <c r="CO236" s="2890"/>
      <c r="CP236" s="2890"/>
      <c r="CQ236" s="2890"/>
      <c r="CR236" s="2890"/>
    </row>
    <row r="237" spans="1:100" ht="15" customHeight="1">
      <c r="A237" s="6633" t="s">
        <v>1872</v>
      </c>
      <c r="B237" s="6633"/>
      <c r="C237" s="6634"/>
      <c r="D237" s="3149"/>
      <c r="E237" s="3211"/>
      <c r="F237" s="3212"/>
      <c r="G237" s="1765"/>
      <c r="H237" s="1766"/>
      <c r="I237" s="1765"/>
      <c r="J237" s="1766"/>
      <c r="K237" s="1765"/>
      <c r="L237" s="1766"/>
      <c r="M237" s="1765"/>
      <c r="N237" s="1766"/>
      <c r="O237" s="1765"/>
      <c r="P237" s="1766"/>
      <c r="Q237" s="1765"/>
      <c r="R237" s="1766"/>
      <c r="S237" s="1765"/>
      <c r="T237" s="1766"/>
      <c r="U237" s="1765"/>
      <c r="V237" s="1766"/>
      <c r="W237" s="1765"/>
      <c r="X237" s="1766"/>
      <c r="Y237" s="1765"/>
      <c r="Z237" s="1766"/>
      <c r="AA237" s="1765"/>
      <c r="AB237" s="3213"/>
      <c r="AC237" s="3155"/>
      <c r="AD237" s="1506">
        <f t="shared" si="171"/>
        <v>0</v>
      </c>
      <c r="AE237" s="1461"/>
      <c r="AF237" s="1461"/>
      <c r="AG237" s="1660"/>
      <c r="AH237" s="1971"/>
      <c r="AI237" s="3186"/>
      <c r="AJ237" t="str">
        <f t="shared" si="172"/>
        <v/>
      </c>
      <c r="CA237" s="2890"/>
      <c r="CB237" s="2890"/>
      <c r="CC237" s="2890"/>
      <c r="CD237" s="2890"/>
      <c r="CO237" s="2890"/>
      <c r="CP237" s="2890"/>
      <c r="CQ237" s="2890"/>
      <c r="CR237" s="2890"/>
    </row>
    <row r="238" spans="1:100" ht="18" customHeight="1">
      <c r="A238" s="1468" t="s">
        <v>1873</v>
      </c>
      <c r="B238" s="2293"/>
      <c r="C238" s="2855"/>
      <c r="D238" s="1493"/>
      <c r="E238" s="1493"/>
      <c r="F238" s="1468"/>
      <c r="G238" s="1468"/>
      <c r="H238" s="1468"/>
      <c r="I238" s="1493"/>
      <c r="K238" s="3214"/>
      <c r="L238" s="1493"/>
      <c r="M238" s="3215"/>
      <c r="N238" s="3215"/>
      <c r="O238" s="379"/>
      <c r="P238" s="379"/>
      <c r="Q238" s="379"/>
      <c r="R238" s="379"/>
      <c r="S238" s="379"/>
      <c r="T238" s="379"/>
      <c r="U238" s="379"/>
      <c r="V238" s="379"/>
      <c r="W238" s="379"/>
      <c r="X238" s="379"/>
      <c r="Y238" s="379"/>
      <c r="Z238" s="379"/>
      <c r="AA238" s="379"/>
      <c r="AB238" s="379"/>
      <c r="AC238" s="379"/>
      <c r="AD238" s="379"/>
      <c r="AE238" s="379"/>
      <c r="AF238" s="379"/>
      <c r="AG238" s="379"/>
      <c r="AH238" s="379"/>
      <c r="AI238" s="379"/>
      <c r="AJ238" s="379"/>
      <c r="AK238" s="379"/>
      <c r="AL238" s="2856"/>
      <c r="AM238" s="2856"/>
      <c r="AN238" s="2856"/>
      <c r="AO238" s="2856"/>
      <c r="AP238" s="2856"/>
    </row>
    <row r="239" spans="1:100" ht="15" customHeight="1">
      <c r="A239" s="6152" t="s">
        <v>236</v>
      </c>
      <c r="B239" s="6153"/>
      <c r="C239" s="6154"/>
      <c r="D239" s="6140" t="s">
        <v>91</v>
      </c>
      <c r="E239" s="6139"/>
      <c r="F239" s="6221"/>
      <c r="G239" s="6635" t="s">
        <v>1874</v>
      </c>
      <c r="H239" s="6135" t="s">
        <v>1875</v>
      </c>
      <c r="I239" s="6135" t="s">
        <v>1876</v>
      </c>
      <c r="J239" s="6135" t="s">
        <v>1877</v>
      </c>
      <c r="K239" s="6638" t="s">
        <v>1642</v>
      </c>
    </row>
    <row r="240" spans="1:100" ht="15" customHeight="1">
      <c r="A240" s="6447"/>
      <c r="B240" s="6578"/>
      <c r="C240" s="6448"/>
      <c r="D240" s="6114"/>
      <c r="E240" s="6115"/>
      <c r="F240" s="6222"/>
      <c r="G240" s="6636"/>
      <c r="H240" s="6302"/>
      <c r="I240" s="6302"/>
      <c r="J240" s="6302"/>
      <c r="K240" s="6639"/>
    </row>
    <row r="241" spans="1:104" ht="15" customHeight="1">
      <c r="A241" s="6155"/>
      <c r="B241" s="6156"/>
      <c r="C241" s="6157"/>
      <c r="D241" s="400" t="s">
        <v>93</v>
      </c>
      <c r="E241" s="397" t="s">
        <v>72</v>
      </c>
      <c r="F241" s="1703" t="s">
        <v>73</v>
      </c>
      <c r="G241" s="6637"/>
      <c r="H241" s="6136"/>
      <c r="I241" s="6136"/>
      <c r="J241" s="6136"/>
      <c r="K241" s="6640"/>
    </row>
    <row r="242" spans="1:104" ht="15" customHeight="1">
      <c r="A242" s="6561" t="s">
        <v>1878</v>
      </c>
      <c r="B242" s="6562"/>
      <c r="C242" s="6563"/>
      <c r="D242" s="3216">
        <f t="shared" ref="D242:D246" si="180">SUM(E242:F242)</f>
        <v>0</v>
      </c>
      <c r="E242" s="1425"/>
      <c r="F242" s="1650"/>
      <c r="G242" s="1707"/>
      <c r="H242" s="1426"/>
      <c r="I242" s="1426"/>
      <c r="J242" s="1426"/>
      <c r="K242" s="1769"/>
      <c r="L242" t="str">
        <f t="shared" ref="L242:L246" si="181">CA242&amp;CB242&amp;CC242&amp;CD242&amp;CE242</f>
        <v/>
      </c>
      <c r="CA242" s="2841" t="str">
        <f t="shared" ref="CA242:CA246" si="182">IF(AND($D242&gt;0,G242="")," * No olvide digitar la variable Procedimiento. Digite Cero si no tiene.",IF(G242&gt;$D242," * La variable Procedimiento no puede superar el Total Ambos Sexos.",""))</f>
        <v/>
      </c>
      <c r="CB242" s="2841" t="str">
        <f t="shared" ref="CB242:CB246" si="183">IF(AND($D242&gt;0,H242="")," * No olvide digitar la variable Cirugía menor. Digite Cero si no tiene.",IF(H242&gt;$D242," * La variable Cirugía menor no puede superar el Total Ambos Sexos.",""))</f>
        <v/>
      </c>
      <c r="CC242" s="2841" t="str">
        <f t="shared" ref="CC242:CC246" si="184">IF(AND($D242&gt;0,I242="")," * No olvide digitar la variable Cirugía mayor no ambulatoria urgencia/electiva. Digite Cero si no tiene.",IF(I242&gt;$D242," * La variable Cirugía mayor no ambulatoria urgencia/electiva no puede superar el Total Ambos Sexos.",""))</f>
        <v/>
      </c>
      <c r="CD242" s="2841" t="str">
        <f t="shared" ref="CD242:CD246" si="185">IF(AND($D242&gt;0,J242="")," * No olvide digitar la variable Cirugía mayor ambulatoria urgencia/electiva. Digite Cero si no tiene.",IF(J242&gt;$D242," * La variable Cirugía mayor  ambulatoria urgencia/electiva no puede superar el Total Ambos Sexos.",""))</f>
        <v/>
      </c>
      <c r="CE242" s="2841" t="str">
        <f t="shared" ref="CE242:CE246" si="186">IF(AND($D242&gt;0,K242="")," * No olvide digitar la variable Usuarios con Discapacidad. Digite Cero si no tiene.",IF(K242&gt;$D242," * La variable Usuarios con Discapacidad no puede superar el Total Ambos Sexos.",""))</f>
        <v/>
      </c>
      <c r="CO242" s="3011">
        <f t="shared" ref="CO242:CS246" si="187">IF(AND($D242&gt;0,G242=""),1,IF(G242&gt;$D242,1,0))</f>
        <v>0</v>
      </c>
      <c r="CP242" s="3011">
        <f t="shared" si="187"/>
        <v>0</v>
      </c>
      <c r="CQ242" s="3011">
        <f t="shared" si="187"/>
        <v>0</v>
      </c>
      <c r="CR242" s="3011">
        <f t="shared" si="187"/>
        <v>0</v>
      </c>
      <c r="CS242" s="3011">
        <f t="shared" si="187"/>
        <v>0</v>
      </c>
    </row>
    <row r="243" spans="1:104" ht="15" customHeight="1">
      <c r="A243" s="6181" t="s">
        <v>1879</v>
      </c>
      <c r="B243" s="6564"/>
      <c r="C243" s="6182"/>
      <c r="D243" s="3217">
        <f t="shared" si="180"/>
        <v>0</v>
      </c>
      <c r="E243" s="1441"/>
      <c r="F243" s="1655"/>
      <c r="G243" s="1709"/>
      <c r="H243" s="1442"/>
      <c r="I243" s="1442"/>
      <c r="J243" s="1442"/>
      <c r="K243" s="1680"/>
      <c r="L243" t="str">
        <f t="shared" si="181"/>
        <v/>
      </c>
      <c r="CA243" s="2841" t="str">
        <f t="shared" si="182"/>
        <v/>
      </c>
      <c r="CB243" s="2841" t="str">
        <f t="shared" si="183"/>
        <v/>
      </c>
      <c r="CC243" s="2841" t="str">
        <f t="shared" si="184"/>
        <v/>
      </c>
      <c r="CD243" s="2841" t="str">
        <f t="shared" si="185"/>
        <v/>
      </c>
      <c r="CE243" s="2841" t="str">
        <f t="shared" si="186"/>
        <v/>
      </c>
      <c r="CO243" s="3011">
        <f t="shared" si="187"/>
        <v>0</v>
      </c>
      <c r="CP243" s="3011">
        <f t="shared" si="187"/>
        <v>0</v>
      </c>
      <c r="CQ243" s="3011">
        <f t="shared" si="187"/>
        <v>0</v>
      </c>
      <c r="CR243" s="3011">
        <f t="shared" si="187"/>
        <v>0</v>
      </c>
      <c r="CS243" s="3011">
        <f t="shared" si="187"/>
        <v>0</v>
      </c>
    </row>
    <row r="244" spans="1:104" ht="15" customHeight="1">
      <c r="A244" s="6181" t="s">
        <v>1880</v>
      </c>
      <c r="B244" s="6564"/>
      <c r="C244" s="6182"/>
      <c r="D244" s="3217">
        <f t="shared" si="180"/>
        <v>0</v>
      </c>
      <c r="E244" s="1441"/>
      <c r="F244" s="1655"/>
      <c r="G244" s="1709"/>
      <c r="H244" s="1442"/>
      <c r="I244" s="1442"/>
      <c r="J244" s="1442"/>
      <c r="K244" s="1680"/>
      <c r="L244" t="str">
        <f t="shared" si="181"/>
        <v/>
      </c>
      <c r="CA244" s="2841" t="str">
        <f t="shared" si="182"/>
        <v/>
      </c>
      <c r="CB244" s="2841" t="str">
        <f t="shared" si="183"/>
        <v/>
      </c>
      <c r="CC244" s="2841" t="str">
        <f t="shared" si="184"/>
        <v/>
      </c>
      <c r="CD244" s="2841" t="str">
        <f t="shared" si="185"/>
        <v/>
      </c>
      <c r="CE244" s="2841" t="str">
        <f t="shared" si="186"/>
        <v/>
      </c>
      <c r="CO244" s="3011">
        <f t="shared" si="187"/>
        <v>0</v>
      </c>
      <c r="CP244" s="3011">
        <f t="shared" si="187"/>
        <v>0</v>
      </c>
      <c r="CQ244" s="3011">
        <f t="shared" si="187"/>
        <v>0</v>
      </c>
      <c r="CR244" s="3011">
        <f t="shared" si="187"/>
        <v>0</v>
      </c>
      <c r="CS244" s="3011">
        <f t="shared" si="187"/>
        <v>0</v>
      </c>
    </row>
    <row r="245" spans="1:104" ht="15" customHeight="1">
      <c r="A245" s="6181" t="s">
        <v>1881</v>
      </c>
      <c r="B245" s="6564"/>
      <c r="C245" s="6182"/>
      <c r="D245" s="3217">
        <f t="shared" si="180"/>
        <v>0</v>
      </c>
      <c r="E245" s="1441"/>
      <c r="F245" s="1655"/>
      <c r="G245" s="1709"/>
      <c r="H245" s="1442"/>
      <c r="I245" s="1442"/>
      <c r="J245" s="1442"/>
      <c r="K245" s="1680"/>
      <c r="L245" t="str">
        <f t="shared" si="181"/>
        <v/>
      </c>
      <c r="CA245" s="2841" t="str">
        <f t="shared" si="182"/>
        <v/>
      </c>
      <c r="CB245" s="2841" t="str">
        <f t="shared" si="183"/>
        <v/>
      </c>
      <c r="CC245" s="2841" t="str">
        <f t="shared" si="184"/>
        <v/>
      </c>
      <c r="CD245" s="2841" t="str">
        <f t="shared" si="185"/>
        <v/>
      </c>
      <c r="CE245" s="2841" t="str">
        <f t="shared" si="186"/>
        <v/>
      </c>
      <c r="CO245" s="3011">
        <f t="shared" si="187"/>
        <v>0</v>
      </c>
      <c r="CP245" s="3011">
        <f t="shared" si="187"/>
        <v>0</v>
      </c>
      <c r="CQ245" s="3011">
        <f t="shared" si="187"/>
        <v>0</v>
      </c>
      <c r="CR245" s="3011">
        <f t="shared" si="187"/>
        <v>0</v>
      </c>
      <c r="CS245" s="3011">
        <f t="shared" si="187"/>
        <v>0</v>
      </c>
    </row>
    <row r="246" spans="1:104" ht="15" customHeight="1">
      <c r="A246" s="6618" t="s">
        <v>1882</v>
      </c>
      <c r="B246" s="6619"/>
      <c r="C246" s="6620"/>
      <c r="D246" s="3218">
        <f t="shared" si="180"/>
        <v>0</v>
      </c>
      <c r="E246" s="1456"/>
      <c r="F246" s="1660"/>
      <c r="G246" s="1714"/>
      <c r="H246" s="1457"/>
      <c r="I246" s="1457"/>
      <c r="J246" s="1457"/>
      <c r="K246" s="1684"/>
      <c r="L246" t="str">
        <f t="shared" si="181"/>
        <v/>
      </c>
      <c r="CA246" s="2841" t="str">
        <f t="shared" si="182"/>
        <v/>
      </c>
      <c r="CB246" s="2841" t="str">
        <f t="shared" si="183"/>
        <v/>
      </c>
      <c r="CC246" s="2841" t="str">
        <f t="shared" si="184"/>
        <v/>
      </c>
      <c r="CD246" s="2841" t="str">
        <f t="shared" si="185"/>
        <v/>
      </c>
      <c r="CE246" s="2841" t="str">
        <f t="shared" si="186"/>
        <v/>
      </c>
      <c r="CO246" s="3011">
        <f t="shared" si="187"/>
        <v>0</v>
      </c>
      <c r="CP246" s="3011">
        <f t="shared" si="187"/>
        <v>0</v>
      </c>
      <c r="CQ246" s="3011">
        <f t="shared" si="187"/>
        <v>0</v>
      </c>
      <c r="CR246" s="3011">
        <f t="shared" si="187"/>
        <v>0</v>
      </c>
      <c r="CS246" s="3011">
        <f t="shared" si="187"/>
        <v>0</v>
      </c>
    </row>
    <row r="247" spans="1:104" ht="15" customHeight="1">
      <c r="A247" s="1468" t="s">
        <v>1883</v>
      </c>
      <c r="B247" s="3219"/>
      <c r="C247" s="3219"/>
      <c r="D247" s="462"/>
      <c r="E247" s="462"/>
      <c r="F247" s="462"/>
      <c r="G247" s="3220"/>
      <c r="H247" s="3220"/>
      <c r="I247" s="3220"/>
      <c r="J247" s="1864"/>
      <c r="K247" s="3221"/>
      <c r="L247" s="3220"/>
      <c r="M247" s="3221"/>
      <c r="N247" s="3222"/>
      <c r="O247" s="456"/>
      <c r="P247" s="456"/>
      <c r="Q247" s="456"/>
      <c r="R247" s="456"/>
      <c r="S247" s="456"/>
      <c r="T247" s="456"/>
      <c r="U247" s="456"/>
      <c r="V247" s="456"/>
      <c r="W247" s="456"/>
      <c r="X247" s="383"/>
      <c r="Y247" s="383"/>
      <c r="Z247" s="383"/>
      <c r="AA247" s="383"/>
      <c r="AB247" s="383"/>
      <c r="AC247" s="383"/>
      <c r="AD247" s="383"/>
      <c r="AE247" s="383"/>
      <c r="AF247" s="383"/>
      <c r="AG247" s="383"/>
      <c r="AH247" s="383"/>
      <c r="AI247" s="383"/>
      <c r="AJ247" s="383"/>
      <c r="AK247" s="383"/>
      <c r="AL247" s="383"/>
      <c r="AM247" s="383"/>
      <c r="AN247" s="383"/>
      <c r="AO247" s="383"/>
      <c r="AP247" s="383"/>
      <c r="AQ247" s="383"/>
      <c r="AR247" s="383"/>
      <c r="AS247" s="383"/>
      <c r="AT247" s="383"/>
      <c r="AU247" s="383"/>
      <c r="AV247" s="383"/>
      <c r="AW247" s="383"/>
      <c r="AX247" s="383"/>
      <c r="AY247" t="str">
        <f t="shared" si="168"/>
        <v/>
      </c>
    </row>
    <row r="248" spans="1:104" ht="15" customHeight="1">
      <c r="A248" s="6621" t="s">
        <v>1884</v>
      </c>
      <c r="B248" s="6622"/>
      <c r="C248" s="6583"/>
      <c r="D248" s="6140" t="s">
        <v>1885</v>
      </c>
      <c r="E248" s="6139"/>
      <c r="F248" s="6119"/>
      <c r="G248" s="5710" t="s">
        <v>115</v>
      </c>
      <c r="H248" s="6106"/>
      <c r="I248" s="6106"/>
      <c r="J248" s="6106"/>
      <c r="K248" s="6106"/>
      <c r="L248" s="6106"/>
      <c r="M248" s="6106"/>
      <c r="N248" s="6106"/>
      <c r="O248" s="6106"/>
      <c r="P248" s="6106"/>
      <c r="Q248" s="6106"/>
      <c r="R248" s="6106"/>
      <c r="S248" s="6106"/>
      <c r="T248" s="6106"/>
      <c r="U248" s="6106"/>
      <c r="V248" s="6106"/>
      <c r="W248" s="6106"/>
      <c r="X248" s="6106"/>
      <c r="Y248" s="6106"/>
      <c r="Z248" s="6106"/>
      <c r="AA248" s="6106"/>
      <c r="AB248" s="6106"/>
      <c r="AC248" s="6106"/>
      <c r="AD248" s="6106"/>
      <c r="AE248" s="6106"/>
      <c r="AF248" s="6106"/>
      <c r="AG248" s="6106"/>
      <c r="AH248" s="6106"/>
      <c r="AI248" s="6106"/>
      <c r="AJ248" s="6106"/>
      <c r="AK248" s="6106"/>
      <c r="AL248" s="6301"/>
      <c r="AM248" s="6133" t="s">
        <v>476</v>
      </c>
      <c r="AN248" s="6248" t="s">
        <v>1886</v>
      </c>
      <c r="AO248" s="6052" t="s">
        <v>1887</v>
      </c>
      <c r="AP248" s="6054"/>
      <c r="AQ248" s="6140" t="s">
        <v>803</v>
      </c>
      <c r="AR248" s="6260" t="s">
        <v>1661</v>
      </c>
      <c r="AS248" s="6589" t="s">
        <v>1888</v>
      </c>
      <c r="AT248" s="5705" t="s">
        <v>1642</v>
      </c>
      <c r="AU248" s="6231" t="s">
        <v>1889</v>
      </c>
      <c r="AV248" s="5705" t="s">
        <v>1300</v>
      </c>
      <c r="AW248" s="6582" t="s">
        <v>51</v>
      </c>
      <c r="AX248" s="6583" t="s">
        <v>343</v>
      </c>
    </row>
    <row r="249" spans="1:104" ht="15" customHeight="1">
      <c r="A249" s="6623"/>
      <c r="B249" s="6624"/>
      <c r="C249" s="6584"/>
      <c r="D249" s="6114"/>
      <c r="E249" s="6115"/>
      <c r="F249" s="6116"/>
      <c r="G249" s="6586" t="s">
        <v>1890</v>
      </c>
      <c r="H249" s="6575"/>
      <c r="I249" s="5710" t="s">
        <v>1644</v>
      </c>
      <c r="J249" s="5712"/>
      <c r="K249" s="5710" t="s">
        <v>404</v>
      </c>
      <c r="L249" s="5712"/>
      <c r="M249" s="5710" t="s">
        <v>405</v>
      </c>
      <c r="N249" s="5712"/>
      <c r="O249" s="5710" t="s">
        <v>406</v>
      </c>
      <c r="P249" s="5712"/>
      <c r="Q249" s="5710" t="s">
        <v>407</v>
      </c>
      <c r="R249" s="5712"/>
      <c r="S249" s="5710" t="s">
        <v>1645</v>
      </c>
      <c r="T249" s="5712"/>
      <c r="U249" s="5710" t="s">
        <v>324</v>
      </c>
      <c r="V249" s="5709"/>
      <c r="W249" s="5710" t="s">
        <v>325</v>
      </c>
      <c r="X249" s="5709"/>
      <c r="Y249" s="5710" t="s">
        <v>1891</v>
      </c>
      <c r="Z249" s="5709"/>
      <c r="AA249" s="5710" t="s">
        <v>1892</v>
      </c>
      <c r="AB249" s="5709"/>
      <c r="AC249" s="5710" t="s">
        <v>1893</v>
      </c>
      <c r="AD249" s="5709"/>
      <c r="AE249" s="5710" t="s">
        <v>1894</v>
      </c>
      <c r="AF249" s="5709"/>
      <c r="AG249" s="5710" t="s">
        <v>1650</v>
      </c>
      <c r="AH249" s="5709"/>
      <c r="AI249" s="5710" t="s">
        <v>1651</v>
      </c>
      <c r="AJ249" s="5709"/>
      <c r="AK249" s="5710" t="s">
        <v>966</v>
      </c>
      <c r="AL249" s="6576"/>
      <c r="AM249" s="6235"/>
      <c r="AN249" s="6404"/>
      <c r="AO249" s="6187" t="s">
        <v>1895</v>
      </c>
      <c r="AP249" s="6587" t="s">
        <v>1896</v>
      </c>
      <c r="AQ249" s="6141"/>
      <c r="AR249" s="6261"/>
      <c r="AS249" s="6590"/>
      <c r="AT249" s="6581"/>
      <c r="AU249" s="6231"/>
      <c r="AV249" s="6581"/>
      <c r="AW249" s="6582" t="s">
        <v>51</v>
      </c>
      <c r="AX249" s="6584"/>
    </row>
    <row r="250" spans="1:104" ht="20.25" customHeight="1">
      <c r="A250" s="6625"/>
      <c r="B250" s="6626"/>
      <c r="C250" s="6585"/>
      <c r="D250" s="3223" t="s">
        <v>93</v>
      </c>
      <c r="E250" s="3224" t="s">
        <v>72</v>
      </c>
      <c r="F250" s="1394" t="s">
        <v>73</v>
      </c>
      <c r="G250" s="1395" t="s">
        <v>72</v>
      </c>
      <c r="H250" s="393" t="s">
        <v>73</v>
      </c>
      <c r="I250" s="1395" t="s">
        <v>72</v>
      </c>
      <c r="J250" s="393" t="s">
        <v>73</v>
      </c>
      <c r="K250" s="1395" t="s">
        <v>72</v>
      </c>
      <c r="L250" s="393" t="s">
        <v>73</v>
      </c>
      <c r="M250" s="1395" t="s">
        <v>72</v>
      </c>
      <c r="N250" s="393" t="s">
        <v>73</v>
      </c>
      <c r="O250" s="1395" t="s">
        <v>72</v>
      </c>
      <c r="P250" s="393" t="s">
        <v>73</v>
      </c>
      <c r="Q250" s="1395" t="s">
        <v>72</v>
      </c>
      <c r="R250" s="393" t="s">
        <v>73</v>
      </c>
      <c r="S250" s="1395" t="s">
        <v>72</v>
      </c>
      <c r="T250" s="393" t="s">
        <v>73</v>
      </c>
      <c r="U250" s="1395" t="s">
        <v>72</v>
      </c>
      <c r="V250" s="393" t="s">
        <v>73</v>
      </c>
      <c r="W250" s="1395" t="s">
        <v>72</v>
      </c>
      <c r="X250" s="393" t="s">
        <v>73</v>
      </c>
      <c r="Y250" s="1395" t="s">
        <v>72</v>
      </c>
      <c r="Z250" s="393" t="s">
        <v>73</v>
      </c>
      <c r="AA250" s="1395" t="s">
        <v>72</v>
      </c>
      <c r="AB250" s="393" t="s">
        <v>73</v>
      </c>
      <c r="AC250" s="1395" t="s">
        <v>72</v>
      </c>
      <c r="AD250" s="393" t="s">
        <v>73</v>
      </c>
      <c r="AE250" s="1395" t="s">
        <v>72</v>
      </c>
      <c r="AF250" s="393" t="s">
        <v>73</v>
      </c>
      <c r="AG250" s="1395" t="s">
        <v>72</v>
      </c>
      <c r="AH250" s="393" t="s">
        <v>73</v>
      </c>
      <c r="AI250" s="1395" t="s">
        <v>72</v>
      </c>
      <c r="AJ250" s="393" t="s">
        <v>73</v>
      </c>
      <c r="AK250" s="1395" t="s">
        <v>72</v>
      </c>
      <c r="AL250" s="2305" t="s">
        <v>73</v>
      </c>
      <c r="AM250" s="6134"/>
      <c r="AN250" s="6249"/>
      <c r="AO250" s="6188"/>
      <c r="AP250" s="6588"/>
      <c r="AQ250" s="6114"/>
      <c r="AR250" s="6262"/>
      <c r="AS250" s="6591"/>
      <c r="AT250" s="5706"/>
      <c r="AU250" s="6231"/>
      <c r="AV250" s="5706"/>
      <c r="AW250" s="6582"/>
      <c r="AX250" s="6585"/>
    </row>
    <row r="251" spans="1:104" ht="15" customHeight="1">
      <c r="A251" s="6467" t="s">
        <v>1897</v>
      </c>
      <c r="B251" s="6179" t="s">
        <v>1898</v>
      </c>
      <c r="C251" s="6180"/>
      <c r="D251" s="3225">
        <f t="shared" ref="D251:D314" si="188">SUM(E251+F251)</f>
        <v>0</v>
      </c>
      <c r="E251" s="2975">
        <f t="shared" ref="E251:E288" si="189">SUM(G251++I251+K251+M251+O251+Q251+S251+U251+W251+Y251+AA251+AC251+AE251+AG251+AI251+AK251)</f>
        <v>0</v>
      </c>
      <c r="F251" s="2860">
        <f t="shared" ref="F251:F288" si="190">SUM(H251++J251+L251+N251+P251+R251+T251+V251+X251+Z251+AB251+AD251+AF251+AH251+AJ251+AL251)</f>
        <v>0</v>
      </c>
      <c r="G251" s="2216"/>
      <c r="H251" s="2217"/>
      <c r="I251" s="2219"/>
      <c r="J251" s="2217"/>
      <c r="K251" s="2219"/>
      <c r="L251" s="2217"/>
      <c r="M251" s="2219"/>
      <c r="N251" s="2217"/>
      <c r="O251" s="2219"/>
      <c r="P251" s="2217"/>
      <c r="Q251" s="2219"/>
      <c r="R251" s="2217"/>
      <c r="S251" s="2219"/>
      <c r="T251" s="2177"/>
      <c r="U251" s="2219"/>
      <c r="V251" s="2177"/>
      <c r="W251" s="2219"/>
      <c r="X251" s="2177"/>
      <c r="Y251" s="2219"/>
      <c r="Z251" s="2177"/>
      <c r="AA251" s="2219"/>
      <c r="AB251" s="2177"/>
      <c r="AC251" s="2219"/>
      <c r="AD251" s="2177"/>
      <c r="AE251" s="2219"/>
      <c r="AF251" s="2177"/>
      <c r="AG251" s="2219"/>
      <c r="AH251" s="2177"/>
      <c r="AI251" s="2219"/>
      <c r="AJ251" s="2177"/>
      <c r="AK251" s="2219"/>
      <c r="AL251" s="2177"/>
      <c r="AM251" s="2175"/>
      <c r="AN251" s="3226"/>
      <c r="AO251" s="3227"/>
      <c r="AP251" s="3228"/>
      <c r="AQ251" s="3229"/>
      <c r="AR251" s="3230"/>
      <c r="AS251" s="3231"/>
      <c r="AT251" s="3230"/>
      <c r="AU251" s="2177"/>
      <c r="AV251" s="3232"/>
      <c r="AW251" s="3230"/>
      <c r="AX251" s="2177"/>
      <c r="AY251" t="str">
        <f t="shared" ref="AY251:AY314" si="191">CA251&amp;CB251&amp;CC251&amp;CD251&amp;CE251&amp;CF251&amp;CG251&amp;CH251&amp;CI251&amp;CJ251&amp;CK251&amp;CL251</f>
        <v/>
      </c>
      <c r="CA251" s="2841" t="str">
        <f t="shared" ref="CA251:CA314" si="192">IF(AND($F251&gt;0,AM251="")," * No olvide digitar la variable Gestante. Digite cero si no tiene.",IF(AM251&gt;$F251," * La variable Gestante no puede superar el Total Mujeres.",""))</f>
        <v/>
      </c>
      <c r="CB251" s="2841" t="str">
        <f t="shared" ref="CB251:CB314" si="193">IF(AND(AG251+AH251&gt;0,AN251="")," * No olvide digitar la variable 60 años (incluido en grupos de 60-64 años). Digite Cero si no tiene.",IF(AN251&gt;AG251+AH251," * La variable 60 años (incluido en grupos de 60-64 años) no puede superar la suma del Grupo 60-64 años.",""))</f>
        <v/>
      </c>
      <c r="CC251" s="2890"/>
      <c r="CD251" s="2890"/>
      <c r="CE251" s="2890"/>
      <c r="CF251" s="2841" t="str">
        <f t="shared" ref="CF251:CF314" si="194">IF(AND($D251&gt;0,AR251="")," * No olvide digitar la variable Compra de Servicio. Digite Cero si no tiene.","")</f>
        <v/>
      </c>
      <c r="CG251" s="2890"/>
      <c r="CH251" s="2841" t="str">
        <f>IF(AND($D251&gt;0,AT251="")," * No olvide digitar la variable Usuarios con Discapacidad. Digite Cero si no tiene.",IF(AT251&gt;$D251," * La variable Usuarios con Dicapacidad no puede superar el Total Ambos Sexos.",""))</f>
        <v/>
      </c>
      <c r="CI251" s="2841" t="str">
        <f t="shared" ref="CI251:CI314" si="195">IF(AND($D251&gt;0,AU251="")," * No olvide digitar la variable Usuarios Oncológicos. Digite Cero si no tiene.",IF(AU251&gt;$D251," * La variable Usuarios Oncológicos no puede superar el Total Ambos Sexos.",""))</f>
        <v/>
      </c>
      <c r="CJ251" s="2890"/>
      <c r="CK251" s="2841" t="str">
        <f t="shared" ref="CK251:CK314" si="196">IF(AND($D251&gt;0,AW251="")," * No olvide digitar la variable Migrantes. Digite Cero si no tiene.",IF(AW251&gt;$D251," * La variable Migrantes no puede superar el Total Ambos Sexos.",""))</f>
        <v/>
      </c>
      <c r="CL251" s="2841" t="str">
        <f t="shared" ref="CL251:CL314" si="197">IF(AND($D251&gt;0,AX251=""),"  * No olvide digitar la variable Pueblo Originario. Digite Cero si no tiene.",IF(AX251&gt;$D251," * La variable Pueblo Originario no puede superar el Total Ambos Sexos.",""))</f>
        <v/>
      </c>
      <c r="CO251" s="2842">
        <f t="shared" ref="CO251:CO314" si="198">IF(AND($F251&gt;0,AM251=""),1,IF(AM251&gt;$F251,1,0))</f>
        <v>0</v>
      </c>
      <c r="CP251" s="2842">
        <f t="shared" ref="CP251:CP314" si="199">IF(AND(AG251+AH251&gt;0,AN251=""),1,IF(AN251&gt;AG251+AH251,1,0))</f>
        <v>0</v>
      </c>
      <c r="CQ251" s="2890"/>
      <c r="CR251" s="2890"/>
      <c r="CS251" s="2890"/>
      <c r="CT251" s="2842">
        <f t="shared" ref="CT251:CT314" si="200">IF(AND($D251&gt;0,AR251=""),1,0)</f>
        <v>0</v>
      </c>
      <c r="CU251" s="2890"/>
      <c r="CV251" s="2842">
        <f t="shared" ref="CV251:CV314" si="201">IF(AND($D251&gt;0,AT251=""),1,IF(AT251&gt;$D251,1,0))</f>
        <v>0</v>
      </c>
      <c r="CW251" s="2842">
        <f t="shared" ref="CW251:CX314" si="202">IF(AND($D251&gt;0,AU251=""),1,IF(AU251&gt;$D251,1,0))</f>
        <v>0</v>
      </c>
      <c r="CX251" s="2890"/>
      <c r="CY251" s="2842">
        <f t="shared" ref="CY251:CY314" si="203">IF(AND($D251&gt;0,AW251=""),1,IF(AW251&gt;$D251,1,0))</f>
        <v>0</v>
      </c>
      <c r="CZ251" s="2842">
        <f t="shared" ref="CZ251:CZ314" si="204">IF(AND($D251&gt;0,AX251=""),1,IF(AX251&gt;$D251,1,0))</f>
        <v>0</v>
      </c>
    </row>
    <row r="252" spans="1:104" ht="15" customHeight="1">
      <c r="A252" s="6468"/>
      <c r="B252" s="6169" t="s">
        <v>1899</v>
      </c>
      <c r="C252" s="6170"/>
      <c r="D252" s="3233">
        <f t="shared" si="188"/>
        <v>0</v>
      </c>
      <c r="E252" s="2933">
        <f t="shared" si="189"/>
        <v>0</v>
      </c>
      <c r="F252" s="2875">
        <f t="shared" si="190"/>
        <v>0</v>
      </c>
      <c r="G252" s="3234"/>
      <c r="H252" s="3235"/>
      <c r="I252" s="3236"/>
      <c r="J252" s="3235"/>
      <c r="K252" s="3236"/>
      <c r="L252" s="3235"/>
      <c r="M252" s="3236"/>
      <c r="N252" s="3235"/>
      <c r="O252" s="3236"/>
      <c r="P252" s="3235"/>
      <c r="Q252" s="3236"/>
      <c r="R252" s="3235"/>
      <c r="S252" s="3236"/>
      <c r="T252" s="2196"/>
      <c r="U252" s="3236"/>
      <c r="V252" s="2196"/>
      <c r="W252" s="3236"/>
      <c r="X252" s="2196"/>
      <c r="Y252" s="3236"/>
      <c r="Z252" s="2196"/>
      <c r="AA252" s="3236"/>
      <c r="AB252" s="2196"/>
      <c r="AC252" s="3236"/>
      <c r="AD252" s="2196"/>
      <c r="AE252" s="3236"/>
      <c r="AF252" s="2196"/>
      <c r="AG252" s="3236"/>
      <c r="AH252" s="2196"/>
      <c r="AI252" s="3236"/>
      <c r="AJ252" s="2196"/>
      <c r="AK252" s="3236"/>
      <c r="AL252" s="2196"/>
      <c r="AM252" s="2195"/>
      <c r="AN252" s="3237"/>
      <c r="AO252" s="3227"/>
      <c r="AP252" s="3238"/>
      <c r="AQ252" s="3229"/>
      <c r="AR252" s="3239"/>
      <c r="AS252" s="3240"/>
      <c r="AT252" s="3239"/>
      <c r="AU252" s="2196"/>
      <c r="AV252" s="3238"/>
      <c r="AW252" s="3239"/>
      <c r="AX252" s="2196"/>
      <c r="AY252" t="str">
        <f t="shared" si="191"/>
        <v/>
      </c>
      <c r="CA252" s="2841" t="str">
        <f t="shared" si="192"/>
        <v/>
      </c>
      <c r="CB252" s="2841" t="str">
        <f t="shared" si="193"/>
        <v/>
      </c>
      <c r="CC252" s="2890"/>
      <c r="CD252" s="2890"/>
      <c r="CE252" s="2890"/>
      <c r="CF252" s="2841" t="str">
        <f t="shared" si="194"/>
        <v/>
      </c>
      <c r="CG252" s="2890"/>
      <c r="CH252" s="2841" t="str">
        <f t="shared" ref="CH252:CH315" si="205">IF(AND($D252&gt;0,AT252="")," * No olvide digitar la variable Usuarios con Discapacidad. Digite Cero si no tiene.",IF(AT252&gt;$D252," * La variable Usuarios con Discapacidad no puede superar el Total Ambos Sexos.",""))</f>
        <v/>
      </c>
      <c r="CI252" s="2841" t="str">
        <f t="shared" si="195"/>
        <v/>
      </c>
      <c r="CJ252" s="2890"/>
      <c r="CK252" s="2841" t="str">
        <f t="shared" si="196"/>
        <v/>
      </c>
      <c r="CL252" s="2841" t="str">
        <f t="shared" si="197"/>
        <v/>
      </c>
      <c r="CO252" s="2842">
        <f t="shared" si="198"/>
        <v>0</v>
      </c>
      <c r="CP252" s="2842">
        <f t="shared" si="199"/>
        <v>0</v>
      </c>
      <c r="CQ252" s="2890"/>
      <c r="CR252" s="2890"/>
      <c r="CS252" s="2890"/>
      <c r="CT252" s="2842">
        <f t="shared" si="200"/>
        <v>0</v>
      </c>
      <c r="CU252" s="2890"/>
      <c r="CV252" s="2842">
        <f t="shared" si="201"/>
        <v>0</v>
      </c>
      <c r="CW252" s="2842">
        <f t="shared" si="202"/>
        <v>0</v>
      </c>
      <c r="CX252" s="2890"/>
      <c r="CY252" s="2842">
        <f t="shared" si="203"/>
        <v>0</v>
      </c>
      <c r="CZ252" s="2842">
        <f t="shared" si="204"/>
        <v>0</v>
      </c>
    </row>
    <row r="253" spans="1:104" ht="15" customHeight="1">
      <c r="A253" s="6127" t="s">
        <v>1900</v>
      </c>
      <c r="B253" s="6612" t="s">
        <v>1901</v>
      </c>
      <c r="C253" s="6612"/>
      <c r="D253" s="3192">
        <f t="shared" si="188"/>
        <v>0</v>
      </c>
      <c r="E253" s="2975">
        <f t="shared" si="189"/>
        <v>0</v>
      </c>
      <c r="F253" s="2860">
        <f t="shared" si="190"/>
        <v>0</v>
      </c>
      <c r="G253" s="2216"/>
      <c r="H253" s="2217"/>
      <c r="I253" s="2219"/>
      <c r="J253" s="2217"/>
      <c r="K253" s="2219"/>
      <c r="L253" s="2217"/>
      <c r="M253" s="2219"/>
      <c r="N253" s="2217"/>
      <c r="O253" s="2219"/>
      <c r="P253" s="2217"/>
      <c r="Q253" s="2219"/>
      <c r="R253" s="2217"/>
      <c r="S253" s="2219"/>
      <c r="T253" s="2177"/>
      <c r="U253" s="3242"/>
      <c r="V253" s="3243"/>
      <c r="W253" s="3242"/>
      <c r="X253" s="3243"/>
      <c r="Y253" s="3242"/>
      <c r="Z253" s="3243"/>
      <c r="AA253" s="3242"/>
      <c r="AB253" s="3243"/>
      <c r="AC253" s="3242"/>
      <c r="AD253" s="3243"/>
      <c r="AE253" s="3242"/>
      <c r="AF253" s="3243"/>
      <c r="AG253" s="3242"/>
      <c r="AH253" s="3243"/>
      <c r="AI253" s="3242"/>
      <c r="AJ253" s="3243"/>
      <c r="AK253" s="2219"/>
      <c r="AL253" s="2177"/>
      <c r="AM253" s="3244"/>
      <c r="AN253" s="3245"/>
      <c r="AO253" s="2216"/>
      <c r="AP253" s="3243"/>
      <c r="AQ253" s="3246"/>
      <c r="AR253" s="3247"/>
      <c r="AS253" s="3248"/>
      <c r="AT253" s="3247"/>
      <c r="AU253" s="3249"/>
      <c r="AV253" s="3228"/>
      <c r="AW253" s="3247"/>
      <c r="AX253" s="3249"/>
      <c r="AY253" t="str">
        <f t="shared" si="191"/>
        <v/>
      </c>
      <c r="CA253" s="2841" t="str">
        <f t="shared" si="192"/>
        <v/>
      </c>
      <c r="CB253" s="2841" t="str">
        <f t="shared" si="193"/>
        <v/>
      </c>
      <c r="CC253" s="2841" t="str">
        <f>IF(AND($D253&gt;0,AO253="")," * No olvide digitar la variable Consultas Pertinentes: Según Procolo de Referencia. Digite cero si no tiene.",IF(AO253&gt;$D253," * La variable Consultas Pertinentes: Según Procolo de Referencia no puede superar el Total Ambos Sexos.",""))</f>
        <v/>
      </c>
      <c r="CD253" s="2841" t="str">
        <f>IF(AND($D253&gt;0,AP253="")," * No olvide digitar la variable Consultas Pertinentes: Según condición clínica. Digite cero si no tiene.",IF(AP253&gt;$D253," * La variable Consultas Pertinentes: Según condición clínica no puede superar el Total Ambos Sexos.",""))</f>
        <v/>
      </c>
      <c r="CE253" s="2841" t="str">
        <f t="shared" ref="CE253:CE314" si="206">IF(AND($D253&gt;0,AQ253="")," * No olvide digitar la variable Inasistente. Digite cero si no tiene.",IF(AQ253&gt;$D253," * La variable Insasistente no puede superar el Total Ambos Sexos.",""))</f>
        <v/>
      </c>
      <c r="CF253" s="2841" t="str">
        <f t="shared" si="194"/>
        <v/>
      </c>
      <c r="CG253" s="2890"/>
      <c r="CH253" s="2841" t="str">
        <f t="shared" si="205"/>
        <v/>
      </c>
      <c r="CI253" s="2841" t="str">
        <f t="shared" si="195"/>
        <v/>
      </c>
      <c r="CJ253" s="2890"/>
      <c r="CK253" s="2841" t="str">
        <f t="shared" si="196"/>
        <v/>
      </c>
      <c r="CL253" s="2841" t="str">
        <f t="shared" si="197"/>
        <v/>
      </c>
      <c r="CO253" s="2842">
        <f t="shared" si="198"/>
        <v>0</v>
      </c>
      <c r="CP253" s="2842">
        <f t="shared" si="199"/>
        <v>0</v>
      </c>
      <c r="CQ253" s="2842">
        <f>IF(AND($D253&gt;0,AO253=""),1,IF(AO253&gt;$D253,1,0))</f>
        <v>0</v>
      </c>
      <c r="CR253" s="2842">
        <f t="shared" ref="CR253:CS313" si="207">IF(AND($D253&gt;0,AP253=""),1,IF(AP253&gt;$D253,1,0))</f>
        <v>0</v>
      </c>
      <c r="CS253" s="2842">
        <f t="shared" si="207"/>
        <v>0</v>
      </c>
      <c r="CT253" s="2842">
        <f t="shared" si="200"/>
        <v>0</v>
      </c>
      <c r="CU253" s="2890"/>
      <c r="CV253" s="2842">
        <f t="shared" si="201"/>
        <v>0</v>
      </c>
      <c r="CW253" s="2842">
        <f t="shared" si="202"/>
        <v>0</v>
      </c>
      <c r="CX253" s="2890"/>
      <c r="CY253" s="2842">
        <f t="shared" si="203"/>
        <v>0</v>
      </c>
      <c r="CZ253" s="2842">
        <f t="shared" si="204"/>
        <v>0</v>
      </c>
    </row>
    <row r="254" spans="1:104" ht="15" customHeight="1">
      <c r="A254" s="6128"/>
      <c r="B254" s="6573" t="s">
        <v>1902</v>
      </c>
      <c r="C254" s="6573"/>
      <c r="D254" s="3251">
        <f t="shared" si="188"/>
        <v>0</v>
      </c>
      <c r="E254" s="2977">
        <f t="shared" si="189"/>
        <v>0</v>
      </c>
      <c r="F254" s="2984">
        <f t="shared" si="190"/>
        <v>0</v>
      </c>
      <c r="G254" s="2221"/>
      <c r="H254" s="2222"/>
      <c r="I254" s="2224"/>
      <c r="J254" s="2222"/>
      <c r="K254" s="2224"/>
      <c r="L254" s="2222"/>
      <c r="M254" s="2224"/>
      <c r="N254" s="2222"/>
      <c r="O254" s="2224"/>
      <c r="P254" s="2222"/>
      <c r="Q254" s="2224"/>
      <c r="R254" s="2222"/>
      <c r="S254" s="2224"/>
      <c r="T254" s="2193"/>
      <c r="U254" s="2221"/>
      <c r="V254" s="2222"/>
      <c r="W254" s="2221"/>
      <c r="X254" s="2222"/>
      <c r="Y254" s="2221"/>
      <c r="Z254" s="2222"/>
      <c r="AA254" s="2221"/>
      <c r="AB254" s="2222"/>
      <c r="AC254" s="2221"/>
      <c r="AD254" s="2222"/>
      <c r="AE254" s="2221"/>
      <c r="AF254" s="2222"/>
      <c r="AG254" s="2221"/>
      <c r="AH254" s="2222"/>
      <c r="AI254" s="2221"/>
      <c r="AJ254" s="2222"/>
      <c r="AK254" s="2224"/>
      <c r="AL254" s="2193"/>
      <c r="AM254" s="2192"/>
      <c r="AN254" s="3252"/>
      <c r="AO254" s="3227"/>
      <c r="AP254" s="3228"/>
      <c r="AQ254" s="3253"/>
      <c r="AR254" s="3254"/>
      <c r="AS254" s="3248"/>
      <c r="AT254" s="3254"/>
      <c r="AU254" s="2193"/>
      <c r="AV254" s="3228"/>
      <c r="AW254" s="3254"/>
      <c r="AX254" s="2193"/>
      <c r="AY254" t="str">
        <f t="shared" si="191"/>
        <v/>
      </c>
      <c r="CA254" s="2841" t="str">
        <f t="shared" si="192"/>
        <v/>
      </c>
      <c r="CB254" s="2841" t="str">
        <f t="shared" si="193"/>
        <v/>
      </c>
      <c r="CC254" s="2890"/>
      <c r="CD254" s="2890"/>
      <c r="CE254" s="2841" t="str">
        <f t="shared" si="206"/>
        <v/>
      </c>
      <c r="CF254" s="2841" t="str">
        <f t="shared" si="194"/>
        <v/>
      </c>
      <c r="CG254" s="2890"/>
      <c r="CH254" s="2841" t="str">
        <f t="shared" si="205"/>
        <v/>
      </c>
      <c r="CI254" s="2841" t="str">
        <f t="shared" si="195"/>
        <v/>
      </c>
      <c r="CJ254" s="2890"/>
      <c r="CK254" s="2841" t="str">
        <f t="shared" si="196"/>
        <v/>
      </c>
      <c r="CL254" s="2841" t="str">
        <f t="shared" si="197"/>
        <v/>
      </c>
      <c r="CO254" s="2842">
        <f t="shared" si="198"/>
        <v>0</v>
      </c>
      <c r="CP254" s="2842">
        <f t="shared" si="199"/>
        <v>0</v>
      </c>
      <c r="CQ254" s="2890"/>
      <c r="CR254" s="2890"/>
      <c r="CS254" s="2842">
        <f t="shared" si="207"/>
        <v>0</v>
      </c>
      <c r="CT254" s="2842">
        <f t="shared" si="200"/>
        <v>0</v>
      </c>
      <c r="CU254" s="2890"/>
      <c r="CV254" s="2842">
        <f t="shared" si="201"/>
        <v>0</v>
      </c>
      <c r="CW254" s="2842">
        <f t="shared" si="202"/>
        <v>0</v>
      </c>
      <c r="CX254" s="2890"/>
      <c r="CY254" s="2842">
        <f t="shared" si="203"/>
        <v>0</v>
      </c>
      <c r="CZ254" s="2842">
        <f t="shared" si="204"/>
        <v>0</v>
      </c>
    </row>
    <row r="255" spans="1:104" ht="15" customHeight="1">
      <c r="A255" s="6128"/>
      <c r="B255" s="6573" t="s">
        <v>1903</v>
      </c>
      <c r="C255" s="6573"/>
      <c r="D255" s="3251">
        <f t="shared" si="188"/>
        <v>0</v>
      </c>
      <c r="E255" s="2977">
        <f t="shared" si="189"/>
        <v>0</v>
      </c>
      <c r="F255" s="2984">
        <f t="shared" si="190"/>
        <v>0</v>
      </c>
      <c r="G255" s="2221"/>
      <c r="H255" s="2222"/>
      <c r="I255" s="2224"/>
      <c r="J255" s="2222"/>
      <c r="K255" s="2224"/>
      <c r="L255" s="2222"/>
      <c r="M255" s="2224"/>
      <c r="N255" s="2222"/>
      <c r="O255" s="2224"/>
      <c r="P255" s="2222"/>
      <c r="Q255" s="2224"/>
      <c r="R255" s="2222"/>
      <c r="S255" s="2224"/>
      <c r="T255" s="2193"/>
      <c r="U255" s="2224"/>
      <c r="V255" s="2222"/>
      <c r="W255" s="2224"/>
      <c r="X255" s="2222"/>
      <c r="Y255" s="2224"/>
      <c r="Z255" s="2222"/>
      <c r="AA255" s="2224"/>
      <c r="AB255" s="2222"/>
      <c r="AC255" s="2224"/>
      <c r="AD255" s="2222"/>
      <c r="AE255" s="2224"/>
      <c r="AF255" s="2222"/>
      <c r="AG255" s="2224"/>
      <c r="AH255" s="2222"/>
      <c r="AI255" s="2224"/>
      <c r="AJ255" s="2222"/>
      <c r="AK255" s="2224"/>
      <c r="AL255" s="2193"/>
      <c r="AM255" s="2192"/>
      <c r="AN255" s="3252"/>
      <c r="AO255" s="3227"/>
      <c r="AP255" s="3228"/>
      <c r="AQ255" s="3229"/>
      <c r="AR255" s="3254"/>
      <c r="AS255" s="3248"/>
      <c r="AT255" s="3254"/>
      <c r="AU255" s="2193"/>
      <c r="AV255" s="3228"/>
      <c r="AW255" s="3254"/>
      <c r="AX255" s="2193"/>
      <c r="AY255" t="str">
        <f t="shared" si="191"/>
        <v/>
      </c>
      <c r="CA255" s="2841" t="str">
        <f t="shared" si="192"/>
        <v/>
      </c>
      <c r="CB255" s="2841" t="str">
        <f t="shared" si="193"/>
        <v/>
      </c>
      <c r="CC255" s="2890"/>
      <c r="CD255" s="2890"/>
      <c r="CE255" s="2890"/>
      <c r="CF255" s="2841" t="str">
        <f t="shared" si="194"/>
        <v/>
      </c>
      <c r="CG255" s="2890"/>
      <c r="CH255" s="2841" t="str">
        <f t="shared" si="205"/>
        <v/>
      </c>
      <c r="CI255" s="2841" t="str">
        <f t="shared" si="195"/>
        <v/>
      </c>
      <c r="CJ255" s="2890"/>
      <c r="CK255" s="2841" t="str">
        <f t="shared" si="196"/>
        <v/>
      </c>
      <c r="CL255" s="2841" t="str">
        <f t="shared" si="197"/>
        <v/>
      </c>
      <c r="CO255" s="2842">
        <f t="shared" si="198"/>
        <v>0</v>
      </c>
      <c r="CP255" s="2842">
        <f t="shared" si="199"/>
        <v>0</v>
      </c>
      <c r="CQ255" s="2890"/>
      <c r="CR255" s="2890"/>
      <c r="CS255" s="2890"/>
      <c r="CT255" s="2842">
        <f t="shared" si="200"/>
        <v>0</v>
      </c>
      <c r="CU255" s="2890"/>
      <c r="CV255" s="2842">
        <f t="shared" si="201"/>
        <v>0</v>
      </c>
      <c r="CW255" s="2842">
        <f t="shared" si="202"/>
        <v>0</v>
      </c>
      <c r="CX255" s="2890"/>
      <c r="CY255" s="2842">
        <f t="shared" si="203"/>
        <v>0</v>
      </c>
      <c r="CZ255" s="2842">
        <f t="shared" si="204"/>
        <v>0</v>
      </c>
    </row>
    <row r="256" spans="1:104" ht="15" customHeight="1">
      <c r="A256" s="6128"/>
      <c r="B256" s="6565" t="s">
        <v>1904</v>
      </c>
      <c r="C256" s="6567"/>
      <c r="D256" s="3251">
        <f t="shared" si="188"/>
        <v>0</v>
      </c>
      <c r="E256" s="2977">
        <f t="shared" si="189"/>
        <v>0</v>
      </c>
      <c r="F256" s="2984">
        <f t="shared" si="190"/>
        <v>0</v>
      </c>
      <c r="G256" s="3255"/>
      <c r="H256" s="3256"/>
      <c r="I256" s="3257"/>
      <c r="J256" s="3256"/>
      <c r="K256" s="3257"/>
      <c r="L256" s="3256"/>
      <c r="M256" s="3257"/>
      <c r="N256" s="3256"/>
      <c r="O256" s="3257"/>
      <c r="P256" s="3256"/>
      <c r="Q256" s="3257"/>
      <c r="R256" s="3256"/>
      <c r="S256" s="3257"/>
      <c r="T256" s="3258"/>
      <c r="U256" s="3257"/>
      <c r="V256" s="3256"/>
      <c r="W256" s="3257"/>
      <c r="X256" s="3256"/>
      <c r="Y256" s="3257"/>
      <c r="Z256" s="3256"/>
      <c r="AA256" s="3257"/>
      <c r="AB256" s="3256"/>
      <c r="AC256" s="3257"/>
      <c r="AD256" s="3256"/>
      <c r="AE256" s="3257"/>
      <c r="AF256" s="3256"/>
      <c r="AG256" s="3257"/>
      <c r="AH256" s="3256"/>
      <c r="AI256" s="3257"/>
      <c r="AJ256" s="3256"/>
      <c r="AK256" s="3257"/>
      <c r="AL256" s="3258"/>
      <c r="AM256" s="3259"/>
      <c r="AN256" s="3260"/>
      <c r="AO256" s="3227"/>
      <c r="AP256" s="3228"/>
      <c r="AQ256" s="3229"/>
      <c r="AR256" s="3261"/>
      <c r="AS256" s="3248"/>
      <c r="AT256" s="3261"/>
      <c r="AU256" s="3258"/>
      <c r="AV256" s="2193"/>
      <c r="AW256" s="3261"/>
      <c r="AX256" s="3258"/>
      <c r="AY256" t="str">
        <f t="shared" si="191"/>
        <v/>
      </c>
      <c r="CA256" s="2841" t="str">
        <f t="shared" si="192"/>
        <v/>
      </c>
      <c r="CB256" s="2841" t="str">
        <f t="shared" si="193"/>
        <v/>
      </c>
      <c r="CC256" s="2890"/>
      <c r="CD256" s="2890"/>
      <c r="CE256" s="2890"/>
      <c r="CF256" s="2841" t="str">
        <f t="shared" si="194"/>
        <v/>
      </c>
      <c r="CG256" s="2890"/>
      <c r="CH256" s="2841" t="str">
        <f t="shared" si="205"/>
        <v/>
      </c>
      <c r="CI256" s="2841" t="str">
        <f t="shared" si="195"/>
        <v/>
      </c>
      <c r="CJ256" s="2841" t="str">
        <f>IF(AND($D256&gt;0,AV256="")," * No olvide digitar la variable Contrarreferencia al alta. Digite Cero si no tiene.",IF(AV256&gt;$D256," * La variable Contrarreferencia al alta no puede superar el Total Ambos Sexos.",""))</f>
        <v/>
      </c>
      <c r="CK256" s="2841" t="str">
        <f t="shared" si="196"/>
        <v/>
      </c>
      <c r="CL256" s="2841" t="str">
        <f t="shared" si="197"/>
        <v/>
      </c>
      <c r="CO256" s="2842">
        <f t="shared" si="198"/>
        <v>0</v>
      </c>
      <c r="CP256" s="2842">
        <f t="shared" si="199"/>
        <v>0</v>
      </c>
      <c r="CQ256" s="2890"/>
      <c r="CR256" s="2890"/>
      <c r="CS256" s="2890"/>
      <c r="CT256" s="2842">
        <f t="shared" si="200"/>
        <v>0</v>
      </c>
      <c r="CU256" s="2890"/>
      <c r="CV256" s="2842">
        <f t="shared" si="201"/>
        <v>0</v>
      </c>
      <c r="CW256" s="2842">
        <f t="shared" si="202"/>
        <v>0</v>
      </c>
      <c r="CX256" s="2842">
        <f>IF(AND($D256&gt;0,AV256=""),1,IF(AV256&gt;$D256,1,0))</f>
        <v>0</v>
      </c>
      <c r="CY256" s="2842">
        <f t="shared" si="203"/>
        <v>0</v>
      </c>
      <c r="CZ256" s="2842">
        <f t="shared" si="204"/>
        <v>0</v>
      </c>
    </row>
    <row r="257" spans="1:104" ht="15" customHeight="1">
      <c r="A257" s="6128"/>
      <c r="B257" s="6565" t="s">
        <v>1905</v>
      </c>
      <c r="C257" s="6567"/>
      <c r="D257" s="3251">
        <f t="shared" si="188"/>
        <v>0</v>
      </c>
      <c r="E257" s="2977">
        <f t="shared" si="189"/>
        <v>0</v>
      </c>
      <c r="F257" s="2984">
        <f t="shared" si="190"/>
        <v>0</v>
      </c>
      <c r="G257" s="3255"/>
      <c r="H257" s="3256"/>
      <c r="I257" s="3257"/>
      <c r="J257" s="3256"/>
      <c r="K257" s="3257"/>
      <c r="L257" s="3256"/>
      <c r="M257" s="3257"/>
      <c r="N257" s="3256"/>
      <c r="O257" s="3257"/>
      <c r="P257" s="3256"/>
      <c r="Q257" s="3257"/>
      <c r="R257" s="3256"/>
      <c r="S257" s="3257"/>
      <c r="T257" s="3258"/>
      <c r="U257" s="3257"/>
      <c r="V257" s="3256"/>
      <c r="W257" s="3257"/>
      <c r="X257" s="3256"/>
      <c r="Y257" s="3257"/>
      <c r="Z257" s="3256"/>
      <c r="AA257" s="3257"/>
      <c r="AB257" s="3256"/>
      <c r="AC257" s="3257"/>
      <c r="AD257" s="3256"/>
      <c r="AE257" s="3257"/>
      <c r="AF257" s="3256"/>
      <c r="AG257" s="3257"/>
      <c r="AH257" s="3256"/>
      <c r="AI257" s="3257"/>
      <c r="AJ257" s="3256"/>
      <c r="AK257" s="3257"/>
      <c r="AL257" s="3258"/>
      <c r="AM257" s="3259"/>
      <c r="AN257" s="3260"/>
      <c r="AO257" s="3262"/>
      <c r="AP257" s="3263"/>
      <c r="AQ257" s="3264"/>
      <c r="AR257" s="3261"/>
      <c r="AS257" s="3265"/>
      <c r="AT257" s="3261"/>
      <c r="AU257" s="3258"/>
      <c r="AV257" s="3263"/>
      <c r="AW257" s="3261"/>
      <c r="AX257" s="3258"/>
      <c r="AY257" t="str">
        <f t="shared" si="191"/>
        <v/>
      </c>
      <c r="CA257" s="2841" t="str">
        <f t="shared" si="192"/>
        <v/>
      </c>
      <c r="CB257" s="2841" t="str">
        <f t="shared" si="193"/>
        <v/>
      </c>
      <c r="CC257" s="2890"/>
      <c r="CD257" s="2890"/>
      <c r="CE257" s="2890"/>
      <c r="CF257" s="2841" t="str">
        <f t="shared" si="194"/>
        <v/>
      </c>
      <c r="CG257" s="2890"/>
      <c r="CH257" s="2841" t="str">
        <f t="shared" si="205"/>
        <v/>
      </c>
      <c r="CI257" s="2841" t="str">
        <f t="shared" si="195"/>
        <v/>
      </c>
      <c r="CJ257" s="2890"/>
      <c r="CK257" s="2841" t="str">
        <f t="shared" si="196"/>
        <v/>
      </c>
      <c r="CL257" s="2841" t="str">
        <f t="shared" si="197"/>
        <v/>
      </c>
      <c r="CO257" s="2842">
        <f t="shared" si="198"/>
        <v>0</v>
      </c>
      <c r="CP257" s="2842">
        <f t="shared" si="199"/>
        <v>0</v>
      </c>
      <c r="CQ257" s="2890"/>
      <c r="CR257" s="2890"/>
      <c r="CS257" s="2890"/>
      <c r="CT257" s="2842">
        <f t="shared" si="200"/>
        <v>0</v>
      </c>
      <c r="CU257" s="2890"/>
      <c r="CV257" s="2842">
        <f t="shared" si="201"/>
        <v>0</v>
      </c>
      <c r="CW257" s="2842">
        <f t="shared" si="202"/>
        <v>0</v>
      </c>
      <c r="CX257" s="2890"/>
      <c r="CY257" s="2842">
        <f t="shared" si="203"/>
        <v>0</v>
      </c>
      <c r="CZ257" s="2842">
        <f t="shared" si="204"/>
        <v>0</v>
      </c>
    </row>
    <row r="258" spans="1:104" ht="15" customHeight="1">
      <c r="A258" s="6129"/>
      <c r="B258" s="6577" t="s">
        <v>1906</v>
      </c>
      <c r="C258" s="6577"/>
      <c r="D258" s="3198">
        <f t="shared" si="188"/>
        <v>0</v>
      </c>
      <c r="E258" s="2933">
        <f>SUM(+I258+K258+M258+O258+Q258+S258+U258+W258+Y258+AA258+AC258+AE258+AG258+AI258+AK258)</f>
        <v>0</v>
      </c>
      <c r="F258" s="2875">
        <f>SUM(+J258+L258+N258+P258+R258+T258+V258+X258+Z258+AB258+AD258+AF258+AH258+AJ258+AL258)</f>
        <v>0</v>
      </c>
      <c r="G258" s="3236"/>
      <c r="H258" s="3235"/>
      <c r="I258" s="3236"/>
      <c r="J258" s="3235"/>
      <c r="K258" s="3236"/>
      <c r="L258" s="3235"/>
      <c r="M258" s="3236"/>
      <c r="N258" s="3235"/>
      <c r="O258" s="3236"/>
      <c r="P258" s="3235"/>
      <c r="Q258" s="3236"/>
      <c r="R258" s="3235"/>
      <c r="S258" s="3236"/>
      <c r="T258" s="2196"/>
      <c r="U258" s="3234"/>
      <c r="V258" s="3235"/>
      <c r="W258" s="3234"/>
      <c r="X258" s="3235"/>
      <c r="Y258" s="3234"/>
      <c r="Z258" s="3235"/>
      <c r="AA258" s="3234"/>
      <c r="AB258" s="3235"/>
      <c r="AC258" s="3234"/>
      <c r="AD258" s="3235"/>
      <c r="AE258" s="3234"/>
      <c r="AF258" s="3235"/>
      <c r="AG258" s="3234"/>
      <c r="AH258" s="3235"/>
      <c r="AI258" s="3234"/>
      <c r="AJ258" s="3235"/>
      <c r="AK258" s="3236"/>
      <c r="AL258" s="2196"/>
      <c r="AM258" s="2195"/>
      <c r="AN258" s="3237"/>
      <c r="AO258" s="3266"/>
      <c r="AP258" s="3238"/>
      <c r="AQ258" s="3267"/>
      <c r="AR258" s="3239"/>
      <c r="AS258" s="3240"/>
      <c r="AT258" s="3239"/>
      <c r="AU258" s="2196"/>
      <c r="AV258" s="3238"/>
      <c r="AW258" s="3239"/>
      <c r="AX258" s="2196"/>
      <c r="AY258" t="str">
        <f t="shared" si="191"/>
        <v/>
      </c>
      <c r="CA258" s="2841" t="str">
        <f t="shared" si="192"/>
        <v/>
      </c>
      <c r="CB258" s="2841" t="str">
        <f t="shared" si="193"/>
        <v/>
      </c>
      <c r="CC258" s="2890"/>
      <c r="CD258" s="2890"/>
      <c r="CE258" s="2890"/>
      <c r="CF258" s="2841" t="str">
        <f t="shared" si="194"/>
        <v/>
      </c>
      <c r="CG258" s="2890"/>
      <c r="CH258" s="2841" t="str">
        <f t="shared" si="205"/>
        <v/>
      </c>
      <c r="CI258" s="2841" t="str">
        <f t="shared" si="195"/>
        <v/>
      </c>
      <c r="CJ258" s="2890"/>
      <c r="CK258" s="2841" t="str">
        <f t="shared" si="196"/>
        <v/>
      </c>
      <c r="CL258" s="2841" t="str">
        <f t="shared" si="197"/>
        <v/>
      </c>
      <c r="CO258" s="2842">
        <f t="shared" si="198"/>
        <v>0</v>
      </c>
      <c r="CP258" s="2842">
        <f t="shared" si="199"/>
        <v>0</v>
      </c>
      <c r="CQ258" s="2890"/>
      <c r="CR258" s="2890"/>
      <c r="CS258" s="2890"/>
      <c r="CT258" s="2842">
        <f t="shared" si="200"/>
        <v>0</v>
      </c>
      <c r="CU258" s="2890"/>
      <c r="CV258" s="2842">
        <f t="shared" si="201"/>
        <v>0</v>
      </c>
      <c r="CW258" s="2842">
        <f t="shared" si="202"/>
        <v>0</v>
      </c>
      <c r="CX258" s="2890"/>
      <c r="CY258" s="2842">
        <f t="shared" si="203"/>
        <v>0</v>
      </c>
      <c r="CZ258" s="2842">
        <f t="shared" si="204"/>
        <v>0</v>
      </c>
    </row>
    <row r="259" spans="1:104" ht="15" customHeight="1">
      <c r="A259" s="6127" t="s">
        <v>1709</v>
      </c>
      <c r="B259" s="6612" t="s">
        <v>1901</v>
      </c>
      <c r="C259" s="6612"/>
      <c r="D259" s="3192">
        <f t="shared" si="188"/>
        <v>0</v>
      </c>
      <c r="E259" s="2975">
        <f t="shared" ref="E259:E260" si="208">SUM(O259+Q259+S259+U259+W259+Y259+AA259+AC259+AE259+AG259+AI259+AK259)</f>
        <v>0</v>
      </c>
      <c r="F259" s="2860">
        <f>SUM(P259+R259+T259+V259+X259+Z259+AB259+AD259+AF259+AH259+AJ259+AL259)</f>
        <v>0</v>
      </c>
      <c r="G259" s="2197"/>
      <c r="H259" s="2198"/>
      <c r="I259" s="2197"/>
      <c r="J259" s="2198"/>
      <c r="K259" s="2197"/>
      <c r="L259" s="2198"/>
      <c r="M259" s="2197"/>
      <c r="N259" s="2198"/>
      <c r="O259" s="2219"/>
      <c r="P259" s="2217"/>
      <c r="Q259" s="2219"/>
      <c r="R259" s="2217"/>
      <c r="S259" s="2219"/>
      <c r="T259" s="2177"/>
      <c r="U259" s="3268"/>
      <c r="V259" s="3269"/>
      <c r="W259" s="3268"/>
      <c r="X259" s="3269"/>
      <c r="Y259" s="3268"/>
      <c r="Z259" s="3269"/>
      <c r="AA259" s="3268"/>
      <c r="AB259" s="3269"/>
      <c r="AC259" s="3268"/>
      <c r="AD259" s="3269"/>
      <c r="AE259" s="3268"/>
      <c r="AF259" s="3269"/>
      <c r="AG259" s="3268"/>
      <c r="AH259" s="3269"/>
      <c r="AI259" s="3268"/>
      <c r="AJ259" s="3269"/>
      <c r="AK259" s="2219"/>
      <c r="AL259" s="2177"/>
      <c r="AM259" s="3244"/>
      <c r="AN259" s="3245"/>
      <c r="AO259" s="2216"/>
      <c r="AP259" s="3243"/>
      <c r="AQ259" s="3246"/>
      <c r="AR259" s="3247"/>
      <c r="AS259" s="3248"/>
      <c r="AT259" s="3247"/>
      <c r="AU259" s="3249"/>
      <c r="AV259" s="3228"/>
      <c r="AW259" s="3247"/>
      <c r="AX259" s="3249"/>
      <c r="AY259" t="str">
        <f t="shared" si="191"/>
        <v/>
      </c>
      <c r="CA259" s="2841" t="str">
        <f t="shared" si="192"/>
        <v/>
      </c>
      <c r="CB259" s="2841" t="str">
        <f t="shared" si="193"/>
        <v/>
      </c>
      <c r="CC259" s="2841" t="str">
        <f>IF(AND($D259&gt;0,AO259="")," * No olvide digitar la variable Consultas Pertinentes: Según Procolo de Referencia. Digite cero si no tiene.",IF(AO259&gt;$D259," * La variable Consultas Pertinentes: Según Procolo de Referencia no puede superar el Total Ambos Sexos.",""))</f>
        <v/>
      </c>
      <c r="CD259" s="2841" t="str">
        <f>IF(AND($D259&gt;0,AP259="")," * No olvide digitar la variable Consultas Pertinentes: Según condición clínica. Digite cero si no tiene.",IF(AP259&gt;$D259," * La variable Consultas Pertinentes: Según condición clínica no puede superar el Total Ambos Sexos.",""))</f>
        <v/>
      </c>
      <c r="CE259" s="2841" t="str">
        <f t="shared" si="206"/>
        <v/>
      </c>
      <c r="CF259" s="2841" t="str">
        <f t="shared" si="194"/>
        <v/>
      </c>
      <c r="CG259" s="2890"/>
      <c r="CH259" s="2841" t="str">
        <f t="shared" si="205"/>
        <v/>
      </c>
      <c r="CI259" s="2841" t="str">
        <f t="shared" si="195"/>
        <v/>
      </c>
      <c r="CJ259" s="2890"/>
      <c r="CK259" s="2841" t="str">
        <f t="shared" si="196"/>
        <v/>
      </c>
      <c r="CL259" s="2841" t="str">
        <f t="shared" si="197"/>
        <v/>
      </c>
      <c r="CO259" s="2842">
        <f t="shared" si="198"/>
        <v>0</v>
      </c>
      <c r="CP259" s="2842">
        <f t="shared" si="199"/>
        <v>0</v>
      </c>
      <c r="CQ259" s="2842">
        <f>IF(AND($D259&gt;0,AO259=""),1,IF(AO259&gt;$D259,1,0))</f>
        <v>0</v>
      </c>
      <c r="CR259" s="2842">
        <f t="shared" si="207"/>
        <v>0</v>
      </c>
      <c r="CS259" s="2842">
        <f t="shared" ref="CS259:CS320" si="209">IF(AND($D259&gt;0,AQ259=""),1,IF(AQ259&gt;$D259,1,0))</f>
        <v>0</v>
      </c>
      <c r="CT259" s="2842">
        <f t="shared" si="200"/>
        <v>0</v>
      </c>
      <c r="CU259" s="2890"/>
      <c r="CV259" s="2842">
        <f t="shared" si="201"/>
        <v>0</v>
      </c>
      <c r="CW259" s="2842">
        <f t="shared" si="202"/>
        <v>0</v>
      </c>
      <c r="CX259" s="2890"/>
      <c r="CY259" s="2842">
        <f t="shared" si="203"/>
        <v>0</v>
      </c>
      <c r="CZ259" s="2842">
        <f t="shared" si="204"/>
        <v>0</v>
      </c>
    </row>
    <row r="260" spans="1:104" ht="15" customHeight="1">
      <c r="A260" s="6128"/>
      <c r="B260" s="6573" t="s">
        <v>1902</v>
      </c>
      <c r="C260" s="6573"/>
      <c r="D260" s="3251">
        <f t="shared" si="188"/>
        <v>0</v>
      </c>
      <c r="E260" s="2977">
        <f t="shared" si="208"/>
        <v>0</v>
      </c>
      <c r="F260" s="2984">
        <f t="shared" ref="F260:F264" si="210">SUM(N260+P260+R260+T260+V260+X260+Z260+AB260+AD260+AF260+AH260+AJ260+AL260)</f>
        <v>0</v>
      </c>
      <c r="G260" s="2378"/>
      <c r="H260" s="2379"/>
      <c r="I260" s="2378"/>
      <c r="J260" s="2379"/>
      <c r="K260" s="2378"/>
      <c r="L260" s="2379"/>
      <c r="M260" s="2378"/>
      <c r="N260" s="2379"/>
      <c r="O260" s="2224"/>
      <c r="P260" s="2222"/>
      <c r="Q260" s="2224"/>
      <c r="R260" s="2222"/>
      <c r="S260" s="2224"/>
      <c r="T260" s="2193"/>
      <c r="U260" s="3270"/>
      <c r="V260" s="3271"/>
      <c r="W260" s="3270"/>
      <c r="X260" s="3271"/>
      <c r="Y260" s="3270"/>
      <c r="Z260" s="3271"/>
      <c r="AA260" s="3270"/>
      <c r="AB260" s="3271"/>
      <c r="AC260" s="3270"/>
      <c r="AD260" s="3271"/>
      <c r="AE260" s="3270"/>
      <c r="AF260" s="3271"/>
      <c r="AG260" s="3270"/>
      <c r="AH260" s="3271"/>
      <c r="AI260" s="3270"/>
      <c r="AJ260" s="3271"/>
      <c r="AK260" s="2224"/>
      <c r="AL260" s="2193"/>
      <c r="AM260" s="2192"/>
      <c r="AN260" s="3252"/>
      <c r="AO260" s="3227"/>
      <c r="AP260" s="3228"/>
      <c r="AQ260" s="3253"/>
      <c r="AR260" s="3254"/>
      <c r="AS260" s="3248"/>
      <c r="AT260" s="3254"/>
      <c r="AU260" s="2193"/>
      <c r="AV260" s="3228"/>
      <c r="AW260" s="3254"/>
      <c r="AX260" s="2193"/>
      <c r="AY260" t="str">
        <f t="shared" si="191"/>
        <v/>
      </c>
      <c r="CA260" s="2841" t="str">
        <f t="shared" si="192"/>
        <v/>
      </c>
      <c r="CB260" s="2841" t="str">
        <f t="shared" si="193"/>
        <v/>
      </c>
      <c r="CC260" s="2890"/>
      <c r="CD260" s="2890"/>
      <c r="CE260" s="2841" t="str">
        <f t="shared" si="206"/>
        <v/>
      </c>
      <c r="CF260" s="2841" t="str">
        <f t="shared" si="194"/>
        <v/>
      </c>
      <c r="CG260" s="2890"/>
      <c r="CH260" s="2841" t="str">
        <f t="shared" si="205"/>
        <v/>
      </c>
      <c r="CI260" s="2841" t="str">
        <f t="shared" si="195"/>
        <v/>
      </c>
      <c r="CJ260" s="2890"/>
      <c r="CK260" s="2841" t="str">
        <f t="shared" si="196"/>
        <v/>
      </c>
      <c r="CL260" s="2841" t="str">
        <f t="shared" si="197"/>
        <v/>
      </c>
      <c r="CO260" s="2842">
        <f t="shared" si="198"/>
        <v>0</v>
      </c>
      <c r="CP260" s="2842">
        <f t="shared" si="199"/>
        <v>0</v>
      </c>
      <c r="CQ260" s="2890"/>
      <c r="CR260" s="2890"/>
      <c r="CS260" s="2842">
        <f t="shared" si="209"/>
        <v>0</v>
      </c>
      <c r="CT260" s="2842">
        <f t="shared" si="200"/>
        <v>0</v>
      </c>
      <c r="CU260" s="2890"/>
      <c r="CV260" s="2842">
        <f t="shared" si="201"/>
        <v>0</v>
      </c>
      <c r="CW260" s="2842">
        <f t="shared" si="202"/>
        <v>0</v>
      </c>
      <c r="CX260" s="2890"/>
      <c r="CY260" s="2842">
        <f t="shared" si="203"/>
        <v>0</v>
      </c>
      <c r="CZ260" s="2842">
        <f t="shared" si="204"/>
        <v>0</v>
      </c>
    </row>
    <row r="261" spans="1:104" ht="15" customHeight="1">
      <c r="A261" s="6128"/>
      <c r="B261" s="6573" t="s">
        <v>1903</v>
      </c>
      <c r="C261" s="6573"/>
      <c r="D261" s="3251">
        <f t="shared" si="188"/>
        <v>0</v>
      </c>
      <c r="E261" s="2977">
        <f t="shared" ref="E261:E264" si="211">SUM(M261+O261+Q261+S261+U261+W261+Y261+AA261+AC261+AE261+AG261+AI261+AK261)</f>
        <v>0</v>
      </c>
      <c r="F261" s="2984">
        <f t="shared" si="210"/>
        <v>0</v>
      </c>
      <c r="G261" s="2378"/>
      <c r="H261" s="2379"/>
      <c r="I261" s="2378"/>
      <c r="J261" s="2379"/>
      <c r="K261" s="2378"/>
      <c r="L261" s="2379"/>
      <c r="M261" s="2378"/>
      <c r="N261" s="2379"/>
      <c r="O261" s="2224"/>
      <c r="P261" s="2222"/>
      <c r="Q261" s="2224"/>
      <c r="R261" s="2222"/>
      <c r="S261" s="2224"/>
      <c r="T261" s="2193"/>
      <c r="U261" s="3270"/>
      <c r="V261" s="3271"/>
      <c r="W261" s="3270"/>
      <c r="X261" s="3271"/>
      <c r="Y261" s="3270"/>
      <c r="Z261" s="3271"/>
      <c r="AA261" s="3270"/>
      <c r="AB261" s="3271"/>
      <c r="AC261" s="3270"/>
      <c r="AD261" s="3271"/>
      <c r="AE261" s="3270"/>
      <c r="AF261" s="3271"/>
      <c r="AG261" s="3270"/>
      <c r="AH261" s="3271"/>
      <c r="AI261" s="3270"/>
      <c r="AJ261" s="3271"/>
      <c r="AK261" s="2224"/>
      <c r="AL261" s="2193"/>
      <c r="AM261" s="2192"/>
      <c r="AN261" s="3252"/>
      <c r="AO261" s="3227"/>
      <c r="AP261" s="3228"/>
      <c r="AQ261" s="3229"/>
      <c r="AR261" s="3254"/>
      <c r="AS261" s="3248"/>
      <c r="AT261" s="3254"/>
      <c r="AU261" s="2193"/>
      <c r="AV261" s="3228"/>
      <c r="AW261" s="3254"/>
      <c r="AX261" s="2193"/>
      <c r="AY261" t="str">
        <f t="shared" si="191"/>
        <v/>
      </c>
      <c r="CA261" s="2841" t="str">
        <f t="shared" si="192"/>
        <v/>
      </c>
      <c r="CB261" s="2841" t="str">
        <f t="shared" si="193"/>
        <v/>
      </c>
      <c r="CC261" s="2890"/>
      <c r="CD261" s="2890"/>
      <c r="CE261" s="2890"/>
      <c r="CF261" s="2841" t="str">
        <f t="shared" si="194"/>
        <v/>
      </c>
      <c r="CG261" s="2890"/>
      <c r="CH261" s="2841" t="str">
        <f t="shared" si="205"/>
        <v/>
      </c>
      <c r="CI261" s="2841" t="str">
        <f t="shared" si="195"/>
        <v/>
      </c>
      <c r="CJ261" s="2890"/>
      <c r="CK261" s="2841" t="str">
        <f t="shared" si="196"/>
        <v/>
      </c>
      <c r="CL261" s="2841" t="str">
        <f t="shared" si="197"/>
        <v/>
      </c>
      <c r="CO261" s="2842">
        <f t="shared" si="198"/>
        <v>0</v>
      </c>
      <c r="CP261" s="2842">
        <f t="shared" si="199"/>
        <v>0</v>
      </c>
      <c r="CQ261" s="2890"/>
      <c r="CR261" s="2890"/>
      <c r="CS261" s="2890"/>
      <c r="CT261" s="2842">
        <f t="shared" si="200"/>
        <v>0</v>
      </c>
      <c r="CU261" s="2890"/>
      <c r="CV261" s="2842">
        <f t="shared" si="201"/>
        <v>0</v>
      </c>
      <c r="CW261" s="2842">
        <f t="shared" si="202"/>
        <v>0</v>
      </c>
      <c r="CX261" s="2890"/>
      <c r="CY261" s="2842">
        <f t="shared" si="203"/>
        <v>0</v>
      </c>
      <c r="CZ261" s="2842">
        <f t="shared" si="204"/>
        <v>0</v>
      </c>
    </row>
    <row r="262" spans="1:104" ht="15" customHeight="1">
      <c r="A262" s="6128"/>
      <c r="B262" s="6565" t="s">
        <v>1904</v>
      </c>
      <c r="C262" s="6567"/>
      <c r="D262" s="3251">
        <f t="shared" si="188"/>
        <v>0</v>
      </c>
      <c r="E262" s="2977">
        <f t="shared" si="211"/>
        <v>0</v>
      </c>
      <c r="F262" s="2984">
        <f t="shared" si="210"/>
        <v>0</v>
      </c>
      <c r="G262" s="2378"/>
      <c r="H262" s="2379"/>
      <c r="I262" s="2378"/>
      <c r="J262" s="2379"/>
      <c r="K262" s="2378"/>
      <c r="L262" s="2379"/>
      <c r="M262" s="2378"/>
      <c r="N262" s="2379"/>
      <c r="O262" s="3257"/>
      <c r="P262" s="3256"/>
      <c r="Q262" s="3257"/>
      <c r="R262" s="3256"/>
      <c r="S262" s="3257"/>
      <c r="T262" s="3258"/>
      <c r="U262" s="3272"/>
      <c r="V262" s="3273"/>
      <c r="W262" s="3272"/>
      <c r="X262" s="3273"/>
      <c r="Y262" s="3272"/>
      <c r="Z262" s="3273"/>
      <c r="AA262" s="3272"/>
      <c r="AB262" s="3273"/>
      <c r="AC262" s="3272"/>
      <c r="AD262" s="3273"/>
      <c r="AE262" s="3272"/>
      <c r="AF262" s="3273"/>
      <c r="AG262" s="3272"/>
      <c r="AH262" s="3273"/>
      <c r="AI262" s="3272"/>
      <c r="AJ262" s="3273"/>
      <c r="AK262" s="3257"/>
      <c r="AL262" s="3258"/>
      <c r="AM262" s="3259"/>
      <c r="AN262" s="3260"/>
      <c r="AO262" s="3227"/>
      <c r="AP262" s="3228"/>
      <c r="AQ262" s="3229"/>
      <c r="AR262" s="3261"/>
      <c r="AS262" s="3248"/>
      <c r="AT262" s="3261"/>
      <c r="AU262" s="3258"/>
      <c r="AV262" s="2193"/>
      <c r="AW262" s="3261"/>
      <c r="AX262" s="3258"/>
      <c r="AY262" t="str">
        <f t="shared" si="191"/>
        <v/>
      </c>
      <c r="CA262" s="2841" t="str">
        <f t="shared" si="192"/>
        <v/>
      </c>
      <c r="CB262" s="2841" t="str">
        <f t="shared" si="193"/>
        <v/>
      </c>
      <c r="CC262" s="2890"/>
      <c r="CD262" s="2890"/>
      <c r="CE262" s="2890"/>
      <c r="CF262" s="2841" t="str">
        <f t="shared" si="194"/>
        <v/>
      </c>
      <c r="CG262" s="2890"/>
      <c r="CH262" s="2841" t="str">
        <f t="shared" si="205"/>
        <v/>
      </c>
      <c r="CI262" s="2841" t="str">
        <f t="shared" si="195"/>
        <v/>
      </c>
      <c r="CJ262" s="2841" t="str">
        <f>IF(AND($D262&gt;0,AV262="")," * No olvide digitar la variable Contrarreferencia al alta. Digite Cero si no tiene.",IF(AV262&gt;$D262," * La variable Contrarreferencia al alta no puede superar el Total Ambos Sexos.",""))</f>
        <v/>
      </c>
      <c r="CK262" s="2841" t="str">
        <f t="shared" si="196"/>
        <v/>
      </c>
      <c r="CL262" s="2841" t="str">
        <f t="shared" si="197"/>
        <v/>
      </c>
      <c r="CO262" s="2842">
        <f t="shared" si="198"/>
        <v>0</v>
      </c>
      <c r="CP262" s="2842">
        <f t="shared" si="199"/>
        <v>0</v>
      </c>
      <c r="CQ262" s="2890"/>
      <c r="CR262" s="2890"/>
      <c r="CS262" s="2890"/>
      <c r="CT262" s="2842">
        <f t="shared" si="200"/>
        <v>0</v>
      </c>
      <c r="CU262" s="2890"/>
      <c r="CV262" s="2842">
        <f t="shared" si="201"/>
        <v>0</v>
      </c>
      <c r="CW262" s="2842">
        <f t="shared" si="202"/>
        <v>0</v>
      </c>
      <c r="CX262" s="2842">
        <f>IF(AND($D262&gt;0,AV262=""),1,IF(AV262&gt;$D262,1,0))</f>
        <v>0</v>
      </c>
      <c r="CY262" s="2842">
        <f t="shared" si="203"/>
        <v>0</v>
      </c>
      <c r="CZ262" s="2842">
        <f t="shared" si="204"/>
        <v>0</v>
      </c>
    </row>
    <row r="263" spans="1:104" ht="15" customHeight="1">
      <c r="A263" s="6128"/>
      <c r="B263" s="6565" t="s">
        <v>1905</v>
      </c>
      <c r="C263" s="6567"/>
      <c r="D263" s="3251">
        <f t="shared" si="188"/>
        <v>0</v>
      </c>
      <c r="E263" s="2977">
        <f t="shared" si="211"/>
        <v>0</v>
      </c>
      <c r="F263" s="2984">
        <f t="shared" si="210"/>
        <v>0</v>
      </c>
      <c r="G263" s="2378"/>
      <c r="H263" s="2379"/>
      <c r="I263" s="2378"/>
      <c r="J263" s="2379"/>
      <c r="K263" s="2378"/>
      <c r="L263" s="2379"/>
      <c r="M263" s="2378"/>
      <c r="N263" s="2379"/>
      <c r="O263" s="3257"/>
      <c r="P263" s="3256"/>
      <c r="Q263" s="3257"/>
      <c r="R263" s="3256"/>
      <c r="S263" s="3257"/>
      <c r="T263" s="3258"/>
      <c r="U263" s="3272"/>
      <c r="V263" s="3273"/>
      <c r="W263" s="3272"/>
      <c r="X263" s="3273"/>
      <c r="Y263" s="3272"/>
      <c r="Z263" s="3273"/>
      <c r="AA263" s="3272"/>
      <c r="AB263" s="3273"/>
      <c r="AC263" s="3272"/>
      <c r="AD263" s="3273"/>
      <c r="AE263" s="3272"/>
      <c r="AF263" s="3273"/>
      <c r="AG263" s="3272"/>
      <c r="AH263" s="3273"/>
      <c r="AI263" s="3272"/>
      <c r="AJ263" s="3273"/>
      <c r="AK263" s="3257"/>
      <c r="AL263" s="3258"/>
      <c r="AM263" s="3259"/>
      <c r="AN263" s="3260"/>
      <c r="AO263" s="3262"/>
      <c r="AP263" s="3263"/>
      <c r="AQ263" s="3264"/>
      <c r="AR263" s="3261"/>
      <c r="AS263" s="3265"/>
      <c r="AT263" s="3261"/>
      <c r="AU263" s="3258"/>
      <c r="AV263" s="3263"/>
      <c r="AW263" s="3261"/>
      <c r="AX263" s="3258"/>
      <c r="AY263" t="str">
        <f t="shared" si="191"/>
        <v/>
      </c>
      <c r="CA263" s="2841" t="str">
        <f t="shared" si="192"/>
        <v/>
      </c>
      <c r="CB263" s="2841" t="str">
        <f t="shared" si="193"/>
        <v/>
      </c>
      <c r="CC263" s="2890"/>
      <c r="CD263" s="2890"/>
      <c r="CE263" s="2890"/>
      <c r="CF263" s="2841" t="str">
        <f t="shared" si="194"/>
        <v/>
      </c>
      <c r="CG263" s="2890"/>
      <c r="CH263" s="2841" t="str">
        <f t="shared" si="205"/>
        <v/>
      </c>
      <c r="CI263" s="2841" t="str">
        <f t="shared" si="195"/>
        <v/>
      </c>
      <c r="CJ263" s="2890"/>
      <c r="CK263" s="2841" t="str">
        <f t="shared" si="196"/>
        <v/>
      </c>
      <c r="CL263" s="2841" t="str">
        <f t="shared" si="197"/>
        <v/>
      </c>
      <c r="CO263" s="2842">
        <f t="shared" si="198"/>
        <v>0</v>
      </c>
      <c r="CP263" s="2842">
        <f t="shared" si="199"/>
        <v>0</v>
      </c>
      <c r="CQ263" s="2890"/>
      <c r="CR263" s="2890"/>
      <c r="CS263" s="2890"/>
      <c r="CT263" s="2842">
        <f t="shared" si="200"/>
        <v>0</v>
      </c>
      <c r="CU263" s="2890"/>
      <c r="CV263" s="2842">
        <f t="shared" si="201"/>
        <v>0</v>
      </c>
      <c r="CW263" s="2842">
        <f t="shared" si="202"/>
        <v>0</v>
      </c>
      <c r="CX263" s="2890"/>
      <c r="CY263" s="2842">
        <f t="shared" si="203"/>
        <v>0</v>
      </c>
      <c r="CZ263" s="2842">
        <f t="shared" si="204"/>
        <v>0</v>
      </c>
    </row>
    <row r="264" spans="1:104" ht="15" customHeight="1">
      <c r="A264" s="6129"/>
      <c r="B264" s="6577" t="s">
        <v>1906</v>
      </c>
      <c r="C264" s="6577"/>
      <c r="D264" s="3198">
        <f t="shared" si="188"/>
        <v>0</v>
      </c>
      <c r="E264" s="2933">
        <f t="shared" si="211"/>
        <v>0</v>
      </c>
      <c r="F264" s="2875">
        <f t="shared" si="210"/>
        <v>0</v>
      </c>
      <c r="G264" s="1765"/>
      <c r="H264" s="1766"/>
      <c r="I264" s="1765"/>
      <c r="J264" s="1766"/>
      <c r="K264" s="1765"/>
      <c r="L264" s="1766"/>
      <c r="M264" s="1765"/>
      <c r="N264" s="1766"/>
      <c r="O264" s="3236"/>
      <c r="P264" s="3235"/>
      <c r="Q264" s="3236"/>
      <c r="R264" s="3235"/>
      <c r="S264" s="3236"/>
      <c r="T264" s="2196"/>
      <c r="U264" s="3274"/>
      <c r="V264" s="3275"/>
      <c r="W264" s="3274"/>
      <c r="X264" s="3275"/>
      <c r="Y264" s="3274"/>
      <c r="Z264" s="3275"/>
      <c r="AA264" s="3274"/>
      <c r="AB264" s="3275"/>
      <c r="AC264" s="3274"/>
      <c r="AD264" s="3275"/>
      <c r="AE264" s="3274"/>
      <c r="AF264" s="3275"/>
      <c r="AG264" s="3274"/>
      <c r="AH264" s="3275"/>
      <c r="AI264" s="3274"/>
      <c r="AJ264" s="3275"/>
      <c r="AK264" s="3236"/>
      <c r="AL264" s="2196"/>
      <c r="AM264" s="2195"/>
      <c r="AN264" s="3237"/>
      <c r="AO264" s="3266"/>
      <c r="AP264" s="3238"/>
      <c r="AQ264" s="3267"/>
      <c r="AR264" s="3239"/>
      <c r="AS264" s="3240"/>
      <c r="AT264" s="3239"/>
      <c r="AU264" s="2196"/>
      <c r="AV264" s="3238"/>
      <c r="AW264" s="3239"/>
      <c r="AX264" s="2196"/>
      <c r="AY264" t="str">
        <f t="shared" si="191"/>
        <v/>
      </c>
      <c r="CA264" s="2841" t="str">
        <f t="shared" si="192"/>
        <v/>
      </c>
      <c r="CB264" s="2841" t="str">
        <f t="shared" si="193"/>
        <v/>
      </c>
      <c r="CC264" s="2890"/>
      <c r="CD264" s="2890"/>
      <c r="CE264" s="2890"/>
      <c r="CF264" s="2841" t="str">
        <f t="shared" si="194"/>
        <v/>
      </c>
      <c r="CG264" s="2890"/>
      <c r="CH264" s="2841" t="str">
        <f t="shared" si="205"/>
        <v/>
      </c>
      <c r="CI264" s="2841" t="str">
        <f t="shared" si="195"/>
        <v/>
      </c>
      <c r="CJ264" s="2890"/>
      <c r="CK264" s="2841" t="str">
        <f t="shared" si="196"/>
        <v/>
      </c>
      <c r="CL264" s="2841" t="str">
        <f t="shared" si="197"/>
        <v/>
      </c>
      <c r="CO264" s="2842">
        <f t="shared" si="198"/>
        <v>0</v>
      </c>
      <c r="CP264" s="2842">
        <f t="shared" si="199"/>
        <v>0</v>
      </c>
      <c r="CQ264" s="2890"/>
      <c r="CR264" s="2890"/>
      <c r="CS264" s="2890"/>
      <c r="CT264" s="2842">
        <f t="shared" si="200"/>
        <v>0</v>
      </c>
      <c r="CU264" s="2890"/>
      <c r="CV264" s="2842">
        <f t="shared" si="201"/>
        <v>0</v>
      </c>
      <c r="CW264" s="2842">
        <f t="shared" si="202"/>
        <v>0</v>
      </c>
      <c r="CX264" s="2890"/>
      <c r="CY264" s="2842">
        <f t="shared" si="203"/>
        <v>0</v>
      </c>
      <c r="CZ264" s="2842">
        <f t="shared" si="204"/>
        <v>0</v>
      </c>
    </row>
    <row r="265" spans="1:104" ht="15" customHeight="1">
      <c r="A265" s="6127" t="s">
        <v>1714</v>
      </c>
      <c r="B265" s="6612" t="s">
        <v>1901</v>
      </c>
      <c r="C265" s="6612"/>
      <c r="D265" s="3192">
        <f t="shared" si="188"/>
        <v>0</v>
      </c>
      <c r="E265" s="3276">
        <f t="shared" si="189"/>
        <v>0</v>
      </c>
      <c r="F265" s="3277">
        <f t="shared" si="190"/>
        <v>0</v>
      </c>
      <c r="G265" s="2219"/>
      <c r="H265" s="2217"/>
      <c r="I265" s="2219"/>
      <c r="J265" s="2217"/>
      <c r="K265" s="2219"/>
      <c r="L265" s="2217"/>
      <c r="M265" s="2219"/>
      <c r="N265" s="2217"/>
      <c r="O265" s="2219"/>
      <c r="P265" s="2217"/>
      <c r="Q265" s="2219"/>
      <c r="R265" s="2217"/>
      <c r="S265" s="2219"/>
      <c r="T265" s="2217"/>
      <c r="U265" s="3268"/>
      <c r="V265" s="3269"/>
      <c r="W265" s="3268"/>
      <c r="X265" s="3269"/>
      <c r="Y265" s="3268"/>
      <c r="Z265" s="3269"/>
      <c r="AA265" s="3268"/>
      <c r="AB265" s="3269"/>
      <c r="AC265" s="3268"/>
      <c r="AD265" s="3269"/>
      <c r="AE265" s="3268"/>
      <c r="AF265" s="3269"/>
      <c r="AG265" s="3268"/>
      <c r="AH265" s="3269"/>
      <c r="AI265" s="3268"/>
      <c r="AJ265" s="3269"/>
      <c r="AK265" s="2219"/>
      <c r="AL265" s="2217"/>
      <c r="AM265" s="2175"/>
      <c r="AN265" s="2219"/>
      <c r="AO265" s="2216"/>
      <c r="AP265" s="3243"/>
      <c r="AQ265" s="3246"/>
      <c r="AR265" s="3247"/>
      <c r="AS265" s="3278"/>
      <c r="AT265" s="3247"/>
      <c r="AU265" s="3249"/>
      <c r="AV265" s="3228"/>
      <c r="AW265" s="3247"/>
      <c r="AX265" s="3249"/>
      <c r="AY265" t="str">
        <f t="shared" si="191"/>
        <v/>
      </c>
      <c r="CA265" s="2841" t="str">
        <f t="shared" si="192"/>
        <v/>
      </c>
      <c r="CB265" s="2890"/>
      <c r="CC265" s="2841" t="str">
        <f>IF(AND($D265&gt;0,AO265="")," * No olvide digitar la variable Consultas Pertinentes: Según Procolo de Referencia. Digite cero si no tiene.",IF(AO265&gt;$D265," * La variable Consultas Pertinentes: Según Procolo de Referencia no puede superar el Total Ambos Sexos.",""))</f>
        <v/>
      </c>
      <c r="CD265" s="2841" t="str">
        <f>IF(AND($D265&gt;0,AP265="")," * No olvide digitar la variable Consultas Pertinentes: Según condición clínica. Digite cero si no tiene.",IF(AP265&gt;$D265," * La variable Consultas Pertinentes: Según condición clínica no puede superar el Total Ambos Sexos.",""))</f>
        <v/>
      </c>
      <c r="CE265" s="2841" t="str">
        <f t="shared" si="206"/>
        <v/>
      </c>
      <c r="CF265" s="2841" t="str">
        <f t="shared" si="194"/>
        <v/>
      </c>
      <c r="CG265" s="2841" t="str">
        <f t="shared" ref="CG265:CG282" si="212">IF(AND($D265&gt;0,AS265="")," * No olvide digitar la variable Ortodoncia interceptiva. Digite Cero si no tiene.",IF(AS265&gt;$D265," * La variable Ortodoncia interceptiva no puede superar el Total Ambos Sexos.",""))</f>
        <v/>
      </c>
      <c r="CH265" s="2841" t="str">
        <f t="shared" si="205"/>
        <v/>
      </c>
      <c r="CI265" s="2841" t="str">
        <f t="shared" si="195"/>
        <v/>
      </c>
      <c r="CJ265" s="2890"/>
      <c r="CK265" s="2841" t="str">
        <f t="shared" si="196"/>
        <v/>
      </c>
      <c r="CL265" s="2841" t="str">
        <f t="shared" si="197"/>
        <v/>
      </c>
      <c r="CO265" s="2842">
        <f t="shared" si="198"/>
        <v>0</v>
      </c>
      <c r="CP265" s="2890"/>
      <c r="CQ265" s="2842">
        <f>IF(AND($D265&gt;0,AO265=""),1,IF(AO265&gt;$D265,1,0))</f>
        <v>0</v>
      </c>
      <c r="CR265" s="2842">
        <f t="shared" si="207"/>
        <v>0</v>
      </c>
      <c r="CS265" s="2842">
        <f t="shared" si="209"/>
        <v>0</v>
      </c>
      <c r="CT265" s="2842">
        <f t="shared" si="200"/>
        <v>0</v>
      </c>
      <c r="CU265" s="2842">
        <f t="shared" ref="CU265:CU282" si="213">IF(AND($D265&gt;0,AS265=""),1,IF(AS265&gt;$D265,1,0))</f>
        <v>0</v>
      </c>
      <c r="CV265" s="2842">
        <f t="shared" si="201"/>
        <v>0</v>
      </c>
      <c r="CW265" s="2842">
        <f t="shared" si="202"/>
        <v>0</v>
      </c>
      <c r="CX265" s="2890"/>
      <c r="CY265" s="2842">
        <f t="shared" si="203"/>
        <v>0</v>
      </c>
      <c r="CZ265" s="2842">
        <f t="shared" si="204"/>
        <v>0</v>
      </c>
    </row>
    <row r="266" spans="1:104" ht="15" customHeight="1">
      <c r="A266" s="6128"/>
      <c r="B266" s="6573" t="s">
        <v>1902</v>
      </c>
      <c r="C266" s="6573"/>
      <c r="D266" s="3251">
        <f t="shared" si="188"/>
        <v>0</v>
      </c>
      <c r="E266" s="2977">
        <f t="shared" si="189"/>
        <v>0</v>
      </c>
      <c r="F266" s="2978">
        <f t="shared" si="190"/>
        <v>0</v>
      </c>
      <c r="G266" s="2224"/>
      <c r="H266" s="2222"/>
      <c r="I266" s="2224"/>
      <c r="J266" s="2222"/>
      <c r="K266" s="2224"/>
      <c r="L266" s="2222"/>
      <c r="M266" s="2224"/>
      <c r="N266" s="2222"/>
      <c r="O266" s="2224"/>
      <c r="P266" s="2222"/>
      <c r="Q266" s="2224"/>
      <c r="R266" s="2222"/>
      <c r="S266" s="2224"/>
      <c r="T266" s="2222"/>
      <c r="U266" s="3270"/>
      <c r="V266" s="3271"/>
      <c r="W266" s="3270"/>
      <c r="X266" s="3271"/>
      <c r="Y266" s="3270"/>
      <c r="Z266" s="3271"/>
      <c r="AA266" s="3270"/>
      <c r="AB266" s="3271"/>
      <c r="AC266" s="3270"/>
      <c r="AD266" s="3271"/>
      <c r="AE266" s="3270"/>
      <c r="AF266" s="3271"/>
      <c r="AG266" s="3270"/>
      <c r="AH266" s="3271"/>
      <c r="AI266" s="3270"/>
      <c r="AJ266" s="3271"/>
      <c r="AK266" s="2224"/>
      <c r="AL266" s="2222"/>
      <c r="AM266" s="2192"/>
      <c r="AN266" s="2224"/>
      <c r="AO266" s="3227"/>
      <c r="AP266" s="3228"/>
      <c r="AQ266" s="3253"/>
      <c r="AR266" s="3254"/>
      <c r="AS266" s="2224"/>
      <c r="AT266" s="3254"/>
      <c r="AU266" s="2193"/>
      <c r="AV266" s="3228"/>
      <c r="AW266" s="3254"/>
      <c r="AX266" s="2193"/>
      <c r="AY266" t="str">
        <f t="shared" si="191"/>
        <v/>
      </c>
      <c r="CA266" s="2841" t="str">
        <f t="shared" si="192"/>
        <v/>
      </c>
      <c r="CB266" s="2890"/>
      <c r="CC266" s="2890"/>
      <c r="CD266" s="2890"/>
      <c r="CE266" s="2841" t="str">
        <f t="shared" si="206"/>
        <v/>
      </c>
      <c r="CF266" s="2841" t="str">
        <f t="shared" si="194"/>
        <v/>
      </c>
      <c r="CG266" s="2841" t="str">
        <f t="shared" si="212"/>
        <v/>
      </c>
      <c r="CH266" s="2841" t="str">
        <f t="shared" si="205"/>
        <v/>
      </c>
      <c r="CI266" s="2841" t="str">
        <f t="shared" si="195"/>
        <v/>
      </c>
      <c r="CJ266" s="2890"/>
      <c r="CK266" s="2841" t="str">
        <f t="shared" si="196"/>
        <v/>
      </c>
      <c r="CL266" s="2841" t="str">
        <f t="shared" si="197"/>
        <v/>
      </c>
      <c r="CO266" s="2842">
        <f t="shared" si="198"/>
        <v>0</v>
      </c>
      <c r="CP266" s="2890"/>
      <c r="CQ266" s="2890"/>
      <c r="CR266" s="2890"/>
      <c r="CS266" s="2842">
        <f t="shared" si="209"/>
        <v>0</v>
      </c>
      <c r="CT266" s="2842">
        <f t="shared" si="200"/>
        <v>0</v>
      </c>
      <c r="CU266" s="2842">
        <f t="shared" si="213"/>
        <v>0</v>
      </c>
      <c r="CV266" s="2842">
        <f t="shared" si="201"/>
        <v>0</v>
      </c>
      <c r="CW266" s="2842">
        <f t="shared" si="202"/>
        <v>0</v>
      </c>
      <c r="CX266" s="2890"/>
      <c r="CY266" s="2842">
        <f t="shared" si="203"/>
        <v>0</v>
      </c>
      <c r="CZ266" s="2842">
        <f t="shared" si="204"/>
        <v>0</v>
      </c>
    </row>
    <row r="267" spans="1:104" ht="15" customHeight="1">
      <c r="A267" s="6128"/>
      <c r="B267" s="6573" t="s">
        <v>1903</v>
      </c>
      <c r="C267" s="6573"/>
      <c r="D267" s="3251">
        <f t="shared" si="188"/>
        <v>0</v>
      </c>
      <c r="E267" s="2977">
        <f t="shared" si="189"/>
        <v>0</v>
      </c>
      <c r="F267" s="2978">
        <f t="shared" si="190"/>
        <v>0</v>
      </c>
      <c r="G267" s="2224"/>
      <c r="H267" s="2222"/>
      <c r="I267" s="2224"/>
      <c r="J267" s="2222"/>
      <c r="K267" s="2224"/>
      <c r="L267" s="2222"/>
      <c r="M267" s="2224"/>
      <c r="N267" s="2222"/>
      <c r="O267" s="2224"/>
      <c r="P267" s="2222"/>
      <c r="Q267" s="2224"/>
      <c r="R267" s="2222"/>
      <c r="S267" s="2224"/>
      <c r="T267" s="2222"/>
      <c r="U267" s="3270"/>
      <c r="V267" s="3271"/>
      <c r="W267" s="3270"/>
      <c r="X267" s="3271"/>
      <c r="Y267" s="3270"/>
      <c r="Z267" s="3271"/>
      <c r="AA267" s="3270"/>
      <c r="AB267" s="3271"/>
      <c r="AC267" s="3270"/>
      <c r="AD267" s="3271"/>
      <c r="AE267" s="3270"/>
      <c r="AF267" s="3271"/>
      <c r="AG267" s="3270"/>
      <c r="AH267" s="3271"/>
      <c r="AI267" s="3270"/>
      <c r="AJ267" s="3271"/>
      <c r="AK267" s="2224"/>
      <c r="AL267" s="2222"/>
      <c r="AM267" s="2192"/>
      <c r="AN267" s="2224"/>
      <c r="AO267" s="3227"/>
      <c r="AP267" s="3228"/>
      <c r="AQ267" s="3229"/>
      <c r="AR267" s="3254"/>
      <c r="AS267" s="2224"/>
      <c r="AT267" s="3254"/>
      <c r="AU267" s="2193"/>
      <c r="AV267" s="3228"/>
      <c r="AW267" s="3254"/>
      <c r="AX267" s="2193"/>
      <c r="AY267" t="str">
        <f t="shared" si="191"/>
        <v/>
      </c>
      <c r="CA267" s="2841" t="str">
        <f t="shared" si="192"/>
        <v/>
      </c>
      <c r="CB267" s="2890"/>
      <c r="CC267" s="2890"/>
      <c r="CD267" s="2890"/>
      <c r="CE267" s="2890"/>
      <c r="CF267" s="2841" t="str">
        <f t="shared" si="194"/>
        <v/>
      </c>
      <c r="CG267" s="2841" t="str">
        <f t="shared" si="212"/>
        <v/>
      </c>
      <c r="CH267" s="2841" t="str">
        <f t="shared" si="205"/>
        <v/>
      </c>
      <c r="CI267" s="2841" t="str">
        <f t="shared" si="195"/>
        <v/>
      </c>
      <c r="CJ267" s="2890"/>
      <c r="CK267" s="2841" t="str">
        <f t="shared" si="196"/>
        <v/>
      </c>
      <c r="CL267" s="2841" t="str">
        <f t="shared" si="197"/>
        <v/>
      </c>
      <c r="CO267" s="2842">
        <f t="shared" si="198"/>
        <v>0</v>
      </c>
      <c r="CP267" s="2890"/>
      <c r="CQ267" s="2890"/>
      <c r="CR267" s="2890"/>
      <c r="CS267" s="2890"/>
      <c r="CT267" s="2842">
        <f t="shared" si="200"/>
        <v>0</v>
      </c>
      <c r="CU267" s="2842">
        <f t="shared" si="213"/>
        <v>0</v>
      </c>
      <c r="CV267" s="2842">
        <f t="shared" si="201"/>
        <v>0</v>
      </c>
      <c r="CW267" s="2842">
        <f t="shared" si="202"/>
        <v>0</v>
      </c>
      <c r="CX267" s="2890"/>
      <c r="CY267" s="2842">
        <f t="shared" si="203"/>
        <v>0</v>
      </c>
      <c r="CZ267" s="2842">
        <f t="shared" si="204"/>
        <v>0</v>
      </c>
    </row>
    <row r="268" spans="1:104" ht="15" customHeight="1">
      <c r="A268" s="6128"/>
      <c r="B268" s="6565" t="s">
        <v>1904</v>
      </c>
      <c r="C268" s="6567"/>
      <c r="D268" s="3251">
        <f t="shared" si="188"/>
        <v>0</v>
      </c>
      <c r="E268" s="2977">
        <f t="shared" si="189"/>
        <v>0</v>
      </c>
      <c r="F268" s="2978">
        <f t="shared" si="190"/>
        <v>0</v>
      </c>
      <c r="G268" s="3257"/>
      <c r="H268" s="3256"/>
      <c r="I268" s="3257"/>
      <c r="J268" s="3256"/>
      <c r="K268" s="3257"/>
      <c r="L268" s="3256"/>
      <c r="M268" s="3257"/>
      <c r="N268" s="3256"/>
      <c r="O268" s="3257"/>
      <c r="P268" s="3256"/>
      <c r="Q268" s="3257"/>
      <c r="R268" s="3256"/>
      <c r="S268" s="3257"/>
      <c r="T268" s="3256"/>
      <c r="U268" s="3272"/>
      <c r="V268" s="3273"/>
      <c r="W268" s="3272"/>
      <c r="X268" s="3273"/>
      <c r="Y268" s="3272"/>
      <c r="Z268" s="3273"/>
      <c r="AA268" s="3272"/>
      <c r="AB268" s="3273"/>
      <c r="AC268" s="3272"/>
      <c r="AD268" s="3273"/>
      <c r="AE268" s="3272"/>
      <c r="AF268" s="3273"/>
      <c r="AG268" s="3272"/>
      <c r="AH268" s="3273"/>
      <c r="AI268" s="3272"/>
      <c r="AJ268" s="3273"/>
      <c r="AK268" s="3257"/>
      <c r="AL268" s="3256"/>
      <c r="AM268" s="2192"/>
      <c r="AN268" s="2224"/>
      <c r="AO268" s="3227"/>
      <c r="AP268" s="3228"/>
      <c r="AQ268" s="3229"/>
      <c r="AR268" s="3261"/>
      <c r="AS268" s="3257"/>
      <c r="AT268" s="3261"/>
      <c r="AU268" s="3258"/>
      <c r="AV268" s="2193"/>
      <c r="AW268" s="3261"/>
      <c r="AX268" s="3258"/>
      <c r="AY268" t="str">
        <f t="shared" si="191"/>
        <v/>
      </c>
      <c r="CA268" s="2841" t="str">
        <f t="shared" si="192"/>
        <v/>
      </c>
      <c r="CB268" s="2890"/>
      <c r="CC268" s="2890"/>
      <c r="CD268" s="2890"/>
      <c r="CE268" s="2890"/>
      <c r="CF268" s="2841" t="str">
        <f t="shared" si="194"/>
        <v/>
      </c>
      <c r="CG268" s="2841" t="str">
        <f t="shared" si="212"/>
        <v/>
      </c>
      <c r="CH268" s="2841" t="str">
        <f t="shared" si="205"/>
        <v/>
      </c>
      <c r="CI268" s="2841" t="str">
        <f t="shared" si="195"/>
        <v/>
      </c>
      <c r="CJ268" s="2841" t="str">
        <f>IF(AND($D268&gt;0,AV268="")," * No olvide digitar la variable Contrarreferencia al alta. Digite Cero si no tiene.",IF(AV268&gt;$D268," * La variable Contrarreferencia al alta no puede superar el Total Ambos Sexos.",""))</f>
        <v/>
      </c>
      <c r="CK268" s="2841" t="str">
        <f t="shared" si="196"/>
        <v/>
      </c>
      <c r="CL268" s="2841" t="str">
        <f t="shared" si="197"/>
        <v/>
      </c>
      <c r="CO268" s="2842">
        <f t="shared" si="198"/>
        <v>0</v>
      </c>
      <c r="CP268" s="2890"/>
      <c r="CQ268" s="2890"/>
      <c r="CR268" s="2890"/>
      <c r="CS268" s="2890"/>
      <c r="CT268" s="2842">
        <f t="shared" si="200"/>
        <v>0</v>
      </c>
      <c r="CU268" s="2842">
        <f t="shared" si="213"/>
        <v>0</v>
      </c>
      <c r="CV268" s="2842">
        <f t="shared" si="201"/>
        <v>0</v>
      </c>
      <c r="CW268" s="2842">
        <f t="shared" si="202"/>
        <v>0</v>
      </c>
      <c r="CX268" s="2842">
        <f>IF(AND($D268&gt;0,AV268=""),1,IF(AV268&gt;$D268,1,0))</f>
        <v>0</v>
      </c>
      <c r="CY268" s="2842">
        <f t="shared" si="203"/>
        <v>0</v>
      </c>
      <c r="CZ268" s="2842">
        <f t="shared" si="204"/>
        <v>0</v>
      </c>
    </row>
    <row r="269" spans="1:104" ht="15" customHeight="1">
      <c r="A269" s="6128"/>
      <c r="B269" s="6565" t="s">
        <v>1905</v>
      </c>
      <c r="C269" s="6567"/>
      <c r="D269" s="3251">
        <f t="shared" si="188"/>
        <v>0</v>
      </c>
      <c r="E269" s="2977">
        <f t="shared" si="189"/>
        <v>0</v>
      </c>
      <c r="F269" s="2984">
        <f t="shared" si="190"/>
        <v>0</v>
      </c>
      <c r="G269" s="3255"/>
      <c r="H269" s="3256"/>
      <c r="I269" s="3257"/>
      <c r="J269" s="3256"/>
      <c r="K269" s="3257"/>
      <c r="L269" s="3256"/>
      <c r="M269" s="3257"/>
      <c r="N269" s="3256"/>
      <c r="O269" s="3257"/>
      <c r="P269" s="3256"/>
      <c r="Q269" s="3257"/>
      <c r="R269" s="3256"/>
      <c r="S269" s="3257"/>
      <c r="T269" s="3256"/>
      <c r="U269" s="3257"/>
      <c r="V269" s="3256"/>
      <c r="W269" s="3257"/>
      <c r="X269" s="3256"/>
      <c r="Y269" s="3257"/>
      <c r="Z269" s="3256"/>
      <c r="AA269" s="3257"/>
      <c r="AB269" s="3256"/>
      <c r="AC269" s="3257"/>
      <c r="AD269" s="3256"/>
      <c r="AE269" s="3257"/>
      <c r="AF269" s="3256"/>
      <c r="AG269" s="3257"/>
      <c r="AH269" s="3256"/>
      <c r="AI269" s="3257"/>
      <c r="AJ269" s="3256"/>
      <c r="AK269" s="3257"/>
      <c r="AL269" s="3256"/>
      <c r="AM269" s="3259"/>
      <c r="AN269" s="3257"/>
      <c r="AO269" s="3227"/>
      <c r="AP269" s="3228"/>
      <c r="AQ269" s="3264"/>
      <c r="AR269" s="3261"/>
      <c r="AS269" s="3257"/>
      <c r="AT269" s="3261"/>
      <c r="AU269" s="3258"/>
      <c r="AV269" s="3263"/>
      <c r="AW269" s="3261"/>
      <c r="AX269" s="3258"/>
      <c r="AY269" t="str">
        <f t="shared" si="191"/>
        <v/>
      </c>
      <c r="CA269" s="2841" t="str">
        <f t="shared" si="192"/>
        <v/>
      </c>
      <c r="CB269" s="2890"/>
      <c r="CC269" s="2890"/>
      <c r="CD269" s="2890"/>
      <c r="CE269" s="2890"/>
      <c r="CF269" s="2841" t="str">
        <f t="shared" si="194"/>
        <v/>
      </c>
      <c r="CG269" s="2841" t="str">
        <f t="shared" si="212"/>
        <v/>
      </c>
      <c r="CH269" s="2841" t="str">
        <f t="shared" si="205"/>
        <v/>
      </c>
      <c r="CI269" s="2841" t="str">
        <f t="shared" si="195"/>
        <v/>
      </c>
      <c r="CJ269" s="2890"/>
      <c r="CK269" s="2841" t="str">
        <f t="shared" si="196"/>
        <v/>
      </c>
      <c r="CL269" s="2841" t="str">
        <f t="shared" si="197"/>
        <v/>
      </c>
      <c r="CO269" s="2842">
        <f t="shared" si="198"/>
        <v>0</v>
      </c>
      <c r="CP269" s="2890"/>
      <c r="CQ269" s="2890"/>
      <c r="CR269" s="2890"/>
      <c r="CS269" s="2890"/>
      <c r="CT269" s="2842">
        <f t="shared" si="200"/>
        <v>0</v>
      </c>
      <c r="CU269" s="2842">
        <f t="shared" si="213"/>
        <v>0</v>
      </c>
      <c r="CV269" s="2842">
        <f t="shared" si="201"/>
        <v>0</v>
      </c>
      <c r="CW269" s="2842">
        <f t="shared" si="202"/>
        <v>0</v>
      </c>
      <c r="CX269" s="2890"/>
      <c r="CY269" s="2842">
        <f t="shared" si="203"/>
        <v>0</v>
      </c>
      <c r="CZ269" s="2842">
        <f t="shared" si="204"/>
        <v>0</v>
      </c>
    </row>
    <row r="270" spans="1:104" ht="15" customHeight="1">
      <c r="A270" s="6129"/>
      <c r="B270" s="6577" t="s">
        <v>1906</v>
      </c>
      <c r="C270" s="6577"/>
      <c r="D270" s="3198">
        <f t="shared" si="188"/>
        <v>0</v>
      </c>
      <c r="E270" s="2933">
        <f>SUM(+I270+K270+M270+O270+Q270+S270+U270+W270+Y270+AA270+AC270+AE270+AG270+AI270+AK270)</f>
        <v>0</v>
      </c>
      <c r="F270" s="2875">
        <f>SUM(J270+L270+N270+P270+R270+T270+V270+X270+Z270+AB270+AD270+AF270+AH270+AJ270+AL270)</f>
        <v>0</v>
      </c>
      <c r="G270" s="3236"/>
      <c r="H270" s="3235"/>
      <c r="I270" s="3236"/>
      <c r="J270" s="3235"/>
      <c r="K270" s="3236"/>
      <c r="L270" s="3235"/>
      <c r="M270" s="3236"/>
      <c r="N270" s="3235"/>
      <c r="O270" s="3236"/>
      <c r="P270" s="3235"/>
      <c r="Q270" s="3236"/>
      <c r="R270" s="3235"/>
      <c r="S270" s="3236"/>
      <c r="T270" s="3235"/>
      <c r="U270" s="3236"/>
      <c r="V270" s="3235"/>
      <c r="W270" s="3236"/>
      <c r="X270" s="3235"/>
      <c r="Y270" s="3236"/>
      <c r="Z270" s="3235"/>
      <c r="AA270" s="3236"/>
      <c r="AB270" s="3235"/>
      <c r="AC270" s="3236"/>
      <c r="AD270" s="3235"/>
      <c r="AE270" s="3236"/>
      <c r="AF270" s="3235"/>
      <c r="AG270" s="3236"/>
      <c r="AH270" s="3235"/>
      <c r="AI270" s="3236"/>
      <c r="AJ270" s="3235"/>
      <c r="AK270" s="3236"/>
      <c r="AL270" s="3235"/>
      <c r="AM270" s="2195"/>
      <c r="AN270" s="3236"/>
      <c r="AO270" s="3266"/>
      <c r="AP270" s="3238"/>
      <c r="AQ270" s="3267"/>
      <c r="AR270" s="3239"/>
      <c r="AS270" s="3236"/>
      <c r="AT270" s="3239"/>
      <c r="AU270" s="2196"/>
      <c r="AV270" s="3238"/>
      <c r="AW270" s="3239"/>
      <c r="AX270" s="2196"/>
      <c r="AY270" t="str">
        <f t="shared" si="191"/>
        <v/>
      </c>
      <c r="CA270" s="2841" t="str">
        <f t="shared" si="192"/>
        <v/>
      </c>
      <c r="CB270" s="2890"/>
      <c r="CC270" s="2890"/>
      <c r="CD270" s="2890"/>
      <c r="CE270" s="2890"/>
      <c r="CF270" s="2841" t="str">
        <f t="shared" si="194"/>
        <v/>
      </c>
      <c r="CG270" s="2841" t="str">
        <f t="shared" si="212"/>
        <v/>
      </c>
      <c r="CH270" s="2841" t="str">
        <f t="shared" si="205"/>
        <v/>
      </c>
      <c r="CI270" s="2841" t="str">
        <f t="shared" si="195"/>
        <v/>
      </c>
      <c r="CJ270" s="2890"/>
      <c r="CK270" s="2841" t="str">
        <f t="shared" si="196"/>
        <v/>
      </c>
      <c r="CL270" s="2841" t="str">
        <f t="shared" si="197"/>
        <v/>
      </c>
      <c r="CO270" s="2842">
        <f t="shared" si="198"/>
        <v>0</v>
      </c>
      <c r="CP270" s="2890"/>
      <c r="CQ270" s="2890"/>
      <c r="CR270" s="2890"/>
      <c r="CS270" s="2890"/>
      <c r="CT270" s="2842">
        <f t="shared" si="200"/>
        <v>0</v>
      </c>
      <c r="CU270" s="2842">
        <f t="shared" si="213"/>
        <v>0</v>
      </c>
      <c r="CV270" s="2842">
        <f t="shared" si="201"/>
        <v>0</v>
      </c>
      <c r="CW270" s="2842">
        <f t="shared" si="202"/>
        <v>0</v>
      </c>
      <c r="CX270" s="2890"/>
      <c r="CY270" s="2842">
        <f t="shared" si="203"/>
        <v>0</v>
      </c>
      <c r="CZ270" s="2842">
        <f t="shared" si="204"/>
        <v>0</v>
      </c>
    </row>
    <row r="271" spans="1:104" ht="15" customHeight="1">
      <c r="A271" s="6127" t="s">
        <v>1907</v>
      </c>
      <c r="B271" s="6612" t="s">
        <v>1901</v>
      </c>
      <c r="C271" s="6612"/>
      <c r="D271" s="3192">
        <f t="shared" si="188"/>
        <v>0</v>
      </c>
      <c r="E271" s="2975">
        <f>SUM(G271++I271+K271+M271+O271+Q271+S271+U271+W271+Y271+AA271+AC271+AE271+AG271+AI271+AK271)</f>
        <v>0</v>
      </c>
      <c r="F271" s="2860">
        <f t="shared" si="190"/>
        <v>0</v>
      </c>
      <c r="G271" s="3242"/>
      <c r="H271" s="3243"/>
      <c r="I271" s="3278"/>
      <c r="J271" s="3243"/>
      <c r="K271" s="3278"/>
      <c r="L271" s="3243"/>
      <c r="M271" s="3278"/>
      <c r="N271" s="3243"/>
      <c r="O271" s="3278"/>
      <c r="P271" s="3243"/>
      <c r="Q271" s="3278"/>
      <c r="R271" s="3243"/>
      <c r="S271" s="3278"/>
      <c r="T271" s="3249"/>
      <c r="U271" s="3242"/>
      <c r="V271" s="3243"/>
      <c r="W271" s="3242"/>
      <c r="X271" s="3243"/>
      <c r="Y271" s="3242"/>
      <c r="Z271" s="3243"/>
      <c r="AA271" s="3242"/>
      <c r="AB271" s="3243"/>
      <c r="AC271" s="3242"/>
      <c r="AD271" s="3243"/>
      <c r="AE271" s="3242"/>
      <c r="AF271" s="3243"/>
      <c r="AG271" s="3242"/>
      <c r="AH271" s="3243"/>
      <c r="AI271" s="3242"/>
      <c r="AJ271" s="3243"/>
      <c r="AK271" s="2219"/>
      <c r="AL271" s="2218"/>
      <c r="AM271" s="2219"/>
      <c r="AN271" s="2177"/>
      <c r="AO271" s="2216"/>
      <c r="AP271" s="3243"/>
      <c r="AQ271" s="3246"/>
      <c r="AR271" s="3247"/>
      <c r="AS271" s="3248"/>
      <c r="AT271" s="3247"/>
      <c r="AU271" s="3249"/>
      <c r="AV271" s="3228"/>
      <c r="AW271" s="3247"/>
      <c r="AX271" s="3249"/>
      <c r="AY271" t="str">
        <f t="shared" si="191"/>
        <v/>
      </c>
      <c r="CA271" s="2890"/>
      <c r="CB271" s="2890"/>
      <c r="CC271" s="2841" t="str">
        <f>IF(AND($D271&gt;0,AO271="")," * No olvide digitar la variable Consultas Pertinentes: Según Procolo de Referencia. Digite cero si no tiene.",IF(AO271&gt;$D271," * La variable Consultas Pertinentes: Según Procolo de Referencia no puede superar el Total Ambos Sexos.",""))</f>
        <v/>
      </c>
      <c r="CD271" s="2841" t="str">
        <f>IF(AND($D271&gt;0,AP271="")," * No olvide digitar la variable Consultas Pertinentes: Según condición clínica. Digite cero si no tiene.",IF(AP271&gt;$D271," * La variable Consultas Pertinentes: Según condición clínica no puede superar el Total Ambos Sexos.",""))</f>
        <v/>
      </c>
      <c r="CE271" s="2841" t="str">
        <f t="shared" si="206"/>
        <v/>
      </c>
      <c r="CF271" s="2841" t="str">
        <f t="shared" si="194"/>
        <v/>
      </c>
      <c r="CG271" s="2890"/>
      <c r="CH271" s="2841" t="str">
        <f t="shared" si="205"/>
        <v/>
      </c>
      <c r="CI271" s="2841" t="str">
        <f t="shared" si="195"/>
        <v/>
      </c>
      <c r="CJ271" s="2890"/>
      <c r="CK271" s="2841" t="str">
        <f t="shared" si="196"/>
        <v/>
      </c>
      <c r="CL271" s="2841" t="str">
        <f t="shared" si="197"/>
        <v/>
      </c>
      <c r="CO271" s="2890"/>
      <c r="CP271" s="2890"/>
      <c r="CQ271" s="2842">
        <f>IF(AND($D271&gt;0,AO271=""),1,IF(AO271&gt;$D271,1,0))</f>
        <v>0</v>
      </c>
      <c r="CR271" s="2842">
        <f t="shared" si="207"/>
        <v>0</v>
      </c>
      <c r="CS271" s="2842">
        <f t="shared" si="209"/>
        <v>0</v>
      </c>
      <c r="CT271" s="2842">
        <f t="shared" si="200"/>
        <v>0</v>
      </c>
      <c r="CU271" s="2890"/>
      <c r="CV271" s="2842">
        <f t="shared" si="201"/>
        <v>0</v>
      </c>
      <c r="CW271" s="2842">
        <f t="shared" si="202"/>
        <v>0</v>
      </c>
      <c r="CX271" s="2890"/>
      <c r="CY271" s="2842">
        <f t="shared" si="203"/>
        <v>0</v>
      </c>
      <c r="CZ271" s="2842">
        <f t="shared" si="204"/>
        <v>0</v>
      </c>
    </row>
    <row r="272" spans="1:104" ht="15" customHeight="1">
      <c r="A272" s="6128"/>
      <c r="B272" s="6573" t="s">
        <v>1902</v>
      </c>
      <c r="C272" s="6573"/>
      <c r="D272" s="3251">
        <f t="shared" si="188"/>
        <v>0</v>
      </c>
      <c r="E272" s="2977">
        <f t="shared" si="189"/>
        <v>0</v>
      </c>
      <c r="F272" s="2984">
        <f t="shared" si="190"/>
        <v>0</v>
      </c>
      <c r="G272" s="2221"/>
      <c r="H272" s="2222"/>
      <c r="I272" s="2224"/>
      <c r="J272" s="2222"/>
      <c r="K272" s="2224"/>
      <c r="L272" s="2222"/>
      <c r="M272" s="2224"/>
      <c r="N272" s="2222"/>
      <c r="O272" s="2224"/>
      <c r="P272" s="2222"/>
      <c r="Q272" s="2224"/>
      <c r="R272" s="2222"/>
      <c r="S272" s="2224"/>
      <c r="T272" s="2193"/>
      <c r="U272" s="2221"/>
      <c r="V272" s="2222"/>
      <c r="W272" s="2221"/>
      <c r="X272" s="2222"/>
      <c r="Y272" s="2221"/>
      <c r="Z272" s="2222"/>
      <c r="AA272" s="2221"/>
      <c r="AB272" s="2222"/>
      <c r="AC272" s="2221"/>
      <c r="AD272" s="2222"/>
      <c r="AE272" s="2221"/>
      <c r="AF272" s="2222"/>
      <c r="AG272" s="2221"/>
      <c r="AH272" s="2222"/>
      <c r="AI272" s="2221"/>
      <c r="AJ272" s="2222"/>
      <c r="AK272" s="2224"/>
      <c r="AL272" s="2223"/>
      <c r="AM272" s="2224"/>
      <c r="AN272" s="2193"/>
      <c r="AO272" s="3227"/>
      <c r="AP272" s="3228"/>
      <c r="AQ272" s="3253"/>
      <c r="AR272" s="3254"/>
      <c r="AS272" s="3248"/>
      <c r="AT272" s="3254"/>
      <c r="AU272" s="2193"/>
      <c r="AV272" s="3228"/>
      <c r="AW272" s="3254"/>
      <c r="AX272" s="2193"/>
      <c r="AY272" t="str">
        <f t="shared" si="191"/>
        <v/>
      </c>
      <c r="CA272" s="2890"/>
      <c r="CB272" s="2890"/>
      <c r="CC272" s="2890"/>
      <c r="CD272" s="2890"/>
      <c r="CE272" s="2841" t="str">
        <f t="shared" si="206"/>
        <v/>
      </c>
      <c r="CF272" s="2841" t="str">
        <f t="shared" si="194"/>
        <v/>
      </c>
      <c r="CG272" s="2890"/>
      <c r="CH272" s="2841" t="str">
        <f t="shared" si="205"/>
        <v/>
      </c>
      <c r="CI272" s="2841" t="str">
        <f t="shared" si="195"/>
        <v/>
      </c>
      <c r="CJ272" s="2890"/>
      <c r="CK272" s="2841" t="str">
        <f t="shared" si="196"/>
        <v/>
      </c>
      <c r="CL272" s="2841" t="str">
        <f t="shared" si="197"/>
        <v/>
      </c>
      <c r="CO272" s="2890"/>
      <c r="CP272" s="2890"/>
      <c r="CQ272" s="2890"/>
      <c r="CR272" s="2890"/>
      <c r="CS272" s="2842">
        <f t="shared" si="209"/>
        <v>0</v>
      </c>
      <c r="CT272" s="2842">
        <f t="shared" si="200"/>
        <v>0</v>
      </c>
      <c r="CU272" s="2890"/>
      <c r="CV272" s="2842">
        <f t="shared" si="201"/>
        <v>0</v>
      </c>
      <c r="CW272" s="2842">
        <f t="shared" si="202"/>
        <v>0</v>
      </c>
      <c r="CX272" s="2890"/>
      <c r="CY272" s="2842">
        <f t="shared" si="203"/>
        <v>0</v>
      </c>
      <c r="CZ272" s="2842">
        <f t="shared" si="204"/>
        <v>0</v>
      </c>
    </row>
    <row r="273" spans="1:104" ht="15" customHeight="1">
      <c r="A273" s="6128"/>
      <c r="B273" s="6573" t="s">
        <v>1903</v>
      </c>
      <c r="C273" s="6573"/>
      <c r="D273" s="3251">
        <f t="shared" si="188"/>
        <v>0</v>
      </c>
      <c r="E273" s="2977">
        <f t="shared" si="189"/>
        <v>0</v>
      </c>
      <c r="F273" s="2984">
        <f t="shared" si="190"/>
        <v>0</v>
      </c>
      <c r="G273" s="2221"/>
      <c r="H273" s="2222"/>
      <c r="I273" s="2224"/>
      <c r="J273" s="2222"/>
      <c r="K273" s="2224"/>
      <c r="L273" s="2222"/>
      <c r="M273" s="2224"/>
      <c r="N273" s="2222"/>
      <c r="O273" s="2224"/>
      <c r="P273" s="2222"/>
      <c r="Q273" s="2224"/>
      <c r="R273" s="2222"/>
      <c r="S273" s="2224"/>
      <c r="T273" s="2193"/>
      <c r="U273" s="2224"/>
      <c r="V273" s="2222"/>
      <c r="W273" s="2224"/>
      <c r="X273" s="2222"/>
      <c r="Y273" s="2224"/>
      <c r="Z273" s="2222"/>
      <c r="AA273" s="2224"/>
      <c r="AB273" s="2222"/>
      <c r="AC273" s="2224"/>
      <c r="AD273" s="2222"/>
      <c r="AE273" s="2224"/>
      <c r="AF273" s="2222"/>
      <c r="AG273" s="2224"/>
      <c r="AH273" s="2222"/>
      <c r="AI273" s="2224"/>
      <c r="AJ273" s="2222"/>
      <c r="AK273" s="2224"/>
      <c r="AL273" s="2223"/>
      <c r="AM273" s="2224"/>
      <c r="AN273" s="2193"/>
      <c r="AO273" s="3227"/>
      <c r="AP273" s="3228"/>
      <c r="AQ273" s="3229"/>
      <c r="AR273" s="3254"/>
      <c r="AS273" s="3248"/>
      <c r="AT273" s="3254"/>
      <c r="AU273" s="2193"/>
      <c r="AV273" s="3228"/>
      <c r="AW273" s="3254"/>
      <c r="AX273" s="2193"/>
      <c r="AY273" t="str">
        <f t="shared" si="191"/>
        <v/>
      </c>
      <c r="CA273" s="2890"/>
      <c r="CB273" s="2890"/>
      <c r="CC273" s="2890"/>
      <c r="CD273" s="2890"/>
      <c r="CE273" s="2890"/>
      <c r="CF273" s="2841" t="str">
        <f t="shared" si="194"/>
        <v/>
      </c>
      <c r="CG273" s="2890"/>
      <c r="CH273" s="2841" t="str">
        <f t="shared" si="205"/>
        <v/>
      </c>
      <c r="CI273" s="2841" t="str">
        <f t="shared" si="195"/>
        <v/>
      </c>
      <c r="CJ273" s="2890"/>
      <c r="CK273" s="2841" t="str">
        <f t="shared" si="196"/>
        <v/>
      </c>
      <c r="CL273" s="2841" t="str">
        <f t="shared" si="197"/>
        <v/>
      </c>
      <c r="CO273" s="2890"/>
      <c r="CP273" s="2890"/>
      <c r="CQ273" s="2890"/>
      <c r="CR273" s="2890"/>
      <c r="CS273" s="2890"/>
      <c r="CT273" s="2842">
        <f t="shared" si="200"/>
        <v>0</v>
      </c>
      <c r="CU273" s="2890"/>
      <c r="CV273" s="2842">
        <f t="shared" si="201"/>
        <v>0</v>
      </c>
      <c r="CW273" s="2842">
        <f t="shared" si="202"/>
        <v>0</v>
      </c>
      <c r="CX273" s="2890"/>
      <c r="CY273" s="2842">
        <f t="shared" si="203"/>
        <v>0</v>
      </c>
      <c r="CZ273" s="2842">
        <f t="shared" si="204"/>
        <v>0</v>
      </c>
    </row>
    <row r="274" spans="1:104" ht="15" customHeight="1">
      <c r="A274" s="6128"/>
      <c r="B274" s="6565" t="s">
        <v>1904</v>
      </c>
      <c r="C274" s="6567"/>
      <c r="D274" s="3251">
        <f t="shared" si="188"/>
        <v>0</v>
      </c>
      <c r="E274" s="3279">
        <f t="shared" si="189"/>
        <v>0</v>
      </c>
      <c r="F274" s="3280">
        <f t="shared" si="190"/>
        <v>0</v>
      </c>
      <c r="G274" s="3255"/>
      <c r="H274" s="3256"/>
      <c r="I274" s="3257"/>
      <c r="J274" s="3256"/>
      <c r="K274" s="3257"/>
      <c r="L274" s="3256"/>
      <c r="M274" s="3257"/>
      <c r="N274" s="3256"/>
      <c r="O274" s="3257"/>
      <c r="P274" s="3256"/>
      <c r="Q274" s="3257"/>
      <c r="R274" s="3256"/>
      <c r="S274" s="3257"/>
      <c r="T274" s="3258"/>
      <c r="U274" s="3257"/>
      <c r="V274" s="3256"/>
      <c r="W274" s="3257"/>
      <c r="X274" s="3256"/>
      <c r="Y274" s="3257"/>
      <c r="Z274" s="3256"/>
      <c r="AA274" s="3257"/>
      <c r="AB274" s="3256"/>
      <c r="AC274" s="3257"/>
      <c r="AD274" s="3256"/>
      <c r="AE274" s="3257"/>
      <c r="AF274" s="3256"/>
      <c r="AG274" s="3257"/>
      <c r="AH274" s="3256"/>
      <c r="AI274" s="3257"/>
      <c r="AJ274" s="3256"/>
      <c r="AK274" s="3257"/>
      <c r="AL274" s="3281"/>
      <c r="AM274" s="3257"/>
      <c r="AN274" s="3258"/>
      <c r="AO274" s="3227"/>
      <c r="AP274" s="3228"/>
      <c r="AQ274" s="3229"/>
      <c r="AR274" s="3261"/>
      <c r="AS274" s="3248"/>
      <c r="AT274" s="3261"/>
      <c r="AU274" s="3258"/>
      <c r="AV274" s="2193"/>
      <c r="AW274" s="3261"/>
      <c r="AX274" s="3258"/>
      <c r="AY274" t="str">
        <f t="shared" si="191"/>
        <v/>
      </c>
      <c r="CA274" s="2890"/>
      <c r="CB274" s="2890"/>
      <c r="CC274" s="2890"/>
      <c r="CD274" s="2890"/>
      <c r="CE274" s="2890"/>
      <c r="CF274" s="2841" t="str">
        <f t="shared" si="194"/>
        <v/>
      </c>
      <c r="CG274" s="2890"/>
      <c r="CH274" s="2841" t="str">
        <f t="shared" si="205"/>
        <v/>
      </c>
      <c r="CI274" s="2841" t="str">
        <f t="shared" si="195"/>
        <v/>
      </c>
      <c r="CJ274" s="2841" t="str">
        <f>IF(AND($D274&gt;0,AV274="")," * No olvide digitar la variable Contrarreferencia al alta. Digite Cero si no tiene.",IF(AV274&gt;$D274," * La variable Contrarreferencia al alta no puede superar el Total Ambos Sexos.",""))</f>
        <v/>
      </c>
      <c r="CK274" s="2841" t="str">
        <f t="shared" si="196"/>
        <v/>
      </c>
      <c r="CL274" s="2841" t="str">
        <f t="shared" si="197"/>
        <v/>
      </c>
      <c r="CO274" s="2890"/>
      <c r="CP274" s="2890"/>
      <c r="CQ274" s="2890"/>
      <c r="CR274" s="2890"/>
      <c r="CS274" s="2890"/>
      <c r="CT274" s="2842">
        <f t="shared" si="200"/>
        <v>0</v>
      </c>
      <c r="CU274" s="2890"/>
      <c r="CV274" s="2842">
        <f t="shared" si="201"/>
        <v>0</v>
      </c>
      <c r="CW274" s="2842">
        <f t="shared" si="202"/>
        <v>0</v>
      </c>
      <c r="CX274" s="2842">
        <f>IF(AND($D274&gt;0,AV274=""),1,IF(AV274&gt;$D274,1,0))</f>
        <v>0</v>
      </c>
      <c r="CY274" s="2842">
        <f t="shared" si="203"/>
        <v>0</v>
      </c>
      <c r="CZ274" s="2842">
        <f t="shared" si="204"/>
        <v>0</v>
      </c>
    </row>
    <row r="275" spans="1:104" ht="15" customHeight="1">
      <c r="A275" s="6128"/>
      <c r="B275" s="6565" t="s">
        <v>1905</v>
      </c>
      <c r="C275" s="6567"/>
      <c r="D275" s="3251">
        <f t="shared" si="188"/>
        <v>0</v>
      </c>
      <c r="E275" s="2977">
        <f t="shared" si="189"/>
        <v>0</v>
      </c>
      <c r="F275" s="2978">
        <f t="shared" si="190"/>
        <v>0</v>
      </c>
      <c r="G275" s="3257"/>
      <c r="H275" s="3256"/>
      <c r="I275" s="3257"/>
      <c r="J275" s="3256"/>
      <c r="K275" s="3257"/>
      <c r="L275" s="3256"/>
      <c r="M275" s="3257"/>
      <c r="N275" s="3256"/>
      <c r="O275" s="3257"/>
      <c r="P275" s="3256"/>
      <c r="Q275" s="3257"/>
      <c r="R275" s="3256"/>
      <c r="S275" s="3257"/>
      <c r="T275" s="3258"/>
      <c r="U275" s="3257"/>
      <c r="V275" s="3256"/>
      <c r="W275" s="3257"/>
      <c r="X275" s="3256"/>
      <c r="Y275" s="3257"/>
      <c r="Z275" s="3256"/>
      <c r="AA275" s="3257"/>
      <c r="AB275" s="3256"/>
      <c r="AC275" s="3257"/>
      <c r="AD275" s="3256"/>
      <c r="AE275" s="3257"/>
      <c r="AF275" s="3256"/>
      <c r="AG275" s="3257"/>
      <c r="AH275" s="3256"/>
      <c r="AI275" s="3257"/>
      <c r="AJ275" s="3256"/>
      <c r="AK275" s="3257"/>
      <c r="AL275" s="3281"/>
      <c r="AM275" s="3257"/>
      <c r="AN275" s="3258"/>
      <c r="AO275" s="3227"/>
      <c r="AP275" s="3228"/>
      <c r="AQ275" s="3264"/>
      <c r="AR275" s="3261"/>
      <c r="AS275" s="3265"/>
      <c r="AT275" s="3261"/>
      <c r="AU275" s="3258"/>
      <c r="AV275" s="3263"/>
      <c r="AW275" s="3261"/>
      <c r="AX275" s="3258"/>
      <c r="AY275" t="str">
        <f t="shared" si="191"/>
        <v/>
      </c>
      <c r="CA275" s="2890"/>
      <c r="CB275" s="2890"/>
      <c r="CC275" s="2890"/>
      <c r="CD275" s="2890"/>
      <c r="CE275" s="2890"/>
      <c r="CF275" s="2841" t="str">
        <f t="shared" si="194"/>
        <v/>
      </c>
      <c r="CG275" s="2890"/>
      <c r="CH275" s="2841" t="str">
        <f t="shared" si="205"/>
        <v/>
      </c>
      <c r="CI275" s="2841" t="str">
        <f t="shared" si="195"/>
        <v/>
      </c>
      <c r="CJ275" s="2890"/>
      <c r="CK275" s="2841" t="str">
        <f t="shared" si="196"/>
        <v/>
      </c>
      <c r="CL275" s="2841" t="str">
        <f t="shared" si="197"/>
        <v/>
      </c>
      <c r="CO275" s="2890"/>
      <c r="CP275" s="2890"/>
      <c r="CQ275" s="2890"/>
      <c r="CR275" s="2890"/>
      <c r="CS275" s="2890"/>
      <c r="CT275" s="2842">
        <f t="shared" si="200"/>
        <v>0</v>
      </c>
      <c r="CU275" s="2890"/>
      <c r="CV275" s="2842">
        <f t="shared" si="201"/>
        <v>0</v>
      </c>
      <c r="CW275" s="2842">
        <f t="shared" si="202"/>
        <v>0</v>
      </c>
      <c r="CX275" s="2890"/>
      <c r="CY275" s="2842">
        <f t="shared" si="203"/>
        <v>0</v>
      </c>
      <c r="CZ275" s="2842">
        <f t="shared" si="204"/>
        <v>0</v>
      </c>
    </row>
    <row r="276" spans="1:104" ht="14.25" customHeight="1">
      <c r="A276" s="6129"/>
      <c r="B276" s="6577" t="s">
        <v>1906</v>
      </c>
      <c r="C276" s="6577"/>
      <c r="D276" s="3198">
        <f t="shared" si="188"/>
        <v>0</v>
      </c>
      <c r="E276" s="2933">
        <f t="shared" si="189"/>
        <v>0</v>
      </c>
      <c r="F276" s="3282">
        <f t="shared" si="190"/>
        <v>0</v>
      </c>
      <c r="G276" s="3236"/>
      <c r="H276" s="3235"/>
      <c r="I276" s="3236"/>
      <c r="J276" s="3235"/>
      <c r="K276" s="3236"/>
      <c r="L276" s="3235"/>
      <c r="M276" s="3236"/>
      <c r="N276" s="3235"/>
      <c r="O276" s="3236"/>
      <c r="P276" s="3235"/>
      <c r="Q276" s="3236"/>
      <c r="R276" s="3235"/>
      <c r="S276" s="3236"/>
      <c r="T276" s="2196"/>
      <c r="U276" s="3234"/>
      <c r="V276" s="3235"/>
      <c r="W276" s="3234"/>
      <c r="X276" s="3235"/>
      <c r="Y276" s="3234"/>
      <c r="Z276" s="3235"/>
      <c r="AA276" s="3234"/>
      <c r="AB276" s="3235"/>
      <c r="AC276" s="3234"/>
      <c r="AD276" s="3235"/>
      <c r="AE276" s="3234"/>
      <c r="AF276" s="3235"/>
      <c r="AG276" s="3234"/>
      <c r="AH276" s="3235"/>
      <c r="AI276" s="3234"/>
      <c r="AJ276" s="3235"/>
      <c r="AK276" s="3236"/>
      <c r="AL276" s="3283"/>
      <c r="AM276" s="3236"/>
      <c r="AN276" s="2196"/>
      <c r="AO276" s="3266"/>
      <c r="AP276" s="3238"/>
      <c r="AQ276" s="3267"/>
      <c r="AR276" s="3239"/>
      <c r="AS276" s="3240"/>
      <c r="AT276" s="3239"/>
      <c r="AU276" s="2196"/>
      <c r="AV276" s="3238"/>
      <c r="AW276" s="3239"/>
      <c r="AX276" s="2196"/>
      <c r="AY276" t="str">
        <f t="shared" si="191"/>
        <v/>
      </c>
      <c r="CA276" s="2890"/>
      <c r="CB276" s="2890"/>
      <c r="CC276" s="2890"/>
      <c r="CD276" s="2890"/>
      <c r="CE276" s="2890"/>
      <c r="CF276" s="2841" t="str">
        <f t="shared" si="194"/>
        <v/>
      </c>
      <c r="CG276" s="2890"/>
      <c r="CH276" s="2841" t="str">
        <f t="shared" si="205"/>
        <v/>
      </c>
      <c r="CI276" s="2841" t="str">
        <f t="shared" si="195"/>
        <v/>
      </c>
      <c r="CJ276" s="2890"/>
      <c r="CK276" s="2841" t="str">
        <f t="shared" si="196"/>
        <v/>
      </c>
      <c r="CL276" s="2841" t="str">
        <f t="shared" si="197"/>
        <v/>
      </c>
      <c r="CO276" s="2890"/>
      <c r="CP276" s="2890"/>
      <c r="CQ276" s="2890"/>
      <c r="CR276" s="2890"/>
      <c r="CS276" s="2890"/>
      <c r="CT276" s="2842">
        <f t="shared" si="200"/>
        <v>0</v>
      </c>
      <c r="CU276" s="2890"/>
      <c r="CV276" s="2842">
        <f t="shared" si="201"/>
        <v>0</v>
      </c>
      <c r="CW276" s="2842">
        <f t="shared" si="202"/>
        <v>0</v>
      </c>
      <c r="CX276" s="2890"/>
      <c r="CY276" s="2842">
        <f t="shared" si="203"/>
        <v>0</v>
      </c>
      <c r="CZ276" s="2842">
        <f t="shared" si="204"/>
        <v>0</v>
      </c>
    </row>
    <row r="277" spans="1:104" ht="15" customHeight="1">
      <c r="A277" s="6615" t="s">
        <v>1908</v>
      </c>
      <c r="B277" s="6612" t="s">
        <v>1901</v>
      </c>
      <c r="C277" s="6612"/>
      <c r="D277" s="3192">
        <f t="shared" si="188"/>
        <v>0</v>
      </c>
      <c r="E277" s="2975">
        <f t="shared" si="189"/>
        <v>0</v>
      </c>
      <c r="F277" s="2976">
        <f t="shared" si="190"/>
        <v>0</v>
      </c>
      <c r="G277" s="3278"/>
      <c r="H277" s="3243"/>
      <c r="I277" s="3278"/>
      <c r="J277" s="3243"/>
      <c r="K277" s="3278"/>
      <c r="L277" s="3243"/>
      <c r="M277" s="3278"/>
      <c r="N277" s="3243"/>
      <c r="O277" s="3278"/>
      <c r="P277" s="3243"/>
      <c r="Q277" s="3278"/>
      <c r="R277" s="3243"/>
      <c r="S277" s="3278"/>
      <c r="T277" s="3249"/>
      <c r="U277" s="3268"/>
      <c r="V277" s="3269"/>
      <c r="W277" s="3268"/>
      <c r="X277" s="3269"/>
      <c r="Y277" s="3268"/>
      <c r="Z277" s="3269"/>
      <c r="AA277" s="3268"/>
      <c r="AB277" s="3269"/>
      <c r="AC277" s="3268"/>
      <c r="AD277" s="3269"/>
      <c r="AE277" s="3268"/>
      <c r="AF277" s="3269"/>
      <c r="AG277" s="3268"/>
      <c r="AH277" s="3269"/>
      <c r="AI277" s="3268"/>
      <c r="AJ277" s="3269"/>
      <c r="AK277" s="2219"/>
      <c r="AL277" s="2218"/>
      <c r="AM277" s="2219"/>
      <c r="AN277" s="2177"/>
      <c r="AO277" s="2216"/>
      <c r="AP277" s="3243"/>
      <c r="AQ277" s="3246"/>
      <c r="AR277" s="3247"/>
      <c r="AS277" s="3278"/>
      <c r="AT277" s="3247"/>
      <c r="AU277" s="3249"/>
      <c r="AV277" s="3228"/>
      <c r="AW277" s="3247"/>
      <c r="AX277" s="3249"/>
      <c r="AY277" t="str">
        <f t="shared" si="191"/>
        <v/>
      </c>
      <c r="CA277" s="2890"/>
      <c r="CB277" s="2890"/>
      <c r="CC277" s="2841" t="str">
        <f>IF(AND($D277&gt;0,AO277="")," * No olvide digitar la variable Consultas Pertinentes: Según Procolo de Referencia. Digite cero si no tiene.",IF(AO277&gt;$D277," * La variable Consultas Pertinentes: Según Procolo de Referencia no puede superar el Total Ambos Sexos.",""))</f>
        <v/>
      </c>
      <c r="CD277" s="2841" t="str">
        <f>IF(AND($D277&gt;0,AP277="")," * No olvide digitar la variable Consultas Pertinentes: Según condición clínica. Digite cero si no tiene.",IF(AP277&gt;$D277," * La variable Consultas Pertinentes: Según condición clínica no puede superar el Total Ambos Sexos.",""))</f>
        <v/>
      </c>
      <c r="CE277" s="2841" t="str">
        <f t="shared" si="206"/>
        <v/>
      </c>
      <c r="CF277" s="2841" t="str">
        <f t="shared" si="194"/>
        <v/>
      </c>
      <c r="CG277" s="2841" t="str">
        <f t="shared" si="212"/>
        <v/>
      </c>
      <c r="CH277" s="2841" t="str">
        <f t="shared" si="205"/>
        <v/>
      </c>
      <c r="CI277" s="2841" t="str">
        <f t="shared" si="195"/>
        <v/>
      </c>
      <c r="CJ277" s="2890"/>
      <c r="CK277" s="2841" t="str">
        <f t="shared" si="196"/>
        <v/>
      </c>
      <c r="CL277" s="2841" t="str">
        <f t="shared" si="197"/>
        <v/>
      </c>
      <c r="CO277" s="2890"/>
      <c r="CP277" s="2890"/>
      <c r="CQ277" s="2842">
        <f>IF(AND($D277&gt;0,AO277=""),1,IF(AO277&gt;$D277,1,0))</f>
        <v>0</v>
      </c>
      <c r="CR277" s="2842">
        <f t="shared" si="207"/>
        <v>0</v>
      </c>
      <c r="CS277" s="2842">
        <f t="shared" si="209"/>
        <v>0</v>
      </c>
      <c r="CT277" s="2842">
        <f t="shared" si="200"/>
        <v>0</v>
      </c>
      <c r="CU277" s="2842">
        <f t="shared" si="213"/>
        <v>0</v>
      </c>
      <c r="CV277" s="2842">
        <f t="shared" si="201"/>
        <v>0</v>
      </c>
      <c r="CW277" s="2842">
        <f t="shared" si="202"/>
        <v>0</v>
      </c>
      <c r="CX277" s="2890"/>
      <c r="CY277" s="2842">
        <f t="shared" si="203"/>
        <v>0</v>
      </c>
      <c r="CZ277" s="2842">
        <f t="shared" si="204"/>
        <v>0</v>
      </c>
    </row>
    <row r="278" spans="1:104" ht="15" customHeight="1">
      <c r="A278" s="6616"/>
      <c r="B278" s="6573" t="s">
        <v>1902</v>
      </c>
      <c r="C278" s="6573"/>
      <c r="D278" s="3251">
        <f t="shared" si="188"/>
        <v>0</v>
      </c>
      <c r="E278" s="3279">
        <f t="shared" si="189"/>
        <v>0</v>
      </c>
      <c r="F278" s="3284">
        <f t="shared" si="190"/>
        <v>0</v>
      </c>
      <c r="G278" s="2224"/>
      <c r="H278" s="2222"/>
      <c r="I278" s="2224"/>
      <c r="J278" s="2222"/>
      <c r="K278" s="2224"/>
      <c r="L278" s="2222"/>
      <c r="M278" s="2224"/>
      <c r="N278" s="2222"/>
      <c r="O278" s="2224"/>
      <c r="P278" s="2222"/>
      <c r="Q278" s="2224"/>
      <c r="R278" s="2222"/>
      <c r="S278" s="2224"/>
      <c r="T278" s="2193"/>
      <c r="U278" s="3270"/>
      <c r="V278" s="3271"/>
      <c r="W278" s="3270"/>
      <c r="X278" s="3271"/>
      <c r="Y278" s="3270"/>
      <c r="Z278" s="3271"/>
      <c r="AA278" s="3270"/>
      <c r="AB278" s="3271"/>
      <c r="AC278" s="3270"/>
      <c r="AD278" s="3271"/>
      <c r="AE278" s="3270"/>
      <c r="AF278" s="3271"/>
      <c r="AG278" s="3270"/>
      <c r="AH278" s="3271"/>
      <c r="AI278" s="3270"/>
      <c r="AJ278" s="3271"/>
      <c r="AK278" s="2224"/>
      <c r="AL278" s="2223"/>
      <c r="AM278" s="2224"/>
      <c r="AN278" s="2193"/>
      <c r="AO278" s="3227"/>
      <c r="AP278" s="3228"/>
      <c r="AQ278" s="3253"/>
      <c r="AR278" s="3254"/>
      <c r="AS278" s="2224"/>
      <c r="AT278" s="3254"/>
      <c r="AU278" s="2193"/>
      <c r="AV278" s="3228"/>
      <c r="AW278" s="3254"/>
      <c r="AX278" s="2193"/>
      <c r="AY278" t="str">
        <f t="shared" si="191"/>
        <v/>
      </c>
      <c r="CA278" s="2890"/>
      <c r="CB278" s="2890"/>
      <c r="CC278" s="2890"/>
      <c r="CD278" s="2890"/>
      <c r="CE278" s="2841" t="str">
        <f t="shared" si="206"/>
        <v/>
      </c>
      <c r="CF278" s="2841" t="str">
        <f t="shared" si="194"/>
        <v/>
      </c>
      <c r="CG278" s="2841" t="str">
        <f t="shared" si="212"/>
        <v/>
      </c>
      <c r="CH278" s="2841" t="str">
        <f t="shared" si="205"/>
        <v/>
      </c>
      <c r="CI278" s="2841" t="str">
        <f t="shared" si="195"/>
        <v/>
      </c>
      <c r="CJ278" s="2890"/>
      <c r="CK278" s="2841" t="str">
        <f t="shared" si="196"/>
        <v/>
      </c>
      <c r="CL278" s="2841" t="str">
        <f t="shared" si="197"/>
        <v/>
      </c>
      <c r="CO278" s="2890"/>
      <c r="CP278" s="2890"/>
      <c r="CQ278" s="2890"/>
      <c r="CR278" s="2890"/>
      <c r="CS278" s="2842">
        <f t="shared" si="209"/>
        <v>0</v>
      </c>
      <c r="CT278" s="2842">
        <f t="shared" si="200"/>
        <v>0</v>
      </c>
      <c r="CU278" s="2842">
        <f t="shared" si="213"/>
        <v>0</v>
      </c>
      <c r="CV278" s="2842">
        <f t="shared" si="201"/>
        <v>0</v>
      </c>
      <c r="CW278" s="2842">
        <f t="shared" si="202"/>
        <v>0</v>
      </c>
      <c r="CX278" s="2890"/>
      <c r="CY278" s="2842">
        <f t="shared" si="203"/>
        <v>0</v>
      </c>
      <c r="CZ278" s="2842">
        <f t="shared" si="204"/>
        <v>0</v>
      </c>
    </row>
    <row r="279" spans="1:104" ht="15" customHeight="1">
      <c r="A279" s="6616"/>
      <c r="B279" s="6573" t="s">
        <v>1903</v>
      </c>
      <c r="C279" s="6573"/>
      <c r="D279" s="3251">
        <f t="shared" si="188"/>
        <v>0</v>
      </c>
      <c r="E279" s="2977">
        <f t="shared" si="189"/>
        <v>0</v>
      </c>
      <c r="F279" s="2978">
        <f t="shared" si="190"/>
        <v>0</v>
      </c>
      <c r="G279" s="2224"/>
      <c r="H279" s="2222"/>
      <c r="I279" s="2224"/>
      <c r="J279" s="2222"/>
      <c r="K279" s="2224"/>
      <c r="L279" s="2222"/>
      <c r="M279" s="2224"/>
      <c r="N279" s="2222"/>
      <c r="O279" s="2224"/>
      <c r="P279" s="2222"/>
      <c r="Q279" s="2224"/>
      <c r="R279" s="2222"/>
      <c r="S279" s="2224"/>
      <c r="T279" s="2193"/>
      <c r="U279" s="3270"/>
      <c r="V279" s="3271"/>
      <c r="W279" s="3270"/>
      <c r="X279" s="3271"/>
      <c r="Y279" s="3270"/>
      <c r="Z279" s="3271"/>
      <c r="AA279" s="3270"/>
      <c r="AB279" s="3271"/>
      <c r="AC279" s="3270"/>
      <c r="AD279" s="3271"/>
      <c r="AE279" s="3270"/>
      <c r="AF279" s="3271"/>
      <c r="AG279" s="3270"/>
      <c r="AH279" s="3271"/>
      <c r="AI279" s="3270"/>
      <c r="AJ279" s="3271"/>
      <c r="AK279" s="2224"/>
      <c r="AL279" s="2223"/>
      <c r="AM279" s="2224"/>
      <c r="AN279" s="2193"/>
      <c r="AO279" s="3227"/>
      <c r="AP279" s="3228"/>
      <c r="AQ279" s="3229"/>
      <c r="AR279" s="3254"/>
      <c r="AS279" s="2224"/>
      <c r="AT279" s="3254"/>
      <c r="AU279" s="2193"/>
      <c r="AV279" s="3228"/>
      <c r="AW279" s="3254"/>
      <c r="AX279" s="2193"/>
      <c r="AY279" t="str">
        <f t="shared" si="191"/>
        <v/>
      </c>
      <c r="CA279" s="2890"/>
      <c r="CB279" s="2890"/>
      <c r="CC279" s="2890"/>
      <c r="CD279" s="2890"/>
      <c r="CE279" s="2890"/>
      <c r="CF279" s="2841" t="str">
        <f t="shared" si="194"/>
        <v/>
      </c>
      <c r="CG279" s="2841" t="str">
        <f t="shared" si="212"/>
        <v/>
      </c>
      <c r="CH279" s="2841" t="str">
        <f t="shared" si="205"/>
        <v/>
      </c>
      <c r="CI279" s="2841" t="str">
        <f t="shared" si="195"/>
        <v/>
      </c>
      <c r="CJ279" s="2890"/>
      <c r="CK279" s="2841" t="str">
        <f t="shared" si="196"/>
        <v/>
      </c>
      <c r="CL279" s="2841" t="str">
        <f t="shared" si="197"/>
        <v/>
      </c>
      <c r="CO279" s="2890"/>
      <c r="CP279" s="2890"/>
      <c r="CQ279" s="2890"/>
      <c r="CR279" s="2890"/>
      <c r="CS279" s="2890"/>
      <c r="CT279" s="2842">
        <f t="shared" si="200"/>
        <v>0</v>
      </c>
      <c r="CU279" s="2842">
        <f t="shared" si="213"/>
        <v>0</v>
      </c>
      <c r="CV279" s="2842">
        <f t="shared" si="201"/>
        <v>0</v>
      </c>
      <c r="CW279" s="2842">
        <f t="shared" si="202"/>
        <v>0</v>
      </c>
      <c r="CX279" s="2890"/>
      <c r="CY279" s="2842">
        <f t="shared" si="203"/>
        <v>0</v>
      </c>
      <c r="CZ279" s="2842">
        <f t="shared" si="204"/>
        <v>0</v>
      </c>
    </row>
    <row r="280" spans="1:104" ht="15" customHeight="1">
      <c r="A280" s="6616"/>
      <c r="B280" s="6565" t="s">
        <v>1904</v>
      </c>
      <c r="C280" s="6567"/>
      <c r="D280" s="3251">
        <f t="shared" si="188"/>
        <v>0</v>
      </c>
      <c r="E280" s="2977">
        <f t="shared" si="189"/>
        <v>0</v>
      </c>
      <c r="F280" s="2978">
        <f t="shared" si="190"/>
        <v>0</v>
      </c>
      <c r="G280" s="3257"/>
      <c r="H280" s="3256"/>
      <c r="I280" s="3257"/>
      <c r="J280" s="3256"/>
      <c r="K280" s="3257"/>
      <c r="L280" s="3256"/>
      <c r="M280" s="3257"/>
      <c r="N280" s="3256"/>
      <c r="O280" s="3257"/>
      <c r="P280" s="3256"/>
      <c r="Q280" s="3257"/>
      <c r="R280" s="3256"/>
      <c r="S280" s="3257"/>
      <c r="T280" s="3258"/>
      <c r="U280" s="3272"/>
      <c r="V280" s="3273"/>
      <c r="W280" s="3272"/>
      <c r="X280" s="3273"/>
      <c r="Y280" s="3272"/>
      <c r="Z280" s="3273"/>
      <c r="AA280" s="3272"/>
      <c r="AB280" s="3273"/>
      <c r="AC280" s="3272"/>
      <c r="AD280" s="3273"/>
      <c r="AE280" s="3272"/>
      <c r="AF280" s="3273"/>
      <c r="AG280" s="3272"/>
      <c r="AH280" s="3273"/>
      <c r="AI280" s="3272"/>
      <c r="AJ280" s="3273"/>
      <c r="AK280" s="2224"/>
      <c r="AL280" s="2223"/>
      <c r="AM280" s="2224"/>
      <c r="AN280" s="2193"/>
      <c r="AO280" s="3227"/>
      <c r="AP280" s="3228"/>
      <c r="AQ280" s="3229"/>
      <c r="AR280" s="3254"/>
      <c r="AS280" s="2224"/>
      <c r="AT280" s="3254"/>
      <c r="AU280" s="2193"/>
      <c r="AV280" s="2193"/>
      <c r="AW280" s="3254"/>
      <c r="AX280" s="2193"/>
      <c r="AY280" t="str">
        <f t="shared" si="191"/>
        <v/>
      </c>
      <c r="CA280" s="2890"/>
      <c r="CB280" s="2890"/>
      <c r="CC280" s="2890"/>
      <c r="CD280" s="2890"/>
      <c r="CE280" s="2890"/>
      <c r="CF280" s="2841" t="str">
        <f t="shared" si="194"/>
        <v/>
      </c>
      <c r="CG280" s="2841" t="str">
        <f t="shared" si="212"/>
        <v/>
      </c>
      <c r="CH280" s="2841" t="str">
        <f t="shared" si="205"/>
        <v/>
      </c>
      <c r="CI280" s="2841" t="str">
        <f t="shared" si="195"/>
        <v/>
      </c>
      <c r="CJ280" s="2841" t="str">
        <f>IF(AND($D280&gt;0,AV280="")," * No olvide digitar la variable Contrarreferencia al alta. Digite Cero si no tiene.",IF(AV280&gt;$D280," * La variable Contrarreferencia al alta no puede superar el Total Ambos Sexos.",""))</f>
        <v/>
      </c>
      <c r="CK280" s="2841" t="str">
        <f t="shared" si="196"/>
        <v/>
      </c>
      <c r="CL280" s="2841" t="str">
        <f t="shared" si="197"/>
        <v/>
      </c>
      <c r="CO280" s="2890"/>
      <c r="CP280" s="2890"/>
      <c r="CQ280" s="2890"/>
      <c r="CR280" s="2890"/>
      <c r="CS280" s="2890"/>
      <c r="CT280" s="2842">
        <f t="shared" si="200"/>
        <v>0</v>
      </c>
      <c r="CU280" s="2842">
        <f t="shared" si="213"/>
        <v>0</v>
      </c>
      <c r="CV280" s="2842">
        <f t="shared" si="201"/>
        <v>0</v>
      </c>
      <c r="CW280" s="2842">
        <f t="shared" si="202"/>
        <v>0</v>
      </c>
      <c r="CX280" s="2842">
        <f>IF(AND($D280&gt;0,AV280=""),1,IF(AV280&gt;$D280,1,0))</f>
        <v>0</v>
      </c>
      <c r="CY280" s="2842">
        <f t="shared" si="203"/>
        <v>0</v>
      </c>
      <c r="CZ280" s="2842">
        <f t="shared" si="204"/>
        <v>0</v>
      </c>
    </row>
    <row r="281" spans="1:104" ht="15" customHeight="1">
      <c r="A281" s="6616"/>
      <c r="B281" s="6565" t="s">
        <v>1905</v>
      </c>
      <c r="C281" s="6567"/>
      <c r="D281" s="3251">
        <f t="shared" si="188"/>
        <v>0</v>
      </c>
      <c r="E281" s="2977">
        <f t="shared" si="189"/>
        <v>0</v>
      </c>
      <c r="F281" s="2984">
        <f t="shared" si="190"/>
        <v>0</v>
      </c>
      <c r="G281" s="3255"/>
      <c r="H281" s="3256"/>
      <c r="I281" s="3257"/>
      <c r="J281" s="3256"/>
      <c r="K281" s="3257"/>
      <c r="L281" s="3256"/>
      <c r="M281" s="3257"/>
      <c r="N281" s="3256"/>
      <c r="O281" s="3257"/>
      <c r="P281" s="3256"/>
      <c r="Q281" s="3257"/>
      <c r="R281" s="3256"/>
      <c r="S281" s="3257"/>
      <c r="T281" s="3258"/>
      <c r="U281" s="3272"/>
      <c r="V281" s="3273"/>
      <c r="W281" s="3272"/>
      <c r="X281" s="3273"/>
      <c r="Y281" s="3272"/>
      <c r="Z281" s="3273"/>
      <c r="AA281" s="3272"/>
      <c r="AB281" s="3273"/>
      <c r="AC281" s="3272"/>
      <c r="AD281" s="3273"/>
      <c r="AE281" s="3272"/>
      <c r="AF281" s="3273"/>
      <c r="AG281" s="3272"/>
      <c r="AH281" s="3273"/>
      <c r="AI281" s="3272"/>
      <c r="AJ281" s="3273"/>
      <c r="AK281" s="2224"/>
      <c r="AL281" s="2223"/>
      <c r="AM281" s="2224"/>
      <c r="AN281" s="2193"/>
      <c r="AO281" s="3227"/>
      <c r="AP281" s="3228"/>
      <c r="AQ281" s="3264"/>
      <c r="AR281" s="3254"/>
      <c r="AS281" s="2224"/>
      <c r="AT281" s="3254"/>
      <c r="AU281" s="2193"/>
      <c r="AV281" s="3263"/>
      <c r="AW281" s="3254"/>
      <c r="AX281" s="2193"/>
      <c r="AY281" t="str">
        <f t="shared" si="191"/>
        <v/>
      </c>
      <c r="CA281" s="2890"/>
      <c r="CB281" s="2890"/>
      <c r="CC281" s="2890"/>
      <c r="CD281" s="2890"/>
      <c r="CE281" s="2890"/>
      <c r="CF281" s="2841" t="str">
        <f t="shared" si="194"/>
        <v/>
      </c>
      <c r="CG281" s="2841" t="str">
        <f t="shared" si="212"/>
        <v/>
      </c>
      <c r="CH281" s="2841" t="str">
        <f t="shared" si="205"/>
        <v/>
      </c>
      <c r="CI281" s="2841" t="str">
        <f t="shared" si="195"/>
        <v/>
      </c>
      <c r="CJ281" s="2890"/>
      <c r="CK281" s="2841" t="str">
        <f t="shared" si="196"/>
        <v/>
      </c>
      <c r="CL281" s="2841" t="str">
        <f t="shared" si="197"/>
        <v/>
      </c>
      <c r="CO281" s="2890"/>
      <c r="CP281" s="2890"/>
      <c r="CQ281" s="2890"/>
      <c r="CR281" s="2890"/>
      <c r="CS281" s="2890"/>
      <c r="CT281" s="2842">
        <f t="shared" si="200"/>
        <v>0</v>
      </c>
      <c r="CU281" s="2842">
        <f t="shared" si="213"/>
        <v>0</v>
      </c>
      <c r="CV281" s="2842">
        <f t="shared" si="201"/>
        <v>0</v>
      </c>
      <c r="CW281" s="2842">
        <f t="shared" si="202"/>
        <v>0</v>
      </c>
      <c r="CX281" s="2890"/>
      <c r="CY281" s="2842">
        <f t="shared" si="203"/>
        <v>0</v>
      </c>
      <c r="CZ281" s="2842">
        <f t="shared" si="204"/>
        <v>0</v>
      </c>
    </row>
    <row r="282" spans="1:104" ht="15" customHeight="1">
      <c r="A282" s="6617"/>
      <c r="B282" s="6577" t="s">
        <v>1906</v>
      </c>
      <c r="C282" s="6577"/>
      <c r="D282" s="3195">
        <f t="shared" si="188"/>
        <v>0</v>
      </c>
      <c r="E282" s="2933">
        <f t="shared" si="189"/>
        <v>0</v>
      </c>
      <c r="F282" s="2875">
        <f t="shared" si="190"/>
        <v>0</v>
      </c>
      <c r="G282" s="3234"/>
      <c r="H282" s="3235"/>
      <c r="I282" s="3236"/>
      <c r="J282" s="3235"/>
      <c r="K282" s="3236"/>
      <c r="L282" s="3235"/>
      <c r="M282" s="3236"/>
      <c r="N282" s="3235"/>
      <c r="O282" s="3236"/>
      <c r="P282" s="3235"/>
      <c r="Q282" s="3236"/>
      <c r="R282" s="3235"/>
      <c r="S282" s="3236"/>
      <c r="T282" s="2196"/>
      <c r="U282" s="3274"/>
      <c r="V282" s="3275"/>
      <c r="W282" s="3274"/>
      <c r="X282" s="3275"/>
      <c r="Y282" s="3274"/>
      <c r="Z282" s="3275"/>
      <c r="AA282" s="3274"/>
      <c r="AB282" s="3275"/>
      <c r="AC282" s="3274"/>
      <c r="AD282" s="3275"/>
      <c r="AE282" s="3274"/>
      <c r="AF282" s="3275"/>
      <c r="AG282" s="3274"/>
      <c r="AH282" s="3275"/>
      <c r="AI282" s="3274"/>
      <c r="AJ282" s="3275"/>
      <c r="AK282" s="3285"/>
      <c r="AL282" s="3286"/>
      <c r="AM282" s="3285"/>
      <c r="AN282" s="2180"/>
      <c r="AO282" s="3287"/>
      <c r="AP282" s="3288"/>
      <c r="AQ282" s="3267"/>
      <c r="AR282" s="3289"/>
      <c r="AS282" s="3285"/>
      <c r="AT282" s="3289"/>
      <c r="AU282" s="2180"/>
      <c r="AV282" s="3238"/>
      <c r="AW282" s="3289"/>
      <c r="AX282" s="2180"/>
      <c r="AY282" t="str">
        <f t="shared" si="191"/>
        <v/>
      </c>
      <c r="CA282" s="2890"/>
      <c r="CB282" s="2890"/>
      <c r="CC282" s="2890"/>
      <c r="CD282" s="2890"/>
      <c r="CE282" s="2890"/>
      <c r="CF282" s="2841" t="str">
        <f t="shared" si="194"/>
        <v/>
      </c>
      <c r="CG282" s="2841" t="str">
        <f t="shared" si="212"/>
        <v/>
      </c>
      <c r="CH282" s="2841" t="str">
        <f t="shared" si="205"/>
        <v/>
      </c>
      <c r="CI282" s="2841" t="str">
        <f t="shared" si="195"/>
        <v/>
      </c>
      <c r="CJ282" s="2890"/>
      <c r="CK282" s="2841" t="str">
        <f t="shared" si="196"/>
        <v/>
      </c>
      <c r="CL282" s="2841" t="str">
        <f t="shared" si="197"/>
        <v/>
      </c>
      <c r="CO282" s="2890"/>
      <c r="CP282" s="2890"/>
      <c r="CQ282" s="2890"/>
      <c r="CR282" s="2890"/>
      <c r="CS282" s="2890"/>
      <c r="CT282" s="2842">
        <f t="shared" si="200"/>
        <v>0</v>
      </c>
      <c r="CU282" s="2842">
        <f t="shared" si="213"/>
        <v>0</v>
      </c>
      <c r="CV282" s="2842">
        <f t="shared" si="201"/>
        <v>0</v>
      </c>
      <c r="CW282" s="2842">
        <f t="shared" si="202"/>
        <v>0</v>
      </c>
      <c r="CX282" s="2890"/>
      <c r="CY282" s="2842">
        <f t="shared" si="203"/>
        <v>0</v>
      </c>
      <c r="CZ282" s="2842">
        <f t="shared" si="204"/>
        <v>0</v>
      </c>
    </row>
    <row r="283" spans="1:104" ht="15" customHeight="1">
      <c r="A283" s="6127" t="s">
        <v>1716</v>
      </c>
      <c r="B283" s="6612" t="s">
        <v>1901</v>
      </c>
      <c r="C283" s="6612"/>
      <c r="D283" s="3290">
        <f t="shared" si="188"/>
        <v>0</v>
      </c>
      <c r="E283" s="3276">
        <f t="shared" si="189"/>
        <v>0</v>
      </c>
      <c r="F283" s="3291">
        <f t="shared" si="190"/>
        <v>0</v>
      </c>
      <c r="G283" s="3242"/>
      <c r="H283" s="3243"/>
      <c r="I283" s="3278"/>
      <c r="J283" s="3243"/>
      <c r="K283" s="3278"/>
      <c r="L283" s="3243"/>
      <c r="M283" s="3278"/>
      <c r="N283" s="3243"/>
      <c r="O283" s="3278"/>
      <c r="P283" s="3243"/>
      <c r="Q283" s="3278"/>
      <c r="R283" s="3243"/>
      <c r="S283" s="3278"/>
      <c r="T283" s="3249"/>
      <c r="U283" s="3268"/>
      <c r="V283" s="3269"/>
      <c r="W283" s="3268"/>
      <c r="X283" s="3269"/>
      <c r="Y283" s="3268"/>
      <c r="Z283" s="3269"/>
      <c r="AA283" s="3268"/>
      <c r="AB283" s="3269"/>
      <c r="AC283" s="3268"/>
      <c r="AD283" s="3269"/>
      <c r="AE283" s="3268"/>
      <c r="AF283" s="3269"/>
      <c r="AG283" s="3268"/>
      <c r="AH283" s="3269"/>
      <c r="AI283" s="3268"/>
      <c r="AJ283" s="3269"/>
      <c r="AK283" s="3278"/>
      <c r="AL283" s="3249"/>
      <c r="AM283" s="3244"/>
      <c r="AN283" s="3245"/>
      <c r="AO283" s="3242"/>
      <c r="AP283" s="3243"/>
      <c r="AQ283" s="3246"/>
      <c r="AR283" s="3247"/>
      <c r="AS283" s="3248"/>
      <c r="AT283" s="3247"/>
      <c r="AU283" s="3249"/>
      <c r="AV283" s="3228"/>
      <c r="AW283" s="3247"/>
      <c r="AX283" s="3249"/>
      <c r="AY283" t="str">
        <f t="shared" si="191"/>
        <v/>
      </c>
      <c r="CA283" s="2841" t="str">
        <f t="shared" si="192"/>
        <v/>
      </c>
      <c r="CB283" s="2841" t="str">
        <f t="shared" si="193"/>
        <v/>
      </c>
      <c r="CC283" s="2841" t="str">
        <f>IF(AND($D283&gt;0,AO283="")," * No olvide digitar la variable Consultas Pertinentes: Según Procolo de Referencia. Digite cero si no tiene.",IF(AO283&gt;$D283," * La variable Consultas Pertinentes: Según Procolo de Referencia no puede superar el Total Ambos Sexos.",""))</f>
        <v/>
      </c>
      <c r="CD283" s="2841" t="str">
        <f>IF(AND($D283&gt;0,AP283="")," * No olvide digitar la variable Consultas Pertinentes: Según condición clínica. Digite cero si no tiene.",IF(AP283&gt;$D283," * La variable Consultas Pertinentes: Según condición clínica no puede superar el Total Ambos Sexos.",""))</f>
        <v/>
      </c>
      <c r="CE283" s="2841" t="str">
        <f t="shared" si="206"/>
        <v/>
      </c>
      <c r="CF283" s="2841" t="str">
        <f t="shared" si="194"/>
        <v/>
      </c>
      <c r="CG283" s="2890"/>
      <c r="CH283" s="2841" t="str">
        <f t="shared" si="205"/>
        <v/>
      </c>
      <c r="CI283" s="2841" t="str">
        <f t="shared" si="195"/>
        <v/>
      </c>
      <c r="CJ283" s="2890"/>
      <c r="CK283" s="2841" t="str">
        <f t="shared" si="196"/>
        <v/>
      </c>
      <c r="CL283" s="2841" t="str">
        <f t="shared" si="197"/>
        <v/>
      </c>
      <c r="CO283" s="2842">
        <f t="shared" si="198"/>
        <v>0</v>
      </c>
      <c r="CP283" s="2842">
        <f t="shared" si="199"/>
        <v>0</v>
      </c>
      <c r="CQ283" s="2842">
        <f>IF(AND($D283&gt;0,AO283=""),1,IF(AO283&gt;$D283,1,0))</f>
        <v>0</v>
      </c>
      <c r="CR283" s="2842">
        <f t="shared" si="207"/>
        <v>0</v>
      </c>
      <c r="CS283" s="2842">
        <f t="shared" si="209"/>
        <v>0</v>
      </c>
      <c r="CT283" s="2842">
        <f t="shared" si="200"/>
        <v>0</v>
      </c>
      <c r="CU283" s="2890"/>
      <c r="CV283" s="2842">
        <f t="shared" si="201"/>
        <v>0</v>
      </c>
      <c r="CW283" s="2842">
        <f t="shared" si="202"/>
        <v>0</v>
      </c>
      <c r="CX283" s="2890"/>
      <c r="CY283" s="2842">
        <f t="shared" si="203"/>
        <v>0</v>
      </c>
      <c r="CZ283" s="2842">
        <f t="shared" si="204"/>
        <v>0</v>
      </c>
    </row>
    <row r="284" spans="1:104" ht="15" customHeight="1">
      <c r="A284" s="6128"/>
      <c r="B284" s="6573" t="s">
        <v>1902</v>
      </c>
      <c r="C284" s="6573"/>
      <c r="D284" s="3251">
        <f t="shared" si="188"/>
        <v>0</v>
      </c>
      <c r="E284" s="2977">
        <f t="shared" si="189"/>
        <v>0</v>
      </c>
      <c r="F284" s="2978">
        <f t="shared" si="190"/>
        <v>0</v>
      </c>
      <c r="G284" s="2224"/>
      <c r="H284" s="2222"/>
      <c r="I284" s="2224"/>
      <c r="J284" s="2222"/>
      <c r="K284" s="2224"/>
      <c r="L284" s="2222"/>
      <c r="M284" s="2224"/>
      <c r="N284" s="2222"/>
      <c r="O284" s="2224"/>
      <c r="P284" s="2222"/>
      <c r="Q284" s="2224"/>
      <c r="R284" s="2222"/>
      <c r="S284" s="2224"/>
      <c r="T284" s="2193"/>
      <c r="U284" s="3270"/>
      <c r="V284" s="3271"/>
      <c r="W284" s="3270"/>
      <c r="X284" s="3271"/>
      <c r="Y284" s="3270"/>
      <c r="Z284" s="3271"/>
      <c r="AA284" s="3270"/>
      <c r="AB284" s="3271"/>
      <c r="AC284" s="3270"/>
      <c r="AD284" s="3271"/>
      <c r="AE284" s="3270"/>
      <c r="AF284" s="3271"/>
      <c r="AG284" s="3270"/>
      <c r="AH284" s="3271"/>
      <c r="AI284" s="3270"/>
      <c r="AJ284" s="3271"/>
      <c r="AK284" s="2224"/>
      <c r="AL284" s="2193"/>
      <c r="AM284" s="2192"/>
      <c r="AN284" s="3252"/>
      <c r="AO284" s="3227"/>
      <c r="AP284" s="3228"/>
      <c r="AQ284" s="3253"/>
      <c r="AR284" s="3254"/>
      <c r="AS284" s="3248"/>
      <c r="AT284" s="3254"/>
      <c r="AU284" s="2193"/>
      <c r="AV284" s="3228"/>
      <c r="AW284" s="3254"/>
      <c r="AX284" s="2193"/>
      <c r="AY284" t="str">
        <f t="shared" si="191"/>
        <v/>
      </c>
      <c r="CA284" s="2841" t="str">
        <f t="shared" si="192"/>
        <v/>
      </c>
      <c r="CB284" s="2841" t="str">
        <f t="shared" si="193"/>
        <v/>
      </c>
      <c r="CC284" s="2890"/>
      <c r="CD284" s="2890"/>
      <c r="CE284" s="2841" t="str">
        <f t="shared" si="206"/>
        <v/>
      </c>
      <c r="CF284" s="2841" t="str">
        <f t="shared" si="194"/>
        <v/>
      </c>
      <c r="CG284" s="2890"/>
      <c r="CH284" s="2841" t="str">
        <f t="shared" si="205"/>
        <v/>
      </c>
      <c r="CI284" s="2841" t="str">
        <f t="shared" si="195"/>
        <v/>
      </c>
      <c r="CJ284" s="2890"/>
      <c r="CK284" s="2841" t="str">
        <f t="shared" si="196"/>
        <v/>
      </c>
      <c r="CL284" s="2841" t="str">
        <f t="shared" si="197"/>
        <v/>
      </c>
      <c r="CO284" s="2842">
        <f t="shared" si="198"/>
        <v>0</v>
      </c>
      <c r="CP284" s="2842">
        <f t="shared" si="199"/>
        <v>0</v>
      </c>
      <c r="CQ284" s="2890"/>
      <c r="CR284" s="2890"/>
      <c r="CS284" s="2842">
        <f t="shared" si="209"/>
        <v>0</v>
      </c>
      <c r="CT284" s="2842">
        <f t="shared" si="200"/>
        <v>0</v>
      </c>
      <c r="CU284" s="2890"/>
      <c r="CV284" s="2842">
        <f t="shared" si="201"/>
        <v>0</v>
      </c>
      <c r="CW284" s="2842">
        <f t="shared" si="202"/>
        <v>0</v>
      </c>
      <c r="CX284" s="2890"/>
      <c r="CY284" s="2842">
        <f t="shared" si="203"/>
        <v>0</v>
      </c>
      <c r="CZ284" s="2842">
        <f t="shared" si="204"/>
        <v>0</v>
      </c>
    </row>
    <row r="285" spans="1:104" ht="15" customHeight="1">
      <c r="A285" s="6128"/>
      <c r="B285" s="6573" t="s">
        <v>1903</v>
      </c>
      <c r="C285" s="6573"/>
      <c r="D285" s="3251">
        <f t="shared" si="188"/>
        <v>0</v>
      </c>
      <c r="E285" s="2977">
        <f t="shared" si="189"/>
        <v>0</v>
      </c>
      <c r="F285" s="2978">
        <f t="shared" si="190"/>
        <v>0</v>
      </c>
      <c r="G285" s="2224"/>
      <c r="H285" s="2222"/>
      <c r="I285" s="2224"/>
      <c r="J285" s="2222"/>
      <c r="K285" s="2224"/>
      <c r="L285" s="2222"/>
      <c r="M285" s="2224"/>
      <c r="N285" s="2222"/>
      <c r="O285" s="2224"/>
      <c r="P285" s="2222"/>
      <c r="Q285" s="2224"/>
      <c r="R285" s="2222"/>
      <c r="S285" s="2224"/>
      <c r="T285" s="2193"/>
      <c r="U285" s="3270"/>
      <c r="V285" s="3271"/>
      <c r="W285" s="3270"/>
      <c r="X285" s="3271"/>
      <c r="Y285" s="3270"/>
      <c r="Z285" s="3271"/>
      <c r="AA285" s="3270"/>
      <c r="AB285" s="3271"/>
      <c r="AC285" s="3270"/>
      <c r="AD285" s="3271"/>
      <c r="AE285" s="3270"/>
      <c r="AF285" s="3271"/>
      <c r="AG285" s="3270"/>
      <c r="AH285" s="3271"/>
      <c r="AI285" s="3270"/>
      <c r="AJ285" s="3271"/>
      <c r="AK285" s="2224"/>
      <c r="AL285" s="2193"/>
      <c r="AM285" s="2192"/>
      <c r="AN285" s="3252"/>
      <c r="AO285" s="3227"/>
      <c r="AP285" s="3228"/>
      <c r="AQ285" s="3229"/>
      <c r="AR285" s="3254"/>
      <c r="AS285" s="3248"/>
      <c r="AT285" s="3254"/>
      <c r="AU285" s="2193"/>
      <c r="AV285" s="3228"/>
      <c r="AW285" s="3254"/>
      <c r="AX285" s="2193"/>
      <c r="AY285" t="str">
        <f t="shared" si="191"/>
        <v/>
      </c>
      <c r="CA285" s="2841" t="str">
        <f t="shared" si="192"/>
        <v/>
      </c>
      <c r="CB285" s="2841" t="str">
        <f t="shared" si="193"/>
        <v/>
      </c>
      <c r="CC285" s="2890"/>
      <c r="CD285" s="2890"/>
      <c r="CE285" s="2890"/>
      <c r="CF285" s="2841" t="str">
        <f t="shared" si="194"/>
        <v/>
      </c>
      <c r="CG285" s="2890"/>
      <c r="CH285" s="2841" t="str">
        <f t="shared" si="205"/>
        <v/>
      </c>
      <c r="CI285" s="2841" t="str">
        <f t="shared" si="195"/>
        <v/>
      </c>
      <c r="CJ285" s="2890"/>
      <c r="CK285" s="2841" t="str">
        <f t="shared" si="196"/>
        <v/>
      </c>
      <c r="CL285" s="2841" t="str">
        <f t="shared" si="197"/>
        <v/>
      </c>
      <c r="CO285" s="2842">
        <f t="shared" si="198"/>
        <v>0</v>
      </c>
      <c r="CP285" s="2842">
        <f t="shared" si="199"/>
        <v>0</v>
      </c>
      <c r="CQ285" s="2890"/>
      <c r="CR285" s="2890"/>
      <c r="CS285" s="2890"/>
      <c r="CT285" s="2842">
        <f t="shared" si="200"/>
        <v>0</v>
      </c>
      <c r="CU285" s="2890"/>
      <c r="CV285" s="2842">
        <f t="shared" si="201"/>
        <v>0</v>
      </c>
      <c r="CW285" s="2842">
        <f t="shared" si="202"/>
        <v>0</v>
      </c>
      <c r="CX285" s="2890"/>
      <c r="CY285" s="2842">
        <f t="shared" si="203"/>
        <v>0</v>
      </c>
      <c r="CZ285" s="2842">
        <f t="shared" si="204"/>
        <v>0</v>
      </c>
    </row>
    <row r="286" spans="1:104" ht="15" customHeight="1">
      <c r="A286" s="6128"/>
      <c r="B286" s="6565" t="s">
        <v>1904</v>
      </c>
      <c r="C286" s="6567"/>
      <c r="D286" s="3251">
        <f t="shared" si="188"/>
        <v>0</v>
      </c>
      <c r="E286" s="3279">
        <f t="shared" si="189"/>
        <v>0</v>
      </c>
      <c r="F286" s="3284">
        <f t="shared" si="190"/>
        <v>0</v>
      </c>
      <c r="G286" s="3257"/>
      <c r="H286" s="3256"/>
      <c r="I286" s="3257"/>
      <c r="J286" s="3256"/>
      <c r="K286" s="3257"/>
      <c r="L286" s="3256"/>
      <c r="M286" s="3257"/>
      <c r="N286" s="3256"/>
      <c r="O286" s="3257"/>
      <c r="P286" s="3256"/>
      <c r="Q286" s="3257"/>
      <c r="R286" s="3256"/>
      <c r="S286" s="3257"/>
      <c r="T286" s="3258"/>
      <c r="U286" s="3272"/>
      <c r="V286" s="3273"/>
      <c r="W286" s="3272"/>
      <c r="X286" s="3273"/>
      <c r="Y286" s="3272"/>
      <c r="Z286" s="3273"/>
      <c r="AA286" s="3272"/>
      <c r="AB286" s="3273"/>
      <c r="AC286" s="3272"/>
      <c r="AD286" s="3273"/>
      <c r="AE286" s="3272"/>
      <c r="AF286" s="3273"/>
      <c r="AG286" s="3272"/>
      <c r="AH286" s="3273"/>
      <c r="AI286" s="3272"/>
      <c r="AJ286" s="3273"/>
      <c r="AK286" s="3257"/>
      <c r="AL286" s="3258"/>
      <c r="AM286" s="3259"/>
      <c r="AN286" s="3260"/>
      <c r="AO286" s="3262"/>
      <c r="AP286" s="3263"/>
      <c r="AQ286" s="3229"/>
      <c r="AR286" s="3261"/>
      <c r="AS286" s="3248"/>
      <c r="AT286" s="3261"/>
      <c r="AU286" s="3258"/>
      <c r="AV286" s="2193"/>
      <c r="AW286" s="3261"/>
      <c r="AX286" s="3258"/>
      <c r="AY286" t="str">
        <f t="shared" si="191"/>
        <v/>
      </c>
      <c r="CA286" s="2841" t="str">
        <f t="shared" si="192"/>
        <v/>
      </c>
      <c r="CB286" s="2841" t="str">
        <f t="shared" si="193"/>
        <v/>
      </c>
      <c r="CC286" s="2890"/>
      <c r="CD286" s="2890"/>
      <c r="CE286" s="2890"/>
      <c r="CF286" s="2841" t="str">
        <f t="shared" si="194"/>
        <v/>
      </c>
      <c r="CG286" s="2890"/>
      <c r="CH286" s="2841" t="str">
        <f t="shared" si="205"/>
        <v/>
      </c>
      <c r="CI286" s="2841" t="str">
        <f t="shared" si="195"/>
        <v/>
      </c>
      <c r="CJ286" s="2841" t="str">
        <f>IF(AND($D286&gt;0,AV286="")," * No olvide digitar la variable Contrarreferencia al alta. Digite Cero si no tiene.",IF(AV286&gt;$D286," * La variable Contrarreferencia al alta no puede superar el Total Ambos Sexos.",""))</f>
        <v/>
      </c>
      <c r="CK286" s="2841" t="str">
        <f t="shared" si="196"/>
        <v/>
      </c>
      <c r="CL286" s="2841" t="str">
        <f t="shared" si="197"/>
        <v/>
      </c>
      <c r="CO286" s="2842">
        <f t="shared" si="198"/>
        <v>0</v>
      </c>
      <c r="CP286" s="2842">
        <f t="shared" si="199"/>
        <v>0</v>
      </c>
      <c r="CQ286" s="2890"/>
      <c r="CR286" s="2890"/>
      <c r="CS286" s="2890"/>
      <c r="CT286" s="2842">
        <f t="shared" si="200"/>
        <v>0</v>
      </c>
      <c r="CU286" s="2890"/>
      <c r="CV286" s="2842">
        <f t="shared" si="201"/>
        <v>0</v>
      </c>
      <c r="CW286" s="2842">
        <f t="shared" si="202"/>
        <v>0</v>
      </c>
      <c r="CX286" s="2842">
        <f>IF(AND($D286&gt;0,AV286=""),1,IF(AV286&gt;$D286,1,0))</f>
        <v>0</v>
      </c>
      <c r="CY286" s="2842">
        <f t="shared" si="203"/>
        <v>0</v>
      </c>
      <c r="CZ286" s="2842">
        <f t="shared" si="204"/>
        <v>0</v>
      </c>
    </row>
    <row r="287" spans="1:104" ht="15" customHeight="1">
      <c r="A287" s="6128"/>
      <c r="B287" s="6565" t="s">
        <v>1905</v>
      </c>
      <c r="C287" s="6567"/>
      <c r="D287" s="3251">
        <f t="shared" si="188"/>
        <v>0</v>
      </c>
      <c r="E287" s="2977">
        <f t="shared" si="189"/>
        <v>0</v>
      </c>
      <c r="F287" s="2978">
        <f t="shared" si="190"/>
        <v>0</v>
      </c>
      <c r="G287" s="3257"/>
      <c r="H287" s="3256"/>
      <c r="I287" s="3257"/>
      <c r="J287" s="3256"/>
      <c r="K287" s="3257"/>
      <c r="L287" s="3256"/>
      <c r="M287" s="3257"/>
      <c r="N287" s="3256"/>
      <c r="O287" s="3257"/>
      <c r="P287" s="3256"/>
      <c r="Q287" s="3257"/>
      <c r="R287" s="3256"/>
      <c r="S287" s="3257"/>
      <c r="T287" s="3258"/>
      <c r="U287" s="3257"/>
      <c r="V287" s="3258"/>
      <c r="W287" s="3257"/>
      <c r="X287" s="3258"/>
      <c r="Y287" s="3257"/>
      <c r="Z287" s="3258"/>
      <c r="AA287" s="3257"/>
      <c r="AB287" s="3258"/>
      <c r="AC287" s="3257"/>
      <c r="AD287" s="3258"/>
      <c r="AE287" s="3257"/>
      <c r="AF287" s="3258"/>
      <c r="AG287" s="3257"/>
      <c r="AH287" s="3258"/>
      <c r="AI287" s="3257"/>
      <c r="AJ287" s="3258"/>
      <c r="AK287" s="3257"/>
      <c r="AL287" s="3258"/>
      <c r="AM287" s="3259"/>
      <c r="AN287" s="3260"/>
      <c r="AO287" s="3262"/>
      <c r="AP287" s="3263"/>
      <c r="AQ287" s="3264"/>
      <c r="AR287" s="3261"/>
      <c r="AS287" s="3265"/>
      <c r="AT287" s="3261"/>
      <c r="AU287" s="3258"/>
      <c r="AV287" s="3263"/>
      <c r="AW287" s="3261"/>
      <c r="AX287" s="3258"/>
      <c r="AY287" t="str">
        <f t="shared" si="191"/>
        <v/>
      </c>
      <c r="CA287" s="2841" t="str">
        <f t="shared" si="192"/>
        <v/>
      </c>
      <c r="CB287" s="2841" t="str">
        <f t="shared" si="193"/>
        <v/>
      </c>
      <c r="CC287" s="2890"/>
      <c r="CD287" s="2890"/>
      <c r="CE287" s="2890"/>
      <c r="CF287" s="2841" t="str">
        <f t="shared" si="194"/>
        <v/>
      </c>
      <c r="CG287" s="2890"/>
      <c r="CH287" s="2841" t="str">
        <f t="shared" si="205"/>
        <v/>
      </c>
      <c r="CI287" s="2841" t="str">
        <f t="shared" si="195"/>
        <v/>
      </c>
      <c r="CJ287" s="2890"/>
      <c r="CK287" s="2841" t="str">
        <f t="shared" si="196"/>
        <v/>
      </c>
      <c r="CL287" s="2841" t="str">
        <f t="shared" si="197"/>
        <v/>
      </c>
      <c r="CO287" s="2842">
        <f t="shared" si="198"/>
        <v>0</v>
      </c>
      <c r="CP287" s="2842">
        <f t="shared" si="199"/>
        <v>0</v>
      </c>
      <c r="CQ287" s="2890"/>
      <c r="CR287" s="2890"/>
      <c r="CS287" s="2890"/>
      <c r="CT287" s="2842">
        <f t="shared" si="200"/>
        <v>0</v>
      </c>
      <c r="CU287" s="2890"/>
      <c r="CV287" s="2842">
        <f t="shared" si="201"/>
        <v>0</v>
      </c>
      <c r="CW287" s="2842">
        <f t="shared" si="202"/>
        <v>0</v>
      </c>
      <c r="CX287" s="2890"/>
      <c r="CY287" s="2842">
        <f t="shared" si="203"/>
        <v>0</v>
      </c>
      <c r="CZ287" s="2842">
        <f t="shared" si="204"/>
        <v>0</v>
      </c>
    </row>
    <row r="288" spans="1:104" ht="15" customHeight="1">
      <c r="A288" s="6129"/>
      <c r="B288" s="6577" t="s">
        <v>1906</v>
      </c>
      <c r="C288" s="6577"/>
      <c r="D288" s="3292">
        <f t="shared" si="188"/>
        <v>0</v>
      </c>
      <c r="E288" s="2933">
        <f t="shared" si="189"/>
        <v>0</v>
      </c>
      <c r="F288" s="2875">
        <f t="shared" si="190"/>
        <v>0</v>
      </c>
      <c r="G288" s="3255"/>
      <c r="H288" s="3256"/>
      <c r="I288" s="3257"/>
      <c r="J288" s="3256"/>
      <c r="K288" s="3257"/>
      <c r="L288" s="3256"/>
      <c r="M288" s="3257"/>
      <c r="N288" s="3256"/>
      <c r="O288" s="3257"/>
      <c r="P288" s="3256"/>
      <c r="Q288" s="3257"/>
      <c r="R288" s="3256"/>
      <c r="S288" s="3257"/>
      <c r="T288" s="3258"/>
      <c r="U288" s="3257"/>
      <c r="V288" s="3258"/>
      <c r="W288" s="3257"/>
      <c r="X288" s="3258"/>
      <c r="Y288" s="3257"/>
      <c r="Z288" s="3258"/>
      <c r="AA288" s="3257"/>
      <c r="AB288" s="3258"/>
      <c r="AC288" s="3257"/>
      <c r="AD288" s="3258"/>
      <c r="AE288" s="3257"/>
      <c r="AF288" s="3258"/>
      <c r="AG288" s="3257"/>
      <c r="AH288" s="3258"/>
      <c r="AI288" s="3257"/>
      <c r="AJ288" s="3258"/>
      <c r="AK288" s="3257"/>
      <c r="AL288" s="3258"/>
      <c r="AM288" s="2195"/>
      <c r="AN288" s="3237"/>
      <c r="AO288" s="3266"/>
      <c r="AP288" s="3238"/>
      <c r="AQ288" s="3267"/>
      <c r="AR288" s="3239"/>
      <c r="AS288" s="3240"/>
      <c r="AT288" s="3239"/>
      <c r="AU288" s="2196"/>
      <c r="AV288" s="3238"/>
      <c r="AW288" s="3239"/>
      <c r="AX288" s="2196"/>
      <c r="AY288" t="str">
        <f t="shared" si="191"/>
        <v/>
      </c>
      <c r="CA288" s="2841" t="str">
        <f t="shared" si="192"/>
        <v/>
      </c>
      <c r="CB288" s="2841" t="str">
        <f t="shared" si="193"/>
        <v/>
      </c>
      <c r="CC288" s="2890"/>
      <c r="CD288" s="2890"/>
      <c r="CE288" s="2890"/>
      <c r="CF288" s="2841" t="str">
        <f t="shared" si="194"/>
        <v/>
      </c>
      <c r="CG288" s="2890"/>
      <c r="CH288" s="2841" t="str">
        <f t="shared" si="205"/>
        <v/>
      </c>
      <c r="CI288" s="2841" t="str">
        <f t="shared" si="195"/>
        <v/>
      </c>
      <c r="CJ288" s="2890"/>
      <c r="CK288" s="2841" t="str">
        <f t="shared" si="196"/>
        <v/>
      </c>
      <c r="CL288" s="2841" t="str">
        <f t="shared" si="197"/>
        <v/>
      </c>
      <c r="CO288" s="2842">
        <f t="shared" si="198"/>
        <v>0</v>
      </c>
      <c r="CP288" s="2842">
        <f t="shared" si="199"/>
        <v>0</v>
      </c>
      <c r="CQ288" s="2890"/>
      <c r="CR288" s="2890"/>
      <c r="CS288" s="2890"/>
      <c r="CT288" s="2842">
        <f t="shared" si="200"/>
        <v>0</v>
      </c>
      <c r="CU288" s="2890"/>
      <c r="CV288" s="2842">
        <f t="shared" si="201"/>
        <v>0</v>
      </c>
      <c r="CW288" s="2842">
        <f t="shared" si="202"/>
        <v>0</v>
      </c>
      <c r="CX288" s="2890"/>
      <c r="CY288" s="2842">
        <f t="shared" si="203"/>
        <v>0</v>
      </c>
      <c r="CZ288" s="2842">
        <f t="shared" si="204"/>
        <v>0</v>
      </c>
    </row>
    <row r="289" spans="1:104" ht="15" customHeight="1">
      <c r="A289" s="6127" t="s">
        <v>1909</v>
      </c>
      <c r="B289" s="6612" t="s">
        <v>1901</v>
      </c>
      <c r="C289" s="6612"/>
      <c r="D289" s="3192">
        <f t="shared" si="188"/>
        <v>0</v>
      </c>
      <c r="E289" s="2975">
        <f t="shared" ref="E289:F294" si="214">SUM(W289+Y289+AA289+AC289+AE289+AG289+AI289+AK289)</f>
        <v>0</v>
      </c>
      <c r="F289" s="2860">
        <f>SUM(X289+Z289+AB289+AD289+AF289+AH289+AJ289+AL289)</f>
        <v>0</v>
      </c>
      <c r="G289" s="3293"/>
      <c r="H289" s="3294"/>
      <c r="I289" s="3295"/>
      <c r="J289" s="3294"/>
      <c r="K289" s="3296"/>
      <c r="L289" s="3232"/>
      <c r="M289" s="3297"/>
      <c r="N289" s="3232"/>
      <c r="O289" s="3295"/>
      <c r="P289" s="3294"/>
      <c r="Q289" s="3295"/>
      <c r="R289" s="3294"/>
      <c r="S289" s="3296"/>
      <c r="T289" s="3232"/>
      <c r="U289" s="3297"/>
      <c r="V289" s="3232"/>
      <c r="W289" s="2219"/>
      <c r="X289" s="2177"/>
      <c r="Y289" s="2219"/>
      <c r="Z289" s="2177"/>
      <c r="AA289" s="2219"/>
      <c r="AB289" s="2177"/>
      <c r="AC289" s="2219"/>
      <c r="AD289" s="2177"/>
      <c r="AE289" s="2219"/>
      <c r="AF289" s="2177"/>
      <c r="AG289" s="2219"/>
      <c r="AH289" s="2177"/>
      <c r="AI289" s="2219"/>
      <c r="AJ289" s="2177"/>
      <c r="AK289" s="2219"/>
      <c r="AL289" s="2177"/>
      <c r="AM289" s="3244"/>
      <c r="AN289" s="3245"/>
      <c r="AO289" s="2216"/>
      <c r="AP289" s="3243"/>
      <c r="AQ289" s="3246"/>
      <c r="AR289" s="3247"/>
      <c r="AS289" s="3248"/>
      <c r="AT289" s="3247"/>
      <c r="AU289" s="3249"/>
      <c r="AV289" s="3228"/>
      <c r="AW289" s="3247"/>
      <c r="AX289" s="3249"/>
      <c r="AY289" t="str">
        <f t="shared" si="191"/>
        <v/>
      </c>
      <c r="CA289" s="2841" t="str">
        <f t="shared" si="192"/>
        <v/>
      </c>
      <c r="CB289" s="2841" t="str">
        <f t="shared" si="193"/>
        <v/>
      </c>
      <c r="CC289" s="2841" t="str">
        <f>IF(AND($D289&gt;0,AO289="")," * No olvide digitar la variable Consultas Pertinentes: Según Procolo de Referencia. Digite cero si no tiene.",IF(AO289&gt;$D289," * La variable Consultas Pertinentes: Según Procolo de Referencia no puede superar el Total Ambos Sexos.",""))</f>
        <v/>
      </c>
      <c r="CD289" s="2841" t="str">
        <f>IF(AND($D289&gt;0,AP289="")," * No olvide digitar la variable Consultas Pertinentes: Según condición clínica. Digite cero si no tiene.",IF(AP289&gt;$D289," * La variable Consultas Pertinentes: Según condición clínica no puede superar el Total Ambos Sexos.",""))</f>
        <v/>
      </c>
      <c r="CE289" s="2841" t="str">
        <f t="shared" si="206"/>
        <v/>
      </c>
      <c r="CF289" s="2841" t="str">
        <f t="shared" si="194"/>
        <v/>
      </c>
      <c r="CG289" s="2890"/>
      <c r="CH289" s="2841" t="str">
        <f t="shared" si="205"/>
        <v/>
      </c>
      <c r="CI289" s="2841" t="str">
        <f t="shared" si="195"/>
        <v/>
      </c>
      <c r="CJ289" s="2890"/>
      <c r="CK289" s="2841" t="str">
        <f t="shared" si="196"/>
        <v/>
      </c>
      <c r="CL289" s="2841" t="str">
        <f t="shared" si="197"/>
        <v/>
      </c>
      <c r="CO289" s="2842">
        <f t="shared" si="198"/>
        <v>0</v>
      </c>
      <c r="CP289" s="2842">
        <f t="shared" si="199"/>
        <v>0</v>
      </c>
      <c r="CQ289" s="2842">
        <f>IF(AND($D289&gt;0,AO289=""),1,IF(AO289&gt;$D289,1,0))</f>
        <v>0</v>
      </c>
      <c r="CR289" s="2842">
        <f t="shared" si="207"/>
        <v>0</v>
      </c>
      <c r="CS289" s="2842">
        <f t="shared" si="209"/>
        <v>0</v>
      </c>
      <c r="CT289" s="2842">
        <f t="shared" si="200"/>
        <v>0</v>
      </c>
      <c r="CU289" s="2890"/>
      <c r="CV289" s="2842">
        <f t="shared" si="201"/>
        <v>0</v>
      </c>
      <c r="CW289" s="2842">
        <f t="shared" si="202"/>
        <v>0</v>
      </c>
      <c r="CX289" s="2890"/>
      <c r="CY289" s="2842">
        <f t="shared" si="203"/>
        <v>0</v>
      </c>
      <c r="CZ289" s="2842">
        <f t="shared" si="204"/>
        <v>0</v>
      </c>
    </row>
    <row r="290" spans="1:104" ht="15" customHeight="1">
      <c r="A290" s="6128"/>
      <c r="B290" s="6573" t="s">
        <v>1902</v>
      </c>
      <c r="C290" s="6573"/>
      <c r="D290" s="3251">
        <f t="shared" si="188"/>
        <v>0</v>
      </c>
      <c r="E290" s="2977">
        <f t="shared" si="214"/>
        <v>0</v>
      </c>
      <c r="F290" s="2978">
        <f t="shared" si="214"/>
        <v>0</v>
      </c>
      <c r="G290" s="3298"/>
      <c r="H290" s="3299"/>
      <c r="I290" s="3298"/>
      <c r="J290" s="3299"/>
      <c r="K290" s="3300"/>
      <c r="L290" s="3228"/>
      <c r="M290" s="3300"/>
      <c r="N290" s="3228"/>
      <c r="O290" s="3298"/>
      <c r="P290" s="3299"/>
      <c r="Q290" s="3298"/>
      <c r="R290" s="3299"/>
      <c r="S290" s="3300"/>
      <c r="T290" s="3228"/>
      <c r="U290" s="3300"/>
      <c r="V290" s="3228"/>
      <c r="W290" s="2224"/>
      <c r="X290" s="2193"/>
      <c r="Y290" s="2224"/>
      <c r="Z290" s="2193"/>
      <c r="AA290" s="2224"/>
      <c r="AB290" s="2193"/>
      <c r="AC290" s="2224"/>
      <c r="AD290" s="2193"/>
      <c r="AE290" s="2224"/>
      <c r="AF290" s="2193"/>
      <c r="AG290" s="2224"/>
      <c r="AH290" s="2193"/>
      <c r="AI290" s="2224"/>
      <c r="AJ290" s="2193"/>
      <c r="AK290" s="2224"/>
      <c r="AL290" s="2193"/>
      <c r="AM290" s="2192"/>
      <c r="AN290" s="3252"/>
      <c r="AO290" s="3227"/>
      <c r="AP290" s="3228"/>
      <c r="AQ290" s="3253"/>
      <c r="AR290" s="3254"/>
      <c r="AS290" s="3248"/>
      <c r="AT290" s="3254"/>
      <c r="AU290" s="2193"/>
      <c r="AV290" s="3228"/>
      <c r="AW290" s="3254"/>
      <c r="AX290" s="2193"/>
      <c r="AY290" t="str">
        <f t="shared" si="191"/>
        <v/>
      </c>
      <c r="CA290" s="2841" t="str">
        <f t="shared" si="192"/>
        <v/>
      </c>
      <c r="CB290" s="2841" t="str">
        <f t="shared" si="193"/>
        <v/>
      </c>
      <c r="CC290" s="2890"/>
      <c r="CD290" s="2890"/>
      <c r="CE290" s="2841" t="str">
        <f t="shared" si="206"/>
        <v/>
      </c>
      <c r="CF290" s="2841" t="str">
        <f t="shared" si="194"/>
        <v/>
      </c>
      <c r="CG290" s="2890"/>
      <c r="CH290" s="2841" t="str">
        <f t="shared" si="205"/>
        <v/>
      </c>
      <c r="CI290" s="2841" t="str">
        <f t="shared" si="195"/>
        <v/>
      </c>
      <c r="CJ290" s="2890"/>
      <c r="CK290" s="2841" t="str">
        <f t="shared" si="196"/>
        <v/>
      </c>
      <c r="CL290" s="2841" t="str">
        <f t="shared" si="197"/>
        <v/>
      </c>
      <c r="CO290" s="2842">
        <f t="shared" si="198"/>
        <v>0</v>
      </c>
      <c r="CP290" s="2842">
        <f t="shared" si="199"/>
        <v>0</v>
      </c>
      <c r="CQ290" s="2890"/>
      <c r="CR290" s="2890"/>
      <c r="CS290" s="2842">
        <f t="shared" si="209"/>
        <v>0</v>
      </c>
      <c r="CT290" s="2842">
        <f t="shared" si="200"/>
        <v>0</v>
      </c>
      <c r="CU290" s="2890"/>
      <c r="CV290" s="2842">
        <f t="shared" si="201"/>
        <v>0</v>
      </c>
      <c r="CW290" s="2842">
        <f t="shared" si="202"/>
        <v>0</v>
      </c>
      <c r="CX290" s="2890"/>
      <c r="CY290" s="2842">
        <f t="shared" si="203"/>
        <v>0</v>
      </c>
      <c r="CZ290" s="2842">
        <f t="shared" si="204"/>
        <v>0</v>
      </c>
    </row>
    <row r="291" spans="1:104" ht="15" customHeight="1">
      <c r="A291" s="6128"/>
      <c r="B291" s="6573" t="s">
        <v>1903</v>
      </c>
      <c r="C291" s="6573"/>
      <c r="D291" s="3251">
        <f t="shared" si="188"/>
        <v>0</v>
      </c>
      <c r="E291" s="2977">
        <f t="shared" si="214"/>
        <v>0</v>
      </c>
      <c r="F291" s="2978">
        <f t="shared" si="214"/>
        <v>0</v>
      </c>
      <c r="G291" s="3298"/>
      <c r="H291" s="3299"/>
      <c r="I291" s="3298"/>
      <c r="J291" s="3299"/>
      <c r="K291" s="3300"/>
      <c r="L291" s="3228"/>
      <c r="M291" s="3300"/>
      <c r="N291" s="3228"/>
      <c r="O291" s="3298"/>
      <c r="P291" s="3299"/>
      <c r="Q291" s="3298"/>
      <c r="R291" s="3299"/>
      <c r="S291" s="3300"/>
      <c r="T291" s="3228"/>
      <c r="U291" s="3300"/>
      <c r="V291" s="3228"/>
      <c r="W291" s="2224"/>
      <c r="X291" s="2193"/>
      <c r="Y291" s="2224"/>
      <c r="Z291" s="2193"/>
      <c r="AA291" s="2224"/>
      <c r="AB291" s="2193"/>
      <c r="AC291" s="2224"/>
      <c r="AD291" s="2193"/>
      <c r="AE291" s="2224"/>
      <c r="AF291" s="2193"/>
      <c r="AG291" s="2224"/>
      <c r="AH291" s="2193"/>
      <c r="AI291" s="2224"/>
      <c r="AJ291" s="2193"/>
      <c r="AK291" s="2224"/>
      <c r="AL291" s="2193"/>
      <c r="AM291" s="2192"/>
      <c r="AN291" s="3252"/>
      <c r="AO291" s="3227"/>
      <c r="AP291" s="3228"/>
      <c r="AQ291" s="3229"/>
      <c r="AR291" s="3254"/>
      <c r="AS291" s="3248"/>
      <c r="AT291" s="3254"/>
      <c r="AU291" s="2193"/>
      <c r="AV291" s="3228"/>
      <c r="AW291" s="3254"/>
      <c r="AX291" s="2193"/>
      <c r="AY291" t="str">
        <f t="shared" si="191"/>
        <v/>
      </c>
      <c r="CA291" s="2841" t="str">
        <f t="shared" si="192"/>
        <v/>
      </c>
      <c r="CB291" s="2841" t="str">
        <f t="shared" si="193"/>
        <v/>
      </c>
      <c r="CC291" s="2890"/>
      <c r="CD291" s="2890"/>
      <c r="CE291" s="2890"/>
      <c r="CF291" s="2841" t="str">
        <f t="shared" si="194"/>
        <v/>
      </c>
      <c r="CG291" s="2890"/>
      <c r="CH291" s="2841" t="str">
        <f t="shared" si="205"/>
        <v/>
      </c>
      <c r="CI291" s="2841" t="str">
        <f t="shared" si="195"/>
        <v/>
      </c>
      <c r="CJ291" s="2890"/>
      <c r="CK291" s="2841" t="str">
        <f t="shared" si="196"/>
        <v/>
      </c>
      <c r="CL291" s="2841" t="str">
        <f t="shared" si="197"/>
        <v/>
      </c>
      <c r="CO291" s="2842">
        <f t="shared" si="198"/>
        <v>0</v>
      </c>
      <c r="CP291" s="2842">
        <f t="shared" si="199"/>
        <v>0</v>
      </c>
      <c r="CQ291" s="2890"/>
      <c r="CR291" s="2890"/>
      <c r="CS291" s="2890"/>
      <c r="CT291" s="2842">
        <f t="shared" si="200"/>
        <v>0</v>
      </c>
      <c r="CU291" s="2890"/>
      <c r="CV291" s="2842">
        <f t="shared" si="201"/>
        <v>0</v>
      </c>
      <c r="CW291" s="2842">
        <f t="shared" si="202"/>
        <v>0</v>
      </c>
      <c r="CX291" s="2890"/>
      <c r="CY291" s="2842">
        <f t="shared" si="203"/>
        <v>0</v>
      </c>
      <c r="CZ291" s="2842">
        <f t="shared" si="204"/>
        <v>0</v>
      </c>
    </row>
    <row r="292" spans="1:104" ht="15" customHeight="1">
      <c r="A292" s="6128"/>
      <c r="B292" s="6565" t="s">
        <v>1904</v>
      </c>
      <c r="C292" s="6567"/>
      <c r="D292" s="3251">
        <f t="shared" si="188"/>
        <v>0</v>
      </c>
      <c r="E292" s="2977">
        <f t="shared" si="214"/>
        <v>0</v>
      </c>
      <c r="F292" s="2978">
        <f t="shared" si="214"/>
        <v>0</v>
      </c>
      <c r="G292" s="3301"/>
      <c r="H292" s="3302"/>
      <c r="I292" s="3301"/>
      <c r="J292" s="3302"/>
      <c r="K292" s="3227"/>
      <c r="L292" s="3228"/>
      <c r="M292" s="3227"/>
      <c r="N292" s="3228"/>
      <c r="O292" s="3301"/>
      <c r="P292" s="3302"/>
      <c r="Q292" s="3301"/>
      <c r="R292" s="3302"/>
      <c r="S292" s="3227"/>
      <c r="T292" s="3228"/>
      <c r="U292" s="3227"/>
      <c r="V292" s="3228"/>
      <c r="W292" s="3257"/>
      <c r="X292" s="3258"/>
      <c r="Y292" s="3257"/>
      <c r="Z292" s="3258"/>
      <c r="AA292" s="3257"/>
      <c r="AB292" s="3258"/>
      <c r="AC292" s="3257"/>
      <c r="AD292" s="3258"/>
      <c r="AE292" s="3257"/>
      <c r="AF292" s="3258"/>
      <c r="AG292" s="3257"/>
      <c r="AH292" s="3258"/>
      <c r="AI292" s="3257"/>
      <c r="AJ292" s="3258"/>
      <c r="AK292" s="3257"/>
      <c r="AL292" s="3258"/>
      <c r="AM292" s="3259"/>
      <c r="AN292" s="3260"/>
      <c r="AO292" s="3227"/>
      <c r="AP292" s="3228"/>
      <c r="AQ292" s="3229"/>
      <c r="AR292" s="3261"/>
      <c r="AS292" s="3248"/>
      <c r="AT292" s="3261"/>
      <c r="AU292" s="3258"/>
      <c r="AV292" s="2193"/>
      <c r="AW292" s="3261"/>
      <c r="AX292" s="3258"/>
      <c r="AY292" t="str">
        <f t="shared" si="191"/>
        <v/>
      </c>
      <c r="CA292" s="2841" t="str">
        <f t="shared" si="192"/>
        <v/>
      </c>
      <c r="CB292" s="2841" t="str">
        <f t="shared" si="193"/>
        <v/>
      </c>
      <c r="CC292" s="2890"/>
      <c r="CD292" s="2890"/>
      <c r="CE292" s="2890"/>
      <c r="CF292" s="2841" t="str">
        <f t="shared" si="194"/>
        <v/>
      </c>
      <c r="CG292" s="2890"/>
      <c r="CH292" s="2841" t="str">
        <f t="shared" si="205"/>
        <v/>
      </c>
      <c r="CI292" s="2841" t="str">
        <f t="shared" si="195"/>
        <v/>
      </c>
      <c r="CJ292" s="2841" t="str">
        <f>IF(AND($D292&gt;0,AV292="")," * No olvide digitar la variable Contrarreferencia al alta. Digite Cero si no tiene.",IF(AV292&gt;$D292," * La variable Contrarreferencia al alta no puede superar el Total Ambos Sexos.",""))</f>
        <v/>
      </c>
      <c r="CK292" s="2841" t="str">
        <f t="shared" si="196"/>
        <v/>
      </c>
      <c r="CL292" s="2841" t="str">
        <f t="shared" si="197"/>
        <v/>
      </c>
      <c r="CO292" s="2842">
        <f t="shared" si="198"/>
        <v>0</v>
      </c>
      <c r="CP292" s="2842">
        <f t="shared" si="199"/>
        <v>0</v>
      </c>
      <c r="CQ292" s="2890"/>
      <c r="CR292" s="2890"/>
      <c r="CS292" s="2890"/>
      <c r="CT292" s="2842">
        <f t="shared" si="200"/>
        <v>0</v>
      </c>
      <c r="CU292" s="2890"/>
      <c r="CV292" s="2842">
        <f t="shared" si="201"/>
        <v>0</v>
      </c>
      <c r="CW292" s="2842">
        <f t="shared" si="202"/>
        <v>0</v>
      </c>
      <c r="CX292" s="2842">
        <f>IF(AND($D292&gt;0,AV292=""),1,IF(AV292&gt;$D292,1,0))</f>
        <v>0</v>
      </c>
      <c r="CY292" s="2842">
        <f t="shared" si="203"/>
        <v>0</v>
      </c>
      <c r="CZ292" s="2842">
        <f t="shared" si="204"/>
        <v>0</v>
      </c>
    </row>
    <row r="293" spans="1:104" ht="15" customHeight="1">
      <c r="A293" s="6128"/>
      <c r="B293" s="6565" t="s">
        <v>1905</v>
      </c>
      <c r="C293" s="6567"/>
      <c r="D293" s="3251">
        <f t="shared" si="188"/>
        <v>0</v>
      </c>
      <c r="E293" s="2977">
        <f t="shared" si="214"/>
        <v>0</v>
      </c>
      <c r="F293" s="2978">
        <f t="shared" si="214"/>
        <v>0</v>
      </c>
      <c r="G293" s="3301"/>
      <c r="H293" s="3302"/>
      <c r="I293" s="3301"/>
      <c r="J293" s="3302"/>
      <c r="K293" s="3262"/>
      <c r="L293" s="3263"/>
      <c r="M293" s="3262"/>
      <c r="N293" s="3263"/>
      <c r="O293" s="3301"/>
      <c r="P293" s="3302"/>
      <c r="Q293" s="3301"/>
      <c r="R293" s="3302"/>
      <c r="S293" s="3262"/>
      <c r="T293" s="3263"/>
      <c r="U293" s="3262"/>
      <c r="V293" s="3263"/>
      <c r="W293" s="3257"/>
      <c r="X293" s="3258"/>
      <c r="Y293" s="3257"/>
      <c r="Z293" s="3258"/>
      <c r="AA293" s="3257"/>
      <c r="AB293" s="3258"/>
      <c r="AC293" s="3257"/>
      <c r="AD293" s="3258"/>
      <c r="AE293" s="3257"/>
      <c r="AF293" s="3258"/>
      <c r="AG293" s="3257"/>
      <c r="AH293" s="3258"/>
      <c r="AI293" s="3257"/>
      <c r="AJ293" s="3258"/>
      <c r="AK293" s="3257"/>
      <c r="AL293" s="3258"/>
      <c r="AM293" s="3259"/>
      <c r="AN293" s="3260"/>
      <c r="AO293" s="3262"/>
      <c r="AP293" s="3263"/>
      <c r="AQ293" s="3264"/>
      <c r="AR293" s="3261"/>
      <c r="AS293" s="3265"/>
      <c r="AT293" s="3261"/>
      <c r="AU293" s="3258"/>
      <c r="AV293" s="3263"/>
      <c r="AW293" s="3261"/>
      <c r="AX293" s="3258"/>
      <c r="AY293" t="str">
        <f t="shared" si="191"/>
        <v/>
      </c>
      <c r="CA293" s="2841" t="str">
        <f t="shared" si="192"/>
        <v/>
      </c>
      <c r="CB293" s="2841" t="str">
        <f t="shared" si="193"/>
        <v/>
      </c>
      <c r="CC293" s="2890"/>
      <c r="CD293" s="2890"/>
      <c r="CE293" s="2890"/>
      <c r="CF293" s="2841" t="str">
        <f t="shared" si="194"/>
        <v/>
      </c>
      <c r="CG293" s="2890"/>
      <c r="CH293" s="2841" t="str">
        <f t="shared" si="205"/>
        <v/>
      </c>
      <c r="CI293" s="2841" t="str">
        <f t="shared" si="195"/>
        <v/>
      </c>
      <c r="CJ293" s="2890"/>
      <c r="CK293" s="2841" t="str">
        <f t="shared" si="196"/>
        <v/>
      </c>
      <c r="CL293" s="2841" t="str">
        <f t="shared" si="197"/>
        <v/>
      </c>
      <c r="CO293" s="2842">
        <f t="shared" si="198"/>
        <v>0</v>
      </c>
      <c r="CP293" s="2842">
        <f t="shared" si="199"/>
        <v>0</v>
      </c>
      <c r="CQ293" s="2890"/>
      <c r="CR293" s="2890"/>
      <c r="CS293" s="2890"/>
      <c r="CT293" s="2842">
        <f t="shared" si="200"/>
        <v>0</v>
      </c>
      <c r="CU293" s="2890"/>
      <c r="CV293" s="2842">
        <f t="shared" si="201"/>
        <v>0</v>
      </c>
      <c r="CW293" s="2842">
        <f t="shared" si="202"/>
        <v>0</v>
      </c>
      <c r="CX293" s="2890"/>
      <c r="CY293" s="2842">
        <f t="shared" si="203"/>
        <v>0</v>
      </c>
      <c r="CZ293" s="2842">
        <f t="shared" si="204"/>
        <v>0</v>
      </c>
    </row>
    <row r="294" spans="1:104" ht="15" customHeight="1">
      <c r="A294" s="6129"/>
      <c r="B294" s="6577" t="s">
        <v>1906</v>
      </c>
      <c r="C294" s="6577"/>
      <c r="D294" s="3198">
        <f t="shared" si="188"/>
        <v>0</v>
      </c>
      <c r="E294" s="2933">
        <f t="shared" si="214"/>
        <v>0</v>
      </c>
      <c r="F294" s="2875">
        <f t="shared" si="214"/>
        <v>0</v>
      </c>
      <c r="G294" s="3303"/>
      <c r="H294" s="3304"/>
      <c r="I294" s="3305"/>
      <c r="J294" s="3304"/>
      <c r="K294" s="3303"/>
      <c r="L294" s="3304"/>
      <c r="M294" s="3303"/>
      <c r="N294" s="3304"/>
      <c r="O294" s="3305"/>
      <c r="P294" s="3304"/>
      <c r="Q294" s="3305"/>
      <c r="R294" s="3304"/>
      <c r="S294" s="3303"/>
      <c r="T294" s="3304"/>
      <c r="U294" s="3303"/>
      <c r="V294" s="3304"/>
      <c r="W294" s="3236"/>
      <c r="X294" s="2196"/>
      <c r="Y294" s="3236"/>
      <c r="Z294" s="2196"/>
      <c r="AA294" s="3236"/>
      <c r="AB294" s="2196"/>
      <c r="AC294" s="3236"/>
      <c r="AD294" s="2196"/>
      <c r="AE294" s="3236"/>
      <c r="AF294" s="2196"/>
      <c r="AG294" s="3236"/>
      <c r="AH294" s="2196"/>
      <c r="AI294" s="3236"/>
      <c r="AJ294" s="2196"/>
      <c r="AK294" s="3236"/>
      <c r="AL294" s="2196"/>
      <c r="AM294" s="2195"/>
      <c r="AN294" s="3237"/>
      <c r="AO294" s="3266"/>
      <c r="AP294" s="3238"/>
      <c r="AQ294" s="3267"/>
      <c r="AR294" s="3239"/>
      <c r="AS294" s="3240"/>
      <c r="AT294" s="3239"/>
      <c r="AU294" s="2196"/>
      <c r="AV294" s="3238"/>
      <c r="AW294" s="3239"/>
      <c r="AX294" s="2196"/>
      <c r="AY294" t="str">
        <f t="shared" si="191"/>
        <v/>
      </c>
      <c r="CA294" s="2841" t="str">
        <f t="shared" si="192"/>
        <v/>
      </c>
      <c r="CB294" s="2841" t="str">
        <f t="shared" si="193"/>
        <v/>
      </c>
      <c r="CC294" s="2890"/>
      <c r="CD294" s="2890"/>
      <c r="CE294" s="2890"/>
      <c r="CF294" s="2841" t="str">
        <f t="shared" si="194"/>
        <v/>
      </c>
      <c r="CG294" s="2890"/>
      <c r="CH294" s="2841" t="str">
        <f t="shared" si="205"/>
        <v/>
      </c>
      <c r="CI294" s="2841" t="str">
        <f t="shared" si="195"/>
        <v/>
      </c>
      <c r="CJ294" s="2890"/>
      <c r="CK294" s="2841" t="str">
        <f t="shared" si="196"/>
        <v/>
      </c>
      <c r="CL294" s="2841" t="str">
        <f t="shared" si="197"/>
        <v/>
      </c>
      <c r="CO294" s="2842">
        <f t="shared" si="198"/>
        <v>0</v>
      </c>
      <c r="CP294" s="2842">
        <f t="shared" si="199"/>
        <v>0</v>
      </c>
      <c r="CQ294" s="2890"/>
      <c r="CR294" s="2890"/>
      <c r="CS294" s="2890"/>
      <c r="CT294" s="2842">
        <f t="shared" si="200"/>
        <v>0</v>
      </c>
      <c r="CU294" s="2890"/>
      <c r="CV294" s="2842">
        <f t="shared" si="201"/>
        <v>0</v>
      </c>
      <c r="CW294" s="2842">
        <f t="shared" si="202"/>
        <v>0</v>
      </c>
      <c r="CX294" s="2890"/>
      <c r="CY294" s="2842">
        <f t="shared" si="203"/>
        <v>0</v>
      </c>
      <c r="CZ294" s="2842">
        <f t="shared" si="204"/>
        <v>0</v>
      </c>
    </row>
    <row r="295" spans="1:104" ht="15" customHeight="1">
      <c r="A295" s="6127" t="s">
        <v>1910</v>
      </c>
      <c r="B295" s="6612" t="s">
        <v>1901</v>
      </c>
      <c r="C295" s="6612"/>
      <c r="D295" s="3290">
        <f t="shared" si="188"/>
        <v>0</v>
      </c>
      <c r="E295" s="2975">
        <f t="shared" ref="E295:F300" si="215">SUM(O295+Q295+S295+U295+W295+Y295+AA295+AC295+AE295+AG295+AI295+AK295)</f>
        <v>0</v>
      </c>
      <c r="F295" s="2860">
        <f>SUM(P295+R295+T295+V295+X295+Z295+AB295+AD295+AF295+AH295+AJ295+AL295)</f>
        <v>0</v>
      </c>
      <c r="G295" s="3306"/>
      <c r="H295" s="3307"/>
      <c r="I295" s="3308"/>
      <c r="J295" s="3307"/>
      <c r="K295" s="3309"/>
      <c r="L295" s="3310"/>
      <c r="M295" s="3309"/>
      <c r="N295" s="3310"/>
      <c r="O295" s="3278"/>
      <c r="P295" s="3243"/>
      <c r="Q295" s="3278"/>
      <c r="R295" s="3243"/>
      <c r="S295" s="3278"/>
      <c r="T295" s="3249"/>
      <c r="U295" s="3242"/>
      <c r="V295" s="3243"/>
      <c r="W295" s="3242"/>
      <c r="X295" s="3243"/>
      <c r="Y295" s="3242"/>
      <c r="Z295" s="3243"/>
      <c r="AA295" s="3242"/>
      <c r="AB295" s="3243"/>
      <c r="AC295" s="3242"/>
      <c r="AD295" s="3243"/>
      <c r="AE295" s="3242"/>
      <c r="AF295" s="3243"/>
      <c r="AG295" s="3242"/>
      <c r="AH295" s="3243"/>
      <c r="AI295" s="3242"/>
      <c r="AJ295" s="3243"/>
      <c r="AK295" s="3278"/>
      <c r="AL295" s="3249"/>
      <c r="AM295" s="3244"/>
      <c r="AN295" s="3245"/>
      <c r="AO295" s="3242"/>
      <c r="AP295" s="3243"/>
      <c r="AQ295" s="3246"/>
      <c r="AR295" s="3247"/>
      <c r="AS295" s="3248"/>
      <c r="AT295" s="3247"/>
      <c r="AU295" s="3249"/>
      <c r="AV295" s="3228"/>
      <c r="AW295" s="3247"/>
      <c r="AX295" s="3249"/>
      <c r="AY295" t="str">
        <f t="shared" si="191"/>
        <v/>
      </c>
      <c r="CA295" s="2841" t="str">
        <f t="shared" si="192"/>
        <v/>
      </c>
      <c r="CB295" s="2841" t="str">
        <f t="shared" si="193"/>
        <v/>
      </c>
      <c r="CC295" s="2841" t="str">
        <f>IF(AND($D295&gt;0,AO295="")," * No olvide digitar la variable Consultas Pertinentes: Según Procolo de Referencia. Digite cero si no tiene.",IF(AO295&gt;$D295," * La variable Consultas Pertinentes: Según Procolo de Referencia no puede superar el Total Ambos Sexos.",""))</f>
        <v/>
      </c>
      <c r="CD295" s="2841" t="str">
        <f>IF(AND($D295&gt;0,AP295="")," * No olvide digitar la variable Consultas Pertinentes: Según condición clínica. Digite cero si no tiene.",IF(AP295&gt;$D295," * La variable Consultas Pertinentes: Según condición clínica no puede superar el Total Ambos Sexos.",""))</f>
        <v/>
      </c>
      <c r="CE295" s="2841" t="str">
        <f t="shared" si="206"/>
        <v/>
      </c>
      <c r="CF295" s="2841" t="str">
        <f t="shared" si="194"/>
        <v/>
      </c>
      <c r="CG295" s="2890"/>
      <c r="CH295" s="2841" t="str">
        <f t="shared" si="205"/>
        <v/>
      </c>
      <c r="CI295" s="2841" t="str">
        <f t="shared" si="195"/>
        <v/>
      </c>
      <c r="CJ295" s="2890"/>
      <c r="CK295" s="2841" t="str">
        <f t="shared" si="196"/>
        <v/>
      </c>
      <c r="CL295" s="2841" t="str">
        <f t="shared" si="197"/>
        <v/>
      </c>
      <c r="CO295" s="2842">
        <f t="shared" si="198"/>
        <v>0</v>
      </c>
      <c r="CP295" s="2842">
        <f t="shared" si="199"/>
        <v>0</v>
      </c>
      <c r="CQ295" s="2842">
        <f>IF(AND($D295&gt;0,AO295=""),1,IF(AO295&gt;$D295,1,0))</f>
        <v>0</v>
      </c>
      <c r="CR295" s="2842">
        <f t="shared" si="207"/>
        <v>0</v>
      </c>
      <c r="CS295" s="2842">
        <f t="shared" si="209"/>
        <v>0</v>
      </c>
      <c r="CT295" s="2842">
        <f t="shared" si="200"/>
        <v>0</v>
      </c>
      <c r="CU295" s="2890"/>
      <c r="CV295" s="2842">
        <f t="shared" si="201"/>
        <v>0</v>
      </c>
      <c r="CW295" s="2842">
        <f t="shared" si="202"/>
        <v>0</v>
      </c>
      <c r="CX295" s="2890"/>
      <c r="CY295" s="2842">
        <f t="shared" si="203"/>
        <v>0</v>
      </c>
      <c r="CZ295" s="2842">
        <f t="shared" si="204"/>
        <v>0</v>
      </c>
    </row>
    <row r="296" spans="1:104" ht="15" customHeight="1">
      <c r="A296" s="6128"/>
      <c r="B296" s="6573" t="s">
        <v>1902</v>
      </c>
      <c r="C296" s="6573"/>
      <c r="D296" s="3251">
        <f t="shared" si="188"/>
        <v>0</v>
      </c>
      <c r="E296" s="2977">
        <f t="shared" si="215"/>
        <v>0</v>
      </c>
      <c r="F296" s="2984">
        <f t="shared" si="215"/>
        <v>0</v>
      </c>
      <c r="G296" s="3311"/>
      <c r="H296" s="3299"/>
      <c r="I296" s="3298"/>
      <c r="J296" s="3299"/>
      <c r="K296" s="3300"/>
      <c r="L296" s="3228"/>
      <c r="M296" s="3300"/>
      <c r="N296" s="3228"/>
      <c r="O296" s="2224"/>
      <c r="P296" s="2222"/>
      <c r="Q296" s="2224"/>
      <c r="R296" s="2222"/>
      <c r="S296" s="2224"/>
      <c r="T296" s="2193"/>
      <c r="U296" s="2221"/>
      <c r="V296" s="2222"/>
      <c r="W296" s="2221"/>
      <c r="X296" s="2222"/>
      <c r="Y296" s="2221"/>
      <c r="Z296" s="2222"/>
      <c r="AA296" s="2221"/>
      <c r="AB296" s="2222"/>
      <c r="AC296" s="2221"/>
      <c r="AD296" s="2222"/>
      <c r="AE296" s="2221"/>
      <c r="AF296" s="2222"/>
      <c r="AG296" s="2221"/>
      <c r="AH296" s="2222"/>
      <c r="AI296" s="2221"/>
      <c r="AJ296" s="2222"/>
      <c r="AK296" s="2224"/>
      <c r="AL296" s="2193"/>
      <c r="AM296" s="2192"/>
      <c r="AN296" s="3252"/>
      <c r="AO296" s="3227"/>
      <c r="AP296" s="3228"/>
      <c r="AQ296" s="3253"/>
      <c r="AR296" s="3254"/>
      <c r="AS296" s="3248"/>
      <c r="AT296" s="3254"/>
      <c r="AU296" s="2193"/>
      <c r="AV296" s="3228"/>
      <c r="AW296" s="3254"/>
      <c r="AX296" s="2193"/>
      <c r="AY296" t="str">
        <f t="shared" si="191"/>
        <v/>
      </c>
      <c r="CA296" s="2841" t="str">
        <f t="shared" si="192"/>
        <v/>
      </c>
      <c r="CB296" s="2841" t="str">
        <f t="shared" si="193"/>
        <v/>
      </c>
      <c r="CC296" s="2890"/>
      <c r="CD296" s="2890"/>
      <c r="CE296" s="2841" t="str">
        <f t="shared" si="206"/>
        <v/>
      </c>
      <c r="CF296" s="2841" t="str">
        <f t="shared" si="194"/>
        <v/>
      </c>
      <c r="CG296" s="2890"/>
      <c r="CH296" s="2841" t="str">
        <f t="shared" si="205"/>
        <v/>
      </c>
      <c r="CI296" s="2841" t="str">
        <f t="shared" si="195"/>
        <v/>
      </c>
      <c r="CJ296" s="2890"/>
      <c r="CK296" s="2841" t="str">
        <f t="shared" si="196"/>
        <v/>
      </c>
      <c r="CL296" s="2841" t="str">
        <f t="shared" si="197"/>
        <v/>
      </c>
      <c r="CO296" s="2842">
        <f t="shared" si="198"/>
        <v>0</v>
      </c>
      <c r="CP296" s="2842">
        <f t="shared" si="199"/>
        <v>0</v>
      </c>
      <c r="CQ296" s="2890"/>
      <c r="CR296" s="2890"/>
      <c r="CS296" s="2842">
        <f t="shared" si="209"/>
        <v>0</v>
      </c>
      <c r="CT296" s="2842">
        <f t="shared" si="200"/>
        <v>0</v>
      </c>
      <c r="CU296" s="2890"/>
      <c r="CV296" s="2842">
        <f t="shared" si="201"/>
        <v>0</v>
      </c>
      <c r="CW296" s="2842">
        <f t="shared" si="202"/>
        <v>0</v>
      </c>
      <c r="CX296" s="2890"/>
      <c r="CY296" s="2842">
        <f t="shared" si="203"/>
        <v>0</v>
      </c>
      <c r="CZ296" s="2842">
        <f t="shared" si="204"/>
        <v>0</v>
      </c>
    </row>
    <row r="297" spans="1:104" ht="15" customHeight="1">
      <c r="A297" s="6128"/>
      <c r="B297" s="6573" t="s">
        <v>1903</v>
      </c>
      <c r="C297" s="6573"/>
      <c r="D297" s="3251">
        <f t="shared" si="188"/>
        <v>0</v>
      </c>
      <c r="E297" s="2977">
        <f t="shared" si="215"/>
        <v>0</v>
      </c>
      <c r="F297" s="2984">
        <f t="shared" si="215"/>
        <v>0</v>
      </c>
      <c r="G297" s="3311"/>
      <c r="H297" s="3299"/>
      <c r="I297" s="3298"/>
      <c r="J297" s="3299"/>
      <c r="K297" s="3300"/>
      <c r="L297" s="3228"/>
      <c r="M297" s="3300"/>
      <c r="N297" s="3228"/>
      <c r="O297" s="2224"/>
      <c r="P297" s="2222"/>
      <c r="Q297" s="2224"/>
      <c r="R297" s="2222"/>
      <c r="S297" s="2224"/>
      <c r="T297" s="2193"/>
      <c r="U297" s="2224"/>
      <c r="V297" s="2222"/>
      <c r="W297" s="2224"/>
      <c r="X297" s="2222"/>
      <c r="Y297" s="2224"/>
      <c r="Z297" s="2222"/>
      <c r="AA297" s="2224"/>
      <c r="AB297" s="2222"/>
      <c r="AC297" s="2224"/>
      <c r="AD297" s="2222"/>
      <c r="AE297" s="2224"/>
      <c r="AF297" s="2222"/>
      <c r="AG297" s="2224"/>
      <c r="AH297" s="2222"/>
      <c r="AI297" s="2224"/>
      <c r="AJ297" s="2222"/>
      <c r="AK297" s="2224"/>
      <c r="AL297" s="2193"/>
      <c r="AM297" s="2192"/>
      <c r="AN297" s="3252"/>
      <c r="AO297" s="3227"/>
      <c r="AP297" s="3228"/>
      <c r="AQ297" s="3229"/>
      <c r="AR297" s="3254"/>
      <c r="AS297" s="3248"/>
      <c r="AT297" s="3254"/>
      <c r="AU297" s="2193"/>
      <c r="AV297" s="3228"/>
      <c r="AW297" s="3254"/>
      <c r="AX297" s="2193"/>
      <c r="AY297" t="str">
        <f t="shared" si="191"/>
        <v/>
      </c>
      <c r="CA297" s="2841" t="str">
        <f t="shared" si="192"/>
        <v/>
      </c>
      <c r="CB297" s="2841" t="str">
        <f t="shared" si="193"/>
        <v/>
      </c>
      <c r="CC297" s="2890"/>
      <c r="CD297" s="2890"/>
      <c r="CE297" s="2890"/>
      <c r="CF297" s="2841" t="str">
        <f t="shared" si="194"/>
        <v/>
      </c>
      <c r="CG297" s="2890"/>
      <c r="CH297" s="2841" t="str">
        <f t="shared" si="205"/>
        <v/>
      </c>
      <c r="CI297" s="2841" t="str">
        <f t="shared" si="195"/>
        <v/>
      </c>
      <c r="CJ297" s="2890"/>
      <c r="CK297" s="2841" t="str">
        <f t="shared" si="196"/>
        <v/>
      </c>
      <c r="CL297" s="2841" t="str">
        <f t="shared" si="197"/>
        <v/>
      </c>
      <c r="CO297" s="2842">
        <f t="shared" si="198"/>
        <v>0</v>
      </c>
      <c r="CP297" s="2842">
        <f t="shared" si="199"/>
        <v>0</v>
      </c>
      <c r="CQ297" s="2890"/>
      <c r="CR297" s="2890"/>
      <c r="CS297" s="2890"/>
      <c r="CT297" s="2842">
        <f t="shared" si="200"/>
        <v>0</v>
      </c>
      <c r="CU297" s="2890"/>
      <c r="CV297" s="2842">
        <f t="shared" si="201"/>
        <v>0</v>
      </c>
      <c r="CW297" s="2842">
        <f t="shared" si="202"/>
        <v>0</v>
      </c>
      <c r="CX297" s="2890"/>
      <c r="CY297" s="2842">
        <f t="shared" si="203"/>
        <v>0</v>
      </c>
      <c r="CZ297" s="2842">
        <f t="shared" si="204"/>
        <v>0</v>
      </c>
    </row>
    <row r="298" spans="1:104" ht="15" customHeight="1">
      <c r="A298" s="6128"/>
      <c r="B298" s="6565" t="s">
        <v>1904</v>
      </c>
      <c r="C298" s="6567"/>
      <c r="D298" s="3251">
        <f t="shared" si="188"/>
        <v>0</v>
      </c>
      <c r="E298" s="2977">
        <f t="shared" si="215"/>
        <v>0</v>
      </c>
      <c r="F298" s="2984">
        <f>SUM(+P298+R298+T298+V298+X298+Z298+AB298+AD298+AF298+AH298+AJ298+AL298)</f>
        <v>0</v>
      </c>
      <c r="G298" s="3312"/>
      <c r="H298" s="3302"/>
      <c r="I298" s="3301"/>
      <c r="J298" s="3302"/>
      <c r="K298" s="3227"/>
      <c r="L298" s="3228"/>
      <c r="M298" s="3227"/>
      <c r="N298" s="3228"/>
      <c r="O298" s="3257"/>
      <c r="P298" s="3256"/>
      <c r="Q298" s="3257"/>
      <c r="R298" s="3256"/>
      <c r="S298" s="3257"/>
      <c r="T298" s="3258"/>
      <c r="U298" s="3257"/>
      <c r="V298" s="3256"/>
      <c r="W298" s="3257"/>
      <c r="X298" s="3256"/>
      <c r="Y298" s="3257"/>
      <c r="Z298" s="3256"/>
      <c r="AA298" s="3257"/>
      <c r="AB298" s="3256"/>
      <c r="AC298" s="3257"/>
      <c r="AD298" s="3256"/>
      <c r="AE298" s="3257"/>
      <c r="AF298" s="3256"/>
      <c r="AG298" s="3257"/>
      <c r="AH298" s="3256"/>
      <c r="AI298" s="3257"/>
      <c r="AJ298" s="3256"/>
      <c r="AK298" s="3257"/>
      <c r="AL298" s="3258"/>
      <c r="AM298" s="3259"/>
      <c r="AN298" s="3260"/>
      <c r="AO298" s="3227"/>
      <c r="AP298" s="3228"/>
      <c r="AQ298" s="3229"/>
      <c r="AR298" s="3261"/>
      <c r="AS298" s="3248"/>
      <c r="AT298" s="3261"/>
      <c r="AU298" s="3258"/>
      <c r="AV298" s="2193"/>
      <c r="AW298" s="3261"/>
      <c r="AX298" s="3258"/>
      <c r="AY298" t="str">
        <f t="shared" si="191"/>
        <v/>
      </c>
      <c r="CA298" s="2841" t="str">
        <f t="shared" si="192"/>
        <v/>
      </c>
      <c r="CB298" s="2841" t="str">
        <f t="shared" si="193"/>
        <v/>
      </c>
      <c r="CC298" s="2890"/>
      <c r="CD298" s="2890"/>
      <c r="CE298" s="2890"/>
      <c r="CF298" s="2841" t="str">
        <f t="shared" si="194"/>
        <v/>
      </c>
      <c r="CG298" s="2890"/>
      <c r="CH298" s="2841" t="str">
        <f t="shared" si="205"/>
        <v/>
      </c>
      <c r="CI298" s="2841" t="str">
        <f t="shared" si="195"/>
        <v/>
      </c>
      <c r="CJ298" s="2841" t="str">
        <f>IF(AND($D298&gt;0,AV298="")," * No olvide digitar la variable Contrarreferencia al alta. Digite Cero si no tiene.",IF(AV298&gt;$D298," * La variable Contrarreferencia al alta no puede superar el Total Ambos Sexos.",""))</f>
        <v/>
      </c>
      <c r="CK298" s="2841" t="str">
        <f t="shared" si="196"/>
        <v/>
      </c>
      <c r="CL298" s="2841" t="str">
        <f t="shared" si="197"/>
        <v/>
      </c>
      <c r="CO298" s="2842">
        <f t="shared" si="198"/>
        <v>0</v>
      </c>
      <c r="CP298" s="2842">
        <f t="shared" si="199"/>
        <v>0</v>
      </c>
      <c r="CQ298" s="2890"/>
      <c r="CR298" s="2890"/>
      <c r="CS298" s="2890"/>
      <c r="CT298" s="2842">
        <f t="shared" si="200"/>
        <v>0</v>
      </c>
      <c r="CU298" s="2890"/>
      <c r="CV298" s="2842">
        <f t="shared" si="201"/>
        <v>0</v>
      </c>
      <c r="CW298" s="2842">
        <f t="shared" si="202"/>
        <v>0</v>
      </c>
      <c r="CX298" s="2842">
        <f>IF(AND($D298&gt;0,AV298=""),1,IF(AV298&gt;$D298,1,0))</f>
        <v>0</v>
      </c>
      <c r="CY298" s="2842">
        <f t="shared" si="203"/>
        <v>0</v>
      </c>
      <c r="CZ298" s="2842">
        <f t="shared" si="204"/>
        <v>0</v>
      </c>
    </row>
    <row r="299" spans="1:104" ht="15" customHeight="1">
      <c r="A299" s="6128"/>
      <c r="B299" s="6565" t="s">
        <v>1905</v>
      </c>
      <c r="C299" s="6567"/>
      <c r="D299" s="3251">
        <f t="shared" si="188"/>
        <v>0</v>
      </c>
      <c r="E299" s="2977">
        <f t="shared" si="215"/>
        <v>0</v>
      </c>
      <c r="F299" s="2984">
        <f t="shared" ref="F299:F300" si="216">SUM(P299+R299+T299+V299+X299+Z299+AB299+AD299+AF299+AH299+AJ299+AL299)</f>
        <v>0</v>
      </c>
      <c r="G299" s="3312"/>
      <c r="H299" s="3302"/>
      <c r="I299" s="3301"/>
      <c r="J299" s="3302"/>
      <c r="K299" s="3262"/>
      <c r="L299" s="3263"/>
      <c r="M299" s="3262"/>
      <c r="N299" s="3263"/>
      <c r="O299" s="3257"/>
      <c r="P299" s="3256"/>
      <c r="Q299" s="3257"/>
      <c r="R299" s="3256"/>
      <c r="S299" s="3257"/>
      <c r="T299" s="3258"/>
      <c r="U299" s="3257"/>
      <c r="V299" s="3258"/>
      <c r="W299" s="3257"/>
      <c r="X299" s="3256"/>
      <c r="Y299" s="3257"/>
      <c r="Z299" s="3256"/>
      <c r="AA299" s="3257"/>
      <c r="AB299" s="3256"/>
      <c r="AC299" s="3257"/>
      <c r="AD299" s="3256"/>
      <c r="AE299" s="3257"/>
      <c r="AF299" s="3256"/>
      <c r="AG299" s="3257"/>
      <c r="AH299" s="3256"/>
      <c r="AI299" s="3257"/>
      <c r="AJ299" s="3256"/>
      <c r="AK299" s="3257"/>
      <c r="AL299" s="3258"/>
      <c r="AM299" s="3259"/>
      <c r="AN299" s="3260"/>
      <c r="AO299" s="3262"/>
      <c r="AP299" s="3263"/>
      <c r="AQ299" s="3264"/>
      <c r="AR299" s="3261"/>
      <c r="AS299" s="3265"/>
      <c r="AT299" s="3261"/>
      <c r="AU299" s="3258"/>
      <c r="AV299" s="3263"/>
      <c r="AW299" s="3261"/>
      <c r="AX299" s="3258"/>
      <c r="AY299" t="str">
        <f t="shared" si="191"/>
        <v/>
      </c>
      <c r="CA299" s="2841" t="str">
        <f t="shared" si="192"/>
        <v/>
      </c>
      <c r="CB299" s="2841" t="str">
        <f t="shared" si="193"/>
        <v/>
      </c>
      <c r="CC299" s="2890"/>
      <c r="CD299" s="2890"/>
      <c r="CE299" s="2890"/>
      <c r="CF299" s="2841" t="str">
        <f t="shared" si="194"/>
        <v/>
      </c>
      <c r="CG299" s="2890"/>
      <c r="CH299" s="2841" t="str">
        <f t="shared" si="205"/>
        <v/>
      </c>
      <c r="CI299" s="2841" t="str">
        <f t="shared" si="195"/>
        <v/>
      </c>
      <c r="CJ299" s="2890"/>
      <c r="CK299" s="2841" t="str">
        <f t="shared" si="196"/>
        <v/>
      </c>
      <c r="CL299" s="2841" t="str">
        <f t="shared" si="197"/>
        <v/>
      </c>
      <c r="CO299" s="2842">
        <f t="shared" si="198"/>
        <v>0</v>
      </c>
      <c r="CP299" s="2842">
        <f t="shared" si="199"/>
        <v>0</v>
      </c>
      <c r="CQ299" s="2890"/>
      <c r="CR299" s="2890"/>
      <c r="CS299" s="2890"/>
      <c r="CT299" s="2842">
        <f t="shared" si="200"/>
        <v>0</v>
      </c>
      <c r="CU299" s="2890"/>
      <c r="CV299" s="2842">
        <f t="shared" si="201"/>
        <v>0</v>
      </c>
      <c r="CW299" s="2842">
        <f t="shared" si="202"/>
        <v>0</v>
      </c>
      <c r="CX299" s="2890"/>
      <c r="CY299" s="2842">
        <f t="shared" si="203"/>
        <v>0</v>
      </c>
      <c r="CZ299" s="2842">
        <f t="shared" si="204"/>
        <v>0</v>
      </c>
    </row>
    <row r="300" spans="1:104" ht="15" customHeight="1">
      <c r="A300" s="6129"/>
      <c r="B300" s="6577" t="s">
        <v>1906</v>
      </c>
      <c r="C300" s="6577"/>
      <c r="D300" s="3198">
        <f t="shared" si="188"/>
        <v>0</v>
      </c>
      <c r="E300" s="2933">
        <f t="shared" si="215"/>
        <v>0</v>
      </c>
      <c r="F300" s="2875">
        <f t="shared" si="216"/>
        <v>0</v>
      </c>
      <c r="G300" s="3303"/>
      <c r="H300" s="3304"/>
      <c r="I300" s="3305"/>
      <c r="J300" s="3304"/>
      <c r="K300" s="3303"/>
      <c r="L300" s="3304"/>
      <c r="M300" s="3303"/>
      <c r="N300" s="3304"/>
      <c r="O300" s="3257"/>
      <c r="P300" s="3256"/>
      <c r="Q300" s="3257"/>
      <c r="R300" s="3256"/>
      <c r="S300" s="3257"/>
      <c r="T300" s="3258"/>
      <c r="U300" s="3257"/>
      <c r="V300" s="3258"/>
      <c r="W300" s="3234"/>
      <c r="X300" s="3235"/>
      <c r="Y300" s="3234"/>
      <c r="Z300" s="3235"/>
      <c r="AA300" s="3234"/>
      <c r="AB300" s="3235"/>
      <c r="AC300" s="3234"/>
      <c r="AD300" s="3235"/>
      <c r="AE300" s="3234"/>
      <c r="AF300" s="3235"/>
      <c r="AG300" s="3234"/>
      <c r="AH300" s="3235"/>
      <c r="AI300" s="3234"/>
      <c r="AJ300" s="3235"/>
      <c r="AK300" s="3236"/>
      <c r="AL300" s="2196"/>
      <c r="AM300" s="2195"/>
      <c r="AN300" s="3237"/>
      <c r="AO300" s="3266"/>
      <c r="AP300" s="3238"/>
      <c r="AQ300" s="3267"/>
      <c r="AR300" s="3239"/>
      <c r="AS300" s="3240"/>
      <c r="AT300" s="3239"/>
      <c r="AU300" s="2196"/>
      <c r="AV300" s="3238"/>
      <c r="AW300" s="3239"/>
      <c r="AX300" s="2196"/>
      <c r="AY300" t="str">
        <f t="shared" si="191"/>
        <v/>
      </c>
      <c r="CA300" s="2841" t="str">
        <f t="shared" si="192"/>
        <v/>
      </c>
      <c r="CB300" s="2841" t="str">
        <f t="shared" si="193"/>
        <v/>
      </c>
      <c r="CC300" s="2890"/>
      <c r="CD300" s="2890"/>
      <c r="CE300" s="2890"/>
      <c r="CF300" s="2841" t="str">
        <f t="shared" si="194"/>
        <v/>
      </c>
      <c r="CG300" s="2890"/>
      <c r="CH300" s="2841" t="str">
        <f t="shared" si="205"/>
        <v/>
      </c>
      <c r="CI300" s="2841" t="str">
        <f t="shared" si="195"/>
        <v/>
      </c>
      <c r="CJ300" s="2890"/>
      <c r="CK300" s="2841" t="str">
        <f t="shared" si="196"/>
        <v/>
      </c>
      <c r="CL300" s="2841" t="str">
        <f t="shared" si="197"/>
        <v/>
      </c>
      <c r="CO300" s="2842">
        <f t="shared" si="198"/>
        <v>0</v>
      </c>
      <c r="CP300" s="2842">
        <f t="shared" si="199"/>
        <v>0</v>
      </c>
      <c r="CQ300" s="2890"/>
      <c r="CR300" s="2890"/>
      <c r="CS300" s="2890"/>
      <c r="CT300" s="2842">
        <f t="shared" si="200"/>
        <v>0</v>
      </c>
      <c r="CU300" s="2890"/>
      <c r="CV300" s="2842">
        <f t="shared" si="201"/>
        <v>0</v>
      </c>
      <c r="CW300" s="2842">
        <f t="shared" si="202"/>
        <v>0</v>
      </c>
      <c r="CX300" s="2890"/>
      <c r="CY300" s="2842">
        <f t="shared" si="203"/>
        <v>0</v>
      </c>
      <c r="CZ300" s="2842">
        <f t="shared" si="204"/>
        <v>0</v>
      </c>
    </row>
    <row r="301" spans="1:104" ht="15" customHeight="1">
      <c r="A301" s="6615" t="s">
        <v>1911</v>
      </c>
      <c r="B301" s="6612" t="s">
        <v>1901</v>
      </c>
      <c r="C301" s="6612"/>
      <c r="D301" s="3290">
        <f t="shared" si="188"/>
        <v>0</v>
      </c>
      <c r="E301" s="2975">
        <f t="shared" ref="E301:E312" si="217">SUM(W301+Y301+AA301+AC301+AE301+AG301+AI301+AK301)</f>
        <v>0</v>
      </c>
      <c r="F301" s="2860">
        <f t="shared" ref="F301:F312" si="218">SUM(X301+Z301+AB301+AD301+AF301+AH301+AJ301+AL301)</f>
        <v>0</v>
      </c>
      <c r="G301" s="3313"/>
      <c r="H301" s="3310"/>
      <c r="I301" s="3309"/>
      <c r="J301" s="3310"/>
      <c r="K301" s="3309"/>
      <c r="L301" s="3310"/>
      <c r="M301" s="3309"/>
      <c r="N301" s="3310"/>
      <c r="O301" s="3309"/>
      <c r="P301" s="3310"/>
      <c r="Q301" s="3309"/>
      <c r="R301" s="3310"/>
      <c r="S301" s="3309"/>
      <c r="T301" s="3310"/>
      <c r="U301" s="3309"/>
      <c r="V301" s="3310"/>
      <c r="W301" s="3268"/>
      <c r="X301" s="3269"/>
      <c r="Y301" s="3268"/>
      <c r="Z301" s="3269"/>
      <c r="AA301" s="3268"/>
      <c r="AB301" s="3269"/>
      <c r="AC301" s="3268"/>
      <c r="AD301" s="3269"/>
      <c r="AE301" s="3268"/>
      <c r="AF301" s="3269"/>
      <c r="AG301" s="3268"/>
      <c r="AH301" s="3269"/>
      <c r="AI301" s="3268"/>
      <c r="AJ301" s="3269"/>
      <c r="AK301" s="3278"/>
      <c r="AL301" s="3249"/>
      <c r="AM301" s="3244"/>
      <c r="AN301" s="3245"/>
      <c r="AO301" s="3242"/>
      <c r="AP301" s="3243"/>
      <c r="AQ301" s="3246"/>
      <c r="AR301" s="3247"/>
      <c r="AS301" s="3248"/>
      <c r="AT301" s="3247"/>
      <c r="AU301" s="3249"/>
      <c r="AV301" s="3228"/>
      <c r="AW301" s="3247"/>
      <c r="AX301" s="3249"/>
      <c r="AY301" t="str">
        <f t="shared" si="191"/>
        <v/>
      </c>
      <c r="CA301" s="2841" t="str">
        <f t="shared" si="192"/>
        <v/>
      </c>
      <c r="CB301" s="2841" t="str">
        <f t="shared" si="193"/>
        <v/>
      </c>
      <c r="CC301" s="2841" t="str">
        <f>IF(AND($D301&gt;0,AO301="")," * No olvide digitar la variable Consultas Pertinentes: Según Procolo de Referencia. Digite cero si no tiene.",IF(AO301&gt;$D301," * La variable Consultas Pertinentes: Según Procolo de Referencia no puede superar el Total Ambos Sexos.",""))</f>
        <v/>
      </c>
      <c r="CD301" s="2841" t="str">
        <f>IF(AND($D301&gt;0,AP301="")," * No olvide digitar la variable Consultas Pertinentes: Según condición clínica. Digite cero si no tiene.",IF(AP301&gt;$D301," * La variable Consultas Pertinentes: Según condición clínica no puede superar el Total Ambos Sexos.",""))</f>
        <v/>
      </c>
      <c r="CE301" s="2841" t="str">
        <f t="shared" si="206"/>
        <v/>
      </c>
      <c r="CF301" s="2841" t="str">
        <f t="shared" si="194"/>
        <v/>
      </c>
      <c r="CG301" s="2890"/>
      <c r="CH301" s="2841" t="str">
        <f t="shared" si="205"/>
        <v/>
      </c>
      <c r="CI301" s="2841" t="str">
        <f t="shared" si="195"/>
        <v/>
      </c>
      <c r="CJ301" s="2890"/>
      <c r="CK301" s="2841" t="str">
        <f t="shared" si="196"/>
        <v/>
      </c>
      <c r="CL301" s="2841" t="str">
        <f t="shared" si="197"/>
        <v/>
      </c>
      <c r="CO301" s="2842">
        <f t="shared" si="198"/>
        <v>0</v>
      </c>
      <c r="CP301" s="2842">
        <f t="shared" si="199"/>
        <v>0</v>
      </c>
      <c r="CQ301" s="2842">
        <f>IF(AND($D301&gt;0,AO301=""),1,IF(AO301&gt;$D301,1,0))</f>
        <v>0</v>
      </c>
      <c r="CR301" s="2842">
        <f t="shared" si="207"/>
        <v>0</v>
      </c>
      <c r="CS301" s="2842">
        <f t="shared" si="209"/>
        <v>0</v>
      </c>
      <c r="CT301" s="2842">
        <f t="shared" si="200"/>
        <v>0</v>
      </c>
      <c r="CU301" s="2890"/>
      <c r="CV301" s="2842">
        <f t="shared" si="201"/>
        <v>0</v>
      </c>
      <c r="CW301" s="2842">
        <f t="shared" si="202"/>
        <v>0</v>
      </c>
      <c r="CX301" s="2890"/>
      <c r="CY301" s="2842">
        <f t="shared" si="203"/>
        <v>0</v>
      </c>
      <c r="CZ301" s="2842">
        <f t="shared" si="204"/>
        <v>0</v>
      </c>
    </row>
    <row r="302" spans="1:104" ht="15" customHeight="1">
      <c r="A302" s="6616"/>
      <c r="B302" s="6573" t="s">
        <v>1902</v>
      </c>
      <c r="C302" s="6573"/>
      <c r="D302" s="3251">
        <f t="shared" si="188"/>
        <v>0</v>
      </c>
      <c r="E302" s="2977">
        <f t="shared" si="217"/>
        <v>0</v>
      </c>
      <c r="F302" s="2978">
        <f t="shared" si="218"/>
        <v>0</v>
      </c>
      <c r="G302" s="3227"/>
      <c r="H302" s="3228"/>
      <c r="I302" s="3300"/>
      <c r="J302" s="3228"/>
      <c r="K302" s="3300"/>
      <c r="L302" s="3228"/>
      <c r="M302" s="3300"/>
      <c r="N302" s="3228"/>
      <c r="O302" s="3300"/>
      <c r="P302" s="3228"/>
      <c r="Q302" s="3300"/>
      <c r="R302" s="3228"/>
      <c r="S302" s="3300"/>
      <c r="T302" s="3228"/>
      <c r="U302" s="3300"/>
      <c r="V302" s="3228"/>
      <c r="W302" s="3270"/>
      <c r="X302" s="3271"/>
      <c r="Y302" s="3270"/>
      <c r="Z302" s="3271"/>
      <c r="AA302" s="3270"/>
      <c r="AB302" s="3271"/>
      <c r="AC302" s="3270"/>
      <c r="AD302" s="3271"/>
      <c r="AE302" s="3270"/>
      <c r="AF302" s="3271"/>
      <c r="AG302" s="3270"/>
      <c r="AH302" s="3271"/>
      <c r="AI302" s="3270"/>
      <c r="AJ302" s="3271"/>
      <c r="AK302" s="2224"/>
      <c r="AL302" s="2193"/>
      <c r="AM302" s="2192"/>
      <c r="AN302" s="3252"/>
      <c r="AO302" s="3227"/>
      <c r="AP302" s="3228"/>
      <c r="AQ302" s="3253"/>
      <c r="AR302" s="3254"/>
      <c r="AS302" s="3248"/>
      <c r="AT302" s="3254"/>
      <c r="AU302" s="2193"/>
      <c r="AV302" s="3228"/>
      <c r="AW302" s="3254"/>
      <c r="AX302" s="2193"/>
      <c r="AY302" t="str">
        <f t="shared" si="191"/>
        <v/>
      </c>
      <c r="CA302" s="2841" t="str">
        <f t="shared" si="192"/>
        <v/>
      </c>
      <c r="CB302" s="2841" t="str">
        <f t="shared" si="193"/>
        <v/>
      </c>
      <c r="CC302" s="2890"/>
      <c r="CD302" s="2890"/>
      <c r="CE302" s="2841" t="str">
        <f t="shared" si="206"/>
        <v/>
      </c>
      <c r="CF302" s="2841" t="str">
        <f t="shared" si="194"/>
        <v/>
      </c>
      <c r="CG302" s="2890"/>
      <c r="CH302" s="2841" t="str">
        <f t="shared" si="205"/>
        <v/>
      </c>
      <c r="CI302" s="2841" t="str">
        <f t="shared" si="195"/>
        <v/>
      </c>
      <c r="CJ302" s="2890"/>
      <c r="CK302" s="2841" t="str">
        <f t="shared" si="196"/>
        <v/>
      </c>
      <c r="CL302" s="2841" t="str">
        <f t="shared" si="197"/>
        <v/>
      </c>
      <c r="CO302" s="2842">
        <f t="shared" si="198"/>
        <v>0</v>
      </c>
      <c r="CP302" s="2842">
        <f t="shared" si="199"/>
        <v>0</v>
      </c>
      <c r="CQ302" s="2890"/>
      <c r="CR302" s="2890"/>
      <c r="CS302" s="2842">
        <f t="shared" si="209"/>
        <v>0</v>
      </c>
      <c r="CT302" s="2842">
        <f t="shared" si="200"/>
        <v>0</v>
      </c>
      <c r="CU302" s="2890"/>
      <c r="CV302" s="2842">
        <f t="shared" si="201"/>
        <v>0</v>
      </c>
      <c r="CW302" s="2842">
        <f t="shared" si="202"/>
        <v>0</v>
      </c>
      <c r="CX302" s="2890"/>
      <c r="CY302" s="2842">
        <f t="shared" si="203"/>
        <v>0</v>
      </c>
      <c r="CZ302" s="2842">
        <f t="shared" si="204"/>
        <v>0</v>
      </c>
    </row>
    <row r="303" spans="1:104" ht="15" customHeight="1">
      <c r="A303" s="6616"/>
      <c r="B303" s="6573" t="s">
        <v>1903</v>
      </c>
      <c r="C303" s="6573"/>
      <c r="D303" s="3251">
        <f t="shared" si="188"/>
        <v>0</v>
      </c>
      <c r="E303" s="2977">
        <f t="shared" si="217"/>
        <v>0</v>
      </c>
      <c r="F303" s="2984">
        <f t="shared" si="218"/>
        <v>0</v>
      </c>
      <c r="G303" s="3227"/>
      <c r="H303" s="3228"/>
      <c r="I303" s="3300"/>
      <c r="J303" s="3228"/>
      <c r="K303" s="3300"/>
      <c r="L303" s="3228"/>
      <c r="M303" s="3300"/>
      <c r="N303" s="3228"/>
      <c r="O303" s="3300"/>
      <c r="P303" s="3228"/>
      <c r="Q303" s="3300"/>
      <c r="R303" s="3228"/>
      <c r="S303" s="3300"/>
      <c r="T303" s="3228"/>
      <c r="U303" s="3300"/>
      <c r="V303" s="3228"/>
      <c r="W303" s="3270"/>
      <c r="X303" s="3271"/>
      <c r="Y303" s="3270"/>
      <c r="Z303" s="3271"/>
      <c r="AA303" s="3270"/>
      <c r="AB303" s="3271"/>
      <c r="AC303" s="3270"/>
      <c r="AD303" s="3271"/>
      <c r="AE303" s="3270"/>
      <c r="AF303" s="3271"/>
      <c r="AG303" s="3270"/>
      <c r="AH303" s="3271"/>
      <c r="AI303" s="3270"/>
      <c r="AJ303" s="3271"/>
      <c r="AK303" s="2224"/>
      <c r="AL303" s="2193"/>
      <c r="AM303" s="2192"/>
      <c r="AN303" s="3252"/>
      <c r="AO303" s="3227"/>
      <c r="AP303" s="3228"/>
      <c r="AQ303" s="3229"/>
      <c r="AR303" s="3254"/>
      <c r="AS303" s="3248"/>
      <c r="AT303" s="3254"/>
      <c r="AU303" s="2193"/>
      <c r="AV303" s="3228"/>
      <c r="AW303" s="3254"/>
      <c r="AX303" s="2193"/>
      <c r="AY303" t="str">
        <f t="shared" si="191"/>
        <v/>
      </c>
      <c r="CA303" s="2841" t="str">
        <f t="shared" si="192"/>
        <v/>
      </c>
      <c r="CB303" s="2841" t="str">
        <f t="shared" si="193"/>
        <v/>
      </c>
      <c r="CC303" s="2890"/>
      <c r="CD303" s="2890"/>
      <c r="CE303" s="2890"/>
      <c r="CF303" s="2841" t="str">
        <f t="shared" si="194"/>
        <v/>
      </c>
      <c r="CG303" s="2890"/>
      <c r="CH303" s="2841" t="str">
        <f t="shared" si="205"/>
        <v/>
      </c>
      <c r="CI303" s="2841" t="str">
        <f t="shared" si="195"/>
        <v/>
      </c>
      <c r="CJ303" s="2890"/>
      <c r="CK303" s="2841" t="str">
        <f t="shared" si="196"/>
        <v/>
      </c>
      <c r="CL303" s="2841" t="str">
        <f t="shared" si="197"/>
        <v/>
      </c>
      <c r="CO303" s="2842">
        <f t="shared" si="198"/>
        <v>0</v>
      </c>
      <c r="CP303" s="2842">
        <f t="shared" si="199"/>
        <v>0</v>
      </c>
      <c r="CQ303" s="2890"/>
      <c r="CR303" s="2890"/>
      <c r="CS303" s="2890"/>
      <c r="CT303" s="2842">
        <f t="shared" si="200"/>
        <v>0</v>
      </c>
      <c r="CU303" s="2890"/>
      <c r="CV303" s="2842">
        <f t="shared" si="201"/>
        <v>0</v>
      </c>
      <c r="CW303" s="2842">
        <f t="shared" si="202"/>
        <v>0</v>
      </c>
      <c r="CX303" s="2890"/>
      <c r="CY303" s="2842">
        <f t="shared" si="203"/>
        <v>0</v>
      </c>
      <c r="CZ303" s="2842">
        <f t="shared" si="204"/>
        <v>0</v>
      </c>
    </row>
    <row r="304" spans="1:104" ht="15" customHeight="1">
      <c r="A304" s="6616"/>
      <c r="B304" s="6565" t="s">
        <v>1904</v>
      </c>
      <c r="C304" s="6567"/>
      <c r="D304" s="3251">
        <f t="shared" si="188"/>
        <v>0</v>
      </c>
      <c r="E304" s="2977">
        <f t="shared" si="217"/>
        <v>0</v>
      </c>
      <c r="F304" s="2984">
        <f t="shared" si="218"/>
        <v>0</v>
      </c>
      <c r="G304" s="3227"/>
      <c r="H304" s="3228"/>
      <c r="I304" s="3300"/>
      <c r="J304" s="3228"/>
      <c r="K304" s="3300"/>
      <c r="L304" s="3228"/>
      <c r="M304" s="3300"/>
      <c r="N304" s="3228"/>
      <c r="O304" s="3300"/>
      <c r="P304" s="3228"/>
      <c r="Q304" s="3300"/>
      <c r="R304" s="3228"/>
      <c r="S304" s="3300"/>
      <c r="T304" s="3228"/>
      <c r="U304" s="3300"/>
      <c r="V304" s="3228"/>
      <c r="W304" s="3272"/>
      <c r="X304" s="3273"/>
      <c r="Y304" s="3272"/>
      <c r="Z304" s="3273"/>
      <c r="AA304" s="3272"/>
      <c r="AB304" s="3273"/>
      <c r="AC304" s="3272"/>
      <c r="AD304" s="3273"/>
      <c r="AE304" s="3272"/>
      <c r="AF304" s="3273"/>
      <c r="AG304" s="3272"/>
      <c r="AH304" s="3273"/>
      <c r="AI304" s="3272"/>
      <c r="AJ304" s="3273"/>
      <c r="AK304" s="2224"/>
      <c r="AL304" s="2193"/>
      <c r="AM304" s="3259"/>
      <c r="AN304" s="3260"/>
      <c r="AO304" s="3227"/>
      <c r="AP304" s="3228"/>
      <c r="AQ304" s="3229"/>
      <c r="AR304" s="3261"/>
      <c r="AS304" s="3248"/>
      <c r="AT304" s="3261"/>
      <c r="AU304" s="3258"/>
      <c r="AV304" s="2193"/>
      <c r="AW304" s="3261"/>
      <c r="AX304" s="3258"/>
      <c r="AY304" t="str">
        <f t="shared" si="191"/>
        <v/>
      </c>
      <c r="CA304" s="2841" t="str">
        <f t="shared" si="192"/>
        <v/>
      </c>
      <c r="CB304" s="2841" t="str">
        <f t="shared" si="193"/>
        <v/>
      </c>
      <c r="CC304" s="2890"/>
      <c r="CD304" s="2890"/>
      <c r="CE304" s="2890"/>
      <c r="CF304" s="2841" t="str">
        <f t="shared" si="194"/>
        <v/>
      </c>
      <c r="CG304" s="2890"/>
      <c r="CH304" s="2841" t="str">
        <f t="shared" si="205"/>
        <v/>
      </c>
      <c r="CI304" s="2841" t="str">
        <f t="shared" si="195"/>
        <v/>
      </c>
      <c r="CJ304" s="2841" t="str">
        <f>IF(AND($D304&gt;0,AV304="")," * No olvide digitar la variable Contrarreferencia al alta. Digite Cero si no tiene.",IF(AV304&gt;$D304," * La variable Contrarreferencia al alta no puede superar el Total Ambos Sexos.",""))</f>
        <v/>
      </c>
      <c r="CK304" s="2841" t="str">
        <f t="shared" si="196"/>
        <v/>
      </c>
      <c r="CL304" s="2841" t="str">
        <f t="shared" si="197"/>
        <v/>
      </c>
      <c r="CO304" s="2842">
        <f t="shared" si="198"/>
        <v>0</v>
      </c>
      <c r="CP304" s="2842">
        <f t="shared" si="199"/>
        <v>0</v>
      </c>
      <c r="CQ304" s="2890"/>
      <c r="CR304" s="2890"/>
      <c r="CS304" s="2890"/>
      <c r="CT304" s="2842">
        <f t="shared" si="200"/>
        <v>0</v>
      </c>
      <c r="CU304" s="2890"/>
      <c r="CV304" s="2842">
        <f t="shared" si="201"/>
        <v>0</v>
      </c>
      <c r="CW304" s="2842">
        <f t="shared" si="202"/>
        <v>0</v>
      </c>
      <c r="CX304" s="2842">
        <f>IF(AND($D304&gt;0,AV304=""),1,IF(AV304&gt;$D304,1,0))</f>
        <v>0</v>
      </c>
      <c r="CY304" s="2842">
        <f t="shared" si="203"/>
        <v>0</v>
      </c>
      <c r="CZ304" s="2842">
        <f t="shared" si="204"/>
        <v>0</v>
      </c>
    </row>
    <row r="305" spans="1:104" ht="15" customHeight="1">
      <c r="A305" s="6616"/>
      <c r="B305" s="6565" t="s">
        <v>1905</v>
      </c>
      <c r="C305" s="6567"/>
      <c r="D305" s="3251">
        <f t="shared" si="188"/>
        <v>0</v>
      </c>
      <c r="E305" s="2977">
        <f t="shared" si="217"/>
        <v>0</v>
      </c>
      <c r="F305" s="2984">
        <f t="shared" si="218"/>
        <v>0</v>
      </c>
      <c r="G305" s="3314"/>
      <c r="H305" s="3315"/>
      <c r="I305" s="3316"/>
      <c r="J305" s="3315"/>
      <c r="K305" s="3316"/>
      <c r="L305" s="3315"/>
      <c r="M305" s="3316"/>
      <c r="N305" s="3315"/>
      <c r="O305" s="3316"/>
      <c r="P305" s="3315"/>
      <c r="Q305" s="3316"/>
      <c r="R305" s="3315"/>
      <c r="S305" s="3316"/>
      <c r="T305" s="3315"/>
      <c r="U305" s="3316"/>
      <c r="V305" s="3315"/>
      <c r="W305" s="3272"/>
      <c r="X305" s="3273"/>
      <c r="Y305" s="3272"/>
      <c r="Z305" s="3273"/>
      <c r="AA305" s="3272"/>
      <c r="AB305" s="3273"/>
      <c r="AC305" s="3272"/>
      <c r="AD305" s="3273"/>
      <c r="AE305" s="3272"/>
      <c r="AF305" s="3273"/>
      <c r="AG305" s="3272"/>
      <c r="AH305" s="3273"/>
      <c r="AI305" s="3272"/>
      <c r="AJ305" s="3273"/>
      <c r="AK305" s="3257"/>
      <c r="AL305" s="3258"/>
      <c r="AM305" s="3259"/>
      <c r="AN305" s="3260"/>
      <c r="AO305" s="3262"/>
      <c r="AP305" s="3263"/>
      <c r="AQ305" s="3264"/>
      <c r="AR305" s="3261"/>
      <c r="AS305" s="3265"/>
      <c r="AT305" s="3261"/>
      <c r="AU305" s="3258"/>
      <c r="AV305" s="3263"/>
      <c r="AW305" s="3261"/>
      <c r="AX305" s="3258"/>
      <c r="AY305" t="str">
        <f t="shared" si="191"/>
        <v/>
      </c>
      <c r="CA305" s="2841" t="str">
        <f t="shared" si="192"/>
        <v/>
      </c>
      <c r="CB305" s="2841" t="str">
        <f t="shared" si="193"/>
        <v/>
      </c>
      <c r="CC305" s="2890"/>
      <c r="CD305" s="2890"/>
      <c r="CE305" s="2890"/>
      <c r="CF305" s="2841" t="str">
        <f t="shared" si="194"/>
        <v/>
      </c>
      <c r="CG305" s="2890"/>
      <c r="CH305" s="2841" t="str">
        <f t="shared" si="205"/>
        <v/>
      </c>
      <c r="CI305" s="2841" t="str">
        <f t="shared" si="195"/>
        <v/>
      </c>
      <c r="CJ305" s="2890"/>
      <c r="CK305" s="2841" t="str">
        <f t="shared" si="196"/>
        <v/>
      </c>
      <c r="CL305" s="2841" t="str">
        <f t="shared" si="197"/>
        <v/>
      </c>
      <c r="CO305" s="2842">
        <f t="shared" si="198"/>
        <v>0</v>
      </c>
      <c r="CP305" s="2842">
        <f t="shared" si="199"/>
        <v>0</v>
      </c>
      <c r="CQ305" s="2890"/>
      <c r="CR305" s="2890"/>
      <c r="CS305" s="2890"/>
      <c r="CT305" s="2842">
        <f t="shared" si="200"/>
        <v>0</v>
      </c>
      <c r="CU305" s="2890"/>
      <c r="CV305" s="2842">
        <f t="shared" si="201"/>
        <v>0</v>
      </c>
      <c r="CW305" s="2842">
        <f t="shared" si="202"/>
        <v>0</v>
      </c>
      <c r="CX305" s="2890"/>
      <c r="CY305" s="2842">
        <f t="shared" si="203"/>
        <v>0</v>
      </c>
      <c r="CZ305" s="2842">
        <f t="shared" si="204"/>
        <v>0</v>
      </c>
    </row>
    <row r="306" spans="1:104" ht="15" customHeight="1">
      <c r="A306" s="6617"/>
      <c r="B306" s="6577" t="s">
        <v>1906</v>
      </c>
      <c r="C306" s="6577"/>
      <c r="D306" s="3195">
        <f t="shared" si="188"/>
        <v>0</v>
      </c>
      <c r="E306" s="2933">
        <f t="shared" si="217"/>
        <v>0</v>
      </c>
      <c r="F306" s="2875">
        <f t="shared" si="218"/>
        <v>0</v>
      </c>
      <c r="G306" s="3287"/>
      <c r="H306" s="3288"/>
      <c r="I306" s="3317"/>
      <c r="J306" s="3288"/>
      <c r="K306" s="3317"/>
      <c r="L306" s="3288"/>
      <c r="M306" s="3317"/>
      <c r="N306" s="3288"/>
      <c r="O306" s="3317"/>
      <c r="P306" s="3288"/>
      <c r="Q306" s="3317"/>
      <c r="R306" s="3288"/>
      <c r="S306" s="3317"/>
      <c r="T306" s="3288"/>
      <c r="U306" s="3317"/>
      <c r="V306" s="3288"/>
      <c r="W306" s="3274"/>
      <c r="X306" s="3275"/>
      <c r="Y306" s="3274"/>
      <c r="Z306" s="3275"/>
      <c r="AA306" s="3274"/>
      <c r="AB306" s="3275"/>
      <c r="AC306" s="3274"/>
      <c r="AD306" s="3275"/>
      <c r="AE306" s="3274"/>
      <c r="AF306" s="3275"/>
      <c r="AG306" s="3274"/>
      <c r="AH306" s="3275"/>
      <c r="AI306" s="3274"/>
      <c r="AJ306" s="3275"/>
      <c r="AK306" s="3236"/>
      <c r="AL306" s="2196"/>
      <c r="AM306" s="2195"/>
      <c r="AN306" s="3237"/>
      <c r="AO306" s="3266"/>
      <c r="AP306" s="3238"/>
      <c r="AQ306" s="3267"/>
      <c r="AR306" s="3239"/>
      <c r="AS306" s="3240"/>
      <c r="AT306" s="3239"/>
      <c r="AU306" s="2196"/>
      <c r="AV306" s="3238"/>
      <c r="AW306" s="3239"/>
      <c r="AX306" s="2196"/>
      <c r="AY306" t="str">
        <f t="shared" si="191"/>
        <v/>
      </c>
      <c r="CA306" s="2841" t="str">
        <f t="shared" si="192"/>
        <v/>
      </c>
      <c r="CB306" s="2841" t="str">
        <f t="shared" si="193"/>
        <v/>
      </c>
      <c r="CC306" s="2890"/>
      <c r="CD306" s="2890"/>
      <c r="CE306" s="2890"/>
      <c r="CF306" s="2841" t="str">
        <f t="shared" si="194"/>
        <v/>
      </c>
      <c r="CG306" s="2890"/>
      <c r="CH306" s="2841" t="str">
        <f t="shared" si="205"/>
        <v/>
      </c>
      <c r="CI306" s="2841" t="str">
        <f t="shared" si="195"/>
        <v/>
      </c>
      <c r="CJ306" s="2890"/>
      <c r="CK306" s="2841" t="str">
        <f t="shared" si="196"/>
        <v/>
      </c>
      <c r="CL306" s="2841" t="str">
        <f t="shared" si="197"/>
        <v/>
      </c>
      <c r="CO306" s="2842">
        <f t="shared" si="198"/>
        <v>0</v>
      </c>
      <c r="CP306" s="2842">
        <f t="shared" si="199"/>
        <v>0</v>
      </c>
      <c r="CQ306" s="2890"/>
      <c r="CR306" s="2890"/>
      <c r="CS306" s="2890"/>
      <c r="CT306" s="2842">
        <f t="shared" si="200"/>
        <v>0</v>
      </c>
      <c r="CU306" s="2890"/>
      <c r="CV306" s="2842">
        <f t="shared" si="201"/>
        <v>0</v>
      </c>
      <c r="CW306" s="2842">
        <f t="shared" si="202"/>
        <v>0</v>
      </c>
      <c r="CX306" s="2890"/>
      <c r="CY306" s="2842">
        <f t="shared" si="203"/>
        <v>0</v>
      </c>
      <c r="CZ306" s="2842">
        <f t="shared" si="204"/>
        <v>0</v>
      </c>
    </row>
    <row r="307" spans="1:104" ht="15" customHeight="1">
      <c r="A307" s="6127" t="s">
        <v>1912</v>
      </c>
      <c r="B307" s="6612" t="s">
        <v>1901</v>
      </c>
      <c r="C307" s="6612"/>
      <c r="D307" s="3290">
        <f t="shared" si="188"/>
        <v>0</v>
      </c>
      <c r="E307" s="2975">
        <f t="shared" si="217"/>
        <v>0</v>
      </c>
      <c r="F307" s="2860">
        <f t="shared" si="218"/>
        <v>0</v>
      </c>
      <c r="G307" s="3313"/>
      <c r="H307" s="3310"/>
      <c r="I307" s="3309"/>
      <c r="J307" s="3310"/>
      <c r="K307" s="3309"/>
      <c r="L307" s="3310"/>
      <c r="M307" s="3309"/>
      <c r="N307" s="3310"/>
      <c r="O307" s="3309"/>
      <c r="P307" s="3310"/>
      <c r="Q307" s="3309"/>
      <c r="R307" s="3310"/>
      <c r="S307" s="3309"/>
      <c r="T307" s="3310"/>
      <c r="U307" s="3309"/>
      <c r="V307" s="3310"/>
      <c r="W307" s="3268"/>
      <c r="X307" s="3269"/>
      <c r="Y307" s="3268"/>
      <c r="Z307" s="3269"/>
      <c r="AA307" s="3268"/>
      <c r="AB307" s="3269"/>
      <c r="AC307" s="3268"/>
      <c r="AD307" s="3269"/>
      <c r="AE307" s="3268"/>
      <c r="AF307" s="3269"/>
      <c r="AG307" s="3268"/>
      <c r="AH307" s="3269"/>
      <c r="AI307" s="3268"/>
      <c r="AJ307" s="3269"/>
      <c r="AK307" s="3278"/>
      <c r="AL307" s="3249"/>
      <c r="AM307" s="3244"/>
      <c r="AN307" s="3245"/>
      <c r="AO307" s="3242"/>
      <c r="AP307" s="3243"/>
      <c r="AQ307" s="3246"/>
      <c r="AR307" s="3247"/>
      <c r="AS307" s="3248"/>
      <c r="AT307" s="3247"/>
      <c r="AU307" s="3249"/>
      <c r="AV307" s="3228"/>
      <c r="AW307" s="3247"/>
      <c r="AX307" s="3249"/>
      <c r="AY307" t="str">
        <f t="shared" si="191"/>
        <v/>
      </c>
      <c r="CA307" s="2841" t="str">
        <f t="shared" si="192"/>
        <v/>
      </c>
      <c r="CB307" s="2841" t="str">
        <f t="shared" si="193"/>
        <v/>
      </c>
      <c r="CC307" s="2841" t="str">
        <f>IF(AND($D307&gt;0,AO307="")," * No olvide digitar la variable Consultas Pertinentes: Según Procolo de Referencia. Digite cero si no tiene.",IF(AO307&gt;$D307," * La variable Consultas Pertinentes: Según Procolo de Referencia no puede superar el Total Ambos Sexos.",""))</f>
        <v/>
      </c>
      <c r="CD307" s="2841" t="str">
        <f>IF(AND($D307&gt;0,AP307="")," * No olvide digitar la variable Consultas Pertinentes: Según condición clínica. Digite cero si no tiene.",IF(AP307&gt;$D307," * La variable Consultas Pertinentes: Según condición clínica no puede superar el Total Ambos Sexos.",""))</f>
        <v/>
      </c>
      <c r="CE307" s="2841" t="str">
        <f t="shared" si="206"/>
        <v/>
      </c>
      <c r="CF307" s="2841" t="str">
        <f t="shared" si="194"/>
        <v/>
      </c>
      <c r="CG307" s="2890"/>
      <c r="CH307" s="2841" t="str">
        <f t="shared" si="205"/>
        <v/>
      </c>
      <c r="CI307" s="2841" t="str">
        <f t="shared" si="195"/>
        <v/>
      </c>
      <c r="CJ307" s="2890"/>
      <c r="CK307" s="2841" t="str">
        <f t="shared" si="196"/>
        <v/>
      </c>
      <c r="CL307" s="2841" t="str">
        <f t="shared" si="197"/>
        <v/>
      </c>
      <c r="CO307" s="2842">
        <f t="shared" si="198"/>
        <v>0</v>
      </c>
      <c r="CP307" s="2842">
        <f t="shared" si="199"/>
        <v>0</v>
      </c>
      <c r="CQ307" s="2842">
        <f>IF(AND($D307&gt;0,AO307=""),1,IF(AO307&gt;$D307,1,0))</f>
        <v>0</v>
      </c>
      <c r="CR307" s="2842">
        <f t="shared" si="207"/>
        <v>0</v>
      </c>
      <c r="CS307" s="2842">
        <f t="shared" si="209"/>
        <v>0</v>
      </c>
      <c r="CT307" s="2842">
        <f t="shared" si="200"/>
        <v>0</v>
      </c>
      <c r="CU307" s="2890"/>
      <c r="CV307" s="2842">
        <f t="shared" si="201"/>
        <v>0</v>
      </c>
      <c r="CW307" s="2842">
        <f t="shared" si="202"/>
        <v>0</v>
      </c>
      <c r="CX307" s="2890"/>
      <c r="CY307" s="2842">
        <f t="shared" si="203"/>
        <v>0</v>
      </c>
      <c r="CZ307" s="2842">
        <f t="shared" si="204"/>
        <v>0</v>
      </c>
    </row>
    <row r="308" spans="1:104" ht="15" customHeight="1">
      <c r="A308" s="6128"/>
      <c r="B308" s="6573" t="s">
        <v>1902</v>
      </c>
      <c r="C308" s="6573"/>
      <c r="D308" s="3251">
        <f t="shared" si="188"/>
        <v>0</v>
      </c>
      <c r="E308" s="2977">
        <f t="shared" si="217"/>
        <v>0</v>
      </c>
      <c r="F308" s="2984">
        <f t="shared" si="218"/>
        <v>0</v>
      </c>
      <c r="G308" s="3227"/>
      <c r="H308" s="3228"/>
      <c r="I308" s="3300"/>
      <c r="J308" s="3228"/>
      <c r="K308" s="3300"/>
      <c r="L308" s="3228"/>
      <c r="M308" s="3300"/>
      <c r="N308" s="3228"/>
      <c r="O308" s="3300"/>
      <c r="P308" s="3228"/>
      <c r="Q308" s="3300"/>
      <c r="R308" s="3228"/>
      <c r="S308" s="3300"/>
      <c r="T308" s="3228"/>
      <c r="U308" s="3300"/>
      <c r="V308" s="3228"/>
      <c r="W308" s="3270"/>
      <c r="X308" s="3271"/>
      <c r="Y308" s="3270"/>
      <c r="Z308" s="3271"/>
      <c r="AA308" s="3270"/>
      <c r="AB308" s="3271"/>
      <c r="AC308" s="3270"/>
      <c r="AD308" s="3271"/>
      <c r="AE308" s="3270"/>
      <c r="AF308" s="3271"/>
      <c r="AG308" s="3270"/>
      <c r="AH308" s="3271"/>
      <c r="AI308" s="3270"/>
      <c r="AJ308" s="3271"/>
      <c r="AK308" s="2224"/>
      <c r="AL308" s="2193"/>
      <c r="AM308" s="2192"/>
      <c r="AN308" s="3252"/>
      <c r="AO308" s="3227"/>
      <c r="AP308" s="3228"/>
      <c r="AQ308" s="3253"/>
      <c r="AR308" s="3254"/>
      <c r="AS308" s="3248"/>
      <c r="AT308" s="3254"/>
      <c r="AU308" s="2193"/>
      <c r="AV308" s="3228"/>
      <c r="AW308" s="3254"/>
      <c r="AX308" s="2193"/>
      <c r="AY308" t="str">
        <f t="shared" si="191"/>
        <v/>
      </c>
      <c r="CA308" s="2841" t="str">
        <f t="shared" si="192"/>
        <v/>
      </c>
      <c r="CB308" s="2841" t="str">
        <f t="shared" si="193"/>
        <v/>
      </c>
      <c r="CC308" s="2890"/>
      <c r="CD308" s="2890"/>
      <c r="CE308" s="2841" t="str">
        <f t="shared" si="206"/>
        <v/>
      </c>
      <c r="CF308" s="2841" t="str">
        <f t="shared" si="194"/>
        <v/>
      </c>
      <c r="CG308" s="2890"/>
      <c r="CH308" s="2841" t="str">
        <f t="shared" si="205"/>
        <v/>
      </c>
      <c r="CI308" s="2841" t="str">
        <f t="shared" si="195"/>
        <v/>
      </c>
      <c r="CJ308" s="2890"/>
      <c r="CK308" s="2841" t="str">
        <f t="shared" si="196"/>
        <v/>
      </c>
      <c r="CL308" s="2841" t="str">
        <f t="shared" si="197"/>
        <v/>
      </c>
      <c r="CO308" s="2842">
        <f t="shared" si="198"/>
        <v>0</v>
      </c>
      <c r="CP308" s="2842">
        <f t="shared" si="199"/>
        <v>0</v>
      </c>
      <c r="CQ308" s="2890"/>
      <c r="CR308" s="2890"/>
      <c r="CS308" s="2842">
        <f t="shared" si="209"/>
        <v>0</v>
      </c>
      <c r="CT308" s="2842">
        <f t="shared" si="200"/>
        <v>0</v>
      </c>
      <c r="CU308" s="2890"/>
      <c r="CV308" s="2842">
        <f t="shared" si="201"/>
        <v>0</v>
      </c>
      <c r="CW308" s="2842">
        <f t="shared" si="202"/>
        <v>0</v>
      </c>
      <c r="CX308" s="2890"/>
      <c r="CY308" s="2842">
        <f t="shared" si="203"/>
        <v>0</v>
      </c>
      <c r="CZ308" s="2842">
        <f t="shared" si="204"/>
        <v>0</v>
      </c>
    </row>
    <row r="309" spans="1:104" ht="15" customHeight="1">
      <c r="A309" s="6128"/>
      <c r="B309" s="6573" t="s">
        <v>1903</v>
      </c>
      <c r="C309" s="6573"/>
      <c r="D309" s="3251">
        <f t="shared" si="188"/>
        <v>0</v>
      </c>
      <c r="E309" s="2977">
        <f t="shared" si="217"/>
        <v>0</v>
      </c>
      <c r="F309" s="2984">
        <f t="shared" si="218"/>
        <v>0</v>
      </c>
      <c r="G309" s="3227"/>
      <c r="H309" s="3228"/>
      <c r="I309" s="3300"/>
      <c r="J309" s="3228"/>
      <c r="K309" s="3300"/>
      <c r="L309" s="3228"/>
      <c r="M309" s="3300"/>
      <c r="N309" s="3228"/>
      <c r="O309" s="3300"/>
      <c r="P309" s="3228"/>
      <c r="Q309" s="3300"/>
      <c r="R309" s="3228"/>
      <c r="S309" s="3300"/>
      <c r="T309" s="3228"/>
      <c r="U309" s="3300"/>
      <c r="V309" s="3228"/>
      <c r="W309" s="3270"/>
      <c r="X309" s="3271"/>
      <c r="Y309" s="3270"/>
      <c r="Z309" s="3271"/>
      <c r="AA309" s="3270"/>
      <c r="AB309" s="3271"/>
      <c r="AC309" s="3270"/>
      <c r="AD309" s="3271"/>
      <c r="AE309" s="3270"/>
      <c r="AF309" s="3271"/>
      <c r="AG309" s="3270"/>
      <c r="AH309" s="3271"/>
      <c r="AI309" s="3270"/>
      <c r="AJ309" s="3271"/>
      <c r="AK309" s="2224"/>
      <c r="AL309" s="2193"/>
      <c r="AM309" s="2192"/>
      <c r="AN309" s="3252"/>
      <c r="AO309" s="3227"/>
      <c r="AP309" s="3228"/>
      <c r="AQ309" s="3229"/>
      <c r="AR309" s="3254"/>
      <c r="AS309" s="3248"/>
      <c r="AT309" s="3254"/>
      <c r="AU309" s="2193"/>
      <c r="AV309" s="3228"/>
      <c r="AW309" s="3254"/>
      <c r="AX309" s="2193"/>
      <c r="AY309" t="str">
        <f t="shared" si="191"/>
        <v/>
      </c>
      <c r="CA309" s="2841" t="str">
        <f t="shared" si="192"/>
        <v/>
      </c>
      <c r="CB309" s="2841" t="str">
        <f t="shared" si="193"/>
        <v/>
      </c>
      <c r="CC309" s="2890"/>
      <c r="CD309" s="2890"/>
      <c r="CE309" s="2890"/>
      <c r="CF309" s="2841" t="str">
        <f t="shared" si="194"/>
        <v/>
      </c>
      <c r="CG309" s="2890"/>
      <c r="CH309" s="2841" t="str">
        <f t="shared" si="205"/>
        <v/>
      </c>
      <c r="CI309" s="2841" t="str">
        <f t="shared" si="195"/>
        <v/>
      </c>
      <c r="CJ309" s="2890"/>
      <c r="CK309" s="2841" t="str">
        <f t="shared" si="196"/>
        <v/>
      </c>
      <c r="CL309" s="2841" t="str">
        <f t="shared" si="197"/>
        <v/>
      </c>
      <c r="CO309" s="2842">
        <f t="shared" si="198"/>
        <v>0</v>
      </c>
      <c r="CP309" s="2842">
        <f t="shared" si="199"/>
        <v>0</v>
      </c>
      <c r="CQ309" s="2890"/>
      <c r="CR309" s="2890"/>
      <c r="CS309" s="2890"/>
      <c r="CT309" s="2842">
        <f t="shared" si="200"/>
        <v>0</v>
      </c>
      <c r="CU309" s="2890"/>
      <c r="CV309" s="2842">
        <f t="shared" si="201"/>
        <v>0</v>
      </c>
      <c r="CW309" s="2842">
        <f t="shared" si="202"/>
        <v>0</v>
      </c>
      <c r="CX309" s="2890"/>
      <c r="CY309" s="2842">
        <f t="shared" si="203"/>
        <v>0</v>
      </c>
      <c r="CZ309" s="2842">
        <f t="shared" si="204"/>
        <v>0</v>
      </c>
    </row>
    <row r="310" spans="1:104">
      <c r="A310" s="6128"/>
      <c r="B310" s="6565" t="s">
        <v>1904</v>
      </c>
      <c r="C310" s="6567"/>
      <c r="D310" s="3251">
        <f t="shared" si="188"/>
        <v>0</v>
      </c>
      <c r="E310" s="2977">
        <f t="shared" si="217"/>
        <v>0</v>
      </c>
      <c r="F310" s="2984">
        <f t="shared" si="218"/>
        <v>0</v>
      </c>
      <c r="G310" s="3227"/>
      <c r="H310" s="3228"/>
      <c r="I310" s="3300"/>
      <c r="J310" s="3228"/>
      <c r="K310" s="3300"/>
      <c r="L310" s="3228"/>
      <c r="M310" s="3300"/>
      <c r="N310" s="3228"/>
      <c r="O310" s="3300"/>
      <c r="P310" s="3228"/>
      <c r="Q310" s="3300"/>
      <c r="R310" s="3228"/>
      <c r="S310" s="3300"/>
      <c r="T310" s="3228"/>
      <c r="U310" s="3300"/>
      <c r="V310" s="3228"/>
      <c r="W310" s="3272"/>
      <c r="X310" s="3273"/>
      <c r="Y310" s="3272"/>
      <c r="Z310" s="3273"/>
      <c r="AA310" s="3272"/>
      <c r="AB310" s="3273"/>
      <c r="AC310" s="3272"/>
      <c r="AD310" s="3273"/>
      <c r="AE310" s="3272"/>
      <c r="AF310" s="3273"/>
      <c r="AG310" s="3272"/>
      <c r="AH310" s="3273"/>
      <c r="AI310" s="3272"/>
      <c r="AJ310" s="3273"/>
      <c r="AK310" s="3257"/>
      <c r="AL310" s="3258"/>
      <c r="AM310" s="3259"/>
      <c r="AN310" s="3260"/>
      <c r="AO310" s="3227"/>
      <c r="AP310" s="3228"/>
      <c r="AQ310" s="3229"/>
      <c r="AR310" s="3261"/>
      <c r="AS310" s="3248"/>
      <c r="AT310" s="3261"/>
      <c r="AU310" s="3258"/>
      <c r="AV310" s="2193"/>
      <c r="AW310" s="3261"/>
      <c r="AX310" s="3258"/>
      <c r="AY310" t="str">
        <f t="shared" si="191"/>
        <v/>
      </c>
      <c r="CA310" s="2841" t="str">
        <f t="shared" si="192"/>
        <v/>
      </c>
      <c r="CB310" s="2841" t="str">
        <f t="shared" si="193"/>
        <v/>
      </c>
      <c r="CC310" s="2890"/>
      <c r="CD310" s="2890"/>
      <c r="CE310" s="2890"/>
      <c r="CF310" s="2841" t="str">
        <f t="shared" si="194"/>
        <v/>
      </c>
      <c r="CG310" s="2890"/>
      <c r="CH310" s="2841" t="str">
        <f t="shared" si="205"/>
        <v/>
      </c>
      <c r="CI310" s="2841" t="str">
        <f t="shared" si="195"/>
        <v/>
      </c>
      <c r="CJ310" s="2841" t="str">
        <f>IF(AND($D310&gt;0,AV310="")," * No olvide digitar la variable Contrarreferencia al alta. Digite Cero si no tiene.",IF(AV310&gt;$D310," * La variable Contrarreferencia al alta no puede superar el Total Ambos Sexos.",""))</f>
        <v/>
      </c>
      <c r="CK310" s="2841" t="str">
        <f t="shared" si="196"/>
        <v/>
      </c>
      <c r="CL310" s="2841" t="str">
        <f t="shared" si="197"/>
        <v/>
      </c>
      <c r="CO310" s="2842">
        <f t="shared" si="198"/>
        <v>0</v>
      </c>
      <c r="CP310" s="2842">
        <f t="shared" si="199"/>
        <v>0</v>
      </c>
      <c r="CQ310" s="2890"/>
      <c r="CR310" s="2890"/>
      <c r="CS310" s="2890"/>
      <c r="CT310" s="2842">
        <f t="shared" si="200"/>
        <v>0</v>
      </c>
      <c r="CU310" s="2890"/>
      <c r="CV310" s="2842">
        <f t="shared" si="201"/>
        <v>0</v>
      </c>
      <c r="CW310" s="2842">
        <f t="shared" si="202"/>
        <v>0</v>
      </c>
      <c r="CX310" s="2842">
        <f t="shared" si="202"/>
        <v>0</v>
      </c>
      <c r="CY310" s="2842">
        <f t="shared" si="203"/>
        <v>0</v>
      </c>
      <c r="CZ310" s="2842">
        <f t="shared" si="204"/>
        <v>0</v>
      </c>
    </row>
    <row r="311" spans="1:104" ht="15" customHeight="1">
      <c r="A311" s="6128"/>
      <c r="B311" s="6565" t="s">
        <v>1905</v>
      </c>
      <c r="C311" s="6567"/>
      <c r="D311" s="3251">
        <f t="shared" si="188"/>
        <v>0</v>
      </c>
      <c r="E311" s="2977">
        <f t="shared" si="217"/>
        <v>0</v>
      </c>
      <c r="F311" s="2984">
        <f t="shared" si="218"/>
        <v>0</v>
      </c>
      <c r="G311" s="3314"/>
      <c r="H311" s="3315"/>
      <c r="I311" s="3316"/>
      <c r="J311" s="3315"/>
      <c r="K311" s="3316"/>
      <c r="L311" s="3315"/>
      <c r="M311" s="3316"/>
      <c r="N311" s="3315"/>
      <c r="O311" s="3316"/>
      <c r="P311" s="3315"/>
      <c r="Q311" s="3316"/>
      <c r="R311" s="3315"/>
      <c r="S311" s="3316"/>
      <c r="T311" s="3315"/>
      <c r="U311" s="3316"/>
      <c r="V311" s="3315"/>
      <c r="W311" s="3257"/>
      <c r="X311" s="3258"/>
      <c r="Y311" s="3257"/>
      <c r="Z311" s="3258"/>
      <c r="AA311" s="3257"/>
      <c r="AB311" s="3258"/>
      <c r="AC311" s="3257"/>
      <c r="AD311" s="3258"/>
      <c r="AE311" s="3257"/>
      <c r="AF311" s="3258"/>
      <c r="AG311" s="3257"/>
      <c r="AH311" s="3258"/>
      <c r="AI311" s="3257"/>
      <c r="AJ311" s="3258"/>
      <c r="AK311" s="3257"/>
      <c r="AL311" s="3258"/>
      <c r="AM311" s="3259"/>
      <c r="AN311" s="3260"/>
      <c r="AO311" s="3262"/>
      <c r="AP311" s="3263"/>
      <c r="AQ311" s="3229"/>
      <c r="AR311" s="3261"/>
      <c r="AS311" s="3265"/>
      <c r="AT311" s="3261"/>
      <c r="AU311" s="3258"/>
      <c r="AV311" s="3263"/>
      <c r="AW311" s="3261"/>
      <c r="AX311" s="3258"/>
      <c r="AY311" t="str">
        <f t="shared" si="191"/>
        <v/>
      </c>
      <c r="CA311" s="2841" t="str">
        <f t="shared" si="192"/>
        <v/>
      </c>
      <c r="CB311" s="2841" t="str">
        <f t="shared" si="193"/>
        <v/>
      </c>
      <c r="CC311" s="2890"/>
      <c r="CD311" s="2890"/>
      <c r="CE311" s="2890"/>
      <c r="CF311" s="2841" t="str">
        <f t="shared" si="194"/>
        <v/>
      </c>
      <c r="CG311" s="2890"/>
      <c r="CH311" s="2841" t="str">
        <f t="shared" si="205"/>
        <v/>
      </c>
      <c r="CI311" s="2841" t="str">
        <f t="shared" si="195"/>
        <v/>
      </c>
      <c r="CJ311" s="2890"/>
      <c r="CK311" s="2841" t="str">
        <f t="shared" si="196"/>
        <v/>
      </c>
      <c r="CL311" s="2841" t="str">
        <f t="shared" si="197"/>
        <v/>
      </c>
      <c r="CO311" s="2842">
        <f t="shared" si="198"/>
        <v>0</v>
      </c>
      <c r="CP311" s="2842">
        <f t="shared" si="199"/>
        <v>0</v>
      </c>
      <c r="CQ311" s="2890"/>
      <c r="CR311" s="2890"/>
      <c r="CS311" s="2890"/>
      <c r="CT311" s="2842">
        <f t="shared" si="200"/>
        <v>0</v>
      </c>
      <c r="CU311" s="2890"/>
      <c r="CV311" s="2842">
        <f t="shared" si="201"/>
        <v>0</v>
      </c>
      <c r="CW311" s="2842">
        <f t="shared" si="202"/>
        <v>0</v>
      </c>
      <c r="CX311" s="2890"/>
      <c r="CY311" s="2842">
        <f t="shared" si="203"/>
        <v>0</v>
      </c>
      <c r="CZ311" s="2842">
        <f t="shared" si="204"/>
        <v>0</v>
      </c>
    </row>
    <row r="312" spans="1:104" ht="15" customHeight="1">
      <c r="A312" s="6129"/>
      <c r="B312" s="6577" t="s">
        <v>1906</v>
      </c>
      <c r="C312" s="6577"/>
      <c r="D312" s="3198">
        <f t="shared" si="188"/>
        <v>0</v>
      </c>
      <c r="E312" s="2933">
        <f t="shared" si="217"/>
        <v>0</v>
      </c>
      <c r="F312" s="2875">
        <f t="shared" si="218"/>
        <v>0</v>
      </c>
      <c r="G312" s="3287"/>
      <c r="H312" s="3288"/>
      <c r="I312" s="3317"/>
      <c r="J312" s="3288"/>
      <c r="K312" s="3317"/>
      <c r="L312" s="3288"/>
      <c r="M312" s="3317"/>
      <c r="N312" s="3288"/>
      <c r="O312" s="3317"/>
      <c r="P312" s="3288"/>
      <c r="Q312" s="3317"/>
      <c r="R312" s="3288"/>
      <c r="S312" s="3317"/>
      <c r="T312" s="3288"/>
      <c r="U312" s="3317"/>
      <c r="V312" s="3288"/>
      <c r="W312" s="3236"/>
      <c r="X312" s="2196"/>
      <c r="Y312" s="3236"/>
      <c r="Z312" s="2196"/>
      <c r="AA312" s="3236"/>
      <c r="AB312" s="2196"/>
      <c r="AC312" s="3236"/>
      <c r="AD312" s="2196"/>
      <c r="AE312" s="3236"/>
      <c r="AF312" s="2196"/>
      <c r="AG312" s="3236"/>
      <c r="AH312" s="2196"/>
      <c r="AI312" s="3236"/>
      <c r="AJ312" s="2196"/>
      <c r="AK312" s="3236"/>
      <c r="AL312" s="2196"/>
      <c r="AM312" s="2195"/>
      <c r="AN312" s="3237"/>
      <c r="AO312" s="3266"/>
      <c r="AP312" s="3238"/>
      <c r="AQ312" s="3229"/>
      <c r="AR312" s="3239"/>
      <c r="AS312" s="3240"/>
      <c r="AT312" s="3239"/>
      <c r="AU312" s="2196"/>
      <c r="AV312" s="3238"/>
      <c r="AW312" s="3239"/>
      <c r="AX312" s="2196"/>
      <c r="AY312" t="str">
        <f t="shared" si="191"/>
        <v/>
      </c>
      <c r="CA312" s="2841" t="str">
        <f t="shared" si="192"/>
        <v/>
      </c>
      <c r="CB312" s="2841" t="str">
        <f t="shared" si="193"/>
        <v/>
      </c>
      <c r="CC312" s="2890"/>
      <c r="CD312" s="2890"/>
      <c r="CE312" s="2890"/>
      <c r="CF312" s="2841" t="str">
        <f t="shared" si="194"/>
        <v/>
      </c>
      <c r="CG312" s="2890"/>
      <c r="CH312" s="2841" t="str">
        <f t="shared" si="205"/>
        <v/>
      </c>
      <c r="CI312" s="2841" t="str">
        <f t="shared" si="195"/>
        <v/>
      </c>
      <c r="CJ312" s="2890"/>
      <c r="CK312" s="2841" t="str">
        <f t="shared" si="196"/>
        <v/>
      </c>
      <c r="CL312" s="2841" t="str">
        <f t="shared" si="197"/>
        <v/>
      </c>
      <c r="CO312" s="2842">
        <f t="shared" si="198"/>
        <v>0</v>
      </c>
      <c r="CP312" s="2842">
        <f t="shared" si="199"/>
        <v>0</v>
      </c>
      <c r="CQ312" s="2890"/>
      <c r="CR312" s="2890"/>
      <c r="CS312" s="2890"/>
      <c r="CT312" s="2842">
        <f t="shared" si="200"/>
        <v>0</v>
      </c>
      <c r="CU312" s="2890"/>
      <c r="CV312" s="2842">
        <f t="shared" si="201"/>
        <v>0</v>
      </c>
      <c r="CW312" s="2842">
        <f t="shared" si="202"/>
        <v>0</v>
      </c>
      <c r="CX312" s="2890"/>
      <c r="CY312" s="2842">
        <f t="shared" si="203"/>
        <v>0</v>
      </c>
      <c r="CZ312" s="2842">
        <f t="shared" si="204"/>
        <v>0</v>
      </c>
    </row>
    <row r="313" spans="1:104">
      <c r="A313" s="6127" t="s">
        <v>1717</v>
      </c>
      <c r="B313" s="6612" t="s">
        <v>1901</v>
      </c>
      <c r="C313" s="6612"/>
      <c r="D313" s="3290">
        <f t="shared" si="188"/>
        <v>0</v>
      </c>
      <c r="E313" s="2975">
        <f t="shared" ref="E313:F336" si="219">SUM(G313++I313+K313+M313+O313+Q313+S313+U313+W313+Y313+AA313+AC313+AE313+AG313+AI313+AK313)</f>
        <v>0</v>
      </c>
      <c r="F313" s="2860">
        <f t="shared" ref="F313:F331" si="220">SUM(H313++J313+L313+N313+P313+R313+T313+V313+X313+Z313+AB313+AD313+AF313+AH313+AJ313+AL313)</f>
        <v>0</v>
      </c>
      <c r="G313" s="3242"/>
      <c r="H313" s="3243"/>
      <c r="I313" s="3242"/>
      <c r="J313" s="3243"/>
      <c r="K313" s="3242"/>
      <c r="L313" s="3243"/>
      <c r="M313" s="3242"/>
      <c r="N313" s="3243"/>
      <c r="O313" s="3242"/>
      <c r="P313" s="3243"/>
      <c r="Q313" s="3242"/>
      <c r="R313" s="3243"/>
      <c r="S313" s="3242"/>
      <c r="T313" s="3243"/>
      <c r="U313" s="3242"/>
      <c r="V313" s="3243"/>
      <c r="W313" s="3242"/>
      <c r="X313" s="3243"/>
      <c r="Y313" s="3242"/>
      <c r="Z313" s="3243"/>
      <c r="AA313" s="3242"/>
      <c r="AB313" s="3243"/>
      <c r="AC313" s="3242"/>
      <c r="AD313" s="3243"/>
      <c r="AE313" s="3242"/>
      <c r="AF313" s="3243"/>
      <c r="AG313" s="3242"/>
      <c r="AH313" s="3243"/>
      <c r="AI313" s="3242"/>
      <c r="AJ313" s="3243"/>
      <c r="AK313" s="3278"/>
      <c r="AL313" s="3249"/>
      <c r="AM313" s="3244"/>
      <c r="AN313" s="3245"/>
      <c r="AO313" s="3242"/>
      <c r="AP313" s="3243"/>
      <c r="AQ313" s="3246"/>
      <c r="AR313" s="3247"/>
      <c r="AS313" s="3248"/>
      <c r="AT313" s="3247"/>
      <c r="AU313" s="3249"/>
      <c r="AV313" s="3228"/>
      <c r="AW313" s="3247"/>
      <c r="AX313" s="3249"/>
      <c r="AY313" t="str">
        <f t="shared" si="191"/>
        <v/>
      </c>
      <c r="CA313" s="2841" t="str">
        <f t="shared" si="192"/>
        <v/>
      </c>
      <c r="CB313" s="2841" t="str">
        <f t="shared" si="193"/>
        <v/>
      </c>
      <c r="CC313" s="2841" t="str">
        <f>IF(AND($D313&gt;0,AO313="")," * No olvide digitar la variable Consultas Pertinentes: Según Procolo de Referencia. Digite cero si no tiene.",IF(AO313&gt;$D313," * La variable Consultas Pertinentes: Según Procolo de Referencia no puede superar el Total Ambos Sexos.",""))</f>
        <v/>
      </c>
      <c r="CD313" s="2841" t="str">
        <f>IF(AND($D313&gt;0,AP313="")," * No olvide digitar la variable Consultas Pertinentes: Según condición clínica. Digite cero si no tiene.",IF(AP313&gt;$D313," * La variable Consultas Pertinentes: Según condición clínica no puede superar el Total Ambos Sexos.",""))</f>
        <v/>
      </c>
      <c r="CE313" s="2841" t="str">
        <f t="shared" si="206"/>
        <v/>
      </c>
      <c r="CF313" s="2841" t="str">
        <f t="shared" si="194"/>
        <v/>
      </c>
      <c r="CG313" s="2890"/>
      <c r="CH313" s="2841" t="str">
        <f t="shared" si="205"/>
        <v/>
      </c>
      <c r="CI313" s="2841" t="str">
        <f t="shared" si="195"/>
        <v/>
      </c>
      <c r="CJ313" s="2890"/>
      <c r="CK313" s="2841" t="str">
        <f t="shared" si="196"/>
        <v/>
      </c>
      <c r="CL313" s="2841" t="str">
        <f t="shared" si="197"/>
        <v/>
      </c>
      <c r="CO313" s="2842">
        <f t="shared" si="198"/>
        <v>0</v>
      </c>
      <c r="CP313" s="2842">
        <f t="shared" si="199"/>
        <v>0</v>
      </c>
      <c r="CQ313" s="2842">
        <f>IF(AND($D313&gt;0,AO313=""),1,IF(AO313&gt;$D313,1,0))</f>
        <v>0</v>
      </c>
      <c r="CR313" s="2842">
        <f t="shared" si="207"/>
        <v>0</v>
      </c>
      <c r="CS313" s="2842">
        <f t="shared" si="209"/>
        <v>0</v>
      </c>
      <c r="CT313" s="2842">
        <f t="shared" si="200"/>
        <v>0</v>
      </c>
      <c r="CU313" s="2890"/>
      <c r="CV313" s="2842">
        <f t="shared" si="201"/>
        <v>0</v>
      </c>
      <c r="CW313" s="2842">
        <f t="shared" si="202"/>
        <v>0</v>
      </c>
      <c r="CX313" s="2890"/>
      <c r="CY313" s="2842">
        <f t="shared" si="203"/>
        <v>0</v>
      </c>
      <c r="CZ313" s="2842">
        <f t="shared" si="204"/>
        <v>0</v>
      </c>
    </row>
    <row r="314" spans="1:104" ht="15" customHeight="1">
      <c r="A314" s="6128"/>
      <c r="B314" s="6573" t="s">
        <v>1902</v>
      </c>
      <c r="C314" s="6573"/>
      <c r="D314" s="3251">
        <f t="shared" si="188"/>
        <v>0</v>
      </c>
      <c r="E314" s="2977">
        <f t="shared" si="219"/>
        <v>0</v>
      </c>
      <c r="F314" s="2984">
        <f t="shared" si="220"/>
        <v>0</v>
      </c>
      <c r="G314" s="2221"/>
      <c r="H314" s="2222"/>
      <c r="I314" s="2221"/>
      <c r="J314" s="2222"/>
      <c r="K314" s="2221"/>
      <c r="L314" s="2222"/>
      <c r="M314" s="2221"/>
      <c r="N314" s="2222"/>
      <c r="O314" s="2221"/>
      <c r="P314" s="2222"/>
      <c r="Q314" s="2221"/>
      <c r="R314" s="2222"/>
      <c r="S314" s="2221"/>
      <c r="T314" s="2222"/>
      <c r="U314" s="2221"/>
      <c r="V314" s="2222"/>
      <c r="W314" s="2221"/>
      <c r="X314" s="2222"/>
      <c r="Y314" s="2221"/>
      <c r="Z314" s="2222"/>
      <c r="AA314" s="2221"/>
      <c r="AB314" s="2222"/>
      <c r="AC314" s="2221"/>
      <c r="AD314" s="2222"/>
      <c r="AE314" s="2221"/>
      <c r="AF314" s="2222"/>
      <c r="AG314" s="2221"/>
      <c r="AH314" s="2222"/>
      <c r="AI314" s="2221"/>
      <c r="AJ314" s="2222"/>
      <c r="AK314" s="2224"/>
      <c r="AL314" s="2193"/>
      <c r="AM314" s="2192"/>
      <c r="AN314" s="3252"/>
      <c r="AO314" s="3227"/>
      <c r="AP314" s="3228"/>
      <c r="AQ314" s="3253"/>
      <c r="AR314" s="3254"/>
      <c r="AS314" s="3248"/>
      <c r="AT314" s="3254"/>
      <c r="AU314" s="2193"/>
      <c r="AV314" s="3228"/>
      <c r="AW314" s="3254"/>
      <c r="AX314" s="2193"/>
      <c r="AY314" t="str">
        <f t="shared" si="191"/>
        <v/>
      </c>
      <c r="CA314" s="2841" t="str">
        <f t="shared" si="192"/>
        <v/>
      </c>
      <c r="CB314" s="2841" t="str">
        <f t="shared" si="193"/>
        <v/>
      </c>
      <c r="CC314" s="2890"/>
      <c r="CD314" s="2890"/>
      <c r="CE314" s="2841" t="str">
        <f t="shared" si="206"/>
        <v/>
      </c>
      <c r="CF314" s="2841" t="str">
        <f t="shared" si="194"/>
        <v/>
      </c>
      <c r="CG314" s="2890"/>
      <c r="CH314" s="2841" t="str">
        <f t="shared" si="205"/>
        <v/>
      </c>
      <c r="CI314" s="2841" t="str">
        <f t="shared" si="195"/>
        <v/>
      </c>
      <c r="CJ314" s="2890"/>
      <c r="CK314" s="2841" t="str">
        <f t="shared" si="196"/>
        <v/>
      </c>
      <c r="CL314" s="2841" t="str">
        <f t="shared" si="197"/>
        <v/>
      </c>
      <c r="CO314" s="2842">
        <f t="shared" si="198"/>
        <v>0</v>
      </c>
      <c r="CP314" s="2842">
        <f t="shared" si="199"/>
        <v>0</v>
      </c>
      <c r="CQ314" s="2890"/>
      <c r="CR314" s="2890"/>
      <c r="CS314" s="2842">
        <f t="shared" si="209"/>
        <v>0</v>
      </c>
      <c r="CT314" s="2842">
        <f t="shared" si="200"/>
        <v>0</v>
      </c>
      <c r="CU314" s="2890"/>
      <c r="CV314" s="2842">
        <f t="shared" si="201"/>
        <v>0</v>
      </c>
      <c r="CW314" s="2842">
        <f t="shared" si="202"/>
        <v>0</v>
      </c>
      <c r="CX314" s="2890"/>
      <c r="CY314" s="2842">
        <f t="shared" si="203"/>
        <v>0</v>
      </c>
      <c r="CZ314" s="2842">
        <f t="shared" si="204"/>
        <v>0</v>
      </c>
    </row>
    <row r="315" spans="1:104" ht="15" customHeight="1">
      <c r="A315" s="6128"/>
      <c r="B315" s="6573" t="s">
        <v>1903</v>
      </c>
      <c r="C315" s="6573"/>
      <c r="D315" s="3251">
        <f t="shared" ref="D315:D336" si="221">SUM(E315+F315)</f>
        <v>0</v>
      </c>
      <c r="E315" s="2977">
        <f t="shared" si="219"/>
        <v>0</v>
      </c>
      <c r="F315" s="2978">
        <f t="shared" si="220"/>
        <v>0</v>
      </c>
      <c r="G315" s="2224"/>
      <c r="H315" s="2222"/>
      <c r="I315" s="2224"/>
      <c r="J315" s="2222"/>
      <c r="K315" s="2224"/>
      <c r="L315" s="2222"/>
      <c r="M315" s="2224"/>
      <c r="N315" s="2222"/>
      <c r="O315" s="2224"/>
      <c r="P315" s="2222"/>
      <c r="Q315" s="2224"/>
      <c r="R315" s="2222"/>
      <c r="S315" s="2224"/>
      <c r="T315" s="2222"/>
      <c r="U315" s="2224"/>
      <c r="V315" s="2222"/>
      <c r="W315" s="2224"/>
      <c r="X315" s="2222"/>
      <c r="Y315" s="2224"/>
      <c r="Z315" s="2222"/>
      <c r="AA315" s="2224"/>
      <c r="AB315" s="2222"/>
      <c r="AC315" s="2224"/>
      <c r="AD315" s="2222"/>
      <c r="AE315" s="2224"/>
      <c r="AF315" s="2222"/>
      <c r="AG315" s="2224"/>
      <c r="AH315" s="2222"/>
      <c r="AI315" s="2224"/>
      <c r="AJ315" s="2222"/>
      <c r="AK315" s="2224"/>
      <c r="AL315" s="2193"/>
      <c r="AM315" s="2192"/>
      <c r="AN315" s="3252"/>
      <c r="AO315" s="3227"/>
      <c r="AP315" s="3228"/>
      <c r="AQ315" s="3229"/>
      <c r="AR315" s="3254"/>
      <c r="AS315" s="3248"/>
      <c r="AT315" s="3254"/>
      <c r="AU315" s="2193"/>
      <c r="AV315" s="3228"/>
      <c r="AW315" s="3254"/>
      <c r="AX315" s="2193"/>
      <c r="AY315" t="str">
        <f t="shared" ref="AY315:AY330" si="222">CA315&amp;CB315&amp;CC315&amp;CD315&amp;CE315&amp;CF315&amp;CG315&amp;CH315&amp;CI315&amp;CJ315&amp;CK315&amp;CL315</f>
        <v/>
      </c>
      <c r="CA315" s="2841" t="str">
        <f t="shared" ref="CA315:CA330" si="223">IF(AND($F315&gt;0,AM315="")," * No olvide digitar la variable Gestante. Digite cero si no tiene.",IF(AM315&gt;$F315," * La variable Gestante no puede superar el Total Mujeres.",""))</f>
        <v/>
      </c>
      <c r="CB315" s="2841" t="str">
        <f t="shared" ref="CB315:CB330" si="224">IF(AND(AG315+AH315&gt;0,AN315="")," * No olvide digitar la variable 60 años (incluido en grupos de 60-64 años). Digite Cero si no tiene.",IF(AN315&gt;AG315+AH315," * La variable 60 años (incluido en grupos de 60-64 años) no puede superar la suma del Grupo 60-64 años.",""))</f>
        <v/>
      </c>
      <c r="CC315" s="2890"/>
      <c r="CD315" s="2890"/>
      <c r="CE315" s="2890"/>
      <c r="CF315" s="2841" t="str">
        <f t="shared" ref="CF315:CF330" si="225">IF(AND($D315&gt;0,AR315="")," * No olvide digitar la variable Compra de Servicio. Digite Cero si no tiene.","")</f>
        <v/>
      </c>
      <c r="CG315" s="2890"/>
      <c r="CH315" s="2841" t="str">
        <f t="shared" si="205"/>
        <v/>
      </c>
      <c r="CI315" s="2841" t="str">
        <f t="shared" ref="CI315:CI330" si="226">IF(AND($D315&gt;0,AU315="")," * No olvide digitar la variable Usuarios Oncológicos. Digite Cero si no tiene.",IF(AU315&gt;$D315," * La variable Usuarios Oncológicos no puede superar el Total Ambos Sexos.",""))</f>
        <v/>
      </c>
      <c r="CJ315" s="2890"/>
      <c r="CK315" s="2841" t="str">
        <f t="shared" ref="CK315:CK330" si="227">IF(AND($D315&gt;0,AW315="")," * No olvide digitar la variable Migrantes. Digite Cero si no tiene.",IF(AW315&gt;$D315," * La variable Migrantes no puede superar el Total Ambos Sexos.",""))</f>
        <v/>
      </c>
      <c r="CL315" s="2841" t="str">
        <f t="shared" ref="CL315:CL330" si="228">IF(AND($D315&gt;0,AX315=""),"  * No olvide digitar la variable Pueblo Originario. Digite Cero si no tiene.",IF(AX315&gt;$D315," * La variable Pueblo Originario no puede superar el Total Ambos Sexos.",""))</f>
        <v/>
      </c>
      <c r="CO315" s="2842">
        <f t="shared" ref="CO315:CO330" si="229">IF(AND($F315&gt;0,AM315=""),1,IF(AM315&gt;$F315,1,0))</f>
        <v>0</v>
      </c>
      <c r="CP315" s="2842">
        <f t="shared" ref="CP315:CP330" si="230">IF(AND(AG315+AH315&gt;0,AN315=""),1,IF(AN315&gt;AG315+AH315,1,0))</f>
        <v>0</v>
      </c>
      <c r="CQ315" s="2890"/>
      <c r="CR315" s="2890"/>
      <c r="CS315" s="2890"/>
      <c r="CT315" s="2842">
        <f t="shared" ref="CT315:CT330" si="231">IF(AND($D315&gt;0,AR315=""),1,0)</f>
        <v>0</v>
      </c>
      <c r="CU315" s="2890"/>
      <c r="CV315" s="2842">
        <f t="shared" ref="CV315:CV330" si="232">IF(AND($D315&gt;0,AT315=""),1,IF(AT315&gt;$D315,1,0))</f>
        <v>0</v>
      </c>
      <c r="CW315" s="2842">
        <f t="shared" ref="CW315:CW330" si="233">IF(AND($D315&gt;0,AU315=""),1,IF(AU315&gt;$D315,1,0))</f>
        <v>0</v>
      </c>
      <c r="CX315" s="2890"/>
      <c r="CY315" s="2842">
        <f t="shared" ref="CY315:CY330" si="234">IF(AND($D315&gt;0,AW315=""),1,IF(AW315&gt;$D315,1,0))</f>
        <v>0</v>
      </c>
      <c r="CZ315" s="2842">
        <f t="shared" ref="CZ315:CZ330" si="235">IF(AND($D315&gt;0,AX315=""),1,IF(AX315&gt;$D315,1,0))</f>
        <v>0</v>
      </c>
    </row>
    <row r="316" spans="1:104" ht="15" customHeight="1">
      <c r="A316" s="6128"/>
      <c r="B316" s="6565" t="s">
        <v>1904</v>
      </c>
      <c r="C316" s="6567"/>
      <c r="D316" s="3251">
        <f t="shared" si="221"/>
        <v>0</v>
      </c>
      <c r="E316" s="2977">
        <f t="shared" si="219"/>
        <v>0</v>
      </c>
      <c r="F316" s="2978">
        <f t="shared" si="220"/>
        <v>0</v>
      </c>
      <c r="G316" s="3257"/>
      <c r="H316" s="3256"/>
      <c r="I316" s="3257"/>
      <c r="J316" s="3256"/>
      <c r="K316" s="3257"/>
      <c r="L316" s="3256"/>
      <c r="M316" s="3257"/>
      <c r="N316" s="3256"/>
      <c r="O316" s="3257"/>
      <c r="P316" s="3256"/>
      <c r="Q316" s="3257"/>
      <c r="R316" s="3256"/>
      <c r="S316" s="3257"/>
      <c r="T316" s="3256"/>
      <c r="U316" s="3257"/>
      <c r="V316" s="3256"/>
      <c r="W316" s="3257"/>
      <c r="X316" s="3256"/>
      <c r="Y316" s="3257"/>
      <c r="Z316" s="3256"/>
      <c r="AA316" s="3257"/>
      <c r="AB316" s="3256"/>
      <c r="AC316" s="3257"/>
      <c r="AD316" s="3256"/>
      <c r="AE316" s="3257"/>
      <c r="AF316" s="3256"/>
      <c r="AG316" s="3257"/>
      <c r="AH316" s="3256"/>
      <c r="AI316" s="3257"/>
      <c r="AJ316" s="3256"/>
      <c r="AK316" s="3257"/>
      <c r="AL316" s="3258"/>
      <c r="AM316" s="3259"/>
      <c r="AN316" s="3260"/>
      <c r="AO316" s="3227"/>
      <c r="AP316" s="3228"/>
      <c r="AQ316" s="3229"/>
      <c r="AR316" s="3261"/>
      <c r="AS316" s="3248"/>
      <c r="AT316" s="3261"/>
      <c r="AU316" s="3258"/>
      <c r="AV316" s="2193"/>
      <c r="AW316" s="3261"/>
      <c r="AX316" s="3258"/>
      <c r="AY316" t="str">
        <f t="shared" si="222"/>
        <v/>
      </c>
      <c r="CA316" s="2841" t="str">
        <f t="shared" si="223"/>
        <v/>
      </c>
      <c r="CB316" s="2841" t="str">
        <f t="shared" si="224"/>
        <v/>
      </c>
      <c r="CC316" s="2890"/>
      <c r="CD316" s="2890"/>
      <c r="CE316" s="2890"/>
      <c r="CF316" s="2841" t="str">
        <f t="shared" si="225"/>
        <v/>
      </c>
      <c r="CG316" s="2890"/>
      <c r="CH316" s="2841" t="str">
        <f t="shared" ref="CH316:CH329" si="236">IF(AND($D316&gt;0,AT316="")," * No olvide digitar la variable Usuarios con Discapacidad. Digite Cero si no tiene.",IF(AT316&gt;$D316," * La variable Usuarios con Discapacidad no puede superar el Total Ambos Sexos.",""))</f>
        <v/>
      </c>
      <c r="CI316" s="2841" t="str">
        <f t="shared" si="226"/>
        <v/>
      </c>
      <c r="CJ316" s="2841" t="str">
        <f>IF(AND($D316&gt;0,AV316="")," * No olvide digitar la variable Contrarreferencia al alta. Digite Cero si no tiene.",IF(AV316&gt;$D316," * La variable Contrarreferencia al alta no puede superar el Total Ambos Sexos.",""))</f>
        <v/>
      </c>
      <c r="CK316" s="2841" t="str">
        <f t="shared" si="227"/>
        <v/>
      </c>
      <c r="CL316" s="2841" t="str">
        <f t="shared" si="228"/>
        <v/>
      </c>
      <c r="CO316" s="2842">
        <f t="shared" si="229"/>
        <v>0</v>
      </c>
      <c r="CP316" s="2842">
        <f t="shared" si="230"/>
        <v>0</v>
      </c>
      <c r="CQ316" s="2890"/>
      <c r="CR316" s="2890"/>
      <c r="CS316" s="2890"/>
      <c r="CT316" s="2842">
        <f t="shared" si="231"/>
        <v>0</v>
      </c>
      <c r="CU316" s="2890"/>
      <c r="CV316" s="2842">
        <f t="shared" si="232"/>
        <v>0</v>
      </c>
      <c r="CW316" s="2842">
        <f t="shared" si="233"/>
        <v>0</v>
      </c>
      <c r="CX316" s="2842">
        <f>IF(AND($D316&gt;0,AV316=""),1,IF(AV316&gt;$D316,1,0))</f>
        <v>0</v>
      </c>
      <c r="CY316" s="2842">
        <f t="shared" si="234"/>
        <v>0</v>
      </c>
      <c r="CZ316" s="2842">
        <f t="shared" si="235"/>
        <v>0</v>
      </c>
    </row>
    <row r="317" spans="1:104" ht="15" customHeight="1">
      <c r="A317" s="6128"/>
      <c r="B317" s="6565" t="s">
        <v>1905</v>
      </c>
      <c r="C317" s="6567"/>
      <c r="D317" s="3251">
        <f t="shared" si="221"/>
        <v>0</v>
      </c>
      <c r="E317" s="2977">
        <f t="shared" si="219"/>
        <v>0</v>
      </c>
      <c r="F317" s="2978">
        <f t="shared" si="220"/>
        <v>0</v>
      </c>
      <c r="G317" s="3257"/>
      <c r="H317" s="3256"/>
      <c r="I317" s="3257"/>
      <c r="J317" s="3256"/>
      <c r="K317" s="3257"/>
      <c r="L317" s="3256"/>
      <c r="M317" s="3257"/>
      <c r="N317" s="3256"/>
      <c r="O317" s="3257"/>
      <c r="P317" s="3256"/>
      <c r="Q317" s="3257"/>
      <c r="R317" s="3256"/>
      <c r="S317" s="3257"/>
      <c r="T317" s="3256"/>
      <c r="U317" s="3257"/>
      <c r="V317" s="3256"/>
      <c r="W317" s="3257"/>
      <c r="X317" s="3258"/>
      <c r="Y317" s="3257"/>
      <c r="Z317" s="3258"/>
      <c r="AA317" s="3257"/>
      <c r="AB317" s="3258"/>
      <c r="AC317" s="3257"/>
      <c r="AD317" s="3258"/>
      <c r="AE317" s="3257"/>
      <c r="AF317" s="3258"/>
      <c r="AG317" s="3257"/>
      <c r="AH317" s="3258"/>
      <c r="AI317" s="3257"/>
      <c r="AJ317" s="3258"/>
      <c r="AK317" s="3257"/>
      <c r="AL317" s="3258"/>
      <c r="AM317" s="3259"/>
      <c r="AN317" s="3260"/>
      <c r="AO317" s="3262"/>
      <c r="AP317" s="3263"/>
      <c r="AQ317" s="3264"/>
      <c r="AR317" s="3261"/>
      <c r="AS317" s="3265"/>
      <c r="AT317" s="3261"/>
      <c r="AU317" s="3258"/>
      <c r="AV317" s="3263"/>
      <c r="AW317" s="3261"/>
      <c r="AX317" s="3258"/>
      <c r="AY317" t="str">
        <f t="shared" si="222"/>
        <v/>
      </c>
      <c r="CA317" s="2841" t="str">
        <f t="shared" si="223"/>
        <v/>
      </c>
      <c r="CB317" s="2841" t="str">
        <f t="shared" si="224"/>
        <v/>
      </c>
      <c r="CC317" s="2890"/>
      <c r="CD317" s="2890"/>
      <c r="CE317" s="2890"/>
      <c r="CF317" s="2841" t="str">
        <f t="shared" si="225"/>
        <v/>
      </c>
      <c r="CG317" s="2890"/>
      <c r="CH317" s="2841" t="str">
        <f t="shared" si="236"/>
        <v/>
      </c>
      <c r="CI317" s="2841" t="str">
        <f t="shared" si="226"/>
        <v/>
      </c>
      <c r="CJ317" s="2890"/>
      <c r="CK317" s="2841" t="str">
        <f t="shared" si="227"/>
        <v/>
      </c>
      <c r="CL317" s="2841" t="str">
        <f t="shared" si="228"/>
        <v/>
      </c>
      <c r="CO317" s="2842">
        <f t="shared" si="229"/>
        <v>0</v>
      </c>
      <c r="CP317" s="2842">
        <f t="shared" si="230"/>
        <v>0</v>
      </c>
      <c r="CQ317" s="2890"/>
      <c r="CR317" s="2890"/>
      <c r="CS317" s="2890"/>
      <c r="CT317" s="2842">
        <f t="shared" si="231"/>
        <v>0</v>
      </c>
      <c r="CU317" s="2890"/>
      <c r="CV317" s="2842">
        <f t="shared" si="232"/>
        <v>0</v>
      </c>
      <c r="CW317" s="2842">
        <f t="shared" si="233"/>
        <v>0</v>
      </c>
      <c r="CX317" s="2890"/>
      <c r="CY317" s="2842">
        <f t="shared" si="234"/>
        <v>0</v>
      </c>
      <c r="CZ317" s="2842">
        <f t="shared" si="235"/>
        <v>0</v>
      </c>
    </row>
    <row r="318" spans="1:104" ht="15" customHeight="1">
      <c r="A318" s="6129"/>
      <c r="B318" s="6577" t="s">
        <v>1906</v>
      </c>
      <c r="C318" s="6577"/>
      <c r="D318" s="3198">
        <f t="shared" si="221"/>
        <v>0</v>
      </c>
      <c r="E318" s="2933">
        <f t="shared" si="219"/>
        <v>0</v>
      </c>
      <c r="F318" s="2875">
        <f t="shared" si="220"/>
        <v>0</v>
      </c>
      <c r="G318" s="3234"/>
      <c r="H318" s="3235"/>
      <c r="I318" s="3234"/>
      <c r="J318" s="3235"/>
      <c r="K318" s="3234"/>
      <c r="L318" s="3235"/>
      <c r="M318" s="3234"/>
      <c r="N318" s="3235"/>
      <c r="O318" s="3234"/>
      <c r="P318" s="3235"/>
      <c r="Q318" s="3234"/>
      <c r="R318" s="3235"/>
      <c r="S318" s="3234"/>
      <c r="T318" s="3235"/>
      <c r="U318" s="3234"/>
      <c r="V318" s="3235"/>
      <c r="W318" s="3236"/>
      <c r="X318" s="2196"/>
      <c r="Y318" s="3236"/>
      <c r="Z318" s="2196"/>
      <c r="AA318" s="3236"/>
      <c r="AB318" s="2196"/>
      <c r="AC318" s="3236"/>
      <c r="AD318" s="2196"/>
      <c r="AE318" s="3236"/>
      <c r="AF318" s="2196"/>
      <c r="AG318" s="3236"/>
      <c r="AH318" s="2196"/>
      <c r="AI318" s="3236"/>
      <c r="AJ318" s="2196"/>
      <c r="AK318" s="3236"/>
      <c r="AL318" s="2196"/>
      <c r="AM318" s="2195"/>
      <c r="AN318" s="3237"/>
      <c r="AO318" s="3266"/>
      <c r="AP318" s="3238"/>
      <c r="AQ318" s="3267"/>
      <c r="AR318" s="3239"/>
      <c r="AS318" s="3240"/>
      <c r="AT318" s="3239"/>
      <c r="AU318" s="2196"/>
      <c r="AV318" s="3238"/>
      <c r="AW318" s="3239"/>
      <c r="AX318" s="2196"/>
      <c r="AY318" t="str">
        <f t="shared" si="222"/>
        <v/>
      </c>
      <c r="CA318" s="2841" t="str">
        <f t="shared" si="223"/>
        <v/>
      </c>
      <c r="CB318" s="2841" t="str">
        <f t="shared" si="224"/>
        <v/>
      </c>
      <c r="CC318" s="2890"/>
      <c r="CD318" s="2890"/>
      <c r="CE318" s="2890"/>
      <c r="CF318" s="2841" t="str">
        <f t="shared" si="225"/>
        <v/>
      </c>
      <c r="CG318" s="2890"/>
      <c r="CH318" s="2841" t="str">
        <f t="shared" si="236"/>
        <v/>
      </c>
      <c r="CI318" s="2841" t="str">
        <f t="shared" si="226"/>
        <v/>
      </c>
      <c r="CJ318" s="2890"/>
      <c r="CK318" s="2841" t="str">
        <f t="shared" si="227"/>
        <v/>
      </c>
      <c r="CL318" s="2841" t="str">
        <f t="shared" si="228"/>
        <v/>
      </c>
      <c r="CO318" s="2842">
        <f t="shared" si="229"/>
        <v>0</v>
      </c>
      <c r="CP318" s="2842">
        <f t="shared" si="230"/>
        <v>0</v>
      </c>
      <c r="CQ318" s="2890"/>
      <c r="CR318" s="2890"/>
      <c r="CS318" s="2890"/>
      <c r="CT318" s="2842">
        <f t="shared" si="231"/>
        <v>0</v>
      </c>
      <c r="CU318" s="2890"/>
      <c r="CV318" s="2842">
        <f t="shared" si="232"/>
        <v>0</v>
      </c>
      <c r="CW318" s="2842">
        <f t="shared" si="233"/>
        <v>0</v>
      </c>
      <c r="CX318" s="2890"/>
      <c r="CY318" s="2842">
        <f t="shared" si="234"/>
        <v>0</v>
      </c>
      <c r="CZ318" s="2842">
        <f t="shared" si="235"/>
        <v>0</v>
      </c>
    </row>
    <row r="319" spans="1:104" ht="18" customHeight="1">
      <c r="A319" s="6130" t="s">
        <v>1719</v>
      </c>
      <c r="B319" s="6580" t="s">
        <v>1901</v>
      </c>
      <c r="C319" s="6580"/>
      <c r="D319" s="1988">
        <f t="shared" si="221"/>
        <v>0</v>
      </c>
      <c r="E319" s="2975">
        <f t="shared" si="219"/>
        <v>0</v>
      </c>
      <c r="F319" s="2860">
        <f t="shared" si="220"/>
        <v>0</v>
      </c>
      <c r="G319" s="3268"/>
      <c r="H319" s="3269"/>
      <c r="I319" s="3268"/>
      <c r="J319" s="3269"/>
      <c r="K319" s="3268"/>
      <c r="L319" s="3269"/>
      <c r="M319" s="3268"/>
      <c r="N319" s="3269"/>
      <c r="O319" s="3268"/>
      <c r="P319" s="3269"/>
      <c r="Q319" s="3268"/>
      <c r="R319" s="3269"/>
      <c r="S319" s="3268"/>
      <c r="T319" s="3269"/>
      <c r="U319" s="3268"/>
      <c r="V319" s="3269"/>
      <c r="W319" s="3242"/>
      <c r="X319" s="3243"/>
      <c r="Y319" s="3242"/>
      <c r="Z319" s="3243"/>
      <c r="AA319" s="3242"/>
      <c r="AB319" s="3243"/>
      <c r="AC319" s="3242"/>
      <c r="AD319" s="3243"/>
      <c r="AE319" s="3242"/>
      <c r="AF319" s="3243"/>
      <c r="AG319" s="3242"/>
      <c r="AH319" s="3243"/>
      <c r="AI319" s="3242"/>
      <c r="AJ319" s="3243"/>
      <c r="AK319" s="3268"/>
      <c r="AL319" s="3319"/>
      <c r="AM319" s="3320"/>
      <c r="AN319" s="3321"/>
      <c r="AO319" s="3268"/>
      <c r="AP319" s="3322"/>
      <c r="AQ319" s="3246"/>
      <c r="AR319" s="3230"/>
      <c r="AS319" s="3248"/>
      <c r="AT319" s="3230"/>
      <c r="AU319" s="2177"/>
      <c r="AV319" s="3228"/>
      <c r="AW319" s="3230"/>
      <c r="AX319" s="2177"/>
      <c r="AY319" t="str">
        <f t="shared" si="222"/>
        <v/>
      </c>
      <c r="CA319" s="2841" t="str">
        <f t="shared" si="223"/>
        <v/>
      </c>
      <c r="CB319" s="2841" t="str">
        <f t="shared" si="224"/>
        <v/>
      </c>
      <c r="CC319" s="2841" t="str">
        <f>IF(AND($D319&gt;0,AO319="")," * No olvide digitar la variable Consultas Pertinentes: Según Procolo de Referencia. Digite cero si no tiene.",IF(AO319&gt;$D319," * La variable Consultas Pertinentes: Según Procolo de Referencia no puede superar el Total Ambos Sexos.",""))</f>
        <v/>
      </c>
      <c r="CD319" s="2841" t="str">
        <f>IF(AND($D319&gt;0,AP319="")," * No olvide digitar la variable Consultas Pertinentes: Según condición clínica. Digite cero si no tiene.",IF(AP319&gt;$D319," * La variable Consultas Pertinentes: Según condición clínica no puede superar el Total Ambos Sexos.",""))</f>
        <v/>
      </c>
      <c r="CE319" s="2841" t="str">
        <f t="shared" ref="CE319:CE330" si="237">IF(AND($D319&gt;0,AQ319="")," * No olvide digitar la variable Inasistente. Digite cero si no tiene.",IF(AQ319&gt;$D319," * La variable Insasistente no puede superar el Total Ambos Sexos.",""))</f>
        <v/>
      </c>
      <c r="CF319" s="2841" t="str">
        <f t="shared" si="225"/>
        <v/>
      </c>
      <c r="CG319" s="2890"/>
      <c r="CH319" s="2841" t="str">
        <f t="shared" si="236"/>
        <v/>
      </c>
      <c r="CI319" s="2841" t="str">
        <f t="shared" si="226"/>
        <v/>
      </c>
      <c r="CJ319" s="2890"/>
      <c r="CK319" s="2841" t="str">
        <f t="shared" si="227"/>
        <v/>
      </c>
      <c r="CL319" s="2841" t="str">
        <f t="shared" si="228"/>
        <v/>
      </c>
      <c r="CO319" s="2842">
        <f t="shared" si="229"/>
        <v>0</v>
      </c>
      <c r="CP319" s="2842">
        <f t="shared" si="230"/>
        <v>0</v>
      </c>
      <c r="CQ319" s="2842">
        <f>IF(AND($D319&gt;0,AO319=""),1,IF(AO319&gt;$D319,1,0))</f>
        <v>0</v>
      </c>
      <c r="CR319" s="2842">
        <f t="shared" ref="CR319:CR330" si="238">IF(AND($D319&gt;0,AP319=""),1,IF(AP319&gt;$D319,1,0))</f>
        <v>0</v>
      </c>
      <c r="CS319" s="2842">
        <f t="shared" si="209"/>
        <v>0</v>
      </c>
      <c r="CT319" s="2842">
        <f t="shared" si="231"/>
        <v>0</v>
      </c>
      <c r="CU319" s="2890"/>
      <c r="CV319" s="2842">
        <f t="shared" si="232"/>
        <v>0</v>
      </c>
      <c r="CW319" s="2842">
        <f t="shared" si="233"/>
        <v>0</v>
      </c>
      <c r="CX319" s="2890"/>
      <c r="CY319" s="2842">
        <f t="shared" si="234"/>
        <v>0</v>
      </c>
      <c r="CZ319" s="2842">
        <f t="shared" si="235"/>
        <v>0</v>
      </c>
    </row>
    <row r="320" spans="1:104">
      <c r="A320" s="6131"/>
      <c r="B320" s="6573" t="s">
        <v>1902</v>
      </c>
      <c r="C320" s="6573"/>
      <c r="D320" s="1991">
        <f t="shared" si="221"/>
        <v>0</v>
      </c>
      <c r="E320" s="2977">
        <f t="shared" si="219"/>
        <v>0</v>
      </c>
      <c r="F320" s="2984">
        <f t="shared" si="220"/>
        <v>0</v>
      </c>
      <c r="G320" s="3270"/>
      <c r="H320" s="3271"/>
      <c r="I320" s="3270"/>
      <c r="J320" s="3271"/>
      <c r="K320" s="3270"/>
      <c r="L320" s="3271"/>
      <c r="M320" s="3270"/>
      <c r="N320" s="3271"/>
      <c r="O320" s="3270"/>
      <c r="P320" s="3271"/>
      <c r="Q320" s="3270"/>
      <c r="R320" s="3271"/>
      <c r="S320" s="3270"/>
      <c r="T320" s="3271"/>
      <c r="U320" s="3270"/>
      <c r="V320" s="3271"/>
      <c r="W320" s="2221"/>
      <c r="X320" s="2222"/>
      <c r="Y320" s="2221"/>
      <c r="Z320" s="2222"/>
      <c r="AA320" s="2221"/>
      <c r="AB320" s="2222"/>
      <c r="AC320" s="2221"/>
      <c r="AD320" s="2222"/>
      <c r="AE320" s="2221"/>
      <c r="AF320" s="2222"/>
      <c r="AG320" s="2221"/>
      <c r="AH320" s="2222"/>
      <c r="AI320" s="2221"/>
      <c r="AJ320" s="2222"/>
      <c r="AK320" s="3270"/>
      <c r="AL320" s="3323"/>
      <c r="AM320" s="3324"/>
      <c r="AN320" s="3325"/>
      <c r="AO320" s="3227"/>
      <c r="AP320" s="3228"/>
      <c r="AQ320" s="3253"/>
      <c r="AR320" s="3254"/>
      <c r="AS320" s="3248"/>
      <c r="AT320" s="3254"/>
      <c r="AU320" s="2193"/>
      <c r="AV320" s="3228"/>
      <c r="AW320" s="3254"/>
      <c r="AX320" s="2193"/>
      <c r="AY320" t="str">
        <f t="shared" si="222"/>
        <v/>
      </c>
      <c r="CA320" s="2841" t="str">
        <f t="shared" si="223"/>
        <v/>
      </c>
      <c r="CB320" s="2841" t="str">
        <f t="shared" si="224"/>
        <v/>
      </c>
      <c r="CC320" s="2890"/>
      <c r="CD320" s="2890"/>
      <c r="CE320" s="2841" t="str">
        <f t="shared" si="237"/>
        <v/>
      </c>
      <c r="CF320" s="2841" t="str">
        <f t="shared" si="225"/>
        <v/>
      </c>
      <c r="CG320" s="2890"/>
      <c r="CH320" s="2841" t="str">
        <f t="shared" si="236"/>
        <v/>
      </c>
      <c r="CI320" s="2841" t="str">
        <f t="shared" si="226"/>
        <v/>
      </c>
      <c r="CJ320" s="2890"/>
      <c r="CK320" s="2841" t="str">
        <f t="shared" si="227"/>
        <v/>
      </c>
      <c r="CL320" s="2841" t="str">
        <f t="shared" si="228"/>
        <v/>
      </c>
      <c r="CO320" s="2842">
        <f t="shared" si="229"/>
        <v>0</v>
      </c>
      <c r="CP320" s="2842">
        <f t="shared" si="230"/>
        <v>0</v>
      </c>
      <c r="CQ320" s="2890"/>
      <c r="CR320" s="2890"/>
      <c r="CS320" s="2842">
        <f t="shared" si="209"/>
        <v>0</v>
      </c>
      <c r="CT320" s="2842">
        <f t="shared" si="231"/>
        <v>0</v>
      </c>
      <c r="CU320" s="2890"/>
      <c r="CV320" s="2842">
        <f t="shared" si="232"/>
        <v>0</v>
      </c>
      <c r="CW320" s="2842">
        <f t="shared" si="233"/>
        <v>0</v>
      </c>
      <c r="CX320" s="2890"/>
      <c r="CY320" s="2842">
        <f t="shared" si="234"/>
        <v>0</v>
      </c>
      <c r="CZ320" s="2842">
        <f t="shared" si="235"/>
        <v>0</v>
      </c>
    </row>
    <row r="321" spans="1:104" ht="15" customHeight="1">
      <c r="A321" s="6131"/>
      <c r="B321" s="6573" t="s">
        <v>1903</v>
      </c>
      <c r="C321" s="6573"/>
      <c r="D321" s="1991">
        <f t="shared" si="221"/>
        <v>0</v>
      </c>
      <c r="E321" s="2977">
        <f t="shared" si="219"/>
        <v>0</v>
      </c>
      <c r="F321" s="2984">
        <f t="shared" si="220"/>
        <v>0</v>
      </c>
      <c r="G321" s="3270"/>
      <c r="H321" s="3271"/>
      <c r="I321" s="3270"/>
      <c r="J321" s="3271"/>
      <c r="K321" s="3270"/>
      <c r="L321" s="3271"/>
      <c r="M321" s="3270"/>
      <c r="N321" s="3271"/>
      <c r="O321" s="3270"/>
      <c r="P321" s="3271"/>
      <c r="Q321" s="3270"/>
      <c r="R321" s="3271"/>
      <c r="S321" s="3270"/>
      <c r="T321" s="3271"/>
      <c r="U321" s="3270"/>
      <c r="V321" s="3271"/>
      <c r="W321" s="2224"/>
      <c r="X321" s="2222"/>
      <c r="Y321" s="2224"/>
      <c r="Z321" s="2222"/>
      <c r="AA321" s="2224"/>
      <c r="AB321" s="2222"/>
      <c r="AC321" s="2224"/>
      <c r="AD321" s="2222"/>
      <c r="AE321" s="2224"/>
      <c r="AF321" s="2222"/>
      <c r="AG321" s="2224"/>
      <c r="AH321" s="2222"/>
      <c r="AI321" s="2224"/>
      <c r="AJ321" s="2222"/>
      <c r="AK321" s="3270"/>
      <c r="AL321" s="3323"/>
      <c r="AM321" s="3324"/>
      <c r="AN321" s="3325"/>
      <c r="AO321" s="3227"/>
      <c r="AP321" s="3228"/>
      <c r="AQ321" s="3229"/>
      <c r="AR321" s="3254"/>
      <c r="AS321" s="3248"/>
      <c r="AT321" s="3254"/>
      <c r="AU321" s="2193"/>
      <c r="AV321" s="3228"/>
      <c r="AW321" s="3254"/>
      <c r="AX321" s="2193"/>
      <c r="AY321" t="str">
        <f t="shared" si="222"/>
        <v/>
      </c>
      <c r="CA321" s="2841" t="str">
        <f t="shared" si="223"/>
        <v/>
      </c>
      <c r="CB321" s="2841" t="str">
        <f t="shared" si="224"/>
        <v/>
      </c>
      <c r="CC321" s="2890"/>
      <c r="CD321" s="2890"/>
      <c r="CE321" s="2890"/>
      <c r="CF321" s="2841" t="str">
        <f t="shared" si="225"/>
        <v/>
      </c>
      <c r="CG321" s="2890"/>
      <c r="CH321" s="2841" t="str">
        <f t="shared" si="236"/>
        <v/>
      </c>
      <c r="CI321" s="2841" t="str">
        <f t="shared" si="226"/>
        <v/>
      </c>
      <c r="CJ321" s="2890"/>
      <c r="CK321" s="2841" t="str">
        <f t="shared" si="227"/>
        <v/>
      </c>
      <c r="CL321" s="2841" t="str">
        <f t="shared" si="228"/>
        <v/>
      </c>
      <c r="CO321" s="2842">
        <f t="shared" si="229"/>
        <v>0</v>
      </c>
      <c r="CP321" s="2842">
        <f t="shared" si="230"/>
        <v>0</v>
      </c>
      <c r="CQ321" s="2890"/>
      <c r="CR321" s="2890"/>
      <c r="CS321" s="2890"/>
      <c r="CT321" s="2842">
        <f t="shared" si="231"/>
        <v>0</v>
      </c>
      <c r="CU321" s="2890"/>
      <c r="CV321" s="2842">
        <f t="shared" si="232"/>
        <v>0</v>
      </c>
      <c r="CW321" s="2842">
        <f t="shared" si="233"/>
        <v>0</v>
      </c>
      <c r="CX321" s="2890"/>
      <c r="CY321" s="2842">
        <f t="shared" si="234"/>
        <v>0</v>
      </c>
      <c r="CZ321" s="2842">
        <f t="shared" si="235"/>
        <v>0</v>
      </c>
    </row>
    <row r="322" spans="1:104" ht="15" customHeight="1">
      <c r="A322" s="6131"/>
      <c r="B322" s="6565" t="s">
        <v>1904</v>
      </c>
      <c r="C322" s="6567"/>
      <c r="D322" s="1991">
        <f t="shared" si="221"/>
        <v>0</v>
      </c>
      <c r="E322" s="2977">
        <f t="shared" si="219"/>
        <v>0</v>
      </c>
      <c r="F322" s="2984">
        <f t="shared" si="220"/>
        <v>0</v>
      </c>
      <c r="G322" s="3272"/>
      <c r="H322" s="3273"/>
      <c r="I322" s="3272"/>
      <c r="J322" s="3273"/>
      <c r="K322" s="3272"/>
      <c r="L322" s="3273"/>
      <c r="M322" s="3272"/>
      <c r="N322" s="3273"/>
      <c r="O322" s="3272"/>
      <c r="P322" s="3273"/>
      <c r="Q322" s="3272"/>
      <c r="R322" s="3273"/>
      <c r="S322" s="3272"/>
      <c r="T322" s="3273"/>
      <c r="U322" s="3272"/>
      <c r="V322" s="3273"/>
      <c r="W322" s="3257"/>
      <c r="X322" s="3256"/>
      <c r="Y322" s="3257"/>
      <c r="Z322" s="3256"/>
      <c r="AA322" s="3257"/>
      <c r="AB322" s="3256"/>
      <c r="AC322" s="3257"/>
      <c r="AD322" s="3256"/>
      <c r="AE322" s="3257"/>
      <c r="AF322" s="3256"/>
      <c r="AG322" s="3257"/>
      <c r="AH322" s="3256"/>
      <c r="AI322" s="3257"/>
      <c r="AJ322" s="3256"/>
      <c r="AK322" s="3272"/>
      <c r="AL322" s="3326"/>
      <c r="AM322" s="3327"/>
      <c r="AN322" s="3328"/>
      <c r="AO322" s="3227"/>
      <c r="AP322" s="3228"/>
      <c r="AQ322" s="3229"/>
      <c r="AR322" s="3329"/>
      <c r="AS322" s="3248"/>
      <c r="AT322" s="3329"/>
      <c r="AU322" s="3330"/>
      <c r="AV322" s="2193"/>
      <c r="AW322" s="3329"/>
      <c r="AX322" s="3330"/>
      <c r="AY322" t="str">
        <f t="shared" si="222"/>
        <v/>
      </c>
      <c r="CA322" s="2841" t="str">
        <f t="shared" si="223"/>
        <v/>
      </c>
      <c r="CB322" s="2841" t="str">
        <f t="shared" si="224"/>
        <v/>
      </c>
      <c r="CC322" s="2890"/>
      <c r="CD322" s="2890"/>
      <c r="CE322" s="2890"/>
      <c r="CF322" s="2841" t="str">
        <f t="shared" si="225"/>
        <v/>
      </c>
      <c r="CG322" s="2890"/>
      <c r="CH322" s="2841" t="str">
        <f t="shared" si="236"/>
        <v/>
      </c>
      <c r="CI322" s="2841" t="str">
        <f t="shared" si="226"/>
        <v/>
      </c>
      <c r="CJ322" s="2841" t="str">
        <f>IF(AND($D322&gt;0,AV322="")," * No olvide digitar la variable Contrarreferencia al alta. Digite Cero si no tiene.",IF(AV322&gt;$D322," * La variable Contrarreferencia al alta no puede superar el Total Ambos Sexos.",""))</f>
        <v/>
      </c>
      <c r="CK322" s="2841" t="str">
        <f t="shared" si="227"/>
        <v/>
      </c>
      <c r="CL322" s="2841" t="str">
        <f t="shared" si="228"/>
        <v/>
      </c>
      <c r="CO322" s="2842">
        <f t="shared" si="229"/>
        <v>0</v>
      </c>
      <c r="CP322" s="2842">
        <f t="shared" si="230"/>
        <v>0</v>
      </c>
      <c r="CQ322" s="2890"/>
      <c r="CR322" s="2890"/>
      <c r="CS322" s="2890"/>
      <c r="CT322" s="2842">
        <f t="shared" si="231"/>
        <v>0</v>
      </c>
      <c r="CU322" s="2890"/>
      <c r="CV322" s="2842">
        <f t="shared" si="232"/>
        <v>0</v>
      </c>
      <c r="CW322" s="2842">
        <f t="shared" si="233"/>
        <v>0</v>
      </c>
      <c r="CX322" s="2842">
        <f>IF(AND($D322&gt;0,AV322=""),1,IF(AV322&gt;$D322,1,0))</f>
        <v>0</v>
      </c>
      <c r="CY322" s="2842">
        <f t="shared" si="234"/>
        <v>0</v>
      </c>
      <c r="CZ322" s="2842">
        <f t="shared" si="235"/>
        <v>0</v>
      </c>
    </row>
    <row r="323" spans="1:104" ht="15" customHeight="1">
      <c r="A323" s="6131"/>
      <c r="B323" s="6565" t="s">
        <v>1905</v>
      </c>
      <c r="C323" s="6567"/>
      <c r="D323" s="1991">
        <f t="shared" si="221"/>
        <v>0</v>
      </c>
      <c r="E323" s="2977">
        <f t="shared" si="219"/>
        <v>0</v>
      </c>
      <c r="F323" s="2984">
        <f t="shared" si="220"/>
        <v>0</v>
      </c>
      <c r="G323" s="3272"/>
      <c r="H323" s="3273"/>
      <c r="I323" s="3272"/>
      <c r="J323" s="3273"/>
      <c r="K323" s="3272"/>
      <c r="L323" s="3273"/>
      <c r="M323" s="3272"/>
      <c r="N323" s="3273"/>
      <c r="O323" s="3272"/>
      <c r="P323" s="3273"/>
      <c r="Q323" s="3272"/>
      <c r="R323" s="3273"/>
      <c r="S323" s="3272"/>
      <c r="T323" s="3273"/>
      <c r="U323" s="3272"/>
      <c r="V323" s="3273"/>
      <c r="W323" s="3331"/>
      <c r="X323" s="3273"/>
      <c r="Y323" s="3331"/>
      <c r="Z323" s="3273"/>
      <c r="AA323" s="3331"/>
      <c r="AB323" s="3273"/>
      <c r="AC323" s="3331"/>
      <c r="AD323" s="3273"/>
      <c r="AE323" s="3331"/>
      <c r="AF323" s="3273"/>
      <c r="AG323" s="3331"/>
      <c r="AH323" s="3273"/>
      <c r="AI323" s="3331"/>
      <c r="AJ323" s="3273"/>
      <c r="AK323" s="3272"/>
      <c r="AL323" s="3326"/>
      <c r="AM323" s="3332"/>
      <c r="AN323" s="3333"/>
      <c r="AO323" s="3262"/>
      <c r="AP323" s="3263"/>
      <c r="AQ323" s="3264"/>
      <c r="AR323" s="3334"/>
      <c r="AS323" s="3265"/>
      <c r="AT323" s="3334"/>
      <c r="AU323" s="3335"/>
      <c r="AV323" s="3263"/>
      <c r="AW323" s="3334"/>
      <c r="AX323" s="3335"/>
      <c r="AY323" t="str">
        <f t="shared" si="222"/>
        <v/>
      </c>
      <c r="CA323" s="2841" t="str">
        <f t="shared" si="223"/>
        <v/>
      </c>
      <c r="CB323" s="2841" t="str">
        <f t="shared" si="224"/>
        <v/>
      </c>
      <c r="CC323" s="2890"/>
      <c r="CD323" s="2890"/>
      <c r="CE323" s="2890"/>
      <c r="CF323" s="2841" t="str">
        <f t="shared" si="225"/>
        <v/>
      </c>
      <c r="CG323" s="2890"/>
      <c r="CH323" s="2841" t="str">
        <f t="shared" si="236"/>
        <v/>
      </c>
      <c r="CI323" s="2841" t="str">
        <f t="shared" si="226"/>
        <v/>
      </c>
      <c r="CJ323" s="2890"/>
      <c r="CK323" s="2841" t="str">
        <f t="shared" si="227"/>
        <v/>
      </c>
      <c r="CL323" s="2841" t="str">
        <f t="shared" si="228"/>
        <v/>
      </c>
      <c r="CO323" s="2842">
        <f t="shared" si="229"/>
        <v>0</v>
      </c>
      <c r="CP323" s="2842">
        <f t="shared" si="230"/>
        <v>0</v>
      </c>
      <c r="CQ323" s="2890"/>
      <c r="CR323" s="2890"/>
      <c r="CS323" s="2890"/>
      <c r="CT323" s="2842">
        <f t="shared" si="231"/>
        <v>0</v>
      </c>
      <c r="CU323" s="2890"/>
      <c r="CV323" s="2842">
        <f t="shared" si="232"/>
        <v>0</v>
      </c>
      <c r="CW323" s="2842">
        <f t="shared" si="233"/>
        <v>0</v>
      </c>
      <c r="CX323" s="2890"/>
      <c r="CY323" s="2842">
        <f t="shared" si="234"/>
        <v>0</v>
      </c>
      <c r="CZ323" s="2842">
        <f t="shared" si="235"/>
        <v>0</v>
      </c>
    </row>
    <row r="324" spans="1:104" ht="15" customHeight="1">
      <c r="A324" s="6132"/>
      <c r="B324" s="6577" t="s">
        <v>1906</v>
      </c>
      <c r="C324" s="6577"/>
      <c r="D324" s="1928">
        <f t="shared" si="221"/>
        <v>0</v>
      </c>
      <c r="E324" s="2954">
        <f t="shared" si="219"/>
        <v>0</v>
      </c>
      <c r="F324" s="2955">
        <f t="shared" si="220"/>
        <v>0</v>
      </c>
      <c r="G324" s="3274"/>
      <c r="H324" s="3275"/>
      <c r="I324" s="3274"/>
      <c r="J324" s="3275"/>
      <c r="K324" s="3274"/>
      <c r="L324" s="3275"/>
      <c r="M324" s="3274"/>
      <c r="N324" s="3275"/>
      <c r="O324" s="3274"/>
      <c r="P324" s="3275"/>
      <c r="Q324" s="3274"/>
      <c r="R324" s="3275"/>
      <c r="S324" s="3274"/>
      <c r="T324" s="3275"/>
      <c r="U324" s="3274"/>
      <c r="V324" s="3275"/>
      <c r="W324" s="3274"/>
      <c r="X324" s="3275"/>
      <c r="Y324" s="3274"/>
      <c r="Z324" s="3275"/>
      <c r="AA324" s="3274"/>
      <c r="AB324" s="3275"/>
      <c r="AC324" s="3274"/>
      <c r="AD324" s="3275"/>
      <c r="AE324" s="3274"/>
      <c r="AF324" s="3275"/>
      <c r="AG324" s="3274"/>
      <c r="AH324" s="3275"/>
      <c r="AI324" s="3274"/>
      <c r="AJ324" s="3275"/>
      <c r="AK324" s="3274"/>
      <c r="AL324" s="3336"/>
      <c r="AM324" s="3236"/>
      <c r="AN324" s="3237"/>
      <c r="AO324" s="3266"/>
      <c r="AP324" s="3238"/>
      <c r="AQ324" s="3267"/>
      <c r="AR324" s="3239"/>
      <c r="AS324" s="3240"/>
      <c r="AT324" s="3239"/>
      <c r="AU324" s="2196"/>
      <c r="AV324" s="3238"/>
      <c r="AW324" s="3239"/>
      <c r="AX324" s="2196"/>
      <c r="AY324" t="str">
        <f t="shared" si="222"/>
        <v/>
      </c>
      <c r="CA324" s="2841" t="str">
        <f t="shared" si="223"/>
        <v/>
      </c>
      <c r="CB324" s="2841" t="str">
        <f t="shared" si="224"/>
        <v/>
      </c>
      <c r="CC324" s="2890"/>
      <c r="CD324" s="2890"/>
      <c r="CE324" s="2890"/>
      <c r="CF324" s="2841" t="str">
        <f t="shared" si="225"/>
        <v/>
      </c>
      <c r="CG324" s="2890"/>
      <c r="CH324" s="2841" t="str">
        <f t="shared" si="236"/>
        <v/>
      </c>
      <c r="CI324" s="2841" t="str">
        <f t="shared" si="226"/>
        <v/>
      </c>
      <c r="CJ324" s="2890"/>
      <c r="CK324" s="2841" t="str">
        <f t="shared" si="227"/>
        <v/>
      </c>
      <c r="CL324" s="2841" t="str">
        <f t="shared" si="228"/>
        <v/>
      </c>
      <c r="CO324" s="2842">
        <f t="shared" si="229"/>
        <v>0</v>
      </c>
      <c r="CP324" s="2842">
        <f t="shared" si="230"/>
        <v>0</v>
      </c>
      <c r="CQ324" s="2890"/>
      <c r="CR324" s="2890"/>
      <c r="CS324" s="2890"/>
      <c r="CT324" s="2842">
        <f t="shared" si="231"/>
        <v>0</v>
      </c>
      <c r="CU324" s="2890"/>
      <c r="CV324" s="2842">
        <f t="shared" si="232"/>
        <v>0</v>
      </c>
      <c r="CW324" s="2842">
        <f t="shared" si="233"/>
        <v>0</v>
      </c>
      <c r="CX324" s="2890"/>
      <c r="CY324" s="2842">
        <f t="shared" si="234"/>
        <v>0</v>
      </c>
      <c r="CZ324" s="2842">
        <f t="shared" si="235"/>
        <v>0</v>
      </c>
    </row>
    <row r="325" spans="1:104" ht="15" customHeight="1">
      <c r="A325" s="6205" t="s">
        <v>1913</v>
      </c>
      <c r="B325" s="6580" t="s">
        <v>1901</v>
      </c>
      <c r="C325" s="6580"/>
      <c r="D325" s="1988">
        <f t="shared" si="221"/>
        <v>0</v>
      </c>
      <c r="E325" s="2975">
        <f t="shared" si="219"/>
        <v>0</v>
      </c>
      <c r="F325" s="2860">
        <f t="shared" si="220"/>
        <v>0</v>
      </c>
      <c r="G325" s="3268"/>
      <c r="H325" s="3269"/>
      <c r="I325" s="3268"/>
      <c r="J325" s="3269"/>
      <c r="K325" s="3268"/>
      <c r="L325" s="3269"/>
      <c r="M325" s="3268"/>
      <c r="N325" s="3269"/>
      <c r="O325" s="3268"/>
      <c r="P325" s="3269"/>
      <c r="Q325" s="3268"/>
      <c r="R325" s="3269"/>
      <c r="S325" s="3268"/>
      <c r="T325" s="3269"/>
      <c r="U325" s="3268"/>
      <c r="V325" s="3269"/>
      <c r="W325" s="3242"/>
      <c r="X325" s="3243"/>
      <c r="Y325" s="3242"/>
      <c r="Z325" s="3243"/>
      <c r="AA325" s="3242"/>
      <c r="AB325" s="3243"/>
      <c r="AC325" s="3242"/>
      <c r="AD325" s="3243"/>
      <c r="AE325" s="3242"/>
      <c r="AF325" s="3243"/>
      <c r="AG325" s="3242"/>
      <c r="AH325" s="3243"/>
      <c r="AI325" s="3242"/>
      <c r="AJ325" s="3243"/>
      <c r="AK325" s="3268"/>
      <c r="AL325" s="3319"/>
      <c r="AM325" s="3320"/>
      <c r="AN325" s="3269"/>
      <c r="AO325" s="3278"/>
      <c r="AP325" s="2217"/>
      <c r="AQ325" s="3253"/>
      <c r="AR325" s="3230"/>
      <c r="AS325" s="3248"/>
      <c r="AT325" s="3230"/>
      <c r="AU325" s="2177"/>
      <c r="AV325" s="3228"/>
      <c r="AW325" s="3230"/>
      <c r="AX325" s="2177"/>
      <c r="AY325" t="str">
        <f t="shared" si="222"/>
        <v/>
      </c>
      <c r="CA325" s="2841" t="str">
        <f t="shared" si="223"/>
        <v/>
      </c>
      <c r="CB325" s="2841" t="str">
        <f t="shared" si="224"/>
        <v/>
      </c>
      <c r="CC325" s="2841" t="str">
        <f t="shared" ref="CC325:CC330" si="239">IF(AND($D325&gt;0,AO325="")," * No olvide digitar la variable Consultas Pertinentes: Según Procolo de Referencia. Digite cero si no tiene.",IF(AO325&gt;$D325," * La variable Consultas Pertinentes: Según Procolo de Referencia no puede superar el Total Ambos Sexos.",""))</f>
        <v/>
      </c>
      <c r="CD325" s="2841" t="str">
        <f t="shared" ref="CD325:CD330" si="240">IF(AND($D325&gt;0,AP325="")," * No olvide digitar la variable Consultas Pertinentes: Según condición clínica. Digite cero si no tiene.",IF(AP325&gt;$D325," * La variable Consultas Pertinentes: Según condición clínica no puede superar el Total Ambos Sexos.",""))</f>
        <v/>
      </c>
      <c r="CE325" s="2841" t="str">
        <f t="shared" si="237"/>
        <v/>
      </c>
      <c r="CF325" s="2841" t="str">
        <f t="shared" si="225"/>
        <v/>
      </c>
      <c r="CG325" s="2890"/>
      <c r="CH325" s="2841" t="str">
        <f t="shared" si="236"/>
        <v/>
      </c>
      <c r="CI325" s="2841" t="str">
        <f t="shared" si="226"/>
        <v/>
      </c>
      <c r="CJ325" s="2890"/>
      <c r="CK325" s="2841" t="str">
        <f t="shared" si="227"/>
        <v/>
      </c>
      <c r="CL325" s="2841" t="str">
        <f t="shared" si="228"/>
        <v/>
      </c>
      <c r="CO325" s="2842">
        <f t="shared" si="229"/>
        <v>0</v>
      </c>
      <c r="CP325" s="2842">
        <f t="shared" si="230"/>
        <v>0</v>
      </c>
      <c r="CQ325" s="2842">
        <f t="shared" ref="CQ325:CQ330" si="241">IF(AND($D325&gt;0,AO325=""),1,IF(AO325&gt;$D325,1,0))</f>
        <v>0</v>
      </c>
      <c r="CR325" s="2842">
        <f t="shared" si="238"/>
        <v>0</v>
      </c>
      <c r="CS325" s="2842">
        <f t="shared" ref="CS325:CS330" si="242">IF(AND($D325&gt;0,AQ325=""),1,IF(AQ325&gt;$D325,1,0))</f>
        <v>0</v>
      </c>
      <c r="CT325" s="2842">
        <f t="shared" si="231"/>
        <v>0</v>
      </c>
      <c r="CU325" s="2890"/>
      <c r="CV325" s="2842">
        <f t="shared" si="232"/>
        <v>0</v>
      </c>
      <c r="CW325" s="2842">
        <f t="shared" si="233"/>
        <v>0</v>
      </c>
      <c r="CX325" s="2890"/>
      <c r="CY325" s="2842">
        <f t="shared" si="234"/>
        <v>0</v>
      </c>
      <c r="CZ325" s="2842">
        <f t="shared" si="235"/>
        <v>0</v>
      </c>
    </row>
    <row r="326" spans="1:104" ht="15" customHeight="1">
      <c r="A326" s="6205"/>
      <c r="B326" s="6573" t="s">
        <v>1902</v>
      </c>
      <c r="C326" s="6573"/>
      <c r="D326" s="1991">
        <f t="shared" si="221"/>
        <v>0</v>
      </c>
      <c r="E326" s="2977">
        <f t="shared" si="219"/>
        <v>0</v>
      </c>
      <c r="F326" s="2984">
        <f t="shared" si="220"/>
        <v>0</v>
      </c>
      <c r="G326" s="3270"/>
      <c r="H326" s="3271"/>
      <c r="I326" s="3270"/>
      <c r="J326" s="3271"/>
      <c r="K326" s="3270"/>
      <c r="L326" s="3271"/>
      <c r="M326" s="3270"/>
      <c r="N326" s="3271"/>
      <c r="O326" s="3270"/>
      <c r="P326" s="3271"/>
      <c r="Q326" s="3270"/>
      <c r="R326" s="3271"/>
      <c r="S326" s="3270"/>
      <c r="T326" s="3271"/>
      <c r="U326" s="3270"/>
      <c r="V326" s="3271"/>
      <c r="W326" s="2221"/>
      <c r="X326" s="2222"/>
      <c r="Y326" s="2221"/>
      <c r="Z326" s="2222"/>
      <c r="AA326" s="2221"/>
      <c r="AB326" s="2222"/>
      <c r="AC326" s="2221"/>
      <c r="AD326" s="2222"/>
      <c r="AE326" s="2221"/>
      <c r="AF326" s="2222"/>
      <c r="AG326" s="2221"/>
      <c r="AH326" s="2222"/>
      <c r="AI326" s="2221"/>
      <c r="AJ326" s="2222"/>
      <c r="AK326" s="3270"/>
      <c r="AL326" s="3323"/>
      <c r="AM326" s="3324"/>
      <c r="AN326" s="3271"/>
      <c r="AO326" s="2224"/>
      <c r="AP326" s="2222"/>
      <c r="AQ326" s="3337"/>
      <c r="AR326" s="3254"/>
      <c r="AS326" s="3248"/>
      <c r="AT326" s="3254"/>
      <c r="AU326" s="2193"/>
      <c r="AV326" s="3228"/>
      <c r="AW326" s="3254"/>
      <c r="AX326" s="2193"/>
      <c r="AY326" t="str">
        <f t="shared" si="222"/>
        <v/>
      </c>
      <c r="CA326" s="2841" t="str">
        <f t="shared" si="223"/>
        <v/>
      </c>
      <c r="CB326" s="2841" t="str">
        <f t="shared" si="224"/>
        <v/>
      </c>
      <c r="CC326" s="2841" t="str">
        <f t="shared" si="239"/>
        <v/>
      </c>
      <c r="CD326" s="2841" t="str">
        <f t="shared" si="240"/>
        <v/>
      </c>
      <c r="CE326" s="2841" t="str">
        <f t="shared" si="237"/>
        <v/>
      </c>
      <c r="CF326" s="2841" t="str">
        <f t="shared" si="225"/>
        <v/>
      </c>
      <c r="CG326" s="2890"/>
      <c r="CH326" s="2841" t="str">
        <f t="shared" si="236"/>
        <v/>
      </c>
      <c r="CI326" s="2841" t="str">
        <f t="shared" si="226"/>
        <v/>
      </c>
      <c r="CJ326" s="2890"/>
      <c r="CK326" s="2841" t="str">
        <f t="shared" si="227"/>
        <v/>
      </c>
      <c r="CL326" s="2841" t="str">
        <f t="shared" si="228"/>
        <v/>
      </c>
      <c r="CO326" s="2842">
        <f t="shared" si="229"/>
        <v>0</v>
      </c>
      <c r="CP326" s="2842">
        <f t="shared" si="230"/>
        <v>0</v>
      </c>
      <c r="CQ326" s="2842">
        <f t="shared" si="241"/>
        <v>0</v>
      </c>
      <c r="CR326" s="2842">
        <f t="shared" si="238"/>
        <v>0</v>
      </c>
      <c r="CS326" s="2842">
        <f t="shared" si="242"/>
        <v>0</v>
      </c>
      <c r="CT326" s="2842">
        <f t="shared" si="231"/>
        <v>0</v>
      </c>
      <c r="CU326" s="2890"/>
      <c r="CV326" s="2842">
        <f t="shared" si="232"/>
        <v>0</v>
      </c>
      <c r="CW326" s="2842">
        <f t="shared" si="233"/>
        <v>0</v>
      </c>
      <c r="CX326" s="2890"/>
      <c r="CY326" s="2842">
        <f t="shared" si="234"/>
        <v>0</v>
      </c>
      <c r="CZ326" s="2842">
        <f t="shared" si="235"/>
        <v>0</v>
      </c>
    </row>
    <row r="327" spans="1:104" ht="15" customHeight="1">
      <c r="A327" s="6205"/>
      <c r="B327" s="6573" t="s">
        <v>1903</v>
      </c>
      <c r="C327" s="6573"/>
      <c r="D327" s="1991">
        <f t="shared" si="221"/>
        <v>0</v>
      </c>
      <c r="E327" s="2977">
        <f t="shared" si="219"/>
        <v>0</v>
      </c>
      <c r="F327" s="2984">
        <f t="shared" si="220"/>
        <v>0</v>
      </c>
      <c r="G327" s="3270"/>
      <c r="H327" s="3271"/>
      <c r="I327" s="3270"/>
      <c r="J327" s="3271"/>
      <c r="K327" s="3270"/>
      <c r="L327" s="3271"/>
      <c r="M327" s="3270"/>
      <c r="N327" s="3271"/>
      <c r="O327" s="3270"/>
      <c r="P327" s="3271"/>
      <c r="Q327" s="3270"/>
      <c r="R327" s="3271"/>
      <c r="S327" s="3270"/>
      <c r="T327" s="3271"/>
      <c r="U327" s="3270"/>
      <c r="V327" s="3271"/>
      <c r="W327" s="2224"/>
      <c r="X327" s="2222"/>
      <c r="Y327" s="2224"/>
      <c r="Z327" s="2222"/>
      <c r="AA327" s="2224"/>
      <c r="AB327" s="2222"/>
      <c r="AC327" s="2224"/>
      <c r="AD327" s="2222"/>
      <c r="AE327" s="2224"/>
      <c r="AF327" s="2222"/>
      <c r="AG327" s="2224"/>
      <c r="AH327" s="2222"/>
      <c r="AI327" s="2224"/>
      <c r="AJ327" s="2222"/>
      <c r="AK327" s="3270"/>
      <c r="AL327" s="3323"/>
      <c r="AM327" s="3324"/>
      <c r="AN327" s="3271"/>
      <c r="AO327" s="2224"/>
      <c r="AP327" s="2222"/>
      <c r="AQ327" s="3337"/>
      <c r="AR327" s="3254"/>
      <c r="AS327" s="3248"/>
      <c r="AT327" s="3254"/>
      <c r="AU327" s="2193"/>
      <c r="AV327" s="3228"/>
      <c r="AW327" s="3254"/>
      <c r="AX327" s="2193"/>
      <c r="AY327" t="str">
        <f t="shared" si="222"/>
        <v/>
      </c>
      <c r="CA327" s="2841" t="str">
        <f t="shared" si="223"/>
        <v/>
      </c>
      <c r="CB327" s="2841" t="str">
        <f t="shared" si="224"/>
        <v/>
      </c>
      <c r="CC327" s="2841" t="str">
        <f t="shared" si="239"/>
        <v/>
      </c>
      <c r="CD327" s="2841" t="str">
        <f t="shared" si="240"/>
        <v/>
      </c>
      <c r="CE327" s="2841" t="str">
        <f t="shared" si="237"/>
        <v/>
      </c>
      <c r="CF327" s="2841" t="str">
        <f t="shared" si="225"/>
        <v/>
      </c>
      <c r="CG327" s="2890"/>
      <c r="CH327" s="2841" t="str">
        <f t="shared" si="236"/>
        <v/>
      </c>
      <c r="CI327" s="2841" t="str">
        <f t="shared" si="226"/>
        <v/>
      </c>
      <c r="CJ327" s="2890"/>
      <c r="CK327" s="2841" t="str">
        <f t="shared" si="227"/>
        <v/>
      </c>
      <c r="CL327" s="2841" t="str">
        <f t="shared" si="228"/>
        <v/>
      </c>
      <c r="CO327" s="2842">
        <f t="shared" si="229"/>
        <v>0</v>
      </c>
      <c r="CP327" s="2842">
        <f t="shared" si="230"/>
        <v>0</v>
      </c>
      <c r="CQ327" s="2842">
        <f t="shared" si="241"/>
        <v>0</v>
      </c>
      <c r="CR327" s="2842">
        <f t="shared" si="238"/>
        <v>0</v>
      </c>
      <c r="CS327" s="2842">
        <f t="shared" si="242"/>
        <v>0</v>
      </c>
      <c r="CT327" s="2842">
        <f t="shared" si="231"/>
        <v>0</v>
      </c>
      <c r="CU327" s="2890"/>
      <c r="CV327" s="2842">
        <f t="shared" si="232"/>
        <v>0</v>
      </c>
      <c r="CW327" s="2842">
        <f t="shared" si="233"/>
        <v>0</v>
      </c>
      <c r="CX327" s="2890"/>
      <c r="CY327" s="2842">
        <f t="shared" si="234"/>
        <v>0</v>
      </c>
      <c r="CZ327" s="2842">
        <f t="shared" si="235"/>
        <v>0</v>
      </c>
    </row>
    <row r="328" spans="1:104" ht="15" customHeight="1">
      <c r="A328" s="6205"/>
      <c r="B328" s="6565" t="s">
        <v>1904</v>
      </c>
      <c r="C328" s="6567"/>
      <c r="D328" s="1991">
        <f t="shared" si="221"/>
        <v>0</v>
      </c>
      <c r="E328" s="2977">
        <f t="shared" si="219"/>
        <v>0</v>
      </c>
      <c r="F328" s="2984">
        <f t="shared" si="220"/>
        <v>0</v>
      </c>
      <c r="G328" s="3272"/>
      <c r="H328" s="3273"/>
      <c r="I328" s="3272"/>
      <c r="J328" s="3273"/>
      <c r="K328" s="3272"/>
      <c r="L328" s="3273"/>
      <c r="M328" s="3272"/>
      <c r="N328" s="3273"/>
      <c r="O328" s="3272"/>
      <c r="P328" s="3273"/>
      <c r="Q328" s="3272"/>
      <c r="R328" s="3273"/>
      <c r="S328" s="3272"/>
      <c r="T328" s="3273"/>
      <c r="U328" s="3272"/>
      <c r="V328" s="3273"/>
      <c r="W328" s="3257"/>
      <c r="X328" s="3256"/>
      <c r="Y328" s="3257"/>
      <c r="Z328" s="3256"/>
      <c r="AA328" s="3257"/>
      <c r="AB328" s="3256"/>
      <c r="AC328" s="3257"/>
      <c r="AD328" s="3256"/>
      <c r="AE328" s="3257"/>
      <c r="AF328" s="3256"/>
      <c r="AG328" s="3257"/>
      <c r="AH328" s="3256"/>
      <c r="AI328" s="3257"/>
      <c r="AJ328" s="3256"/>
      <c r="AK328" s="3272"/>
      <c r="AL328" s="3326"/>
      <c r="AM328" s="3327"/>
      <c r="AN328" s="3338"/>
      <c r="AO328" s="3257"/>
      <c r="AP328" s="3256"/>
      <c r="AQ328" s="3339"/>
      <c r="AR328" s="3329"/>
      <c r="AS328" s="3248"/>
      <c r="AT328" s="3329"/>
      <c r="AU328" s="3330"/>
      <c r="AV328" s="2193"/>
      <c r="AW328" s="3329"/>
      <c r="AX328" s="3330"/>
      <c r="AY328" t="str">
        <f t="shared" si="222"/>
        <v/>
      </c>
      <c r="CA328" s="2841" t="str">
        <f t="shared" si="223"/>
        <v/>
      </c>
      <c r="CB328" s="2841" t="str">
        <f t="shared" si="224"/>
        <v/>
      </c>
      <c r="CC328" s="2841" t="str">
        <f t="shared" si="239"/>
        <v/>
      </c>
      <c r="CD328" s="2841" t="str">
        <f t="shared" si="240"/>
        <v/>
      </c>
      <c r="CE328" s="2841" t="str">
        <f t="shared" si="237"/>
        <v/>
      </c>
      <c r="CF328" s="2841" t="str">
        <f t="shared" si="225"/>
        <v/>
      </c>
      <c r="CG328" s="2890"/>
      <c r="CH328" s="2841" t="str">
        <f t="shared" si="236"/>
        <v/>
      </c>
      <c r="CI328" s="2841" t="str">
        <f t="shared" si="226"/>
        <v/>
      </c>
      <c r="CJ328" s="2841" t="str">
        <f>IF(AND($D328&gt;0,AV328="")," * No olvide digitar la variable Contrarreferencia al alta. Digite Cero si no tiene.",IF(AV328&gt;$D328," * La variable Contrarreferencia al alta no puede superar el Total Ambos Sexos.",""))</f>
        <v/>
      </c>
      <c r="CK328" s="2841" t="str">
        <f t="shared" si="227"/>
        <v/>
      </c>
      <c r="CL328" s="2841" t="str">
        <f t="shared" si="228"/>
        <v/>
      </c>
      <c r="CO328" s="2842">
        <f t="shared" si="229"/>
        <v>0</v>
      </c>
      <c r="CP328" s="2842">
        <f t="shared" si="230"/>
        <v>0</v>
      </c>
      <c r="CQ328" s="2842">
        <f t="shared" si="241"/>
        <v>0</v>
      </c>
      <c r="CR328" s="2842">
        <f t="shared" si="238"/>
        <v>0</v>
      </c>
      <c r="CS328" s="2842">
        <f t="shared" si="242"/>
        <v>0</v>
      </c>
      <c r="CT328" s="2842">
        <f t="shared" si="231"/>
        <v>0</v>
      </c>
      <c r="CU328" s="2890"/>
      <c r="CV328" s="2842">
        <f t="shared" si="232"/>
        <v>0</v>
      </c>
      <c r="CW328" s="2842">
        <f t="shared" si="233"/>
        <v>0</v>
      </c>
      <c r="CX328" s="2842">
        <f>IF(AND($D328&gt;0,AV328=""),1,IF(AV328&gt;$D328,1,0))</f>
        <v>0</v>
      </c>
      <c r="CY328" s="2842">
        <f t="shared" si="234"/>
        <v>0</v>
      </c>
      <c r="CZ328" s="2842">
        <f t="shared" si="235"/>
        <v>0</v>
      </c>
    </row>
    <row r="329" spans="1:104" ht="15" customHeight="1">
      <c r="A329" s="6205"/>
      <c r="B329" s="6565" t="s">
        <v>1905</v>
      </c>
      <c r="C329" s="6567"/>
      <c r="D329" s="1991">
        <f t="shared" si="221"/>
        <v>0</v>
      </c>
      <c r="E329" s="2977">
        <f t="shared" si="219"/>
        <v>0</v>
      </c>
      <c r="F329" s="2984">
        <f t="shared" si="220"/>
        <v>0</v>
      </c>
      <c r="G329" s="3272"/>
      <c r="H329" s="3273"/>
      <c r="I329" s="3331"/>
      <c r="J329" s="3273"/>
      <c r="K329" s="3331"/>
      <c r="L329" s="3273"/>
      <c r="M329" s="3331"/>
      <c r="N329" s="3273"/>
      <c r="O329" s="3331"/>
      <c r="P329" s="3273"/>
      <c r="Q329" s="3331"/>
      <c r="R329" s="3273"/>
      <c r="S329" s="3331"/>
      <c r="T329" s="3273"/>
      <c r="U329" s="3331"/>
      <c r="V329" s="3273"/>
      <c r="W329" s="3331"/>
      <c r="X329" s="3273"/>
      <c r="Y329" s="3331"/>
      <c r="Z329" s="3273"/>
      <c r="AA329" s="3331"/>
      <c r="AB329" s="3273"/>
      <c r="AC329" s="3331"/>
      <c r="AD329" s="3273"/>
      <c r="AE329" s="3331"/>
      <c r="AF329" s="3273"/>
      <c r="AG329" s="3331"/>
      <c r="AH329" s="3273"/>
      <c r="AI329" s="3331"/>
      <c r="AJ329" s="3273"/>
      <c r="AK329" s="3272"/>
      <c r="AL329" s="3326"/>
      <c r="AM329" s="3332"/>
      <c r="AN329" s="3340"/>
      <c r="AO329" s="3257"/>
      <c r="AP329" s="3256"/>
      <c r="AQ329" s="3339"/>
      <c r="AR329" s="3334"/>
      <c r="AS329" s="3265"/>
      <c r="AT329" s="3334"/>
      <c r="AU329" s="3335"/>
      <c r="AV329" s="3263"/>
      <c r="AW329" s="3334"/>
      <c r="AX329" s="3335"/>
      <c r="AY329" t="str">
        <f t="shared" si="222"/>
        <v/>
      </c>
      <c r="CA329" s="2841" t="str">
        <f t="shared" si="223"/>
        <v/>
      </c>
      <c r="CB329" s="2841" t="str">
        <f t="shared" si="224"/>
        <v/>
      </c>
      <c r="CC329" s="2841" t="str">
        <f t="shared" si="239"/>
        <v/>
      </c>
      <c r="CD329" s="2841" t="str">
        <f t="shared" si="240"/>
        <v/>
      </c>
      <c r="CE329" s="2841" t="str">
        <f t="shared" si="237"/>
        <v/>
      </c>
      <c r="CF329" s="2841" t="str">
        <f t="shared" si="225"/>
        <v/>
      </c>
      <c r="CG329" s="2890"/>
      <c r="CH329" s="2841" t="str">
        <f t="shared" si="236"/>
        <v/>
      </c>
      <c r="CI329" s="2841" t="str">
        <f t="shared" si="226"/>
        <v/>
      </c>
      <c r="CJ329" s="2890"/>
      <c r="CK329" s="2841" t="str">
        <f t="shared" si="227"/>
        <v/>
      </c>
      <c r="CL329" s="2841" t="str">
        <f t="shared" si="228"/>
        <v/>
      </c>
      <c r="CO329" s="2842">
        <f t="shared" si="229"/>
        <v>0</v>
      </c>
      <c r="CP329" s="2842">
        <f t="shared" si="230"/>
        <v>0</v>
      </c>
      <c r="CQ329" s="2842">
        <f t="shared" si="241"/>
        <v>0</v>
      </c>
      <c r="CR329" s="2842">
        <f t="shared" si="238"/>
        <v>0</v>
      </c>
      <c r="CS329" s="2842">
        <f t="shared" si="242"/>
        <v>0</v>
      </c>
      <c r="CT329" s="2842">
        <f t="shared" si="231"/>
        <v>0</v>
      </c>
      <c r="CU329" s="2890"/>
      <c r="CV329" s="2842">
        <f t="shared" si="232"/>
        <v>0</v>
      </c>
      <c r="CW329" s="2842">
        <f t="shared" si="233"/>
        <v>0</v>
      </c>
      <c r="CX329" s="2890"/>
      <c r="CY329" s="2842">
        <f t="shared" si="234"/>
        <v>0</v>
      </c>
      <c r="CZ329" s="2842">
        <f t="shared" si="235"/>
        <v>0</v>
      </c>
    </row>
    <row r="330" spans="1:104" ht="15" customHeight="1">
      <c r="A330" s="6205"/>
      <c r="B330" s="6577" t="s">
        <v>1906</v>
      </c>
      <c r="C330" s="6577"/>
      <c r="D330" s="1928">
        <f t="shared" si="221"/>
        <v>0</v>
      </c>
      <c r="E330" s="2954">
        <f t="shared" si="219"/>
        <v>0</v>
      </c>
      <c r="F330" s="2955">
        <f t="shared" si="220"/>
        <v>0</v>
      </c>
      <c r="G330" s="3274"/>
      <c r="H330" s="3275"/>
      <c r="I330" s="3341"/>
      <c r="J330" s="3275"/>
      <c r="K330" s="3341"/>
      <c r="L330" s="3275"/>
      <c r="M330" s="3341"/>
      <c r="N330" s="3275"/>
      <c r="O330" s="3341"/>
      <c r="P330" s="3275"/>
      <c r="Q330" s="3341"/>
      <c r="R330" s="3275"/>
      <c r="S330" s="3274"/>
      <c r="T330" s="3275"/>
      <c r="U330" s="3274"/>
      <c r="V330" s="3275"/>
      <c r="W330" s="3274"/>
      <c r="X330" s="3275"/>
      <c r="Y330" s="3274"/>
      <c r="Z330" s="3275"/>
      <c r="AA330" s="3274"/>
      <c r="AB330" s="3275"/>
      <c r="AC330" s="3274"/>
      <c r="AD330" s="3275"/>
      <c r="AE330" s="3274"/>
      <c r="AF330" s="3275"/>
      <c r="AG330" s="3274"/>
      <c r="AH330" s="3275"/>
      <c r="AI330" s="3274"/>
      <c r="AJ330" s="3275"/>
      <c r="AK330" s="3274"/>
      <c r="AL330" s="3336"/>
      <c r="AM330" s="3236"/>
      <c r="AN330" s="3235"/>
      <c r="AO330" s="3236"/>
      <c r="AP330" s="3235"/>
      <c r="AQ330" s="3342"/>
      <c r="AR330" s="3239"/>
      <c r="AS330" s="3240"/>
      <c r="AT330" s="3239"/>
      <c r="AU330" s="2196"/>
      <c r="AV330" s="3238"/>
      <c r="AW330" s="3239"/>
      <c r="AX330" s="2196"/>
      <c r="AY330" t="str">
        <f t="shared" si="222"/>
        <v/>
      </c>
      <c r="CA330" s="2841" t="str">
        <f t="shared" si="223"/>
        <v/>
      </c>
      <c r="CB330" s="2841" t="str">
        <f t="shared" si="224"/>
        <v/>
      </c>
      <c r="CC330" s="2841" t="str">
        <f t="shared" si="239"/>
        <v/>
      </c>
      <c r="CD330" s="2841" t="str">
        <f t="shared" si="240"/>
        <v/>
      </c>
      <c r="CE330" s="2841" t="str">
        <f t="shared" si="237"/>
        <v/>
      </c>
      <c r="CF330" s="2841" t="str">
        <f t="shared" si="225"/>
        <v/>
      </c>
      <c r="CG330" s="2890"/>
      <c r="CH330" s="2841" t="str">
        <f>IF(AND($D330&gt;0,AT330="")," * No olvide digitar la variable Usuarios con Dicapacidad. Digite Cero si no tiene.",IF(AT330&gt;$D330," * La variable Usuarios con Dicapacidad no puede superar el Total Ambos Sexos.",""))</f>
        <v/>
      </c>
      <c r="CI330" s="2841" t="str">
        <f t="shared" si="226"/>
        <v/>
      </c>
      <c r="CJ330" s="2890"/>
      <c r="CK330" s="2841" t="str">
        <f t="shared" si="227"/>
        <v/>
      </c>
      <c r="CL330" s="2841" t="str">
        <f t="shared" si="228"/>
        <v/>
      </c>
      <c r="CO330" s="2842">
        <f t="shared" si="229"/>
        <v>0</v>
      </c>
      <c r="CP330" s="2842">
        <f t="shared" si="230"/>
        <v>0</v>
      </c>
      <c r="CQ330" s="2842">
        <f t="shared" si="241"/>
        <v>0</v>
      </c>
      <c r="CR330" s="2842">
        <f t="shared" si="238"/>
        <v>0</v>
      </c>
      <c r="CS330" s="2842">
        <f t="shared" si="242"/>
        <v>0</v>
      </c>
      <c r="CT330" s="2842">
        <f t="shared" si="231"/>
        <v>0</v>
      </c>
      <c r="CU330" s="2890"/>
      <c r="CV330" s="2842">
        <f t="shared" si="232"/>
        <v>0</v>
      </c>
      <c r="CW330" s="2842">
        <f t="shared" si="233"/>
        <v>0</v>
      </c>
      <c r="CX330" s="2890"/>
      <c r="CY330" s="2842">
        <f t="shared" si="234"/>
        <v>0</v>
      </c>
      <c r="CZ330" s="2842">
        <f t="shared" si="235"/>
        <v>0</v>
      </c>
    </row>
    <row r="331" spans="1:104">
      <c r="A331" s="6569" t="s">
        <v>91</v>
      </c>
      <c r="B331" s="6571" t="s">
        <v>1901</v>
      </c>
      <c r="C331" s="6572"/>
      <c r="D331" s="3192">
        <f t="shared" si="221"/>
        <v>0</v>
      </c>
      <c r="E331" s="3343">
        <f t="shared" si="219"/>
        <v>0</v>
      </c>
      <c r="F331" s="3344">
        <f t="shared" si="220"/>
        <v>0</v>
      </c>
      <c r="G331" s="3192">
        <f t="shared" ref="G331:G335" si="243">G253+G265+G271+G277+G283+G313+G319+G325</f>
        <v>0</v>
      </c>
      <c r="H331" s="3145">
        <f t="shared" ref="H331:N335" si="244">H253+H259+H265+H271+H277+H283+H307+H313+H319+H325</f>
        <v>0</v>
      </c>
      <c r="I331" s="3192">
        <f t="shared" si="244"/>
        <v>0</v>
      </c>
      <c r="J331" s="3145">
        <f t="shared" si="244"/>
        <v>0</v>
      </c>
      <c r="K331" s="3192">
        <f t="shared" si="244"/>
        <v>0</v>
      </c>
      <c r="L331" s="3145">
        <f>L253+L259+L265+L271+L277+L283+L307+L313+L319+L325</f>
        <v>0</v>
      </c>
      <c r="M331" s="3192">
        <f t="shared" si="244"/>
        <v>0</v>
      </c>
      <c r="N331" s="3145">
        <f t="shared" si="244"/>
        <v>0</v>
      </c>
      <c r="O331" s="3192">
        <f t="shared" ref="O331:V335" si="245">O253+O259+O265+O271+O277+O283+O295+O313+O319+O325</f>
        <v>0</v>
      </c>
      <c r="P331" s="3185">
        <f t="shared" si="245"/>
        <v>0</v>
      </c>
      <c r="Q331" s="3192">
        <f t="shared" si="245"/>
        <v>0</v>
      </c>
      <c r="R331" s="3185">
        <f t="shared" si="245"/>
        <v>0</v>
      </c>
      <c r="S331" s="3192">
        <f t="shared" si="245"/>
        <v>0</v>
      </c>
      <c r="T331" s="3185">
        <f t="shared" si="245"/>
        <v>0</v>
      </c>
      <c r="U331" s="3192">
        <f t="shared" si="245"/>
        <v>0</v>
      </c>
      <c r="V331" s="3169">
        <f t="shared" si="245"/>
        <v>0</v>
      </c>
      <c r="W331" s="3192">
        <f t="shared" ref="W331:W335" si="246">W253+W259+W265+W271+W277+W283+W289+W295+W301+W307+W313+W319+W325</f>
        <v>0</v>
      </c>
      <c r="X331" s="3185">
        <f t="shared" ref="X331:AN335" si="247">X253+X259+X265+X271+X277+X283+X289+X295+X301+X307+X313+X319+X325</f>
        <v>0</v>
      </c>
      <c r="Y331" s="3192">
        <f>Y253+Y259+Y265+Y271+Y277+Y283+Y289+Y295+Y301+Y307+Y313+Y319+Y325</f>
        <v>0</v>
      </c>
      <c r="Z331" s="3185">
        <f t="shared" si="247"/>
        <v>0</v>
      </c>
      <c r="AA331" s="3192">
        <f t="shared" si="247"/>
        <v>0</v>
      </c>
      <c r="AB331" s="3185">
        <f t="shared" si="247"/>
        <v>0</v>
      </c>
      <c r="AC331" s="3192">
        <f t="shared" si="247"/>
        <v>0</v>
      </c>
      <c r="AD331" s="3185">
        <f t="shared" si="247"/>
        <v>0</v>
      </c>
      <c r="AE331" s="3192">
        <f t="shared" si="247"/>
        <v>0</v>
      </c>
      <c r="AF331" s="3185">
        <f t="shared" si="247"/>
        <v>0</v>
      </c>
      <c r="AG331" s="3192">
        <f t="shared" si="247"/>
        <v>0</v>
      </c>
      <c r="AH331" s="3185">
        <f t="shared" si="247"/>
        <v>0</v>
      </c>
      <c r="AI331" s="3192">
        <f t="shared" si="247"/>
        <v>0</v>
      </c>
      <c r="AJ331" s="3185">
        <f t="shared" si="247"/>
        <v>0</v>
      </c>
      <c r="AK331" s="3192">
        <f t="shared" si="247"/>
        <v>0</v>
      </c>
      <c r="AL331" s="3345">
        <f t="shared" si="247"/>
        <v>0</v>
      </c>
      <c r="AM331" s="3185">
        <f t="shared" si="247"/>
        <v>0</v>
      </c>
      <c r="AN331" s="3185">
        <f t="shared" si="247"/>
        <v>0</v>
      </c>
      <c r="AO331" s="3290">
        <f>SUM(AO253+AO259+AO265+AO271+AO277+AO283+AO289+AO295+AO301+AO307+AO313+AO319)</f>
        <v>0</v>
      </c>
      <c r="AP331" s="3174">
        <f>SUM(AP253+AP259+AP265+AP271+AP277+AP283+AP289+AP295+AP301+AP307+AP313+AP319)</f>
        <v>0</v>
      </c>
      <c r="AQ331" s="3145">
        <f t="shared" ref="AQ331:AR332" si="248">AQ253+AQ259+AQ265+AQ271+AQ277+AQ283+AQ289+AQ295+AQ301+AQ307+AQ313+AQ319+AQ325</f>
        <v>0</v>
      </c>
      <c r="AR331" s="3145">
        <f t="shared" si="248"/>
        <v>0</v>
      </c>
      <c r="AS331" s="3344">
        <f>SUM(AS265,AS277)</f>
        <v>0</v>
      </c>
      <c r="AT331" s="3192">
        <f t="shared" ref="AT331:AX332" si="249">AT253+AT259+AT265+AT271+AT277+AT283+AT289+AT295+AT301+AT307+AT313+AT319+AT325</f>
        <v>0</v>
      </c>
      <c r="AU331" s="3169">
        <f t="shared" si="249"/>
        <v>0</v>
      </c>
      <c r="AV331" s="3118"/>
      <c r="AW331" s="3192">
        <f t="shared" si="249"/>
        <v>0</v>
      </c>
      <c r="AX331" s="3169">
        <f t="shared" si="249"/>
        <v>0</v>
      </c>
    </row>
    <row r="332" spans="1:104">
      <c r="A332" s="6569"/>
      <c r="B332" s="6573" t="s">
        <v>1902</v>
      </c>
      <c r="C332" s="6573"/>
      <c r="D332" s="3290">
        <f t="shared" si="221"/>
        <v>0</v>
      </c>
      <c r="E332" s="3346">
        <f t="shared" si="219"/>
        <v>0</v>
      </c>
      <c r="F332" s="3347">
        <f t="shared" si="219"/>
        <v>0</v>
      </c>
      <c r="G332" s="3251">
        <f t="shared" si="243"/>
        <v>0</v>
      </c>
      <c r="H332" s="3189">
        <f t="shared" si="244"/>
        <v>0</v>
      </c>
      <c r="I332" s="3251">
        <f t="shared" si="244"/>
        <v>0</v>
      </c>
      <c r="J332" s="3189">
        <f t="shared" si="244"/>
        <v>0</v>
      </c>
      <c r="K332" s="3251">
        <f>K254+K260+K266+K272+K278+K284+K308+K314+K320+K326</f>
        <v>0</v>
      </c>
      <c r="L332" s="3189">
        <f t="shared" si="244"/>
        <v>0</v>
      </c>
      <c r="M332" s="3251">
        <f t="shared" si="244"/>
        <v>0</v>
      </c>
      <c r="N332" s="3189">
        <f t="shared" si="244"/>
        <v>0</v>
      </c>
      <c r="O332" s="3290">
        <f t="shared" si="245"/>
        <v>0</v>
      </c>
      <c r="P332" s="3145">
        <f t="shared" si="245"/>
        <v>0</v>
      </c>
      <c r="Q332" s="3290">
        <f t="shared" si="245"/>
        <v>0</v>
      </c>
      <c r="R332" s="3145">
        <f t="shared" si="245"/>
        <v>0</v>
      </c>
      <c r="S332" s="3290">
        <f t="shared" si="245"/>
        <v>0</v>
      </c>
      <c r="T332" s="3145">
        <f t="shared" si="245"/>
        <v>0</v>
      </c>
      <c r="U332" s="3290">
        <f t="shared" si="245"/>
        <v>0</v>
      </c>
      <c r="V332" s="3174">
        <f t="shared" si="245"/>
        <v>0</v>
      </c>
      <c r="W332" s="3251">
        <f t="shared" si="246"/>
        <v>0</v>
      </c>
      <c r="X332" s="3189">
        <f t="shared" si="247"/>
        <v>0</v>
      </c>
      <c r="Y332" s="3251">
        <f t="shared" si="247"/>
        <v>0</v>
      </c>
      <c r="Z332" s="3189">
        <f t="shared" si="247"/>
        <v>0</v>
      </c>
      <c r="AA332" s="3251">
        <f t="shared" si="247"/>
        <v>0</v>
      </c>
      <c r="AB332" s="3189">
        <f t="shared" si="247"/>
        <v>0</v>
      </c>
      <c r="AC332" s="3251">
        <f t="shared" si="247"/>
        <v>0</v>
      </c>
      <c r="AD332" s="3189">
        <f t="shared" si="247"/>
        <v>0</v>
      </c>
      <c r="AE332" s="3251">
        <f t="shared" si="247"/>
        <v>0</v>
      </c>
      <c r="AF332" s="3189">
        <f t="shared" si="247"/>
        <v>0</v>
      </c>
      <c r="AG332" s="3251">
        <f t="shared" si="247"/>
        <v>0</v>
      </c>
      <c r="AH332" s="3189">
        <f t="shared" si="247"/>
        <v>0</v>
      </c>
      <c r="AI332" s="3251">
        <f t="shared" si="247"/>
        <v>0</v>
      </c>
      <c r="AJ332" s="3189">
        <f t="shared" si="247"/>
        <v>0</v>
      </c>
      <c r="AK332" s="3251">
        <f t="shared" si="247"/>
        <v>0</v>
      </c>
      <c r="AL332" s="3348">
        <f t="shared" si="247"/>
        <v>0</v>
      </c>
      <c r="AM332" s="3189">
        <f t="shared" si="247"/>
        <v>0</v>
      </c>
      <c r="AN332" s="3189">
        <f t="shared" si="247"/>
        <v>0</v>
      </c>
      <c r="AO332" s="3349"/>
      <c r="AP332" s="3074"/>
      <c r="AQ332" s="3189">
        <f t="shared" si="248"/>
        <v>0</v>
      </c>
      <c r="AR332" s="3189">
        <f t="shared" si="248"/>
        <v>0</v>
      </c>
      <c r="AS332" s="3350">
        <f>SUM(AS278+ AS266)</f>
        <v>0</v>
      </c>
      <c r="AT332" s="3251">
        <f t="shared" si="249"/>
        <v>0</v>
      </c>
      <c r="AU332" s="3351">
        <f t="shared" si="249"/>
        <v>0</v>
      </c>
      <c r="AV332" s="3102"/>
      <c r="AW332" s="3251">
        <f t="shared" si="249"/>
        <v>0</v>
      </c>
      <c r="AX332" s="3351">
        <f t="shared" si="249"/>
        <v>0</v>
      </c>
    </row>
    <row r="333" spans="1:104">
      <c r="A333" s="6569"/>
      <c r="B333" s="6573" t="s">
        <v>1903</v>
      </c>
      <c r="C333" s="6573"/>
      <c r="D333" s="3290">
        <f t="shared" si="221"/>
        <v>0</v>
      </c>
      <c r="E333" s="3346">
        <f t="shared" si="219"/>
        <v>0</v>
      </c>
      <c r="F333" s="3347">
        <f t="shared" si="219"/>
        <v>0</v>
      </c>
      <c r="G333" s="3251">
        <f t="shared" si="243"/>
        <v>0</v>
      </c>
      <c r="H333" s="3189">
        <f t="shared" si="244"/>
        <v>0</v>
      </c>
      <c r="I333" s="3251">
        <f t="shared" si="244"/>
        <v>0</v>
      </c>
      <c r="J333" s="3189">
        <f t="shared" si="244"/>
        <v>0</v>
      </c>
      <c r="K333" s="3251">
        <f t="shared" si="244"/>
        <v>0</v>
      </c>
      <c r="L333" s="3189">
        <f t="shared" si="244"/>
        <v>0</v>
      </c>
      <c r="M333" s="3251">
        <f t="shared" si="244"/>
        <v>0</v>
      </c>
      <c r="N333" s="3189">
        <f t="shared" si="244"/>
        <v>0</v>
      </c>
      <c r="O333" s="3290">
        <f t="shared" si="245"/>
        <v>0</v>
      </c>
      <c r="P333" s="3145">
        <f t="shared" si="245"/>
        <v>0</v>
      </c>
      <c r="Q333" s="3290">
        <f t="shared" si="245"/>
        <v>0</v>
      </c>
      <c r="R333" s="3145">
        <f t="shared" si="245"/>
        <v>0</v>
      </c>
      <c r="S333" s="3290">
        <f t="shared" si="245"/>
        <v>0</v>
      </c>
      <c r="T333" s="3145">
        <f t="shared" si="245"/>
        <v>0</v>
      </c>
      <c r="U333" s="3290">
        <f t="shared" si="245"/>
        <v>0</v>
      </c>
      <c r="V333" s="3174">
        <f t="shared" si="245"/>
        <v>0</v>
      </c>
      <c r="W333" s="3251">
        <f t="shared" si="246"/>
        <v>0</v>
      </c>
      <c r="X333" s="3189">
        <f t="shared" si="247"/>
        <v>0</v>
      </c>
      <c r="Y333" s="3251">
        <f t="shared" si="247"/>
        <v>0</v>
      </c>
      <c r="Z333" s="3189">
        <f t="shared" si="247"/>
        <v>0</v>
      </c>
      <c r="AA333" s="3251">
        <f t="shared" si="247"/>
        <v>0</v>
      </c>
      <c r="AB333" s="3189">
        <f t="shared" si="247"/>
        <v>0</v>
      </c>
      <c r="AC333" s="3251">
        <f t="shared" si="247"/>
        <v>0</v>
      </c>
      <c r="AD333" s="3189">
        <f t="shared" si="247"/>
        <v>0</v>
      </c>
      <c r="AE333" s="3251">
        <f t="shared" si="247"/>
        <v>0</v>
      </c>
      <c r="AF333" s="3189">
        <f t="shared" si="247"/>
        <v>0</v>
      </c>
      <c r="AG333" s="3251">
        <f t="shared" si="247"/>
        <v>0</v>
      </c>
      <c r="AH333" s="3189">
        <f t="shared" si="247"/>
        <v>0</v>
      </c>
      <c r="AI333" s="3251">
        <f t="shared" si="247"/>
        <v>0</v>
      </c>
      <c r="AJ333" s="3189">
        <f t="shared" si="247"/>
        <v>0</v>
      </c>
      <c r="AK333" s="3251">
        <f t="shared" si="247"/>
        <v>0</v>
      </c>
      <c r="AL333" s="3348">
        <f t="shared" si="247"/>
        <v>0</v>
      </c>
      <c r="AM333" s="3189">
        <f t="shared" si="247"/>
        <v>0</v>
      </c>
      <c r="AN333" s="3189">
        <f t="shared" si="247"/>
        <v>0</v>
      </c>
      <c r="AO333" s="3349"/>
      <c r="AP333" s="3074"/>
      <c r="AQ333" s="3300"/>
      <c r="AR333" s="3189">
        <f>SUM(AR337+AR255+AR261+AR267+AR273+AR279+AR285+AR291+AR297+AR303+AR309+AR315+AR321+AR327)</f>
        <v>0</v>
      </c>
      <c r="AS333" s="3350">
        <f>SUM(AS267+AS279)</f>
        <v>0</v>
      </c>
      <c r="AT333" s="3251">
        <f t="shared" ref="AT333:AX333" si="250">SUM(AT255+AT261+AT267+AT273+AT279+AT285+AT291+AT297+AT303+AT309+AT315+AT321+AT327)</f>
        <v>0</v>
      </c>
      <c r="AU333" s="3351">
        <f t="shared" si="250"/>
        <v>0</v>
      </c>
      <c r="AV333" s="3102"/>
      <c r="AW333" s="3251">
        <f t="shared" si="250"/>
        <v>0</v>
      </c>
      <c r="AX333" s="3351">
        <f t="shared" si="250"/>
        <v>0</v>
      </c>
    </row>
    <row r="334" spans="1:104">
      <c r="A334" s="6569"/>
      <c r="B334" s="6565" t="s">
        <v>1904</v>
      </c>
      <c r="C334" s="6567"/>
      <c r="D334" s="3290">
        <f t="shared" si="221"/>
        <v>0</v>
      </c>
      <c r="E334" s="3346">
        <f t="shared" si="219"/>
        <v>0</v>
      </c>
      <c r="F334" s="3347">
        <f t="shared" si="219"/>
        <v>0</v>
      </c>
      <c r="G334" s="3251">
        <f t="shared" si="243"/>
        <v>0</v>
      </c>
      <c r="H334" s="3189">
        <f t="shared" si="244"/>
        <v>0</v>
      </c>
      <c r="I334" s="3251">
        <f t="shared" si="244"/>
        <v>0</v>
      </c>
      <c r="J334" s="3189">
        <f t="shared" si="244"/>
        <v>0</v>
      </c>
      <c r="K334" s="3251">
        <f t="shared" si="244"/>
        <v>0</v>
      </c>
      <c r="L334" s="3189">
        <f t="shared" si="244"/>
        <v>0</v>
      </c>
      <c r="M334" s="3251">
        <f t="shared" si="244"/>
        <v>0</v>
      </c>
      <c r="N334" s="3189">
        <f t="shared" si="244"/>
        <v>0</v>
      </c>
      <c r="O334" s="3290">
        <f t="shared" si="245"/>
        <v>0</v>
      </c>
      <c r="P334" s="3145">
        <f>P256+P262+P268+P274+P280+P286+P298+P316+P322+P328</f>
        <v>0</v>
      </c>
      <c r="Q334" s="3290">
        <f t="shared" si="245"/>
        <v>0</v>
      </c>
      <c r="R334" s="3145">
        <f t="shared" si="245"/>
        <v>0</v>
      </c>
      <c r="S334" s="3290">
        <f t="shared" si="245"/>
        <v>0</v>
      </c>
      <c r="T334" s="3145">
        <f t="shared" si="245"/>
        <v>0</v>
      </c>
      <c r="U334" s="3290">
        <f t="shared" si="245"/>
        <v>0</v>
      </c>
      <c r="V334" s="3174">
        <f t="shared" si="245"/>
        <v>0</v>
      </c>
      <c r="W334" s="3251">
        <f t="shared" si="246"/>
        <v>0</v>
      </c>
      <c r="X334" s="3189">
        <f t="shared" si="247"/>
        <v>0</v>
      </c>
      <c r="Y334" s="3251">
        <f t="shared" si="247"/>
        <v>0</v>
      </c>
      <c r="Z334" s="3189">
        <f t="shared" si="247"/>
        <v>0</v>
      </c>
      <c r="AA334" s="3251">
        <f t="shared" si="247"/>
        <v>0</v>
      </c>
      <c r="AB334" s="3189">
        <f t="shared" si="247"/>
        <v>0</v>
      </c>
      <c r="AC334" s="3251">
        <f t="shared" si="247"/>
        <v>0</v>
      </c>
      <c r="AD334" s="3189">
        <f t="shared" si="247"/>
        <v>0</v>
      </c>
      <c r="AE334" s="3251">
        <f t="shared" si="247"/>
        <v>0</v>
      </c>
      <c r="AF334" s="3189">
        <f t="shared" si="247"/>
        <v>0</v>
      </c>
      <c r="AG334" s="3251">
        <f t="shared" si="247"/>
        <v>0</v>
      </c>
      <c r="AH334" s="3189">
        <f t="shared" si="247"/>
        <v>0</v>
      </c>
      <c r="AI334" s="3251">
        <f t="shared" si="247"/>
        <v>0</v>
      </c>
      <c r="AJ334" s="3189">
        <f t="shared" si="247"/>
        <v>0</v>
      </c>
      <c r="AK334" s="3251">
        <f t="shared" si="247"/>
        <v>0</v>
      </c>
      <c r="AL334" s="3348">
        <f t="shared" si="247"/>
        <v>0</v>
      </c>
      <c r="AM334" s="3189">
        <f t="shared" si="247"/>
        <v>0</v>
      </c>
      <c r="AN334" s="3189">
        <f t="shared" si="247"/>
        <v>0</v>
      </c>
      <c r="AO334" s="3349"/>
      <c r="AP334" s="3074"/>
      <c r="AQ334" s="3300"/>
      <c r="AR334" s="3189">
        <f>AR256+AR262+AR268+AR274+AR280+AR286+AR292+AR298+AR304+AR310+AR316+AR322+AR328</f>
        <v>0</v>
      </c>
      <c r="AS334" s="3350">
        <f>SUM(AS269+AS281)</f>
        <v>0</v>
      </c>
      <c r="AT334" s="3251">
        <f t="shared" ref="AT334:AX334" si="251">AT256+AT262+AT268+AT274+AT280+AT286+AT292+AT298+AT304+AT310+AT316+AT322+AT328</f>
        <v>0</v>
      </c>
      <c r="AU334" s="3351">
        <f t="shared" si="251"/>
        <v>0</v>
      </c>
      <c r="AV334" s="3351">
        <f>AV256+AV262+AV268+AV274+AV280+AV286+AV292+AV298+AV304+AV310+AV316+AV322+AV328</f>
        <v>0</v>
      </c>
      <c r="AW334" s="3251">
        <f t="shared" si="251"/>
        <v>0</v>
      </c>
      <c r="AX334" s="3351">
        <f t="shared" si="251"/>
        <v>0</v>
      </c>
    </row>
    <row r="335" spans="1:104">
      <c r="A335" s="6569"/>
      <c r="B335" s="6565" t="s">
        <v>1905</v>
      </c>
      <c r="C335" s="6567"/>
      <c r="D335" s="3290">
        <f t="shared" si="221"/>
        <v>0</v>
      </c>
      <c r="E335" s="3346">
        <f t="shared" si="219"/>
        <v>0</v>
      </c>
      <c r="F335" s="3347">
        <f t="shared" si="219"/>
        <v>0</v>
      </c>
      <c r="G335" s="3251">
        <f t="shared" si="243"/>
        <v>0</v>
      </c>
      <c r="H335" s="3189">
        <f t="shared" si="244"/>
        <v>0</v>
      </c>
      <c r="I335" s="3251">
        <f t="shared" si="244"/>
        <v>0</v>
      </c>
      <c r="J335" s="3189">
        <f t="shared" si="244"/>
        <v>0</v>
      </c>
      <c r="K335" s="3251">
        <f t="shared" si="244"/>
        <v>0</v>
      </c>
      <c r="L335" s="3189">
        <f t="shared" si="244"/>
        <v>0</v>
      </c>
      <c r="M335" s="3251">
        <f t="shared" si="244"/>
        <v>0</v>
      </c>
      <c r="N335" s="3189">
        <f t="shared" si="244"/>
        <v>0</v>
      </c>
      <c r="O335" s="3290">
        <f t="shared" si="245"/>
        <v>0</v>
      </c>
      <c r="P335" s="3145">
        <f t="shared" si="245"/>
        <v>0</v>
      </c>
      <c r="Q335" s="3290">
        <f t="shared" si="245"/>
        <v>0</v>
      </c>
      <c r="R335" s="3145">
        <f t="shared" si="245"/>
        <v>0</v>
      </c>
      <c r="S335" s="3290">
        <f t="shared" si="245"/>
        <v>0</v>
      </c>
      <c r="T335" s="3145">
        <f t="shared" si="245"/>
        <v>0</v>
      </c>
      <c r="U335" s="3290">
        <f t="shared" si="245"/>
        <v>0</v>
      </c>
      <c r="V335" s="3174">
        <f t="shared" si="245"/>
        <v>0</v>
      </c>
      <c r="W335" s="3251">
        <f t="shared" si="246"/>
        <v>0</v>
      </c>
      <c r="X335" s="3189">
        <f t="shared" si="247"/>
        <v>0</v>
      </c>
      <c r="Y335" s="3251">
        <f t="shared" si="247"/>
        <v>0</v>
      </c>
      <c r="Z335" s="3189">
        <f t="shared" si="247"/>
        <v>0</v>
      </c>
      <c r="AA335" s="3251">
        <f t="shared" si="247"/>
        <v>0</v>
      </c>
      <c r="AB335" s="3189">
        <f t="shared" si="247"/>
        <v>0</v>
      </c>
      <c r="AC335" s="3251">
        <f t="shared" si="247"/>
        <v>0</v>
      </c>
      <c r="AD335" s="3189">
        <f t="shared" si="247"/>
        <v>0</v>
      </c>
      <c r="AE335" s="3251">
        <f t="shared" si="247"/>
        <v>0</v>
      </c>
      <c r="AF335" s="3189">
        <f t="shared" si="247"/>
        <v>0</v>
      </c>
      <c r="AG335" s="3251">
        <f t="shared" si="247"/>
        <v>0</v>
      </c>
      <c r="AH335" s="3189">
        <f t="shared" si="247"/>
        <v>0</v>
      </c>
      <c r="AI335" s="3251">
        <f t="shared" si="247"/>
        <v>0</v>
      </c>
      <c r="AJ335" s="3189">
        <f t="shared" si="247"/>
        <v>0</v>
      </c>
      <c r="AK335" s="3251">
        <f t="shared" si="247"/>
        <v>0</v>
      </c>
      <c r="AL335" s="3348">
        <f t="shared" si="247"/>
        <v>0</v>
      </c>
      <c r="AM335" s="3189">
        <f t="shared" si="247"/>
        <v>0</v>
      </c>
      <c r="AN335" s="3189">
        <f t="shared" si="247"/>
        <v>0</v>
      </c>
      <c r="AO335" s="3349"/>
      <c r="AP335" s="3074"/>
      <c r="AQ335" s="3264"/>
      <c r="AR335" s="3189">
        <f>SUM(AR257+AR263+AR269+AR275+AR281+AR287+AR305+AR299+AR293+AR311+AR317+AR323+AR329)</f>
        <v>0</v>
      </c>
      <c r="AS335" s="3350">
        <f>SUM(AS257+AS263+AS269+AS275+AS281+AS287+AS305+AS299+AS293+AS311+AS317+AS323+AS329)</f>
        <v>0</v>
      </c>
      <c r="AT335" s="3251">
        <f t="shared" ref="AT335:AX335" si="252">SUM(AT257+AT263+AT269+AT275+AT281+AT287+AT305+AT299+AT293+AT311+AT317+AT323+AT329)</f>
        <v>0</v>
      </c>
      <c r="AU335" s="3351">
        <f t="shared" si="252"/>
        <v>0</v>
      </c>
      <c r="AV335" s="3102"/>
      <c r="AW335" s="3251">
        <f t="shared" si="252"/>
        <v>0</v>
      </c>
      <c r="AX335" s="3351">
        <f t="shared" si="252"/>
        <v>0</v>
      </c>
    </row>
    <row r="336" spans="1:104">
      <c r="A336" s="6570"/>
      <c r="B336" s="6577" t="s">
        <v>1906</v>
      </c>
      <c r="C336" s="6577"/>
      <c r="D336" s="3195">
        <f t="shared" si="221"/>
        <v>0</v>
      </c>
      <c r="E336" s="3353">
        <f t="shared" si="219"/>
        <v>0</v>
      </c>
      <c r="F336" s="3354">
        <f t="shared" si="219"/>
        <v>0</v>
      </c>
      <c r="G336" s="3198">
        <f>G276+G282+G288+G318+G324+G330</f>
        <v>0</v>
      </c>
      <c r="H336" s="3172">
        <f>H276+H282+H288+H318+H324+H330</f>
        <v>0</v>
      </c>
      <c r="I336" s="3198">
        <f>I258+I270+I276+I282+I288+I318+I324+I330</f>
        <v>0</v>
      </c>
      <c r="J336" s="3172">
        <f t="shared" ref="J336:N336" si="253">J258+J270+J276+J282+J288+J318+J324+J330</f>
        <v>0</v>
      </c>
      <c r="K336" s="3198">
        <f t="shared" si="253"/>
        <v>0</v>
      </c>
      <c r="L336" s="3172">
        <f t="shared" si="253"/>
        <v>0</v>
      </c>
      <c r="M336" s="3198">
        <f t="shared" si="253"/>
        <v>0</v>
      </c>
      <c r="N336" s="3172">
        <f t="shared" si="253"/>
        <v>0</v>
      </c>
      <c r="O336" s="3195">
        <f>O258+O270+O264+O276+O282+O288+O300+O318+O324+O330</f>
        <v>0</v>
      </c>
      <c r="P336" s="3125">
        <f>P258+P264+P270+P276+P282+P288+P300+P318+P324+P330</f>
        <v>0</v>
      </c>
      <c r="Q336" s="3195">
        <f>Q258+Q264+Q270+Q276+Q282+Q288+Q300+Q318+Q324+Q330</f>
        <v>0</v>
      </c>
      <c r="R336" s="3125">
        <f>R258++R264+R270+R276+R282+R288+R300+R318+R324+R330</f>
        <v>0</v>
      </c>
      <c r="S336" s="3195">
        <f>S258+ S264+S270+S276+S282+S288+S300+S318+S324+S330</f>
        <v>0</v>
      </c>
      <c r="T336" s="3125">
        <f>T258+T264+T270+T276+T282+T288+T300+T318+T324+T330</f>
        <v>0</v>
      </c>
      <c r="U336" s="3195">
        <f>U258+ U264+U270+U276+U282+U288+U300+U318+U324+U330</f>
        <v>0</v>
      </c>
      <c r="V336" s="3125">
        <f>V258+V264+V270+V276+V282+V288+V300+V318+V324+V330</f>
        <v>0</v>
      </c>
      <c r="W336" s="3198">
        <f>W258+ W264+W270+W276+W282+ W288+W294+ +W300+ W306+ W312+W318+W324+W330</f>
        <v>0</v>
      </c>
      <c r="X336" s="3173">
        <f>X258+ X264+X270+X276+X282+ X288+X294+ +X300+ X306+ X312+X318+X324+X330</f>
        <v>0</v>
      </c>
      <c r="Y336" s="3198">
        <f>Y258+ Y264+Y270+Y276+Y282+ Y288+Y294+ +Y300+ Y306+ Y312+Y318+Y324+Y330</f>
        <v>0</v>
      </c>
      <c r="Z336" s="3173">
        <f>Z258+ Z264+Z270+Z276+Z282+ Z288+Z294+ +Z300+ Z306+ Z312+Z318+Z324+Z330</f>
        <v>0</v>
      </c>
      <c r="AA336" s="3198">
        <f t="shared" ref="AA336:AN336" si="254">AA258+AA264+AA270+AA276+AA282+AA288+AA294+AA306+AA312+AA300+AA318+AA324+AA330</f>
        <v>0</v>
      </c>
      <c r="AB336" s="3172">
        <f t="shared" si="254"/>
        <v>0</v>
      </c>
      <c r="AC336" s="3198">
        <f t="shared" si="254"/>
        <v>0</v>
      </c>
      <c r="AD336" s="3172">
        <f t="shared" si="254"/>
        <v>0</v>
      </c>
      <c r="AE336" s="3198">
        <f t="shared" si="254"/>
        <v>0</v>
      </c>
      <c r="AF336" s="3172">
        <f t="shared" si="254"/>
        <v>0</v>
      </c>
      <c r="AG336" s="3198">
        <f t="shared" si="254"/>
        <v>0</v>
      </c>
      <c r="AH336" s="3172">
        <f t="shared" si="254"/>
        <v>0</v>
      </c>
      <c r="AI336" s="3198">
        <f t="shared" si="254"/>
        <v>0</v>
      </c>
      <c r="AJ336" s="3172">
        <f t="shared" si="254"/>
        <v>0</v>
      </c>
      <c r="AK336" s="3198">
        <f t="shared" si="254"/>
        <v>0</v>
      </c>
      <c r="AL336" s="3355">
        <f t="shared" si="254"/>
        <v>0</v>
      </c>
      <c r="AM336" s="3172">
        <f t="shared" si="254"/>
        <v>0</v>
      </c>
      <c r="AN336" s="3172">
        <f t="shared" si="254"/>
        <v>0</v>
      </c>
      <c r="AO336" s="3356"/>
      <c r="AP336" s="3357"/>
      <c r="AQ336" s="3267"/>
      <c r="AR336" s="3172">
        <f>SUM(AR258+AR264+AR270+AR276+AR282+AR288+AR294+AR300+AR306+AR312+AR318+AR324+AR330)</f>
        <v>0</v>
      </c>
      <c r="AS336" s="3358">
        <f>SUM(AS270+AS282)</f>
        <v>0</v>
      </c>
      <c r="AT336" s="3198">
        <f t="shared" ref="AT336:AX336" si="255">SUM(AT258+AT264+AT270+AT276+AT282+AT288+AT294+AT300+AT306+AT312+AT318+AT324+AT330)</f>
        <v>0</v>
      </c>
      <c r="AU336" s="3172">
        <f t="shared" si="255"/>
        <v>0</v>
      </c>
      <c r="AV336" s="3357"/>
      <c r="AW336" s="3198">
        <f t="shared" si="255"/>
        <v>0</v>
      </c>
      <c r="AX336" s="3173">
        <f t="shared" si="255"/>
        <v>0</v>
      </c>
    </row>
    <row r="337" spans="1:94">
      <c r="A337" s="1468" t="s">
        <v>1914</v>
      </c>
      <c r="B337" s="3058"/>
      <c r="C337" s="3058"/>
      <c r="D337" s="1582"/>
      <c r="E337" s="1582"/>
      <c r="F337" s="1582"/>
      <c r="G337" s="1582"/>
      <c r="H337" s="1582"/>
      <c r="I337" s="1582"/>
      <c r="J337" s="383"/>
      <c r="K337" s="383"/>
      <c r="L337" s="383"/>
      <c r="M337" s="383"/>
      <c r="N337" s="383"/>
      <c r="O337" s="383"/>
      <c r="P337" s="383"/>
      <c r="Q337" s="383"/>
      <c r="R337" s="383"/>
      <c r="S337" s="383"/>
      <c r="T337" s="383"/>
      <c r="U337" s="383"/>
      <c r="V337" s="383"/>
      <c r="W337" s="383"/>
      <c r="X337" s="383"/>
      <c r="Y337" s="383"/>
      <c r="Z337" s="383"/>
      <c r="AA337" s="383"/>
      <c r="AB337" s="383"/>
      <c r="AC337" s="383"/>
      <c r="AD337" s="383"/>
      <c r="AE337" s="383"/>
      <c r="AF337" s="383"/>
      <c r="AG337" s="383"/>
      <c r="AH337" s="383"/>
      <c r="AI337" s="383"/>
      <c r="AJ337" s="383"/>
      <c r="AK337" s="383"/>
      <c r="AL337" s="456"/>
      <c r="AM337" s="456"/>
      <c r="AN337" s="383"/>
      <c r="AO337" s="383"/>
      <c r="AP337" s="383"/>
      <c r="AQ337" s="383"/>
      <c r="AR337" s="383"/>
    </row>
    <row r="338" spans="1:94">
      <c r="A338" s="6152" t="s">
        <v>1659</v>
      </c>
      <c r="B338" s="6153"/>
      <c r="C338" s="6154"/>
      <c r="D338" s="6396" t="s">
        <v>91</v>
      </c>
      <c r="E338" s="6390"/>
      <c r="F338" s="6391"/>
      <c r="G338" s="5710" t="s">
        <v>115</v>
      </c>
      <c r="H338" s="6106"/>
      <c r="I338" s="6106"/>
      <c r="J338" s="6106"/>
      <c r="K338" s="6106"/>
      <c r="L338" s="6106"/>
      <c r="M338" s="6106"/>
      <c r="N338" s="6106"/>
      <c r="O338" s="6106"/>
      <c r="P338" s="6106"/>
      <c r="Q338" s="6106"/>
      <c r="R338" s="6106"/>
      <c r="S338" s="6106"/>
      <c r="T338" s="6106"/>
      <c r="U338" s="6106"/>
      <c r="V338" s="6106"/>
      <c r="W338" s="6106"/>
      <c r="X338" s="6106"/>
      <c r="Y338" s="6106"/>
      <c r="Z338" s="6106"/>
      <c r="AA338" s="6106"/>
      <c r="AB338" s="6106"/>
      <c r="AC338" s="6106"/>
      <c r="AD338" s="6106"/>
      <c r="AE338" s="6106"/>
      <c r="AF338" s="6106"/>
      <c r="AG338" s="6106"/>
      <c r="AH338" s="6106"/>
      <c r="AI338" s="6106"/>
      <c r="AJ338" s="6106"/>
      <c r="AK338" s="6106"/>
      <c r="AL338" s="6106"/>
      <c r="AM338" s="6106"/>
      <c r="AN338" s="6106"/>
      <c r="AO338" s="6106"/>
      <c r="AP338" s="6301"/>
      <c r="AQ338" s="6139" t="s">
        <v>1915</v>
      </c>
      <c r="AR338" s="5718" t="s">
        <v>1916</v>
      </c>
    </row>
    <row r="339" spans="1:94">
      <c r="A339" s="6447"/>
      <c r="B339" s="6578"/>
      <c r="C339" s="6448"/>
      <c r="D339" s="6579"/>
      <c r="E339" s="6392"/>
      <c r="F339" s="6393"/>
      <c r="G339" s="6574" t="s">
        <v>495</v>
      </c>
      <c r="H339" s="6575"/>
      <c r="I339" s="5710" t="s">
        <v>401</v>
      </c>
      <c r="J339" s="5712"/>
      <c r="K339" s="5710" t="s">
        <v>402</v>
      </c>
      <c r="L339" s="5712"/>
      <c r="M339" s="5710" t="s">
        <v>1644</v>
      </c>
      <c r="N339" s="5712"/>
      <c r="O339" s="5710" t="s">
        <v>404</v>
      </c>
      <c r="P339" s="5712"/>
      <c r="Q339" s="5710" t="s">
        <v>405</v>
      </c>
      <c r="R339" s="5712"/>
      <c r="S339" s="5710" t="s">
        <v>406</v>
      </c>
      <c r="T339" s="5712"/>
      <c r="U339" s="5710" t="s">
        <v>407</v>
      </c>
      <c r="V339" s="5712"/>
      <c r="W339" s="5710" t="s">
        <v>1645</v>
      </c>
      <c r="X339" s="5712"/>
      <c r="Y339" s="5710" t="s">
        <v>324</v>
      </c>
      <c r="Z339" s="5709"/>
      <c r="AA339" s="5710" t="s">
        <v>325</v>
      </c>
      <c r="AB339" s="5709"/>
      <c r="AC339" s="5710" t="s">
        <v>1891</v>
      </c>
      <c r="AD339" s="5709"/>
      <c r="AE339" s="5710" t="s">
        <v>1892</v>
      </c>
      <c r="AF339" s="5709"/>
      <c r="AG339" s="5710" t="s">
        <v>1893</v>
      </c>
      <c r="AH339" s="5709"/>
      <c r="AI339" s="5710" t="s">
        <v>1894</v>
      </c>
      <c r="AJ339" s="5709"/>
      <c r="AK339" s="5710" t="s">
        <v>1650</v>
      </c>
      <c r="AL339" s="5709"/>
      <c r="AM339" s="5710" t="s">
        <v>1651</v>
      </c>
      <c r="AN339" s="5709"/>
      <c r="AO339" s="5710" t="s">
        <v>966</v>
      </c>
      <c r="AP339" s="6576"/>
      <c r="AQ339" s="6166"/>
      <c r="AR339" s="6110"/>
    </row>
    <row r="340" spans="1:94">
      <c r="A340" s="6155"/>
      <c r="B340" s="6156"/>
      <c r="C340" s="6157"/>
      <c r="D340" s="396" t="s">
        <v>93</v>
      </c>
      <c r="E340" s="1397" t="s">
        <v>72</v>
      </c>
      <c r="F340" s="1402" t="s">
        <v>73</v>
      </c>
      <c r="G340" s="1396" t="s">
        <v>72</v>
      </c>
      <c r="H340" s="393" t="s">
        <v>73</v>
      </c>
      <c r="I340" s="1395" t="s">
        <v>72</v>
      </c>
      <c r="J340" s="393" t="s">
        <v>73</v>
      </c>
      <c r="K340" s="1395" t="s">
        <v>72</v>
      </c>
      <c r="L340" s="393" t="s">
        <v>73</v>
      </c>
      <c r="M340" s="1395" t="s">
        <v>72</v>
      </c>
      <c r="N340" s="393" t="s">
        <v>73</v>
      </c>
      <c r="O340" s="1395" t="s">
        <v>72</v>
      </c>
      <c r="P340" s="393" t="s">
        <v>73</v>
      </c>
      <c r="Q340" s="1395" t="s">
        <v>72</v>
      </c>
      <c r="R340" s="393" t="s">
        <v>73</v>
      </c>
      <c r="S340" s="1395" t="s">
        <v>72</v>
      </c>
      <c r="T340" s="393" t="s">
        <v>73</v>
      </c>
      <c r="U340" s="1395" t="s">
        <v>72</v>
      </c>
      <c r="V340" s="393" t="s">
        <v>73</v>
      </c>
      <c r="W340" s="1395" t="s">
        <v>72</v>
      </c>
      <c r="X340" s="393" t="s">
        <v>73</v>
      </c>
      <c r="Y340" s="1395" t="s">
        <v>72</v>
      </c>
      <c r="Z340" s="393" t="s">
        <v>73</v>
      </c>
      <c r="AA340" s="1395" t="s">
        <v>72</v>
      </c>
      <c r="AB340" s="393" t="s">
        <v>73</v>
      </c>
      <c r="AC340" s="1395" t="s">
        <v>72</v>
      </c>
      <c r="AD340" s="393" t="s">
        <v>73</v>
      </c>
      <c r="AE340" s="1395" t="s">
        <v>72</v>
      </c>
      <c r="AF340" s="393" t="s">
        <v>73</v>
      </c>
      <c r="AG340" s="1395" t="s">
        <v>72</v>
      </c>
      <c r="AH340" s="393" t="s">
        <v>73</v>
      </c>
      <c r="AI340" s="1395" t="s">
        <v>72</v>
      </c>
      <c r="AJ340" s="393" t="s">
        <v>73</v>
      </c>
      <c r="AK340" s="1395" t="s">
        <v>72</v>
      </c>
      <c r="AL340" s="393" t="s">
        <v>73</v>
      </c>
      <c r="AM340" s="1395" t="s">
        <v>72</v>
      </c>
      <c r="AN340" s="393" t="s">
        <v>73</v>
      </c>
      <c r="AO340" s="1395" t="s">
        <v>72</v>
      </c>
      <c r="AP340" s="2305" t="s">
        <v>73</v>
      </c>
      <c r="AQ340" s="6115"/>
      <c r="AR340" s="5719"/>
    </row>
    <row r="341" spans="1:94">
      <c r="A341" s="6561" t="s">
        <v>1665</v>
      </c>
      <c r="B341" s="6562"/>
      <c r="C341" s="6563"/>
      <c r="D341" s="1988">
        <f t="shared" ref="D341:D345" si="256">SUM(E341:F341)</f>
        <v>0</v>
      </c>
      <c r="E341" s="1716">
        <f t="shared" ref="E341:F345" si="257">SUM(G341+I341+K341+M341+O341+Q341+S341+U341+W341+Y341+AA341+AC341+AE341+AG341+AI341+AK341+AM341+AO341)</f>
        <v>0</v>
      </c>
      <c r="F341" s="410">
        <f>SUM(H341+J341+L341+N341+P341+R341+T341+V341+X341+Z341+AB341+AD341+AF341+AH341+AJ341+AL341+AN341+AP341)</f>
        <v>0</v>
      </c>
      <c r="G341" s="1425"/>
      <c r="H341" s="1676"/>
      <c r="I341" s="1425"/>
      <c r="J341" s="1676"/>
      <c r="K341" s="1425"/>
      <c r="L341" s="1676"/>
      <c r="M341" s="1425"/>
      <c r="N341" s="1676"/>
      <c r="O341" s="1425"/>
      <c r="P341" s="1676"/>
      <c r="Q341" s="1425"/>
      <c r="R341" s="1676"/>
      <c r="S341" s="1425"/>
      <c r="T341" s="1676"/>
      <c r="U341" s="1425"/>
      <c r="V341" s="1676"/>
      <c r="W341" s="1425"/>
      <c r="X341" s="1676"/>
      <c r="Y341" s="1425"/>
      <c r="Z341" s="1676"/>
      <c r="AA341" s="1425"/>
      <c r="AB341" s="1676"/>
      <c r="AC341" s="1425"/>
      <c r="AD341" s="1676"/>
      <c r="AE341" s="1425"/>
      <c r="AF341" s="1676"/>
      <c r="AG341" s="1425"/>
      <c r="AH341" s="1676"/>
      <c r="AI341" s="1425"/>
      <c r="AJ341" s="1676"/>
      <c r="AK341" s="1425"/>
      <c r="AL341" s="1676"/>
      <c r="AM341" s="1425"/>
      <c r="AN341" s="1676"/>
      <c r="AO341" s="1425"/>
      <c r="AP341" s="1428"/>
      <c r="AQ341" s="1521"/>
      <c r="AR341" s="1522"/>
      <c r="AS341" t="str">
        <f t="shared" ref="AS341:AS345" si="258">CA341&amp;CB341</f>
        <v/>
      </c>
      <c r="CA341" s="2841" t="str">
        <f t="shared" ref="CA341:CA345" si="259">IF(AND($F341&gt;0,AQ341="")," * No olvide digitar la variable Gestante. Digite cero si no tiene.",IF(AQ341&gt;$F341," * La variable Gestante no puede superar el Total Mujeres.",""))</f>
        <v/>
      </c>
      <c r="CB341" s="2841" t="str">
        <f t="shared" ref="CB341:CB345" si="260">IF(AND(AK341+AL341&gt;0,AR341="")," * No olvide digitar la variable 60 años (incluido en grupos de 60-64 años). Digite Cero si no tiene.",IF(AR341&gt;AK341+AL341," * La variable 60 años (incluido en grupos de 60-64 años) no puede superar la suma del Grupo 60-64 años.",""))</f>
        <v/>
      </c>
      <c r="CO341" s="2842">
        <f t="shared" ref="CO341:CO345" si="261">IF(AND($F341&gt;0,AQ341=""),1,IF(AQ341&gt;$F341,1,0))</f>
        <v>0</v>
      </c>
      <c r="CP341" s="2842">
        <f t="shared" ref="CP341:CP345" si="262">IF(AND(AK341+AL341&gt;0,AR341=""),1,IF(AR341&gt;AK341+AL341,1,0))</f>
        <v>0</v>
      </c>
    </row>
    <row r="342" spans="1:94">
      <c r="A342" s="6181" t="s">
        <v>1917</v>
      </c>
      <c r="B342" s="6564"/>
      <c r="C342" s="6182"/>
      <c r="D342" s="1991">
        <f t="shared" si="256"/>
        <v>0</v>
      </c>
      <c r="E342" s="1690">
        <f t="shared" si="257"/>
        <v>0</v>
      </c>
      <c r="F342" s="422">
        <f t="shared" si="257"/>
        <v>0</v>
      </c>
      <c r="G342" s="1441"/>
      <c r="H342" s="1680"/>
      <c r="I342" s="1441"/>
      <c r="J342" s="1680"/>
      <c r="K342" s="1441"/>
      <c r="L342" s="1680"/>
      <c r="M342" s="1441"/>
      <c r="N342" s="1680"/>
      <c r="O342" s="1441"/>
      <c r="P342" s="1680"/>
      <c r="Q342" s="1441"/>
      <c r="R342" s="1680"/>
      <c r="S342" s="1441"/>
      <c r="T342" s="1680"/>
      <c r="U342" s="1441"/>
      <c r="V342" s="1680"/>
      <c r="W342" s="1441"/>
      <c r="X342" s="1680"/>
      <c r="Y342" s="1441"/>
      <c r="Z342" s="1680"/>
      <c r="AA342" s="1441"/>
      <c r="AB342" s="1680"/>
      <c r="AC342" s="1441"/>
      <c r="AD342" s="1680"/>
      <c r="AE342" s="1441"/>
      <c r="AF342" s="1680"/>
      <c r="AG342" s="1441"/>
      <c r="AH342" s="1680"/>
      <c r="AI342" s="1441"/>
      <c r="AJ342" s="1680"/>
      <c r="AK342" s="1441"/>
      <c r="AL342" s="1680"/>
      <c r="AM342" s="1441"/>
      <c r="AN342" s="1680"/>
      <c r="AO342" s="1441"/>
      <c r="AP342" s="1444"/>
      <c r="AQ342" s="1445"/>
      <c r="AR342" s="1446"/>
      <c r="AS342" t="str">
        <f t="shared" si="258"/>
        <v/>
      </c>
      <c r="CA342" s="2841" t="str">
        <f t="shared" si="259"/>
        <v/>
      </c>
      <c r="CB342" s="2841" t="str">
        <f t="shared" si="260"/>
        <v/>
      </c>
      <c r="CO342" s="2842">
        <f t="shared" si="261"/>
        <v>0</v>
      </c>
      <c r="CP342" s="2842">
        <f t="shared" si="262"/>
        <v>0</v>
      </c>
    </row>
    <row r="343" spans="1:94">
      <c r="A343" s="6181" t="s">
        <v>1918</v>
      </c>
      <c r="B343" s="6564"/>
      <c r="C343" s="6182"/>
      <c r="D343" s="1991">
        <f t="shared" si="256"/>
        <v>0</v>
      </c>
      <c r="E343" s="1690">
        <f t="shared" si="257"/>
        <v>0</v>
      </c>
      <c r="F343" s="422">
        <f t="shared" si="257"/>
        <v>0</v>
      </c>
      <c r="G343" s="1441"/>
      <c r="H343" s="1680"/>
      <c r="I343" s="1441"/>
      <c r="J343" s="1680"/>
      <c r="K343" s="1441"/>
      <c r="L343" s="1680"/>
      <c r="M343" s="1441"/>
      <c r="N343" s="1680"/>
      <c r="O343" s="1441"/>
      <c r="P343" s="1680"/>
      <c r="Q343" s="1441"/>
      <c r="R343" s="1680"/>
      <c r="S343" s="1441"/>
      <c r="T343" s="1680"/>
      <c r="U343" s="1441"/>
      <c r="V343" s="1680"/>
      <c r="W343" s="1441"/>
      <c r="X343" s="1680"/>
      <c r="Y343" s="1441"/>
      <c r="Z343" s="1680"/>
      <c r="AA343" s="1441"/>
      <c r="AB343" s="1680"/>
      <c r="AC343" s="1441"/>
      <c r="AD343" s="1680"/>
      <c r="AE343" s="1441"/>
      <c r="AF343" s="1680"/>
      <c r="AG343" s="1441"/>
      <c r="AH343" s="1680"/>
      <c r="AI343" s="1441"/>
      <c r="AJ343" s="1680"/>
      <c r="AK343" s="1441"/>
      <c r="AL343" s="1680"/>
      <c r="AM343" s="1441"/>
      <c r="AN343" s="1680"/>
      <c r="AO343" s="1441"/>
      <c r="AP343" s="1444"/>
      <c r="AQ343" s="1445"/>
      <c r="AR343" s="1446"/>
      <c r="AS343" t="str">
        <f t="shared" si="258"/>
        <v/>
      </c>
      <c r="CA343" s="2841" t="str">
        <f t="shared" si="259"/>
        <v/>
      </c>
      <c r="CB343" s="2841" t="str">
        <f t="shared" si="260"/>
        <v/>
      </c>
      <c r="CO343" s="2842">
        <f t="shared" si="261"/>
        <v>0</v>
      </c>
      <c r="CP343" s="2842">
        <f t="shared" si="262"/>
        <v>0</v>
      </c>
    </row>
    <row r="344" spans="1:94">
      <c r="A344" s="6565" t="s">
        <v>1919</v>
      </c>
      <c r="B344" s="6566"/>
      <c r="C344" s="6567"/>
      <c r="D344" s="1991">
        <f t="shared" si="256"/>
        <v>0</v>
      </c>
      <c r="E344" s="1690">
        <f t="shared" si="257"/>
        <v>0</v>
      </c>
      <c r="F344" s="422">
        <f t="shared" si="257"/>
        <v>0</v>
      </c>
      <c r="G344" s="1441"/>
      <c r="H344" s="1680"/>
      <c r="I344" s="1441"/>
      <c r="J344" s="1680"/>
      <c r="K344" s="1441"/>
      <c r="L344" s="1680"/>
      <c r="M344" s="1441"/>
      <c r="N344" s="1680"/>
      <c r="O344" s="1441"/>
      <c r="P344" s="1680"/>
      <c r="Q344" s="1441"/>
      <c r="R344" s="1680"/>
      <c r="S344" s="1441"/>
      <c r="T344" s="1680"/>
      <c r="U344" s="1441"/>
      <c r="V344" s="1680"/>
      <c r="W344" s="1441"/>
      <c r="X344" s="1680"/>
      <c r="Y344" s="1441"/>
      <c r="Z344" s="1680"/>
      <c r="AA344" s="1441"/>
      <c r="AB344" s="1680"/>
      <c r="AC344" s="1441"/>
      <c r="AD344" s="1680"/>
      <c r="AE344" s="1441"/>
      <c r="AF344" s="1680"/>
      <c r="AG344" s="1441"/>
      <c r="AH344" s="1680"/>
      <c r="AI344" s="1441"/>
      <c r="AJ344" s="1680"/>
      <c r="AK344" s="1441"/>
      <c r="AL344" s="1680"/>
      <c r="AM344" s="1441"/>
      <c r="AN344" s="1680"/>
      <c r="AO344" s="1441"/>
      <c r="AP344" s="1444"/>
      <c r="AQ344" s="1693"/>
      <c r="AR344" s="1488"/>
      <c r="AS344" t="str">
        <f t="shared" si="258"/>
        <v/>
      </c>
      <c r="CA344" s="2841" t="str">
        <f t="shared" si="259"/>
        <v/>
      </c>
      <c r="CB344" s="2841" t="str">
        <f t="shared" si="260"/>
        <v/>
      </c>
      <c r="CO344" s="2842">
        <f t="shared" si="261"/>
        <v>0</v>
      </c>
      <c r="CP344" s="2842">
        <f t="shared" si="262"/>
        <v>0</v>
      </c>
    </row>
    <row r="345" spans="1:94">
      <c r="A345" s="6263" t="s">
        <v>1920</v>
      </c>
      <c r="B345" s="6568"/>
      <c r="C345" s="6264"/>
      <c r="D345" s="1928">
        <f t="shared" si="256"/>
        <v>0</v>
      </c>
      <c r="E345" s="1713">
        <f t="shared" si="257"/>
        <v>0</v>
      </c>
      <c r="F345" s="431">
        <f t="shared" si="257"/>
        <v>0</v>
      </c>
      <c r="G345" s="1456"/>
      <c r="H345" s="1684"/>
      <c r="I345" s="1456"/>
      <c r="J345" s="1684"/>
      <c r="K345" s="1456"/>
      <c r="L345" s="1684"/>
      <c r="M345" s="1456"/>
      <c r="N345" s="1684"/>
      <c r="O345" s="1456"/>
      <c r="P345" s="1684"/>
      <c r="Q345" s="1456"/>
      <c r="R345" s="1684"/>
      <c r="S345" s="1456"/>
      <c r="T345" s="1684"/>
      <c r="U345" s="1456"/>
      <c r="V345" s="1684"/>
      <c r="W345" s="1456"/>
      <c r="X345" s="1684"/>
      <c r="Y345" s="1456"/>
      <c r="Z345" s="1684"/>
      <c r="AA345" s="1456"/>
      <c r="AB345" s="1684"/>
      <c r="AC345" s="1456"/>
      <c r="AD345" s="1684"/>
      <c r="AE345" s="1456"/>
      <c r="AF345" s="1684"/>
      <c r="AG345" s="1456"/>
      <c r="AH345" s="1684"/>
      <c r="AI345" s="1456"/>
      <c r="AJ345" s="1684"/>
      <c r="AK345" s="1456"/>
      <c r="AL345" s="1684"/>
      <c r="AM345" s="1456"/>
      <c r="AN345" s="1684"/>
      <c r="AO345" s="1456"/>
      <c r="AP345" s="1459"/>
      <c r="AQ345" s="1460"/>
      <c r="AR345" s="1461"/>
      <c r="AS345" t="str">
        <f t="shared" si="258"/>
        <v/>
      </c>
      <c r="CA345" s="2841" t="str">
        <f t="shared" si="259"/>
        <v/>
      </c>
      <c r="CB345" s="2841" t="str">
        <f t="shared" si="260"/>
        <v/>
      </c>
      <c r="CO345" s="2842">
        <f t="shared" si="261"/>
        <v>0</v>
      </c>
      <c r="CP345" s="2842">
        <f t="shared" si="262"/>
        <v>0</v>
      </c>
    </row>
    <row r="346" spans="1:94" ht="15.75">
      <c r="A346" s="2271" t="s">
        <v>1921</v>
      </c>
      <c r="B346" s="3359"/>
      <c r="C346" s="3359"/>
      <c r="D346" s="3360"/>
      <c r="E346" s="3361"/>
    </row>
    <row r="347" spans="1:94" ht="31.5">
      <c r="A347" s="5710" t="s">
        <v>1488</v>
      </c>
      <c r="B347" s="5712"/>
      <c r="C347" s="2186" t="s">
        <v>1922</v>
      </c>
      <c r="D347" s="2209" t="s">
        <v>1923</v>
      </c>
      <c r="E347" s="2209" t="s">
        <v>1924</v>
      </c>
    </row>
    <row r="348" spans="1:94">
      <c r="A348" s="6557" t="s">
        <v>1709</v>
      </c>
      <c r="B348" s="6558"/>
      <c r="C348" s="1653"/>
      <c r="D348" s="1430"/>
      <c r="E348" s="1430"/>
    </row>
    <row r="349" spans="1:94">
      <c r="A349" s="6553" t="s">
        <v>1925</v>
      </c>
      <c r="B349" s="6554"/>
      <c r="C349" s="1657"/>
      <c r="D349" s="1446"/>
      <c r="E349" s="1446"/>
    </row>
    <row r="350" spans="1:94">
      <c r="A350" s="6559" t="s">
        <v>1926</v>
      </c>
      <c r="B350" s="6560"/>
      <c r="C350" s="1657"/>
      <c r="D350" s="1446"/>
      <c r="E350" s="1446"/>
    </row>
    <row r="351" spans="1:94">
      <c r="A351" s="6553" t="s">
        <v>1714</v>
      </c>
      <c r="B351" s="6554"/>
      <c r="C351" s="1657"/>
      <c r="D351" s="1446"/>
      <c r="E351" s="1446"/>
    </row>
    <row r="352" spans="1:94">
      <c r="A352" s="6553" t="s">
        <v>1716</v>
      </c>
      <c r="B352" s="6554"/>
      <c r="C352" s="1657"/>
      <c r="D352" s="1446"/>
      <c r="E352" s="1446"/>
    </row>
    <row r="353" spans="1:5">
      <c r="A353" s="6553" t="s">
        <v>1927</v>
      </c>
      <c r="B353" s="6554"/>
      <c r="C353" s="1657"/>
      <c r="D353" s="1446"/>
      <c r="E353" s="1446"/>
    </row>
    <row r="354" spans="1:5">
      <c r="A354" s="6553" t="s">
        <v>1713</v>
      </c>
      <c r="B354" s="6554"/>
      <c r="C354" s="1657"/>
      <c r="D354" s="1446"/>
      <c r="E354" s="1446"/>
    </row>
    <row r="355" spans="1:5" ht="21" customHeight="1">
      <c r="A355" s="6555" t="s">
        <v>1928</v>
      </c>
      <c r="B355" s="6556"/>
      <c r="C355" s="1657"/>
      <c r="D355" s="1446"/>
      <c r="E355" s="1446"/>
    </row>
    <row r="356" spans="1:5">
      <c r="A356" s="6555" t="s">
        <v>1717</v>
      </c>
      <c r="B356" s="6556"/>
      <c r="C356" s="1657"/>
      <c r="D356" s="1446"/>
      <c r="E356" s="1446"/>
    </row>
    <row r="357" spans="1:5">
      <c r="A357" s="6555" t="s">
        <v>1718</v>
      </c>
      <c r="B357" s="6556"/>
      <c r="C357" s="1657"/>
      <c r="D357" s="1446"/>
      <c r="E357" s="1446"/>
    </row>
    <row r="358" spans="1:5">
      <c r="A358" s="6551" t="s">
        <v>1929</v>
      </c>
      <c r="B358" s="6552"/>
      <c r="C358" s="1664"/>
      <c r="D358" s="1461"/>
      <c r="E358" s="1461"/>
    </row>
    <row r="385" spans="1:2" ht="16.5" hidden="1" customHeight="1">
      <c r="A385" s="2099">
        <f>SUM(D12:D17,D21:D38,D44:D67,D71:D81,I71:I81,D85:D86,D91:D143,B148:B158,I148:I158,D163:D174,D182:D189,D195:D198,D202:D227,D232:D235,D242:D246,D251:D336,D341:D345,C348:E358)</f>
        <v>0</v>
      </c>
      <c r="B385" s="2100">
        <f>SUM(CO12:CZ345)</f>
        <v>0</v>
      </c>
    </row>
  </sheetData>
  <sheetProtection algorithmName="SHA-512" hashValue="JWo2ubc3crT7IVCCmnSs8H97cWruyyJMSnGJM5FnOyybYvehZprtOGOwQQd8uP4PlZUyF+dVilBruQm9Nl8CXg==" saltValue="KXnNragNU9S8hCueCW81JQ==" spinCount="100000" sheet="1" objects="1" scenarios="1"/>
  <mergeCells count="564">
    <mergeCell ref="G67:Z67"/>
    <mergeCell ref="A6:P6"/>
    <mergeCell ref="DR6:EI6"/>
    <mergeCell ref="A9:C11"/>
    <mergeCell ref="D9:F10"/>
    <mergeCell ref="G9:AP9"/>
    <mergeCell ref="AQ9:AQ11"/>
    <mergeCell ref="AR9:AR11"/>
    <mergeCell ref="AS9:AS11"/>
    <mergeCell ref="AT9:AT11"/>
    <mergeCell ref="AU9:AU11"/>
    <mergeCell ref="AV9:AV11"/>
    <mergeCell ref="AW9:AW11"/>
    <mergeCell ref="AX9:AX11"/>
    <mergeCell ref="G10:H10"/>
    <mergeCell ref="I10:J10"/>
    <mergeCell ref="K10:L10"/>
    <mergeCell ref="M10:N10"/>
    <mergeCell ref="O10:P10"/>
    <mergeCell ref="AO10:AP10"/>
    <mergeCell ref="AC10:AD10"/>
    <mergeCell ref="AE10:AF10"/>
    <mergeCell ref="AG10:AH10"/>
    <mergeCell ref="AI10:AJ10"/>
    <mergeCell ref="AK10:AL10"/>
    <mergeCell ref="AW19:AW20"/>
    <mergeCell ref="AX19:AX20"/>
    <mergeCell ref="A12:C12"/>
    <mergeCell ref="A13:C13"/>
    <mergeCell ref="A14:C14"/>
    <mergeCell ref="A15:C15"/>
    <mergeCell ref="A19:C20"/>
    <mergeCell ref="D19:F19"/>
    <mergeCell ref="G19:H19"/>
    <mergeCell ref="I19:J19"/>
    <mergeCell ref="K19:L19"/>
    <mergeCell ref="Q19:R19"/>
    <mergeCell ref="S19:T19"/>
    <mergeCell ref="U19:V19"/>
    <mergeCell ref="W19:X19"/>
    <mergeCell ref="AM10:AN10"/>
    <mergeCell ref="Q10:R10"/>
    <mergeCell ref="S10:T10"/>
    <mergeCell ref="U10:V10"/>
    <mergeCell ref="W10:X10"/>
    <mergeCell ref="Y10:Z10"/>
    <mergeCell ref="AA10:AB10"/>
    <mergeCell ref="AU19:AU20"/>
    <mergeCell ref="A22:C22"/>
    <mergeCell ref="A23:C23"/>
    <mergeCell ref="A16:C16"/>
    <mergeCell ref="A17:C17"/>
    <mergeCell ref="A24:C24"/>
    <mergeCell ref="A25:C25"/>
    <mergeCell ref="A26:C26"/>
    <mergeCell ref="A27:C27"/>
    <mergeCell ref="AT19:AT20"/>
    <mergeCell ref="AV19:AV20"/>
    <mergeCell ref="A21:C21"/>
    <mergeCell ref="AK19:AL19"/>
    <mergeCell ref="AM19:AN19"/>
    <mergeCell ref="AO19:AP19"/>
    <mergeCell ref="AQ19:AQ20"/>
    <mergeCell ref="AR19:AR20"/>
    <mergeCell ref="AS19:AS20"/>
    <mergeCell ref="Y19:Z19"/>
    <mergeCell ref="AA19:AB19"/>
    <mergeCell ref="AC19:AD19"/>
    <mergeCell ref="AE19:AF19"/>
    <mergeCell ref="AG19:AH19"/>
    <mergeCell ref="AI19:AJ19"/>
    <mergeCell ref="M19:N19"/>
    <mergeCell ref="O19:P19"/>
    <mergeCell ref="A34:C34"/>
    <mergeCell ref="A35:C35"/>
    <mergeCell ref="A36:C36"/>
    <mergeCell ref="A37:C37"/>
    <mergeCell ref="A39:C39"/>
    <mergeCell ref="A41:C43"/>
    <mergeCell ref="A28:C28"/>
    <mergeCell ref="A29:C29"/>
    <mergeCell ref="A30:C30"/>
    <mergeCell ref="A31:C31"/>
    <mergeCell ref="A32:C32"/>
    <mergeCell ref="A33:C33"/>
    <mergeCell ref="AU41:AU43"/>
    <mergeCell ref="AV41:AV43"/>
    <mergeCell ref="AW41:AW43"/>
    <mergeCell ref="AX41:AX43"/>
    <mergeCell ref="G42:H42"/>
    <mergeCell ref="I42:J42"/>
    <mergeCell ref="K42:L42"/>
    <mergeCell ref="M42:N42"/>
    <mergeCell ref="O42:P42"/>
    <mergeCell ref="Q42:R42"/>
    <mergeCell ref="G41:AP41"/>
    <mergeCell ref="AQ41:AQ43"/>
    <mergeCell ref="AR41:AR43"/>
    <mergeCell ref="AS41:AS43"/>
    <mergeCell ref="AT41:AT43"/>
    <mergeCell ref="S42:T42"/>
    <mergeCell ref="U42:V42"/>
    <mergeCell ref="W42:X42"/>
    <mergeCell ref="Y42:Z42"/>
    <mergeCell ref="AM42:AN42"/>
    <mergeCell ref="AO42:AP42"/>
    <mergeCell ref="AK42:AL42"/>
    <mergeCell ref="A44:C44"/>
    <mergeCell ref="A45:C45"/>
    <mergeCell ref="A46:C46"/>
    <mergeCell ref="A47:C47"/>
    <mergeCell ref="AA42:AB42"/>
    <mergeCell ref="AC42:AD42"/>
    <mergeCell ref="AE42:AF42"/>
    <mergeCell ref="AG42:AH42"/>
    <mergeCell ref="AI42:AJ42"/>
    <mergeCell ref="D41:F42"/>
    <mergeCell ref="A63:C63"/>
    <mergeCell ref="B72:C72"/>
    <mergeCell ref="A48:C48"/>
    <mergeCell ref="A50:C50"/>
    <mergeCell ref="A51:B56"/>
    <mergeCell ref="A57:C57"/>
    <mergeCell ref="A58:B62"/>
    <mergeCell ref="A49:C49"/>
    <mergeCell ref="A64:B66"/>
    <mergeCell ref="A67:C67"/>
    <mergeCell ref="A69:C70"/>
    <mergeCell ref="A79:C79"/>
    <mergeCell ref="A80:C80"/>
    <mergeCell ref="A81:C81"/>
    <mergeCell ref="A83:C84"/>
    <mergeCell ref="D83:F83"/>
    <mergeCell ref="A85:A86"/>
    <mergeCell ref="B85:C85"/>
    <mergeCell ref="B86:C86"/>
    <mergeCell ref="A74:C74"/>
    <mergeCell ref="A75:C75"/>
    <mergeCell ref="A77:C77"/>
    <mergeCell ref="A78:C78"/>
    <mergeCell ref="A76:C76"/>
    <mergeCell ref="AR88:AR90"/>
    <mergeCell ref="AS88:AS90"/>
    <mergeCell ref="AT88:AT90"/>
    <mergeCell ref="AU88:AU90"/>
    <mergeCell ref="AV88:AV90"/>
    <mergeCell ref="AW88:AW90"/>
    <mergeCell ref="A88:C90"/>
    <mergeCell ref="D88:F89"/>
    <mergeCell ref="G88:AN88"/>
    <mergeCell ref="AO88:AO90"/>
    <mergeCell ref="AP88:AP90"/>
    <mergeCell ref="AQ88:AQ90"/>
    <mergeCell ref="G89:H89"/>
    <mergeCell ref="I89:J89"/>
    <mergeCell ref="K89:L89"/>
    <mergeCell ref="M89:N89"/>
    <mergeCell ref="AM89:AN89"/>
    <mergeCell ref="AI89:AJ89"/>
    <mergeCell ref="AK89:AL89"/>
    <mergeCell ref="AA89:AB89"/>
    <mergeCell ref="AC89:AD89"/>
    <mergeCell ref="AE89:AF89"/>
    <mergeCell ref="AG89:AH89"/>
    <mergeCell ref="O89:P89"/>
    <mergeCell ref="Q89:R89"/>
    <mergeCell ref="S89:T89"/>
    <mergeCell ref="U89:V89"/>
    <mergeCell ref="W89:X89"/>
    <mergeCell ref="Y89:Z89"/>
    <mergeCell ref="A103:C103"/>
    <mergeCell ref="A104:C104"/>
    <mergeCell ref="A105:C105"/>
    <mergeCell ref="A106:C106"/>
    <mergeCell ref="A107:C107"/>
    <mergeCell ref="B92:C92"/>
    <mergeCell ref="B93:C93"/>
    <mergeCell ref="B94:C94"/>
    <mergeCell ref="B95:C95"/>
    <mergeCell ref="B96:C96"/>
    <mergeCell ref="B97:C97"/>
    <mergeCell ref="B98:C98"/>
    <mergeCell ref="B99:C99"/>
    <mergeCell ref="B100:C100"/>
    <mergeCell ref="B101:C101"/>
    <mergeCell ref="B102:C102"/>
    <mergeCell ref="A113:C113"/>
    <mergeCell ref="A114:C114"/>
    <mergeCell ref="A115:C115"/>
    <mergeCell ref="A116:C116"/>
    <mergeCell ref="A117:C117"/>
    <mergeCell ref="A118:C118"/>
    <mergeCell ref="A108:C108"/>
    <mergeCell ref="A109:C109"/>
    <mergeCell ref="A110:C110"/>
    <mergeCell ref="A111:C111"/>
    <mergeCell ref="A112:C112"/>
    <mergeCell ref="A125:C125"/>
    <mergeCell ref="A126:C126"/>
    <mergeCell ref="A127:C127"/>
    <mergeCell ref="A128:C128"/>
    <mergeCell ref="A129:C129"/>
    <mergeCell ref="A119:C119"/>
    <mergeCell ref="A120:C120"/>
    <mergeCell ref="A121:C121"/>
    <mergeCell ref="A122:C122"/>
    <mergeCell ref="A123:C123"/>
    <mergeCell ref="A124:C124"/>
    <mergeCell ref="A138:C138"/>
    <mergeCell ref="A139:C139"/>
    <mergeCell ref="A142:C142"/>
    <mergeCell ref="A130:C130"/>
    <mergeCell ref="A131:C131"/>
    <mergeCell ref="A132:C132"/>
    <mergeCell ref="A133:C133"/>
    <mergeCell ref="A134:C134"/>
    <mergeCell ref="A135:C135"/>
    <mergeCell ref="AU145:AU147"/>
    <mergeCell ref="AV145:AV147"/>
    <mergeCell ref="AQ145:AQ147"/>
    <mergeCell ref="AR145:AR147"/>
    <mergeCell ref="A160:C162"/>
    <mergeCell ref="D160:F161"/>
    <mergeCell ref="G160:AP160"/>
    <mergeCell ref="A163:C163"/>
    <mergeCell ref="A164:C164"/>
    <mergeCell ref="AS160:AS162"/>
    <mergeCell ref="AT160:AT162"/>
    <mergeCell ref="AU160:AU162"/>
    <mergeCell ref="AV160:AV162"/>
    <mergeCell ref="A182:A189"/>
    <mergeCell ref="A195:A198"/>
    <mergeCell ref="A169:C169"/>
    <mergeCell ref="A170:B170"/>
    <mergeCell ref="A171:C171"/>
    <mergeCell ref="AQ160:AQ162"/>
    <mergeCell ref="AR160:AR162"/>
    <mergeCell ref="AS145:AS147"/>
    <mergeCell ref="AT145:AT147"/>
    <mergeCell ref="A165:C165"/>
    <mergeCell ref="A166:C166"/>
    <mergeCell ref="A167:C167"/>
    <mergeCell ref="A168:C168"/>
    <mergeCell ref="B192:C192"/>
    <mergeCell ref="B193:C193"/>
    <mergeCell ref="B194:C194"/>
    <mergeCell ref="B195:C195"/>
    <mergeCell ref="B179:C179"/>
    <mergeCell ref="B180:C180"/>
    <mergeCell ref="B181:C181"/>
    <mergeCell ref="B182:C182"/>
    <mergeCell ref="B196:B198"/>
    <mergeCell ref="B183:B189"/>
    <mergeCell ref="A174:C174"/>
    <mergeCell ref="AI229:AI231"/>
    <mergeCell ref="G230:H230"/>
    <mergeCell ref="A201:A203"/>
    <mergeCell ref="B201:B203"/>
    <mergeCell ref="A204:A211"/>
    <mergeCell ref="B204:B206"/>
    <mergeCell ref="B207:B208"/>
    <mergeCell ref="B209:B211"/>
    <mergeCell ref="A212:A216"/>
    <mergeCell ref="B212:C212"/>
    <mergeCell ref="B213:B214"/>
    <mergeCell ref="B215:B216"/>
    <mergeCell ref="A217:A219"/>
    <mergeCell ref="B217:B219"/>
    <mergeCell ref="A220:A221"/>
    <mergeCell ref="B220:B221"/>
    <mergeCell ref="A222:A226"/>
    <mergeCell ref="B222:B223"/>
    <mergeCell ref="B224:B226"/>
    <mergeCell ref="Y230:Z230"/>
    <mergeCell ref="AC229:AC231"/>
    <mergeCell ref="AD229:AD231"/>
    <mergeCell ref="AE229:AE231"/>
    <mergeCell ref="AF229:AF231"/>
    <mergeCell ref="A233:C233"/>
    <mergeCell ref="A234:C234"/>
    <mergeCell ref="A235:C235"/>
    <mergeCell ref="A236:C236"/>
    <mergeCell ref="A237:C237"/>
    <mergeCell ref="A239:C241"/>
    <mergeCell ref="D239:F240"/>
    <mergeCell ref="G239:G241"/>
    <mergeCell ref="G229:AB229"/>
    <mergeCell ref="K239:K241"/>
    <mergeCell ref="H239:H241"/>
    <mergeCell ref="I239:I241"/>
    <mergeCell ref="J239:J241"/>
    <mergeCell ref="A232:C232"/>
    <mergeCell ref="AG229:AG231"/>
    <mergeCell ref="AH229:AH231"/>
    <mergeCell ref="A229:C231"/>
    <mergeCell ref="D229:F230"/>
    <mergeCell ref="AA230:AB230"/>
    <mergeCell ref="I230:J230"/>
    <mergeCell ref="K230:L230"/>
    <mergeCell ref="M230:N230"/>
    <mergeCell ref="O230:P230"/>
    <mergeCell ref="Q230:R230"/>
    <mergeCell ref="S230:T230"/>
    <mergeCell ref="U230:V230"/>
    <mergeCell ref="W230:X230"/>
    <mergeCell ref="A244:C244"/>
    <mergeCell ref="A245:C245"/>
    <mergeCell ref="A246:C246"/>
    <mergeCell ref="A248:C250"/>
    <mergeCell ref="A251:A252"/>
    <mergeCell ref="B262:C262"/>
    <mergeCell ref="B263:C263"/>
    <mergeCell ref="B264:C264"/>
    <mergeCell ref="A242:C242"/>
    <mergeCell ref="A243:C243"/>
    <mergeCell ref="B256:C256"/>
    <mergeCell ref="B257:C257"/>
    <mergeCell ref="B258:C258"/>
    <mergeCell ref="B259:C259"/>
    <mergeCell ref="B260:C260"/>
    <mergeCell ref="B261:C261"/>
    <mergeCell ref="A253:A258"/>
    <mergeCell ref="A259:A264"/>
    <mergeCell ref="B251:C251"/>
    <mergeCell ref="B252:C252"/>
    <mergeCell ref="B253:C253"/>
    <mergeCell ref="B254:C254"/>
    <mergeCell ref="B255:C255"/>
    <mergeCell ref="A277:A282"/>
    <mergeCell ref="A283:A288"/>
    <mergeCell ref="B274:C274"/>
    <mergeCell ref="B275:C275"/>
    <mergeCell ref="B276:C276"/>
    <mergeCell ref="B277:C277"/>
    <mergeCell ref="B278:C278"/>
    <mergeCell ref="B279:C279"/>
    <mergeCell ref="B268:C268"/>
    <mergeCell ref="B269:C269"/>
    <mergeCell ref="B270:C270"/>
    <mergeCell ref="B271:C271"/>
    <mergeCell ref="B272:C272"/>
    <mergeCell ref="B273:C273"/>
    <mergeCell ref="A265:A270"/>
    <mergeCell ref="A271:A276"/>
    <mergeCell ref="B287:C287"/>
    <mergeCell ref="B288:C288"/>
    <mergeCell ref="B265:C265"/>
    <mergeCell ref="B266:C266"/>
    <mergeCell ref="B267:C267"/>
    <mergeCell ref="B289:C289"/>
    <mergeCell ref="B290:C290"/>
    <mergeCell ref="B291:C291"/>
    <mergeCell ref="B280:C280"/>
    <mergeCell ref="B281:C281"/>
    <mergeCell ref="B282:C282"/>
    <mergeCell ref="B283:C283"/>
    <mergeCell ref="B284:C284"/>
    <mergeCell ref="B285:C285"/>
    <mergeCell ref="B306:C306"/>
    <mergeCell ref="B307:C307"/>
    <mergeCell ref="B308:C308"/>
    <mergeCell ref="A313:A318"/>
    <mergeCell ref="B313:C313"/>
    <mergeCell ref="B314:C314"/>
    <mergeCell ref="B315:C315"/>
    <mergeCell ref="B316:C316"/>
    <mergeCell ref="B317:C317"/>
    <mergeCell ref="B318:C318"/>
    <mergeCell ref="B309:C309"/>
    <mergeCell ref="A307:A312"/>
    <mergeCell ref="B310:C310"/>
    <mergeCell ref="B311:C311"/>
    <mergeCell ref="B312:C312"/>
    <mergeCell ref="A301:A306"/>
    <mergeCell ref="D69:H69"/>
    <mergeCell ref="I69:M69"/>
    <mergeCell ref="N69:N70"/>
    <mergeCell ref="A71:C71"/>
    <mergeCell ref="A72:A73"/>
    <mergeCell ref="B73:C73"/>
    <mergeCell ref="B304:C304"/>
    <mergeCell ref="B305:C305"/>
    <mergeCell ref="B298:C298"/>
    <mergeCell ref="B299:C299"/>
    <mergeCell ref="B300:C300"/>
    <mergeCell ref="B301:C301"/>
    <mergeCell ref="B302:C302"/>
    <mergeCell ref="B303:C303"/>
    <mergeCell ref="B292:C292"/>
    <mergeCell ref="B293:C293"/>
    <mergeCell ref="B294:C294"/>
    <mergeCell ref="B295:C295"/>
    <mergeCell ref="B296:C296"/>
    <mergeCell ref="B297:C297"/>
    <mergeCell ref="A289:A294"/>
    <mergeCell ref="A295:A300"/>
    <mergeCell ref="B286:C286"/>
    <mergeCell ref="A172:C172"/>
    <mergeCell ref="AX88:AX90"/>
    <mergeCell ref="A91:A96"/>
    <mergeCell ref="B91:C91"/>
    <mergeCell ref="A97:A102"/>
    <mergeCell ref="A141:C141"/>
    <mergeCell ref="A145:A147"/>
    <mergeCell ref="B145:B147"/>
    <mergeCell ref="C145:C147"/>
    <mergeCell ref="D145:D147"/>
    <mergeCell ref="E145:E147"/>
    <mergeCell ref="F145:F147"/>
    <mergeCell ref="G145:G147"/>
    <mergeCell ref="H145:H147"/>
    <mergeCell ref="I145:I147"/>
    <mergeCell ref="J145:J147"/>
    <mergeCell ref="K145:K147"/>
    <mergeCell ref="L145:L147"/>
    <mergeCell ref="M145:M147"/>
    <mergeCell ref="N145:N147"/>
    <mergeCell ref="AW145:AW147"/>
    <mergeCell ref="AX145:AX147"/>
    <mergeCell ref="A143:C143"/>
    <mergeCell ref="A136:C136"/>
    <mergeCell ref="A137:C137"/>
    <mergeCell ref="AW160:AW162"/>
    <mergeCell ref="AX160:AX162"/>
    <mergeCell ref="G161:H161"/>
    <mergeCell ref="I161:J161"/>
    <mergeCell ref="K161:L161"/>
    <mergeCell ref="M161:N161"/>
    <mergeCell ref="O161:P161"/>
    <mergeCell ref="Q161:R161"/>
    <mergeCell ref="S161:T161"/>
    <mergeCell ref="U161:V161"/>
    <mergeCell ref="W161:X161"/>
    <mergeCell ref="Y161:Z161"/>
    <mergeCell ref="AA161:AB161"/>
    <mergeCell ref="AC161:AD161"/>
    <mergeCell ref="AE161:AF161"/>
    <mergeCell ref="AG161:AH161"/>
    <mergeCell ref="AI161:AJ161"/>
    <mergeCell ref="AK161:AL161"/>
    <mergeCell ref="AM161:AN161"/>
    <mergeCell ref="AO161:AP161"/>
    <mergeCell ref="A176:C178"/>
    <mergeCell ref="D176:F177"/>
    <mergeCell ref="G176:AP176"/>
    <mergeCell ref="AQ176:AQ178"/>
    <mergeCell ref="AR176:AR178"/>
    <mergeCell ref="AS176:AS178"/>
    <mergeCell ref="AT176:AT178"/>
    <mergeCell ref="AU176:AU178"/>
    <mergeCell ref="AV176:AV178"/>
    <mergeCell ref="AW176:AW178"/>
    <mergeCell ref="AX176:AX178"/>
    <mergeCell ref="G177:H177"/>
    <mergeCell ref="I177:J177"/>
    <mergeCell ref="K177:L177"/>
    <mergeCell ref="M177:N177"/>
    <mergeCell ref="O177:P177"/>
    <mergeCell ref="Q177:R177"/>
    <mergeCell ref="S177:T177"/>
    <mergeCell ref="U177:V177"/>
    <mergeCell ref="W177:X177"/>
    <mergeCell ref="Y177:Z177"/>
    <mergeCell ref="AA177:AB177"/>
    <mergeCell ref="AC177:AD177"/>
    <mergeCell ref="AE177:AF177"/>
    <mergeCell ref="AG177:AH177"/>
    <mergeCell ref="AI177:AJ177"/>
    <mergeCell ref="AK177:AL177"/>
    <mergeCell ref="AM177:AN177"/>
    <mergeCell ref="AO177:AP177"/>
    <mergeCell ref="D248:F249"/>
    <mergeCell ref="G248:AL248"/>
    <mergeCell ref="AM248:AM250"/>
    <mergeCell ref="AN248:AN250"/>
    <mergeCell ref="AO248:AP248"/>
    <mergeCell ref="AQ248:AQ250"/>
    <mergeCell ref="AR248:AR250"/>
    <mergeCell ref="AS248:AS250"/>
    <mergeCell ref="AT248:AT250"/>
    <mergeCell ref="AU248:AU250"/>
    <mergeCell ref="AV248:AV250"/>
    <mergeCell ref="AW248:AW250"/>
    <mergeCell ref="AX248:AX250"/>
    <mergeCell ref="G249:H249"/>
    <mergeCell ref="I249:J249"/>
    <mergeCell ref="K249:L249"/>
    <mergeCell ref="M249:N249"/>
    <mergeCell ref="O249:P249"/>
    <mergeCell ref="Q249:R249"/>
    <mergeCell ref="S249:T249"/>
    <mergeCell ref="U249:V249"/>
    <mergeCell ref="W249:X249"/>
    <mergeCell ref="Y249:Z249"/>
    <mergeCell ref="AA249:AB249"/>
    <mergeCell ref="AC249:AD249"/>
    <mergeCell ref="AE249:AF249"/>
    <mergeCell ref="AG249:AH249"/>
    <mergeCell ref="AI249:AJ249"/>
    <mergeCell ref="AK249:AL249"/>
    <mergeCell ref="AO249:AO250"/>
    <mergeCell ref="AP249:AP250"/>
    <mergeCell ref="B336:C336"/>
    <mergeCell ref="A338:C340"/>
    <mergeCell ref="D338:F339"/>
    <mergeCell ref="B323:C323"/>
    <mergeCell ref="B324:C324"/>
    <mergeCell ref="A325:A330"/>
    <mergeCell ref="B325:C325"/>
    <mergeCell ref="B326:C326"/>
    <mergeCell ref="B327:C327"/>
    <mergeCell ref="B328:C328"/>
    <mergeCell ref="B329:C329"/>
    <mergeCell ref="B330:C330"/>
    <mergeCell ref="A319:A324"/>
    <mergeCell ref="B319:C319"/>
    <mergeCell ref="B320:C320"/>
    <mergeCell ref="B321:C321"/>
    <mergeCell ref="B322:C322"/>
    <mergeCell ref="G338:AP338"/>
    <mergeCell ref="AQ338:AQ340"/>
    <mergeCell ref="AR338:AR340"/>
    <mergeCell ref="G339:H339"/>
    <mergeCell ref="I339:J339"/>
    <mergeCell ref="K339:L339"/>
    <mergeCell ref="M339:N339"/>
    <mergeCell ref="O339:P339"/>
    <mergeCell ref="Q339:R339"/>
    <mergeCell ref="S339:T339"/>
    <mergeCell ref="U339:V339"/>
    <mergeCell ref="W339:X339"/>
    <mergeCell ref="Y339:Z339"/>
    <mergeCell ref="AA339:AB339"/>
    <mergeCell ref="AC339:AD339"/>
    <mergeCell ref="AE339:AF339"/>
    <mergeCell ref="AG339:AH339"/>
    <mergeCell ref="AI339:AJ339"/>
    <mergeCell ref="AK339:AL339"/>
    <mergeCell ref="AM339:AN339"/>
    <mergeCell ref="AO339:AP339"/>
    <mergeCell ref="A227:C227"/>
    <mergeCell ref="A358:B358"/>
    <mergeCell ref="A354:B354"/>
    <mergeCell ref="A357:B357"/>
    <mergeCell ref="A347:B347"/>
    <mergeCell ref="A348:B348"/>
    <mergeCell ref="A349:B349"/>
    <mergeCell ref="A350:B350"/>
    <mergeCell ref="A351:B351"/>
    <mergeCell ref="A352:B352"/>
    <mergeCell ref="A355:B355"/>
    <mergeCell ref="A356:B356"/>
    <mergeCell ref="A353:B353"/>
    <mergeCell ref="A341:C341"/>
    <mergeCell ref="A342:C342"/>
    <mergeCell ref="A343:C343"/>
    <mergeCell ref="A344:C344"/>
    <mergeCell ref="A345:C345"/>
    <mergeCell ref="A331:A336"/>
    <mergeCell ref="B331:C331"/>
    <mergeCell ref="B332:C332"/>
    <mergeCell ref="B333:C333"/>
    <mergeCell ref="B334:C334"/>
    <mergeCell ref="B335:C335"/>
  </mergeCells>
  <dataValidations count="10">
    <dataValidation type="whole" operator="greaterThanOrEqual" allowBlank="1" showInputMessage="1" showErrorMessage="1" errorTitle="Error" error="Favor Ingrese sólo Números." sqref="O148:AX156 G12:AX17 G23:T33 U45:X63 E85:F86 AH183 AO196 AJ183 O157 G163:AX173 AC196 AE196 AF183 AD183 AQ196:AX196 G341:AR345 AD232:AD237 AL183 AG196 AN183 AI196 AP183:AX183 AK196 AM196 E242:K246 G45:R46 S44:T63 U21:AX38 G35:T38 G21:T21 G48:R63 AA44:AX67 Y44:Z66" xr:uid="{00EF0030-00A6-41B5-A4EE-0073001D00E6}">
      <formula1>0</formula1>
    </dataValidation>
    <dataValidation type="whole" operator="greaterThanOrEqual" allowBlank="1" showInputMessage="1" showErrorMessage="1" sqref="J71:N81 E71:H81 AA227:AX227" xr:uid="{000B00DE-0004-4C72-BE76-006800400050}">
      <formula1>0</formula1>
    </dataValidation>
    <dataValidation type="whole" operator="equal" allowBlank="1" showInputMessage="1" showErrorMessage="1" errorTitle="Error" error="Favor Ingrese sólo Números." sqref="G22:T22 G44:R44 G47:R47 U44:X44 G34:T34 G64:G67 H64:X66" xr:uid="{00FC00BC-0064-4099-AF5E-00F300830006}">
      <formula1>0</formula1>
    </dataValidation>
    <dataValidation type="whole" operator="equal" allowBlank="1" showInputMessage="1" showErrorMessage="1" sqref="AV331:AV333 AV335:AV336 AO332:AP332 AO333:AQ336 G232:J237 D236:F237 K236:T237 U232:AB237 AC236:AC237 AH236:AI237 AA220:AB221 Y220:Z227 G204:X227 Y204:Z216 AA209:AB216 AC212:AJ216 AM212:AP216 AS212:AT216 AV205:AV206 AV208 AV210:AV211 AV220:AV221 AV223 C199:AX200 AE182:AE189 AG182:AG189 AI182:AI189 AK182:AK189 AM182:AM189 AO182:AO189 AN195:AN198 G104:X104 AL195:AL198 AJ195:AJ198 AH195:AH198 AF195:AF198 AD195:AD198 G195:AB198 AV195 C190:AX191 F148 F151:F152 F154 F156 L148 L151:L152 L154 L156 G121:P127 Q122:X125 Q127:X127 G110:P114 D179:AX181 G182:AC189 B192:AX194 AP195:AP198 AV225:AV226" xr:uid="{001F0081-0008-4196-915C-0058004E0010}">
      <formula1>0</formula1>
    </dataValidation>
    <dataValidation type="whole" allowBlank="1" showInputMessage="1" showErrorMessage="1" sqref="AA202:AB208 Q105:X121 Y217:AB219 Y202:Z203 G128:X142 Y91:AX142 G105:P109 Q126:X126 G115:P120 G91:X103 AA222:AB226" xr:uid="{008300A6-0047-4976-8696-006000DE00D9}">
      <formula1>0</formula1>
      <formula2>9.99999999999999E+40</formula2>
    </dataValidation>
    <dataValidation type="whole" allowBlank="1" showInputMessage="1" showErrorMessage="1" sqref="AW195:AX195 F157 AQ202:AR226 AV224 AQ195:AU195 L149:L150 AS217:AT226 AU202:AU226 AS202:AT211 AW202:AX226 AQ197:AX198 AV202:AV204 AV207 AV209 AV212:AV219 AV222 AQ182:AX182 C148:E157 G148:H157 F149:F150 F153 F155 J148:K157 M148:N157 L157 L155 L153 AQ184:AX189 G251:AX330" xr:uid="{006D00EA-000E-436A-9624-00D800C600B1}">
      <formula1>0</formula1>
      <formula2>9.99999999999999E+39</formula2>
    </dataValidation>
    <dataValidation type="whole" allowBlank="1" showInputMessage="1" showErrorMessage="1" sqref="E182:E189 F195:F198" xr:uid="{00D500D1-005A-4648-9895-00100069004D}">
      <formula1>0</formula1>
      <formula2>9.99999999999999E+34</formula2>
    </dataValidation>
    <dataValidation type="whole" allowBlank="1" showInputMessage="1" showErrorMessage="1" sqref="G202:X203 C348:E358" xr:uid="{00E70020-00C0-4F0A-B46D-005D00810042}">
      <formula1>0</formula1>
      <formula2>9.99999999999999E+42</formula2>
    </dataValidation>
    <dataValidation type="whole" allowBlank="1" showInputMessage="1" showErrorMessage="1" sqref="AK195 AC217:AJ226 AD184:AD189 AK202:AL226 AC202:AJ211 AE197:AE198 AM202:AP211 AD182 AG195 AE195 AI195 AH182 AG197:AG198 AI197:AI198 AJ182 AK197:AK198 AO195 AM197:AM198 AM195 AL182 AP182 AO197:AO198 AP184:AP189 AC197:AC198 AN182 AN184:AN189 AL184:AL189 AJ184:AJ189 AH184:AH189 AF184:AF189 AF182 AC195 AM217:AP226" xr:uid="{00830063-00E6-4B4D-AAA0-0097009C008D}">
      <formula1>0</formula1>
      <formula2>9.99999999999999E+38</formula2>
    </dataValidation>
    <dataValidation type="whole" allowBlank="1" showInputMessage="1" showErrorMessage="1" sqref="AC232:AC235 K232:T235 AE232:AG237 AH232:AI235" xr:uid="{00BD0067-0007-43D2-B318-009C009A000E}">
      <formula1>0</formula1>
      <formula2>9.99999999999999E+37</formula2>
    </dataValidation>
  </dataValidations>
  <pageMargins left="0.7" right="0.7" top="0.75" bottom="0.75" header="0.3" footer="0.3"/>
  <pageSetup paperSize="9" orientation="portrait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Hoja11"/>
  <dimension ref="A1:EC311"/>
  <sheetViews>
    <sheetView showGridLines="0" workbookViewId="0"/>
  </sheetViews>
  <sheetFormatPr baseColWidth="10" defaultColWidth="11.42578125" defaultRowHeight="15"/>
  <cols>
    <col min="1" max="1" width="43.140625" customWidth="1"/>
    <col min="2" max="2" width="35.85546875" customWidth="1"/>
    <col min="3" max="3" width="16.85546875" customWidth="1"/>
    <col min="4" max="4" width="14.85546875" customWidth="1"/>
    <col min="5" max="5" width="14.5703125" customWidth="1"/>
    <col min="44" max="44" width="13.42578125" customWidth="1"/>
    <col min="46" max="46" width="12.85546875" customWidth="1"/>
    <col min="48" max="48" width="12.42578125" customWidth="1"/>
    <col min="50" max="50" width="12.140625" customWidth="1"/>
    <col min="76" max="77" width="8.140625" customWidth="1"/>
    <col min="78" max="78" width="9.42578125" customWidth="1"/>
    <col min="79" max="84" width="14" hidden="1" customWidth="1"/>
    <col min="85" max="90" width="11.42578125" hidden="1" customWidth="1"/>
    <col min="91" max="91" width="11.85546875" hidden="1" customWidth="1"/>
    <col min="92" max="131" width="11.42578125" hidden="1" customWidth="1"/>
    <col min="132" max="132" width="24.28515625" hidden="1" customWidth="1"/>
    <col min="133" max="133" width="11.42578125" hidden="1" customWidth="1"/>
    <col min="134" max="136" width="11.42578125" customWidth="1"/>
    <col min="137" max="137" width="9.42578125" customWidth="1"/>
    <col min="138" max="139" width="8.140625" customWidth="1"/>
  </cols>
  <sheetData>
    <row r="1" spans="1:133">
      <c r="A1" s="378" t="s">
        <v>37</v>
      </c>
    </row>
    <row r="2" spans="1:133">
      <c r="A2" s="378" t="str">
        <f>CONCATENATE("COMUNA: ",NOMBRE!B2, " (",NOMBRE!C2,NOMBRE!D2,NOMBRE!E2,NOMBRE!F2,NOMBRE!G2,")")</f>
        <v>COMUNA: MAIPU (13119)</v>
      </c>
    </row>
    <row r="3" spans="1:133">
      <c r="A3" s="378" t="str">
        <f>CONCATENATE("ESTABLECIMIENTO/ESTRATEGIA: ", NOMBRE!B3, " (",NOMBRE!C3,NOMBRE!D3,NOMBRE!E3,NOMBRE!F3,NOMBRE!G3,NOMBRE!H3,")")</f>
        <v>ESTABLECIMIENTO/ESTRATEGIA: CESFAM DR. CARLOS GODOY (111380)</v>
      </c>
    </row>
    <row r="4" spans="1:133">
      <c r="A4" s="378" t="str">
        <f>CONCATENATE("MES: ",NOMBRE!B6, " (",NOMBRE!C6,NOMBRE!D6,")")</f>
        <v>MES: MARZO (03)</v>
      </c>
    </row>
    <row r="5" spans="1:133">
      <c r="A5" s="378" t="str">
        <f>CONCATENATE("AÑO: ",NOMBRE!B7)</f>
        <v>AÑO: 2026</v>
      </c>
    </row>
    <row r="6" spans="1:133" s="417" customFormat="1" ht="18" customHeight="1">
      <c r="A6" s="5704" t="s">
        <v>1930</v>
      </c>
      <c r="B6" s="5704"/>
      <c r="C6" s="5704"/>
      <c r="D6" s="5704"/>
      <c r="E6" s="5704"/>
      <c r="F6" s="5704"/>
      <c r="G6" s="5704"/>
      <c r="H6" s="5704"/>
      <c r="I6" s="5704"/>
      <c r="J6" s="5704"/>
      <c r="K6" s="5704"/>
      <c r="L6" s="5704"/>
      <c r="M6" s="5704"/>
      <c r="N6" s="5704"/>
      <c r="O6" s="5704"/>
      <c r="P6" s="5704"/>
      <c r="Q6" s="3362"/>
      <c r="R6" s="3362"/>
      <c r="S6" s="3362"/>
      <c r="T6" s="3362"/>
      <c r="U6" s="3362"/>
      <c r="V6" s="3362"/>
      <c r="W6" s="3362"/>
      <c r="X6" s="3362"/>
      <c r="Y6" s="3362"/>
      <c r="Z6" s="3362"/>
      <c r="AA6" s="3362"/>
      <c r="AB6" s="3362"/>
      <c r="AC6" s="3362"/>
      <c r="AD6" s="3362"/>
      <c r="AE6" s="3362"/>
      <c r="AF6" s="382"/>
      <c r="AG6" s="382"/>
      <c r="AH6" s="382"/>
      <c r="AI6" s="382"/>
      <c r="AJ6" s="382"/>
      <c r="AK6" s="382"/>
      <c r="AL6" s="382"/>
      <c r="AM6" s="461"/>
      <c r="AN6" s="461"/>
      <c r="AO6" s="461"/>
      <c r="AP6" s="461"/>
      <c r="AQ6" s="461"/>
      <c r="AR6" s="461"/>
      <c r="AS6" s="461"/>
      <c r="AT6" s="461"/>
      <c r="AU6" s="461"/>
      <c r="AV6" s="461"/>
      <c r="AW6" s="461"/>
      <c r="AX6" s="3363"/>
      <c r="AY6" s="3363"/>
      <c r="AZ6" s="3363"/>
      <c r="BA6" s="3363"/>
      <c r="BB6" s="3363"/>
      <c r="BC6" s="3363"/>
      <c r="BD6" s="3363"/>
      <c r="BE6" s="3363"/>
      <c r="BF6" s="3363"/>
      <c r="BG6" s="3363"/>
      <c r="BH6" s="3363"/>
      <c r="BI6" s="3363"/>
      <c r="BJ6" s="461"/>
      <c r="BK6" s="461"/>
      <c r="BL6" s="461"/>
      <c r="BM6" s="461"/>
      <c r="BN6" s="461"/>
      <c r="BO6" s="461"/>
      <c r="BP6" s="461"/>
      <c r="BQ6" s="461"/>
      <c r="BR6" s="461"/>
      <c r="BS6" s="461"/>
      <c r="BT6" s="461"/>
      <c r="BU6" s="461"/>
      <c r="BV6" s="463"/>
      <c r="BW6" s="463"/>
      <c r="BX6" s="3364"/>
      <c r="BY6" s="3364"/>
      <c r="BZ6" s="3364"/>
      <c r="CA6" s="3365"/>
      <c r="CB6" s="3365"/>
      <c r="CC6" s="3365"/>
      <c r="CD6" s="3365"/>
      <c r="CE6" s="3365"/>
      <c r="CF6" s="3365"/>
      <c r="CG6" s="3365"/>
      <c r="CH6" s="3365"/>
      <c r="CI6" s="3365"/>
      <c r="CJ6" s="3365"/>
      <c r="CK6" s="3365"/>
      <c r="CL6" s="3365"/>
      <c r="CM6" s="3365"/>
      <c r="CN6" s="3365"/>
      <c r="CO6" s="3365"/>
      <c r="CP6" s="3365"/>
      <c r="CQ6" s="3365"/>
      <c r="CR6" s="3365"/>
      <c r="CS6" s="3365"/>
      <c r="CT6" s="3365"/>
      <c r="CU6" s="3365"/>
      <c r="CV6" s="3365"/>
      <c r="CW6" s="3365"/>
      <c r="CX6" s="3365"/>
      <c r="CY6" s="3365"/>
      <c r="CZ6" s="3365"/>
      <c r="DA6" s="3365"/>
      <c r="DB6" s="3365"/>
      <c r="DC6" s="3365"/>
      <c r="DD6" s="3365"/>
      <c r="DE6" s="3365"/>
      <c r="DF6" s="3365"/>
      <c r="DG6" s="3365"/>
      <c r="DH6" s="3365"/>
      <c r="DI6" s="3365"/>
      <c r="DJ6" s="3365"/>
      <c r="DK6" s="3365"/>
      <c r="DL6" s="3365"/>
      <c r="DM6" s="3365"/>
      <c r="DN6" s="3365"/>
      <c r="DO6" s="3365"/>
      <c r="DP6" s="3365"/>
      <c r="DQ6" s="3365"/>
      <c r="DR6" s="3365"/>
      <c r="DS6" s="3365"/>
      <c r="DT6" s="3365"/>
      <c r="DU6" s="3365"/>
      <c r="DV6" s="3365"/>
      <c r="DW6" s="3365"/>
      <c r="DX6" s="3365"/>
      <c r="DY6" s="3365"/>
      <c r="DZ6" s="3365"/>
      <c r="EA6" s="3365"/>
      <c r="EB6" s="3365"/>
      <c r="EC6" s="3365"/>
    </row>
    <row r="8" spans="1:133" s="3366" customFormat="1" ht="18" customHeight="1">
      <c r="A8" s="3367" t="s">
        <v>1931</v>
      </c>
      <c r="B8" s="3367"/>
      <c r="C8" s="3367"/>
      <c r="D8" s="3367"/>
      <c r="E8" s="3367"/>
      <c r="F8" s="3367"/>
      <c r="G8" s="3367"/>
      <c r="H8" s="3367"/>
      <c r="I8" s="3367"/>
      <c r="J8" s="3367"/>
      <c r="K8" s="3367"/>
      <c r="L8" s="3367"/>
      <c r="M8" s="3367"/>
      <c r="N8" s="3367"/>
      <c r="O8" s="3367"/>
      <c r="P8" s="3367"/>
      <c r="Q8" s="3367"/>
      <c r="R8" s="3367"/>
      <c r="S8" s="3367"/>
      <c r="T8" s="3367"/>
      <c r="U8" s="3367"/>
      <c r="V8" s="3367"/>
      <c r="W8" s="3367"/>
      <c r="X8" s="3367"/>
      <c r="Y8" s="3367"/>
      <c r="Z8" s="3367"/>
      <c r="AA8" s="3367"/>
      <c r="AB8" s="3367"/>
      <c r="AC8" s="3367"/>
      <c r="AD8" s="3367"/>
      <c r="AE8" s="3367"/>
      <c r="AF8" s="3367"/>
      <c r="AG8" s="3367"/>
      <c r="AH8" s="3367"/>
      <c r="AI8" s="3367"/>
      <c r="AJ8" s="3367"/>
      <c r="AK8" s="3367"/>
      <c r="AL8" s="3367"/>
      <c r="AM8" s="3367"/>
      <c r="AN8" s="3367"/>
      <c r="AO8" s="3367"/>
      <c r="AP8" s="3367"/>
      <c r="AQ8" s="3367"/>
    </row>
    <row r="9" spans="1:133" ht="18" customHeight="1">
      <c r="A9" s="3367" t="s">
        <v>1932</v>
      </c>
      <c r="B9" s="3367"/>
      <c r="C9" s="3367"/>
      <c r="D9" s="3367"/>
      <c r="E9" s="3367"/>
      <c r="F9" s="3367"/>
      <c r="G9" s="3367"/>
      <c r="H9" s="3367"/>
      <c r="I9" s="3367"/>
      <c r="J9" s="3367"/>
      <c r="K9" s="3367"/>
      <c r="L9" s="3367"/>
      <c r="M9" s="3367"/>
      <c r="N9" s="3367"/>
      <c r="O9" s="3367"/>
      <c r="P9" s="3367"/>
      <c r="Q9" s="3367"/>
      <c r="R9" s="3367"/>
      <c r="S9" s="3367"/>
      <c r="T9" s="3367"/>
      <c r="U9" s="3367"/>
      <c r="V9" s="3367"/>
      <c r="W9" s="3367"/>
      <c r="X9" s="3367"/>
      <c r="Y9" s="3367"/>
      <c r="Z9" s="3367"/>
      <c r="AA9" s="3367"/>
      <c r="AB9" s="3367"/>
      <c r="AC9" s="3367"/>
      <c r="AD9" s="3367"/>
      <c r="AE9" s="3367"/>
      <c r="AF9" s="3367"/>
      <c r="AG9" s="3367"/>
      <c r="AH9" s="3367"/>
      <c r="AI9" s="3367"/>
      <c r="AJ9" s="3367"/>
      <c r="AK9" s="3367"/>
      <c r="AL9" s="3367"/>
      <c r="AM9" s="3367"/>
      <c r="AN9" s="3367"/>
      <c r="AO9" s="3367"/>
      <c r="AP9" s="3367"/>
      <c r="AQ9" s="3367"/>
    </row>
    <row r="10" spans="1:133">
      <c r="A10" s="5718" t="s">
        <v>1933</v>
      </c>
      <c r="B10" s="6152" t="s">
        <v>91</v>
      </c>
      <c r="C10" s="6154"/>
      <c r="D10" s="5707" t="s">
        <v>43</v>
      </c>
      <c r="E10" s="5708"/>
      <c r="F10" s="5708"/>
      <c r="G10" s="5708"/>
      <c r="H10" s="5708"/>
      <c r="I10" s="5708"/>
      <c r="J10" s="5708"/>
      <c r="K10" s="5708"/>
      <c r="L10" s="5708"/>
      <c r="M10" s="5708"/>
      <c r="N10" s="5708"/>
      <c r="O10" s="5708"/>
      <c r="P10" s="5708"/>
      <c r="Q10" s="5708"/>
      <c r="R10" s="5708"/>
      <c r="S10" s="5708"/>
      <c r="T10" s="5708"/>
      <c r="U10" s="5708"/>
      <c r="V10" s="5708"/>
      <c r="W10" s="5708"/>
      <c r="X10" s="5708"/>
      <c r="Y10" s="5708"/>
      <c r="Z10" s="5708"/>
      <c r="AA10" s="5708"/>
      <c r="AB10" s="5708"/>
      <c r="AC10" s="5708"/>
      <c r="AD10" s="5708"/>
      <c r="AE10" s="5708"/>
      <c r="AF10" s="5708"/>
      <c r="AG10" s="5708"/>
      <c r="AH10" s="5708"/>
      <c r="AI10" s="5708"/>
      <c r="AJ10" s="5708"/>
      <c r="AK10" s="5708"/>
      <c r="AL10" s="5708"/>
      <c r="AM10" s="5708"/>
      <c r="AN10" s="5708"/>
      <c r="AO10" s="5708"/>
      <c r="AP10" s="5708"/>
      <c r="AQ10" s="6147"/>
      <c r="AR10" s="6106" t="s">
        <v>1934</v>
      </c>
      <c r="AS10" s="5716"/>
      <c r="AT10" s="6749" t="s">
        <v>478</v>
      </c>
      <c r="AU10" s="6750"/>
      <c r="AV10" s="6139" t="s">
        <v>50</v>
      </c>
      <c r="AW10" s="5718" t="s">
        <v>51</v>
      </c>
    </row>
    <row r="11" spans="1:133">
      <c r="A11" s="6110"/>
      <c r="B11" s="6155"/>
      <c r="C11" s="6157"/>
      <c r="D11" s="5710" t="s">
        <v>1935</v>
      </c>
      <c r="E11" s="6106"/>
      <c r="F11" s="5710" t="s">
        <v>963</v>
      </c>
      <c r="G11" s="6106"/>
      <c r="H11" s="5710" t="s">
        <v>1936</v>
      </c>
      <c r="I11" s="5712"/>
      <c r="J11" s="6106" t="s">
        <v>965</v>
      </c>
      <c r="K11" s="6106"/>
      <c r="L11" s="5710" t="s">
        <v>347</v>
      </c>
      <c r="M11" s="6106"/>
      <c r="N11" s="5710" t="s">
        <v>108</v>
      </c>
      <c r="O11" s="6106"/>
      <c r="P11" s="5710" t="s">
        <v>58</v>
      </c>
      <c r="Q11" s="6106"/>
      <c r="R11" s="5710" t="s">
        <v>59</v>
      </c>
      <c r="S11" s="6106"/>
      <c r="T11" s="5710" t="s">
        <v>60</v>
      </c>
      <c r="U11" s="5712"/>
      <c r="V11" s="5710" t="s">
        <v>61</v>
      </c>
      <c r="W11" s="5712"/>
      <c r="X11" s="5710" t="s">
        <v>62</v>
      </c>
      <c r="Y11" s="5712"/>
      <c r="Z11" s="5710" t="s">
        <v>63</v>
      </c>
      <c r="AA11" s="5712"/>
      <c r="AB11" s="5710" t="s">
        <v>64</v>
      </c>
      <c r="AC11" s="5712"/>
      <c r="AD11" s="5710" t="s">
        <v>65</v>
      </c>
      <c r="AE11" s="5712"/>
      <c r="AF11" s="5710" t="s">
        <v>66</v>
      </c>
      <c r="AG11" s="5712"/>
      <c r="AH11" s="5710" t="s">
        <v>67</v>
      </c>
      <c r="AI11" s="5712"/>
      <c r="AJ11" s="5710" t="s">
        <v>68</v>
      </c>
      <c r="AK11" s="5712"/>
      <c r="AL11" s="5710" t="s">
        <v>69</v>
      </c>
      <c r="AM11" s="5712"/>
      <c r="AN11" s="5710" t="s">
        <v>70</v>
      </c>
      <c r="AO11" s="5712"/>
      <c r="AP11" s="5710" t="s">
        <v>71</v>
      </c>
      <c r="AQ11" s="5716"/>
      <c r="AR11" s="6133" t="s">
        <v>72</v>
      </c>
      <c r="AS11" s="6228" t="s">
        <v>73</v>
      </c>
      <c r="AT11" s="6751"/>
      <c r="AU11" s="6752"/>
      <c r="AV11" s="6166"/>
      <c r="AW11" s="6110"/>
    </row>
    <row r="12" spans="1:133">
      <c r="A12" s="5719"/>
      <c r="B12" s="1395" t="s">
        <v>1937</v>
      </c>
      <c r="C12" s="1391" t="s">
        <v>1938</v>
      </c>
      <c r="D12" s="1395" t="s">
        <v>1937</v>
      </c>
      <c r="E12" s="1646" t="s">
        <v>1938</v>
      </c>
      <c r="F12" s="1395" t="s">
        <v>1937</v>
      </c>
      <c r="G12" s="1646" t="s">
        <v>1938</v>
      </c>
      <c r="H12" s="1395" t="s">
        <v>1937</v>
      </c>
      <c r="I12" s="1584" t="s">
        <v>1938</v>
      </c>
      <c r="J12" s="1396" t="s">
        <v>1937</v>
      </c>
      <c r="K12" s="1646" t="s">
        <v>1938</v>
      </c>
      <c r="L12" s="1395" t="s">
        <v>1937</v>
      </c>
      <c r="M12" s="1584" t="s">
        <v>1938</v>
      </c>
      <c r="N12" s="1396" t="s">
        <v>1937</v>
      </c>
      <c r="O12" s="1646" t="s">
        <v>1938</v>
      </c>
      <c r="P12" s="1395" t="s">
        <v>1937</v>
      </c>
      <c r="Q12" s="1646" t="s">
        <v>1938</v>
      </c>
      <c r="R12" s="1395" t="s">
        <v>1937</v>
      </c>
      <c r="S12" s="1646" t="s">
        <v>1938</v>
      </c>
      <c r="T12" s="1395" t="s">
        <v>1937</v>
      </c>
      <c r="U12" s="1646" t="s">
        <v>1938</v>
      </c>
      <c r="V12" s="1395" t="s">
        <v>1937</v>
      </c>
      <c r="W12" s="1646" t="s">
        <v>1938</v>
      </c>
      <c r="X12" s="1395" t="s">
        <v>1937</v>
      </c>
      <c r="Y12" s="1646" t="s">
        <v>1938</v>
      </c>
      <c r="Z12" s="1395" t="s">
        <v>1937</v>
      </c>
      <c r="AA12" s="1646" t="s">
        <v>1938</v>
      </c>
      <c r="AB12" s="1395" t="s">
        <v>1937</v>
      </c>
      <c r="AC12" s="1646" t="s">
        <v>1938</v>
      </c>
      <c r="AD12" s="1395" t="s">
        <v>1937</v>
      </c>
      <c r="AE12" s="1646" t="s">
        <v>1938</v>
      </c>
      <c r="AF12" s="1395" t="s">
        <v>1937</v>
      </c>
      <c r="AG12" s="1646" t="s">
        <v>1938</v>
      </c>
      <c r="AH12" s="1395" t="s">
        <v>1937</v>
      </c>
      <c r="AI12" s="1646" t="s">
        <v>1938</v>
      </c>
      <c r="AJ12" s="1395" t="s">
        <v>1937</v>
      </c>
      <c r="AK12" s="1646" t="s">
        <v>1938</v>
      </c>
      <c r="AL12" s="1395" t="s">
        <v>1937</v>
      </c>
      <c r="AM12" s="1646" t="s">
        <v>1938</v>
      </c>
      <c r="AN12" s="1395" t="s">
        <v>1937</v>
      </c>
      <c r="AO12" s="1646" t="s">
        <v>1938</v>
      </c>
      <c r="AP12" s="1395" t="s">
        <v>1937</v>
      </c>
      <c r="AQ12" s="1398" t="s">
        <v>1938</v>
      </c>
      <c r="AR12" s="6134"/>
      <c r="AS12" s="6229"/>
      <c r="AT12" s="1704" t="s">
        <v>483</v>
      </c>
      <c r="AU12" s="1706" t="s">
        <v>484</v>
      </c>
      <c r="AV12" s="6115"/>
      <c r="AW12" s="5719"/>
    </row>
    <row r="13" spans="1:133">
      <c r="A13" s="2386" t="s">
        <v>1939</v>
      </c>
      <c r="B13" s="2393">
        <f t="shared" ref="B13:C20" si="0">+N13+P13+R13+T13+V13+X13+Z13+AB13+AD13+AF13+AH13+AJ13+AL13+AN13+AP13</f>
        <v>0</v>
      </c>
      <c r="C13" s="1736">
        <f>+O13+Q13+S13+U13+W13+Y13+AA13+AC13+AE13+AG13+AI13+AK13+AM13+AO13+AQ13</f>
        <v>0</v>
      </c>
      <c r="D13" s="3368"/>
      <c r="E13" s="2377"/>
      <c r="F13" s="3368"/>
      <c r="G13" s="2377"/>
      <c r="H13" s="3368"/>
      <c r="I13" s="2377"/>
      <c r="J13" s="3368"/>
      <c r="K13" s="2377"/>
      <c r="L13" s="3368"/>
      <c r="M13" s="3369"/>
      <c r="N13" s="411"/>
      <c r="O13" s="3370"/>
      <c r="P13" s="413"/>
      <c r="Q13" s="3370"/>
      <c r="R13" s="413"/>
      <c r="S13" s="3370"/>
      <c r="T13" s="413"/>
      <c r="U13" s="3370"/>
      <c r="V13" s="413"/>
      <c r="W13" s="3370"/>
      <c r="X13" s="413"/>
      <c r="Y13" s="3370"/>
      <c r="Z13" s="413"/>
      <c r="AA13" s="3370"/>
      <c r="AB13" s="413"/>
      <c r="AC13" s="3370"/>
      <c r="AD13" s="413"/>
      <c r="AE13" s="3370"/>
      <c r="AF13" s="413"/>
      <c r="AG13" s="3370"/>
      <c r="AH13" s="413"/>
      <c r="AI13" s="3370"/>
      <c r="AJ13" s="413"/>
      <c r="AK13" s="3370"/>
      <c r="AL13" s="413"/>
      <c r="AM13" s="3370"/>
      <c r="AN13" s="413"/>
      <c r="AO13" s="3370"/>
      <c r="AP13" s="413"/>
      <c r="AQ13" s="414"/>
      <c r="AR13" s="3371"/>
      <c r="AS13" s="426"/>
      <c r="AT13" s="3372"/>
      <c r="AU13" s="426"/>
      <c r="AV13" s="2249"/>
      <c r="AW13" s="452"/>
      <c r="AX13" s="3373" t="str">
        <f t="shared" ref="AX13:AX20" si="1">$CA13&amp;CB13&amp;CC13&amp;$CD13&amp;CJ13&amp;CK13&amp;CL13&amp;CM13&amp;CN13&amp;CO13&amp;CP13&amp;CQ13&amp;CR13&amp;CS13&amp;CT13&amp;CU13&amp;CV13&amp;CW13&amp;CX13</f>
        <v/>
      </c>
      <c r="CA13" s="418" t="str">
        <f t="shared" ref="CA13:CA17" si="2">IF(B13&lt;&gt;(AS13)," * La suma de las columnas "&amp;AR$10&amp;""&amp;" DEBE SER IGUAL a los Exámenes Procesados. ","")</f>
        <v/>
      </c>
      <c r="CB13" s="418" t="str">
        <f t="shared" ref="CB13:CB30" si="3">IF(AND($B13&gt;0,AND(AT13="",AU13="")),"* No olvide ingresar las columnas Trans Masculino o Femenino (Digite CERO si no tiene). ",IF((AT13+AU13)&gt;$B13,"* El Número de Trans Masculino o Femenino no puede superar el Total Procesados. ",""))</f>
        <v/>
      </c>
      <c r="CC13" s="418" t="str">
        <f t="shared" ref="CC13:CC74" si="4">IF(AND($B13&gt;0,AV13=""),"* No olvide ingresar la columna "&amp;AV$10&amp;""&amp;" *(Digite CERO si no tiene). ",IF(AV13&gt;$B13," *El Número de "&amp;AV$10&amp;""&amp;" no puede superar el Total Procesados. ",""))</f>
        <v/>
      </c>
      <c r="CD13" s="418" t="str">
        <f t="shared" ref="CD13:CD74" si="5">IF(AND($B13&gt;0,AW13=""),"* No olvide ingresar la columna "&amp;AW$10&amp;""&amp;" *(Digite CERO si no tiene). ",IF(AW13&gt;$B13," *El Número de "&amp;AW$10&amp;""&amp;" no puede superar el Total Procesados. ",""))</f>
        <v/>
      </c>
      <c r="CE13" s="3374"/>
      <c r="CF13" s="3374"/>
      <c r="CG13" s="3374"/>
      <c r="CH13" s="3374"/>
      <c r="CI13" s="3374"/>
      <c r="CJ13" s="418" t="str">
        <f t="shared" ref="CJ13:CJ74" si="6">IF(N13&lt;O13,CONCATENATE("* El total de Procesados debe ser mayor o igual al total de Reactivos en el grupo de edad ",$N$11),"")</f>
        <v/>
      </c>
      <c r="CK13" s="418" t="str">
        <f t="shared" ref="CK13:CK74" si="7">IF(P13&lt;Q13,CONCATENATE("* El total de Procesados debe ser mayor o igual al total de Reactivos en el grupo de edad ",$P$11),"")</f>
        <v/>
      </c>
      <c r="CL13" s="418" t="str">
        <f t="shared" ref="CL13:CL74" si="8">IF(R13&lt;S13,CONCATENATE("* El total de Procesados debe ser mayor o igual al total de Reactivos en el grupo de edad ",$R$11),"")</f>
        <v/>
      </c>
      <c r="CM13" s="418" t="str">
        <f t="shared" ref="CM13:CM74" si="9">IF($T13&lt;$U13,CONCATENATE("* El total de Procesados debe ser mayor o igual al total de Reactivos en el grupo de edad ",$T$11),"")</f>
        <v/>
      </c>
      <c r="CN13" s="418" t="str">
        <f t="shared" ref="CN13:CN74" si="10">IF(V13&lt;W13,CONCATENATE("* El total de Procesados debe ser mayor o igual al total de Reactivos en el grupo de edad ",$V$11),"")</f>
        <v/>
      </c>
      <c r="CO13" s="418" t="str">
        <f t="shared" ref="CO13:CO74" si="11">IF(X13&lt;Y13,CONCATENATE("* El total de Procesados debe ser mayor o igual al total de Reactivos en el grupo de edad ",$X$11),"")</f>
        <v/>
      </c>
      <c r="CP13" s="418" t="str">
        <f t="shared" ref="CP13:CP74" si="12">IF(Z13&lt;AA13,CONCATENATE("* El total de Procesados debe ser mayor o igual al total de Reactivos en el grupo de edad ",$Z$11),"")</f>
        <v/>
      </c>
      <c r="CQ13" s="418" t="str">
        <f t="shared" ref="CQ13:CQ74" si="13">IF(AB13&lt;AC13,CONCATENATE("* El total de Procesados debe ser mayor o igual al total de Reactivos en el grupo de edad ",$AB$11),"")</f>
        <v/>
      </c>
      <c r="CR13" s="418" t="str">
        <f t="shared" ref="CR13:CR74" si="14">IF(AD13&lt;AE13,CONCATENATE("* El total de Procesados debe ser mayor o igual al total de Reactivos en el grupo de edad ",$AD$11),"")</f>
        <v/>
      </c>
      <c r="CS13" s="418" t="str">
        <f t="shared" ref="CS13:CS74" si="15">IF(AF13&lt;AG13,CONCATENATE("* El total de Procesados debe ser mayor o igual al total de Reactivos en el grupo de edad ",$AF$11),"")</f>
        <v/>
      </c>
      <c r="CT13" s="418" t="str">
        <f t="shared" ref="CT13:CT74" si="16">IF(AH13&lt;AI13,CONCATENATE("* El total de Procesados debe ser mayor o igual al total de Reactivos en el grupo de edad ",$AH$11),"")</f>
        <v/>
      </c>
      <c r="CU13" s="418" t="str">
        <f t="shared" ref="CU13:CU74" si="17">IF(AJ13&lt;AK13,CONCATENATE("* El total de Procesados debe ser mayor o igual al total de Reactivos en el grupo de edad ",$AJ$11),"")</f>
        <v/>
      </c>
      <c r="CV13" s="418" t="str">
        <f t="shared" ref="CV13:CV74" si="18">IF(AL13&lt;AM13,CONCATENATE("* El total de Procesados debe ser mayor o igual al total de Reactivos en el grupo de edad ",$AL$11),"")</f>
        <v/>
      </c>
      <c r="CW13" s="418" t="str">
        <f t="shared" ref="CW13:CW74" si="19">IF(AN13&lt;AO13,CONCATENATE("* El total de Procesados debe ser mayor o igual al total de Reactivos en el grupo de edad ",$AN$11),"")</f>
        <v/>
      </c>
      <c r="CX13" s="418" t="str">
        <f t="shared" ref="CX13:CX74" si="20">IF(AP13&lt;AQ13,CONCATENATE("* El total de Procesados debe ser mayor o igual al total de Reactivos en el grupo de edad ",$AP$11),"")</f>
        <v/>
      </c>
      <c r="CY13" s="417"/>
      <c r="CZ13" s="3366"/>
      <c r="DA13" s="3366"/>
      <c r="DE13" s="417"/>
      <c r="DF13" s="3375">
        <f t="shared" ref="DF13:DF17" si="21">IF(B13&lt;&gt;(AS13),1,0)</f>
        <v>0</v>
      </c>
      <c r="DG13" s="3375">
        <f t="shared" ref="DG13:DG74" si="22">IF(AND($B13&gt;0,AND(AT13="",AU13="")),1,IF((AT13+AU13)&gt;$B13,1,0))</f>
        <v>0</v>
      </c>
      <c r="DH13" s="3375">
        <f t="shared" ref="DH13:DH74" si="23">IF(AND($B13&gt;0,AV13=""),1,IF(AV13&gt;$B13,1,0))</f>
        <v>0</v>
      </c>
      <c r="DI13" s="3375">
        <f t="shared" ref="DI13:DI74" si="24">IF(AND($B13&gt;0,AW13=""),1,IF(AW13&gt;$B13,1,0))</f>
        <v>0</v>
      </c>
      <c r="DJ13" s="3374"/>
      <c r="DK13" s="3374"/>
      <c r="DL13" s="3374"/>
      <c r="DM13" s="3374"/>
      <c r="DN13" s="3374"/>
      <c r="DO13" s="3375">
        <f t="shared" ref="DO13:DO74" si="25">IF(N13&lt;O13,1,0)</f>
        <v>0</v>
      </c>
      <c r="DP13" s="3375">
        <f t="shared" ref="DP13:DP74" si="26">IF(P13&lt;Q13,1,0)</f>
        <v>0</v>
      </c>
      <c r="DQ13" s="3375">
        <f t="shared" ref="DQ13:DQ74" si="27">IF(R13&lt;S13,1,0)</f>
        <v>0</v>
      </c>
      <c r="DR13" s="3375">
        <f t="shared" ref="DR13:DR74" si="28">IF($T13&lt;$U13,1,0)</f>
        <v>0</v>
      </c>
      <c r="DS13" s="3375">
        <f t="shared" ref="DS13:DS74" si="29">IF(V13&lt;W13,1,0)</f>
        <v>0</v>
      </c>
      <c r="DT13" s="3375">
        <f t="shared" ref="DT13:DT74" si="30">IF(X13&lt;Y13,1,0)</f>
        <v>0</v>
      </c>
      <c r="DU13" s="3375">
        <f t="shared" ref="DU13:DU74" si="31">IF(Z13&lt;AA13,1,0)</f>
        <v>0</v>
      </c>
      <c r="DV13" s="3375">
        <f t="shared" ref="DV13:DV74" si="32">IF(AB13&lt;AC13,1,0)</f>
        <v>0</v>
      </c>
      <c r="DW13" s="3375">
        <f t="shared" ref="DW13:DW74" si="33">IF(AD13&lt;AE13,1,0)</f>
        <v>0</v>
      </c>
      <c r="DX13" s="3375">
        <f t="shared" ref="DX13:DX74" si="34">IF(AF13&lt;AG13,1,0)</f>
        <v>0</v>
      </c>
      <c r="DY13" s="3375">
        <f t="shared" ref="DY13:DY74" si="35">IF(AH13&lt;AI13,1,0)</f>
        <v>0</v>
      </c>
      <c r="DZ13" s="3375">
        <f t="shared" ref="DZ13:DZ74" si="36">IF(AJ13&lt;AK13,1,0)</f>
        <v>0</v>
      </c>
      <c r="EA13" s="3375">
        <f t="shared" ref="EA13:EA74" si="37">IF(AL13&lt;AM13,1,0)</f>
        <v>0</v>
      </c>
      <c r="EB13" s="3375">
        <f t="shared" ref="EB13:EB74" si="38">IF(AN13&lt;AO13,1,0)</f>
        <v>0</v>
      </c>
      <c r="EC13" s="3375">
        <f t="shared" ref="EC13:EC74" si="39">IF(AP13&lt;AQ13,1,0)</f>
        <v>0</v>
      </c>
    </row>
    <row r="14" spans="1:133">
      <c r="A14" s="2387" t="s">
        <v>1940</v>
      </c>
      <c r="B14" s="1737">
        <f t="shared" si="0"/>
        <v>0</v>
      </c>
      <c r="C14" s="1739">
        <f t="shared" si="0"/>
        <v>0</v>
      </c>
      <c r="D14" s="2381"/>
      <c r="E14" s="2885"/>
      <c r="F14" s="2381"/>
      <c r="G14" s="2885"/>
      <c r="H14" s="2381"/>
      <c r="I14" s="2885"/>
      <c r="J14" s="2381"/>
      <c r="K14" s="2885"/>
      <c r="L14" s="2381"/>
      <c r="M14" s="2382"/>
      <c r="N14" s="423"/>
      <c r="O14" s="3376"/>
      <c r="P14" s="425"/>
      <c r="Q14" s="3376"/>
      <c r="R14" s="425"/>
      <c r="S14" s="3376"/>
      <c r="T14" s="425"/>
      <c r="U14" s="3376"/>
      <c r="V14" s="425"/>
      <c r="W14" s="3376"/>
      <c r="X14" s="425"/>
      <c r="Y14" s="3376"/>
      <c r="Z14" s="425"/>
      <c r="AA14" s="3376"/>
      <c r="AB14" s="425"/>
      <c r="AC14" s="3376"/>
      <c r="AD14" s="425"/>
      <c r="AE14" s="3376"/>
      <c r="AF14" s="425"/>
      <c r="AG14" s="3376"/>
      <c r="AH14" s="425"/>
      <c r="AI14" s="3376"/>
      <c r="AJ14" s="425"/>
      <c r="AK14" s="3376"/>
      <c r="AL14" s="425"/>
      <c r="AM14" s="3376"/>
      <c r="AN14" s="425"/>
      <c r="AO14" s="3376"/>
      <c r="AP14" s="425"/>
      <c r="AQ14" s="426"/>
      <c r="AR14" s="3371"/>
      <c r="AS14" s="426"/>
      <c r="AT14" s="3372"/>
      <c r="AU14" s="426"/>
      <c r="AV14" s="2249"/>
      <c r="AW14" s="443"/>
      <c r="AX14" s="3373" t="str">
        <f t="shared" si="1"/>
        <v/>
      </c>
      <c r="CA14" s="418" t="str">
        <f t="shared" si="2"/>
        <v/>
      </c>
      <c r="CB14" s="418" t="str">
        <f t="shared" si="3"/>
        <v/>
      </c>
      <c r="CC14" s="418" t="str">
        <f t="shared" si="4"/>
        <v/>
      </c>
      <c r="CD14" s="418" t="str">
        <f t="shared" si="5"/>
        <v/>
      </c>
      <c r="CE14" s="3374"/>
      <c r="CF14" s="3374"/>
      <c r="CG14" s="3374"/>
      <c r="CH14" s="3374"/>
      <c r="CI14" s="3374"/>
      <c r="CJ14" s="418" t="str">
        <f t="shared" si="6"/>
        <v/>
      </c>
      <c r="CK14" s="418" t="str">
        <f t="shared" si="7"/>
        <v/>
      </c>
      <c r="CL14" s="418" t="str">
        <f t="shared" si="8"/>
        <v/>
      </c>
      <c r="CM14" s="418" t="str">
        <f t="shared" si="9"/>
        <v/>
      </c>
      <c r="CN14" s="418" t="str">
        <f t="shared" si="10"/>
        <v/>
      </c>
      <c r="CO14" s="418" t="str">
        <f t="shared" si="11"/>
        <v/>
      </c>
      <c r="CP14" s="418" t="str">
        <f t="shared" si="12"/>
        <v/>
      </c>
      <c r="CQ14" s="418" t="str">
        <f t="shared" si="13"/>
        <v/>
      </c>
      <c r="CR14" s="418" t="str">
        <f t="shared" si="14"/>
        <v/>
      </c>
      <c r="CS14" s="418" t="str">
        <f t="shared" si="15"/>
        <v/>
      </c>
      <c r="CT14" s="418" t="str">
        <f t="shared" si="16"/>
        <v/>
      </c>
      <c r="CU14" s="418" t="str">
        <f t="shared" si="17"/>
        <v/>
      </c>
      <c r="CV14" s="418" t="str">
        <f t="shared" si="18"/>
        <v/>
      </c>
      <c r="CW14" s="418" t="str">
        <f t="shared" si="19"/>
        <v/>
      </c>
      <c r="CX14" s="418" t="str">
        <f t="shared" si="20"/>
        <v/>
      </c>
      <c r="DE14" s="417"/>
      <c r="DF14" s="3375">
        <f t="shared" si="21"/>
        <v>0</v>
      </c>
      <c r="DG14" s="3375">
        <f t="shared" si="22"/>
        <v>0</v>
      </c>
      <c r="DH14" s="3375">
        <f t="shared" si="23"/>
        <v>0</v>
      </c>
      <c r="DI14" s="3375">
        <f t="shared" si="24"/>
        <v>0</v>
      </c>
      <c r="DJ14" s="3374"/>
      <c r="DK14" s="3374"/>
      <c r="DL14" s="3374"/>
      <c r="DM14" s="3374"/>
      <c r="DN14" s="3374"/>
      <c r="DO14" s="3375">
        <f t="shared" si="25"/>
        <v>0</v>
      </c>
      <c r="DP14" s="3375">
        <f t="shared" si="26"/>
        <v>0</v>
      </c>
      <c r="DQ14" s="3375">
        <f t="shared" si="27"/>
        <v>0</v>
      </c>
      <c r="DR14" s="3375">
        <f t="shared" si="28"/>
        <v>0</v>
      </c>
      <c r="DS14" s="3375">
        <f t="shared" si="29"/>
        <v>0</v>
      </c>
      <c r="DT14" s="3375">
        <f t="shared" si="30"/>
        <v>0</v>
      </c>
      <c r="DU14" s="3375">
        <f t="shared" si="31"/>
        <v>0</v>
      </c>
      <c r="DV14" s="3375">
        <f t="shared" si="32"/>
        <v>0</v>
      </c>
      <c r="DW14" s="3375">
        <f t="shared" si="33"/>
        <v>0</v>
      </c>
      <c r="DX14" s="3375">
        <f t="shared" si="34"/>
        <v>0</v>
      </c>
      <c r="DY14" s="3375">
        <f t="shared" si="35"/>
        <v>0</v>
      </c>
      <c r="DZ14" s="3375">
        <f t="shared" si="36"/>
        <v>0</v>
      </c>
      <c r="EA14" s="3375">
        <f t="shared" si="37"/>
        <v>0</v>
      </c>
      <c r="EB14" s="3375">
        <f t="shared" si="38"/>
        <v>0</v>
      </c>
      <c r="EC14" s="3375">
        <f t="shared" si="39"/>
        <v>0</v>
      </c>
    </row>
    <row r="15" spans="1:133">
      <c r="A15" s="2387" t="s">
        <v>1941</v>
      </c>
      <c r="B15" s="1737">
        <f t="shared" si="0"/>
        <v>0</v>
      </c>
      <c r="C15" s="1739">
        <f t="shared" si="0"/>
        <v>0</v>
      </c>
      <c r="D15" s="2381"/>
      <c r="E15" s="2885"/>
      <c r="F15" s="2381"/>
      <c r="G15" s="2885"/>
      <c r="H15" s="2381"/>
      <c r="I15" s="2885"/>
      <c r="J15" s="2381"/>
      <c r="K15" s="2885"/>
      <c r="L15" s="2381"/>
      <c r="M15" s="2382"/>
      <c r="N15" s="423"/>
      <c r="O15" s="3376"/>
      <c r="P15" s="425"/>
      <c r="Q15" s="3376"/>
      <c r="R15" s="425"/>
      <c r="S15" s="3376"/>
      <c r="T15" s="425"/>
      <c r="U15" s="3376"/>
      <c r="V15" s="425"/>
      <c r="W15" s="3376"/>
      <c r="X15" s="425"/>
      <c r="Y15" s="3376"/>
      <c r="Z15" s="425"/>
      <c r="AA15" s="3376"/>
      <c r="AB15" s="425"/>
      <c r="AC15" s="3376"/>
      <c r="AD15" s="425"/>
      <c r="AE15" s="3376"/>
      <c r="AF15" s="425"/>
      <c r="AG15" s="3376"/>
      <c r="AH15" s="425"/>
      <c r="AI15" s="3376"/>
      <c r="AJ15" s="425"/>
      <c r="AK15" s="3376"/>
      <c r="AL15" s="425"/>
      <c r="AM15" s="3376"/>
      <c r="AN15" s="425"/>
      <c r="AO15" s="3376"/>
      <c r="AP15" s="425"/>
      <c r="AQ15" s="426"/>
      <c r="AR15" s="3371"/>
      <c r="AS15" s="426"/>
      <c r="AT15" s="3372"/>
      <c r="AU15" s="426"/>
      <c r="AV15" s="2249"/>
      <c r="AW15" s="443"/>
      <c r="AX15" s="3373" t="str">
        <f t="shared" si="1"/>
        <v/>
      </c>
      <c r="CA15" s="418" t="str">
        <f t="shared" si="2"/>
        <v/>
      </c>
      <c r="CB15" s="418" t="str">
        <f t="shared" si="3"/>
        <v/>
      </c>
      <c r="CC15" s="418" t="str">
        <f t="shared" si="4"/>
        <v/>
      </c>
      <c r="CD15" s="418" t="str">
        <f t="shared" si="5"/>
        <v/>
      </c>
      <c r="CE15" s="3374"/>
      <c r="CF15" s="3374"/>
      <c r="CG15" s="3374"/>
      <c r="CH15" s="3374"/>
      <c r="CI15" s="3374"/>
      <c r="CJ15" s="418" t="str">
        <f t="shared" si="6"/>
        <v/>
      </c>
      <c r="CK15" s="418" t="str">
        <f t="shared" si="7"/>
        <v/>
      </c>
      <c r="CL15" s="418" t="str">
        <f t="shared" si="8"/>
        <v/>
      </c>
      <c r="CM15" s="418" t="str">
        <f t="shared" si="9"/>
        <v/>
      </c>
      <c r="CN15" s="418" t="str">
        <f t="shared" si="10"/>
        <v/>
      </c>
      <c r="CO15" s="418" t="str">
        <f t="shared" si="11"/>
        <v/>
      </c>
      <c r="CP15" s="418" t="str">
        <f t="shared" si="12"/>
        <v/>
      </c>
      <c r="CQ15" s="418" t="str">
        <f t="shared" si="13"/>
        <v/>
      </c>
      <c r="CR15" s="418" t="str">
        <f t="shared" si="14"/>
        <v/>
      </c>
      <c r="CS15" s="418" t="str">
        <f t="shared" si="15"/>
        <v/>
      </c>
      <c r="CT15" s="418" t="str">
        <f t="shared" si="16"/>
        <v/>
      </c>
      <c r="CU15" s="418" t="str">
        <f t="shared" si="17"/>
        <v/>
      </c>
      <c r="CV15" s="418" t="str">
        <f t="shared" si="18"/>
        <v/>
      </c>
      <c r="CW15" s="418" t="str">
        <f t="shared" si="19"/>
        <v/>
      </c>
      <c r="CX15" s="418" t="str">
        <f t="shared" si="20"/>
        <v/>
      </c>
      <c r="DE15" s="417"/>
      <c r="DF15" s="3375">
        <f t="shared" si="21"/>
        <v>0</v>
      </c>
      <c r="DG15" s="3375">
        <f t="shared" si="22"/>
        <v>0</v>
      </c>
      <c r="DH15" s="3375">
        <f t="shared" si="23"/>
        <v>0</v>
      </c>
      <c r="DI15" s="3375">
        <f t="shared" si="24"/>
        <v>0</v>
      </c>
      <c r="DJ15" s="3374"/>
      <c r="DK15" s="3374"/>
      <c r="DL15" s="3374"/>
      <c r="DM15" s="3374"/>
      <c r="DN15" s="3374"/>
      <c r="DO15" s="3375">
        <f t="shared" si="25"/>
        <v>0</v>
      </c>
      <c r="DP15" s="3375">
        <f t="shared" si="26"/>
        <v>0</v>
      </c>
      <c r="DQ15" s="3375">
        <f t="shared" si="27"/>
        <v>0</v>
      </c>
      <c r="DR15" s="3375">
        <f t="shared" si="28"/>
        <v>0</v>
      </c>
      <c r="DS15" s="3375">
        <f t="shared" si="29"/>
        <v>0</v>
      </c>
      <c r="DT15" s="3375">
        <f t="shared" si="30"/>
        <v>0</v>
      </c>
      <c r="DU15" s="3375">
        <f t="shared" si="31"/>
        <v>0</v>
      </c>
      <c r="DV15" s="3375">
        <f t="shared" si="32"/>
        <v>0</v>
      </c>
      <c r="DW15" s="3375">
        <f t="shared" si="33"/>
        <v>0</v>
      </c>
      <c r="DX15" s="3375">
        <f t="shared" si="34"/>
        <v>0</v>
      </c>
      <c r="DY15" s="3375">
        <f t="shared" si="35"/>
        <v>0</v>
      </c>
      <c r="DZ15" s="3375">
        <f t="shared" si="36"/>
        <v>0</v>
      </c>
      <c r="EA15" s="3375">
        <f t="shared" si="37"/>
        <v>0</v>
      </c>
      <c r="EB15" s="3375">
        <f t="shared" si="38"/>
        <v>0</v>
      </c>
      <c r="EC15" s="3375">
        <f t="shared" si="39"/>
        <v>0</v>
      </c>
    </row>
    <row r="16" spans="1:133">
      <c r="A16" s="2387" t="s">
        <v>1942</v>
      </c>
      <c r="B16" s="1737">
        <f t="shared" si="0"/>
        <v>0</v>
      </c>
      <c r="C16" s="1739">
        <f t="shared" si="0"/>
        <v>0</v>
      </c>
      <c r="D16" s="2381"/>
      <c r="E16" s="2885"/>
      <c r="F16" s="2381"/>
      <c r="G16" s="2885"/>
      <c r="H16" s="2381"/>
      <c r="I16" s="2885"/>
      <c r="J16" s="2381"/>
      <c r="K16" s="2885"/>
      <c r="L16" s="2381"/>
      <c r="M16" s="2382"/>
      <c r="N16" s="423"/>
      <c r="O16" s="3376"/>
      <c r="P16" s="425"/>
      <c r="Q16" s="3376"/>
      <c r="R16" s="425"/>
      <c r="S16" s="3376"/>
      <c r="T16" s="425"/>
      <c r="U16" s="3376"/>
      <c r="V16" s="425"/>
      <c r="W16" s="3376"/>
      <c r="X16" s="425"/>
      <c r="Y16" s="3376"/>
      <c r="Z16" s="425"/>
      <c r="AA16" s="3376"/>
      <c r="AB16" s="425"/>
      <c r="AC16" s="3376"/>
      <c r="AD16" s="425"/>
      <c r="AE16" s="3376"/>
      <c r="AF16" s="425"/>
      <c r="AG16" s="3376"/>
      <c r="AH16" s="425"/>
      <c r="AI16" s="3376"/>
      <c r="AJ16" s="425"/>
      <c r="AK16" s="3376"/>
      <c r="AL16" s="425"/>
      <c r="AM16" s="3376"/>
      <c r="AN16" s="425"/>
      <c r="AO16" s="3376"/>
      <c r="AP16" s="425"/>
      <c r="AQ16" s="426"/>
      <c r="AR16" s="3371"/>
      <c r="AS16" s="426"/>
      <c r="AT16" s="3372"/>
      <c r="AU16" s="426"/>
      <c r="AV16" s="2249"/>
      <c r="AW16" s="443"/>
      <c r="AX16" s="3373" t="str">
        <f t="shared" si="1"/>
        <v/>
      </c>
      <c r="CA16" s="418" t="str">
        <f t="shared" si="2"/>
        <v/>
      </c>
      <c r="CB16" s="418" t="str">
        <f t="shared" si="3"/>
        <v/>
      </c>
      <c r="CC16" s="418" t="str">
        <f t="shared" si="4"/>
        <v/>
      </c>
      <c r="CD16" s="418" t="str">
        <f t="shared" si="5"/>
        <v/>
      </c>
      <c r="CE16" s="3374"/>
      <c r="CF16" s="3374"/>
      <c r="CG16" s="3374"/>
      <c r="CH16" s="3374"/>
      <c r="CI16" s="3374"/>
      <c r="CJ16" s="418" t="str">
        <f t="shared" si="6"/>
        <v/>
      </c>
      <c r="CK16" s="418" t="str">
        <f t="shared" si="7"/>
        <v/>
      </c>
      <c r="CL16" s="418" t="str">
        <f t="shared" si="8"/>
        <v/>
      </c>
      <c r="CM16" s="418" t="str">
        <f t="shared" si="9"/>
        <v/>
      </c>
      <c r="CN16" s="418" t="str">
        <f t="shared" si="10"/>
        <v/>
      </c>
      <c r="CO16" s="418" t="str">
        <f t="shared" si="11"/>
        <v/>
      </c>
      <c r="CP16" s="418" t="str">
        <f t="shared" si="12"/>
        <v/>
      </c>
      <c r="CQ16" s="418" t="str">
        <f t="shared" si="13"/>
        <v/>
      </c>
      <c r="CR16" s="418" t="str">
        <f t="shared" si="14"/>
        <v/>
      </c>
      <c r="CS16" s="418" t="str">
        <f t="shared" si="15"/>
        <v/>
      </c>
      <c r="CT16" s="418" t="str">
        <f t="shared" si="16"/>
        <v/>
      </c>
      <c r="CU16" s="418" t="str">
        <f t="shared" si="17"/>
        <v/>
      </c>
      <c r="CV16" s="418" t="str">
        <f t="shared" si="18"/>
        <v/>
      </c>
      <c r="CW16" s="418" t="str">
        <f t="shared" si="19"/>
        <v/>
      </c>
      <c r="CX16" s="418" t="str">
        <f t="shared" si="20"/>
        <v/>
      </c>
      <c r="DE16" s="417"/>
      <c r="DF16" s="3375">
        <f t="shared" si="21"/>
        <v>0</v>
      </c>
      <c r="DG16" s="3375">
        <f t="shared" si="22"/>
        <v>0</v>
      </c>
      <c r="DH16" s="3375">
        <f t="shared" si="23"/>
        <v>0</v>
      </c>
      <c r="DI16" s="3375">
        <f t="shared" si="24"/>
        <v>0</v>
      </c>
      <c r="DJ16" s="3374"/>
      <c r="DK16" s="3374"/>
      <c r="DL16" s="3374"/>
      <c r="DM16" s="3374"/>
      <c r="DN16" s="3374"/>
      <c r="DO16" s="3375">
        <f t="shared" si="25"/>
        <v>0</v>
      </c>
      <c r="DP16" s="3375">
        <f t="shared" si="26"/>
        <v>0</v>
      </c>
      <c r="DQ16" s="3375">
        <f t="shared" si="27"/>
        <v>0</v>
      </c>
      <c r="DR16" s="3375">
        <f t="shared" si="28"/>
        <v>0</v>
      </c>
      <c r="DS16" s="3375">
        <f t="shared" si="29"/>
        <v>0</v>
      </c>
      <c r="DT16" s="3375">
        <f t="shared" si="30"/>
        <v>0</v>
      </c>
      <c r="DU16" s="3375">
        <f t="shared" si="31"/>
        <v>0</v>
      </c>
      <c r="DV16" s="3375">
        <f t="shared" si="32"/>
        <v>0</v>
      </c>
      <c r="DW16" s="3375">
        <f t="shared" si="33"/>
        <v>0</v>
      </c>
      <c r="DX16" s="3375">
        <f t="shared" si="34"/>
        <v>0</v>
      </c>
      <c r="DY16" s="3375">
        <f t="shared" si="35"/>
        <v>0</v>
      </c>
      <c r="DZ16" s="3375">
        <f t="shared" si="36"/>
        <v>0</v>
      </c>
      <c r="EA16" s="3375">
        <f t="shared" si="37"/>
        <v>0</v>
      </c>
      <c r="EB16" s="3375">
        <f t="shared" si="38"/>
        <v>0</v>
      </c>
      <c r="EC16" s="3375">
        <f t="shared" si="39"/>
        <v>0</v>
      </c>
    </row>
    <row r="17" spans="1:133">
      <c r="A17" s="1878" t="s">
        <v>1943</v>
      </c>
      <c r="B17" s="1737">
        <f t="shared" si="0"/>
        <v>0</v>
      </c>
      <c r="C17" s="1739">
        <f t="shared" si="0"/>
        <v>0</v>
      </c>
      <c r="D17" s="2381"/>
      <c r="E17" s="2885"/>
      <c r="F17" s="2381"/>
      <c r="G17" s="2885"/>
      <c r="H17" s="2381"/>
      <c r="I17" s="2885"/>
      <c r="J17" s="2381"/>
      <c r="K17" s="2885"/>
      <c r="L17" s="2381"/>
      <c r="M17" s="2382"/>
      <c r="N17" s="423"/>
      <c r="O17" s="3376"/>
      <c r="P17" s="425"/>
      <c r="Q17" s="3376"/>
      <c r="R17" s="425"/>
      <c r="S17" s="3376"/>
      <c r="T17" s="425"/>
      <c r="U17" s="3376"/>
      <c r="V17" s="425"/>
      <c r="W17" s="3376"/>
      <c r="X17" s="425"/>
      <c r="Y17" s="3376"/>
      <c r="Z17" s="425"/>
      <c r="AA17" s="3376"/>
      <c r="AB17" s="425"/>
      <c r="AC17" s="3376"/>
      <c r="AD17" s="425"/>
      <c r="AE17" s="3376"/>
      <c r="AF17" s="425"/>
      <c r="AG17" s="3376"/>
      <c r="AH17" s="425"/>
      <c r="AI17" s="3376"/>
      <c r="AJ17" s="425"/>
      <c r="AK17" s="3376"/>
      <c r="AL17" s="425"/>
      <c r="AM17" s="3376"/>
      <c r="AN17" s="425"/>
      <c r="AO17" s="3376"/>
      <c r="AP17" s="425"/>
      <c r="AQ17" s="426"/>
      <c r="AR17" s="3371"/>
      <c r="AS17" s="426"/>
      <c r="AT17" s="3372"/>
      <c r="AU17" s="426"/>
      <c r="AV17" s="2249"/>
      <c r="AW17" s="443"/>
      <c r="AX17" s="3373" t="str">
        <f t="shared" si="1"/>
        <v/>
      </c>
      <c r="CA17" s="418" t="str">
        <f t="shared" si="2"/>
        <v/>
      </c>
      <c r="CB17" s="418" t="str">
        <f t="shared" si="3"/>
        <v/>
      </c>
      <c r="CC17" s="418" t="str">
        <f t="shared" si="4"/>
        <v/>
      </c>
      <c r="CD17" s="418" t="str">
        <f t="shared" si="5"/>
        <v/>
      </c>
      <c r="CE17" s="3374"/>
      <c r="CF17" s="3374"/>
      <c r="CG17" s="3374"/>
      <c r="CH17" s="3374"/>
      <c r="CI17" s="3374"/>
      <c r="CJ17" s="418" t="str">
        <f t="shared" si="6"/>
        <v/>
      </c>
      <c r="CK17" s="418" t="str">
        <f t="shared" si="7"/>
        <v/>
      </c>
      <c r="CL17" s="418" t="str">
        <f t="shared" si="8"/>
        <v/>
      </c>
      <c r="CM17" s="418" t="str">
        <f t="shared" si="9"/>
        <v/>
      </c>
      <c r="CN17" s="418" t="str">
        <f t="shared" si="10"/>
        <v/>
      </c>
      <c r="CO17" s="418" t="str">
        <f t="shared" si="11"/>
        <v/>
      </c>
      <c r="CP17" s="418" t="str">
        <f t="shared" si="12"/>
        <v/>
      </c>
      <c r="CQ17" s="418" t="str">
        <f t="shared" si="13"/>
        <v/>
      </c>
      <c r="CR17" s="418" t="str">
        <f t="shared" si="14"/>
        <v/>
      </c>
      <c r="CS17" s="418" t="str">
        <f t="shared" si="15"/>
        <v/>
      </c>
      <c r="CT17" s="418" t="str">
        <f t="shared" si="16"/>
        <v/>
      </c>
      <c r="CU17" s="418" t="str">
        <f t="shared" si="17"/>
        <v/>
      </c>
      <c r="CV17" s="418" t="str">
        <f t="shared" si="18"/>
        <v/>
      </c>
      <c r="CW17" s="418" t="str">
        <f t="shared" si="19"/>
        <v/>
      </c>
      <c r="CX17" s="418" t="str">
        <f t="shared" si="20"/>
        <v/>
      </c>
      <c r="DE17" s="417"/>
      <c r="DF17" s="3375">
        <f t="shared" si="21"/>
        <v>0</v>
      </c>
      <c r="DG17" s="3375">
        <f t="shared" si="22"/>
        <v>0</v>
      </c>
      <c r="DH17" s="3375">
        <f t="shared" si="23"/>
        <v>0</v>
      </c>
      <c r="DI17" s="3375">
        <f t="shared" si="24"/>
        <v>0</v>
      </c>
      <c r="DJ17" s="3374"/>
      <c r="DK17" s="3374"/>
      <c r="DL17" s="3374"/>
      <c r="DM17" s="3374"/>
      <c r="DN17" s="3374"/>
      <c r="DO17" s="3375">
        <f t="shared" si="25"/>
        <v>0</v>
      </c>
      <c r="DP17" s="3375">
        <f t="shared" si="26"/>
        <v>0</v>
      </c>
      <c r="DQ17" s="3375">
        <f t="shared" si="27"/>
        <v>0</v>
      </c>
      <c r="DR17" s="3375">
        <f t="shared" si="28"/>
        <v>0</v>
      </c>
      <c r="DS17" s="3375">
        <f t="shared" si="29"/>
        <v>0</v>
      </c>
      <c r="DT17" s="3375">
        <f t="shared" si="30"/>
        <v>0</v>
      </c>
      <c r="DU17" s="3375">
        <f t="shared" si="31"/>
        <v>0</v>
      </c>
      <c r="DV17" s="3375">
        <f t="shared" si="32"/>
        <v>0</v>
      </c>
      <c r="DW17" s="3375">
        <f t="shared" si="33"/>
        <v>0</v>
      </c>
      <c r="DX17" s="3375">
        <f t="shared" si="34"/>
        <v>0</v>
      </c>
      <c r="DY17" s="3375">
        <f t="shared" si="35"/>
        <v>0</v>
      </c>
      <c r="DZ17" s="3375">
        <f t="shared" si="36"/>
        <v>0</v>
      </c>
      <c r="EA17" s="3375">
        <f t="shared" si="37"/>
        <v>0</v>
      </c>
      <c r="EB17" s="3375">
        <f t="shared" si="38"/>
        <v>0</v>
      </c>
      <c r="EC17" s="3375">
        <f t="shared" si="39"/>
        <v>0</v>
      </c>
    </row>
    <row r="18" spans="1:133">
      <c r="A18" s="1878" t="s">
        <v>1944</v>
      </c>
      <c r="B18" s="1737">
        <f t="shared" si="0"/>
        <v>0</v>
      </c>
      <c r="C18" s="1739">
        <f>+O18+Q18+S18+U18+W18+Y18+AA18+AC18+AE18+AG18+AI18+AK18+AM18+AO18+AQ18</f>
        <v>0</v>
      </c>
      <c r="D18" s="2381"/>
      <c r="E18" s="2885"/>
      <c r="F18" s="2381"/>
      <c r="G18" s="2885"/>
      <c r="H18" s="2381"/>
      <c r="I18" s="2885"/>
      <c r="J18" s="2381"/>
      <c r="K18" s="2885"/>
      <c r="L18" s="2381"/>
      <c r="M18" s="2382"/>
      <c r="N18" s="423"/>
      <c r="O18" s="3376"/>
      <c r="P18" s="425"/>
      <c r="Q18" s="3376"/>
      <c r="R18" s="425"/>
      <c r="S18" s="3376"/>
      <c r="T18" s="425"/>
      <c r="U18" s="3376"/>
      <c r="V18" s="425"/>
      <c r="W18" s="3376"/>
      <c r="X18" s="425"/>
      <c r="Y18" s="3376"/>
      <c r="Z18" s="425"/>
      <c r="AA18" s="3376"/>
      <c r="AB18" s="425"/>
      <c r="AC18" s="3376"/>
      <c r="AD18" s="425"/>
      <c r="AE18" s="3376"/>
      <c r="AF18" s="425"/>
      <c r="AG18" s="3376"/>
      <c r="AH18" s="425"/>
      <c r="AI18" s="3376"/>
      <c r="AJ18" s="425"/>
      <c r="AK18" s="3376"/>
      <c r="AL18" s="425"/>
      <c r="AM18" s="3376"/>
      <c r="AN18" s="425"/>
      <c r="AO18" s="3376"/>
      <c r="AP18" s="425"/>
      <c r="AQ18" s="426"/>
      <c r="AR18" s="423"/>
      <c r="AS18" s="426"/>
      <c r="AT18" s="3372"/>
      <c r="AU18" s="426"/>
      <c r="AV18" s="2249"/>
      <c r="AW18" s="443"/>
      <c r="AX18" s="3373" t="str">
        <f t="shared" si="1"/>
        <v/>
      </c>
      <c r="CA18" s="418" t="str">
        <f>IF(B18&lt;&gt;(AS18+AR18)," * La suma de las columnas "&amp;AR$10&amp;""&amp;" DEBE SER IGUAL a los Exámenes Procesados. ","")</f>
        <v/>
      </c>
      <c r="CB18" s="418" t="str">
        <f t="shared" si="3"/>
        <v/>
      </c>
      <c r="CC18" s="418" t="str">
        <f t="shared" si="4"/>
        <v/>
      </c>
      <c r="CD18" s="418" t="str">
        <f t="shared" si="5"/>
        <v/>
      </c>
      <c r="CE18" s="3374"/>
      <c r="CF18" s="3374"/>
      <c r="CG18" s="3374"/>
      <c r="CH18" s="3374"/>
      <c r="CI18" s="3374"/>
      <c r="CJ18" s="418" t="str">
        <f t="shared" si="6"/>
        <v/>
      </c>
      <c r="CK18" s="418" t="str">
        <f t="shared" si="7"/>
        <v/>
      </c>
      <c r="CL18" s="418" t="str">
        <f t="shared" si="8"/>
        <v/>
      </c>
      <c r="CM18" s="418" t="str">
        <f t="shared" si="9"/>
        <v/>
      </c>
      <c r="CN18" s="418" t="str">
        <f t="shared" si="10"/>
        <v/>
      </c>
      <c r="CO18" s="418" t="str">
        <f t="shared" si="11"/>
        <v/>
      </c>
      <c r="CP18" s="418" t="str">
        <f t="shared" si="12"/>
        <v/>
      </c>
      <c r="CQ18" s="418" t="str">
        <f t="shared" si="13"/>
        <v/>
      </c>
      <c r="CR18" s="418" t="str">
        <f t="shared" si="14"/>
        <v/>
      </c>
      <c r="CS18" s="418" t="str">
        <f t="shared" si="15"/>
        <v/>
      </c>
      <c r="CT18" s="418" t="str">
        <f t="shared" si="16"/>
        <v/>
      </c>
      <c r="CU18" s="418" t="str">
        <f t="shared" si="17"/>
        <v/>
      </c>
      <c r="CV18" s="418" t="str">
        <f t="shared" si="18"/>
        <v/>
      </c>
      <c r="CW18" s="418" t="str">
        <f t="shared" si="19"/>
        <v/>
      </c>
      <c r="CX18" s="418" t="str">
        <f t="shared" si="20"/>
        <v/>
      </c>
      <c r="DE18" s="417"/>
      <c r="DF18" s="3375">
        <f>IF(B18&lt;&gt;(AS18+AR18),1,0)</f>
        <v>0</v>
      </c>
      <c r="DG18" s="3375">
        <f t="shared" si="22"/>
        <v>0</v>
      </c>
      <c r="DH18" s="3375">
        <f t="shared" si="23"/>
        <v>0</v>
      </c>
      <c r="DI18" s="3375">
        <f t="shared" si="24"/>
        <v>0</v>
      </c>
      <c r="DJ18" s="3374"/>
      <c r="DK18" s="3374"/>
      <c r="DL18" s="3374"/>
      <c r="DM18" s="3374"/>
      <c r="DN18" s="3374"/>
      <c r="DO18" s="3375">
        <f t="shared" si="25"/>
        <v>0</v>
      </c>
      <c r="DP18" s="3375">
        <f t="shared" si="26"/>
        <v>0</v>
      </c>
      <c r="DQ18" s="3375">
        <f t="shared" si="27"/>
        <v>0</v>
      </c>
      <c r="DR18" s="3375">
        <f t="shared" si="28"/>
        <v>0</v>
      </c>
      <c r="DS18" s="3375">
        <f t="shared" si="29"/>
        <v>0</v>
      </c>
      <c r="DT18" s="3375">
        <f t="shared" si="30"/>
        <v>0</v>
      </c>
      <c r="DU18" s="3375">
        <f t="shared" si="31"/>
        <v>0</v>
      </c>
      <c r="DV18" s="3375">
        <f t="shared" si="32"/>
        <v>0</v>
      </c>
      <c r="DW18" s="3375">
        <f t="shared" si="33"/>
        <v>0</v>
      </c>
      <c r="DX18" s="3375">
        <f t="shared" si="34"/>
        <v>0</v>
      </c>
      <c r="DY18" s="3375">
        <f t="shared" si="35"/>
        <v>0</v>
      </c>
      <c r="DZ18" s="3375">
        <f t="shared" si="36"/>
        <v>0</v>
      </c>
      <c r="EA18" s="3375">
        <f t="shared" si="37"/>
        <v>0</v>
      </c>
      <c r="EB18" s="3375">
        <f t="shared" si="38"/>
        <v>0</v>
      </c>
      <c r="EC18" s="3375">
        <f t="shared" si="39"/>
        <v>0</v>
      </c>
    </row>
    <row r="19" spans="1:133">
      <c r="A19" s="1878" t="s">
        <v>1945</v>
      </c>
      <c r="B19" s="1737">
        <f t="shared" si="0"/>
        <v>0</v>
      </c>
      <c r="C19" s="1739">
        <f t="shared" si="0"/>
        <v>0</v>
      </c>
      <c r="D19" s="2381"/>
      <c r="E19" s="2885"/>
      <c r="F19" s="2381"/>
      <c r="G19" s="2885"/>
      <c r="H19" s="2381"/>
      <c r="I19" s="2885"/>
      <c r="J19" s="2381"/>
      <c r="K19" s="2885"/>
      <c r="L19" s="2381"/>
      <c r="M19" s="2382"/>
      <c r="N19" s="423"/>
      <c r="O19" s="3376"/>
      <c r="P19" s="425"/>
      <c r="Q19" s="3376"/>
      <c r="R19" s="425"/>
      <c r="S19" s="3376"/>
      <c r="T19" s="425"/>
      <c r="U19" s="3376"/>
      <c r="V19" s="425"/>
      <c r="W19" s="3376"/>
      <c r="X19" s="425"/>
      <c r="Y19" s="3376"/>
      <c r="Z19" s="425"/>
      <c r="AA19" s="3376"/>
      <c r="AB19" s="425"/>
      <c r="AC19" s="3376"/>
      <c r="AD19" s="425"/>
      <c r="AE19" s="3376"/>
      <c r="AF19" s="425"/>
      <c r="AG19" s="3376"/>
      <c r="AH19" s="425"/>
      <c r="AI19" s="3376"/>
      <c r="AJ19" s="425"/>
      <c r="AK19" s="3376"/>
      <c r="AL19" s="425"/>
      <c r="AM19" s="3376"/>
      <c r="AN19" s="425"/>
      <c r="AO19" s="3376"/>
      <c r="AP19" s="425"/>
      <c r="AQ19" s="426"/>
      <c r="AR19" s="3371"/>
      <c r="AS19" s="426"/>
      <c r="AT19" s="3372"/>
      <c r="AU19" s="426"/>
      <c r="AV19" s="2249"/>
      <c r="AW19" s="443"/>
      <c r="AX19" s="3373" t="str">
        <f t="shared" si="1"/>
        <v/>
      </c>
      <c r="CA19" s="418" t="str">
        <f t="shared" ref="CA19:CA21" si="40">IF(B19&lt;&gt;(AS19)," * La suma de las columnas "&amp;AR$10&amp;""&amp;" DEBE SER IGUAL a los Exámenes Procesados. ","")</f>
        <v/>
      </c>
      <c r="CB19" s="418" t="str">
        <f t="shared" si="3"/>
        <v/>
      </c>
      <c r="CC19" s="418" t="str">
        <f t="shared" si="4"/>
        <v/>
      </c>
      <c r="CD19" s="418" t="str">
        <f t="shared" si="5"/>
        <v/>
      </c>
      <c r="CE19" s="3374"/>
      <c r="CF19" s="3374"/>
      <c r="CG19" s="3374"/>
      <c r="CH19" s="3374"/>
      <c r="CI19" s="3374"/>
      <c r="CJ19" s="418" t="str">
        <f t="shared" si="6"/>
        <v/>
      </c>
      <c r="CK19" s="418" t="str">
        <f t="shared" si="7"/>
        <v/>
      </c>
      <c r="CL19" s="418" t="str">
        <f t="shared" si="8"/>
        <v/>
      </c>
      <c r="CM19" s="418" t="str">
        <f t="shared" si="9"/>
        <v/>
      </c>
      <c r="CN19" s="418" t="str">
        <f t="shared" si="10"/>
        <v/>
      </c>
      <c r="CO19" s="418" t="str">
        <f t="shared" si="11"/>
        <v/>
      </c>
      <c r="CP19" s="418" t="str">
        <f t="shared" si="12"/>
        <v/>
      </c>
      <c r="CQ19" s="418" t="str">
        <f t="shared" si="13"/>
        <v/>
      </c>
      <c r="CR19" s="418" t="str">
        <f t="shared" si="14"/>
        <v/>
      </c>
      <c r="CS19" s="418" t="str">
        <f t="shared" si="15"/>
        <v/>
      </c>
      <c r="CT19" s="418" t="str">
        <f t="shared" si="16"/>
        <v/>
      </c>
      <c r="CU19" s="418" t="str">
        <f t="shared" si="17"/>
        <v/>
      </c>
      <c r="CV19" s="418" t="str">
        <f t="shared" si="18"/>
        <v/>
      </c>
      <c r="CW19" s="418" t="str">
        <f t="shared" si="19"/>
        <v/>
      </c>
      <c r="CX19" s="418" t="str">
        <f t="shared" si="20"/>
        <v/>
      </c>
      <c r="DE19" s="417"/>
      <c r="DF19" s="3375">
        <f t="shared" ref="DF19:DF21" si="41">IF(B19&lt;&gt;(AS19),1,0)</f>
        <v>0</v>
      </c>
      <c r="DG19" s="3375">
        <f t="shared" si="22"/>
        <v>0</v>
      </c>
      <c r="DH19" s="3375">
        <f t="shared" si="23"/>
        <v>0</v>
      </c>
      <c r="DI19" s="3375">
        <f t="shared" si="24"/>
        <v>0</v>
      </c>
      <c r="DJ19" s="3374"/>
      <c r="DK19" s="3374"/>
      <c r="DL19" s="3374"/>
      <c r="DM19" s="3374"/>
      <c r="DN19" s="3374"/>
      <c r="DO19" s="3375">
        <f t="shared" si="25"/>
        <v>0</v>
      </c>
      <c r="DP19" s="3375">
        <f t="shared" si="26"/>
        <v>0</v>
      </c>
      <c r="DQ19" s="3375">
        <f t="shared" si="27"/>
        <v>0</v>
      </c>
      <c r="DR19" s="3375">
        <f t="shared" si="28"/>
        <v>0</v>
      </c>
      <c r="DS19" s="3375">
        <f t="shared" si="29"/>
        <v>0</v>
      </c>
      <c r="DT19" s="3375">
        <f t="shared" si="30"/>
        <v>0</v>
      </c>
      <c r="DU19" s="3375">
        <f t="shared" si="31"/>
        <v>0</v>
      </c>
      <c r="DV19" s="3375">
        <f t="shared" si="32"/>
        <v>0</v>
      </c>
      <c r="DW19" s="3375">
        <f t="shared" si="33"/>
        <v>0</v>
      </c>
      <c r="DX19" s="3375">
        <f t="shared" si="34"/>
        <v>0</v>
      </c>
      <c r="DY19" s="3375">
        <f t="shared" si="35"/>
        <v>0</v>
      </c>
      <c r="DZ19" s="3375">
        <f t="shared" si="36"/>
        <v>0</v>
      </c>
      <c r="EA19" s="3375">
        <f t="shared" si="37"/>
        <v>0</v>
      </c>
      <c r="EB19" s="3375">
        <f t="shared" si="38"/>
        <v>0</v>
      </c>
      <c r="EC19" s="3375">
        <f t="shared" si="39"/>
        <v>0</v>
      </c>
    </row>
    <row r="20" spans="1:133">
      <c r="A20" s="2387" t="s">
        <v>1946</v>
      </c>
      <c r="B20" s="1737">
        <f t="shared" si="0"/>
        <v>0</v>
      </c>
      <c r="C20" s="1739">
        <f>+O20+Q20+S20+U20+W20+Y20+AA20+AC20+AE20+AG20+AI20+AK20+AM20+AO20+AQ20</f>
        <v>0</v>
      </c>
      <c r="D20" s="2381"/>
      <c r="E20" s="2885"/>
      <c r="F20" s="2381"/>
      <c r="G20" s="2885"/>
      <c r="H20" s="2381"/>
      <c r="I20" s="2885"/>
      <c r="J20" s="2381"/>
      <c r="K20" s="2885"/>
      <c r="L20" s="2381"/>
      <c r="M20" s="2382"/>
      <c r="N20" s="423"/>
      <c r="O20" s="3376"/>
      <c r="P20" s="425"/>
      <c r="Q20" s="3376"/>
      <c r="R20" s="425"/>
      <c r="S20" s="3376"/>
      <c r="T20" s="425"/>
      <c r="U20" s="3376"/>
      <c r="V20" s="425"/>
      <c r="W20" s="3376"/>
      <c r="X20" s="425"/>
      <c r="Y20" s="3376"/>
      <c r="Z20" s="425"/>
      <c r="AA20" s="3376"/>
      <c r="AB20" s="425"/>
      <c r="AC20" s="3376"/>
      <c r="AD20" s="425"/>
      <c r="AE20" s="3376"/>
      <c r="AF20" s="425"/>
      <c r="AG20" s="3376"/>
      <c r="AH20" s="425"/>
      <c r="AI20" s="3376"/>
      <c r="AJ20" s="425"/>
      <c r="AK20" s="3376"/>
      <c r="AL20" s="425"/>
      <c r="AM20" s="3376"/>
      <c r="AN20" s="425"/>
      <c r="AO20" s="3376"/>
      <c r="AP20" s="425"/>
      <c r="AQ20" s="426"/>
      <c r="AR20" s="3371"/>
      <c r="AS20" s="426"/>
      <c r="AT20" s="3372"/>
      <c r="AU20" s="426"/>
      <c r="AV20" s="2249"/>
      <c r="AW20" s="443"/>
      <c r="AX20" s="3373" t="str">
        <f t="shared" si="1"/>
        <v/>
      </c>
      <c r="CA20" s="418" t="str">
        <f t="shared" si="40"/>
        <v/>
      </c>
      <c r="CB20" s="418" t="str">
        <f t="shared" si="3"/>
        <v/>
      </c>
      <c r="CC20" s="418" t="str">
        <f t="shared" si="4"/>
        <v/>
      </c>
      <c r="CD20" s="418" t="str">
        <f t="shared" si="5"/>
        <v/>
      </c>
      <c r="CE20" s="3374"/>
      <c r="CF20" s="3374"/>
      <c r="CG20" s="3374"/>
      <c r="CH20" s="3374"/>
      <c r="CI20" s="3374"/>
      <c r="CJ20" s="418" t="str">
        <f t="shared" si="6"/>
        <v/>
      </c>
      <c r="CK20" s="418" t="str">
        <f t="shared" si="7"/>
        <v/>
      </c>
      <c r="CL20" s="418" t="str">
        <f t="shared" si="8"/>
        <v/>
      </c>
      <c r="CM20" s="418" t="str">
        <f t="shared" si="9"/>
        <v/>
      </c>
      <c r="CN20" s="418" t="str">
        <f t="shared" si="10"/>
        <v/>
      </c>
      <c r="CO20" s="418" t="str">
        <f t="shared" si="11"/>
        <v/>
      </c>
      <c r="CP20" s="418" t="str">
        <f t="shared" si="12"/>
        <v/>
      </c>
      <c r="CQ20" s="418" t="str">
        <f t="shared" si="13"/>
        <v/>
      </c>
      <c r="CR20" s="418" t="str">
        <f t="shared" si="14"/>
        <v/>
      </c>
      <c r="CS20" s="418" t="str">
        <f t="shared" si="15"/>
        <v/>
      </c>
      <c r="CT20" s="418" t="str">
        <f t="shared" si="16"/>
        <v/>
      </c>
      <c r="CU20" s="418" t="str">
        <f t="shared" si="17"/>
        <v/>
      </c>
      <c r="CV20" s="418" t="str">
        <f t="shared" si="18"/>
        <v/>
      </c>
      <c r="CW20" s="418" t="str">
        <f t="shared" si="19"/>
        <v/>
      </c>
      <c r="CX20" s="418" t="str">
        <f t="shared" si="20"/>
        <v/>
      </c>
      <c r="DE20" s="417"/>
      <c r="DF20" s="3375">
        <f t="shared" si="41"/>
        <v>0</v>
      </c>
      <c r="DG20" s="3375">
        <f t="shared" si="22"/>
        <v>0</v>
      </c>
      <c r="DH20" s="3375">
        <f t="shared" si="23"/>
        <v>0</v>
      </c>
      <c r="DI20" s="3375">
        <f t="shared" si="24"/>
        <v>0</v>
      </c>
      <c r="DJ20" s="3374"/>
      <c r="DK20" s="3374"/>
      <c r="DL20" s="3374"/>
      <c r="DM20" s="3374"/>
      <c r="DN20" s="3374"/>
      <c r="DO20" s="3375">
        <f t="shared" si="25"/>
        <v>0</v>
      </c>
      <c r="DP20" s="3375">
        <f t="shared" si="26"/>
        <v>0</v>
      </c>
      <c r="DQ20" s="3375">
        <f t="shared" si="27"/>
        <v>0</v>
      </c>
      <c r="DR20" s="3375">
        <f t="shared" si="28"/>
        <v>0</v>
      </c>
      <c r="DS20" s="3375">
        <f t="shared" si="29"/>
        <v>0</v>
      </c>
      <c r="DT20" s="3375">
        <f t="shared" si="30"/>
        <v>0</v>
      </c>
      <c r="DU20" s="3375">
        <f t="shared" si="31"/>
        <v>0</v>
      </c>
      <c r="DV20" s="3375">
        <f t="shared" si="32"/>
        <v>0</v>
      </c>
      <c r="DW20" s="3375">
        <f t="shared" si="33"/>
        <v>0</v>
      </c>
      <c r="DX20" s="3375">
        <f t="shared" si="34"/>
        <v>0</v>
      </c>
      <c r="DY20" s="3375">
        <f t="shared" si="35"/>
        <v>0</v>
      </c>
      <c r="DZ20" s="3375">
        <f t="shared" si="36"/>
        <v>0</v>
      </c>
      <c r="EA20" s="3375">
        <f t="shared" si="37"/>
        <v>0</v>
      </c>
      <c r="EB20" s="3375">
        <f t="shared" si="38"/>
        <v>0</v>
      </c>
      <c r="EC20" s="3375">
        <f t="shared" si="39"/>
        <v>0</v>
      </c>
    </row>
    <row r="21" spans="1:133">
      <c r="A21" s="2387" t="s">
        <v>1947</v>
      </c>
      <c r="B21" s="1737">
        <f>+D21+F21+H21+J21+L21+N21+P21+R21+T21+V21+X21+Z21+AB21+AD21+AF21+AH21+AJ21+AL21+AN21+AP21</f>
        <v>0</v>
      </c>
      <c r="C21" s="1739">
        <f>+E21+G21+I21+K21+M21+O21+Q21+S21+U21+W21+Y21+AA21+AC21+AE21+AG21+AI21+AK21+AM21+AO21+AQ21</f>
        <v>0</v>
      </c>
      <c r="D21" s="425"/>
      <c r="E21" s="3376"/>
      <c r="F21" s="425"/>
      <c r="G21" s="3376"/>
      <c r="H21" s="425"/>
      <c r="I21" s="424"/>
      <c r="J21" s="423"/>
      <c r="K21" s="423"/>
      <c r="L21" s="425"/>
      <c r="M21" s="424"/>
      <c r="N21" s="423"/>
      <c r="O21" s="3376"/>
      <c r="P21" s="425"/>
      <c r="Q21" s="3376"/>
      <c r="R21" s="425"/>
      <c r="S21" s="3376"/>
      <c r="T21" s="425"/>
      <c r="U21" s="3376"/>
      <c r="V21" s="425"/>
      <c r="W21" s="3376"/>
      <c r="X21" s="425"/>
      <c r="Y21" s="3376"/>
      <c r="Z21" s="425"/>
      <c r="AA21" s="3376"/>
      <c r="AB21" s="425"/>
      <c r="AC21" s="3376"/>
      <c r="AD21" s="425"/>
      <c r="AE21" s="3376"/>
      <c r="AF21" s="425"/>
      <c r="AG21" s="3376"/>
      <c r="AH21" s="425"/>
      <c r="AI21" s="3376"/>
      <c r="AJ21" s="425"/>
      <c r="AK21" s="3376"/>
      <c r="AL21" s="425"/>
      <c r="AM21" s="3376"/>
      <c r="AN21" s="425"/>
      <c r="AO21" s="3376"/>
      <c r="AP21" s="425"/>
      <c r="AQ21" s="426"/>
      <c r="AR21" s="3371"/>
      <c r="AS21" s="426"/>
      <c r="AT21" s="3372"/>
      <c r="AU21" s="426"/>
      <c r="AV21" s="2249"/>
      <c r="AW21" s="443"/>
      <c r="AX21" s="3373" t="str">
        <f>$CA21&amp;CB21&amp;CC21&amp;$CD21&amp;CJ21&amp;CE21&amp;CF21&amp;CG21&amp;CH21&amp;CI21&amp;CK21&amp;CL21&amp;CM21&amp;CN21&amp;CO21&amp;CP21&amp;CQ21&amp;CR21&amp;CS21&amp;CT21&amp;CU21&amp;CV21&amp;CW21&amp;CX21</f>
        <v/>
      </c>
      <c r="CA21" s="418" t="str">
        <f t="shared" si="40"/>
        <v/>
      </c>
      <c r="CB21" s="418" t="str">
        <f t="shared" si="3"/>
        <v/>
      </c>
      <c r="CC21" s="418" t="str">
        <f t="shared" si="4"/>
        <v/>
      </c>
      <c r="CD21" s="418" t="str">
        <f t="shared" si="5"/>
        <v/>
      </c>
      <c r="CE21" s="418" t="str">
        <f t="shared" ref="CE21:CE74" si="42">IF(D21&lt;E21,CONCATENATE("* El total de Procesados debe ser mayor o igual al total de Reactivos en el grupo de edad ",$D$11),"")</f>
        <v/>
      </c>
      <c r="CF21" s="418" t="str">
        <f t="shared" ref="CF21:CF74" si="43">IF(F21&lt;G21,CONCATENATE("* El total de Procesados debe ser mayor o igual al total de Reactivos en el grupo de edad ",$F$11),"")</f>
        <v/>
      </c>
      <c r="CG21" s="418" t="str">
        <f t="shared" ref="CG21:CG74" si="44">IF(H21&lt;I21,CONCATENATE("* El total de Procesados debe ser mayor o igual al total de Reactivos en el grupo de edad ",$H$11),"")</f>
        <v/>
      </c>
      <c r="CH21" s="418" t="str">
        <f>IF(J21&lt;K21,CONCATENATE("* El total de Procesados debe ser mayor o igual al total de Reactivos en el grupo de edad ",$J$11),"")</f>
        <v/>
      </c>
      <c r="CI21" s="418" t="str">
        <f>IF(L21&lt;M21,CONCATENATE("* El total de Procesados debe ser mayor o igual al total de Reactivos en el grupo de edad ",$L$11),"")</f>
        <v/>
      </c>
      <c r="CJ21" s="418" t="str">
        <f t="shared" si="6"/>
        <v/>
      </c>
      <c r="CK21" s="418" t="str">
        <f t="shared" si="7"/>
        <v/>
      </c>
      <c r="CL21" s="418" t="str">
        <f t="shared" si="8"/>
        <v/>
      </c>
      <c r="CM21" s="418" t="str">
        <f t="shared" si="9"/>
        <v/>
      </c>
      <c r="CN21" s="418" t="str">
        <f t="shared" si="10"/>
        <v/>
      </c>
      <c r="CO21" s="418" t="str">
        <f t="shared" si="11"/>
        <v/>
      </c>
      <c r="CP21" s="418" t="str">
        <f t="shared" si="12"/>
        <v/>
      </c>
      <c r="CQ21" s="418" t="str">
        <f t="shared" si="13"/>
        <v/>
      </c>
      <c r="CR21" s="418" t="str">
        <f t="shared" si="14"/>
        <v/>
      </c>
      <c r="CS21" s="418" t="str">
        <f t="shared" si="15"/>
        <v/>
      </c>
      <c r="CT21" s="418" t="str">
        <f t="shared" si="16"/>
        <v/>
      </c>
      <c r="CU21" s="418" t="str">
        <f t="shared" si="17"/>
        <v/>
      </c>
      <c r="CV21" s="418" t="str">
        <f t="shared" si="18"/>
        <v/>
      </c>
      <c r="CW21" s="418" t="str">
        <f t="shared" si="19"/>
        <v/>
      </c>
      <c r="CX21" s="418" t="str">
        <f t="shared" si="20"/>
        <v/>
      </c>
      <c r="DE21" s="417"/>
      <c r="DF21" s="3375">
        <f t="shared" si="41"/>
        <v>0</v>
      </c>
      <c r="DG21" s="3375">
        <f t="shared" si="22"/>
        <v>0</v>
      </c>
      <c r="DH21" s="3375">
        <f t="shared" si="23"/>
        <v>0</v>
      </c>
      <c r="DI21" s="3375">
        <f t="shared" si="24"/>
        <v>0</v>
      </c>
      <c r="DJ21" s="3375">
        <f t="shared" ref="DJ21:DJ74" si="45">IF(D21&lt;E21,1,0)</f>
        <v>0</v>
      </c>
      <c r="DK21" s="3375">
        <f t="shared" ref="DK21:DK74" si="46">IF(F21&lt;G21,1,0)</f>
        <v>0</v>
      </c>
      <c r="DL21" s="3375">
        <f t="shared" ref="DL21:DL74" si="47">IF(H21&lt;I21,1,0)</f>
        <v>0</v>
      </c>
      <c r="DM21" s="3375">
        <f>IF(J21&lt;K21,1,0)</f>
        <v>0</v>
      </c>
      <c r="DN21" s="3375">
        <f>IF(L21&lt;M21,1,0)</f>
        <v>0</v>
      </c>
      <c r="DO21" s="3375">
        <f t="shared" si="25"/>
        <v>0</v>
      </c>
      <c r="DP21" s="3375">
        <f t="shared" si="26"/>
        <v>0</v>
      </c>
      <c r="DQ21" s="3375">
        <f t="shared" si="27"/>
        <v>0</v>
      </c>
      <c r="DR21" s="3375">
        <f t="shared" si="28"/>
        <v>0</v>
      </c>
      <c r="DS21" s="3375">
        <f t="shared" si="29"/>
        <v>0</v>
      </c>
      <c r="DT21" s="3375">
        <f t="shared" si="30"/>
        <v>0</v>
      </c>
      <c r="DU21" s="3375">
        <f t="shared" si="31"/>
        <v>0</v>
      </c>
      <c r="DV21" s="3375">
        <f t="shared" si="32"/>
        <v>0</v>
      </c>
      <c r="DW21" s="3375">
        <f t="shared" si="33"/>
        <v>0</v>
      </c>
      <c r="DX21" s="3375">
        <f t="shared" si="34"/>
        <v>0</v>
      </c>
      <c r="DY21" s="3375">
        <f t="shared" si="35"/>
        <v>0</v>
      </c>
      <c r="DZ21" s="3375">
        <f t="shared" si="36"/>
        <v>0</v>
      </c>
      <c r="EA21" s="3375">
        <f t="shared" si="37"/>
        <v>0</v>
      </c>
      <c r="EB21" s="3375">
        <f t="shared" si="38"/>
        <v>0</v>
      </c>
      <c r="EC21" s="3375">
        <f t="shared" si="39"/>
        <v>0</v>
      </c>
    </row>
    <row r="22" spans="1:133" ht="21">
      <c r="A22" s="1878" t="s">
        <v>1948</v>
      </c>
      <c r="B22" s="1737">
        <f>+D22+F22+H22</f>
        <v>0</v>
      </c>
      <c r="C22" s="1739">
        <f>+E22+G22+I22</f>
        <v>0</v>
      </c>
      <c r="D22" s="425"/>
      <c r="E22" s="3376"/>
      <c r="F22" s="425"/>
      <c r="G22" s="3376"/>
      <c r="H22" s="425"/>
      <c r="I22" s="424"/>
      <c r="J22" s="3377"/>
      <c r="K22" s="3378"/>
      <c r="L22" s="3377"/>
      <c r="M22" s="3378"/>
      <c r="N22" s="3377"/>
      <c r="O22" s="3378"/>
      <c r="P22" s="3377"/>
      <c r="Q22" s="3378"/>
      <c r="R22" s="3377"/>
      <c r="S22" s="3378"/>
      <c r="T22" s="3377"/>
      <c r="U22" s="3378"/>
      <c r="V22" s="3377"/>
      <c r="W22" s="3378"/>
      <c r="X22" s="3377"/>
      <c r="Y22" s="3378"/>
      <c r="Z22" s="3377"/>
      <c r="AA22" s="3378"/>
      <c r="AB22" s="3377"/>
      <c r="AC22" s="3378"/>
      <c r="AD22" s="3377"/>
      <c r="AE22" s="3378"/>
      <c r="AF22" s="3377"/>
      <c r="AG22" s="3378"/>
      <c r="AH22" s="3377"/>
      <c r="AI22" s="3378"/>
      <c r="AJ22" s="3377"/>
      <c r="AK22" s="3378"/>
      <c r="AL22" s="3377"/>
      <c r="AM22" s="3378"/>
      <c r="AN22" s="3377"/>
      <c r="AO22" s="3378"/>
      <c r="AP22" s="3377"/>
      <c r="AQ22" s="3379"/>
      <c r="AR22" s="423"/>
      <c r="AS22" s="426"/>
      <c r="AT22" s="3372"/>
      <c r="AU22" s="426"/>
      <c r="AV22" s="2249"/>
      <c r="AW22" s="443"/>
      <c r="AX22" s="3373" t="str">
        <f>$CA22&amp;CB22&amp;CC22&amp;$CD22&amp;CE22&amp;CF22&amp;CG22</f>
        <v/>
      </c>
      <c r="CA22" s="418" t="str">
        <f t="shared" ref="CA22:CA30" si="48">IF(B22&lt;&gt;(AS22+AR22)," * La suma de las columnas "&amp;AR$10&amp;""&amp;" DEBE SER IGUAL a los Exámenes Procesados. ","")</f>
        <v/>
      </c>
      <c r="CB22" s="418" t="str">
        <f t="shared" si="3"/>
        <v/>
      </c>
      <c r="CC22" s="418" t="str">
        <f t="shared" si="4"/>
        <v/>
      </c>
      <c r="CD22" s="418" t="str">
        <f t="shared" si="5"/>
        <v/>
      </c>
      <c r="CE22" s="418" t="str">
        <f t="shared" si="42"/>
        <v/>
      </c>
      <c r="CF22" s="418" t="str">
        <f t="shared" si="43"/>
        <v/>
      </c>
      <c r="CG22" s="418" t="str">
        <f t="shared" si="44"/>
        <v/>
      </c>
      <c r="CH22" s="3380"/>
      <c r="CI22" s="3380"/>
      <c r="CJ22" s="3381"/>
      <c r="CK22" s="3380"/>
      <c r="CL22" s="3380"/>
      <c r="CM22" s="3380"/>
      <c r="CN22" s="3380"/>
      <c r="CO22" s="3380"/>
      <c r="CP22" s="3380"/>
      <c r="CQ22" s="3380"/>
      <c r="CR22" s="3380"/>
      <c r="CS22" s="3380"/>
      <c r="CT22" s="3380"/>
      <c r="CU22" s="3380"/>
      <c r="CV22" s="3380"/>
      <c r="CW22" s="3380"/>
      <c r="CX22" s="3380"/>
      <c r="DE22" s="417"/>
      <c r="DF22" s="3375">
        <f t="shared" ref="DF22:DF30" si="49">IF(B22&lt;&gt;(AS22+AR22),1,0)</f>
        <v>0</v>
      </c>
      <c r="DG22" s="3375">
        <f t="shared" si="22"/>
        <v>0</v>
      </c>
      <c r="DH22" s="3375">
        <f t="shared" si="23"/>
        <v>0</v>
      </c>
      <c r="DI22" s="3375">
        <f t="shared" si="24"/>
        <v>0</v>
      </c>
      <c r="DJ22" s="3375">
        <f t="shared" si="45"/>
        <v>0</v>
      </c>
      <c r="DK22" s="3375">
        <f t="shared" si="46"/>
        <v>0</v>
      </c>
      <c r="DL22" s="3375">
        <f t="shared" si="47"/>
        <v>0</v>
      </c>
      <c r="DM22" s="3380"/>
      <c r="DN22" s="3380"/>
      <c r="DO22" s="3374"/>
      <c r="DP22" s="3374"/>
      <c r="DQ22" s="3374"/>
      <c r="DR22" s="3374"/>
      <c r="DS22" s="3374"/>
      <c r="DT22" s="3374"/>
      <c r="DU22" s="3374"/>
      <c r="DV22" s="3374"/>
      <c r="DW22" s="3374"/>
      <c r="DX22" s="3374"/>
      <c r="DY22" s="3374"/>
      <c r="DZ22" s="3374"/>
      <c r="EA22" s="3374"/>
      <c r="EB22" s="3374"/>
      <c r="EC22" s="3374"/>
    </row>
    <row r="23" spans="1:133">
      <c r="A23" s="1878" t="s">
        <v>1949</v>
      </c>
      <c r="B23" s="1737">
        <f>+P23+R23+T23+V23+X23+Z23+AB23+AD23+AF23+AH23+AJ23+AL23+AN23+AP23</f>
        <v>0</v>
      </c>
      <c r="C23" s="1739">
        <f>+Q23+S23+U23+W23+Y23+AA23+AC23+AE23+AG23+AI23+AK23+AM23+AO23+AQ23</f>
        <v>0</v>
      </c>
      <c r="D23" s="2381"/>
      <c r="E23" s="2885"/>
      <c r="F23" s="2381"/>
      <c r="G23" s="2885"/>
      <c r="H23" s="2381"/>
      <c r="I23" s="2885"/>
      <c r="J23" s="2381"/>
      <c r="K23" s="2885"/>
      <c r="L23" s="2381"/>
      <c r="M23" s="2382"/>
      <c r="N23" s="2880"/>
      <c r="O23" s="2885"/>
      <c r="P23" s="425"/>
      <c r="Q23" s="3376"/>
      <c r="R23" s="425"/>
      <c r="S23" s="3376"/>
      <c r="T23" s="425"/>
      <c r="U23" s="3376"/>
      <c r="V23" s="425"/>
      <c r="W23" s="3376"/>
      <c r="X23" s="425"/>
      <c r="Y23" s="3376"/>
      <c r="Z23" s="425"/>
      <c r="AA23" s="3376"/>
      <c r="AB23" s="425"/>
      <c r="AC23" s="3376"/>
      <c r="AD23" s="425"/>
      <c r="AE23" s="3376"/>
      <c r="AF23" s="425"/>
      <c r="AG23" s="3376"/>
      <c r="AH23" s="425"/>
      <c r="AI23" s="3376"/>
      <c r="AJ23" s="425"/>
      <c r="AK23" s="3376"/>
      <c r="AL23" s="425"/>
      <c r="AM23" s="3376"/>
      <c r="AN23" s="425"/>
      <c r="AO23" s="3376"/>
      <c r="AP23" s="425"/>
      <c r="AQ23" s="426"/>
      <c r="AR23" s="423"/>
      <c r="AS23" s="426"/>
      <c r="AT23" s="3372"/>
      <c r="AU23" s="426"/>
      <c r="AV23" s="2249"/>
      <c r="AW23" s="443"/>
      <c r="AX23" s="3373" t="str">
        <f>$CA23&amp;CB23&amp;CC23&amp;$CD23&amp;CK23&amp;CL23&amp;CM23&amp;CN23&amp;CO23&amp;CP23&amp;CQ23&amp;CR23&amp;CS23&amp;CT23&amp;CU23&amp;CV23&amp;CW23&amp;CX23</f>
        <v/>
      </c>
      <c r="CA23" s="418" t="str">
        <f t="shared" si="48"/>
        <v/>
      </c>
      <c r="CB23" s="418" t="str">
        <f t="shared" si="3"/>
        <v/>
      </c>
      <c r="CC23" s="418" t="str">
        <f t="shared" si="4"/>
        <v/>
      </c>
      <c r="CD23" s="418" t="str">
        <f t="shared" si="5"/>
        <v/>
      </c>
      <c r="CE23" s="3381"/>
      <c r="CF23" s="3381"/>
      <c r="CG23" s="3380"/>
      <c r="CH23" s="3380"/>
      <c r="CI23" s="3380"/>
      <c r="CJ23" s="3381"/>
      <c r="CK23" s="418" t="str">
        <f t="shared" si="7"/>
        <v/>
      </c>
      <c r="CL23" s="418" t="str">
        <f t="shared" si="8"/>
        <v/>
      </c>
      <c r="CM23" s="418" t="str">
        <f t="shared" si="9"/>
        <v/>
      </c>
      <c r="CN23" s="418" t="str">
        <f t="shared" si="10"/>
        <v/>
      </c>
      <c r="CO23" s="418" t="str">
        <f t="shared" si="11"/>
        <v/>
      </c>
      <c r="CP23" s="418" t="str">
        <f t="shared" si="12"/>
        <v/>
      </c>
      <c r="CQ23" s="418" t="str">
        <f t="shared" si="13"/>
        <v/>
      </c>
      <c r="CR23" s="418" t="str">
        <f t="shared" si="14"/>
        <v/>
      </c>
      <c r="CS23" s="418" t="str">
        <f t="shared" si="15"/>
        <v/>
      </c>
      <c r="CT23" s="418" t="str">
        <f t="shared" si="16"/>
        <v/>
      </c>
      <c r="CU23" s="418" t="str">
        <f t="shared" si="17"/>
        <v/>
      </c>
      <c r="CV23" s="418" t="str">
        <f t="shared" si="18"/>
        <v/>
      </c>
      <c r="CW23" s="418" t="str">
        <f t="shared" si="19"/>
        <v/>
      </c>
      <c r="CX23" s="418" t="str">
        <f t="shared" si="20"/>
        <v/>
      </c>
      <c r="DE23" s="417"/>
      <c r="DF23" s="3375">
        <f t="shared" si="49"/>
        <v>0</v>
      </c>
      <c r="DG23" s="3375">
        <f t="shared" si="22"/>
        <v>0</v>
      </c>
      <c r="DH23" s="3375">
        <f t="shared" si="23"/>
        <v>0</v>
      </c>
      <c r="DI23" s="3375">
        <f t="shared" si="24"/>
        <v>0</v>
      </c>
      <c r="DJ23" s="3380"/>
      <c r="DK23" s="3380"/>
      <c r="DL23" s="3380"/>
      <c r="DM23" s="3380"/>
      <c r="DN23" s="3380"/>
      <c r="DO23" s="3374"/>
      <c r="DP23" s="3375">
        <f t="shared" si="26"/>
        <v>0</v>
      </c>
      <c r="DQ23" s="3375">
        <f t="shared" si="27"/>
        <v>0</v>
      </c>
      <c r="DR23" s="3375">
        <f t="shared" si="28"/>
        <v>0</v>
      </c>
      <c r="DS23" s="3375">
        <f t="shared" si="29"/>
        <v>0</v>
      </c>
      <c r="DT23" s="3375">
        <f t="shared" si="30"/>
        <v>0</v>
      </c>
      <c r="DU23" s="3375">
        <f t="shared" si="31"/>
        <v>0</v>
      </c>
      <c r="DV23" s="3375">
        <f t="shared" si="32"/>
        <v>0</v>
      </c>
      <c r="DW23" s="3375">
        <f t="shared" si="33"/>
        <v>0</v>
      </c>
      <c r="DX23" s="3375">
        <f t="shared" si="34"/>
        <v>0</v>
      </c>
      <c r="DY23" s="3375">
        <f t="shared" si="35"/>
        <v>0</v>
      </c>
      <c r="DZ23" s="3375">
        <f t="shared" si="36"/>
        <v>0</v>
      </c>
      <c r="EA23" s="3375">
        <f t="shared" si="37"/>
        <v>0</v>
      </c>
      <c r="EB23" s="3375">
        <f t="shared" si="38"/>
        <v>0</v>
      </c>
      <c r="EC23" s="3375">
        <f t="shared" si="39"/>
        <v>0</v>
      </c>
    </row>
    <row r="24" spans="1:133">
      <c r="A24" s="2387" t="s">
        <v>1950</v>
      </c>
      <c r="B24" s="1737">
        <f>+N24+P24+R24+T24+V24+X24+Z24+AB24+AD24+AF24+AH24+AJ24+AL24+AN24+AP24</f>
        <v>0</v>
      </c>
      <c r="C24" s="1739">
        <f>+O24+Q24+S24+U24+W24+Y24+AA24+AC24+AE24+AG24+AI24+AK24+AM24+AO24+AQ24</f>
        <v>0</v>
      </c>
      <c r="D24" s="3377"/>
      <c r="E24" s="3378"/>
      <c r="F24" s="3377"/>
      <c r="G24" s="3378"/>
      <c r="H24" s="3377"/>
      <c r="I24" s="3382"/>
      <c r="J24" s="3371"/>
      <c r="K24" s="3371"/>
      <c r="L24" s="3377"/>
      <c r="M24" s="3382"/>
      <c r="N24" s="423"/>
      <c r="O24" s="3376"/>
      <c r="P24" s="425"/>
      <c r="Q24" s="3376"/>
      <c r="R24" s="425"/>
      <c r="S24" s="3376"/>
      <c r="T24" s="425"/>
      <c r="U24" s="3376"/>
      <c r="V24" s="425"/>
      <c r="W24" s="3376"/>
      <c r="X24" s="425"/>
      <c r="Y24" s="3376"/>
      <c r="Z24" s="425"/>
      <c r="AA24" s="3376"/>
      <c r="AB24" s="425"/>
      <c r="AC24" s="3376"/>
      <c r="AD24" s="425"/>
      <c r="AE24" s="3376"/>
      <c r="AF24" s="425"/>
      <c r="AG24" s="3376"/>
      <c r="AH24" s="425"/>
      <c r="AI24" s="3376"/>
      <c r="AJ24" s="425"/>
      <c r="AK24" s="3376"/>
      <c r="AL24" s="425"/>
      <c r="AM24" s="3376"/>
      <c r="AN24" s="425"/>
      <c r="AO24" s="424"/>
      <c r="AP24" s="425"/>
      <c r="AQ24" s="426"/>
      <c r="AR24" s="423"/>
      <c r="AS24" s="426"/>
      <c r="AT24" s="3372"/>
      <c r="AU24" s="426"/>
      <c r="AV24" s="2249"/>
      <c r="AW24" s="443"/>
      <c r="AX24" s="3373" t="str">
        <f>$CA24&amp;CB24&amp;CC24&amp;$CD24&amp;CJ24&amp;CK24&amp;CL24&amp;CM24&amp;CN24&amp;CO24&amp;CP24&amp;CQ24&amp;CR24&amp;CS24&amp;CT24&amp;CU24&amp;CV24&amp;CW24&amp;CX24</f>
        <v/>
      </c>
      <c r="CA24" s="418" t="str">
        <f t="shared" si="48"/>
        <v/>
      </c>
      <c r="CB24" s="418" t="str">
        <f t="shared" si="3"/>
        <v/>
      </c>
      <c r="CC24" s="418" t="str">
        <f t="shared" si="4"/>
        <v/>
      </c>
      <c r="CD24" s="418" t="str">
        <f t="shared" si="5"/>
        <v/>
      </c>
      <c r="CE24" s="3381"/>
      <c r="CF24" s="3381"/>
      <c r="CG24" s="3380"/>
      <c r="CH24" s="3380"/>
      <c r="CI24" s="3380"/>
      <c r="CJ24" s="418" t="str">
        <f t="shared" si="6"/>
        <v/>
      </c>
      <c r="CK24" s="418" t="str">
        <f t="shared" si="7"/>
        <v/>
      </c>
      <c r="CL24" s="418" t="str">
        <f t="shared" si="8"/>
        <v/>
      </c>
      <c r="CM24" s="418" t="str">
        <f t="shared" si="9"/>
        <v/>
      </c>
      <c r="CN24" s="418" t="str">
        <f t="shared" si="10"/>
        <v/>
      </c>
      <c r="CO24" s="418" t="str">
        <f t="shared" si="11"/>
        <v/>
      </c>
      <c r="CP24" s="418" t="str">
        <f t="shared" si="12"/>
        <v/>
      </c>
      <c r="CQ24" s="418" t="str">
        <f t="shared" si="13"/>
        <v/>
      </c>
      <c r="CR24" s="418" t="str">
        <f t="shared" si="14"/>
        <v/>
      </c>
      <c r="CS24" s="418" t="str">
        <f t="shared" si="15"/>
        <v/>
      </c>
      <c r="CT24" s="418" t="str">
        <f t="shared" si="16"/>
        <v/>
      </c>
      <c r="CU24" s="418" t="str">
        <f t="shared" si="17"/>
        <v/>
      </c>
      <c r="CV24" s="418" t="str">
        <f t="shared" si="18"/>
        <v/>
      </c>
      <c r="CW24" s="418" t="str">
        <f t="shared" si="19"/>
        <v/>
      </c>
      <c r="CX24" s="418" t="str">
        <f t="shared" si="20"/>
        <v/>
      </c>
      <c r="DE24" s="417"/>
      <c r="DF24" s="3375">
        <f t="shared" si="49"/>
        <v>0</v>
      </c>
      <c r="DG24" s="3375">
        <f t="shared" si="22"/>
        <v>0</v>
      </c>
      <c r="DH24" s="3375">
        <f t="shared" si="23"/>
        <v>0</v>
      </c>
      <c r="DI24" s="3375">
        <f t="shared" si="24"/>
        <v>0</v>
      </c>
      <c r="DJ24" s="3380"/>
      <c r="DK24" s="3380"/>
      <c r="DL24" s="3380"/>
      <c r="DM24" s="3380"/>
      <c r="DN24" s="3380"/>
      <c r="DO24" s="3375">
        <f t="shared" si="25"/>
        <v>0</v>
      </c>
      <c r="DP24" s="3375">
        <f t="shared" si="26"/>
        <v>0</v>
      </c>
      <c r="DQ24" s="3375">
        <f t="shared" si="27"/>
        <v>0</v>
      </c>
      <c r="DR24" s="3375">
        <f t="shared" si="28"/>
        <v>0</v>
      </c>
      <c r="DS24" s="3375">
        <f t="shared" si="29"/>
        <v>0</v>
      </c>
      <c r="DT24" s="3375">
        <f t="shared" si="30"/>
        <v>0</v>
      </c>
      <c r="DU24" s="3375">
        <f t="shared" si="31"/>
        <v>0</v>
      </c>
      <c r="DV24" s="3375">
        <f t="shared" si="32"/>
        <v>0</v>
      </c>
      <c r="DW24" s="3375">
        <f t="shared" si="33"/>
        <v>0</v>
      </c>
      <c r="DX24" s="3375">
        <f t="shared" si="34"/>
        <v>0</v>
      </c>
      <c r="DY24" s="3375">
        <f t="shared" si="35"/>
        <v>0</v>
      </c>
      <c r="DZ24" s="3375">
        <f t="shared" si="36"/>
        <v>0</v>
      </c>
      <c r="EA24" s="3375">
        <f t="shared" si="37"/>
        <v>0</v>
      </c>
      <c r="EB24" s="3375">
        <f t="shared" si="38"/>
        <v>0</v>
      </c>
      <c r="EC24" s="3375">
        <f t="shared" si="39"/>
        <v>0</v>
      </c>
    </row>
    <row r="25" spans="1:133">
      <c r="A25" s="2387" t="s">
        <v>1951</v>
      </c>
      <c r="B25" s="1737">
        <f>+D25+F25+H25+J25+L25+N25+P25+R25+T25+V25+X25+Z25+AB25+AD25+AF25+AH25+AJ25+AL25+AN25+AP25</f>
        <v>0</v>
      </c>
      <c r="C25" s="1739">
        <f>+E25+G25+I25+K25+M25+O25+Q25+S25+U25+W25+Y25+AA25+AC25+AE25+AG25+AI25+AK25+AM25+AO25+AQ25</f>
        <v>0</v>
      </c>
      <c r="D25" s="425"/>
      <c r="E25" s="3376"/>
      <c r="F25" s="425"/>
      <c r="G25" s="3376"/>
      <c r="H25" s="425"/>
      <c r="I25" s="424"/>
      <c r="J25" s="423"/>
      <c r="K25" s="423"/>
      <c r="L25" s="425"/>
      <c r="M25" s="424"/>
      <c r="N25" s="423"/>
      <c r="O25" s="3376"/>
      <c r="P25" s="425"/>
      <c r="Q25" s="3376"/>
      <c r="R25" s="425"/>
      <c r="S25" s="3376"/>
      <c r="T25" s="425"/>
      <c r="U25" s="3376"/>
      <c r="V25" s="425"/>
      <c r="W25" s="3376"/>
      <c r="X25" s="425"/>
      <c r="Y25" s="3376"/>
      <c r="Z25" s="425"/>
      <c r="AA25" s="3376"/>
      <c r="AB25" s="425"/>
      <c r="AC25" s="3376"/>
      <c r="AD25" s="425"/>
      <c r="AE25" s="3376"/>
      <c r="AF25" s="425"/>
      <c r="AG25" s="3376"/>
      <c r="AH25" s="425"/>
      <c r="AI25" s="3376"/>
      <c r="AJ25" s="425"/>
      <c r="AK25" s="3376"/>
      <c r="AL25" s="425"/>
      <c r="AM25" s="3376"/>
      <c r="AN25" s="425"/>
      <c r="AO25" s="3376"/>
      <c r="AP25" s="425"/>
      <c r="AQ25" s="426"/>
      <c r="AR25" s="423"/>
      <c r="AS25" s="426"/>
      <c r="AT25" s="3372"/>
      <c r="AU25" s="426"/>
      <c r="AV25" s="2249"/>
      <c r="AW25" s="443"/>
      <c r="AX25" s="3373" t="str">
        <f>$CA25&amp;CB25&amp;CC25&amp;$CD25&amp;CE25&amp;CF25&amp;CG25&amp;CH25&amp;CI25&amp;CJ25&amp;CK25&amp;CL25&amp;CM25&amp;CN25&amp;CO25&amp;CP25&amp;CQ25&amp;CR25&amp;CS25&amp;CT25&amp;CU25&amp;CV25&amp;CW25&amp;CX25</f>
        <v/>
      </c>
      <c r="CA25" s="418" t="str">
        <f t="shared" si="48"/>
        <v/>
      </c>
      <c r="CB25" s="418" t="str">
        <f t="shared" si="3"/>
        <v/>
      </c>
      <c r="CC25" s="418" t="str">
        <f t="shared" si="4"/>
        <v/>
      </c>
      <c r="CD25" s="418" t="str">
        <f t="shared" si="5"/>
        <v/>
      </c>
      <c r="CE25" s="418" t="str">
        <f t="shared" si="42"/>
        <v/>
      </c>
      <c r="CF25" s="418" t="str">
        <f t="shared" si="43"/>
        <v/>
      </c>
      <c r="CG25" s="418" t="str">
        <f t="shared" si="44"/>
        <v/>
      </c>
      <c r="CH25" s="418" t="str">
        <f>IF(J25&lt;K25,CONCATENATE("* El total de Procesados debe ser mayor o igual al total de Reactivos en el grupo de edad ",$J$11),"")</f>
        <v/>
      </c>
      <c r="CI25" s="418" t="str">
        <f>IF(L25&lt;M25,CONCATENATE("* El total de Procesados debe ser mayor o igual al total de Reactivos en el grupo de edad ",$L$11),"")</f>
        <v/>
      </c>
      <c r="CJ25" s="418" t="str">
        <f t="shared" si="6"/>
        <v/>
      </c>
      <c r="CK25" s="418" t="str">
        <f t="shared" si="7"/>
        <v/>
      </c>
      <c r="CL25" s="418" t="str">
        <f t="shared" si="8"/>
        <v/>
      </c>
      <c r="CM25" s="418" t="str">
        <f t="shared" si="9"/>
        <v/>
      </c>
      <c r="CN25" s="418" t="str">
        <f t="shared" si="10"/>
        <v/>
      </c>
      <c r="CO25" s="418" t="str">
        <f t="shared" si="11"/>
        <v/>
      </c>
      <c r="CP25" s="418" t="str">
        <f t="shared" si="12"/>
        <v/>
      </c>
      <c r="CQ25" s="418" t="str">
        <f t="shared" si="13"/>
        <v/>
      </c>
      <c r="CR25" s="418" t="str">
        <f t="shared" si="14"/>
        <v/>
      </c>
      <c r="CS25" s="418" t="str">
        <f t="shared" si="15"/>
        <v/>
      </c>
      <c r="CT25" s="418" t="str">
        <f t="shared" si="16"/>
        <v/>
      </c>
      <c r="CU25" s="418" t="str">
        <f t="shared" si="17"/>
        <v/>
      </c>
      <c r="CV25" s="418" t="str">
        <f t="shared" si="18"/>
        <v/>
      </c>
      <c r="CW25" s="418" t="str">
        <f t="shared" si="19"/>
        <v/>
      </c>
      <c r="CX25" s="418" t="str">
        <f t="shared" si="20"/>
        <v/>
      </c>
      <c r="DE25" s="417"/>
      <c r="DF25" s="3375">
        <f t="shared" si="49"/>
        <v>0</v>
      </c>
      <c r="DG25" s="3375">
        <f t="shared" si="22"/>
        <v>0</v>
      </c>
      <c r="DH25" s="3375">
        <f t="shared" si="23"/>
        <v>0</v>
      </c>
      <c r="DI25" s="3375">
        <f t="shared" si="24"/>
        <v>0</v>
      </c>
      <c r="DJ25" s="3375">
        <f t="shared" si="45"/>
        <v>0</v>
      </c>
      <c r="DK25" s="3375">
        <f t="shared" si="46"/>
        <v>0</v>
      </c>
      <c r="DL25" s="3375">
        <f t="shared" si="47"/>
        <v>0</v>
      </c>
      <c r="DM25" s="3375">
        <f>IF(J25&lt;K25,1,0)</f>
        <v>0</v>
      </c>
      <c r="DN25" s="3375">
        <f>IF(L25&lt;M25,1,0)</f>
        <v>0</v>
      </c>
      <c r="DO25" s="3375">
        <f t="shared" si="25"/>
        <v>0</v>
      </c>
      <c r="DP25" s="3375">
        <f t="shared" si="26"/>
        <v>0</v>
      </c>
      <c r="DQ25" s="3375">
        <f t="shared" si="27"/>
        <v>0</v>
      </c>
      <c r="DR25" s="3375">
        <f t="shared" si="28"/>
        <v>0</v>
      </c>
      <c r="DS25" s="3375">
        <f t="shared" si="29"/>
        <v>0</v>
      </c>
      <c r="DT25" s="3375">
        <f t="shared" si="30"/>
        <v>0</v>
      </c>
      <c r="DU25" s="3375">
        <f t="shared" si="31"/>
        <v>0</v>
      </c>
      <c r="DV25" s="3375">
        <f t="shared" si="32"/>
        <v>0</v>
      </c>
      <c r="DW25" s="3375">
        <f t="shared" si="33"/>
        <v>0</v>
      </c>
      <c r="DX25" s="3375">
        <f t="shared" si="34"/>
        <v>0</v>
      </c>
      <c r="DY25" s="3375">
        <f t="shared" si="35"/>
        <v>0</v>
      </c>
      <c r="DZ25" s="3375">
        <f t="shared" si="36"/>
        <v>0</v>
      </c>
      <c r="EA25" s="3375">
        <f t="shared" si="37"/>
        <v>0</v>
      </c>
      <c r="EB25" s="3375">
        <f t="shared" si="38"/>
        <v>0</v>
      </c>
      <c r="EC25" s="3375">
        <f t="shared" si="39"/>
        <v>0</v>
      </c>
    </row>
    <row r="26" spans="1:133">
      <c r="A26" s="2387" t="s">
        <v>1952</v>
      </c>
      <c r="B26" s="1737">
        <f>+P26+R26+T26+V26+X26+Z26+AB26+AD26+AF26+AH26+AJ26+AL26+AN26+AP26</f>
        <v>0</v>
      </c>
      <c r="C26" s="1739">
        <f>+Q26+S26+U26+W26+Y26+AA26+AC26+AE26+AG26+AI26+AK26+AM26+AO26+AQ26</f>
        <v>0</v>
      </c>
      <c r="D26" s="2381"/>
      <c r="E26" s="2885"/>
      <c r="F26" s="2381"/>
      <c r="G26" s="2885"/>
      <c r="H26" s="2381"/>
      <c r="I26" s="2885"/>
      <c r="J26" s="2381"/>
      <c r="K26" s="2885"/>
      <c r="L26" s="2381"/>
      <c r="M26" s="2382"/>
      <c r="N26" s="2880"/>
      <c r="O26" s="2885"/>
      <c r="P26" s="425"/>
      <c r="Q26" s="3376"/>
      <c r="R26" s="425"/>
      <c r="S26" s="3376"/>
      <c r="T26" s="425"/>
      <c r="U26" s="3376"/>
      <c r="V26" s="425"/>
      <c r="W26" s="3376"/>
      <c r="X26" s="425"/>
      <c r="Y26" s="3376"/>
      <c r="Z26" s="425"/>
      <c r="AA26" s="3376"/>
      <c r="AB26" s="425"/>
      <c r="AC26" s="3376"/>
      <c r="AD26" s="425"/>
      <c r="AE26" s="3376"/>
      <c r="AF26" s="425"/>
      <c r="AG26" s="3376"/>
      <c r="AH26" s="425"/>
      <c r="AI26" s="3376"/>
      <c r="AJ26" s="425"/>
      <c r="AK26" s="3376"/>
      <c r="AL26" s="425"/>
      <c r="AM26" s="3376"/>
      <c r="AN26" s="425"/>
      <c r="AO26" s="3376"/>
      <c r="AP26" s="425"/>
      <c r="AQ26" s="426"/>
      <c r="AR26" s="423"/>
      <c r="AS26" s="426"/>
      <c r="AT26" s="3372"/>
      <c r="AU26" s="426"/>
      <c r="AV26" s="2249"/>
      <c r="AW26" s="443"/>
      <c r="AX26" s="3373" t="str">
        <f>$CA26&amp;CB26&amp;CC26&amp;$CD26&amp;CJ26&amp;CK26&amp;CL26&amp;CM26&amp;CN26&amp;CO26&amp;CP26&amp;CQ26&amp;CR26&amp;CS26&amp;CT26&amp;CU26&amp;CV26&amp;CW26&amp;CX26</f>
        <v/>
      </c>
      <c r="CA26" s="418" t="str">
        <f t="shared" si="48"/>
        <v/>
      </c>
      <c r="CB26" s="418" t="str">
        <f t="shared" si="3"/>
        <v/>
      </c>
      <c r="CC26" s="418" t="str">
        <f t="shared" si="4"/>
        <v/>
      </c>
      <c r="CD26" s="418" t="str">
        <f t="shared" si="5"/>
        <v/>
      </c>
      <c r="CE26" s="3381"/>
      <c r="CF26" s="3381"/>
      <c r="CG26" s="3380"/>
      <c r="CH26" s="3380"/>
      <c r="CI26" s="3380"/>
      <c r="CJ26" s="3381"/>
      <c r="CK26" s="418" t="str">
        <f t="shared" si="7"/>
        <v/>
      </c>
      <c r="CL26" s="418" t="str">
        <f t="shared" si="8"/>
        <v/>
      </c>
      <c r="CM26" s="418" t="str">
        <f t="shared" si="9"/>
        <v/>
      </c>
      <c r="CN26" s="418" t="str">
        <f t="shared" si="10"/>
        <v/>
      </c>
      <c r="CO26" s="418" t="str">
        <f t="shared" si="11"/>
        <v/>
      </c>
      <c r="CP26" s="418" t="str">
        <f t="shared" si="12"/>
        <v/>
      </c>
      <c r="CQ26" s="418" t="str">
        <f t="shared" si="13"/>
        <v/>
      </c>
      <c r="CR26" s="418" t="str">
        <f t="shared" si="14"/>
        <v/>
      </c>
      <c r="CS26" s="418" t="str">
        <f t="shared" si="15"/>
        <v/>
      </c>
      <c r="CT26" s="418" t="str">
        <f t="shared" si="16"/>
        <v/>
      </c>
      <c r="CU26" s="418" t="str">
        <f t="shared" si="17"/>
        <v/>
      </c>
      <c r="CV26" s="418" t="str">
        <f t="shared" si="18"/>
        <v/>
      </c>
      <c r="CW26" s="418" t="str">
        <f t="shared" si="19"/>
        <v/>
      </c>
      <c r="CX26" s="418" t="str">
        <f t="shared" si="20"/>
        <v/>
      </c>
      <c r="DE26" s="417"/>
      <c r="DF26" s="3375">
        <f t="shared" si="49"/>
        <v>0</v>
      </c>
      <c r="DG26" s="3375">
        <f t="shared" si="22"/>
        <v>0</v>
      </c>
      <c r="DH26" s="3375">
        <f t="shared" si="23"/>
        <v>0</v>
      </c>
      <c r="DI26" s="3375">
        <f t="shared" si="24"/>
        <v>0</v>
      </c>
      <c r="DJ26" s="3380"/>
      <c r="DK26" s="3380"/>
      <c r="DL26" s="3380"/>
      <c r="DM26" s="3380"/>
      <c r="DN26" s="3380"/>
      <c r="DO26" s="3374"/>
      <c r="DP26" s="3375">
        <f t="shared" si="26"/>
        <v>0</v>
      </c>
      <c r="DQ26" s="3375">
        <f t="shared" si="27"/>
        <v>0</v>
      </c>
      <c r="DR26" s="3375">
        <f t="shared" si="28"/>
        <v>0</v>
      </c>
      <c r="DS26" s="3375">
        <f t="shared" si="29"/>
        <v>0</v>
      </c>
      <c r="DT26" s="3375">
        <f t="shared" si="30"/>
        <v>0</v>
      </c>
      <c r="DU26" s="3375">
        <f t="shared" si="31"/>
        <v>0</v>
      </c>
      <c r="DV26" s="3375">
        <f t="shared" si="32"/>
        <v>0</v>
      </c>
      <c r="DW26" s="3375">
        <f t="shared" si="33"/>
        <v>0</v>
      </c>
      <c r="DX26" s="3375">
        <f t="shared" si="34"/>
        <v>0</v>
      </c>
      <c r="DY26" s="3375">
        <f t="shared" si="35"/>
        <v>0</v>
      </c>
      <c r="DZ26" s="3375">
        <f t="shared" si="36"/>
        <v>0</v>
      </c>
      <c r="EA26" s="3375">
        <f t="shared" si="37"/>
        <v>0</v>
      </c>
      <c r="EB26" s="3375">
        <f t="shared" si="38"/>
        <v>0</v>
      </c>
      <c r="EC26" s="3375">
        <f t="shared" si="39"/>
        <v>0</v>
      </c>
    </row>
    <row r="27" spans="1:133">
      <c r="A27" s="2387" t="s">
        <v>1953</v>
      </c>
      <c r="B27" s="1737">
        <f>+P27+R27+T27+V27+X27+Z27+AB27+AD27+AF27+AH27</f>
        <v>0</v>
      </c>
      <c r="C27" s="1739">
        <f>+Q27+S27+U27+W27+Y27+AA27+AC27+AE27+AG27+AI27</f>
        <v>0</v>
      </c>
      <c r="D27" s="2381"/>
      <c r="E27" s="2885"/>
      <c r="F27" s="2381"/>
      <c r="G27" s="2885"/>
      <c r="H27" s="2381"/>
      <c r="I27" s="2885"/>
      <c r="J27" s="2381"/>
      <c r="K27" s="2885"/>
      <c r="L27" s="2381"/>
      <c r="M27" s="2382"/>
      <c r="N27" s="2880"/>
      <c r="O27" s="2885"/>
      <c r="P27" s="425"/>
      <c r="Q27" s="3376"/>
      <c r="R27" s="425"/>
      <c r="S27" s="3376"/>
      <c r="T27" s="425"/>
      <c r="U27" s="3376"/>
      <c r="V27" s="425"/>
      <c r="W27" s="3376"/>
      <c r="X27" s="425"/>
      <c r="Y27" s="3376"/>
      <c r="Z27" s="425"/>
      <c r="AA27" s="3376"/>
      <c r="AB27" s="425"/>
      <c r="AC27" s="3376"/>
      <c r="AD27" s="425"/>
      <c r="AE27" s="3376"/>
      <c r="AF27" s="425"/>
      <c r="AG27" s="3376"/>
      <c r="AH27" s="425"/>
      <c r="AI27" s="3376"/>
      <c r="AJ27" s="2381"/>
      <c r="AK27" s="2885"/>
      <c r="AL27" s="2381"/>
      <c r="AM27" s="2885"/>
      <c r="AN27" s="2381"/>
      <c r="AO27" s="2885"/>
      <c r="AP27" s="2381"/>
      <c r="AQ27" s="2882"/>
      <c r="AR27" s="423"/>
      <c r="AS27" s="426"/>
      <c r="AT27" s="3372"/>
      <c r="AU27" s="426"/>
      <c r="AV27" s="2249"/>
      <c r="AW27" s="443"/>
      <c r="AX27" s="3373" t="str">
        <f>$CA27&amp;CB27&amp;CC27&amp;$CD27&amp;CK27&amp;CL27&amp;CM27&amp;CN27&amp;CO27&amp;CP27&amp;CQ27&amp;CR27&amp;CS27&amp;CT27</f>
        <v/>
      </c>
      <c r="CA27" s="418" t="str">
        <f t="shared" si="48"/>
        <v/>
      </c>
      <c r="CB27" s="418" t="str">
        <f t="shared" si="3"/>
        <v/>
      </c>
      <c r="CC27" s="418" t="str">
        <f t="shared" si="4"/>
        <v/>
      </c>
      <c r="CD27" s="418" t="str">
        <f t="shared" si="5"/>
        <v/>
      </c>
      <c r="CE27" s="3381"/>
      <c r="CF27" s="3381"/>
      <c r="CG27" s="3380"/>
      <c r="CH27" s="3380"/>
      <c r="CI27" s="3380"/>
      <c r="CJ27" s="3381"/>
      <c r="CK27" s="418" t="str">
        <f t="shared" si="7"/>
        <v/>
      </c>
      <c r="CL27" s="418" t="str">
        <f t="shared" si="8"/>
        <v/>
      </c>
      <c r="CM27" s="418" t="str">
        <f t="shared" si="9"/>
        <v/>
      </c>
      <c r="CN27" s="418" t="str">
        <f t="shared" si="10"/>
        <v/>
      </c>
      <c r="CO27" s="418" t="str">
        <f t="shared" si="11"/>
        <v/>
      </c>
      <c r="CP27" s="418" t="str">
        <f t="shared" si="12"/>
        <v/>
      </c>
      <c r="CQ27" s="418" t="str">
        <f t="shared" si="13"/>
        <v/>
      </c>
      <c r="CR27" s="418" t="str">
        <f t="shared" si="14"/>
        <v/>
      </c>
      <c r="CS27" s="418" t="str">
        <f t="shared" si="15"/>
        <v/>
      </c>
      <c r="CT27" s="418" t="str">
        <f t="shared" si="16"/>
        <v/>
      </c>
      <c r="CU27" s="3374"/>
      <c r="CV27" s="3374"/>
      <c r="CW27" s="3374"/>
      <c r="CX27" s="3374"/>
      <c r="DE27" s="417"/>
      <c r="DF27" s="3375">
        <f t="shared" si="49"/>
        <v>0</v>
      </c>
      <c r="DG27" s="3375">
        <f t="shared" si="22"/>
        <v>0</v>
      </c>
      <c r="DH27" s="3375">
        <f t="shared" si="23"/>
        <v>0</v>
      </c>
      <c r="DI27" s="3375">
        <f t="shared" si="24"/>
        <v>0</v>
      </c>
      <c r="DJ27" s="3380"/>
      <c r="DK27" s="3380"/>
      <c r="DL27" s="3380"/>
      <c r="DM27" s="3380"/>
      <c r="DN27" s="3380"/>
      <c r="DO27" s="3374"/>
      <c r="DP27" s="3375">
        <f t="shared" si="26"/>
        <v>0</v>
      </c>
      <c r="DQ27" s="3375">
        <f t="shared" si="27"/>
        <v>0</v>
      </c>
      <c r="DR27" s="3375">
        <f t="shared" si="28"/>
        <v>0</v>
      </c>
      <c r="DS27" s="3375">
        <f t="shared" si="29"/>
        <v>0</v>
      </c>
      <c r="DT27" s="3375">
        <f t="shared" si="30"/>
        <v>0</v>
      </c>
      <c r="DU27" s="3375">
        <f t="shared" si="31"/>
        <v>0</v>
      </c>
      <c r="DV27" s="3375">
        <f t="shared" si="32"/>
        <v>0</v>
      </c>
      <c r="DW27" s="3375">
        <f t="shared" si="33"/>
        <v>0</v>
      </c>
      <c r="DX27" s="3375">
        <f t="shared" si="34"/>
        <v>0</v>
      </c>
      <c r="DY27" s="3375">
        <f t="shared" si="35"/>
        <v>0</v>
      </c>
      <c r="DZ27" s="3374"/>
      <c r="EA27" s="3374"/>
      <c r="EB27" s="3374"/>
      <c r="EC27" s="3374"/>
    </row>
    <row r="28" spans="1:133">
      <c r="A28" s="2387" t="s">
        <v>1954</v>
      </c>
      <c r="B28" s="1737">
        <f t="shared" ref="B28:C30" si="50">+D28+F28+H28+J28+L28+N28+P28+R28+T28+V28+X28+Z28+AB28+AD28+AF28+AH28+AJ28+AL28+AN28+AP28</f>
        <v>0</v>
      </c>
      <c r="C28" s="1739">
        <f t="shared" si="50"/>
        <v>0</v>
      </c>
      <c r="D28" s="425"/>
      <c r="E28" s="3376"/>
      <c r="F28" s="425"/>
      <c r="G28" s="3376"/>
      <c r="H28" s="425"/>
      <c r="I28" s="424"/>
      <c r="J28" s="423"/>
      <c r="K28" s="423"/>
      <c r="L28" s="425"/>
      <c r="M28" s="424"/>
      <c r="N28" s="423"/>
      <c r="O28" s="3376"/>
      <c r="P28" s="425"/>
      <c r="Q28" s="3376"/>
      <c r="R28" s="425"/>
      <c r="S28" s="3376"/>
      <c r="T28" s="425"/>
      <c r="U28" s="3376"/>
      <c r="V28" s="425"/>
      <c r="W28" s="3376"/>
      <c r="X28" s="425"/>
      <c r="Y28" s="3376"/>
      <c r="Z28" s="425"/>
      <c r="AA28" s="3376"/>
      <c r="AB28" s="425"/>
      <c r="AC28" s="3376"/>
      <c r="AD28" s="425"/>
      <c r="AE28" s="3376"/>
      <c r="AF28" s="425"/>
      <c r="AG28" s="3376"/>
      <c r="AH28" s="425"/>
      <c r="AI28" s="3376"/>
      <c r="AJ28" s="425"/>
      <c r="AK28" s="3376"/>
      <c r="AL28" s="425"/>
      <c r="AM28" s="3376"/>
      <c r="AN28" s="425"/>
      <c r="AO28" s="3376"/>
      <c r="AP28" s="425"/>
      <c r="AQ28" s="426"/>
      <c r="AR28" s="423"/>
      <c r="AS28" s="426"/>
      <c r="AT28" s="3372"/>
      <c r="AU28" s="426"/>
      <c r="AV28" s="2249"/>
      <c r="AW28" s="443"/>
      <c r="AX28" s="3373" t="str">
        <f t="shared" ref="AX28:AX30" si="51">$CA28&amp;CB28&amp;CC28&amp;$CD28&amp;CJ28&amp;CK28&amp;CL28&amp;CM28&amp;CN28&amp;CO28&amp;CP28&amp;CQ28&amp;CR28&amp;CS28&amp;CT28&amp;CU28&amp;CV28&amp;CW28&amp;CX28&amp;CE28&amp;CF28&amp;CG28&amp;CH28&amp;CI28</f>
        <v/>
      </c>
      <c r="CA28" s="418" t="str">
        <f t="shared" si="48"/>
        <v/>
      </c>
      <c r="CB28" s="418" t="str">
        <f t="shared" si="3"/>
        <v/>
      </c>
      <c r="CC28" s="418" t="str">
        <f t="shared" si="4"/>
        <v/>
      </c>
      <c r="CD28" s="418" t="str">
        <f t="shared" si="5"/>
        <v/>
      </c>
      <c r="CE28" s="418" t="str">
        <f t="shared" si="42"/>
        <v/>
      </c>
      <c r="CF28" s="418" t="str">
        <f t="shared" si="43"/>
        <v/>
      </c>
      <c r="CG28" s="418" t="str">
        <f t="shared" si="44"/>
        <v/>
      </c>
      <c r="CH28" s="418" t="str">
        <f t="shared" ref="CH28:CH91" si="52">IF(J28&lt;K28,CONCATENATE("* El total de Procesados debe ser mayor o igual al total de Reactivos en el grupo de edad ",$J$11),"")</f>
        <v/>
      </c>
      <c r="CI28" s="418" t="str">
        <f t="shared" ref="CI28:CI91" si="53">IF(L28&lt;M28,CONCATENATE("* El total de Procesados debe ser mayor o igual al total de Reactivos en el grupo de edad ",$L$11),"")</f>
        <v/>
      </c>
      <c r="CJ28" s="418" t="str">
        <f t="shared" si="6"/>
        <v/>
      </c>
      <c r="CK28" s="418" t="str">
        <f t="shared" si="7"/>
        <v/>
      </c>
      <c r="CL28" s="418" t="str">
        <f t="shared" si="8"/>
        <v/>
      </c>
      <c r="CM28" s="418" t="str">
        <f t="shared" si="9"/>
        <v/>
      </c>
      <c r="CN28" s="418" t="str">
        <f t="shared" si="10"/>
        <v/>
      </c>
      <c r="CO28" s="418" t="str">
        <f t="shared" si="11"/>
        <v/>
      </c>
      <c r="CP28" s="418" t="str">
        <f t="shared" si="12"/>
        <v/>
      </c>
      <c r="CQ28" s="418" t="str">
        <f t="shared" si="13"/>
        <v/>
      </c>
      <c r="CR28" s="418" t="str">
        <f t="shared" si="14"/>
        <v/>
      </c>
      <c r="CS28" s="418" t="str">
        <f t="shared" si="15"/>
        <v/>
      </c>
      <c r="CT28" s="418" t="str">
        <f t="shared" si="16"/>
        <v/>
      </c>
      <c r="CU28" s="418" t="str">
        <f t="shared" si="17"/>
        <v/>
      </c>
      <c r="CV28" s="418" t="str">
        <f t="shared" si="18"/>
        <v/>
      </c>
      <c r="CW28" s="418" t="str">
        <f t="shared" si="19"/>
        <v/>
      </c>
      <c r="CX28" s="418" t="str">
        <f t="shared" si="20"/>
        <v/>
      </c>
      <c r="DE28" s="417"/>
      <c r="DF28" s="3375">
        <f t="shared" si="49"/>
        <v>0</v>
      </c>
      <c r="DG28" s="3375">
        <f t="shared" si="22"/>
        <v>0</v>
      </c>
      <c r="DH28" s="3375">
        <f t="shared" si="23"/>
        <v>0</v>
      </c>
      <c r="DI28" s="3375">
        <f t="shared" si="24"/>
        <v>0</v>
      </c>
      <c r="DJ28" s="3375">
        <f t="shared" si="45"/>
        <v>0</v>
      </c>
      <c r="DK28" s="3375">
        <f t="shared" si="46"/>
        <v>0</v>
      </c>
      <c r="DL28" s="3375">
        <f t="shared" si="47"/>
        <v>0</v>
      </c>
      <c r="DM28" s="3375">
        <f t="shared" ref="DM28:DM91" si="54">IF(J28&lt;K28,1,0)</f>
        <v>0</v>
      </c>
      <c r="DN28" s="3375">
        <f t="shared" ref="DN28:DN91" si="55">IF(L28&lt;M28,1,0)</f>
        <v>0</v>
      </c>
      <c r="DO28" s="3375">
        <f t="shared" si="25"/>
        <v>0</v>
      </c>
      <c r="DP28" s="3375">
        <f t="shared" si="26"/>
        <v>0</v>
      </c>
      <c r="DQ28" s="3375">
        <f t="shared" si="27"/>
        <v>0</v>
      </c>
      <c r="DR28" s="3375">
        <f t="shared" si="28"/>
        <v>0</v>
      </c>
      <c r="DS28" s="3375">
        <f t="shared" si="29"/>
        <v>0</v>
      </c>
      <c r="DT28" s="3375">
        <f t="shared" si="30"/>
        <v>0</v>
      </c>
      <c r="DU28" s="3375">
        <f t="shared" si="31"/>
        <v>0</v>
      </c>
      <c r="DV28" s="3375">
        <f t="shared" si="32"/>
        <v>0</v>
      </c>
      <c r="DW28" s="3375">
        <f t="shared" si="33"/>
        <v>0</v>
      </c>
      <c r="DX28" s="3375">
        <f t="shared" si="34"/>
        <v>0</v>
      </c>
      <c r="DY28" s="3375">
        <f t="shared" si="35"/>
        <v>0</v>
      </c>
      <c r="DZ28" s="3375">
        <f t="shared" si="36"/>
        <v>0</v>
      </c>
      <c r="EA28" s="3375">
        <f t="shared" si="37"/>
        <v>0</v>
      </c>
      <c r="EB28" s="3375">
        <f t="shared" si="38"/>
        <v>0</v>
      </c>
      <c r="EC28" s="3375">
        <f t="shared" si="39"/>
        <v>0</v>
      </c>
    </row>
    <row r="29" spans="1:133">
      <c r="A29" s="2387" t="s">
        <v>1955</v>
      </c>
      <c r="B29" s="1737">
        <f t="shared" si="50"/>
        <v>0</v>
      </c>
      <c r="C29" s="1739">
        <f t="shared" si="50"/>
        <v>0</v>
      </c>
      <c r="D29" s="425"/>
      <c r="E29" s="3376"/>
      <c r="F29" s="425"/>
      <c r="G29" s="3376"/>
      <c r="H29" s="425"/>
      <c r="I29" s="424"/>
      <c r="J29" s="423"/>
      <c r="K29" s="423"/>
      <c r="L29" s="425"/>
      <c r="M29" s="424"/>
      <c r="N29" s="423"/>
      <c r="O29" s="3376"/>
      <c r="P29" s="425"/>
      <c r="Q29" s="3376"/>
      <c r="R29" s="425"/>
      <c r="S29" s="3376"/>
      <c r="T29" s="425"/>
      <c r="U29" s="3376"/>
      <c r="V29" s="425"/>
      <c r="W29" s="3376"/>
      <c r="X29" s="425"/>
      <c r="Y29" s="3376"/>
      <c r="Z29" s="425"/>
      <c r="AA29" s="3376"/>
      <c r="AB29" s="425"/>
      <c r="AC29" s="3376"/>
      <c r="AD29" s="425"/>
      <c r="AE29" s="3376"/>
      <c r="AF29" s="425"/>
      <c r="AG29" s="3376"/>
      <c r="AH29" s="425"/>
      <c r="AI29" s="3376"/>
      <c r="AJ29" s="425"/>
      <c r="AK29" s="3376"/>
      <c r="AL29" s="425"/>
      <c r="AM29" s="3376"/>
      <c r="AN29" s="425"/>
      <c r="AO29" s="3376"/>
      <c r="AP29" s="425"/>
      <c r="AQ29" s="426"/>
      <c r="AR29" s="423"/>
      <c r="AS29" s="426"/>
      <c r="AT29" s="3372"/>
      <c r="AU29" s="426"/>
      <c r="AV29" s="2249"/>
      <c r="AW29" s="443"/>
      <c r="AX29" s="3373" t="str">
        <f t="shared" si="51"/>
        <v/>
      </c>
      <c r="CA29" s="418" t="str">
        <f t="shared" si="48"/>
        <v/>
      </c>
      <c r="CB29" s="418" t="str">
        <f t="shared" si="3"/>
        <v/>
      </c>
      <c r="CC29" s="418" t="str">
        <f t="shared" si="4"/>
        <v/>
      </c>
      <c r="CD29" s="418" t="str">
        <f t="shared" si="5"/>
        <v/>
      </c>
      <c r="CE29" s="418" t="str">
        <f t="shared" si="42"/>
        <v/>
      </c>
      <c r="CF29" s="418" t="str">
        <f t="shared" si="43"/>
        <v/>
      </c>
      <c r="CG29" s="418" t="str">
        <f t="shared" si="44"/>
        <v/>
      </c>
      <c r="CH29" s="418" t="str">
        <f t="shared" si="52"/>
        <v/>
      </c>
      <c r="CI29" s="418" t="str">
        <f t="shared" si="53"/>
        <v/>
      </c>
      <c r="CJ29" s="418" t="str">
        <f t="shared" si="6"/>
        <v/>
      </c>
      <c r="CK29" s="418" t="str">
        <f t="shared" si="7"/>
        <v/>
      </c>
      <c r="CL29" s="418" t="str">
        <f t="shared" si="8"/>
        <v/>
      </c>
      <c r="CM29" s="418" t="str">
        <f t="shared" si="9"/>
        <v/>
      </c>
      <c r="CN29" s="418" t="str">
        <f t="shared" si="10"/>
        <v/>
      </c>
      <c r="CO29" s="418" t="str">
        <f t="shared" si="11"/>
        <v/>
      </c>
      <c r="CP29" s="418" t="str">
        <f t="shared" si="12"/>
        <v/>
      </c>
      <c r="CQ29" s="418" t="str">
        <f t="shared" si="13"/>
        <v/>
      </c>
      <c r="CR29" s="418" t="str">
        <f t="shared" si="14"/>
        <v/>
      </c>
      <c r="CS29" s="418" t="str">
        <f t="shared" si="15"/>
        <v/>
      </c>
      <c r="CT29" s="418" t="str">
        <f t="shared" si="16"/>
        <v/>
      </c>
      <c r="CU29" s="418" t="str">
        <f t="shared" si="17"/>
        <v/>
      </c>
      <c r="CV29" s="418" t="str">
        <f t="shared" si="18"/>
        <v/>
      </c>
      <c r="CW29" s="418" t="str">
        <f t="shared" si="19"/>
        <v/>
      </c>
      <c r="CX29" s="418" t="str">
        <f t="shared" si="20"/>
        <v/>
      </c>
      <c r="DE29" s="417"/>
      <c r="DF29" s="3375">
        <f t="shared" si="49"/>
        <v>0</v>
      </c>
      <c r="DG29" s="3375">
        <f t="shared" si="22"/>
        <v>0</v>
      </c>
      <c r="DH29" s="3375">
        <f t="shared" si="23"/>
        <v>0</v>
      </c>
      <c r="DI29" s="3375">
        <f t="shared" si="24"/>
        <v>0</v>
      </c>
      <c r="DJ29" s="3375">
        <f t="shared" si="45"/>
        <v>0</v>
      </c>
      <c r="DK29" s="3375">
        <f t="shared" si="46"/>
        <v>0</v>
      </c>
      <c r="DL29" s="3375">
        <f t="shared" si="47"/>
        <v>0</v>
      </c>
      <c r="DM29" s="3375">
        <f t="shared" si="54"/>
        <v>0</v>
      </c>
      <c r="DN29" s="3375">
        <f t="shared" si="55"/>
        <v>0</v>
      </c>
      <c r="DO29" s="3375">
        <f t="shared" si="25"/>
        <v>0</v>
      </c>
      <c r="DP29" s="3375">
        <f t="shared" si="26"/>
        <v>0</v>
      </c>
      <c r="DQ29" s="3375">
        <f t="shared" si="27"/>
        <v>0</v>
      </c>
      <c r="DR29" s="3375">
        <f t="shared" si="28"/>
        <v>0</v>
      </c>
      <c r="DS29" s="3375">
        <f t="shared" si="29"/>
        <v>0</v>
      </c>
      <c r="DT29" s="3375">
        <f t="shared" si="30"/>
        <v>0</v>
      </c>
      <c r="DU29" s="3375">
        <f t="shared" si="31"/>
        <v>0</v>
      </c>
      <c r="DV29" s="3375">
        <f t="shared" si="32"/>
        <v>0</v>
      </c>
      <c r="DW29" s="3375">
        <f t="shared" si="33"/>
        <v>0</v>
      </c>
      <c r="DX29" s="3375">
        <f t="shared" si="34"/>
        <v>0</v>
      </c>
      <c r="DY29" s="3375">
        <f t="shared" si="35"/>
        <v>0</v>
      </c>
      <c r="DZ29" s="3375">
        <f t="shared" si="36"/>
        <v>0</v>
      </c>
      <c r="EA29" s="3375">
        <f t="shared" si="37"/>
        <v>0</v>
      </c>
      <c r="EB29" s="3375">
        <f t="shared" si="38"/>
        <v>0</v>
      </c>
      <c r="EC29" s="3375">
        <f t="shared" si="39"/>
        <v>0</v>
      </c>
    </row>
    <row r="30" spans="1:133">
      <c r="A30" s="3383" t="s">
        <v>1956</v>
      </c>
      <c r="B30" s="1755">
        <f t="shared" si="50"/>
        <v>0</v>
      </c>
      <c r="C30" s="1757">
        <f t="shared" si="50"/>
        <v>0</v>
      </c>
      <c r="D30" s="432"/>
      <c r="E30" s="3384"/>
      <c r="F30" s="432"/>
      <c r="G30" s="3384"/>
      <c r="H30" s="432"/>
      <c r="I30" s="433"/>
      <c r="J30" s="3385"/>
      <c r="K30" s="3385"/>
      <c r="L30" s="432"/>
      <c r="M30" s="433"/>
      <c r="N30" s="3385"/>
      <c r="O30" s="3384"/>
      <c r="P30" s="432"/>
      <c r="Q30" s="3384"/>
      <c r="R30" s="432"/>
      <c r="S30" s="3384"/>
      <c r="T30" s="432"/>
      <c r="U30" s="3384"/>
      <c r="V30" s="432"/>
      <c r="W30" s="3384"/>
      <c r="X30" s="432"/>
      <c r="Y30" s="3384"/>
      <c r="Z30" s="432"/>
      <c r="AA30" s="3384"/>
      <c r="AB30" s="432"/>
      <c r="AC30" s="3384"/>
      <c r="AD30" s="432"/>
      <c r="AE30" s="3384"/>
      <c r="AF30" s="432"/>
      <c r="AG30" s="3384"/>
      <c r="AH30" s="432"/>
      <c r="AI30" s="3384"/>
      <c r="AJ30" s="432"/>
      <c r="AK30" s="3384"/>
      <c r="AL30" s="432"/>
      <c r="AM30" s="3384"/>
      <c r="AN30" s="432"/>
      <c r="AO30" s="3384"/>
      <c r="AP30" s="432"/>
      <c r="AQ30" s="445"/>
      <c r="AR30" s="3385"/>
      <c r="AS30" s="445"/>
      <c r="AT30" s="3386"/>
      <c r="AU30" s="445"/>
      <c r="AV30" s="3387"/>
      <c r="AW30" s="438"/>
      <c r="AX30" s="3373" t="str">
        <f t="shared" si="51"/>
        <v/>
      </c>
      <c r="CA30" s="418" t="str">
        <f t="shared" si="48"/>
        <v/>
      </c>
      <c r="CB30" s="418" t="str">
        <f t="shared" si="3"/>
        <v/>
      </c>
      <c r="CC30" s="418" t="str">
        <f t="shared" si="4"/>
        <v/>
      </c>
      <c r="CD30" s="418" t="str">
        <f t="shared" si="5"/>
        <v/>
      </c>
      <c r="CE30" s="418" t="str">
        <f t="shared" si="42"/>
        <v/>
      </c>
      <c r="CF30" s="418" t="str">
        <f t="shared" si="43"/>
        <v/>
      </c>
      <c r="CG30" s="418" t="str">
        <f t="shared" si="44"/>
        <v/>
      </c>
      <c r="CH30" s="418" t="str">
        <f t="shared" si="52"/>
        <v/>
      </c>
      <c r="CI30" s="418" t="str">
        <f t="shared" si="53"/>
        <v/>
      </c>
      <c r="CJ30" s="418" t="str">
        <f t="shared" si="6"/>
        <v/>
      </c>
      <c r="CK30" s="418" t="str">
        <f t="shared" si="7"/>
        <v/>
      </c>
      <c r="CL30" s="418" t="str">
        <f t="shared" si="8"/>
        <v/>
      </c>
      <c r="CM30" s="418" t="str">
        <f t="shared" si="9"/>
        <v/>
      </c>
      <c r="CN30" s="418" t="str">
        <f t="shared" si="10"/>
        <v/>
      </c>
      <c r="CO30" s="418" t="str">
        <f t="shared" si="11"/>
        <v/>
      </c>
      <c r="CP30" s="418" t="str">
        <f t="shared" si="12"/>
        <v/>
      </c>
      <c r="CQ30" s="418" t="str">
        <f t="shared" si="13"/>
        <v/>
      </c>
      <c r="CR30" s="418" t="str">
        <f t="shared" si="14"/>
        <v/>
      </c>
      <c r="CS30" s="418" t="str">
        <f t="shared" si="15"/>
        <v/>
      </c>
      <c r="CT30" s="418" t="str">
        <f t="shared" si="16"/>
        <v/>
      </c>
      <c r="CU30" s="418" t="str">
        <f t="shared" si="17"/>
        <v/>
      </c>
      <c r="CV30" s="418" t="str">
        <f t="shared" si="18"/>
        <v/>
      </c>
      <c r="CW30" s="418" t="str">
        <f t="shared" si="19"/>
        <v/>
      </c>
      <c r="CX30" s="418" t="str">
        <f t="shared" si="20"/>
        <v/>
      </c>
      <c r="DE30" s="417"/>
      <c r="DF30" s="3375">
        <f t="shared" si="49"/>
        <v>0</v>
      </c>
      <c r="DG30" s="3375">
        <f t="shared" si="22"/>
        <v>0</v>
      </c>
      <c r="DH30" s="3375">
        <f t="shared" si="23"/>
        <v>0</v>
      </c>
      <c r="DI30" s="3375">
        <f t="shared" si="24"/>
        <v>0</v>
      </c>
      <c r="DJ30" s="3375">
        <f t="shared" si="45"/>
        <v>0</v>
      </c>
      <c r="DK30" s="3375">
        <f t="shared" si="46"/>
        <v>0</v>
      </c>
      <c r="DL30" s="3375">
        <f t="shared" si="47"/>
        <v>0</v>
      </c>
      <c r="DM30" s="3375">
        <f t="shared" si="54"/>
        <v>0</v>
      </c>
      <c r="DN30" s="3375">
        <f t="shared" si="55"/>
        <v>0</v>
      </c>
      <c r="DO30" s="3375">
        <f t="shared" si="25"/>
        <v>0</v>
      </c>
      <c r="DP30" s="3375">
        <f t="shared" si="26"/>
        <v>0</v>
      </c>
      <c r="DQ30" s="3375">
        <f t="shared" si="27"/>
        <v>0</v>
      </c>
      <c r="DR30" s="3375">
        <f t="shared" si="28"/>
        <v>0</v>
      </c>
      <c r="DS30" s="3375">
        <f t="shared" si="29"/>
        <v>0</v>
      </c>
      <c r="DT30" s="3375">
        <f t="shared" si="30"/>
        <v>0</v>
      </c>
      <c r="DU30" s="3375">
        <f t="shared" si="31"/>
        <v>0</v>
      </c>
      <c r="DV30" s="3375">
        <f t="shared" si="32"/>
        <v>0</v>
      </c>
      <c r="DW30" s="3375">
        <f t="shared" si="33"/>
        <v>0</v>
      </c>
      <c r="DX30" s="3375">
        <f t="shared" si="34"/>
        <v>0</v>
      </c>
      <c r="DY30" s="3375">
        <f t="shared" si="35"/>
        <v>0</v>
      </c>
      <c r="DZ30" s="3375">
        <f t="shared" si="36"/>
        <v>0</v>
      </c>
      <c r="EA30" s="3375">
        <f t="shared" si="37"/>
        <v>0</v>
      </c>
      <c r="EB30" s="3375">
        <f t="shared" si="38"/>
        <v>0</v>
      </c>
      <c r="EC30" s="3375">
        <f t="shared" si="39"/>
        <v>0</v>
      </c>
    </row>
    <row r="31" spans="1:133" ht="18" customHeight="1">
      <c r="A31" s="3388" t="s">
        <v>1957</v>
      </c>
      <c r="B31" s="3388"/>
      <c r="C31" s="3388"/>
      <c r="D31" s="3388"/>
      <c r="E31" s="3388"/>
      <c r="F31" s="3388"/>
      <c r="G31" s="3388"/>
      <c r="H31" s="3388"/>
      <c r="I31" s="3388"/>
      <c r="J31" s="3388"/>
      <c r="K31" s="3388"/>
      <c r="L31" s="3388"/>
      <c r="M31" s="3388"/>
      <c r="N31" s="3388"/>
      <c r="O31" s="3388"/>
      <c r="P31" s="3388"/>
      <c r="Q31" s="3388"/>
      <c r="R31" s="3388"/>
      <c r="S31" s="3388"/>
      <c r="T31" s="3388"/>
      <c r="U31" s="3388"/>
      <c r="V31" s="3388"/>
      <c r="W31" s="3388"/>
      <c r="X31" s="3388"/>
      <c r="Y31" s="3388"/>
      <c r="Z31" s="3388"/>
      <c r="AA31" s="3388"/>
      <c r="AB31" s="3388"/>
      <c r="AC31" s="3388"/>
      <c r="AD31" s="3388"/>
      <c r="AE31" s="3388"/>
      <c r="AF31" s="3388"/>
      <c r="AG31" s="3388"/>
      <c r="AH31" s="3388"/>
      <c r="AI31" s="3388"/>
      <c r="AJ31" s="3388"/>
      <c r="AK31" s="3388"/>
      <c r="AL31" s="3388"/>
      <c r="AM31" s="3388"/>
      <c r="AN31" s="3388"/>
      <c r="AO31" s="3388"/>
      <c r="AP31" s="3388"/>
      <c r="AQ31" s="3388"/>
      <c r="AR31" s="3366"/>
      <c r="AS31" s="3366"/>
      <c r="AT31" s="3366"/>
      <c r="AU31" s="3366"/>
      <c r="AV31" s="3366"/>
      <c r="AW31" s="3366"/>
    </row>
    <row r="32" spans="1:133">
      <c r="A32" s="5718" t="s">
        <v>1933</v>
      </c>
      <c r="B32" s="6153" t="s">
        <v>91</v>
      </c>
      <c r="C32" s="6154"/>
      <c r="D32" s="5707" t="s">
        <v>43</v>
      </c>
      <c r="E32" s="5708"/>
      <c r="F32" s="5708"/>
      <c r="G32" s="5708"/>
      <c r="H32" s="5708"/>
      <c r="I32" s="5708"/>
      <c r="J32" s="5708"/>
      <c r="K32" s="5708"/>
      <c r="L32" s="5708"/>
      <c r="M32" s="5708"/>
      <c r="N32" s="5708"/>
      <c r="O32" s="5708"/>
      <c r="P32" s="5708"/>
      <c r="Q32" s="5708"/>
      <c r="R32" s="5708"/>
      <c r="S32" s="5708"/>
      <c r="T32" s="5708"/>
      <c r="U32" s="5708"/>
      <c r="V32" s="5708"/>
      <c r="W32" s="5708"/>
      <c r="X32" s="5708"/>
      <c r="Y32" s="5708"/>
      <c r="Z32" s="5708"/>
      <c r="AA32" s="5708"/>
      <c r="AB32" s="5708"/>
      <c r="AC32" s="5708"/>
      <c r="AD32" s="5708"/>
      <c r="AE32" s="5708"/>
      <c r="AF32" s="5708"/>
      <c r="AG32" s="5708"/>
      <c r="AH32" s="5708"/>
      <c r="AI32" s="5708"/>
      <c r="AJ32" s="5708"/>
      <c r="AK32" s="5708"/>
      <c r="AL32" s="5708"/>
      <c r="AM32" s="5708"/>
      <c r="AN32" s="5708"/>
      <c r="AO32" s="5708"/>
      <c r="AP32" s="5708"/>
      <c r="AQ32" s="6147"/>
      <c r="AR32" s="6106" t="s">
        <v>1934</v>
      </c>
      <c r="AS32" s="5716"/>
      <c r="AT32" s="6749" t="s">
        <v>478</v>
      </c>
      <c r="AU32" s="6750"/>
      <c r="AV32" s="6139" t="s">
        <v>50</v>
      </c>
      <c r="AW32" s="5718" t="s">
        <v>51</v>
      </c>
    </row>
    <row r="33" spans="1:133">
      <c r="A33" s="6110"/>
      <c r="B33" s="6156"/>
      <c r="C33" s="6157"/>
      <c r="D33" s="5710" t="s">
        <v>1935</v>
      </c>
      <c r="E33" s="6106"/>
      <c r="F33" s="5710" t="s">
        <v>963</v>
      </c>
      <c r="G33" s="6106"/>
      <c r="H33" s="5710" t="s">
        <v>1936</v>
      </c>
      <c r="I33" s="5712"/>
      <c r="J33" s="6106" t="s">
        <v>965</v>
      </c>
      <c r="K33" s="6106"/>
      <c r="L33" s="5710" t="s">
        <v>347</v>
      </c>
      <c r="M33" s="6106"/>
      <c r="N33" s="5710" t="s">
        <v>108</v>
      </c>
      <c r="O33" s="6106"/>
      <c r="P33" s="5710" t="s">
        <v>58</v>
      </c>
      <c r="Q33" s="6106"/>
      <c r="R33" s="5710" t="s">
        <v>59</v>
      </c>
      <c r="S33" s="6106"/>
      <c r="T33" s="5710" t="s">
        <v>60</v>
      </c>
      <c r="U33" s="5712"/>
      <c r="V33" s="5710" t="s">
        <v>61</v>
      </c>
      <c r="W33" s="5712"/>
      <c r="X33" s="5710" t="s">
        <v>62</v>
      </c>
      <c r="Y33" s="5712"/>
      <c r="Z33" s="5710" t="s">
        <v>63</v>
      </c>
      <c r="AA33" s="5712"/>
      <c r="AB33" s="5710" t="s">
        <v>64</v>
      </c>
      <c r="AC33" s="5712"/>
      <c r="AD33" s="5710" t="s">
        <v>65</v>
      </c>
      <c r="AE33" s="5712"/>
      <c r="AF33" s="5710" t="s">
        <v>66</v>
      </c>
      <c r="AG33" s="5712"/>
      <c r="AH33" s="5710" t="s">
        <v>67</v>
      </c>
      <c r="AI33" s="5712"/>
      <c r="AJ33" s="5710" t="s">
        <v>68</v>
      </c>
      <c r="AK33" s="5712"/>
      <c r="AL33" s="5710" t="s">
        <v>69</v>
      </c>
      <c r="AM33" s="5712"/>
      <c r="AN33" s="5710" t="s">
        <v>70</v>
      </c>
      <c r="AO33" s="5712"/>
      <c r="AP33" s="5710" t="s">
        <v>71</v>
      </c>
      <c r="AQ33" s="5716"/>
      <c r="AR33" s="6133" t="s">
        <v>72</v>
      </c>
      <c r="AS33" s="6228" t="s">
        <v>73</v>
      </c>
      <c r="AT33" s="6751"/>
      <c r="AU33" s="6752"/>
      <c r="AV33" s="6166"/>
      <c r="AW33" s="6110"/>
    </row>
    <row r="34" spans="1:133">
      <c r="A34" s="5719"/>
      <c r="B34" s="1396" t="s">
        <v>1937</v>
      </c>
      <c r="C34" s="1584" t="s">
        <v>1938</v>
      </c>
      <c r="D34" s="1395" t="s">
        <v>1937</v>
      </c>
      <c r="E34" s="1646" t="s">
        <v>1938</v>
      </c>
      <c r="F34" s="1395" t="s">
        <v>1937</v>
      </c>
      <c r="G34" s="1646" t="s">
        <v>1938</v>
      </c>
      <c r="H34" s="1395" t="s">
        <v>1937</v>
      </c>
      <c r="I34" s="1584" t="s">
        <v>1938</v>
      </c>
      <c r="J34" s="1396" t="s">
        <v>1937</v>
      </c>
      <c r="K34" s="1646" t="s">
        <v>1938</v>
      </c>
      <c r="L34" s="1395" t="s">
        <v>1937</v>
      </c>
      <c r="M34" s="1646" t="s">
        <v>1938</v>
      </c>
      <c r="N34" s="1395" t="s">
        <v>1937</v>
      </c>
      <c r="O34" s="1646" t="s">
        <v>1938</v>
      </c>
      <c r="P34" s="1395" t="s">
        <v>1937</v>
      </c>
      <c r="Q34" s="1646" t="s">
        <v>1938</v>
      </c>
      <c r="R34" s="1395" t="s">
        <v>1937</v>
      </c>
      <c r="S34" s="1646" t="s">
        <v>1938</v>
      </c>
      <c r="T34" s="1395" t="s">
        <v>1937</v>
      </c>
      <c r="U34" s="1646" t="s">
        <v>1938</v>
      </c>
      <c r="V34" s="1395" t="s">
        <v>1937</v>
      </c>
      <c r="W34" s="1646" t="s">
        <v>1938</v>
      </c>
      <c r="X34" s="1395" t="s">
        <v>1937</v>
      </c>
      <c r="Y34" s="1646" t="s">
        <v>1938</v>
      </c>
      <c r="Z34" s="1395" t="s">
        <v>1937</v>
      </c>
      <c r="AA34" s="1646" t="s">
        <v>1938</v>
      </c>
      <c r="AB34" s="1395" t="s">
        <v>1937</v>
      </c>
      <c r="AC34" s="1646" t="s">
        <v>1938</v>
      </c>
      <c r="AD34" s="1395" t="s">
        <v>1937</v>
      </c>
      <c r="AE34" s="1646" t="s">
        <v>1938</v>
      </c>
      <c r="AF34" s="1395" t="s">
        <v>1937</v>
      </c>
      <c r="AG34" s="1646" t="s">
        <v>1938</v>
      </c>
      <c r="AH34" s="1395" t="s">
        <v>1937</v>
      </c>
      <c r="AI34" s="1646" t="s">
        <v>1938</v>
      </c>
      <c r="AJ34" s="1395" t="s">
        <v>1937</v>
      </c>
      <c r="AK34" s="1646" t="s">
        <v>1938</v>
      </c>
      <c r="AL34" s="1395" t="s">
        <v>1937</v>
      </c>
      <c r="AM34" s="1646" t="s">
        <v>1938</v>
      </c>
      <c r="AN34" s="1395" t="s">
        <v>1937</v>
      </c>
      <c r="AO34" s="1646" t="s">
        <v>1938</v>
      </c>
      <c r="AP34" s="1395" t="s">
        <v>1937</v>
      </c>
      <c r="AQ34" s="1398" t="s">
        <v>1938</v>
      </c>
      <c r="AR34" s="6134"/>
      <c r="AS34" s="6229"/>
      <c r="AT34" s="1704" t="s">
        <v>483</v>
      </c>
      <c r="AU34" s="1706" t="s">
        <v>484</v>
      </c>
      <c r="AV34" s="6115"/>
      <c r="AW34" s="5719"/>
    </row>
    <row r="35" spans="1:133">
      <c r="A35" s="446" t="s">
        <v>1939</v>
      </c>
      <c r="B35" s="2393">
        <f t="shared" ref="B35:C42" si="56">+N35+P35+R35+T35+V35+X35+Z35+AB35+AD35+AF35+AH35+AJ35+AL35+AN35+AP35</f>
        <v>0</v>
      </c>
      <c r="C35" s="1736">
        <f t="shared" si="56"/>
        <v>0</v>
      </c>
      <c r="D35" s="2880"/>
      <c r="E35" s="2885"/>
      <c r="F35" s="2381"/>
      <c r="G35" s="2885"/>
      <c r="H35" s="2381"/>
      <c r="I35" s="2885"/>
      <c r="J35" s="2381"/>
      <c r="K35" s="2885"/>
      <c r="L35" s="2381"/>
      <c r="M35" s="2382"/>
      <c r="N35" s="423"/>
      <c r="O35" s="3376"/>
      <c r="P35" s="425"/>
      <c r="Q35" s="3376"/>
      <c r="R35" s="425"/>
      <c r="S35" s="3376"/>
      <c r="T35" s="425"/>
      <c r="U35" s="3376"/>
      <c r="V35" s="425"/>
      <c r="W35" s="3376"/>
      <c r="X35" s="425"/>
      <c r="Y35" s="3376"/>
      <c r="Z35" s="425"/>
      <c r="AA35" s="3376"/>
      <c r="AB35" s="425"/>
      <c r="AC35" s="3376"/>
      <c r="AD35" s="425"/>
      <c r="AE35" s="3376"/>
      <c r="AF35" s="425"/>
      <c r="AG35" s="3376"/>
      <c r="AH35" s="425"/>
      <c r="AI35" s="3376"/>
      <c r="AJ35" s="425"/>
      <c r="AK35" s="3376"/>
      <c r="AL35" s="425"/>
      <c r="AM35" s="3376"/>
      <c r="AN35" s="425"/>
      <c r="AO35" s="3376"/>
      <c r="AP35" s="425"/>
      <c r="AQ35" s="426"/>
      <c r="AR35" s="3371"/>
      <c r="AS35" s="426"/>
      <c r="AT35" s="3372"/>
      <c r="AU35" s="426"/>
      <c r="AV35" s="2249"/>
      <c r="AW35" s="452"/>
      <c r="AX35" s="3373" t="str">
        <f t="shared" ref="AX35:AX42" si="57">$CA35&amp;CB35&amp;CC35&amp;$CD35&amp;CJ35&amp;CK35&amp;CL35&amp;CM35&amp;CN35&amp;CO35&amp;CP35&amp;CQ35&amp;CR35&amp;CS35&amp;CT35&amp;CU35&amp;CV35&amp;CW35&amp;CX35</f>
        <v/>
      </c>
      <c r="CA35" s="418" t="str">
        <f t="shared" ref="CA35:CA39" si="58">IF(B35&lt;&gt;(AS35)," * La suma de las columnas "&amp;AR$10&amp;""&amp;" DEBE SER IGUAL a los Exámenes Procesados. ","")</f>
        <v/>
      </c>
      <c r="CB35" s="418" t="str">
        <f t="shared" ref="CB35:CB96" si="59">IF(AND($B35&gt;0,AND(AT35="",AU35="")),"* No olvide ingresar las columnas Trans Masculino o Femenino (*Digite CERO si no tiene). ",IF((AT35+AU35)&gt;$B35,"* El Número de Trans Masculino o Femenino no puede superar el Total Procesados. ",""))</f>
        <v/>
      </c>
      <c r="CC35" s="418" t="str">
        <f t="shared" si="4"/>
        <v/>
      </c>
      <c r="CD35" s="418" t="str">
        <f t="shared" si="5"/>
        <v/>
      </c>
      <c r="CE35" s="3374"/>
      <c r="CF35" s="3374"/>
      <c r="CG35" s="3374"/>
      <c r="CH35" s="3374"/>
      <c r="CI35" s="3374"/>
      <c r="CJ35" s="418" t="str">
        <f t="shared" si="6"/>
        <v/>
      </c>
      <c r="CK35" s="418" t="str">
        <f t="shared" si="7"/>
        <v/>
      </c>
      <c r="CL35" s="418" t="str">
        <f t="shared" si="8"/>
        <v/>
      </c>
      <c r="CM35" s="418" t="str">
        <f t="shared" si="9"/>
        <v/>
      </c>
      <c r="CN35" s="418" t="str">
        <f t="shared" si="10"/>
        <v/>
      </c>
      <c r="CO35" s="418" t="str">
        <f t="shared" si="11"/>
        <v/>
      </c>
      <c r="CP35" s="418" t="str">
        <f t="shared" si="12"/>
        <v/>
      </c>
      <c r="CQ35" s="418" t="str">
        <f t="shared" si="13"/>
        <v/>
      </c>
      <c r="CR35" s="418" t="str">
        <f t="shared" si="14"/>
        <v/>
      </c>
      <c r="CS35" s="418" t="str">
        <f t="shared" si="15"/>
        <v/>
      </c>
      <c r="CT35" s="418" t="str">
        <f t="shared" si="16"/>
        <v/>
      </c>
      <c r="CU35" s="418" t="str">
        <f t="shared" si="17"/>
        <v/>
      </c>
      <c r="CV35" s="418" t="str">
        <f t="shared" si="18"/>
        <v/>
      </c>
      <c r="CW35" s="418" t="str">
        <f t="shared" si="19"/>
        <v/>
      </c>
      <c r="CX35" s="418" t="str">
        <f t="shared" si="20"/>
        <v/>
      </c>
      <c r="DE35" s="417"/>
      <c r="DF35" s="3389">
        <f t="shared" ref="DF35:DF39" si="60">IF(B35&lt;&gt;(AS35),1,0)</f>
        <v>0</v>
      </c>
      <c r="DG35" s="3375">
        <f t="shared" si="22"/>
        <v>0</v>
      </c>
      <c r="DH35" s="3375">
        <f t="shared" si="23"/>
        <v>0</v>
      </c>
      <c r="DI35" s="3375">
        <f t="shared" si="24"/>
        <v>0</v>
      </c>
      <c r="DJ35" s="3374"/>
      <c r="DK35" s="3374"/>
      <c r="DL35" s="3374"/>
      <c r="DM35" s="3374"/>
      <c r="DN35" s="3374"/>
      <c r="DO35" s="3375">
        <f t="shared" si="25"/>
        <v>0</v>
      </c>
      <c r="DP35" s="3375">
        <f t="shared" si="26"/>
        <v>0</v>
      </c>
      <c r="DQ35" s="3375">
        <f t="shared" si="27"/>
        <v>0</v>
      </c>
      <c r="DR35" s="3375">
        <f t="shared" si="28"/>
        <v>0</v>
      </c>
      <c r="DS35" s="3375">
        <f t="shared" si="29"/>
        <v>0</v>
      </c>
      <c r="DT35" s="3375">
        <f t="shared" si="30"/>
        <v>0</v>
      </c>
      <c r="DU35" s="3375">
        <f t="shared" si="31"/>
        <v>0</v>
      </c>
      <c r="DV35" s="3375">
        <f t="shared" si="32"/>
        <v>0</v>
      </c>
      <c r="DW35" s="3375">
        <f t="shared" si="33"/>
        <v>0</v>
      </c>
      <c r="DX35" s="3375">
        <f t="shared" si="34"/>
        <v>0</v>
      </c>
      <c r="DY35" s="3375">
        <f t="shared" si="35"/>
        <v>0</v>
      </c>
      <c r="DZ35" s="3375">
        <f t="shared" si="36"/>
        <v>0</v>
      </c>
      <c r="EA35" s="3375">
        <f t="shared" si="37"/>
        <v>0</v>
      </c>
      <c r="EB35" s="3375">
        <f t="shared" si="38"/>
        <v>0</v>
      </c>
      <c r="EC35" s="3375">
        <f t="shared" si="39"/>
        <v>0</v>
      </c>
    </row>
    <row r="36" spans="1:133">
      <c r="A36" s="420" t="s">
        <v>1940</v>
      </c>
      <c r="B36" s="1737">
        <f t="shared" si="56"/>
        <v>0</v>
      </c>
      <c r="C36" s="1739">
        <f t="shared" si="56"/>
        <v>0</v>
      </c>
      <c r="D36" s="2880"/>
      <c r="E36" s="2885"/>
      <c r="F36" s="2381"/>
      <c r="G36" s="2885"/>
      <c r="H36" s="2381"/>
      <c r="I36" s="2885"/>
      <c r="J36" s="2381"/>
      <c r="K36" s="2885"/>
      <c r="L36" s="2381"/>
      <c r="M36" s="2382"/>
      <c r="N36" s="423"/>
      <c r="O36" s="3376"/>
      <c r="P36" s="425"/>
      <c r="Q36" s="3376"/>
      <c r="R36" s="425"/>
      <c r="S36" s="3376"/>
      <c r="T36" s="425"/>
      <c r="U36" s="3376"/>
      <c r="V36" s="425"/>
      <c r="W36" s="3376"/>
      <c r="X36" s="425"/>
      <c r="Y36" s="3376"/>
      <c r="Z36" s="425"/>
      <c r="AA36" s="3376"/>
      <c r="AB36" s="425"/>
      <c r="AC36" s="3376"/>
      <c r="AD36" s="425"/>
      <c r="AE36" s="3376"/>
      <c r="AF36" s="425"/>
      <c r="AG36" s="3376"/>
      <c r="AH36" s="425"/>
      <c r="AI36" s="3376"/>
      <c r="AJ36" s="425"/>
      <c r="AK36" s="3376"/>
      <c r="AL36" s="425"/>
      <c r="AM36" s="3376"/>
      <c r="AN36" s="425"/>
      <c r="AO36" s="3376"/>
      <c r="AP36" s="425"/>
      <c r="AQ36" s="426"/>
      <c r="AR36" s="3371"/>
      <c r="AS36" s="426"/>
      <c r="AT36" s="3372"/>
      <c r="AU36" s="426"/>
      <c r="AV36" s="2249"/>
      <c r="AW36" s="443"/>
      <c r="AX36" s="3373" t="str">
        <f t="shared" si="57"/>
        <v/>
      </c>
      <c r="CA36" s="418" t="str">
        <f t="shared" si="58"/>
        <v/>
      </c>
      <c r="CB36" s="418" t="str">
        <f t="shared" si="59"/>
        <v/>
      </c>
      <c r="CC36" s="418" t="str">
        <f t="shared" si="4"/>
        <v/>
      </c>
      <c r="CD36" s="418" t="str">
        <f t="shared" si="5"/>
        <v/>
      </c>
      <c r="CE36" s="3374"/>
      <c r="CF36" s="3374"/>
      <c r="CG36" s="3374"/>
      <c r="CH36" s="3374"/>
      <c r="CI36" s="3374"/>
      <c r="CJ36" s="418" t="str">
        <f t="shared" si="6"/>
        <v/>
      </c>
      <c r="CK36" s="418" t="str">
        <f t="shared" si="7"/>
        <v/>
      </c>
      <c r="CL36" s="418" t="str">
        <f t="shared" si="8"/>
        <v/>
      </c>
      <c r="CM36" s="418" t="str">
        <f t="shared" si="9"/>
        <v/>
      </c>
      <c r="CN36" s="418" t="str">
        <f t="shared" si="10"/>
        <v/>
      </c>
      <c r="CO36" s="418" t="str">
        <f t="shared" si="11"/>
        <v/>
      </c>
      <c r="CP36" s="418" t="str">
        <f t="shared" si="12"/>
        <v/>
      </c>
      <c r="CQ36" s="418" t="str">
        <f t="shared" si="13"/>
        <v/>
      </c>
      <c r="CR36" s="418" t="str">
        <f t="shared" si="14"/>
        <v/>
      </c>
      <c r="CS36" s="418" t="str">
        <f t="shared" si="15"/>
        <v/>
      </c>
      <c r="CT36" s="418" t="str">
        <f t="shared" si="16"/>
        <v/>
      </c>
      <c r="CU36" s="418" t="str">
        <f t="shared" si="17"/>
        <v/>
      </c>
      <c r="CV36" s="418" t="str">
        <f t="shared" si="18"/>
        <v/>
      </c>
      <c r="CW36" s="418" t="str">
        <f t="shared" si="19"/>
        <v/>
      </c>
      <c r="CX36" s="418" t="str">
        <f t="shared" si="20"/>
        <v/>
      </c>
      <c r="DE36" s="417"/>
      <c r="DF36" s="3389">
        <f t="shared" si="60"/>
        <v>0</v>
      </c>
      <c r="DG36" s="3375">
        <f t="shared" si="22"/>
        <v>0</v>
      </c>
      <c r="DH36" s="3375">
        <f t="shared" si="23"/>
        <v>0</v>
      </c>
      <c r="DI36" s="3375">
        <f t="shared" si="24"/>
        <v>0</v>
      </c>
      <c r="DJ36" s="3374"/>
      <c r="DK36" s="3374"/>
      <c r="DL36" s="3374"/>
      <c r="DM36" s="3374"/>
      <c r="DN36" s="3374"/>
      <c r="DO36" s="3375">
        <f t="shared" si="25"/>
        <v>0</v>
      </c>
      <c r="DP36" s="3375">
        <f t="shared" si="26"/>
        <v>0</v>
      </c>
      <c r="DQ36" s="3375">
        <f t="shared" si="27"/>
        <v>0</v>
      </c>
      <c r="DR36" s="3375">
        <f t="shared" si="28"/>
        <v>0</v>
      </c>
      <c r="DS36" s="3375">
        <f t="shared" si="29"/>
        <v>0</v>
      </c>
      <c r="DT36" s="3375">
        <f t="shared" si="30"/>
        <v>0</v>
      </c>
      <c r="DU36" s="3375">
        <f t="shared" si="31"/>
        <v>0</v>
      </c>
      <c r="DV36" s="3375">
        <f t="shared" si="32"/>
        <v>0</v>
      </c>
      <c r="DW36" s="3375">
        <f t="shared" si="33"/>
        <v>0</v>
      </c>
      <c r="DX36" s="3375">
        <f t="shared" si="34"/>
        <v>0</v>
      </c>
      <c r="DY36" s="3375">
        <f t="shared" si="35"/>
        <v>0</v>
      </c>
      <c r="DZ36" s="3375">
        <f t="shared" si="36"/>
        <v>0</v>
      </c>
      <c r="EA36" s="3375">
        <f t="shared" si="37"/>
        <v>0</v>
      </c>
      <c r="EB36" s="3375">
        <f t="shared" si="38"/>
        <v>0</v>
      </c>
      <c r="EC36" s="3375">
        <f t="shared" si="39"/>
        <v>0</v>
      </c>
    </row>
    <row r="37" spans="1:133">
      <c r="A37" s="420" t="s">
        <v>1941</v>
      </c>
      <c r="B37" s="1737">
        <f t="shared" si="56"/>
        <v>0</v>
      </c>
      <c r="C37" s="1739">
        <f t="shared" si="56"/>
        <v>0</v>
      </c>
      <c r="D37" s="2880"/>
      <c r="E37" s="2885"/>
      <c r="F37" s="2381"/>
      <c r="G37" s="2885"/>
      <c r="H37" s="2381"/>
      <c r="I37" s="2885"/>
      <c r="J37" s="2381"/>
      <c r="K37" s="2885"/>
      <c r="L37" s="2381"/>
      <c r="M37" s="2382"/>
      <c r="N37" s="423"/>
      <c r="O37" s="3376"/>
      <c r="P37" s="425"/>
      <c r="Q37" s="3376"/>
      <c r="R37" s="425"/>
      <c r="S37" s="3376"/>
      <c r="T37" s="425"/>
      <c r="U37" s="3376"/>
      <c r="V37" s="425"/>
      <c r="W37" s="3376"/>
      <c r="X37" s="425"/>
      <c r="Y37" s="3376"/>
      <c r="Z37" s="425"/>
      <c r="AA37" s="3376"/>
      <c r="AB37" s="425"/>
      <c r="AC37" s="3376"/>
      <c r="AD37" s="425"/>
      <c r="AE37" s="3376"/>
      <c r="AF37" s="425"/>
      <c r="AG37" s="3376"/>
      <c r="AH37" s="425"/>
      <c r="AI37" s="3376"/>
      <c r="AJ37" s="425"/>
      <c r="AK37" s="3376"/>
      <c r="AL37" s="425"/>
      <c r="AM37" s="3376"/>
      <c r="AN37" s="425"/>
      <c r="AO37" s="3376"/>
      <c r="AP37" s="425"/>
      <c r="AQ37" s="426"/>
      <c r="AR37" s="3371"/>
      <c r="AS37" s="426"/>
      <c r="AT37" s="3372"/>
      <c r="AU37" s="426"/>
      <c r="AV37" s="2249"/>
      <c r="AW37" s="443"/>
      <c r="AX37" s="3373" t="str">
        <f t="shared" si="57"/>
        <v/>
      </c>
      <c r="CA37" s="418" t="str">
        <f t="shared" si="58"/>
        <v/>
      </c>
      <c r="CB37" s="418" t="str">
        <f t="shared" si="59"/>
        <v/>
      </c>
      <c r="CC37" s="418" t="str">
        <f t="shared" si="4"/>
        <v/>
      </c>
      <c r="CD37" s="418" t="str">
        <f t="shared" si="5"/>
        <v/>
      </c>
      <c r="CE37" s="3374"/>
      <c r="CF37" s="3374"/>
      <c r="CG37" s="3374"/>
      <c r="CH37" s="3374"/>
      <c r="CI37" s="3374"/>
      <c r="CJ37" s="418" t="str">
        <f t="shared" si="6"/>
        <v/>
      </c>
      <c r="CK37" s="418" t="str">
        <f t="shared" si="7"/>
        <v/>
      </c>
      <c r="CL37" s="418" t="str">
        <f t="shared" si="8"/>
        <v/>
      </c>
      <c r="CM37" s="418" t="str">
        <f t="shared" si="9"/>
        <v/>
      </c>
      <c r="CN37" s="418" t="str">
        <f t="shared" si="10"/>
        <v/>
      </c>
      <c r="CO37" s="418" t="str">
        <f t="shared" si="11"/>
        <v/>
      </c>
      <c r="CP37" s="418" t="str">
        <f t="shared" si="12"/>
        <v/>
      </c>
      <c r="CQ37" s="418" t="str">
        <f t="shared" si="13"/>
        <v/>
      </c>
      <c r="CR37" s="418" t="str">
        <f t="shared" si="14"/>
        <v/>
      </c>
      <c r="CS37" s="418" t="str">
        <f t="shared" si="15"/>
        <v/>
      </c>
      <c r="CT37" s="418" t="str">
        <f t="shared" si="16"/>
        <v/>
      </c>
      <c r="CU37" s="418" t="str">
        <f t="shared" si="17"/>
        <v/>
      </c>
      <c r="CV37" s="418" t="str">
        <f t="shared" si="18"/>
        <v/>
      </c>
      <c r="CW37" s="418" t="str">
        <f t="shared" si="19"/>
        <v/>
      </c>
      <c r="CX37" s="418" t="str">
        <f t="shared" si="20"/>
        <v/>
      </c>
      <c r="DE37" s="417"/>
      <c r="DF37" s="3389">
        <f t="shared" si="60"/>
        <v>0</v>
      </c>
      <c r="DG37" s="3375">
        <f t="shared" si="22"/>
        <v>0</v>
      </c>
      <c r="DH37" s="3375">
        <f t="shared" si="23"/>
        <v>0</v>
      </c>
      <c r="DI37" s="3375">
        <f t="shared" si="24"/>
        <v>0</v>
      </c>
      <c r="DJ37" s="3374"/>
      <c r="DK37" s="3374"/>
      <c r="DL37" s="3374"/>
      <c r="DM37" s="3374"/>
      <c r="DN37" s="3374"/>
      <c r="DO37" s="3375">
        <f t="shared" si="25"/>
        <v>0</v>
      </c>
      <c r="DP37" s="3375">
        <f t="shared" si="26"/>
        <v>0</v>
      </c>
      <c r="DQ37" s="3375">
        <f t="shared" si="27"/>
        <v>0</v>
      </c>
      <c r="DR37" s="3375">
        <f t="shared" si="28"/>
        <v>0</v>
      </c>
      <c r="DS37" s="3375">
        <f t="shared" si="29"/>
        <v>0</v>
      </c>
      <c r="DT37" s="3375">
        <f t="shared" si="30"/>
        <v>0</v>
      </c>
      <c r="DU37" s="3375">
        <f t="shared" si="31"/>
        <v>0</v>
      </c>
      <c r="DV37" s="3375">
        <f t="shared" si="32"/>
        <v>0</v>
      </c>
      <c r="DW37" s="3375">
        <f t="shared" si="33"/>
        <v>0</v>
      </c>
      <c r="DX37" s="3375">
        <f t="shared" si="34"/>
        <v>0</v>
      </c>
      <c r="DY37" s="3375">
        <f t="shared" si="35"/>
        <v>0</v>
      </c>
      <c r="DZ37" s="3375">
        <f t="shared" si="36"/>
        <v>0</v>
      </c>
      <c r="EA37" s="3375">
        <f t="shared" si="37"/>
        <v>0</v>
      </c>
      <c r="EB37" s="3375">
        <f t="shared" si="38"/>
        <v>0</v>
      </c>
      <c r="EC37" s="3375">
        <f t="shared" si="39"/>
        <v>0</v>
      </c>
    </row>
    <row r="38" spans="1:133">
      <c r="A38" s="420" t="s">
        <v>1942</v>
      </c>
      <c r="B38" s="1737">
        <f t="shared" si="56"/>
        <v>0</v>
      </c>
      <c r="C38" s="1739">
        <f t="shared" si="56"/>
        <v>0</v>
      </c>
      <c r="D38" s="2880"/>
      <c r="E38" s="2885"/>
      <c r="F38" s="2381"/>
      <c r="G38" s="2885"/>
      <c r="H38" s="2381"/>
      <c r="I38" s="2885"/>
      <c r="J38" s="2381"/>
      <c r="K38" s="2885"/>
      <c r="L38" s="2381"/>
      <c r="M38" s="2382"/>
      <c r="N38" s="423"/>
      <c r="O38" s="3376"/>
      <c r="P38" s="425"/>
      <c r="Q38" s="3376"/>
      <c r="R38" s="425"/>
      <c r="S38" s="3376"/>
      <c r="T38" s="425"/>
      <c r="U38" s="3376"/>
      <c r="V38" s="425"/>
      <c r="W38" s="3376"/>
      <c r="X38" s="425"/>
      <c r="Y38" s="3376"/>
      <c r="Z38" s="425"/>
      <c r="AA38" s="3376"/>
      <c r="AB38" s="425"/>
      <c r="AC38" s="3376"/>
      <c r="AD38" s="425"/>
      <c r="AE38" s="3376"/>
      <c r="AF38" s="425"/>
      <c r="AG38" s="3376"/>
      <c r="AH38" s="425"/>
      <c r="AI38" s="3376"/>
      <c r="AJ38" s="425"/>
      <c r="AK38" s="3376"/>
      <c r="AL38" s="425"/>
      <c r="AM38" s="3376"/>
      <c r="AN38" s="425"/>
      <c r="AO38" s="3376"/>
      <c r="AP38" s="425"/>
      <c r="AQ38" s="426"/>
      <c r="AR38" s="3371"/>
      <c r="AS38" s="426"/>
      <c r="AT38" s="3372"/>
      <c r="AU38" s="426"/>
      <c r="AV38" s="2249"/>
      <c r="AW38" s="443"/>
      <c r="AX38" s="3373" t="str">
        <f t="shared" si="57"/>
        <v/>
      </c>
      <c r="CA38" s="418" t="str">
        <f t="shared" si="58"/>
        <v/>
      </c>
      <c r="CB38" s="418" t="str">
        <f t="shared" si="59"/>
        <v/>
      </c>
      <c r="CC38" s="418" t="str">
        <f t="shared" si="4"/>
        <v/>
      </c>
      <c r="CD38" s="418" t="str">
        <f t="shared" si="5"/>
        <v/>
      </c>
      <c r="CE38" s="3374"/>
      <c r="CF38" s="3374"/>
      <c r="CG38" s="3374"/>
      <c r="CH38" s="3374"/>
      <c r="CI38" s="3374"/>
      <c r="CJ38" s="418" t="str">
        <f t="shared" si="6"/>
        <v/>
      </c>
      <c r="CK38" s="418" t="str">
        <f t="shared" si="7"/>
        <v/>
      </c>
      <c r="CL38" s="418" t="str">
        <f t="shared" si="8"/>
        <v/>
      </c>
      <c r="CM38" s="418" t="str">
        <f t="shared" si="9"/>
        <v/>
      </c>
      <c r="CN38" s="418" t="str">
        <f t="shared" si="10"/>
        <v/>
      </c>
      <c r="CO38" s="418" t="str">
        <f t="shared" si="11"/>
        <v/>
      </c>
      <c r="CP38" s="418" t="str">
        <f t="shared" si="12"/>
        <v/>
      </c>
      <c r="CQ38" s="418" t="str">
        <f t="shared" si="13"/>
        <v/>
      </c>
      <c r="CR38" s="418" t="str">
        <f t="shared" si="14"/>
        <v/>
      </c>
      <c r="CS38" s="418" t="str">
        <f t="shared" si="15"/>
        <v/>
      </c>
      <c r="CT38" s="418" t="str">
        <f t="shared" si="16"/>
        <v/>
      </c>
      <c r="CU38" s="418" t="str">
        <f t="shared" si="17"/>
        <v/>
      </c>
      <c r="CV38" s="418" t="str">
        <f t="shared" si="18"/>
        <v/>
      </c>
      <c r="CW38" s="418" t="str">
        <f t="shared" si="19"/>
        <v/>
      </c>
      <c r="CX38" s="418" t="str">
        <f t="shared" si="20"/>
        <v/>
      </c>
      <c r="DE38" s="417"/>
      <c r="DF38" s="3389">
        <f t="shared" si="60"/>
        <v>0</v>
      </c>
      <c r="DG38" s="3375">
        <f t="shared" si="22"/>
        <v>0</v>
      </c>
      <c r="DH38" s="3375">
        <f t="shared" si="23"/>
        <v>0</v>
      </c>
      <c r="DI38" s="3375">
        <f t="shared" si="24"/>
        <v>0</v>
      </c>
      <c r="DJ38" s="3374"/>
      <c r="DK38" s="3374"/>
      <c r="DL38" s="3374"/>
      <c r="DM38" s="3374"/>
      <c r="DN38" s="3374"/>
      <c r="DO38" s="3375">
        <f t="shared" si="25"/>
        <v>0</v>
      </c>
      <c r="DP38" s="3375">
        <f t="shared" si="26"/>
        <v>0</v>
      </c>
      <c r="DQ38" s="3375">
        <f t="shared" si="27"/>
        <v>0</v>
      </c>
      <c r="DR38" s="3375">
        <f t="shared" si="28"/>
        <v>0</v>
      </c>
      <c r="DS38" s="3375">
        <f t="shared" si="29"/>
        <v>0</v>
      </c>
      <c r="DT38" s="3375">
        <f t="shared" si="30"/>
        <v>0</v>
      </c>
      <c r="DU38" s="3375">
        <f t="shared" si="31"/>
        <v>0</v>
      </c>
      <c r="DV38" s="3375">
        <f t="shared" si="32"/>
        <v>0</v>
      </c>
      <c r="DW38" s="3375">
        <f t="shared" si="33"/>
        <v>0</v>
      </c>
      <c r="DX38" s="3375">
        <f t="shared" si="34"/>
        <v>0</v>
      </c>
      <c r="DY38" s="3375">
        <f t="shared" si="35"/>
        <v>0</v>
      </c>
      <c r="DZ38" s="3375">
        <f t="shared" si="36"/>
        <v>0</v>
      </c>
      <c r="EA38" s="3375">
        <f t="shared" si="37"/>
        <v>0</v>
      </c>
      <c r="EB38" s="3375">
        <f t="shared" si="38"/>
        <v>0</v>
      </c>
      <c r="EC38" s="3375">
        <f t="shared" si="39"/>
        <v>0</v>
      </c>
    </row>
    <row r="39" spans="1:133">
      <c r="A39" s="2237" t="s">
        <v>1943</v>
      </c>
      <c r="B39" s="1737">
        <f t="shared" si="56"/>
        <v>0</v>
      </c>
      <c r="C39" s="1739">
        <f t="shared" si="56"/>
        <v>0</v>
      </c>
      <c r="D39" s="2880"/>
      <c r="E39" s="2885"/>
      <c r="F39" s="2381"/>
      <c r="G39" s="2885"/>
      <c r="H39" s="2381"/>
      <c r="I39" s="2885"/>
      <c r="J39" s="2381"/>
      <c r="K39" s="2885"/>
      <c r="L39" s="2381"/>
      <c r="M39" s="2382"/>
      <c r="N39" s="423"/>
      <c r="O39" s="3376"/>
      <c r="P39" s="425"/>
      <c r="Q39" s="3376"/>
      <c r="R39" s="425"/>
      <c r="S39" s="3376"/>
      <c r="T39" s="425"/>
      <c r="U39" s="3376"/>
      <c r="V39" s="425"/>
      <c r="W39" s="3376"/>
      <c r="X39" s="425"/>
      <c r="Y39" s="3376"/>
      <c r="Z39" s="425"/>
      <c r="AA39" s="3376"/>
      <c r="AB39" s="425"/>
      <c r="AC39" s="3376"/>
      <c r="AD39" s="425"/>
      <c r="AE39" s="3376"/>
      <c r="AF39" s="425"/>
      <c r="AG39" s="3376"/>
      <c r="AH39" s="425"/>
      <c r="AI39" s="3376"/>
      <c r="AJ39" s="425"/>
      <c r="AK39" s="3376"/>
      <c r="AL39" s="425"/>
      <c r="AM39" s="3376"/>
      <c r="AN39" s="425"/>
      <c r="AO39" s="3376"/>
      <c r="AP39" s="425"/>
      <c r="AQ39" s="426"/>
      <c r="AR39" s="3371"/>
      <c r="AS39" s="426"/>
      <c r="AT39" s="3372"/>
      <c r="AU39" s="426"/>
      <c r="AV39" s="2249"/>
      <c r="AW39" s="443"/>
      <c r="AX39" s="3373" t="str">
        <f t="shared" si="57"/>
        <v/>
      </c>
      <c r="CA39" s="418" t="str">
        <f t="shared" si="58"/>
        <v/>
      </c>
      <c r="CB39" s="418" t="str">
        <f t="shared" si="59"/>
        <v/>
      </c>
      <c r="CC39" s="418" t="str">
        <f t="shared" si="4"/>
        <v/>
      </c>
      <c r="CD39" s="418" t="str">
        <f t="shared" si="5"/>
        <v/>
      </c>
      <c r="CE39" s="3374"/>
      <c r="CF39" s="3374"/>
      <c r="CG39" s="3374"/>
      <c r="CH39" s="3374"/>
      <c r="CI39" s="3374"/>
      <c r="CJ39" s="418" t="str">
        <f t="shared" si="6"/>
        <v/>
      </c>
      <c r="CK39" s="418" t="str">
        <f t="shared" si="7"/>
        <v/>
      </c>
      <c r="CL39" s="418" t="str">
        <f t="shared" si="8"/>
        <v/>
      </c>
      <c r="CM39" s="418" t="str">
        <f t="shared" si="9"/>
        <v/>
      </c>
      <c r="CN39" s="418" t="str">
        <f t="shared" si="10"/>
        <v/>
      </c>
      <c r="CO39" s="418" t="str">
        <f t="shared" si="11"/>
        <v/>
      </c>
      <c r="CP39" s="418" t="str">
        <f t="shared" si="12"/>
        <v/>
      </c>
      <c r="CQ39" s="418" t="str">
        <f t="shared" si="13"/>
        <v/>
      </c>
      <c r="CR39" s="418" t="str">
        <f t="shared" si="14"/>
        <v/>
      </c>
      <c r="CS39" s="418" t="str">
        <f t="shared" si="15"/>
        <v/>
      </c>
      <c r="CT39" s="418" t="str">
        <f t="shared" si="16"/>
        <v/>
      </c>
      <c r="CU39" s="418" t="str">
        <f t="shared" si="17"/>
        <v/>
      </c>
      <c r="CV39" s="418" t="str">
        <f t="shared" si="18"/>
        <v/>
      </c>
      <c r="CW39" s="418" t="str">
        <f t="shared" si="19"/>
        <v/>
      </c>
      <c r="CX39" s="418" t="str">
        <f t="shared" si="20"/>
        <v/>
      </c>
      <c r="DE39" s="417"/>
      <c r="DF39" s="3389">
        <f t="shared" si="60"/>
        <v>0</v>
      </c>
      <c r="DG39" s="3375">
        <f t="shared" si="22"/>
        <v>0</v>
      </c>
      <c r="DH39" s="3375">
        <f t="shared" si="23"/>
        <v>0</v>
      </c>
      <c r="DI39" s="3375">
        <f t="shared" si="24"/>
        <v>0</v>
      </c>
      <c r="DJ39" s="3374"/>
      <c r="DK39" s="3374"/>
      <c r="DL39" s="3374"/>
      <c r="DM39" s="3374"/>
      <c r="DN39" s="3374"/>
      <c r="DO39" s="3375">
        <f t="shared" si="25"/>
        <v>0</v>
      </c>
      <c r="DP39" s="3375">
        <f t="shared" si="26"/>
        <v>0</v>
      </c>
      <c r="DQ39" s="3375">
        <f t="shared" si="27"/>
        <v>0</v>
      </c>
      <c r="DR39" s="3375">
        <f t="shared" si="28"/>
        <v>0</v>
      </c>
      <c r="DS39" s="3375">
        <f t="shared" si="29"/>
        <v>0</v>
      </c>
      <c r="DT39" s="3375">
        <f t="shared" si="30"/>
        <v>0</v>
      </c>
      <c r="DU39" s="3375">
        <f t="shared" si="31"/>
        <v>0</v>
      </c>
      <c r="DV39" s="3375">
        <f t="shared" si="32"/>
        <v>0</v>
      </c>
      <c r="DW39" s="3375">
        <f t="shared" si="33"/>
        <v>0</v>
      </c>
      <c r="DX39" s="3375">
        <f t="shared" si="34"/>
        <v>0</v>
      </c>
      <c r="DY39" s="3375">
        <f t="shared" si="35"/>
        <v>0</v>
      </c>
      <c r="DZ39" s="3375">
        <f t="shared" si="36"/>
        <v>0</v>
      </c>
      <c r="EA39" s="3375">
        <f t="shared" si="37"/>
        <v>0</v>
      </c>
      <c r="EB39" s="3375">
        <f t="shared" si="38"/>
        <v>0</v>
      </c>
      <c r="EC39" s="3375">
        <f t="shared" si="39"/>
        <v>0</v>
      </c>
    </row>
    <row r="40" spans="1:133">
      <c r="A40" s="2237" t="s">
        <v>1944</v>
      </c>
      <c r="B40" s="1737">
        <f t="shared" si="56"/>
        <v>0</v>
      </c>
      <c r="C40" s="1739">
        <f t="shared" si="56"/>
        <v>0</v>
      </c>
      <c r="D40" s="2880"/>
      <c r="E40" s="2885"/>
      <c r="F40" s="2381"/>
      <c r="G40" s="2885"/>
      <c r="H40" s="2381"/>
      <c r="I40" s="2885"/>
      <c r="J40" s="2381"/>
      <c r="K40" s="2885"/>
      <c r="L40" s="2381"/>
      <c r="M40" s="2382"/>
      <c r="N40" s="423"/>
      <c r="O40" s="3376"/>
      <c r="P40" s="425"/>
      <c r="Q40" s="3376"/>
      <c r="R40" s="425"/>
      <c r="S40" s="3376"/>
      <c r="T40" s="425"/>
      <c r="U40" s="3376"/>
      <c r="V40" s="425"/>
      <c r="W40" s="3376"/>
      <c r="X40" s="425"/>
      <c r="Y40" s="3376"/>
      <c r="Z40" s="425"/>
      <c r="AA40" s="3376"/>
      <c r="AB40" s="425"/>
      <c r="AC40" s="3376"/>
      <c r="AD40" s="425"/>
      <c r="AE40" s="3376"/>
      <c r="AF40" s="425"/>
      <c r="AG40" s="3376"/>
      <c r="AH40" s="425"/>
      <c r="AI40" s="3376"/>
      <c r="AJ40" s="425"/>
      <c r="AK40" s="3376"/>
      <c r="AL40" s="425"/>
      <c r="AM40" s="3376"/>
      <c r="AN40" s="425"/>
      <c r="AO40" s="3376"/>
      <c r="AP40" s="425"/>
      <c r="AQ40" s="426"/>
      <c r="AR40" s="423"/>
      <c r="AS40" s="426"/>
      <c r="AT40" s="3372"/>
      <c r="AU40" s="426"/>
      <c r="AV40" s="2249"/>
      <c r="AW40" s="443"/>
      <c r="AX40" s="3373" t="str">
        <f t="shared" si="57"/>
        <v/>
      </c>
      <c r="CA40" s="418" t="str">
        <f>IF(B40&lt;&gt;(AS40+AR40)," * La suma de las columnas "&amp;AR$10&amp;""&amp;" DEBE SER IGUAL a los Exámenes Procesados. ","")</f>
        <v/>
      </c>
      <c r="CB40" s="418" t="str">
        <f t="shared" si="59"/>
        <v/>
      </c>
      <c r="CC40" s="418" t="str">
        <f t="shared" si="4"/>
        <v/>
      </c>
      <c r="CD40" s="418" t="str">
        <f t="shared" si="5"/>
        <v/>
      </c>
      <c r="CE40" s="3374"/>
      <c r="CF40" s="3374"/>
      <c r="CG40" s="3374"/>
      <c r="CH40" s="3374"/>
      <c r="CI40" s="3374"/>
      <c r="CJ40" s="418" t="str">
        <f t="shared" si="6"/>
        <v/>
      </c>
      <c r="CK40" s="418" t="str">
        <f t="shared" si="7"/>
        <v/>
      </c>
      <c r="CL40" s="418" t="str">
        <f t="shared" si="8"/>
        <v/>
      </c>
      <c r="CM40" s="418" t="str">
        <f t="shared" si="9"/>
        <v/>
      </c>
      <c r="CN40" s="418" t="str">
        <f t="shared" si="10"/>
        <v/>
      </c>
      <c r="CO40" s="418" t="str">
        <f t="shared" si="11"/>
        <v/>
      </c>
      <c r="CP40" s="418" t="str">
        <f t="shared" si="12"/>
        <v/>
      </c>
      <c r="CQ40" s="418" t="str">
        <f t="shared" si="13"/>
        <v/>
      </c>
      <c r="CR40" s="418" t="str">
        <f t="shared" si="14"/>
        <v/>
      </c>
      <c r="CS40" s="418" t="str">
        <f t="shared" si="15"/>
        <v/>
      </c>
      <c r="CT40" s="418" t="str">
        <f t="shared" si="16"/>
        <v/>
      </c>
      <c r="CU40" s="418" t="str">
        <f t="shared" si="17"/>
        <v/>
      </c>
      <c r="CV40" s="418" t="str">
        <f t="shared" si="18"/>
        <v/>
      </c>
      <c r="CW40" s="418" t="str">
        <f t="shared" si="19"/>
        <v/>
      </c>
      <c r="CX40" s="418" t="str">
        <f t="shared" si="20"/>
        <v/>
      </c>
      <c r="DE40" s="417"/>
      <c r="DF40" s="3389">
        <f>IF(B40&lt;&gt;(AS40+AR40),1,0)</f>
        <v>0</v>
      </c>
      <c r="DG40" s="3375">
        <f t="shared" si="22"/>
        <v>0</v>
      </c>
      <c r="DH40" s="3375">
        <f t="shared" si="23"/>
        <v>0</v>
      </c>
      <c r="DI40" s="3375">
        <f t="shared" si="24"/>
        <v>0</v>
      </c>
      <c r="DJ40" s="3374"/>
      <c r="DK40" s="3374"/>
      <c r="DL40" s="3374"/>
      <c r="DM40" s="3374"/>
      <c r="DN40" s="3374"/>
      <c r="DO40" s="3375">
        <f t="shared" si="25"/>
        <v>0</v>
      </c>
      <c r="DP40" s="3375">
        <f t="shared" si="26"/>
        <v>0</v>
      </c>
      <c r="DQ40" s="3375">
        <f t="shared" si="27"/>
        <v>0</v>
      </c>
      <c r="DR40" s="3375">
        <f t="shared" si="28"/>
        <v>0</v>
      </c>
      <c r="DS40" s="3375">
        <f t="shared" si="29"/>
        <v>0</v>
      </c>
      <c r="DT40" s="3375">
        <f t="shared" si="30"/>
        <v>0</v>
      </c>
      <c r="DU40" s="3375">
        <f t="shared" si="31"/>
        <v>0</v>
      </c>
      <c r="DV40" s="3375">
        <f t="shared" si="32"/>
        <v>0</v>
      </c>
      <c r="DW40" s="3375">
        <f t="shared" si="33"/>
        <v>0</v>
      </c>
      <c r="DX40" s="3375">
        <f t="shared" si="34"/>
        <v>0</v>
      </c>
      <c r="DY40" s="3375">
        <f t="shared" si="35"/>
        <v>0</v>
      </c>
      <c r="DZ40" s="3375">
        <f t="shared" si="36"/>
        <v>0</v>
      </c>
      <c r="EA40" s="3375">
        <f t="shared" si="37"/>
        <v>0</v>
      </c>
      <c r="EB40" s="3375">
        <f t="shared" si="38"/>
        <v>0</v>
      </c>
      <c r="EC40" s="3375">
        <f t="shared" si="39"/>
        <v>0</v>
      </c>
    </row>
    <row r="41" spans="1:133">
      <c r="A41" s="2237" t="s">
        <v>1945</v>
      </c>
      <c r="B41" s="1737">
        <f t="shared" si="56"/>
        <v>0</v>
      </c>
      <c r="C41" s="1739">
        <f t="shared" si="56"/>
        <v>0</v>
      </c>
      <c r="D41" s="2880"/>
      <c r="E41" s="2885"/>
      <c r="F41" s="2381"/>
      <c r="G41" s="2885"/>
      <c r="H41" s="2381"/>
      <c r="I41" s="2885"/>
      <c r="J41" s="2381"/>
      <c r="K41" s="2885"/>
      <c r="L41" s="2381"/>
      <c r="M41" s="2382"/>
      <c r="N41" s="423"/>
      <c r="O41" s="3376"/>
      <c r="P41" s="425"/>
      <c r="Q41" s="3376"/>
      <c r="R41" s="425"/>
      <c r="S41" s="3376"/>
      <c r="T41" s="425"/>
      <c r="U41" s="3376"/>
      <c r="V41" s="425"/>
      <c r="W41" s="3376"/>
      <c r="X41" s="425"/>
      <c r="Y41" s="3376"/>
      <c r="Z41" s="425"/>
      <c r="AA41" s="3376"/>
      <c r="AB41" s="425"/>
      <c r="AC41" s="3376"/>
      <c r="AD41" s="425"/>
      <c r="AE41" s="3376"/>
      <c r="AF41" s="425"/>
      <c r="AG41" s="3376"/>
      <c r="AH41" s="425"/>
      <c r="AI41" s="3376"/>
      <c r="AJ41" s="425"/>
      <c r="AK41" s="3376"/>
      <c r="AL41" s="425"/>
      <c r="AM41" s="3376"/>
      <c r="AN41" s="425"/>
      <c r="AO41" s="3376"/>
      <c r="AP41" s="425"/>
      <c r="AQ41" s="426"/>
      <c r="AR41" s="3371"/>
      <c r="AS41" s="426"/>
      <c r="AT41" s="3372"/>
      <c r="AU41" s="426"/>
      <c r="AV41" s="2249"/>
      <c r="AW41" s="443"/>
      <c r="AX41" s="3373" t="str">
        <f t="shared" si="57"/>
        <v/>
      </c>
      <c r="CA41" s="418" t="str">
        <f t="shared" ref="CA41:CA43" si="61">IF(B41&lt;&gt;(AS41)," * La suma de las columnas "&amp;AR$10&amp;""&amp;" DEBE SER IGUAL a los Exámenes Procesados. ","")</f>
        <v/>
      </c>
      <c r="CB41" s="418" t="str">
        <f t="shared" si="59"/>
        <v/>
      </c>
      <c r="CC41" s="418" t="str">
        <f t="shared" si="4"/>
        <v/>
      </c>
      <c r="CD41" s="418" t="str">
        <f t="shared" si="5"/>
        <v/>
      </c>
      <c r="CE41" s="3374"/>
      <c r="CF41" s="3374"/>
      <c r="CG41" s="3374"/>
      <c r="CH41" s="3374"/>
      <c r="CI41" s="3374"/>
      <c r="CJ41" s="418" t="str">
        <f t="shared" si="6"/>
        <v/>
      </c>
      <c r="CK41" s="418" t="str">
        <f t="shared" si="7"/>
        <v/>
      </c>
      <c r="CL41" s="418" t="str">
        <f t="shared" si="8"/>
        <v/>
      </c>
      <c r="CM41" s="418" t="str">
        <f t="shared" si="9"/>
        <v/>
      </c>
      <c r="CN41" s="418" t="str">
        <f t="shared" si="10"/>
        <v/>
      </c>
      <c r="CO41" s="418" t="str">
        <f t="shared" si="11"/>
        <v/>
      </c>
      <c r="CP41" s="418" t="str">
        <f t="shared" si="12"/>
        <v/>
      </c>
      <c r="CQ41" s="418" t="str">
        <f t="shared" si="13"/>
        <v/>
      </c>
      <c r="CR41" s="418" t="str">
        <f t="shared" si="14"/>
        <v/>
      </c>
      <c r="CS41" s="418" t="str">
        <f t="shared" si="15"/>
        <v/>
      </c>
      <c r="CT41" s="418" t="str">
        <f t="shared" si="16"/>
        <v/>
      </c>
      <c r="CU41" s="418" t="str">
        <f t="shared" si="17"/>
        <v/>
      </c>
      <c r="CV41" s="418" t="str">
        <f t="shared" si="18"/>
        <v/>
      </c>
      <c r="CW41" s="418" t="str">
        <f t="shared" si="19"/>
        <v/>
      </c>
      <c r="CX41" s="418" t="str">
        <f t="shared" si="20"/>
        <v/>
      </c>
      <c r="DE41" s="417"/>
      <c r="DF41" s="3389">
        <f t="shared" ref="DF41:DF43" si="62">IF(B41&lt;&gt;(AS41),1,0)</f>
        <v>0</v>
      </c>
      <c r="DG41" s="3375">
        <f t="shared" si="22"/>
        <v>0</v>
      </c>
      <c r="DH41" s="3375">
        <f t="shared" si="23"/>
        <v>0</v>
      </c>
      <c r="DI41" s="3375">
        <f t="shared" si="24"/>
        <v>0</v>
      </c>
      <c r="DJ41" s="3374"/>
      <c r="DK41" s="3374"/>
      <c r="DL41" s="3374"/>
      <c r="DM41" s="3374"/>
      <c r="DN41" s="3374"/>
      <c r="DO41" s="3375">
        <f t="shared" si="25"/>
        <v>0</v>
      </c>
      <c r="DP41" s="3375">
        <f t="shared" si="26"/>
        <v>0</v>
      </c>
      <c r="DQ41" s="3375">
        <f t="shared" si="27"/>
        <v>0</v>
      </c>
      <c r="DR41" s="3375">
        <f t="shared" si="28"/>
        <v>0</v>
      </c>
      <c r="DS41" s="3375">
        <f t="shared" si="29"/>
        <v>0</v>
      </c>
      <c r="DT41" s="3375">
        <f t="shared" si="30"/>
        <v>0</v>
      </c>
      <c r="DU41" s="3375">
        <f t="shared" si="31"/>
        <v>0</v>
      </c>
      <c r="DV41" s="3375">
        <f t="shared" si="32"/>
        <v>0</v>
      </c>
      <c r="DW41" s="3375">
        <f t="shared" si="33"/>
        <v>0</v>
      </c>
      <c r="DX41" s="3375">
        <f t="shared" si="34"/>
        <v>0</v>
      </c>
      <c r="DY41" s="3375">
        <f t="shared" si="35"/>
        <v>0</v>
      </c>
      <c r="DZ41" s="3375">
        <f t="shared" si="36"/>
        <v>0</v>
      </c>
      <c r="EA41" s="3375">
        <f t="shared" si="37"/>
        <v>0</v>
      </c>
      <c r="EB41" s="3375">
        <f t="shared" si="38"/>
        <v>0</v>
      </c>
      <c r="EC41" s="3375">
        <f t="shared" si="39"/>
        <v>0</v>
      </c>
    </row>
    <row r="42" spans="1:133">
      <c r="A42" s="420" t="s">
        <v>1946</v>
      </c>
      <c r="B42" s="1737">
        <f t="shared" si="56"/>
        <v>0</v>
      </c>
      <c r="C42" s="1739">
        <f t="shared" si="56"/>
        <v>0</v>
      </c>
      <c r="D42" s="2880"/>
      <c r="E42" s="2885"/>
      <c r="F42" s="2381"/>
      <c r="G42" s="2885"/>
      <c r="H42" s="2381"/>
      <c r="I42" s="2885"/>
      <c r="J42" s="2381"/>
      <c r="K42" s="2885"/>
      <c r="L42" s="2381"/>
      <c r="M42" s="2382"/>
      <c r="N42" s="423"/>
      <c r="O42" s="3376"/>
      <c r="P42" s="425"/>
      <c r="Q42" s="3376"/>
      <c r="R42" s="425"/>
      <c r="S42" s="3376"/>
      <c r="T42" s="425"/>
      <c r="U42" s="3376"/>
      <c r="V42" s="425"/>
      <c r="W42" s="3376"/>
      <c r="X42" s="425"/>
      <c r="Y42" s="3376"/>
      <c r="Z42" s="425"/>
      <c r="AA42" s="3376"/>
      <c r="AB42" s="425"/>
      <c r="AC42" s="3376"/>
      <c r="AD42" s="425"/>
      <c r="AE42" s="3376"/>
      <c r="AF42" s="425"/>
      <c r="AG42" s="3376"/>
      <c r="AH42" s="425"/>
      <c r="AI42" s="3376"/>
      <c r="AJ42" s="425"/>
      <c r="AK42" s="3376"/>
      <c r="AL42" s="425"/>
      <c r="AM42" s="3376"/>
      <c r="AN42" s="425"/>
      <c r="AO42" s="3376"/>
      <c r="AP42" s="425"/>
      <c r="AQ42" s="426"/>
      <c r="AR42" s="3371"/>
      <c r="AS42" s="426"/>
      <c r="AT42" s="3372"/>
      <c r="AU42" s="426"/>
      <c r="AV42" s="2249"/>
      <c r="AW42" s="443"/>
      <c r="AX42" s="3373" t="str">
        <f t="shared" si="57"/>
        <v/>
      </c>
      <c r="CA42" s="418" t="str">
        <f t="shared" si="61"/>
        <v/>
      </c>
      <c r="CB42" s="418" t="str">
        <f t="shared" si="59"/>
        <v/>
      </c>
      <c r="CC42" s="418" t="str">
        <f t="shared" si="4"/>
        <v/>
      </c>
      <c r="CD42" s="418" t="str">
        <f t="shared" si="5"/>
        <v/>
      </c>
      <c r="CE42" s="3374"/>
      <c r="CF42" s="3374"/>
      <c r="CG42" s="3374"/>
      <c r="CH42" s="3374"/>
      <c r="CI42" s="3374"/>
      <c r="CJ42" s="418" t="str">
        <f t="shared" si="6"/>
        <v/>
      </c>
      <c r="CK42" s="418" t="str">
        <f t="shared" si="7"/>
        <v/>
      </c>
      <c r="CL42" s="418" t="str">
        <f t="shared" si="8"/>
        <v/>
      </c>
      <c r="CM42" s="418" t="str">
        <f t="shared" si="9"/>
        <v/>
      </c>
      <c r="CN42" s="418" t="str">
        <f t="shared" si="10"/>
        <v/>
      </c>
      <c r="CO42" s="418" t="str">
        <f t="shared" si="11"/>
        <v/>
      </c>
      <c r="CP42" s="418" t="str">
        <f t="shared" si="12"/>
        <v/>
      </c>
      <c r="CQ42" s="418" t="str">
        <f t="shared" si="13"/>
        <v/>
      </c>
      <c r="CR42" s="418" t="str">
        <f t="shared" si="14"/>
        <v/>
      </c>
      <c r="CS42" s="418" t="str">
        <f t="shared" si="15"/>
        <v/>
      </c>
      <c r="CT42" s="418" t="str">
        <f t="shared" si="16"/>
        <v/>
      </c>
      <c r="CU42" s="418" t="str">
        <f t="shared" si="17"/>
        <v/>
      </c>
      <c r="CV42" s="418" t="str">
        <f t="shared" si="18"/>
        <v/>
      </c>
      <c r="CW42" s="418" t="str">
        <f t="shared" si="19"/>
        <v/>
      </c>
      <c r="CX42" s="418" t="str">
        <f t="shared" si="20"/>
        <v/>
      </c>
      <c r="DE42" s="417"/>
      <c r="DF42" s="3389">
        <f t="shared" si="62"/>
        <v>0</v>
      </c>
      <c r="DG42" s="3375">
        <f t="shared" si="22"/>
        <v>0</v>
      </c>
      <c r="DH42" s="3375">
        <f t="shared" si="23"/>
        <v>0</v>
      </c>
      <c r="DI42" s="3375">
        <f t="shared" si="24"/>
        <v>0</v>
      </c>
      <c r="DJ42" s="3374"/>
      <c r="DK42" s="3374"/>
      <c r="DL42" s="3374"/>
      <c r="DM42" s="3374"/>
      <c r="DN42" s="3374"/>
      <c r="DO42" s="3375">
        <f t="shared" si="25"/>
        <v>0</v>
      </c>
      <c r="DP42" s="3375">
        <f t="shared" si="26"/>
        <v>0</v>
      </c>
      <c r="DQ42" s="3375">
        <f t="shared" si="27"/>
        <v>0</v>
      </c>
      <c r="DR42" s="3375">
        <f t="shared" si="28"/>
        <v>0</v>
      </c>
      <c r="DS42" s="3375">
        <f t="shared" si="29"/>
        <v>0</v>
      </c>
      <c r="DT42" s="3375">
        <f t="shared" si="30"/>
        <v>0</v>
      </c>
      <c r="DU42" s="3375">
        <f t="shared" si="31"/>
        <v>0</v>
      </c>
      <c r="DV42" s="3375">
        <f t="shared" si="32"/>
        <v>0</v>
      </c>
      <c r="DW42" s="3375">
        <f t="shared" si="33"/>
        <v>0</v>
      </c>
      <c r="DX42" s="3375">
        <f t="shared" si="34"/>
        <v>0</v>
      </c>
      <c r="DY42" s="3375">
        <f t="shared" si="35"/>
        <v>0</v>
      </c>
      <c r="DZ42" s="3375">
        <f t="shared" si="36"/>
        <v>0</v>
      </c>
      <c r="EA42" s="3375">
        <f t="shared" si="37"/>
        <v>0</v>
      </c>
      <c r="EB42" s="3375">
        <f t="shared" si="38"/>
        <v>0</v>
      </c>
      <c r="EC42" s="3375">
        <f t="shared" si="39"/>
        <v>0</v>
      </c>
    </row>
    <row r="43" spans="1:133">
      <c r="A43" s="420" t="s">
        <v>1947</v>
      </c>
      <c r="B43" s="1737">
        <f>+D43+F43+H43+J43+L43+N43+P43+R43+T43+V43+X43+Z43+AB43+AD43+AF43+AH43+AJ43+AL43+AN43+AP43</f>
        <v>0</v>
      </c>
      <c r="C43" s="1739">
        <f>+E43+G43+I43+K43+M43+O43+Q43+S43+U43+W43+Y43+AA43+AC43+AE43+AG43+AI43+AK43+AM43+AO43+AQ43</f>
        <v>0</v>
      </c>
      <c r="D43" s="423"/>
      <c r="E43" s="3376"/>
      <c r="F43" s="425"/>
      <c r="G43" s="3376"/>
      <c r="H43" s="425"/>
      <c r="I43" s="424"/>
      <c r="J43" s="423"/>
      <c r="K43" s="423"/>
      <c r="L43" s="425"/>
      <c r="M43" s="424"/>
      <c r="N43" s="423"/>
      <c r="O43" s="3376"/>
      <c r="P43" s="425"/>
      <c r="Q43" s="3376"/>
      <c r="R43" s="425"/>
      <c r="S43" s="3376"/>
      <c r="T43" s="425"/>
      <c r="U43" s="3376"/>
      <c r="V43" s="425"/>
      <c r="W43" s="3376"/>
      <c r="X43" s="425"/>
      <c r="Y43" s="3376"/>
      <c r="Z43" s="425"/>
      <c r="AA43" s="3376"/>
      <c r="AB43" s="425"/>
      <c r="AC43" s="3376"/>
      <c r="AD43" s="425"/>
      <c r="AE43" s="3376"/>
      <c r="AF43" s="425"/>
      <c r="AG43" s="3376"/>
      <c r="AH43" s="425"/>
      <c r="AI43" s="3376"/>
      <c r="AJ43" s="425"/>
      <c r="AK43" s="3376"/>
      <c r="AL43" s="425"/>
      <c r="AM43" s="3376"/>
      <c r="AN43" s="425"/>
      <c r="AO43" s="3376"/>
      <c r="AP43" s="425"/>
      <c r="AQ43" s="426"/>
      <c r="AR43" s="3371"/>
      <c r="AS43" s="426"/>
      <c r="AT43" s="3372"/>
      <c r="AU43" s="426"/>
      <c r="AV43" s="2249"/>
      <c r="AW43" s="443"/>
      <c r="AX43" s="3373" t="str">
        <f>$CA43&amp;CB43&amp;CC43&amp;$CD43&amp;CJ43&amp;CE43&amp;CF43&amp;CG43&amp;CH43&amp;CI43&amp;CK43&amp;CL43&amp;CM43&amp;CN43&amp;CO43&amp;CP43&amp;CQ43&amp;CR43&amp;CS43&amp;CT43&amp;CU43&amp;CV43&amp;CW43&amp;CX43</f>
        <v/>
      </c>
      <c r="CA43" s="418" t="str">
        <f t="shared" si="61"/>
        <v/>
      </c>
      <c r="CB43" s="418" t="str">
        <f t="shared" si="59"/>
        <v/>
      </c>
      <c r="CC43" s="418" t="str">
        <f t="shared" si="4"/>
        <v/>
      </c>
      <c r="CD43" s="418" t="str">
        <f t="shared" si="5"/>
        <v/>
      </c>
      <c r="CE43" s="418" t="str">
        <f t="shared" si="42"/>
        <v/>
      </c>
      <c r="CF43" s="418" t="str">
        <f t="shared" si="43"/>
        <v/>
      </c>
      <c r="CG43" s="418" t="str">
        <f t="shared" si="44"/>
        <v/>
      </c>
      <c r="CH43" s="418" t="str">
        <f t="shared" si="52"/>
        <v/>
      </c>
      <c r="CI43" s="418" t="str">
        <f t="shared" si="53"/>
        <v/>
      </c>
      <c r="CJ43" s="418" t="str">
        <f t="shared" si="6"/>
        <v/>
      </c>
      <c r="CK43" s="418" t="str">
        <f t="shared" si="7"/>
        <v/>
      </c>
      <c r="CL43" s="418" t="str">
        <f t="shared" si="8"/>
        <v/>
      </c>
      <c r="CM43" s="418" t="str">
        <f t="shared" si="9"/>
        <v/>
      </c>
      <c r="CN43" s="418" t="str">
        <f t="shared" si="10"/>
        <v/>
      </c>
      <c r="CO43" s="418" t="str">
        <f t="shared" si="11"/>
        <v/>
      </c>
      <c r="CP43" s="418" t="str">
        <f t="shared" si="12"/>
        <v/>
      </c>
      <c r="CQ43" s="418" t="str">
        <f t="shared" si="13"/>
        <v/>
      </c>
      <c r="CR43" s="418" t="str">
        <f t="shared" si="14"/>
        <v/>
      </c>
      <c r="CS43" s="418" t="str">
        <f t="shared" si="15"/>
        <v/>
      </c>
      <c r="CT43" s="418" t="str">
        <f t="shared" si="16"/>
        <v/>
      </c>
      <c r="CU43" s="418" t="str">
        <f t="shared" si="17"/>
        <v/>
      </c>
      <c r="CV43" s="418" t="str">
        <f t="shared" si="18"/>
        <v/>
      </c>
      <c r="CW43" s="418" t="str">
        <f t="shared" si="19"/>
        <v/>
      </c>
      <c r="CX43" s="418" t="str">
        <f t="shared" si="20"/>
        <v/>
      </c>
      <c r="DE43" s="417"/>
      <c r="DF43" s="3389">
        <f t="shared" si="62"/>
        <v>0</v>
      </c>
      <c r="DG43" s="3375">
        <f t="shared" si="22"/>
        <v>0</v>
      </c>
      <c r="DH43" s="3375">
        <f t="shared" si="23"/>
        <v>0</v>
      </c>
      <c r="DI43" s="3375">
        <f t="shared" si="24"/>
        <v>0</v>
      </c>
      <c r="DJ43" s="3375">
        <f t="shared" si="45"/>
        <v>0</v>
      </c>
      <c r="DK43" s="3375">
        <f t="shared" si="46"/>
        <v>0</v>
      </c>
      <c r="DL43" s="3375">
        <f t="shared" si="47"/>
        <v>0</v>
      </c>
      <c r="DM43" s="3375">
        <f t="shared" si="54"/>
        <v>0</v>
      </c>
      <c r="DN43" s="3375">
        <f t="shared" si="55"/>
        <v>0</v>
      </c>
      <c r="DO43" s="3375">
        <f t="shared" si="25"/>
        <v>0</v>
      </c>
      <c r="DP43" s="3375">
        <f t="shared" si="26"/>
        <v>0</v>
      </c>
      <c r="DQ43" s="3375">
        <f t="shared" si="27"/>
        <v>0</v>
      </c>
      <c r="DR43" s="3375">
        <f t="shared" si="28"/>
        <v>0</v>
      </c>
      <c r="DS43" s="3375">
        <f t="shared" si="29"/>
        <v>0</v>
      </c>
      <c r="DT43" s="3375">
        <f t="shared" si="30"/>
        <v>0</v>
      </c>
      <c r="DU43" s="3375">
        <f t="shared" si="31"/>
        <v>0</v>
      </c>
      <c r="DV43" s="3375">
        <f t="shared" si="32"/>
        <v>0</v>
      </c>
      <c r="DW43" s="3375">
        <f t="shared" si="33"/>
        <v>0</v>
      </c>
      <c r="DX43" s="3375">
        <f t="shared" si="34"/>
        <v>0</v>
      </c>
      <c r="DY43" s="3375">
        <f t="shared" si="35"/>
        <v>0</v>
      </c>
      <c r="DZ43" s="3375">
        <f t="shared" si="36"/>
        <v>0</v>
      </c>
      <c r="EA43" s="3375">
        <f t="shared" si="37"/>
        <v>0</v>
      </c>
      <c r="EB43" s="3375">
        <f t="shared" si="38"/>
        <v>0</v>
      </c>
      <c r="EC43" s="3375">
        <f t="shared" si="39"/>
        <v>0</v>
      </c>
    </row>
    <row r="44" spans="1:133" ht="21">
      <c r="A44" s="2237" t="s">
        <v>1948</v>
      </c>
      <c r="B44" s="1737">
        <f>+D44+F44+H44</f>
        <v>0</v>
      </c>
      <c r="C44" s="1739">
        <f>+E44+G44+I44</f>
        <v>0</v>
      </c>
      <c r="D44" s="423"/>
      <c r="E44" s="3376"/>
      <c r="F44" s="425"/>
      <c r="G44" s="3376"/>
      <c r="H44" s="425"/>
      <c r="I44" s="424"/>
      <c r="J44" s="3377"/>
      <c r="K44" s="3378"/>
      <c r="L44" s="3377"/>
      <c r="M44" s="3378"/>
      <c r="N44" s="3377"/>
      <c r="O44" s="3378"/>
      <c r="P44" s="3377"/>
      <c r="Q44" s="3378"/>
      <c r="R44" s="3377"/>
      <c r="S44" s="3378"/>
      <c r="T44" s="3377"/>
      <c r="U44" s="3378"/>
      <c r="V44" s="3377"/>
      <c r="W44" s="3378"/>
      <c r="X44" s="3377"/>
      <c r="Y44" s="3378"/>
      <c r="Z44" s="3377"/>
      <c r="AA44" s="3378"/>
      <c r="AB44" s="3377"/>
      <c r="AC44" s="3378"/>
      <c r="AD44" s="3377"/>
      <c r="AE44" s="3378"/>
      <c r="AF44" s="3377"/>
      <c r="AG44" s="3378"/>
      <c r="AH44" s="3377"/>
      <c r="AI44" s="3378"/>
      <c r="AJ44" s="3377"/>
      <c r="AK44" s="3378"/>
      <c r="AL44" s="3377"/>
      <c r="AM44" s="3378"/>
      <c r="AN44" s="3377"/>
      <c r="AO44" s="3378"/>
      <c r="AP44" s="3377"/>
      <c r="AQ44" s="3379"/>
      <c r="AR44" s="423"/>
      <c r="AS44" s="426"/>
      <c r="AT44" s="3372"/>
      <c r="AU44" s="426"/>
      <c r="AV44" s="2249"/>
      <c r="AW44" s="443"/>
      <c r="AX44" s="3373" t="str">
        <f>$CA44&amp;CB44&amp;CC44&amp;$CD44&amp;CE44&amp;CF44&amp;CG44</f>
        <v/>
      </c>
      <c r="CA44" s="418" t="str">
        <f t="shared" ref="CA44:CA52" si="63">IF(B44&lt;&gt;(AS44+AR44)," * La suma de las columnas "&amp;AR$10&amp;""&amp;" DEBE SER IGUAL a los Exámenes Procesados. ","")</f>
        <v/>
      </c>
      <c r="CB44" s="418" t="str">
        <f t="shared" si="59"/>
        <v/>
      </c>
      <c r="CC44" s="418" t="str">
        <f t="shared" si="4"/>
        <v/>
      </c>
      <c r="CD44" s="418" t="str">
        <f t="shared" si="5"/>
        <v/>
      </c>
      <c r="CE44" s="418" t="str">
        <f t="shared" si="42"/>
        <v/>
      </c>
      <c r="CF44" s="418" t="str">
        <f t="shared" si="43"/>
        <v/>
      </c>
      <c r="CG44" s="418" t="str">
        <f t="shared" si="44"/>
        <v/>
      </c>
      <c r="CH44" s="3380"/>
      <c r="CI44" s="3380"/>
      <c r="CJ44" s="3381"/>
      <c r="CK44" s="3380"/>
      <c r="CL44" s="3380"/>
      <c r="CM44" s="3380"/>
      <c r="CN44" s="3380"/>
      <c r="CO44" s="3380"/>
      <c r="CP44" s="3380"/>
      <c r="CQ44" s="3380"/>
      <c r="CR44" s="3380"/>
      <c r="CS44" s="3380"/>
      <c r="CT44" s="3380"/>
      <c r="CU44" s="3380"/>
      <c r="CV44" s="3380"/>
      <c r="CW44" s="3380"/>
      <c r="CX44" s="3380"/>
      <c r="DE44" s="417"/>
      <c r="DF44" s="3389">
        <f t="shared" ref="DF44:DF52" si="64">IF(B44&lt;&gt;(AS44+AR44),1,0)</f>
        <v>0</v>
      </c>
      <c r="DG44" s="3375">
        <f t="shared" si="22"/>
        <v>0</v>
      </c>
      <c r="DH44" s="3375">
        <f t="shared" si="23"/>
        <v>0</v>
      </c>
      <c r="DI44" s="3375">
        <f t="shared" si="24"/>
        <v>0</v>
      </c>
      <c r="DJ44" s="3375">
        <f t="shared" si="45"/>
        <v>0</v>
      </c>
      <c r="DK44" s="3375">
        <f t="shared" si="46"/>
        <v>0</v>
      </c>
      <c r="DL44" s="3375">
        <f t="shared" si="47"/>
        <v>0</v>
      </c>
      <c r="DM44" s="3380"/>
      <c r="DN44" s="3380"/>
      <c r="DO44" s="3374"/>
      <c r="DP44" s="3374"/>
      <c r="DQ44" s="3374"/>
      <c r="DR44" s="3374"/>
      <c r="DS44" s="3374"/>
      <c r="DT44" s="3374"/>
      <c r="DU44" s="3374"/>
      <c r="DV44" s="3374"/>
      <c r="DW44" s="3374"/>
      <c r="DX44" s="3374"/>
      <c r="DY44" s="3374"/>
      <c r="DZ44" s="3374"/>
      <c r="EA44" s="3374"/>
      <c r="EB44" s="3374"/>
      <c r="EC44" s="3374"/>
    </row>
    <row r="45" spans="1:133">
      <c r="A45" s="2237" t="s">
        <v>1949</v>
      </c>
      <c r="B45" s="1737">
        <f>+P45+R45+T45+V45+X45+Z45+AB45+AD45+AF45+AH45+AJ45+AL45+AN45+AP45</f>
        <v>0</v>
      </c>
      <c r="C45" s="1739">
        <f>+Q45+S45+U45+W45+Y45+AA45+AC45+AE45+AG45+AI45+AK45+AM45+AO45+AQ45</f>
        <v>0</v>
      </c>
      <c r="D45" s="2880"/>
      <c r="E45" s="2885"/>
      <c r="F45" s="2381"/>
      <c r="G45" s="2885"/>
      <c r="H45" s="2381"/>
      <c r="I45" s="2885"/>
      <c r="J45" s="2381"/>
      <c r="K45" s="2885"/>
      <c r="L45" s="2381"/>
      <c r="M45" s="2382"/>
      <c r="N45" s="2880"/>
      <c r="O45" s="2885"/>
      <c r="P45" s="425"/>
      <c r="Q45" s="3376"/>
      <c r="R45" s="425"/>
      <c r="S45" s="3376"/>
      <c r="T45" s="425"/>
      <c r="U45" s="3376"/>
      <c r="V45" s="425"/>
      <c r="W45" s="3376"/>
      <c r="X45" s="425"/>
      <c r="Y45" s="3376"/>
      <c r="Z45" s="425"/>
      <c r="AA45" s="3376"/>
      <c r="AB45" s="425"/>
      <c r="AC45" s="3376"/>
      <c r="AD45" s="425"/>
      <c r="AE45" s="3376"/>
      <c r="AF45" s="425"/>
      <c r="AG45" s="3376"/>
      <c r="AH45" s="425"/>
      <c r="AI45" s="3376"/>
      <c r="AJ45" s="425"/>
      <c r="AK45" s="3376"/>
      <c r="AL45" s="425"/>
      <c r="AM45" s="3376"/>
      <c r="AN45" s="425"/>
      <c r="AO45" s="3376"/>
      <c r="AP45" s="425"/>
      <c r="AQ45" s="426"/>
      <c r="AR45" s="423"/>
      <c r="AS45" s="426"/>
      <c r="AT45" s="3372"/>
      <c r="AU45" s="426"/>
      <c r="AV45" s="2249"/>
      <c r="AW45" s="443"/>
      <c r="AX45" s="3373" t="str">
        <f>$CA45&amp;CB45&amp;CC45&amp;$CD45&amp;CK45&amp;CL45&amp;CM45&amp;CN45&amp;CO45&amp;CP45&amp;CQ45&amp;CR45&amp;CS45&amp;CT45&amp;CU45&amp;CV45&amp;CW45&amp;CX45</f>
        <v/>
      </c>
      <c r="CA45" s="418" t="str">
        <f t="shared" si="63"/>
        <v/>
      </c>
      <c r="CB45" s="418" t="str">
        <f t="shared" si="59"/>
        <v/>
      </c>
      <c r="CC45" s="418" t="str">
        <f t="shared" si="4"/>
        <v/>
      </c>
      <c r="CD45" s="418" t="str">
        <f t="shared" si="5"/>
        <v/>
      </c>
      <c r="CE45" s="3381"/>
      <c r="CF45" s="3381"/>
      <c r="CG45" s="3380"/>
      <c r="CH45" s="3380"/>
      <c r="CI45" s="3380"/>
      <c r="CJ45" s="3381"/>
      <c r="CK45" s="418" t="str">
        <f t="shared" si="7"/>
        <v/>
      </c>
      <c r="CL45" s="418" t="str">
        <f t="shared" si="8"/>
        <v/>
      </c>
      <c r="CM45" s="418" t="str">
        <f t="shared" si="9"/>
        <v/>
      </c>
      <c r="CN45" s="418" t="str">
        <f t="shared" si="10"/>
        <v/>
      </c>
      <c r="CO45" s="418" t="str">
        <f t="shared" si="11"/>
        <v/>
      </c>
      <c r="CP45" s="418" t="str">
        <f t="shared" si="12"/>
        <v/>
      </c>
      <c r="CQ45" s="418" t="str">
        <f t="shared" si="13"/>
        <v/>
      </c>
      <c r="CR45" s="418" t="str">
        <f t="shared" si="14"/>
        <v/>
      </c>
      <c r="CS45" s="418" t="str">
        <f t="shared" si="15"/>
        <v/>
      </c>
      <c r="CT45" s="418" t="str">
        <f t="shared" si="16"/>
        <v/>
      </c>
      <c r="CU45" s="418" t="str">
        <f t="shared" si="17"/>
        <v/>
      </c>
      <c r="CV45" s="418" t="str">
        <f t="shared" si="18"/>
        <v/>
      </c>
      <c r="CW45" s="418" t="str">
        <f t="shared" si="19"/>
        <v/>
      </c>
      <c r="CX45" s="418" t="str">
        <f t="shared" si="20"/>
        <v/>
      </c>
      <c r="DE45" s="417"/>
      <c r="DF45" s="3389">
        <f t="shared" si="64"/>
        <v>0</v>
      </c>
      <c r="DG45" s="3375">
        <f t="shared" si="22"/>
        <v>0</v>
      </c>
      <c r="DH45" s="3375">
        <f t="shared" si="23"/>
        <v>0</v>
      </c>
      <c r="DI45" s="3375">
        <f t="shared" si="24"/>
        <v>0</v>
      </c>
      <c r="DJ45" s="3380"/>
      <c r="DK45" s="3380"/>
      <c r="DL45" s="3380"/>
      <c r="DM45" s="3380"/>
      <c r="DN45" s="3380"/>
      <c r="DO45" s="3374"/>
      <c r="DP45" s="3375">
        <f t="shared" si="26"/>
        <v>0</v>
      </c>
      <c r="DQ45" s="3375">
        <f t="shared" si="27"/>
        <v>0</v>
      </c>
      <c r="DR45" s="3375">
        <f t="shared" si="28"/>
        <v>0</v>
      </c>
      <c r="DS45" s="3375">
        <f t="shared" si="29"/>
        <v>0</v>
      </c>
      <c r="DT45" s="3375">
        <f t="shared" si="30"/>
        <v>0</v>
      </c>
      <c r="DU45" s="3375">
        <f t="shared" si="31"/>
        <v>0</v>
      </c>
      <c r="DV45" s="3375">
        <f t="shared" si="32"/>
        <v>0</v>
      </c>
      <c r="DW45" s="3375">
        <f t="shared" si="33"/>
        <v>0</v>
      </c>
      <c r="DX45" s="3375">
        <f t="shared" si="34"/>
        <v>0</v>
      </c>
      <c r="DY45" s="3375">
        <f t="shared" si="35"/>
        <v>0</v>
      </c>
      <c r="DZ45" s="3375">
        <f t="shared" si="36"/>
        <v>0</v>
      </c>
      <c r="EA45" s="3375">
        <f t="shared" si="37"/>
        <v>0</v>
      </c>
      <c r="EB45" s="3375">
        <f t="shared" si="38"/>
        <v>0</v>
      </c>
      <c r="EC45" s="3375">
        <f t="shared" si="39"/>
        <v>0</v>
      </c>
    </row>
    <row r="46" spans="1:133">
      <c r="A46" s="420" t="s">
        <v>1950</v>
      </c>
      <c r="B46" s="1737">
        <f>+N46+P46+R46+T46+V46+X46+Z46+AB46+AD46+AF46+AH46+AJ46+AL46+AN46+AP46</f>
        <v>0</v>
      </c>
      <c r="C46" s="1739">
        <f>+O46+Q46+S46+U46+W46+Y46+AA46+AC46+AE46+AG46+AI46+AK46+AM46+AO46+AQ46</f>
        <v>0</v>
      </c>
      <c r="D46" s="3371"/>
      <c r="E46" s="3378"/>
      <c r="F46" s="3377"/>
      <c r="G46" s="3378"/>
      <c r="H46" s="3377"/>
      <c r="I46" s="3382"/>
      <c r="J46" s="3371"/>
      <c r="K46" s="3371"/>
      <c r="L46" s="3377"/>
      <c r="M46" s="3382"/>
      <c r="N46" s="423"/>
      <c r="O46" s="3376"/>
      <c r="P46" s="425"/>
      <c r="Q46" s="3376"/>
      <c r="R46" s="425"/>
      <c r="S46" s="3376"/>
      <c r="T46" s="425"/>
      <c r="U46" s="3376"/>
      <c r="V46" s="425"/>
      <c r="W46" s="3376"/>
      <c r="X46" s="425"/>
      <c r="Y46" s="3376"/>
      <c r="Z46" s="425"/>
      <c r="AA46" s="3376"/>
      <c r="AB46" s="425"/>
      <c r="AC46" s="3376"/>
      <c r="AD46" s="425"/>
      <c r="AE46" s="3376"/>
      <c r="AF46" s="425"/>
      <c r="AG46" s="3376"/>
      <c r="AH46" s="425"/>
      <c r="AI46" s="3376"/>
      <c r="AJ46" s="425"/>
      <c r="AK46" s="3376"/>
      <c r="AL46" s="425"/>
      <c r="AM46" s="3376"/>
      <c r="AN46" s="425"/>
      <c r="AO46" s="3376"/>
      <c r="AP46" s="425"/>
      <c r="AQ46" s="426"/>
      <c r="AR46" s="423"/>
      <c r="AS46" s="426"/>
      <c r="AT46" s="3372"/>
      <c r="AU46" s="426"/>
      <c r="AV46" s="2249"/>
      <c r="AW46" s="443"/>
      <c r="AX46" s="3373" t="str">
        <f>$CA46&amp;CB46&amp;CC46&amp;$CD46&amp;CJ46&amp;CK46&amp;CL46&amp;CM46&amp;CN46&amp;CO46&amp;CP46&amp;CQ46&amp;CR46&amp;CS46&amp;CT46&amp;CU46&amp;CV46&amp;CW46&amp;CX46</f>
        <v/>
      </c>
      <c r="CA46" s="418" t="str">
        <f t="shared" si="63"/>
        <v/>
      </c>
      <c r="CB46" s="418" t="str">
        <f t="shared" si="59"/>
        <v/>
      </c>
      <c r="CC46" s="418" t="str">
        <f t="shared" si="4"/>
        <v/>
      </c>
      <c r="CD46" s="418" t="str">
        <f t="shared" si="5"/>
        <v/>
      </c>
      <c r="CE46" s="3381"/>
      <c r="CF46" s="3381"/>
      <c r="CG46" s="3380"/>
      <c r="CH46" s="3380"/>
      <c r="CI46" s="3380"/>
      <c r="CJ46" s="418" t="str">
        <f t="shared" si="6"/>
        <v/>
      </c>
      <c r="CK46" s="418" t="str">
        <f t="shared" si="7"/>
        <v/>
      </c>
      <c r="CL46" s="418" t="str">
        <f t="shared" si="8"/>
        <v/>
      </c>
      <c r="CM46" s="418" t="str">
        <f t="shared" si="9"/>
        <v/>
      </c>
      <c r="CN46" s="418" t="str">
        <f t="shared" si="10"/>
        <v/>
      </c>
      <c r="CO46" s="418" t="str">
        <f t="shared" si="11"/>
        <v/>
      </c>
      <c r="CP46" s="418" t="str">
        <f t="shared" si="12"/>
        <v/>
      </c>
      <c r="CQ46" s="418" t="str">
        <f t="shared" si="13"/>
        <v/>
      </c>
      <c r="CR46" s="418" t="str">
        <f t="shared" si="14"/>
        <v/>
      </c>
      <c r="CS46" s="418" t="str">
        <f t="shared" si="15"/>
        <v/>
      </c>
      <c r="CT46" s="418" t="str">
        <f t="shared" si="16"/>
        <v/>
      </c>
      <c r="CU46" s="418" t="str">
        <f t="shared" si="17"/>
        <v/>
      </c>
      <c r="CV46" s="418" t="str">
        <f t="shared" si="18"/>
        <v/>
      </c>
      <c r="CW46" s="418" t="str">
        <f t="shared" si="19"/>
        <v/>
      </c>
      <c r="CX46" s="418" t="str">
        <f t="shared" si="20"/>
        <v/>
      </c>
      <c r="DE46" s="417"/>
      <c r="DF46" s="3389">
        <f t="shared" si="64"/>
        <v>0</v>
      </c>
      <c r="DG46" s="3375">
        <f t="shared" si="22"/>
        <v>0</v>
      </c>
      <c r="DH46" s="3375">
        <f t="shared" si="23"/>
        <v>0</v>
      </c>
      <c r="DI46" s="3375">
        <f t="shared" si="24"/>
        <v>0</v>
      </c>
      <c r="DJ46" s="3380"/>
      <c r="DK46" s="3380"/>
      <c r="DL46" s="3380"/>
      <c r="DM46" s="3380"/>
      <c r="DN46" s="3380"/>
      <c r="DO46" s="3375">
        <f t="shared" si="25"/>
        <v>0</v>
      </c>
      <c r="DP46" s="3375">
        <f t="shared" si="26"/>
        <v>0</v>
      </c>
      <c r="DQ46" s="3375">
        <f t="shared" si="27"/>
        <v>0</v>
      </c>
      <c r="DR46" s="3375">
        <f t="shared" si="28"/>
        <v>0</v>
      </c>
      <c r="DS46" s="3375">
        <f t="shared" si="29"/>
        <v>0</v>
      </c>
      <c r="DT46" s="3375">
        <f t="shared" si="30"/>
        <v>0</v>
      </c>
      <c r="DU46" s="3375">
        <f t="shared" si="31"/>
        <v>0</v>
      </c>
      <c r="DV46" s="3375">
        <f t="shared" si="32"/>
        <v>0</v>
      </c>
      <c r="DW46" s="3375">
        <f t="shared" si="33"/>
        <v>0</v>
      </c>
      <c r="DX46" s="3375">
        <f t="shared" si="34"/>
        <v>0</v>
      </c>
      <c r="DY46" s="3375">
        <f t="shared" si="35"/>
        <v>0</v>
      </c>
      <c r="DZ46" s="3375">
        <f t="shared" si="36"/>
        <v>0</v>
      </c>
      <c r="EA46" s="3375">
        <f t="shared" si="37"/>
        <v>0</v>
      </c>
      <c r="EB46" s="3375">
        <f t="shared" si="38"/>
        <v>0</v>
      </c>
      <c r="EC46" s="3375">
        <f t="shared" si="39"/>
        <v>0</v>
      </c>
    </row>
    <row r="47" spans="1:133">
      <c r="A47" s="420" t="s">
        <v>1951</v>
      </c>
      <c r="B47" s="1737">
        <f>+D47+F47+H47+J47+L47+N47+P47+R47+T47+V47+X47+Z47+AB47+AD47+AF47+AH47+AJ47+AL47+AN47+AP47</f>
        <v>0</v>
      </c>
      <c r="C47" s="1739">
        <f>+E47+G47+I47+K47+M47+O47+Q47+S47+U47+W47+Y47+AA47+AC47+AE47+AG47+AI47+AK47+AM47+AO47+AQ47</f>
        <v>0</v>
      </c>
      <c r="D47" s="423"/>
      <c r="E47" s="3376"/>
      <c r="F47" s="425"/>
      <c r="G47" s="3376"/>
      <c r="H47" s="425"/>
      <c r="I47" s="424"/>
      <c r="J47" s="423"/>
      <c r="K47" s="423"/>
      <c r="L47" s="425"/>
      <c r="M47" s="424"/>
      <c r="N47" s="423"/>
      <c r="O47" s="3376"/>
      <c r="P47" s="425"/>
      <c r="Q47" s="3376"/>
      <c r="R47" s="425"/>
      <c r="S47" s="3376"/>
      <c r="T47" s="425"/>
      <c r="U47" s="3376"/>
      <c r="V47" s="425"/>
      <c r="W47" s="3376"/>
      <c r="X47" s="425"/>
      <c r="Y47" s="3376"/>
      <c r="Z47" s="425"/>
      <c r="AA47" s="3376"/>
      <c r="AB47" s="425"/>
      <c r="AC47" s="3376"/>
      <c r="AD47" s="425"/>
      <c r="AE47" s="3376"/>
      <c r="AF47" s="425"/>
      <c r="AG47" s="3376"/>
      <c r="AH47" s="425"/>
      <c r="AI47" s="3376"/>
      <c r="AJ47" s="425"/>
      <c r="AK47" s="3376"/>
      <c r="AL47" s="425"/>
      <c r="AM47" s="3376"/>
      <c r="AN47" s="425"/>
      <c r="AO47" s="3376"/>
      <c r="AP47" s="425"/>
      <c r="AQ47" s="426"/>
      <c r="AR47" s="423"/>
      <c r="AS47" s="426"/>
      <c r="AT47" s="3372"/>
      <c r="AU47" s="426"/>
      <c r="AV47" s="2249"/>
      <c r="AW47" s="443"/>
      <c r="AX47" s="3373" t="str">
        <f>$CA47&amp;CB47&amp;CC47&amp;$CD47&amp;CE47&amp;CF47&amp;CG47&amp;CH47&amp;CI47&amp;CJ47&amp;CK47&amp;CL47&amp;CM47&amp;CN47&amp;CO47&amp;CP47&amp;CQ47&amp;CR47&amp;CS47&amp;CT47&amp;CU47&amp;CV47&amp;CW47&amp;CX47</f>
        <v/>
      </c>
      <c r="CA47" s="418" t="str">
        <f t="shared" si="63"/>
        <v/>
      </c>
      <c r="CB47" s="418" t="str">
        <f t="shared" si="59"/>
        <v/>
      </c>
      <c r="CC47" s="418" t="str">
        <f t="shared" si="4"/>
        <v/>
      </c>
      <c r="CD47" s="418" t="str">
        <f t="shared" si="5"/>
        <v/>
      </c>
      <c r="CE47" s="418" t="str">
        <f t="shared" si="42"/>
        <v/>
      </c>
      <c r="CF47" s="418" t="str">
        <f t="shared" si="43"/>
        <v/>
      </c>
      <c r="CG47" s="418" t="str">
        <f t="shared" si="44"/>
        <v/>
      </c>
      <c r="CH47" s="418" t="str">
        <f t="shared" si="52"/>
        <v/>
      </c>
      <c r="CI47" s="418" t="str">
        <f t="shared" si="53"/>
        <v/>
      </c>
      <c r="CJ47" s="418" t="str">
        <f t="shared" si="6"/>
        <v/>
      </c>
      <c r="CK47" s="418" t="str">
        <f t="shared" si="7"/>
        <v/>
      </c>
      <c r="CL47" s="418" t="str">
        <f t="shared" si="8"/>
        <v/>
      </c>
      <c r="CM47" s="418" t="str">
        <f t="shared" si="9"/>
        <v/>
      </c>
      <c r="CN47" s="418" t="str">
        <f t="shared" si="10"/>
        <v/>
      </c>
      <c r="CO47" s="418" t="str">
        <f t="shared" si="11"/>
        <v/>
      </c>
      <c r="CP47" s="418" t="str">
        <f t="shared" si="12"/>
        <v/>
      </c>
      <c r="CQ47" s="418" t="str">
        <f t="shared" si="13"/>
        <v/>
      </c>
      <c r="CR47" s="418" t="str">
        <f t="shared" si="14"/>
        <v/>
      </c>
      <c r="CS47" s="418" t="str">
        <f t="shared" si="15"/>
        <v/>
      </c>
      <c r="CT47" s="418" t="str">
        <f t="shared" si="16"/>
        <v/>
      </c>
      <c r="CU47" s="418" t="str">
        <f t="shared" si="17"/>
        <v/>
      </c>
      <c r="CV47" s="418" t="str">
        <f t="shared" si="18"/>
        <v/>
      </c>
      <c r="CW47" s="418" t="str">
        <f t="shared" si="19"/>
        <v/>
      </c>
      <c r="CX47" s="418" t="str">
        <f t="shared" si="20"/>
        <v/>
      </c>
      <c r="DE47" s="417"/>
      <c r="DF47" s="3389">
        <f t="shared" si="64"/>
        <v>0</v>
      </c>
      <c r="DG47" s="3375">
        <f t="shared" si="22"/>
        <v>0</v>
      </c>
      <c r="DH47" s="3375">
        <f t="shared" si="23"/>
        <v>0</v>
      </c>
      <c r="DI47" s="3375">
        <f t="shared" si="24"/>
        <v>0</v>
      </c>
      <c r="DJ47" s="3375">
        <f t="shared" si="45"/>
        <v>0</v>
      </c>
      <c r="DK47" s="3375">
        <f t="shared" si="46"/>
        <v>0</v>
      </c>
      <c r="DL47" s="3375">
        <f t="shared" si="47"/>
        <v>0</v>
      </c>
      <c r="DM47" s="3375">
        <f t="shared" si="54"/>
        <v>0</v>
      </c>
      <c r="DN47" s="3375">
        <f t="shared" si="55"/>
        <v>0</v>
      </c>
      <c r="DO47" s="3375">
        <f t="shared" si="25"/>
        <v>0</v>
      </c>
      <c r="DP47" s="3375">
        <f t="shared" si="26"/>
        <v>0</v>
      </c>
      <c r="DQ47" s="3375">
        <f t="shared" si="27"/>
        <v>0</v>
      </c>
      <c r="DR47" s="3375">
        <f t="shared" si="28"/>
        <v>0</v>
      </c>
      <c r="DS47" s="3375">
        <f t="shared" si="29"/>
        <v>0</v>
      </c>
      <c r="DT47" s="3375">
        <f t="shared" si="30"/>
        <v>0</v>
      </c>
      <c r="DU47" s="3375">
        <f t="shared" si="31"/>
        <v>0</v>
      </c>
      <c r="DV47" s="3375">
        <f t="shared" si="32"/>
        <v>0</v>
      </c>
      <c r="DW47" s="3375">
        <f t="shared" si="33"/>
        <v>0</v>
      </c>
      <c r="DX47" s="3375">
        <f t="shared" si="34"/>
        <v>0</v>
      </c>
      <c r="DY47" s="3375">
        <f t="shared" si="35"/>
        <v>0</v>
      </c>
      <c r="DZ47" s="3375">
        <f t="shared" si="36"/>
        <v>0</v>
      </c>
      <c r="EA47" s="3375">
        <f t="shared" si="37"/>
        <v>0</v>
      </c>
      <c r="EB47" s="3375">
        <f t="shared" si="38"/>
        <v>0</v>
      </c>
      <c r="EC47" s="3375">
        <f t="shared" si="39"/>
        <v>0</v>
      </c>
    </row>
    <row r="48" spans="1:133">
      <c r="A48" s="2387" t="s">
        <v>1952</v>
      </c>
      <c r="B48" s="1737">
        <f>+P48+R48+T48+V48+X48+Z48+AB48+AD48+AF48+AH48+AJ48+AL48+AN48+AP48</f>
        <v>0</v>
      </c>
      <c r="C48" s="1739">
        <f>+Q48+S48+U48+W48+Y48+AA48+AC48+AE48+AG48+AI48+AK48+AM48+AO48+AQ48</f>
        <v>0</v>
      </c>
      <c r="D48" s="2880"/>
      <c r="E48" s="2885"/>
      <c r="F48" s="2381"/>
      <c r="G48" s="2885"/>
      <c r="H48" s="2381"/>
      <c r="I48" s="2885"/>
      <c r="J48" s="2381"/>
      <c r="K48" s="2885"/>
      <c r="L48" s="2381"/>
      <c r="M48" s="2382"/>
      <c r="N48" s="2880"/>
      <c r="O48" s="2885"/>
      <c r="P48" s="425"/>
      <c r="Q48" s="3376"/>
      <c r="R48" s="425"/>
      <c r="S48" s="3376"/>
      <c r="T48" s="425"/>
      <c r="U48" s="3376"/>
      <c r="V48" s="425"/>
      <c r="W48" s="3376"/>
      <c r="X48" s="425"/>
      <c r="Y48" s="3376"/>
      <c r="Z48" s="425"/>
      <c r="AA48" s="3376"/>
      <c r="AB48" s="425"/>
      <c r="AC48" s="3376"/>
      <c r="AD48" s="425"/>
      <c r="AE48" s="3376"/>
      <c r="AF48" s="425"/>
      <c r="AG48" s="3376"/>
      <c r="AH48" s="425"/>
      <c r="AI48" s="3376"/>
      <c r="AJ48" s="425"/>
      <c r="AK48" s="3376"/>
      <c r="AL48" s="425"/>
      <c r="AM48" s="3376"/>
      <c r="AN48" s="425"/>
      <c r="AO48" s="3376"/>
      <c r="AP48" s="425"/>
      <c r="AQ48" s="426"/>
      <c r="AR48" s="423"/>
      <c r="AS48" s="426"/>
      <c r="AT48" s="3372"/>
      <c r="AU48" s="426"/>
      <c r="AV48" s="2249"/>
      <c r="AW48" s="443"/>
      <c r="AX48" s="3373" t="str">
        <f>$CA48&amp;CB48&amp;CC48&amp;$CD48&amp;CJ48&amp;CK48&amp;CL48&amp;CM48&amp;CN48&amp;CO48&amp;CP48&amp;CQ48&amp;CR48&amp;CS48&amp;CT48&amp;CU48&amp;CV48&amp;CW48&amp;CX48</f>
        <v/>
      </c>
      <c r="CA48" s="418" t="str">
        <f t="shared" si="63"/>
        <v/>
      </c>
      <c r="CB48" s="418" t="str">
        <f t="shared" si="59"/>
        <v/>
      </c>
      <c r="CC48" s="418" t="str">
        <f t="shared" si="4"/>
        <v/>
      </c>
      <c r="CD48" s="418" t="str">
        <f t="shared" si="5"/>
        <v/>
      </c>
      <c r="CE48" s="3381"/>
      <c r="CF48" s="3381"/>
      <c r="CG48" s="3380"/>
      <c r="CH48" s="3380"/>
      <c r="CI48" s="3380"/>
      <c r="CJ48" s="3381"/>
      <c r="CK48" s="418" t="str">
        <f t="shared" si="7"/>
        <v/>
      </c>
      <c r="CL48" s="418" t="str">
        <f t="shared" si="8"/>
        <v/>
      </c>
      <c r="CM48" s="418" t="str">
        <f t="shared" si="9"/>
        <v/>
      </c>
      <c r="CN48" s="418" t="str">
        <f t="shared" si="10"/>
        <v/>
      </c>
      <c r="CO48" s="418" t="str">
        <f t="shared" si="11"/>
        <v/>
      </c>
      <c r="CP48" s="418" t="str">
        <f t="shared" si="12"/>
        <v/>
      </c>
      <c r="CQ48" s="418" t="str">
        <f t="shared" si="13"/>
        <v/>
      </c>
      <c r="CR48" s="418" t="str">
        <f t="shared" si="14"/>
        <v/>
      </c>
      <c r="CS48" s="418" t="str">
        <f t="shared" si="15"/>
        <v/>
      </c>
      <c r="CT48" s="418" t="str">
        <f t="shared" si="16"/>
        <v/>
      </c>
      <c r="CU48" s="418" t="str">
        <f t="shared" si="17"/>
        <v/>
      </c>
      <c r="CV48" s="418" t="str">
        <f t="shared" si="18"/>
        <v/>
      </c>
      <c r="CW48" s="418" t="str">
        <f t="shared" si="19"/>
        <v/>
      </c>
      <c r="CX48" s="418" t="str">
        <f t="shared" si="20"/>
        <v/>
      </c>
      <c r="DE48" s="417"/>
      <c r="DF48" s="3389">
        <f t="shared" si="64"/>
        <v>0</v>
      </c>
      <c r="DG48" s="3375">
        <f t="shared" si="22"/>
        <v>0</v>
      </c>
      <c r="DH48" s="3375">
        <f t="shared" si="23"/>
        <v>0</v>
      </c>
      <c r="DI48" s="3375">
        <f t="shared" si="24"/>
        <v>0</v>
      </c>
      <c r="DJ48" s="3380"/>
      <c r="DK48" s="3380"/>
      <c r="DL48" s="3380"/>
      <c r="DM48" s="3380"/>
      <c r="DN48" s="3380"/>
      <c r="DO48" s="3374"/>
      <c r="DP48" s="3375">
        <f t="shared" si="26"/>
        <v>0</v>
      </c>
      <c r="DQ48" s="3375">
        <f t="shared" si="27"/>
        <v>0</v>
      </c>
      <c r="DR48" s="3375">
        <f t="shared" si="28"/>
        <v>0</v>
      </c>
      <c r="DS48" s="3375">
        <f t="shared" si="29"/>
        <v>0</v>
      </c>
      <c r="DT48" s="3375">
        <f t="shared" si="30"/>
        <v>0</v>
      </c>
      <c r="DU48" s="3375">
        <f t="shared" si="31"/>
        <v>0</v>
      </c>
      <c r="DV48" s="3375">
        <f t="shared" si="32"/>
        <v>0</v>
      </c>
      <c r="DW48" s="3375">
        <f t="shared" si="33"/>
        <v>0</v>
      </c>
      <c r="DX48" s="3375">
        <f t="shared" si="34"/>
        <v>0</v>
      </c>
      <c r="DY48" s="3375">
        <f t="shared" si="35"/>
        <v>0</v>
      </c>
      <c r="DZ48" s="3375">
        <f t="shared" si="36"/>
        <v>0</v>
      </c>
      <c r="EA48" s="3375">
        <f t="shared" si="37"/>
        <v>0</v>
      </c>
      <c r="EB48" s="3375">
        <f t="shared" si="38"/>
        <v>0</v>
      </c>
      <c r="EC48" s="3375">
        <f t="shared" si="39"/>
        <v>0</v>
      </c>
    </row>
    <row r="49" spans="1:133">
      <c r="A49" s="420" t="s">
        <v>1953</v>
      </c>
      <c r="B49" s="1737">
        <f>+P49+R49+T49+V49+X49+Z49+AB49+AD49+AF49+AH49</f>
        <v>0</v>
      </c>
      <c r="C49" s="1739">
        <f>+Q49+S49+U49+W49+Y49+AA49+AC49+AE49+AG49+AI49</f>
        <v>0</v>
      </c>
      <c r="D49" s="2880"/>
      <c r="E49" s="2885"/>
      <c r="F49" s="2381"/>
      <c r="G49" s="2885"/>
      <c r="H49" s="2381"/>
      <c r="I49" s="2885"/>
      <c r="J49" s="2381"/>
      <c r="K49" s="2885"/>
      <c r="L49" s="2381"/>
      <c r="M49" s="2382"/>
      <c r="N49" s="2880"/>
      <c r="O49" s="2885"/>
      <c r="P49" s="425"/>
      <c r="Q49" s="3376"/>
      <c r="R49" s="425"/>
      <c r="S49" s="3376"/>
      <c r="T49" s="425"/>
      <c r="U49" s="3376"/>
      <c r="V49" s="425"/>
      <c r="W49" s="3376"/>
      <c r="X49" s="425"/>
      <c r="Y49" s="3376"/>
      <c r="Z49" s="425"/>
      <c r="AA49" s="3376"/>
      <c r="AB49" s="425"/>
      <c r="AC49" s="3376"/>
      <c r="AD49" s="425"/>
      <c r="AE49" s="3376"/>
      <c r="AF49" s="425"/>
      <c r="AG49" s="3376"/>
      <c r="AH49" s="425"/>
      <c r="AI49" s="3376"/>
      <c r="AJ49" s="2381"/>
      <c r="AK49" s="2885"/>
      <c r="AL49" s="2381"/>
      <c r="AM49" s="2885"/>
      <c r="AN49" s="2381"/>
      <c r="AO49" s="2885"/>
      <c r="AP49" s="2381"/>
      <c r="AQ49" s="2882"/>
      <c r="AR49" s="423"/>
      <c r="AS49" s="426"/>
      <c r="AT49" s="3372"/>
      <c r="AU49" s="426"/>
      <c r="AV49" s="2249"/>
      <c r="AW49" s="443"/>
      <c r="AX49" s="3373" t="str">
        <f>$CA49&amp;CB49&amp;CC49&amp;$CD49&amp;CK49&amp;CL49&amp;CM49&amp;CN49&amp;CO49&amp;CP49&amp;CQ49&amp;CR49&amp;CS49&amp;CT49</f>
        <v/>
      </c>
      <c r="CA49" s="418" t="str">
        <f t="shared" si="63"/>
        <v/>
      </c>
      <c r="CB49" s="418" t="str">
        <f t="shared" si="59"/>
        <v/>
      </c>
      <c r="CC49" s="418" t="str">
        <f t="shared" si="4"/>
        <v/>
      </c>
      <c r="CD49" s="418" t="str">
        <f t="shared" si="5"/>
        <v/>
      </c>
      <c r="CE49" s="3381"/>
      <c r="CF49" s="3381"/>
      <c r="CG49" s="3380"/>
      <c r="CH49" s="3380"/>
      <c r="CI49" s="3380"/>
      <c r="CJ49" s="3381"/>
      <c r="CK49" s="418" t="str">
        <f t="shared" si="7"/>
        <v/>
      </c>
      <c r="CL49" s="418" t="str">
        <f t="shared" si="8"/>
        <v/>
      </c>
      <c r="CM49" s="418" t="str">
        <f t="shared" si="9"/>
        <v/>
      </c>
      <c r="CN49" s="418" t="str">
        <f t="shared" si="10"/>
        <v/>
      </c>
      <c r="CO49" s="418" t="str">
        <f t="shared" si="11"/>
        <v/>
      </c>
      <c r="CP49" s="418" t="str">
        <f t="shared" si="12"/>
        <v/>
      </c>
      <c r="CQ49" s="418" t="str">
        <f t="shared" si="13"/>
        <v/>
      </c>
      <c r="CR49" s="418" t="str">
        <f t="shared" si="14"/>
        <v/>
      </c>
      <c r="CS49" s="418" t="str">
        <f t="shared" si="15"/>
        <v/>
      </c>
      <c r="CT49" s="418" t="str">
        <f t="shared" si="16"/>
        <v/>
      </c>
      <c r="CU49" s="3374"/>
      <c r="CV49" s="3374"/>
      <c r="CW49" s="3374"/>
      <c r="CX49" s="3374"/>
      <c r="DE49" s="417"/>
      <c r="DF49" s="3389">
        <f t="shared" si="64"/>
        <v>0</v>
      </c>
      <c r="DG49" s="3375">
        <f t="shared" si="22"/>
        <v>0</v>
      </c>
      <c r="DH49" s="3375">
        <f t="shared" si="23"/>
        <v>0</v>
      </c>
      <c r="DI49" s="3375">
        <f t="shared" si="24"/>
        <v>0</v>
      </c>
      <c r="DJ49" s="3380"/>
      <c r="DK49" s="3380"/>
      <c r="DL49" s="3380"/>
      <c r="DM49" s="3380"/>
      <c r="DN49" s="3380"/>
      <c r="DO49" s="3374"/>
      <c r="DP49" s="3375">
        <f t="shared" si="26"/>
        <v>0</v>
      </c>
      <c r="DQ49" s="3375">
        <f t="shared" si="27"/>
        <v>0</v>
      </c>
      <c r="DR49" s="3375">
        <f t="shared" si="28"/>
        <v>0</v>
      </c>
      <c r="DS49" s="3375">
        <f t="shared" si="29"/>
        <v>0</v>
      </c>
      <c r="DT49" s="3375">
        <f t="shared" si="30"/>
        <v>0</v>
      </c>
      <c r="DU49" s="3375">
        <f t="shared" si="31"/>
        <v>0</v>
      </c>
      <c r="DV49" s="3375">
        <f t="shared" si="32"/>
        <v>0</v>
      </c>
      <c r="DW49" s="3375">
        <f t="shared" si="33"/>
        <v>0</v>
      </c>
      <c r="DX49" s="3375">
        <f t="shared" si="34"/>
        <v>0</v>
      </c>
      <c r="DY49" s="3375">
        <f t="shared" si="35"/>
        <v>0</v>
      </c>
      <c r="DZ49" s="3374"/>
      <c r="EA49" s="3374"/>
      <c r="EB49" s="3374"/>
      <c r="EC49" s="3374"/>
    </row>
    <row r="50" spans="1:133">
      <c r="A50" s="420" t="s">
        <v>1954</v>
      </c>
      <c r="B50" s="1737">
        <f t="shared" ref="B50:C52" si="65">+D50+F50+H50+J50+L50+N50+P50+R50+T50+V50+X50+Z50+AB50+AD50+AF50+AH50+AJ50+AL50+AN50+AP50</f>
        <v>0</v>
      </c>
      <c r="C50" s="1739">
        <f t="shared" ref="C50:C51" si="66">+E50+G50+I50+K50+M50+O50+Q50+S50+U50+W50+Y50+AA50+AC50+AE50+AG50+AI50+AK50+AM50+AO50+AQ50</f>
        <v>0</v>
      </c>
      <c r="D50" s="423"/>
      <c r="E50" s="3376"/>
      <c r="F50" s="425"/>
      <c r="G50" s="3376"/>
      <c r="H50" s="425"/>
      <c r="I50" s="424"/>
      <c r="J50" s="423"/>
      <c r="K50" s="423"/>
      <c r="L50" s="425"/>
      <c r="M50" s="424"/>
      <c r="N50" s="423"/>
      <c r="O50" s="3376"/>
      <c r="P50" s="425"/>
      <c r="Q50" s="3376"/>
      <c r="R50" s="425"/>
      <c r="S50" s="3376"/>
      <c r="T50" s="425"/>
      <c r="U50" s="3376"/>
      <c r="V50" s="425"/>
      <c r="W50" s="3376"/>
      <c r="X50" s="425"/>
      <c r="Y50" s="3376"/>
      <c r="Z50" s="425"/>
      <c r="AA50" s="3376"/>
      <c r="AB50" s="425"/>
      <c r="AC50" s="3376"/>
      <c r="AD50" s="425"/>
      <c r="AE50" s="3376"/>
      <c r="AF50" s="425"/>
      <c r="AG50" s="3376"/>
      <c r="AH50" s="425"/>
      <c r="AI50" s="3376"/>
      <c r="AJ50" s="425"/>
      <c r="AK50" s="3376"/>
      <c r="AL50" s="425"/>
      <c r="AM50" s="3376"/>
      <c r="AN50" s="425"/>
      <c r="AO50" s="3376"/>
      <c r="AP50" s="425"/>
      <c r="AQ50" s="426"/>
      <c r="AR50" s="423"/>
      <c r="AS50" s="426"/>
      <c r="AT50" s="3372"/>
      <c r="AU50" s="426"/>
      <c r="AV50" s="2249"/>
      <c r="AW50" s="443"/>
      <c r="AX50" s="3373" t="str">
        <f t="shared" ref="AX50:AX52" si="67">$CA50&amp;CB50&amp;CC50&amp;$CD50&amp;CJ50&amp;CK50&amp;CL50&amp;CM50&amp;CN50&amp;CO50&amp;CP50&amp;CQ50&amp;CR50&amp;CS50&amp;CT50&amp;CU50&amp;CV50&amp;CW50&amp;CX50&amp;CE50&amp;CF50&amp;CG50&amp;CH50&amp;CI50</f>
        <v/>
      </c>
      <c r="CA50" s="418" t="str">
        <f t="shared" si="63"/>
        <v/>
      </c>
      <c r="CB50" s="418" t="str">
        <f t="shared" si="59"/>
        <v/>
      </c>
      <c r="CC50" s="418" t="str">
        <f t="shared" si="4"/>
        <v/>
      </c>
      <c r="CD50" s="418" t="str">
        <f t="shared" si="5"/>
        <v/>
      </c>
      <c r="CE50" s="418" t="str">
        <f t="shared" si="42"/>
        <v/>
      </c>
      <c r="CF50" s="418" t="str">
        <f t="shared" si="43"/>
        <v/>
      </c>
      <c r="CG50" s="418" t="str">
        <f t="shared" si="44"/>
        <v/>
      </c>
      <c r="CH50" s="418" t="str">
        <f t="shared" si="52"/>
        <v/>
      </c>
      <c r="CI50" s="418" t="str">
        <f t="shared" si="53"/>
        <v/>
      </c>
      <c r="CJ50" s="418" t="str">
        <f t="shared" si="6"/>
        <v/>
      </c>
      <c r="CK50" s="418" t="str">
        <f t="shared" si="7"/>
        <v/>
      </c>
      <c r="CL50" s="418" t="str">
        <f t="shared" si="8"/>
        <v/>
      </c>
      <c r="CM50" s="418" t="str">
        <f t="shared" si="9"/>
        <v/>
      </c>
      <c r="CN50" s="418" t="str">
        <f t="shared" si="10"/>
        <v/>
      </c>
      <c r="CO50" s="418" t="str">
        <f t="shared" si="11"/>
        <v/>
      </c>
      <c r="CP50" s="418" t="str">
        <f t="shared" si="12"/>
        <v/>
      </c>
      <c r="CQ50" s="418" t="str">
        <f t="shared" si="13"/>
        <v/>
      </c>
      <c r="CR50" s="418" t="str">
        <f t="shared" si="14"/>
        <v/>
      </c>
      <c r="CS50" s="418" t="str">
        <f t="shared" si="15"/>
        <v/>
      </c>
      <c r="CT50" s="418" t="str">
        <f t="shared" si="16"/>
        <v/>
      </c>
      <c r="CU50" s="418" t="str">
        <f t="shared" si="17"/>
        <v/>
      </c>
      <c r="CV50" s="418" t="str">
        <f t="shared" si="18"/>
        <v/>
      </c>
      <c r="CW50" s="418" t="str">
        <f t="shared" si="19"/>
        <v/>
      </c>
      <c r="CX50" s="418" t="str">
        <f t="shared" si="20"/>
        <v/>
      </c>
      <c r="DE50" s="417"/>
      <c r="DF50" s="3389">
        <f t="shared" si="64"/>
        <v>0</v>
      </c>
      <c r="DG50" s="3375">
        <f t="shared" si="22"/>
        <v>0</v>
      </c>
      <c r="DH50" s="3375">
        <f t="shared" si="23"/>
        <v>0</v>
      </c>
      <c r="DI50" s="3375">
        <f t="shared" si="24"/>
        <v>0</v>
      </c>
      <c r="DJ50" s="3375">
        <f t="shared" si="45"/>
        <v>0</v>
      </c>
      <c r="DK50" s="3375">
        <f t="shared" si="46"/>
        <v>0</v>
      </c>
      <c r="DL50" s="3375">
        <f t="shared" si="47"/>
        <v>0</v>
      </c>
      <c r="DM50" s="3375">
        <f t="shared" si="54"/>
        <v>0</v>
      </c>
      <c r="DN50" s="3375">
        <f t="shared" si="55"/>
        <v>0</v>
      </c>
      <c r="DO50" s="3375">
        <f t="shared" si="25"/>
        <v>0</v>
      </c>
      <c r="DP50" s="3375">
        <f t="shared" si="26"/>
        <v>0</v>
      </c>
      <c r="DQ50" s="3375">
        <f t="shared" si="27"/>
        <v>0</v>
      </c>
      <c r="DR50" s="3375">
        <f t="shared" si="28"/>
        <v>0</v>
      </c>
      <c r="DS50" s="3375">
        <f t="shared" si="29"/>
        <v>0</v>
      </c>
      <c r="DT50" s="3375">
        <f t="shared" si="30"/>
        <v>0</v>
      </c>
      <c r="DU50" s="3375">
        <f t="shared" si="31"/>
        <v>0</v>
      </c>
      <c r="DV50" s="3375">
        <f t="shared" si="32"/>
        <v>0</v>
      </c>
      <c r="DW50" s="3375">
        <f t="shared" si="33"/>
        <v>0</v>
      </c>
      <c r="DX50" s="3375">
        <f t="shared" si="34"/>
        <v>0</v>
      </c>
      <c r="DY50" s="3375">
        <f t="shared" si="35"/>
        <v>0</v>
      </c>
      <c r="DZ50" s="3375">
        <f t="shared" si="36"/>
        <v>0</v>
      </c>
      <c r="EA50" s="3375">
        <f t="shared" si="37"/>
        <v>0</v>
      </c>
      <c r="EB50" s="3375">
        <f t="shared" si="38"/>
        <v>0</v>
      </c>
      <c r="EC50" s="3375">
        <f t="shared" si="39"/>
        <v>0</v>
      </c>
    </row>
    <row r="51" spans="1:133">
      <c r="A51" s="420" t="s">
        <v>1955</v>
      </c>
      <c r="B51" s="1737">
        <f t="shared" si="65"/>
        <v>0</v>
      </c>
      <c r="C51" s="1739">
        <f t="shared" si="66"/>
        <v>0</v>
      </c>
      <c r="D51" s="423"/>
      <c r="E51" s="3376"/>
      <c r="F51" s="425"/>
      <c r="G51" s="3376"/>
      <c r="H51" s="425"/>
      <c r="I51" s="424"/>
      <c r="J51" s="423"/>
      <c r="K51" s="423"/>
      <c r="L51" s="425"/>
      <c r="M51" s="424"/>
      <c r="N51" s="423"/>
      <c r="O51" s="3376"/>
      <c r="P51" s="425"/>
      <c r="Q51" s="3376"/>
      <c r="R51" s="425"/>
      <c r="S51" s="3376"/>
      <c r="T51" s="425"/>
      <c r="U51" s="3376"/>
      <c r="V51" s="425"/>
      <c r="W51" s="3376"/>
      <c r="X51" s="425"/>
      <c r="Y51" s="3376"/>
      <c r="Z51" s="425"/>
      <c r="AA51" s="3376"/>
      <c r="AB51" s="425"/>
      <c r="AC51" s="3376"/>
      <c r="AD51" s="425"/>
      <c r="AE51" s="3376"/>
      <c r="AF51" s="425"/>
      <c r="AG51" s="3376"/>
      <c r="AH51" s="425"/>
      <c r="AI51" s="3376"/>
      <c r="AJ51" s="425"/>
      <c r="AK51" s="3376"/>
      <c r="AL51" s="425"/>
      <c r="AM51" s="3376"/>
      <c r="AN51" s="425"/>
      <c r="AO51" s="3376"/>
      <c r="AP51" s="425"/>
      <c r="AQ51" s="426"/>
      <c r="AR51" s="423"/>
      <c r="AS51" s="426"/>
      <c r="AT51" s="3372"/>
      <c r="AU51" s="426"/>
      <c r="AV51" s="2249"/>
      <c r="AW51" s="443"/>
      <c r="AX51" s="3373" t="str">
        <f t="shared" si="67"/>
        <v/>
      </c>
      <c r="CA51" s="418" t="str">
        <f t="shared" si="63"/>
        <v/>
      </c>
      <c r="CB51" s="418" t="str">
        <f t="shared" si="59"/>
        <v/>
      </c>
      <c r="CC51" s="418" t="str">
        <f t="shared" si="4"/>
        <v/>
      </c>
      <c r="CD51" s="418" t="str">
        <f t="shared" si="5"/>
        <v/>
      </c>
      <c r="CE51" s="418" t="str">
        <f t="shared" si="42"/>
        <v/>
      </c>
      <c r="CF51" s="418" t="str">
        <f t="shared" si="43"/>
        <v/>
      </c>
      <c r="CG51" s="418" t="str">
        <f t="shared" si="44"/>
        <v/>
      </c>
      <c r="CH51" s="418" t="str">
        <f t="shared" si="52"/>
        <v/>
      </c>
      <c r="CI51" s="418" t="str">
        <f t="shared" si="53"/>
        <v/>
      </c>
      <c r="CJ51" s="418" t="str">
        <f t="shared" si="6"/>
        <v/>
      </c>
      <c r="CK51" s="418" t="str">
        <f t="shared" si="7"/>
        <v/>
      </c>
      <c r="CL51" s="418" t="str">
        <f t="shared" si="8"/>
        <v/>
      </c>
      <c r="CM51" s="418" t="str">
        <f t="shared" si="9"/>
        <v/>
      </c>
      <c r="CN51" s="418" t="str">
        <f t="shared" si="10"/>
        <v/>
      </c>
      <c r="CO51" s="418" t="str">
        <f t="shared" si="11"/>
        <v/>
      </c>
      <c r="CP51" s="418" t="str">
        <f t="shared" si="12"/>
        <v/>
      </c>
      <c r="CQ51" s="418" t="str">
        <f t="shared" si="13"/>
        <v/>
      </c>
      <c r="CR51" s="418" t="str">
        <f t="shared" si="14"/>
        <v/>
      </c>
      <c r="CS51" s="418" t="str">
        <f t="shared" si="15"/>
        <v/>
      </c>
      <c r="CT51" s="418" t="str">
        <f t="shared" si="16"/>
        <v/>
      </c>
      <c r="CU51" s="418" t="str">
        <f t="shared" si="17"/>
        <v/>
      </c>
      <c r="CV51" s="418" t="str">
        <f t="shared" si="18"/>
        <v/>
      </c>
      <c r="CW51" s="418" t="str">
        <f t="shared" si="19"/>
        <v/>
      </c>
      <c r="CX51" s="418" t="str">
        <f t="shared" si="20"/>
        <v/>
      </c>
      <c r="DE51" s="417"/>
      <c r="DF51" s="3389">
        <f t="shared" si="64"/>
        <v>0</v>
      </c>
      <c r="DG51" s="3375">
        <f t="shared" si="22"/>
        <v>0</v>
      </c>
      <c r="DH51" s="3375">
        <f t="shared" si="23"/>
        <v>0</v>
      </c>
      <c r="DI51" s="3375">
        <f t="shared" si="24"/>
        <v>0</v>
      </c>
      <c r="DJ51" s="3375">
        <f t="shared" si="45"/>
        <v>0</v>
      </c>
      <c r="DK51" s="3375">
        <f t="shared" si="46"/>
        <v>0</v>
      </c>
      <c r="DL51" s="3375">
        <f t="shared" si="47"/>
        <v>0</v>
      </c>
      <c r="DM51" s="3375">
        <f t="shared" si="54"/>
        <v>0</v>
      </c>
      <c r="DN51" s="3375">
        <f t="shared" si="55"/>
        <v>0</v>
      </c>
      <c r="DO51" s="3375">
        <f t="shared" si="25"/>
        <v>0</v>
      </c>
      <c r="DP51" s="3375">
        <f t="shared" si="26"/>
        <v>0</v>
      </c>
      <c r="DQ51" s="3375">
        <f t="shared" si="27"/>
        <v>0</v>
      </c>
      <c r="DR51" s="3375">
        <f t="shared" si="28"/>
        <v>0</v>
      </c>
      <c r="DS51" s="3375">
        <f t="shared" si="29"/>
        <v>0</v>
      </c>
      <c r="DT51" s="3375">
        <f t="shared" si="30"/>
        <v>0</v>
      </c>
      <c r="DU51" s="3375">
        <f t="shared" si="31"/>
        <v>0</v>
      </c>
      <c r="DV51" s="3375">
        <f t="shared" si="32"/>
        <v>0</v>
      </c>
      <c r="DW51" s="3375">
        <f t="shared" si="33"/>
        <v>0</v>
      </c>
      <c r="DX51" s="3375">
        <f t="shared" si="34"/>
        <v>0</v>
      </c>
      <c r="DY51" s="3375">
        <f t="shared" si="35"/>
        <v>0</v>
      </c>
      <c r="DZ51" s="3375">
        <f t="shared" si="36"/>
        <v>0</v>
      </c>
      <c r="EA51" s="3375">
        <f t="shared" si="37"/>
        <v>0</v>
      </c>
      <c r="EB51" s="3375">
        <f t="shared" si="38"/>
        <v>0</v>
      </c>
      <c r="EC51" s="3375">
        <f t="shared" si="39"/>
        <v>0</v>
      </c>
    </row>
    <row r="52" spans="1:133">
      <c r="A52" s="3390" t="s">
        <v>1956</v>
      </c>
      <c r="B52" s="1755">
        <f t="shared" si="65"/>
        <v>0</v>
      </c>
      <c r="C52" s="1757">
        <f t="shared" si="65"/>
        <v>0</v>
      </c>
      <c r="D52" s="3385"/>
      <c r="E52" s="3384"/>
      <c r="F52" s="432"/>
      <c r="G52" s="3384"/>
      <c r="H52" s="432"/>
      <c r="I52" s="433"/>
      <c r="J52" s="3385"/>
      <c r="K52" s="3385"/>
      <c r="L52" s="432"/>
      <c r="M52" s="433"/>
      <c r="N52" s="3385"/>
      <c r="O52" s="3384"/>
      <c r="P52" s="432"/>
      <c r="Q52" s="3384"/>
      <c r="R52" s="432"/>
      <c r="S52" s="3384"/>
      <c r="T52" s="432"/>
      <c r="U52" s="3384"/>
      <c r="V52" s="432"/>
      <c r="W52" s="3384"/>
      <c r="X52" s="432"/>
      <c r="Y52" s="3384"/>
      <c r="Z52" s="432"/>
      <c r="AA52" s="3384"/>
      <c r="AB52" s="432"/>
      <c r="AC52" s="3384"/>
      <c r="AD52" s="432"/>
      <c r="AE52" s="3384"/>
      <c r="AF52" s="432"/>
      <c r="AG52" s="3384"/>
      <c r="AH52" s="432"/>
      <c r="AI52" s="3384"/>
      <c r="AJ52" s="432"/>
      <c r="AK52" s="3384"/>
      <c r="AL52" s="432"/>
      <c r="AM52" s="3384"/>
      <c r="AN52" s="432"/>
      <c r="AO52" s="3384"/>
      <c r="AP52" s="432"/>
      <c r="AQ52" s="445"/>
      <c r="AR52" s="3385"/>
      <c r="AS52" s="445"/>
      <c r="AT52" s="3386"/>
      <c r="AU52" s="445"/>
      <c r="AV52" s="3387"/>
      <c r="AW52" s="438"/>
      <c r="AX52" s="3373" t="str">
        <f t="shared" si="67"/>
        <v/>
      </c>
      <c r="CA52" s="418" t="str">
        <f t="shared" si="63"/>
        <v/>
      </c>
      <c r="CB52" s="418" t="str">
        <f t="shared" si="59"/>
        <v/>
      </c>
      <c r="CC52" s="418" t="str">
        <f t="shared" si="4"/>
        <v/>
      </c>
      <c r="CD52" s="418" t="str">
        <f t="shared" si="5"/>
        <v/>
      </c>
      <c r="CE52" s="418" t="str">
        <f t="shared" si="42"/>
        <v/>
      </c>
      <c r="CF52" s="418" t="str">
        <f t="shared" si="43"/>
        <v/>
      </c>
      <c r="CG52" s="418" t="str">
        <f t="shared" si="44"/>
        <v/>
      </c>
      <c r="CH52" s="418" t="str">
        <f t="shared" si="52"/>
        <v/>
      </c>
      <c r="CI52" s="418" t="str">
        <f t="shared" si="53"/>
        <v/>
      </c>
      <c r="CJ52" s="418" t="str">
        <f t="shared" si="6"/>
        <v/>
      </c>
      <c r="CK52" s="418" t="str">
        <f t="shared" si="7"/>
        <v/>
      </c>
      <c r="CL52" s="418" t="str">
        <f t="shared" si="8"/>
        <v/>
      </c>
      <c r="CM52" s="418" t="str">
        <f t="shared" si="9"/>
        <v/>
      </c>
      <c r="CN52" s="418" t="str">
        <f t="shared" si="10"/>
        <v/>
      </c>
      <c r="CO52" s="418" t="str">
        <f t="shared" si="11"/>
        <v/>
      </c>
      <c r="CP52" s="418" t="str">
        <f t="shared" si="12"/>
        <v/>
      </c>
      <c r="CQ52" s="418" t="str">
        <f t="shared" si="13"/>
        <v/>
      </c>
      <c r="CR52" s="418" t="str">
        <f t="shared" si="14"/>
        <v/>
      </c>
      <c r="CS52" s="418" t="str">
        <f t="shared" si="15"/>
        <v/>
      </c>
      <c r="CT52" s="418" t="str">
        <f t="shared" si="16"/>
        <v/>
      </c>
      <c r="CU52" s="418" t="str">
        <f t="shared" si="17"/>
        <v/>
      </c>
      <c r="CV52" s="418" t="str">
        <f t="shared" si="18"/>
        <v/>
      </c>
      <c r="CW52" s="418" t="str">
        <f t="shared" si="19"/>
        <v/>
      </c>
      <c r="CX52" s="418" t="str">
        <f t="shared" si="20"/>
        <v/>
      </c>
      <c r="DE52" s="417"/>
      <c r="DF52" s="3389">
        <f t="shared" si="64"/>
        <v>0</v>
      </c>
      <c r="DG52" s="3375">
        <f t="shared" si="22"/>
        <v>0</v>
      </c>
      <c r="DH52" s="3375">
        <f t="shared" si="23"/>
        <v>0</v>
      </c>
      <c r="DI52" s="3375">
        <f t="shared" si="24"/>
        <v>0</v>
      </c>
      <c r="DJ52" s="3375">
        <f t="shared" si="45"/>
        <v>0</v>
      </c>
      <c r="DK52" s="3375">
        <f t="shared" si="46"/>
        <v>0</v>
      </c>
      <c r="DL52" s="3375">
        <f t="shared" si="47"/>
        <v>0</v>
      </c>
      <c r="DM52" s="3375">
        <f t="shared" si="54"/>
        <v>0</v>
      </c>
      <c r="DN52" s="3375">
        <f t="shared" si="55"/>
        <v>0</v>
      </c>
      <c r="DO52" s="3375">
        <f t="shared" si="25"/>
        <v>0</v>
      </c>
      <c r="DP52" s="3375">
        <f t="shared" si="26"/>
        <v>0</v>
      </c>
      <c r="DQ52" s="3375">
        <f t="shared" si="27"/>
        <v>0</v>
      </c>
      <c r="DR52" s="3375">
        <f t="shared" si="28"/>
        <v>0</v>
      </c>
      <c r="DS52" s="3375">
        <f t="shared" si="29"/>
        <v>0</v>
      </c>
      <c r="DT52" s="3375">
        <f t="shared" si="30"/>
        <v>0</v>
      </c>
      <c r="DU52" s="3375">
        <f t="shared" si="31"/>
        <v>0</v>
      </c>
      <c r="DV52" s="3375">
        <f t="shared" si="32"/>
        <v>0</v>
      </c>
      <c r="DW52" s="3375">
        <f t="shared" si="33"/>
        <v>0</v>
      </c>
      <c r="DX52" s="3375">
        <f t="shared" si="34"/>
        <v>0</v>
      </c>
      <c r="DY52" s="3375">
        <f t="shared" si="35"/>
        <v>0</v>
      </c>
      <c r="DZ52" s="3375">
        <f t="shared" si="36"/>
        <v>0</v>
      </c>
      <c r="EA52" s="3375">
        <f t="shared" si="37"/>
        <v>0</v>
      </c>
      <c r="EB52" s="3375">
        <f t="shared" si="38"/>
        <v>0</v>
      </c>
      <c r="EC52" s="3375">
        <f t="shared" si="39"/>
        <v>0</v>
      </c>
    </row>
    <row r="53" spans="1:133" ht="18" customHeight="1">
      <c r="A53" s="3388" t="s">
        <v>1958</v>
      </c>
      <c r="B53" s="3388"/>
      <c r="C53" s="3388"/>
      <c r="D53" s="3388"/>
      <c r="E53" s="3388"/>
      <c r="F53" s="3388"/>
      <c r="G53" s="3388"/>
      <c r="H53" s="3388"/>
      <c r="I53" s="3388"/>
      <c r="J53" s="3388"/>
      <c r="K53" s="3388"/>
      <c r="L53" s="3388"/>
      <c r="M53" s="3388"/>
      <c r="N53" s="3388"/>
      <c r="O53" s="3388"/>
      <c r="P53" s="3388"/>
      <c r="Q53" s="3388"/>
      <c r="R53" s="3388"/>
      <c r="S53" s="3388"/>
      <c r="T53" s="3388"/>
      <c r="U53" s="3388"/>
      <c r="V53" s="3388"/>
      <c r="W53" s="3388"/>
      <c r="X53" s="3388"/>
      <c r="Y53" s="3388"/>
      <c r="Z53" s="3388"/>
      <c r="AA53" s="3388"/>
      <c r="AB53" s="3388"/>
      <c r="AC53" s="3388"/>
      <c r="AD53" s="3388"/>
      <c r="AE53" s="3388"/>
      <c r="AF53" s="3388"/>
      <c r="AG53" s="3388"/>
      <c r="AH53" s="3388"/>
      <c r="AI53" s="3388"/>
      <c r="AJ53" s="3388"/>
      <c r="AK53" s="3388"/>
      <c r="AL53" s="3388"/>
      <c r="AM53" s="3388"/>
      <c r="AN53" s="3388"/>
      <c r="AO53" s="3388"/>
      <c r="AP53" s="3388"/>
      <c r="AQ53" s="3388"/>
      <c r="AR53" s="3366"/>
      <c r="AS53" s="3366"/>
      <c r="AT53" s="3366"/>
      <c r="AU53" s="3366"/>
      <c r="AV53" s="3366"/>
      <c r="AW53" s="3366"/>
    </row>
    <row r="54" spans="1:133">
      <c r="A54" s="5718" t="s">
        <v>1933</v>
      </c>
      <c r="B54" s="6153" t="s">
        <v>91</v>
      </c>
      <c r="C54" s="6154"/>
      <c r="D54" s="5707" t="s">
        <v>43</v>
      </c>
      <c r="E54" s="5708"/>
      <c r="F54" s="5708"/>
      <c r="G54" s="5708"/>
      <c r="H54" s="5708"/>
      <c r="I54" s="5708"/>
      <c r="J54" s="5708"/>
      <c r="K54" s="5708"/>
      <c r="L54" s="5708"/>
      <c r="M54" s="5708"/>
      <c r="N54" s="5708"/>
      <c r="O54" s="5708"/>
      <c r="P54" s="5708"/>
      <c r="Q54" s="5708"/>
      <c r="R54" s="5708"/>
      <c r="S54" s="5708"/>
      <c r="T54" s="5708"/>
      <c r="U54" s="5708"/>
      <c r="V54" s="5708"/>
      <c r="W54" s="5708"/>
      <c r="X54" s="5708"/>
      <c r="Y54" s="5708"/>
      <c r="Z54" s="5708"/>
      <c r="AA54" s="5708"/>
      <c r="AB54" s="5708"/>
      <c r="AC54" s="5708"/>
      <c r="AD54" s="5708"/>
      <c r="AE54" s="5708"/>
      <c r="AF54" s="5708"/>
      <c r="AG54" s="5708"/>
      <c r="AH54" s="5708"/>
      <c r="AI54" s="5708"/>
      <c r="AJ54" s="5708"/>
      <c r="AK54" s="5708"/>
      <c r="AL54" s="5708"/>
      <c r="AM54" s="5708"/>
      <c r="AN54" s="5708"/>
      <c r="AO54" s="5708"/>
      <c r="AP54" s="5708"/>
      <c r="AQ54" s="6147"/>
      <c r="AR54" s="6106" t="s">
        <v>1934</v>
      </c>
      <c r="AS54" s="5716"/>
      <c r="AT54" s="6749" t="s">
        <v>478</v>
      </c>
      <c r="AU54" s="6750"/>
      <c r="AV54" s="6762" t="s">
        <v>50</v>
      </c>
      <c r="AW54" s="6119" t="s">
        <v>51</v>
      </c>
    </row>
    <row r="55" spans="1:133">
      <c r="A55" s="6110"/>
      <c r="B55" s="6156"/>
      <c r="C55" s="6157"/>
      <c r="D55" s="5710" t="s">
        <v>1935</v>
      </c>
      <c r="E55" s="6106"/>
      <c r="F55" s="5710" t="s">
        <v>963</v>
      </c>
      <c r="G55" s="6106"/>
      <c r="H55" s="5710" t="s">
        <v>1936</v>
      </c>
      <c r="I55" s="5712"/>
      <c r="J55" s="6106" t="s">
        <v>965</v>
      </c>
      <c r="K55" s="6106"/>
      <c r="L55" s="5710" t="s">
        <v>347</v>
      </c>
      <c r="M55" s="6106"/>
      <c r="N55" s="5710" t="s">
        <v>108</v>
      </c>
      <c r="O55" s="6106"/>
      <c r="P55" s="5710" t="s">
        <v>58</v>
      </c>
      <c r="Q55" s="6106"/>
      <c r="R55" s="5710" t="s">
        <v>59</v>
      </c>
      <c r="S55" s="6106"/>
      <c r="T55" s="5710" t="s">
        <v>60</v>
      </c>
      <c r="U55" s="5712"/>
      <c r="V55" s="5710" t="s">
        <v>61</v>
      </c>
      <c r="W55" s="5712"/>
      <c r="X55" s="5710" t="s">
        <v>62</v>
      </c>
      <c r="Y55" s="5712"/>
      <c r="Z55" s="5710" t="s">
        <v>63</v>
      </c>
      <c r="AA55" s="5712"/>
      <c r="AB55" s="5710" t="s">
        <v>64</v>
      </c>
      <c r="AC55" s="5712"/>
      <c r="AD55" s="5710" t="s">
        <v>65</v>
      </c>
      <c r="AE55" s="5712"/>
      <c r="AF55" s="5710" t="s">
        <v>66</v>
      </c>
      <c r="AG55" s="5712"/>
      <c r="AH55" s="5710" t="s">
        <v>67</v>
      </c>
      <c r="AI55" s="5712"/>
      <c r="AJ55" s="5710" t="s">
        <v>68</v>
      </c>
      <c r="AK55" s="5712"/>
      <c r="AL55" s="5710" t="s">
        <v>69</v>
      </c>
      <c r="AM55" s="5712"/>
      <c r="AN55" s="5710" t="s">
        <v>70</v>
      </c>
      <c r="AO55" s="5712"/>
      <c r="AP55" s="5710" t="s">
        <v>71</v>
      </c>
      <c r="AQ55" s="5716"/>
      <c r="AR55" s="6133" t="s">
        <v>72</v>
      </c>
      <c r="AS55" s="6228" t="s">
        <v>73</v>
      </c>
      <c r="AT55" s="6751"/>
      <c r="AU55" s="6752"/>
      <c r="AV55" s="6763"/>
      <c r="AW55" s="6120"/>
    </row>
    <row r="56" spans="1:133">
      <c r="A56" s="5719"/>
      <c r="B56" s="1396" t="s">
        <v>1937</v>
      </c>
      <c r="C56" s="1584" t="s">
        <v>1938</v>
      </c>
      <c r="D56" s="1395" t="s">
        <v>1937</v>
      </c>
      <c r="E56" s="1646" t="s">
        <v>1938</v>
      </c>
      <c r="F56" s="1395" t="s">
        <v>1937</v>
      </c>
      <c r="G56" s="1646" t="s">
        <v>1938</v>
      </c>
      <c r="H56" s="1395" t="s">
        <v>1937</v>
      </c>
      <c r="I56" s="1584" t="s">
        <v>1938</v>
      </c>
      <c r="J56" s="1396" t="s">
        <v>1937</v>
      </c>
      <c r="K56" s="1646" t="s">
        <v>1938</v>
      </c>
      <c r="L56" s="1395" t="s">
        <v>1937</v>
      </c>
      <c r="M56" s="1646" t="s">
        <v>1938</v>
      </c>
      <c r="N56" s="1395" t="s">
        <v>1937</v>
      </c>
      <c r="O56" s="1646" t="s">
        <v>1938</v>
      </c>
      <c r="P56" s="1395" t="s">
        <v>1937</v>
      </c>
      <c r="Q56" s="1646" t="s">
        <v>1938</v>
      </c>
      <c r="R56" s="1395" t="s">
        <v>1937</v>
      </c>
      <c r="S56" s="1646" t="s">
        <v>1938</v>
      </c>
      <c r="T56" s="1395" t="s">
        <v>1937</v>
      </c>
      <c r="U56" s="1646" t="s">
        <v>1938</v>
      </c>
      <c r="V56" s="1395" t="s">
        <v>1937</v>
      </c>
      <c r="W56" s="1646" t="s">
        <v>1938</v>
      </c>
      <c r="X56" s="1395" t="s">
        <v>1937</v>
      </c>
      <c r="Y56" s="1646" t="s">
        <v>1938</v>
      </c>
      <c r="Z56" s="1395" t="s">
        <v>1937</v>
      </c>
      <c r="AA56" s="1646" t="s">
        <v>1938</v>
      </c>
      <c r="AB56" s="1395" t="s">
        <v>1937</v>
      </c>
      <c r="AC56" s="1646" t="s">
        <v>1938</v>
      </c>
      <c r="AD56" s="1395" t="s">
        <v>1937</v>
      </c>
      <c r="AE56" s="1646" t="s">
        <v>1938</v>
      </c>
      <c r="AF56" s="1395" t="s">
        <v>1937</v>
      </c>
      <c r="AG56" s="1646" t="s">
        <v>1938</v>
      </c>
      <c r="AH56" s="1395" t="s">
        <v>1937</v>
      </c>
      <c r="AI56" s="1646" t="s">
        <v>1938</v>
      </c>
      <c r="AJ56" s="1395" t="s">
        <v>1937</v>
      </c>
      <c r="AK56" s="1646" t="s">
        <v>1938</v>
      </c>
      <c r="AL56" s="1395" t="s">
        <v>1937</v>
      </c>
      <c r="AM56" s="1646" t="s">
        <v>1938</v>
      </c>
      <c r="AN56" s="1395" t="s">
        <v>1937</v>
      </c>
      <c r="AO56" s="1646" t="s">
        <v>1938</v>
      </c>
      <c r="AP56" s="1395" t="s">
        <v>1937</v>
      </c>
      <c r="AQ56" s="1398" t="s">
        <v>1938</v>
      </c>
      <c r="AR56" s="6134"/>
      <c r="AS56" s="6229"/>
      <c r="AT56" s="1704" t="s">
        <v>483</v>
      </c>
      <c r="AU56" s="1706" t="s">
        <v>484</v>
      </c>
      <c r="AV56" s="6764"/>
      <c r="AW56" s="6116"/>
    </row>
    <row r="57" spans="1:133">
      <c r="A57" s="446" t="s">
        <v>1939</v>
      </c>
      <c r="B57" s="2393">
        <f t="shared" ref="B57:C64" si="68">+N57+P57+R57+T57+V57+X57+Z57+AB57+AD57+AF57+AH57+AJ57+AL57+AN57+AP57</f>
        <v>0</v>
      </c>
      <c r="C57" s="1736">
        <f t="shared" si="68"/>
        <v>0</v>
      </c>
      <c r="D57" s="2880"/>
      <c r="E57" s="2885"/>
      <c r="F57" s="2381"/>
      <c r="G57" s="2885"/>
      <c r="H57" s="2381"/>
      <c r="I57" s="2885"/>
      <c r="J57" s="2381"/>
      <c r="K57" s="2885"/>
      <c r="L57" s="2381"/>
      <c r="M57" s="2382"/>
      <c r="N57" s="423"/>
      <c r="O57" s="3376"/>
      <c r="P57" s="425"/>
      <c r="Q57" s="3376"/>
      <c r="R57" s="425"/>
      <c r="S57" s="3376"/>
      <c r="T57" s="425"/>
      <c r="U57" s="3376"/>
      <c r="V57" s="425"/>
      <c r="W57" s="3376"/>
      <c r="X57" s="425"/>
      <c r="Y57" s="3376"/>
      <c r="Z57" s="425"/>
      <c r="AA57" s="3376"/>
      <c r="AB57" s="425"/>
      <c r="AC57" s="3376"/>
      <c r="AD57" s="425"/>
      <c r="AE57" s="3376"/>
      <c r="AF57" s="425"/>
      <c r="AG57" s="3376"/>
      <c r="AH57" s="425"/>
      <c r="AI57" s="3376"/>
      <c r="AJ57" s="425"/>
      <c r="AK57" s="3376"/>
      <c r="AL57" s="425"/>
      <c r="AM57" s="3376"/>
      <c r="AN57" s="425"/>
      <c r="AO57" s="3376"/>
      <c r="AP57" s="425"/>
      <c r="AQ57" s="426"/>
      <c r="AR57" s="3371"/>
      <c r="AS57" s="426"/>
      <c r="AT57" s="3372"/>
      <c r="AU57" s="426"/>
      <c r="AV57" s="3391"/>
      <c r="AW57" s="2231"/>
      <c r="AX57" s="3373" t="str">
        <f t="shared" ref="AX57:AX64" si="69">$CA57&amp;CB57&amp;CC57&amp;$CD57&amp;CJ57&amp;CK57&amp;CL57&amp;CM57&amp;CN57&amp;CO57&amp;CP57&amp;CQ57&amp;CR57&amp;CS57&amp;CT57&amp;CU57&amp;CV57&amp;CW57&amp;CX57</f>
        <v/>
      </c>
      <c r="CA57" s="418" t="str">
        <f t="shared" ref="CA57:CA61" si="70">IF(B57&lt;&gt;(AS57)," * La suma de las columnas "&amp;AR$10&amp;""&amp;" DEBE SER IGUAL a los Exámenes Procesados. ","")</f>
        <v/>
      </c>
      <c r="CB57" s="418" t="str">
        <f t="shared" si="59"/>
        <v/>
      </c>
      <c r="CC57" s="418" t="str">
        <f t="shared" si="4"/>
        <v/>
      </c>
      <c r="CD57" s="418" t="str">
        <f t="shared" si="5"/>
        <v/>
      </c>
      <c r="CE57" s="3374"/>
      <c r="CF57" s="3374"/>
      <c r="CG57" s="3374"/>
      <c r="CH57" s="3374"/>
      <c r="CI57" s="3374"/>
      <c r="CJ57" s="418" t="str">
        <f t="shared" si="6"/>
        <v/>
      </c>
      <c r="CK57" s="418" t="str">
        <f t="shared" si="7"/>
        <v/>
      </c>
      <c r="CL57" s="418" t="str">
        <f t="shared" si="8"/>
        <v/>
      </c>
      <c r="CM57" s="418" t="str">
        <f t="shared" si="9"/>
        <v/>
      </c>
      <c r="CN57" s="418" t="str">
        <f t="shared" si="10"/>
        <v/>
      </c>
      <c r="CO57" s="418" t="str">
        <f t="shared" si="11"/>
        <v/>
      </c>
      <c r="CP57" s="418" t="str">
        <f t="shared" si="12"/>
        <v/>
      </c>
      <c r="CQ57" s="418" t="str">
        <f t="shared" si="13"/>
        <v/>
      </c>
      <c r="CR57" s="418" t="str">
        <f t="shared" si="14"/>
        <v/>
      </c>
      <c r="CS57" s="418" t="str">
        <f t="shared" si="15"/>
        <v/>
      </c>
      <c r="CT57" s="418" t="str">
        <f t="shared" si="16"/>
        <v/>
      </c>
      <c r="CU57" s="418" t="str">
        <f t="shared" si="17"/>
        <v/>
      </c>
      <c r="CV57" s="418" t="str">
        <f t="shared" si="18"/>
        <v/>
      </c>
      <c r="CW57" s="418" t="str">
        <f t="shared" si="19"/>
        <v/>
      </c>
      <c r="CX57" s="418" t="str">
        <f t="shared" si="20"/>
        <v/>
      </c>
      <c r="DE57" s="417"/>
      <c r="DF57" s="3389">
        <f t="shared" ref="DF57:DF61" si="71">IF(B57&lt;&gt;(AS57),1,0)</f>
        <v>0</v>
      </c>
      <c r="DG57" s="3375">
        <f t="shared" si="22"/>
        <v>0</v>
      </c>
      <c r="DH57" s="3375">
        <f t="shared" si="23"/>
        <v>0</v>
      </c>
      <c r="DI57" s="3375">
        <f t="shared" si="24"/>
        <v>0</v>
      </c>
      <c r="DJ57" s="3374"/>
      <c r="DK57" s="3374"/>
      <c r="DL57" s="3374"/>
      <c r="DM57" s="3374"/>
      <c r="DN57" s="3374"/>
      <c r="DO57" s="3375">
        <f t="shared" si="25"/>
        <v>0</v>
      </c>
      <c r="DP57" s="3375">
        <f t="shared" si="26"/>
        <v>0</v>
      </c>
      <c r="DQ57" s="3375">
        <f t="shared" si="27"/>
        <v>0</v>
      </c>
      <c r="DR57" s="3375">
        <f t="shared" si="28"/>
        <v>0</v>
      </c>
      <c r="DS57" s="3375">
        <f t="shared" si="29"/>
        <v>0</v>
      </c>
      <c r="DT57" s="3375">
        <f t="shared" si="30"/>
        <v>0</v>
      </c>
      <c r="DU57" s="3375">
        <f t="shared" si="31"/>
        <v>0</v>
      </c>
      <c r="DV57" s="3375">
        <f t="shared" si="32"/>
        <v>0</v>
      </c>
      <c r="DW57" s="3375">
        <f t="shared" si="33"/>
        <v>0</v>
      </c>
      <c r="DX57" s="3375">
        <f t="shared" si="34"/>
        <v>0</v>
      </c>
      <c r="DY57" s="3375">
        <f t="shared" si="35"/>
        <v>0</v>
      </c>
      <c r="DZ57" s="3375">
        <f t="shared" si="36"/>
        <v>0</v>
      </c>
      <c r="EA57" s="3375">
        <f t="shared" si="37"/>
        <v>0</v>
      </c>
      <c r="EB57" s="3375">
        <f t="shared" si="38"/>
        <v>0</v>
      </c>
      <c r="EC57" s="3375">
        <f t="shared" si="39"/>
        <v>0</v>
      </c>
    </row>
    <row r="58" spans="1:133">
      <c r="A58" s="420" t="s">
        <v>1940</v>
      </c>
      <c r="B58" s="1737">
        <f t="shared" si="68"/>
        <v>0</v>
      </c>
      <c r="C58" s="1739">
        <f t="shared" si="68"/>
        <v>0</v>
      </c>
      <c r="D58" s="2880"/>
      <c r="E58" s="2885"/>
      <c r="F58" s="2381"/>
      <c r="G58" s="2885"/>
      <c r="H58" s="2381"/>
      <c r="I58" s="2885"/>
      <c r="J58" s="2381"/>
      <c r="K58" s="2885"/>
      <c r="L58" s="2381"/>
      <c r="M58" s="2382"/>
      <c r="N58" s="423"/>
      <c r="O58" s="3376"/>
      <c r="P58" s="425"/>
      <c r="Q58" s="3376"/>
      <c r="R58" s="425"/>
      <c r="S58" s="3376"/>
      <c r="T58" s="425"/>
      <c r="U58" s="3376"/>
      <c r="V58" s="425"/>
      <c r="W58" s="3376"/>
      <c r="X58" s="425"/>
      <c r="Y58" s="3376"/>
      <c r="Z58" s="425"/>
      <c r="AA58" s="3376"/>
      <c r="AB58" s="425"/>
      <c r="AC58" s="3376"/>
      <c r="AD58" s="425"/>
      <c r="AE58" s="3376"/>
      <c r="AF58" s="425"/>
      <c r="AG58" s="3376"/>
      <c r="AH58" s="425"/>
      <c r="AI58" s="3376"/>
      <c r="AJ58" s="425"/>
      <c r="AK58" s="3376"/>
      <c r="AL58" s="425"/>
      <c r="AM58" s="3376"/>
      <c r="AN58" s="425"/>
      <c r="AO58" s="3376"/>
      <c r="AP58" s="425"/>
      <c r="AQ58" s="426"/>
      <c r="AR58" s="3371"/>
      <c r="AS58" s="426"/>
      <c r="AT58" s="3372"/>
      <c r="AU58" s="426"/>
      <c r="AV58" s="3392"/>
      <c r="AW58" s="2231"/>
      <c r="AX58" s="3373" t="str">
        <f t="shared" si="69"/>
        <v/>
      </c>
      <c r="CA58" s="418" t="str">
        <f t="shared" si="70"/>
        <v/>
      </c>
      <c r="CB58" s="418" t="str">
        <f t="shared" si="59"/>
        <v/>
      </c>
      <c r="CC58" s="418" t="str">
        <f t="shared" si="4"/>
        <v/>
      </c>
      <c r="CD58" s="418" t="str">
        <f t="shared" si="5"/>
        <v/>
      </c>
      <c r="CE58" s="3374"/>
      <c r="CF58" s="3374"/>
      <c r="CG58" s="3374"/>
      <c r="CH58" s="3374"/>
      <c r="CI58" s="3374"/>
      <c r="CJ58" s="418" t="str">
        <f t="shared" si="6"/>
        <v/>
      </c>
      <c r="CK58" s="418" t="str">
        <f t="shared" si="7"/>
        <v/>
      </c>
      <c r="CL58" s="418" t="str">
        <f t="shared" si="8"/>
        <v/>
      </c>
      <c r="CM58" s="418" t="str">
        <f t="shared" si="9"/>
        <v/>
      </c>
      <c r="CN58" s="418" t="str">
        <f t="shared" si="10"/>
        <v/>
      </c>
      <c r="CO58" s="418" t="str">
        <f t="shared" si="11"/>
        <v/>
      </c>
      <c r="CP58" s="418" t="str">
        <f t="shared" si="12"/>
        <v/>
      </c>
      <c r="CQ58" s="418" t="str">
        <f t="shared" si="13"/>
        <v/>
      </c>
      <c r="CR58" s="418" t="str">
        <f t="shared" si="14"/>
        <v/>
      </c>
      <c r="CS58" s="418" t="str">
        <f t="shared" si="15"/>
        <v/>
      </c>
      <c r="CT58" s="418" t="str">
        <f t="shared" si="16"/>
        <v/>
      </c>
      <c r="CU58" s="418" t="str">
        <f t="shared" si="17"/>
        <v/>
      </c>
      <c r="CV58" s="418" t="str">
        <f t="shared" si="18"/>
        <v/>
      </c>
      <c r="CW58" s="418" t="str">
        <f t="shared" si="19"/>
        <v/>
      </c>
      <c r="CX58" s="418" t="str">
        <f t="shared" si="20"/>
        <v/>
      </c>
      <c r="DE58" s="417"/>
      <c r="DF58" s="3389">
        <f t="shared" si="71"/>
        <v>0</v>
      </c>
      <c r="DG58" s="3375">
        <f t="shared" si="22"/>
        <v>0</v>
      </c>
      <c r="DH58" s="3375">
        <f t="shared" si="23"/>
        <v>0</v>
      </c>
      <c r="DI58" s="3375">
        <f t="shared" si="24"/>
        <v>0</v>
      </c>
      <c r="DJ58" s="3374"/>
      <c r="DK58" s="3374"/>
      <c r="DL58" s="3374"/>
      <c r="DM58" s="3374"/>
      <c r="DN58" s="3374"/>
      <c r="DO58" s="3375">
        <f t="shared" si="25"/>
        <v>0</v>
      </c>
      <c r="DP58" s="3375">
        <f t="shared" si="26"/>
        <v>0</v>
      </c>
      <c r="DQ58" s="3375">
        <f t="shared" si="27"/>
        <v>0</v>
      </c>
      <c r="DR58" s="3375">
        <f t="shared" si="28"/>
        <v>0</v>
      </c>
      <c r="DS58" s="3375">
        <f t="shared" si="29"/>
        <v>0</v>
      </c>
      <c r="DT58" s="3375">
        <f t="shared" si="30"/>
        <v>0</v>
      </c>
      <c r="DU58" s="3375">
        <f t="shared" si="31"/>
        <v>0</v>
      </c>
      <c r="DV58" s="3375">
        <f t="shared" si="32"/>
        <v>0</v>
      </c>
      <c r="DW58" s="3375">
        <f t="shared" si="33"/>
        <v>0</v>
      </c>
      <c r="DX58" s="3375">
        <f t="shared" si="34"/>
        <v>0</v>
      </c>
      <c r="DY58" s="3375">
        <f t="shared" si="35"/>
        <v>0</v>
      </c>
      <c r="DZ58" s="3375">
        <f t="shared" si="36"/>
        <v>0</v>
      </c>
      <c r="EA58" s="3375">
        <f t="shared" si="37"/>
        <v>0</v>
      </c>
      <c r="EB58" s="3375">
        <f t="shared" si="38"/>
        <v>0</v>
      </c>
      <c r="EC58" s="3375">
        <f t="shared" si="39"/>
        <v>0</v>
      </c>
    </row>
    <row r="59" spans="1:133">
      <c r="A59" s="420" t="s">
        <v>1941</v>
      </c>
      <c r="B59" s="1737">
        <f t="shared" si="68"/>
        <v>0</v>
      </c>
      <c r="C59" s="1739">
        <f t="shared" si="68"/>
        <v>0</v>
      </c>
      <c r="D59" s="2880"/>
      <c r="E59" s="2885"/>
      <c r="F59" s="2381"/>
      <c r="G59" s="2885"/>
      <c r="H59" s="2381"/>
      <c r="I59" s="2885"/>
      <c r="J59" s="2381"/>
      <c r="K59" s="2885"/>
      <c r="L59" s="2381"/>
      <c r="M59" s="2382"/>
      <c r="N59" s="423"/>
      <c r="O59" s="3376"/>
      <c r="P59" s="425"/>
      <c r="Q59" s="3376"/>
      <c r="R59" s="425"/>
      <c r="S59" s="3376"/>
      <c r="T59" s="425"/>
      <c r="U59" s="3376"/>
      <c r="V59" s="425"/>
      <c r="W59" s="3376"/>
      <c r="X59" s="425"/>
      <c r="Y59" s="3376"/>
      <c r="Z59" s="425"/>
      <c r="AA59" s="3376"/>
      <c r="AB59" s="425"/>
      <c r="AC59" s="3376"/>
      <c r="AD59" s="425"/>
      <c r="AE59" s="3376"/>
      <c r="AF59" s="425"/>
      <c r="AG59" s="3376"/>
      <c r="AH59" s="425"/>
      <c r="AI59" s="3376"/>
      <c r="AJ59" s="425"/>
      <c r="AK59" s="3376"/>
      <c r="AL59" s="425"/>
      <c r="AM59" s="3376"/>
      <c r="AN59" s="425"/>
      <c r="AO59" s="3376"/>
      <c r="AP59" s="425"/>
      <c r="AQ59" s="426"/>
      <c r="AR59" s="3371"/>
      <c r="AS59" s="426"/>
      <c r="AT59" s="3372"/>
      <c r="AU59" s="426"/>
      <c r="AV59" s="3392"/>
      <c r="AW59" s="2231"/>
      <c r="AX59" s="3373" t="str">
        <f t="shared" si="69"/>
        <v/>
      </c>
      <c r="CA59" s="418" t="str">
        <f t="shared" si="70"/>
        <v/>
      </c>
      <c r="CB59" s="418" t="str">
        <f t="shared" si="59"/>
        <v/>
      </c>
      <c r="CC59" s="418" t="str">
        <f t="shared" si="4"/>
        <v/>
      </c>
      <c r="CD59" s="418" t="str">
        <f t="shared" si="5"/>
        <v/>
      </c>
      <c r="CE59" s="3374"/>
      <c r="CF59" s="3374"/>
      <c r="CG59" s="3374"/>
      <c r="CH59" s="3374"/>
      <c r="CI59" s="3374"/>
      <c r="CJ59" s="418" t="str">
        <f t="shared" si="6"/>
        <v/>
      </c>
      <c r="CK59" s="418" t="str">
        <f t="shared" si="7"/>
        <v/>
      </c>
      <c r="CL59" s="418" t="str">
        <f t="shared" si="8"/>
        <v/>
      </c>
      <c r="CM59" s="418" t="str">
        <f t="shared" si="9"/>
        <v/>
      </c>
      <c r="CN59" s="418" t="str">
        <f t="shared" si="10"/>
        <v/>
      </c>
      <c r="CO59" s="418" t="str">
        <f t="shared" si="11"/>
        <v/>
      </c>
      <c r="CP59" s="418" t="str">
        <f t="shared" si="12"/>
        <v/>
      </c>
      <c r="CQ59" s="418" t="str">
        <f t="shared" si="13"/>
        <v/>
      </c>
      <c r="CR59" s="418" t="str">
        <f t="shared" si="14"/>
        <v/>
      </c>
      <c r="CS59" s="418" t="str">
        <f t="shared" si="15"/>
        <v/>
      </c>
      <c r="CT59" s="418" t="str">
        <f t="shared" si="16"/>
        <v/>
      </c>
      <c r="CU59" s="418" t="str">
        <f t="shared" si="17"/>
        <v/>
      </c>
      <c r="CV59" s="418" t="str">
        <f t="shared" si="18"/>
        <v/>
      </c>
      <c r="CW59" s="418" t="str">
        <f t="shared" si="19"/>
        <v/>
      </c>
      <c r="CX59" s="418" t="str">
        <f t="shared" si="20"/>
        <v/>
      </c>
      <c r="DE59" s="417"/>
      <c r="DF59" s="3389">
        <f t="shared" si="71"/>
        <v>0</v>
      </c>
      <c r="DG59" s="3375">
        <f t="shared" si="22"/>
        <v>0</v>
      </c>
      <c r="DH59" s="3375">
        <f t="shared" si="23"/>
        <v>0</v>
      </c>
      <c r="DI59" s="3375">
        <f t="shared" si="24"/>
        <v>0</v>
      </c>
      <c r="DJ59" s="3374"/>
      <c r="DK59" s="3374"/>
      <c r="DL59" s="3374"/>
      <c r="DM59" s="3374"/>
      <c r="DN59" s="3374"/>
      <c r="DO59" s="3375">
        <f t="shared" si="25"/>
        <v>0</v>
      </c>
      <c r="DP59" s="3375">
        <f t="shared" si="26"/>
        <v>0</v>
      </c>
      <c r="DQ59" s="3375">
        <f t="shared" si="27"/>
        <v>0</v>
      </c>
      <c r="DR59" s="3375">
        <f t="shared" si="28"/>
        <v>0</v>
      </c>
      <c r="DS59" s="3375">
        <f t="shared" si="29"/>
        <v>0</v>
      </c>
      <c r="DT59" s="3375">
        <f t="shared" si="30"/>
        <v>0</v>
      </c>
      <c r="DU59" s="3375">
        <f t="shared" si="31"/>
        <v>0</v>
      </c>
      <c r="DV59" s="3375">
        <f t="shared" si="32"/>
        <v>0</v>
      </c>
      <c r="DW59" s="3375">
        <f t="shared" si="33"/>
        <v>0</v>
      </c>
      <c r="DX59" s="3375">
        <f t="shared" si="34"/>
        <v>0</v>
      </c>
      <c r="DY59" s="3375">
        <f t="shared" si="35"/>
        <v>0</v>
      </c>
      <c r="DZ59" s="3375">
        <f t="shared" si="36"/>
        <v>0</v>
      </c>
      <c r="EA59" s="3375">
        <f t="shared" si="37"/>
        <v>0</v>
      </c>
      <c r="EB59" s="3375">
        <f t="shared" si="38"/>
        <v>0</v>
      </c>
      <c r="EC59" s="3375">
        <f t="shared" si="39"/>
        <v>0</v>
      </c>
    </row>
    <row r="60" spans="1:133">
      <c r="A60" s="420" t="s">
        <v>1942</v>
      </c>
      <c r="B60" s="1737">
        <f t="shared" si="68"/>
        <v>0</v>
      </c>
      <c r="C60" s="1739">
        <f t="shared" si="68"/>
        <v>0</v>
      </c>
      <c r="D60" s="2880"/>
      <c r="E60" s="2885"/>
      <c r="F60" s="2381"/>
      <c r="G60" s="2885"/>
      <c r="H60" s="2381"/>
      <c r="I60" s="2885"/>
      <c r="J60" s="2381"/>
      <c r="K60" s="2885"/>
      <c r="L60" s="2381"/>
      <c r="M60" s="2382"/>
      <c r="N60" s="423"/>
      <c r="O60" s="3376"/>
      <c r="P60" s="425"/>
      <c r="Q60" s="3376"/>
      <c r="R60" s="425"/>
      <c r="S60" s="3376"/>
      <c r="T60" s="425"/>
      <c r="U60" s="3376"/>
      <c r="V60" s="425"/>
      <c r="W60" s="3376"/>
      <c r="X60" s="425"/>
      <c r="Y60" s="3376"/>
      <c r="Z60" s="425"/>
      <c r="AA60" s="3376"/>
      <c r="AB60" s="425"/>
      <c r="AC60" s="3376"/>
      <c r="AD60" s="425"/>
      <c r="AE60" s="3376"/>
      <c r="AF60" s="425"/>
      <c r="AG60" s="3376"/>
      <c r="AH60" s="425"/>
      <c r="AI60" s="3376"/>
      <c r="AJ60" s="425"/>
      <c r="AK60" s="3376"/>
      <c r="AL60" s="425"/>
      <c r="AM60" s="3376"/>
      <c r="AN60" s="425"/>
      <c r="AO60" s="3376"/>
      <c r="AP60" s="425"/>
      <c r="AQ60" s="426"/>
      <c r="AR60" s="3371"/>
      <c r="AS60" s="426"/>
      <c r="AT60" s="3372"/>
      <c r="AU60" s="426"/>
      <c r="AV60" s="3392"/>
      <c r="AW60" s="2231"/>
      <c r="AX60" s="3373" t="str">
        <f t="shared" si="69"/>
        <v/>
      </c>
      <c r="CA60" s="418" t="str">
        <f t="shared" si="70"/>
        <v/>
      </c>
      <c r="CB60" s="418" t="str">
        <f t="shared" si="59"/>
        <v/>
      </c>
      <c r="CC60" s="418" t="str">
        <f t="shared" si="4"/>
        <v/>
      </c>
      <c r="CD60" s="418" t="str">
        <f t="shared" si="5"/>
        <v/>
      </c>
      <c r="CE60" s="3374"/>
      <c r="CF60" s="3374"/>
      <c r="CG60" s="3374"/>
      <c r="CH60" s="3374"/>
      <c r="CI60" s="3374"/>
      <c r="CJ60" s="418" t="str">
        <f t="shared" si="6"/>
        <v/>
      </c>
      <c r="CK60" s="418" t="str">
        <f t="shared" si="7"/>
        <v/>
      </c>
      <c r="CL60" s="418" t="str">
        <f t="shared" si="8"/>
        <v/>
      </c>
      <c r="CM60" s="418" t="str">
        <f t="shared" si="9"/>
        <v/>
      </c>
      <c r="CN60" s="418" t="str">
        <f t="shared" si="10"/>
        <v/>
      </c>
      <c r="CO60" s="418" t="str">
        <f t="shared" si="11"/>
        <v/>
      </c>
      <c r="CP60" s="418" t="str">
        <f t="shared" si="12"/>
        <v/>
      </c>
      <c r="CQ60" s="418" t="str">
        <f t="shared" si="13"/>
        <v/>
      </c>
      <c r="CR60" s="418" t="str">
        <f t="shared" si="14"/>
        <v/>
      </c>
      <c r="CS60" s="418" t="str">
        <f t="shared" si="15"/>
        <v/>
      </c>
      <c r="CT60" s="418" t="str">
        <f t="shared" si="16"/>
        <v/>
      </c>
      <c r="CU60" s="418" t="str">
        <f t="shared" si="17"/>
        <v/>
      </c>
      <c r="CV60" s="418" t="str">
        <f t="shared" si="18"/>
        <v/>
      </c>
      <c r="CW60" s="418" t="str">
        <f t="shared" si="19"/>
        <v/>
      </c>
      <c r="CX60" s="418" t="str">
        <f t="shared" si="20"/>
        <v/>
      </c>
      <c r="DE60" s="417"/>
      <c r="DF60" s="3389">
        <f t="shared" si="71"/>
        <v>0</v>
      </c>
      <c r="DG60" s="3375">
        <f t="shared" si="22"/>
        <v>0</v>
      </c>
      <c r="DH60" s="3375">
        <f t="shared" si="23"/>
        <v>0</v>
      </c>
      <c r="DI60" s="3375">
        <f t="shared" si="24"/>
        <v>0</v>
      </c>
      <c r="DJ60" s="3374"/>
      <c r="DK60" s="3374"/>
      <c r="DL60" s="3374"/>
      <c r="DM60" s="3374"/>
      <c r="DN60" s="3374"/>
      <c r="DO60" s="3375">
        <f t="shared" si="25"/>
        <v>0</v>
      </c>
      <c r="DP60" s="3375">
        <f t="shared" si="26"/>
        <v>0</v>
      </c>
      <c r="DQ60" s="3375">
        <f t="shared" si="27"/>
        <v>0</v>
      </c>
      <c r="DR60" s="3375">
        <f t="shared" si="28"/>
        <v>0</v>
      </c>
      <c r="DS60" s="3375">
        <f t="shared" si="29"/>
        <v>0</v>
      </c>
      <c r="DT60" s="3375">
        <f t="shared" si="30"/>
        <v>0</v>
      </c>
      <c r="DU60" s="3375">
        <f t="shared" si="31"/>
        <v>0</v>
      </c>
      <c r="DV60" s="3375">
        <f t="shared" si="32"/>
        <v>0</v>
      </c>
      <c r="DW60" s="3375">
        <f t="shared" si="33"/>
        <v>0</v>
      </c>
      <c r="DX60" s="3375">
        <f t="shared" si="34"/>
        <v>0</v>
      </c>
      <c r="DY60" s="3375">
        <f t="shared" si="35"/>
        <v>0</v>
      </c>
      <c r="DZ60" s="3375">
        <f t="shared" si="36"/>
        <v>0</v>
      </c>
      <c r="EA60" s="3375">
        <f t="shared" si="37"/>
        <v>0</v>
      </c>
      <c r="EB60" s="3375">
        <f t="shared" si="38"/>
        <v>0</v>
      </c>
      <c r="EC60" s="3375">
        <f t="shared" si="39"/>
        <v>0</v>
      </c>
    </row>
    <row r="61" spans="1:133">
      <c r="A61" s="2237" t="s">
        <v>1943</v>
      </c>
      <c r="B61" s="1737">
        <f t="shared" si="68"/>
        <v>0</v>
      </c>
      <c r="C61" s="1739">
        <f t="shared" si="68"/>
        <v>0</v>
      </c>
      <c r="D61" s="2880"/>
      <c r="E61" s="2885"/>
      <c r="F61" s="2381"/>
      <c r="G61" s="2885"/>
      <c r="H61" s="2381"/>
      <c r="I61" s="2885"/>
      <c r="J61" s="2381"/>
      <c r="K61" s="2885"/>
      <c r="L61" s="2381"/>
      <c r="M61" s="2382"/>
      <c r="N61" s="423"/>
      <c r="O61" s="3376"/>
      <c r="P61" s="425"/>
      <c r="Q61" s="3376"/>
      <c r="R61" s="425"/>
      <c r="S61" s="3376"/>
      <c r="T61" s="425"/>
      <c r="U61" s="3376"/>
      <c r="V61" s="425"/>
      <c r="W61" s="3376"/>
      <c r="X61" s="425"/>
      <c r="Y61" s="3376"/>
      <c r="Z61" s="425"/>
      <c r="AA61" s="3376"/>
      <c r="AB61" s="425"/>
      <c r="AC61" s="3376"/>
      <c r="AD61" s="425"/>
      <c r="AE61" s="3376"/>
      <c r="AF61" s="425"/>
      <c r="AG61" s="3376"/>
      <c r="AH61" s="425"/>
      <c r="AI61" s="3376"/>
      <c r="AJ61" s="425"/>
      <c r="AK61" s="3376"/>
      <c r="AL61" s="425"/>
      <c r="AM61" s="3376"/>
      <c r="AN61" s="425"/>
      <c r="AO61" s="3376"/>
      <c r="AP61" s="425"/>
      <c r="AQ61" s="426"/>
      <c r="AR61" s="3371"/>
      <c r="AS61" s="426"/>
      <c r="AT61" s="3372"/>
      <c r="AU61" s="426"/>
      <c r="AV61" s="3392"/>
      <c r="AW61" s="2231"/>
      <c r="AX61" s="3373" t="str">
        <f t="shared" si="69"/>
        <v/>
      </c>
      <c r="CA61" s="418" t="str">
        <f t="shared" si="70"/>
        <v/>
      </c>
      <c r="CB61" s="418" t="str">
        <f t="shared" si="59"/>
        <v/>
      </c>
      <c r="CC61" s="418" t="str">
        <f t="shared" si="4"/>
        <v/>
      </c>
      <c r="CD61" s="418" t="str">
        <f t="shared" si="5"/>
        <v/>
      </c>
      <c r="CE61" s="3374"/>
      <c r="CF61" s="3374"/>
      <c r="CG61" s="3374"/>
      <c r="CH61" s="3374"/>
      <c r="CI61" s="3374"/>
      <c r="CJ61" s="418" t="str">
        <f t="shared" si="6"/>
        <v/>
      </c>
      <c r="CK61" s="418" t="str">
        <f t="shared" si="7"/>
        <v/>
      </c>
      <c r="CL61" s="418" t="str">
        <f t="shared" si="8"/>
        <v/>
      </c>
      <c r="CM61" s="418" t="str">
        <f t="shared" si="9"/>
        <v/>
      </c>
      <c r="CN61" s="418" t="str">
        <f t="shared" si="10"/>
        <v/>
      </c>
      <c r="CO61" s="418" t="str">
        <f t="shared" si="11"/>
        <v/>
      </c>
      <c r="CP61" s="418" t="str">
        <f t="shared" si="12"/>
        <v/>
      </c>
      <c r="CQ61" s="418" t="str">
        <f t="shared" si="13"/>
        <v/>
      </c>
      <c r="CR61" s="418" t="str">
        <f t="shared" si="14"/>
        <v/>
      </c>
      <c r="CS61" s="418" t="str">
        <f t="shared" si="15"/>
        <v/>
      </c>
      <c r="CT61" s="418" t="str">
        <f t="shared" si="16"/>
        <v/>
      </c>
      <c r="CU61" s="418" t="str">
        <f t="shared" si="17"/>
        <v/>
      </c>
      <c r="CV61" s="418" t="str">
        <f t="shared" si="18"/>
        <v/>
      </c>
      <c r="CW61" s="418" t="str">
        <f t="shared" si="19"/>
        <v/>
      </c>
      <c r="CX61" s="418" t="str">
        <f t="shared" si="20"/>
        <v/>
      </c>
      <c r="DE61" s="417"/>
      <c r="DF61" s="3389">
        <f t="shared" si="71"/>
        <v>0</v>
      </c>
      <c r="DG61" s="3375">
        <f t="shared" si="22"/>
        <v>0</v>
      </c>
      <c r="DH61" s="3375">
        <f t="shared" si="23"/>
        <v>0</v>
      </c>
      <c r="DI61" s="3375">
        <f t="shared" si="24"/>
        <v>0</v>
      </c>
      <c r="DJ61" s="3374"/>
      <c r="DK61" s="3374"/>
      <c r="DL61" s="3374"/>
      <c r="DM61" s="3374"/>
      <c r="DN61" s="3374"/>
      <c r="DO61" s="3375">
        <f t="shared" si="25"/>
        <v>0</v>
      </c>
      <c r="DP61" s="3375">
        <f t="shared" si="26"/>
        <v>0</v>
      </c>
      <c r="DQ61" s="3375">
        <f t="shared" si="27"/>
        <v>0</v>
      </c>
      <c r="DR61" s="3375">
        <f t="shared" si="28"/>
        <v>0</v>
      </c>
      <c r="DS61" s="3375">
        <f t="shared" si="29"/>
        <v>0</v>
      </c>
      <c r="DT61" s="3375">
        <f t="shared" si="30"/>
        <v>0</v>
      </c>
      <c r="DU61" s="3375">
        <f t="shared" si="31"/>
        <v>0</v>
      </c>
      <c r="DV61" s="3375">
        <f t="shared" si="32"/>
        <v>0</v>
      </c>
      <c r="DW61" s="3375">
        <f t="shared" si="33"/>
        <v>0</v>
      </c>
      <c r="DX61" s="3375">
        <f t="shared" si="34"/>
        <v>0</v>
      </c>
      <c r="DY61" s="3375">
        <f t="shared" si="35"/>
        <v>0</v>
      </c>
      <c r="DZ61" s="3375">
        <f t="shared" si="36"/>
        <v>0</v>
      </c>
      <c r="EA61" s="3375">
        <f t="shared" si="37"/>
        <v>0</v>
      </c>
      <c r="EB61" s="3375">
        <f t="shared" si="38"/>
        <v>0</v>
      </c>
      <c r="EC61" s="3375">
        <f t="shared" si="39"/>
        <v>0</v>
      </c>
    </row>
    <row r="62" spans="1:133">
      <c r="A62" s="2237" t="s">
        <v>1944</v>
      </c>
      <c r="B62" s="1737">
        <f t="shared" si="68"/>
        <v>0</v>
      </c>
      <c r="C62" s="1739">
        <f t="shared" si="68"/>
        <v>0</v>
      </c>
      <c r="D62" s="2880"/>
      <c r="E62" s="2885"/>
      <c r="F62" s="2381"/>
      <c r="G62" s="2885"/>
      <c r="H62" s="2381"/>
      <c r="I62" s="2885"/>
      <c r="J62" s="2381"/>
      <c r="K62" s="2885"/>
      <c r="L62" s="2381"/>
      <c r="M62" s="2382"/>
      <c r="N62" s="423"/>
      <c r="O62" s="3376"/>
      <c r="P62" s="425"/>
      <c r="Q62" s="3376"/>
      <c r="R62" s="425"/>
      <c r="S62" s="3376"/>
      <c r="T62" s="425"/>
      <c r="U62" s="3376"/>
      <c r="V62" s="425"/>
      <c r="W62" s="3376"/>
      <c r="X62" s="425"/>
      <c r="Y62" s="3376"/>
      <c r="Z62" s="425"/>
      <c r="AA62" s="3376"/>
      <c r="AB62" s="425"/>
      <c r="AC62" s="3376"/>
      <c r="AD62" s="425"/>
      <c r="AE62" s="3376"/>
      <c r="AF62" s="425"/>
      <c r="AG62" s="3376"/>
      <c r="AH62" s="425"/>
      <c r="AI62" s="3376"/>
      <c r="AJ62" s="425"/>
      <c r="AK62" s="3376"/>
      <c r="AL62" s="425"/>
      <c r="AM62" s="3376"/>
      <c r="AN62" s="425"/>
      <c r="AO62" s="3376"/>
      <c r="AP62" s="425"/>
      <c r="AQ62" s="426"/>
      <c r="AR62" s="423"/>
      <c r="AS62" s="426"/>
      <c r="AT62" s="3372"/>
      <c r="AU62" s="426"/>
      <c r="AV62" s="3392"/>
      <c r="AW62" s="2231"/>
      <c r="AX62" s="3373" t="str">
        <f t="shared" si="69"/>
        <v/>
      </c>
      <c r="CA62" s="418" t="str">
        <f>IF(B62&lt;&gt;(AS62+AR62)," * La suma de las columnas "&amp;AR$10&amp;""&amp;" DEBE SER IGUAL a los Exámenes Procesados. ","")</f>
        <v/>
      </c>
      <c r="CB62" s="418" t="str">
        <f t="shared" si="59"/>
        <v/>
      </c>
      <c r="CC62" s="418" t="str">
        <f t="shared" si="4"/>
        <v/>
      </c>
      <c r="CD62" s="418" t="str">
        <f t="shared" si="5"/>
        <v/>
      </c>
      <c r="CE62" s="3374"/>
      <c r="CF62" s="3374"/>
      <c r="CG62" s="3374"/>
      <c r="CH62" s="3374"/>
      <c r="CI62" s="3374"/>
      <c r="CJ62" s="418" t="str">
        <f t="shared" si="6"/>
        <v/>
      </c>
      <c r="CK62" s="418" t="str">
        <f t="shared" si="7"/>
        <v/>
      </c>
      <c r="CL62" s="418" t="str">
        <f t="shared" si="8"/>
        <v/>
      </c>
      <c r="CM62" s="418" t="str">
        <f t="shared" si="9"/>
        <v/>
      </c>
      <c r="CN62" s="418" t="str">
        <f t="shared" si="10"/>
        <v/>
      </c>
      <c r="CO62" s="418" t="str">
        <f t="shared" si="11"/>
        <v/>
      </c>
      <c r="CP62" s="418" t="str">
        <f t="shared" si="12"/>
        <v/>
      </c>
      <c r="CQ62" s="418" t="str">
        <f t="shared" si="13"/>
        <v/>
      </c>
      <c r="CR62" s="418" t="str">
        <f t="shared" si="14"/>
        <v/>
      </c>
      <c r="CS62" s="418" t="str">
        <f t="shared" si="15"/>
        <v/>
      </c>
      <c r="CT62" s="418" t="str">
        <f t="shared" si="16"/>
        <v/>
      </c>
      <c r="CU62" s="418" t="str">
        <f t="shared" si="17"/>
        <v/>
      </c>
      <c r="CV62" s="418" t="str">
        <f t="shared" si="18"/>
        <v/>
      </c>
      <c r="CW62" s="418" t="str">
        <f t="shared" si="19"/>
        <v/>
      </c>
      <c r="CX62" s="418" t="str">
        <f t="shared" si="20"/>
        <v/>
      </c>
      <c r="DE62" s="417"/>
      <c r="DF62" s="3389">
        <f>IF(B62&lt;&gt;(AS62+AR62),1,0)</f>
        <v>0</v>
      </c>
      <c r="DG62" s="3375">
        <f t="shared" si="22"/>
        <v>0</v>
      </c>
      <c r="DH62" s="3375">
        <f t="shared" si="23"/>
        <v>0</v>
      </c>
      <c r="DI62" s="3375">
        <f t="shared" si="24"/>
        <v>0</v>
      </c>
      <c r="DJ62" s="3374"/>
      <c r="DK62" s="3374"/>
      <c r="DL62" s="3374"/>
      <c r="DM62" s="3374"/>
      <c r="DN62" s="3374"/>
      <c r="DO62" s="3375">
        <f t="shared" si="25"/>
        <v>0</v>
      </c>
      <c r="DP62" s="3375">
        <f t="shared" si="26"/>
        <v>0</v>
      </c>
      <c r="DQ62" s="3375">
        <f t="shared" si="27"/>
        <v>0</v>
      </c>
      <c r="DR62" s="3375">
        <f t="shared" si="28"/>
        <v>0</v>
      </c>
      <c r="DS62" s="3375">
        <f t="shared" si="29"/>
        <v>0</v>
      </c>
      <c r="DT62" s="3375">
        <f t="shared" si="30"/>
        <v>0</v>
      </c>
      <c r="DU62" s="3375">
        <f t="shared" si="31"/>
        <v>0</v>
      </c>
      <c r="DV62" s="3375">
        <f t="shared" si="32"/>
        <v>0</v>
      </c>
      <c r="DW62" s="3375">
        <f t="shared" si="33"/>
        <v>0</v>
      </c>
      <c r="DX62" s="3375">
        <f t="shared" si="34"/>
        <v>0</v>
      </c>
      <c r="DY62" s="3375">
        <f t="shared" si="35"/>
        <v>0</v>
      </c>
      <c r="DZ62" s="3375">
        <f t="shared" si="36"/>
        <v>0</v>
      </c>
      <c r="EA62" s="3375">
        <f t="shared" si="37"/>
        <v>0</v>
      </c>
      <c r="EB62" s="3375">
        <f t="shared" si="38"/>
        <v>0</v>
      </c>
      <c r="EC62" s="3375">
        <f t="shared" si="39"/>
        <v>0</v>
      </c>
    </row>
    <row r="63" spans="1:133">
      <c r="A63" s="2237" t="s">
        <v>1945</v>
      </c>
      <c r="B63" s="1737">
        <f t="shared" si="68"/>
        <v>0</v>
      </c>
      <c r="C63" s="1739">
        <f t="shared" si="68"/>
        <v>0</v>
      </c>
      <c r="D63" s="2880"/>
      <c r="E63" s="2885"/>
      <c r="F63" s="2381"/>
      <c r="G63" s="2885"/>
      <c r="H63" s="2381"/>
      <c r="I63" s="2885"/>
      <c r="J63" s="2381"/>
      <c r="K63" s="2885"/>
      <c r="L63" s="2381"/>
      <c r="M63" s="2382"/>
      <c r="N63" s="423"/>
      <c r="O63" s="3376"/>
      <c r="P63" s="425"/>
      <c r="Q63" s="3376"/>
      <c r="R63" s="425"/>
      <c r="S63" s="3376"/>
      <c r="T63" s="425"/>
      <c r="U63" s="3376"/>
      <c r="V63" s="425"/>
      <c r="W63" s="3376"/>
      <c r="X63" s="425"/>
      <c r="Y63" s="3376"/>
      <c r="Z63" s="425"/>
      <c r="AA63" s="3376"/>
      <c r="AB63" s="425"/>
      <c r="AC63" s="3376"/>
      <c r="AD63" s="425"/>
      <c r="AE63" s="3376"/>
      <c r="AF63" s="425"/>
      <c r="AG63" s="3376"/>
      <c r="AH63" s="425"/>
      <c r="AI63" s="3376"/>
      <c r="AJ63" s="425"/>
      <c r="AK63" s="3376"/>
      <c r="AL63" s="425"/>
      <c r="AM63" s="3376"/>
      <c r="AN63" s="425"/>
      <c r="AO63" s="3376"/>
      <c r="AP63" s="425"/>
      <c r="AQ63" s="426"/>
      <c r="AR63" s="3371"/>
      <c r="AS63" s="426"/>
      <c r="AT63" s="3372"/>
      <c r="AU63" s="426"/>
      <c r="AV63" s="3392"/>
      <c r="AW63" s="2231"/>
      <c r="AX63" s="3373" t="str">
        <f t="shared" si="69"/>
        <v/>
      </c>
      <c r="CA63" s="418" t="str">
        <f t="shared" ref="CA63:CA65" si="72">IF(B63&lt;&gt;(AS63)," * La suma de las columnas "&amp;AR$10&amp;""&amp;" DEBE SER IGUAL a los Exámenes Procesados. ","")</f>
        <v/>
      </c>
      <c r="CB63" s="418" t="str">
        <f t="shared" si="59"/>
        <v/>
      </c>
      <c r="CC63" s="418" t="str">
        <f t="shared" si="4"/>
        <v/>
      </c>
      <c r="CD63" s="418" t="str">
        <f t="shared" si="5"/>
        <v/>
      </c>
      <c r="CE63" s="3374"/>
      <c r="CF63" s="3374"/>
      <c r="CG63" s="3374"/>
      <c r="CH63" s="3374"/>
      <c r="CI63" s="3374"/>
      <c r="CJ63" s="418" t="str">
        <f t="shared" si="6"/>
        <v/>
      </c>
      <c r="CK63" s="418" t="str">
        <f t="shared" si="7"/>
        <v/>
      </c>
      <c r="CL63" s="418" t="str">
        <f t="shared" si="8"/>
        <v/>
      </c>
      <c r="CM63" s="418" t="str">
        <f t="shared" si="9"/>
        <v/>
      </c>
      <c r="CN63" s="418" t="str">
        <f t="shared" si="10"/>
        <v/>
      </c>
      <c r="CO63" s="418" t="str">
        <f t="shared" si="11"/>
        <v/>
      </c>
      <c r="CP63" s="418" t="str">
        <f t="shared" si="12"/>
        <v/>
      </c>
      <c r="CQ63" s="418" t="str">
        <f t="shared" si="13"/>
        <v/>
      </c>
      <c r="CR63" s="418" t="str">
        <f t="shared" si="14"/>
        <v/>
      </c>
      <c r="CS63" s="418" t="str">
        <f t="shared" si="15"/>
        <v/>
      </c>
      <c r="CT63" s="418" t="str">
        <f t="shared" si="16"/>
        <v/>
      </c>
      <c r="CU63" s="418" t="str">
        <f t="shared" si="17"/>
        <v/>
      </c>
      <c r="CV63" s="418" t="str">
        <f t="shared" si="18"/>
        <v/>
      </c>
      <c r="CW63" s="418" t="str">
        <f t="shared" si="19"/>
        <v/>
      </c>
      <c r="CX63" s="418" t="str">
        <f t="shared" si="20"/>
        <v/>
      </c>
      <c r="DE63" s="417"/>
      <c r="DF63" s="3389">
        <f t="shared" ref="DF63:DF65" si="73">IF(B63&lt;&gt;(AS63),1,0)</f>
        <v>0</v>
      </c>
      <c r="DG63" s="3375">
        <f t="shared" si="22"/>
        <v>0</v>
      </c>
      <c r="DH63" s="3375">
        <f t="shared" si="23"/>
        <v>0</v>
      </c>
      <c r="DI63" s="3375">
        <f t="shared" si="24"/>
        <v>0</v>
      </c>
      <c r="DJ63" s="3374"/>
      <c r="DK63" s="3374"/>
      <c r="DL63" s="3374"/>
      <c r="DM63" s="3374"/>
      <c r="DN63" s="3374"/>
      <c r="DO63" s="3375">
        <f t="shared" si="25"/>
        <v>0</v>
      </c>
      <c r="DP63" s="3375">
        <f t="shared" si="26"/>
        <v>0</v>
      </c>
      <c r="DQ63" s="3375">
        <f t="shared" si="27"/>
        <v>0</v>
      </c>
      <c r="DR63" s="3375">
        <f t="shared" si="28"/>
        <v>0</v>
      </c>
      <c r="DS63" s="3375">
        <f t="shared" si="29"/>
        <v>0</v>
      </c>
      <c r="DT63" s="3375">
        <f t="shared" si="30"/>
        <v>0</v>
      </c>
      <c r="DU63" s="3375">
        <f t="shared" si="31"/>
        <v>0</v>
      </c>
      <c r="DV63" s="3375">
        <f t="shared" si="32"/>
        <v>0</v>
      </c>
      <c r="DW63" s="3375">
        <f t="shared" si="33"/>
        <v>0</v>
      </c>
      <c r="DX63" s="3375">
        <f t="shared" si="34"/>
        <v>0</v>
      </c>
      <c r="DY63" s="3375">
        <f t="shared" si="35"/>
        <v>0</v>
      </c>
      <c r="DZ63" s="3375">
        <f t="shared" si="36"/>
        <v>0</v>
      </c>
      <c r="EA63" s="3375">
        <f t="shared" si="37"/>
        <v>0</v>
      </c>
      <c r="EB63" s="3375">
        <f t="shared" si="38"/>
        <v>0</v>
      </c>
      <c r="EC63" s="3375">
        <f t="shared" si="39"/>
        <v>0</v>
      </c>
    </row>
    <row r="64" spans="1:133">
      <c r="A64" s="420" t="s">
        <v>1946</v>
      </c>
      <c r="B64" s="1737">
        <f t="shared" si="68"/>
        <v>0</v>
      </c>
      <c r="C64" s="1739">
        <f t="shared" si="68"/>
        <v>0</v>
      </c>
      <c r="D64" s="2880"/>
      <c r="E64" s="2885"/>
      <c r="F64" s="2381"/>
      <c r="G64" s="2885"/>
      <c r="H64" s="2381"/>
      <c r="I64" s="2885"/>
      <c r="J64" s="2381"/>
      <c r="K64" s="2885"/>
      <c r="L64" s="2381"/>
      <c r="M64" s="2382"/>
      <c r="N64" s="423"/>
      <c r="O64" s="3376"/>
      <c r="P64" s="425"/>
      <c r="Q64" s="3376"/>
      <c r="R64" s="425"/>
      <c r="S64" s="3376"/>
      <c r="T64" s="425"/>
      <c r="U64" s="3376"/>
      <c r="V64" s="425"/>
      <c r="W64" s="3376"/>
      <c r="X64" s="425"/>
      <c r="Y64" s="3376"/>
      <c r="Z64" s="425"/>
      <c r="AA64" s="3376"/>
      <c r="AB64" s="425"/>
      <c r="AC64" s="3376"/>
      <c r="AD64" s="425"/>
      <c r="AE64" s="3376"/>
      <c r="AF64" s="425"/>
      <c r="AG64" s="3376"/>
      <c r="AH64" s="425"/>
      <c r="AI64" s="3376"/>
      <c r="AJ64" s="425"/>
      <c r="AK64" s="3376"/>
      <c r="AL64" s="425"/>
      <c r="AM64" s="3376"/>
      <c r="AN64" s="425"/>
      <c r="AO64" s="3376"/>
      <c r="AP64" s="425"/>
      <c r="AQ64" s="426"/>
      <c r="AR64" s="3371"/>
      <c r="AS64" s="426"/>
      <c r="AT64" s="3372"/>
      <c r="AU64" s="426"/>
      <c r="AV64" s="3392"/>
      <c r="AW64" s="2231"/>
      <c r="AX64" s="3373" t="str">
        <f t="shared" si="69"/>
        <v/>
      </c>
      <c r="CA64" s="418" t="str">
        <f t="shared" si="72"/>
        <v/>
      </c>
      <c r="CB64" s="418" t="str">
        <f t="shared" si="59"/>
        <v/>
      </c>
      <c r="CC64" s="418" t="str">
        <f t="shared" si="4"/>
        <v/>
      </c>
      <c r="CD64" s="418" t="str">
        <f t="shared" si="5"/>
        <v/>
      </c>
      <c r="CE64" s="3374"/>
      <c r="CF64" s="3374"/>
      <c r="CG64" s="3374"/>
      <c r="CH64" s="3374"/>
      <c r="CI64" s="3374"/>
      <c r="CJ64" s="418" t="str">
        <f t="shared" si="6"/>
        <v/>
      </c>
      <c r="CK64" s="418" t="str">
        <f t="shared" si="7"/>
        <v/>
      </c>
      <c r="CL64" s="418" t="str">
        <f t="shared" si="8"/>
        <v/>
      </c>
      <c r="CM64" s="418" t="str">
        <f t="shared" si="9"/>
        <v/>
      </c>
      <c r="CN64" s="418" t="str">
        <f t="shared" si="10"/>
        <v/>
      </c>
      <c r="CO64" s="418" t="str">
        <f t="shared" si="11"/>
        <v/>
      </c>
      <c r="CP64" s="418" t="str">
        <f t="shared" si="12"/>
        <v/>
      </c>
      <c r="CQ64" s="418" t="str">
        <f t="shared" si="13"/>
        <v/>
      </c>
      <c r="CR64" s="418" t="str">
        <f t="shared" si="14"/>
        <v/>
      </c>
      <c r="CS64" s="418" t="str">
        <f t="shared" si="15"/>
        <v/>
      </c>
      <c r="CT64" s="418" t="str">
        <f t="shared" si="16"/>
        <v/>
      </c>
      <c r="CU64" s="418" t="str">
        <f t="shared" si="17"/>
        <v/>
      </c>
      <c r="CV64" s="418" t="str">
        <f t="shared" si="18"/>
        <v/>
      </c>
      <c r="CW64" s="418" t="str">
        <f t="shared" si="19"/>
        <v/>
      </c>
      <c r="CX64" s="418" t="str">
        <f t="shared" si="20"/>
        <v/>
      </c>
      <c r="DE64" s="417"/>
      <c r="DF64" s="3389">
        <f t="shared" si="73"/>
        <v>0</v>
      </c>
      <c r="DG64" s="3375">
        <f t="shared" si="22"/>
        <v>0</v>
      </c>
      <c r="DH64" s="3375">
        <f t="shared" si="23"/>
        <v>0</v>
      </c>
      <c r="DI64" s="3375">
        <f t="shared" si="24"/>
        <v>0</v>
      </c>
      <c r="DJ64" s="3374"/>
      <c r="DK64" s="3374"/>
      <c r="DL64" s="3374"/>
      <c r="DM64" s="3374"/>
      <c r="DN64" s="3374"/>
      <c r="DO64" s="3375">
        <f t="shared" si="25"/>
        <v>0</v>
      </c>
      <c r="DP64" s="3375">
        <f t="shared" si="26"/>
        <v>0</v>
      </c>
      <c r="DQ64" s="3375">
        <f t="shared" si="27"/>
        <v>0</v>
      </c>
      <c r="DR64" s="3375">
        <f t="shared" si="28"/>
        <v>0</v>
      </c>
      <c r="DS64" s="3375">
        <f t="shared" si="29"/>
        <v>0</v>
      </c>
      <c r="DT64" s="3375">
        <f t="shared" si="30"/>
        <v>0</v>
      </c>
      <c r="DU64" s="3375">
        <f t="shared" si="31"/>
        <v>0</v>
      </c>
      <c r="DV64" s="3375">
        <f t="shared" si="32"/>
        <v>0</v>
      </c>
      <c r="DW64" s="3375">
        <f t="shared" si="33"/>
        <v>0</v>
      </c>
      <c r="DX64" s="3375">
        <f t="shared" si="34"/>
        <v>0</v>
      </c>
      <c r="DY64" s="3375">
        <f t="shared" si="35"/>
        <v>0</v>
      </c>
      <c r="DZ64" s="3375">
        <f t="shared" si="36"/>
        <v>0</v>
      </c>
      <c r="EA64" s="3375">
        <f t="shared" si="37"/>
        <v>0</v>
      </c>
      <c r="EB64" s="3375">
        <f t="shared" si="38"/>
        <v>0</v>
      </c>
      <c r="EC64" s="3375">
        <f t="shared" si="39"/>
        <v>0</v>
      </c>
    </row>
    <row r="65" spans="1:133">
      <c r="A65" s="420" t="s">
        <v>1947</v>
      </c>
      <c r="B65" s="1737">
        <f>+D65+F65+H65+J65+L65+N65+P65+R65+T65+V65+X65+Z65+AB65+AD65+AF65+AH65+AJ65+AL65+AN65+AP65</f>
        <v>0</v>
      </c>
      <c r="C65" s="1739">
        <f>+E65+G65+I65+K65+M65+O65+Q65+S65+U65+W65+Y65+AA65+AC65+AE65+AG65+AI65+AK65+AM65+AO65+AQ65</f>
        <v>0</v>
      </c>
      <c r="D65" s="423"/>
      <c r="E65" s="3376"/>
      <c r="F65" s="425"/>
      <c r="G65" s="3376"/>
      <c r="H65" s="425"/>
      <c r="I65" s="424"/>
      <c r="J65" s="423"/>
      <c r="K65" s="423"/>
      <c r="L65" s="425"/>
      <c r="M65" s="424"/>
      <c r="N65" s="423"/>
      <c r="O65" s="3376"/>
      <c r="P65" s="425"/>
      <c r="Q65" s="3376"/>
      <c r="R65" s="425"/>
      <c r="S65" s="3376"/>
      <c r="T65" s="425"/>
      <c r="U65" s="3376"/>
      <c r="V65" s="425"/>
      <c r="W65" s="3376"/>
      <c r="X65" s="425"/>
      <c r="Y65" s="3376"/>
      <c r="Z65" s="425"/>
      <c r="AA65" s="3376"/>
      <c r="AB65" s="425"/>
      <c r="AC65" s="3376"/>
      <c r="AD65" s="425"/>
      <c r="AE65" s="3376"/>
      <c r="AF65" s="425"/>
      <c r="AG65" s="3376"/>
      <c r="AH65" s="425"/>
      <c r="AI65" s="3376"/>
      <c r="AJ65" s="425"/>
      <c r="AK65" s="3376"/>
      <c r="AL65" s="425"/>
      <c r="AM65" s="3376"/>
      <c r="AN65" s="425"/>
      <c r="AO65" s="3376"/>
      <c r="AP65" s="425"/>
      <c r="AQ65" s="426"/>
      <c r="AR65" s="3371"/>
      <c r="AS65" s="426"/>
      <c r="AT65" s="3372"/>
      <c r="AU65" s="426"/>
      <c r="AV65" s="3392"/>
      <c r="AW65" s="2231"/>
      <c r="AX65" s="3373" t="str">
        <f>$CA65&amp;CB65&amp;CC65&amp;$CD65&amp;CJ65&amp;CE65&amp;CF65&amp;CG65&amp;CH65&amp;CI65&amp;CK65&amp;CL65&amp;CM65&amp;CN65&amp;CO65&amp;CP65&amp;CQ65&amp;CR65&amp;CS65&amp;CT65&amp;CU65&amp;CV65&amp;CW65&amp;CX65</f>
        <v/>
      </c>
      <c r="CA65" s="418" t="str">
        <f t="shared" si="72"/>
        <v/>
      </c>
      <c r="CB65" s="418" t="str">
        <f t="shared" si="59"/>
        <v/>
      </c>
      <c r="CC65" s="418" t="str">
        <f t="shared" si="4"/>
        <v/>
      </c>
      <c r="CD65" s="418" t="str">
        <f t="shared" si="5"/>
        <v/>
      </c>
      <c r="CE65" s="418" t="str">
        <f t="shared" si="42"/>
        <v/>
      </c>
      <c r="CF65" s="418" t="str">
        <f t="shared" si="43"/>
        <v/>
      </c>
      <c r="CG65" s="418" t="str">
        <f t="shared" si="44"/>
        <v/>
      </c>
      <c r="CH65" s="418" t="str">
        <f t="shared" si="52"/>
        <v/>
      </c>
      <c r="CI65" s="418" t="str">
        <f t="shared" si="53"/>
        <v/>
      </c>
      <c r="CJ65" s="418" t="str">
        <f t="shared" si="6"/>
        <v/>
      </c>
      <c r="CK65" s="418" t="str">
        <f t="shared" si="7"/>
        <v/>
      </c>
      <c r="CL65" s="418" t="str">
        <f t="shared" si="8"/>
        <v/>
      </c>
      <c r="CM65" s="418" t="str">
        <f t="shared" si="9"/>
        <v/>
      </c>
      <c r="CN65" s="418" t="str">
        <f t="shared" si="10"/>
        <v/>
      </c>
      <c r="CO65" s="418" t="str">
        <f t="shared" si="11"/>
        <v/>
      </c>
      <c r="CP65" s="418" t="str">
        <f t="shared" si="12"/>
        <v/>
      </c>
      <c r="CQ65" s="418" t="str">
        <f t="shared" si="13"/>
        <v/>
      </c>
      <c r="CR65" s="418" t="str">
        <f t="shared" si="14"/>
        <v/>
      </c>
      <c r="CS65" s="418" t="str">
        <f t="shared" si="15"/>
        <v/>
      </c>
      <c r="CT65" s="418" t="str">
        <f t="shared" si="16"/>
        <v/>
      </c>
      <c r="CU65" s="418" t="str">
        <f t="shared" si="17"/>
        <v/>
      </c>
      <c r="CV65" s="418" t="str">
        <f t="shared" si="18"/>
        <v/>
      </c>
      <c r="CW65" s="418" t="str">
        <f t="shared" si="19"/>
        <v/>
      </c>
      <c r="CX65" s="418" t="str">
        <f t="shared" si="20"/>
        <v/>
      </c>
      <c r="DE65" s="417"/>
      <c r="DF65" s="3389">
        <f t="shared" si="73"/>
        <v>0</v>
      </c>
      <c r="DG65" s="3375">
        <f t="shared" si="22"/>
        <v>0</v>
      </c>
      <c r="DH65" s="3375">
        <f t="shared" si="23"/>
        <v>0</v>
      </c>
      <c r="DI65" s="3375">
        <f t="shared" si="24"/>
        <v>0</v>
      </c>
      <c r="DJ65" s="3375">
        <f t="shared" si="45"/>
        <v>0</v>
      </c>
      <c r="DK65" s="3375">
        <f t="shared" si="46"/>
        <v>0</v>
      </c>
      <c r="DL65" s="3375">
        <f t="shared" si="47"/>
        <v>0</v>
      </c>
      <c r="DM65" s="3375">
        <f t="shared" si="54"/>
        <v>0</v>
      </c>
      <c r="DN65" s="3375">
        <f t="shared" si="55"/>
        <v>0</v>
      </c>
      <c r="DO65" s="3375">
        <f t="shared" si="25"/>
        <v>0</v>
      </c>
      <c r="DP65" s="3375">
        <f t="shared" si="26"/>
        <v>0</v>
      </c>
      <c r="DQ65" s="3375">
        <f t="shared" si="27"/>
        <v>0</v>
      </c>
      <c r="DR65" s="3375">
        <f t="shared" si="28"/>
        <v>0</v>
      </c>
      <c r="DS65" s="3375">
        <f t="shared" si="29"/>
        <v>0</v>
      </c>
      <c r="DT65" s="3375">
        <f t="shared" si="30"/>
        <v>0</v>
      </c>
      <c r="DU65" s="3375">
        <f t="shared" si="31"/>
        <v>0</v>
      </c>
      <c r="DV65" s="3375">
        <f t="shared" si="32"/>
        <v>0</v>
      </c>
      <c r="DW65" s="3375">
        <f t="shared" si="33"/>
        <v>0</v>
      </c>
      <c r="DX65" s="3375">
        <f t="shared" si="34"/>
        <v>0</v>
      </c>
      <c r="DY65" s="3375">
        <f t="shared" si="35"/>
        <v>0</v>
      </c>
      <c r="DZ65" s="3375">
        <f t="shared" si="36"/>
        <v>0</v>
      </c>
      <c r="EA65" s="3375">
        <f t="shared" si="37"/>
        <v>0</v>
      </c>
      <c r="EB65" s="3375">
        <f t="shared" si="38"/>
        <v>0</v>
      </c>
      <c r="EC65" s="3375">
        <f t="shared" si="39"/>
        <v>0</v>
      </c>
    </row>
    <row r="66" spans="1:133" ht="21">
      <c r="A66" s="2237" t="s">
        <v>1948</v>
      </c>
      <c r="B66" s="1737">
        <f>+D66+F66+H66</f>
        <v>0</v>
      </c>
      <c r="C66" s="1739">
        <f>+E66+G66+I66</f>
        <v>0</v>
      </c>
      <c r="D66" s="423"/>
      <c r="E66" s="3376"/>
      <c r="F66" s="425"/>
      <c r="G66" s="3376"/>
      <c r="H66" s="425"/>
      <c r="I66" s="424"/>
      <c r="J66" s="3377"/>
      <c r="K66" s="3378"/>
      <c r="L66" s="3377"/>
      <c r="M66" s="3378"/>
      <c r="N66" s="3377"/>
      <c r="O66" s="3378"/>
      <c r="P66" s="3377"/>
      <c r="Q66" s="3378"/>
      <c r="R66" s="3377"/>
      <c r="S66" s="3378"/>
      <c r="T66" s="3377"/>
      <c r="U66" s="3378"/>
      <c r="V66" s="3377"/>
      <c r="W66" s="3378"/>
      <c r="X66" s="3377"/>
      <c r="Y66" s="3378"/>
      <c r="Z66" s="3377"/>
      <c r="AA66" s="3378"/>
      <c r="AB66" s="3377"/>
      <c r="AC66" s="3378"/>
      <c r="AD66" s="3377"/>
      <c r="AE66" s="3378"/>
      <c r="AF66" s="3377"/>
      <c r="AG66" s="3378"/>
      <c r="AH66" s="3377"/>
      <c r="AI66" s="3378"/>
      <c r="AJ66" s="3377"/>
      <c r="AK66" s="3378"/>
      <c r="AL66" s="3377"/>
      <c r="AM66" s="3378"/>
      <c r="AN66" s="3377"/>
      <c r="AO66" s="3378"/>
      <c r="AP66" s="3377"/>
      <c r="AQ66" s="3379"/>
      <c r="AR66" s="423"/>
      <c r="AS66" s="426"/>
      <c r="AT66" s="3372"/>
      <c r="AU66" s="426"/>
      <c r="AV66" s="3392"/>
      <c r="AW66" s="2231"/>
      <c r="AX66" s="3373" t="str">
        <f>$CA66&amp;CB66&amp;CC66&amp;$CD66&amp;CE66&amp;CF66&amp;CG66</f>
        <v/>
      </c>
      <c r="CA66" s="418" t="str">
        <f t="shared" ref="CA66:CA74" si="74">IF(B66&lt;&gt;(AS66+AR66)," * La suma de las columnas "&amp;AR$10&amp;""&amp;" DEBE SER IGUAL a los Exámenes Procesados. ","")</f>
        <v/>
      </c>
      <c r="CB66" s="418" t="str">
        <f t="shared" si="59"/>
        <v/>
      </c>
      <c r="CC66" s="418" t="str">
        <f t="shared" si="4"/>
        <v/>
      </c>
      <c r="CD66" s="418" t="str">
        <f t="shared" si="5"/>
        <v/>
      </c>
      <c r="CE66" s="418" t="str">
        <f t="shared" si="42"/>
        <v/>
      </c>
      <c r="CF66" s="418" t="str">
        <f t="shared" si="43"/>
        <v/>
      </c>
      <c r="CG66" s="418" t="str">
        <f t="shared" si="44"/>
        <v/>
      </c>
      <c r="CH66" s="3380"/>
      <c r="CI66" s="3380"/>
      <c r="CJ66" s="3381"/>
      <c r="CK66" s="3380"/>
      <c r="CL66" s="3380"/>
      <c r="CM66" s="3380"/>
      <c r="CN66" s="3380"/>
      <c r="CO66" s="3380"/>
      <c r="CP66" s="3380"/>
      <c r="CQ66" s="3380"/>
      <c r="CR66" s="3380"/>
      <c r="CS66" s="3380"/>
      <c r="CT66" s="3380"/>
      <c r="CU66" s="3380"/>
      <c r="CV66" s="3380"/>
      <c r="CW66" s="3380"/>
      <c r="CX66" s="3380"/>
      <c r="DE66" s="417"/>
      <c r="DF66" s="3389">
        <f t="shared" ref="DF66:DF74" si="75">IF(B66&lt;&gt;(AS66+AR66),1,0)</f>
        <v>0</v>
      </c>
      <c r="DG66" s="3375">
        <f t="shared" si="22"/>
        <v>0</v>
      </c>
      <c r="DH66" s="3375">
        <f t="shared" si="23"/>
        <v>0</v>
      </c>
      <c r="DI66" s="3375">
        <f t="shared" si="24"/>
        <v>0</v>
      </c>
      <c r="DJ66" s="3375">
        <f t="shared" si="45"/>
        <v>0</v>
      </c>
      <c r="DK66" s="3375">
        <f t="shared" si="46"/>
        <v>0</v>
      </c>
      <c r="DL66" s="3375">
        <f t="shared" si="47"/>
        <v>0</v>
      </c>
      <c r="DM66" s="3380"/>
      <c r="DN66" s="3380"/>
      <c r="DO66" s="3374"/>
      <c r="DP66" s="3374"/>
      <c r="DQ66" s="3374"/>
      <c r="DR66" s="3374"/>
      <c r="DS66" s="3374"/>
      <c r="DT66" s="3374"/>
      <c r="DU66" s="3374"/>
      <c r="DV66" s="3374"/>
      <c r="DW66" s="3374"/>
      <c r="DX66" s="3374"/>
      <c r="DY66" s="3374"/>
      <c r="DZ66" s="3374"/>
      <c r="EA66" s="3374"/>
      <c r="EB66" s="3374"/>
      <c r="EC66" s="3374"/>
    </row>
    <row r="67" spans="1:133">
      <c r="A67" s="2237" t="s">
        <v>1949</v>
      </c>
      <c r="B67" s="1737">
        <f>+P67+R67+T67+V67+X67+Z67+AB67+AD67+AF67+AH67+AJ67+AL67+AN67+AP67</f>
        <v>0</v>
      </c>
      <c r="C67" s="1739">
        <f>+Q67+S67+U67+W67+Y67+AA67+AC67+AE67+AG67+AI67+AK67+AM67+AO67+AQ67</f>
        <v>0</v>
      </c>
      <c r="D67" s="2880"/>
      <c r="E67" s="2885"/>
      <c r="F67" s="2381"/>
      <c r="G67" s="2885"/>
      <c r="H67" s="2381"/>
      <c r="I67" s="2885"/>
      <c r="J67" s="2381"/>
      <c r="K67" s="2885"/>
      <c r="L67" s="2381"/>
      <c r="M67" s="2382"/>
      <c r="N67" s="2880"/>
      <c r="O67" s="2885"/>
      <c r="P67" s="425"/>
      <c r="Q67" s="3376"/>
      <c r="R67" s="425"/>
      <c r="S67" s="3376"/>
      <c r="T67" s="425"/>
      <c r="U67" s="3376"/>
      <c r="V67" s="425"/>
      <c r="W67" s="3376"/>
      <c r="X67" s="425"/>
      <c r="Y67" s="3376"/>
      <c r="Z67" s="425"/>
      <c r="AA67" s="3376"/>
      <c r="AB67" s="425"/>
      <c r="AC67" s="3376"/>
      <c r="AD67" s="425"/>
      <c r="AE67" s="3376"/>
      <c r="AF67" s="425"/>
      <c r="AG67" s="3376"/>
      <c r="AH67" s="425"/>
      <c r="AI67" s="3376"/>
      <c r="AJ67" s="425"/>
      <c r="AK67" s="3376"/>
      <c r="AL67" s="425"/>
      <c r="AM67" s="3376"/>
      <c r="AN67" s="425"/>
      <c r="AO67" s="3376"/>
      <c r="AP67" s="425"/>
      <c r="AQ67" s="426"/>
      <c r="AR67" s="423"/>
      <c r="AS67" s="426"/>
      <c r="AT67" s="3372"/>
      <c r="AU67" s="426"/>
      <c r="AV67" s="3392"/>
      <c r="AW67" s="2231"/>
      <c r="AX67" s="3373" t="str">
        <f>$CA67&amp;CB67&amp;CC67&amp;$CD67&amp;CK67&amp;CL67&amp;CM67&amp;CN67&amp;CO67&amp;CP67&amp;CQ67&amp;CR67&amp;CS67&amp;CT67&amp;CU67&amp;CV67&amp;CW67&amp;CX67</f>
        <v/>
      </c>
      <c r="CA67" s="418" t="str">
        <f t="shared" si="74"/>
        <v/>
      </c>
      <c r="CB67" s="418" t="str">
        <f t="shared" si="59"/>
        <v/>
      </c>
      <c r="CC67" s="418" t="str">
        <f t="shared" si="4"/>
        <v/>
      </c>
      <c r="CD67" s="418" t="str">
        <f t="shared" si="5"/>
        <v/>
      </c>
      <c r="CE67" s="3381"/>
      <c r="CF67" s="3381"/>
      <c r="CG67" s="3380"/>
      <c r="CH67" s="3380"/>
      <c r="CI67" s="3380"/>
      <c r="CJ67" s="3381"/>
      <c r="CK67" s="418" t="str">
        <f t="shared" si="7"/>
        <v/>
      </c>
      <c r="CL67" s="418" t="str">
        <f t="shared" si="8"/>
        <v/>
      </c>
      <c r="CM67" s="418" t="str">
        <f t="shared" si="9"/>
        <v/>
      </c>
      <c r="CN67" s="418" t="str">
        <f t="shared" si="10"/>
        <v/>
      </c>
      <c r="CO67" s="418" t="str">
        <f t="shared" si="11"/>
        <v/>
      </c>
      <c r="CP67" s="418" t="str">
        <f t="shared" si="12"/>
        <v/>
      </c>
      <c r="CQ67" s="418" t="str">
        <f t="shared" si="13"/>
        <v/>
      </c>
      <c r="CR67" s="418" t="str">
        <f t="shared" si="14"/>
        <v/>
      </c>
      <c r="CS67" s="418" t="str">
        <f t="shared" si="15"/>
        <v/>
      </c>
      <c r="CT67" s="418" t="str">
        <f t="shared" si="16"/>
        <v/>
      </c>
      <c r="CU67" s="418" t="str">
        <f t="shared" si="17"/>
        <v/>
      </c>
      <c r="CV67" s="418" t="str">
        <f t="shared" si="18"/>
        <v/>
      </c>
      <c r="CW67" s="418" t="str">
        <f t="shared" si="19"/>
        <v/>
      </c>
      <c r="CX67" s="418" t="str">
        <f t="shared" si="20"/>
        <v/>
      </c>
      <c r="DE67" s="417"/>
      <c r="DF67" s="3389">
        <f t="shared" si="75"/>
        <v>0</v>
      </c>
      <c r="DG67" s="3375">
        <f t="shared" si="22"/>
        <v>0</v>
      </c>
      <c r="DH67" s="3375">
        <f t="shared" si="23"/>
        <v>0</v>
      </c>
      <c r="DI67" s="3375">
        <f t="shared" si="24"/>
        <v>0</v>
      </c>
      <c r="DJ67" s="3380"/>
      <c r="DK67" s="3380"/>
      <c r="DL67" s="3380"/>
      <c r="DM67" s="3380"/>
      <c r="DN67" s="3380"/>
      <c r="DO67" s="3374"/>
      <c r="DP67" s="3375">
        <f t="shared" si="26"/>
        <v>0</v>
      </c>
      <c r="DQ67" s="3375">
        <f t="shared" si="27"/>
        <v>0</v>
      </c>
      <c r="DR67" s="3375">
        <f t="shared" si="28"/>
        <v>0</v>
      </c>
      <c r="DS67" s="3375">
        <f t="shared" si="29"/>
        <v>0</v>
      </c>
      <c r="DT67" s="3375">
        <f t="shared" si="30"/>
        <v>0</v>
      </c>
      <c r="DU67" s="3375">
        <f t="shared" si="31"/>
        <v>0</v>
      </c>
      <c r="DV67" s="3375">
        <f t="shared" si="32"/>
        <v>0</v>
      </c>
      <c r="DW67" s="3375">
        <f t="shared" si="33"/>
        <v>0</v>
      </c>
      <c r="DX67" s="3375">
        <f t="shared" si="34"/>
        <v>0</v>
      </c>
      <c r="DY67" s="3375">
        <f t="shared" si="35"/>
        <v>0</v>
      </c>
      <c r="DZ67" s="3375">
        <f t="shared" si="36"/>
        <v>0</v>
      </c>
      <c r="EA67" s="3375">
        <f t="shared" si="37"/>
        <v>0</v>
      </c>
      <c r="EB67" s="3375">
        <f t="shared" si="38"/>
        <v>0</v>
      </c>
      <c r="EC67" s="3375">
        <f t="shared" si="39"/>
        <v>0</v>
      </c>
    </row>
    <row r="68" spans="1:133">
      <c r="A68" s="420" t="s">
        <v>1950</v>
      </c>
      <c r="B68" s="1737">
        <f>+N68+P68+R68+T68+V68+X68+Z68+AB68+AD68+AF68+AH68+AJ68+AL68+AN68+AP68</f>
        <v>0</v>
      </c>
      <c r="C68" s="1739">
        <f>+O68+Q68+S68+U68+W68+Y68+AA68+AC68+AE68+AG68+AI68+AK68+AM68+AO68+AQ68</f>
        <v>0</v>
      </c>
      <c r="D68" s="3371"/>
      <c r="E68" s="3378"/>
      <c r="F68" s="3377"/>
      <c r="G68" s="3378"/>
      <c r="H68" s="3377"/>
      <c r="I68" s="3382"/>
      <c r="J68" s="3371"/>
      <c r="K68" s="3371"/>
      <c r="L68" s="3377"/>
      <c r="M68" s="3382"/>
      <c r="N68" s="423"/>
      <c r="O68" s="3376"/>
      <c r="P68" s="425"/>
      <c r="Q68" s="3376"/>
      <c r="R68" s="425"/>
      <c r="S68" s="3376"/>
      <c r="T68" s="425"/>
      <c r="U68" s="3376"/>
      <c r="V68" s="425"/>
      <c r="W68" s="3376"/>
      <c r="X68" s="425"/>
      <c r="Y68" s="3376"/>
      <c r="Z68" s="425"/>
      <c r="AA68" s="3376"/>
      <c r="AB68" s="425"/>
      <c r="AC68" s="3376"/>
      <c r="AD68" s="425"/>
      <c r="AE68" s="3376"/>
      <c r="AF68" s="425"/>
      <c r="AG68" s="3376"/>
      <c r="AH68" s="425"/>
      <c r="AI68" s="3376"/>
      <c r="AJ68" s="425"/>
      <c r="AK68" s="3376"/>
      <c r="AL68" s="425"/>
      <c r="AM68" s="3376"/>
      <c r="AN68" s="425"/>
      <c r="AO68" s="3376"/>
      <c r="AP68" s="425"/>
      <c r="AQ68" s="426"/>
      <c r="AR68" s="423"/>
      <c r="AS68" s="426"/>
      <c r="AT68" s="3372"/>
      <c r="AU68" s="426"/>
      <c r="AV68" s="3392"/>
      <c r="AW68" s="2231"/>
      <c r="AX68" s="3373" t="str">
        <f>$CA68&amp;CB68&amp;CC68&amp;$CD68&amp;CJ68&amp;CK68&amp;CL68&amp;CM68&amp;CN68&amp;CO68&amp;CP68&amp;CQ68&amp;CR68&amp;CS68&amp;CT68&amp;CU68&amp;CV68&amp;CW68&amp;CX68</f>
        <v/>
      </c>
      <c r="CA68" s="418" t="str">
        <f t="shared" si="74"/>
        <v/>
      </c>
      <c r="CB68" s="418" t="str">
        <f t="shared" si="59"/>
        <v/>
      </c>
      <c r="CC68" s="418" t="str">
        <f t="shared" si="4"/>
        <v/>
      </c>
      <c r="CD68" s="418" t="str">
        <f t="shared" si="5"/>
        <v/>
      </c>
      <c r="CE68" s="3381"/>
      <c r="CF68" s="3381"/>
      <c r="CG68" s="3380"/>
      <c r="CH68" s="3380"/>
      <c r="CI68" s="3380"/>
      <c r="CJ68" s="418" t="str">
        <f t="shared" si="6"/>
        <v/>
      </c>
      <c r="CK68" s="418" t="str">
        <f t="shared" si="7"/>
        <v/>
      </c>
      <c r="CL68" s="418" t="str">
        <f t="shared" si="8"/>
        <v/>
      </c>
      <c r="CM68" s="418" t="str">
        <f t="shared" si="9"/>
        <v/>
      </c>
      <c r="CN68" s="418" t="str">
        <f t="shared" si="10"/>
        <v/>
      </c>
      <c r="CO68" s="418" t="str">
        <f t="shared" si="11"/>
        <v/>
      </c>
      <c r="CP68" s="418" t="str">
        <f t="shared" si="12"/>
        <v/>
      </c>
      <c r="CQ68" s="418" t="str">
        <f t="shared" si="13"/>
        <v/>
      </c>
      <c r="CR68" s="418" t="str">
        <f t="shared" si="14"/>
        <v/>
      </c>
      <c r="CS68" s="418" t="str">
        <f t="shared" si="15"/>
        <v/>
      </c>
      <c r="CT68" s="418" t="str">
        <f t="shared" si="16"/>
        <v/>
      </c>
      <c r="CU68" s="418" t="str">
        <f t="shared" si="17"/>
        <v/>
      </c>
      <c r="CV68" s="418" t="str">
        <f t="shared" si="18"/>
        <v/>
      </c>
      <c r="CW68" s="418" t="str">
        <f t="shared" si="19"/>
        <v/>
      </c>
      <c r="CX68" s="418" t="str">
        <f t="shared" si="20"/>
        <v/>
      </c>
      <c r="DE68" s="417"/>
      <c r="DF68" s="3389">
        <f t="shared" si="75"/>
        <v>0</v>
      </c>
      <c r="DG68" s="3375">
        <f t="shared" si="22"/>
        <v>0</v>
      </c>
      <c r="DH68" s="3375">
        <f t="shared" si="23"/>
        <v>0</v>
      </c>
      <c r="DI68" s="3375">
        <f t="shared" si="24"/>
        <v>0</v>
      </c>
      <c r="DJ68" s="3380"/>
      <c r="DK68" s="3380"/>
      <c r="DL68" s="3380"/>
      <c r="DM68" s="3380"/>
      <c r="DN68" s="3380"/>
      <c r="DO68" s="3375">
        <f t="shared" si="25"/>
        <v>0</v>
      </c>
      <c r="DP68" s="3375">
        <f t="shared" si="26"/>
        <v>0</v>
      </c>
      <c r="DQ68" s="3375">
        <f t="shared" si="27"/>
        <v>0</v>
      </c>
      <c r="DR68" s="3375">
        <f t="shared" si="28"/>
        <v>0</v>
      </c>
      <c r="DS68" s="3375">
        <f t="shared" si="29"/>
        <v>0</v>
      </c>
      <c r="DT68" s="3375">
        <f t="shared" si="30"/>
        <v>0</v>
      </c>
      <c r="DU68" s="3375">
        <f t="shared" si="31"/>
        <v>0</v>
      </c>
      <c r="DV68" s="3375">
        <f t="shared" si="32"/>
        <v>0</v>
      </c>
      <c r="DW68" s="3375">
        <f t="shared" si="33"/>
        <v>0</v>
      </c>
      <c r="DX68" s="3375">
        <f t="shared" si="34"/>
        <v>0</v>
      </c>
      <c r="DY68" s="3375">
        <f t="shared" si="35"/>
        <v>0</v>
      </c>
      <c r="DZ68" s="3375">
        <f t="shared" si="36"/>
        <v>0</v>
      </c>
      <c r="EA68" s="3375">
        <f t="shared" si="37"/>
        <v>0</v>
      </c>
      <c r="EB68" s="3375">
        <f t="shared" si="38"/>
        <v>0</v>
      </c>
      <c r="EC68" s="3375">
        <f t="shared" si="39"/>
        <v>0</v>
      </c>
    </row>
    <row r="69" spans="1:133">
      <c r="A69" s="420" t="s">
        <v>1951</v>
      </c>
      <c r="B69" s="1737">
        <f>+D69+F69+H69+J69+L69+N69+P69+R69+T69+V69+X69+Z69+AB69+AD69+AF69+AH69+AJ69+AL69+AN69+AP69</f>
        <v>0</v>
      </c>
      <c r="C69" s="1739">
        <f>+E69+G69+I69+K69+M69+O69+Q69+S69+U69+W69+Y69+AA69+AC69+AE69+AG69+AI69+AK69+AM69+AO69+AQ69</f>
        <v>0</v>
      </c>
      <c r="D69" s="423"/>
      <c r="E69" s="3376"/>
      <c r="F69" s="425"/>
      <c r="G69" s="3376"/>
      <c r="H69" s="425"/>
      <c r="I69" s="424"/>
      <c r="J69" s="423"/>
      <c r="K69" s="423"/>
      <c r="L69" s="425"/>
      <c r="M69" s="424"/>
      <c r="N69" s="423"/>
      <c r="O69" s="3376"/>
      <c r="P69" s="425"/>
      <c r="Q69" s="3376"/>
      <c r="R69" s="425"/>
      <c r="S69" s="3376"/>
      <c r="T69" s="425"/>
      <c r="U69" s="3376"/>
      <c r="V69" s="425"/>
      <c r="W69" s="3376"/>
      <c r="X69" s="425"/>
      <c r="Y69" s="3376"/>
      <c r="Z69" s="425"/>
      <c r="AA69" s="3376"/>
      <c r="AB69" s="425"/>
      <c r="AC69" s="3376"/>
      <c r="AD69" s="425"/>
      <c r="AE69" s="3376"/>
      <c r="AF69" s="425"/>
      <c r="AG69" s="3376"/>
      <c r="AH69" s="425"/>
      <c r="AI69" s="3376"/>
      <c r="AJ69" s="425"/>
      <c r="AK69" s="3376"/>
      <c r="AL69" s="425"/>
      <c r="AM69" s="3376"/>
      <c r="AN69" s="425"/>
      <c r="AO69" s="3376"/>
      <c r="AP69" s="425"/>
      <c r="AQ69" s="426"/>
      <c r="AR69" s="423"/>
      <c r="AS69" s="426"/>
      <c r="AT69" s="3372"/>
      <c r="AU69" s="426"/>
      <c r="AV69" s="3392"/>
      <c r="AW69" s="2231"/>
      <c r="AX69" s="3373" t="str">
        <f>$CA69&amp;CB69&amp;CC69&amp;$CD69&amp;CE69&amp;CF69&amp;CG69&amp;CH69&amp;CI69&amp;CJ69&amp;CK69&amp;CL69&amp;CM69&amp;CN69&amp;CO69&amp;CP69&amp;CQ69&amp;CR69&amp;CS69&amp;CT69&amp;CU69&amp;CV69&amp;CW69&amp;CX69</f>
        <v/>
      </c>
      <c r="CA69" s="418" t="str">
        <f t="shared" si="74"/>
        <v/>
      </c>
      <c r="CB69" s="418" t="str">
        <f t="shared" si="59"/>
        <v/>
      </c>
      <c r="CC69" s="418" t="str">
        <f t="shared" si="4"/>
        <v/>
      </c>
      <c r="CD69" s="418" t="str">
        <f t="shared" si="5"/>
        <v/>
      </c>
      <c r="CE69" s="418" t="str">
        <f t="shared" si="42"/>
        <v/>
      </c>
      <c r="CF69" s="418" t="str">
        <f t="shared" si="43"/>
        <v/>
      </c>
      <c r="CG69" s="418" t="str">
        <f t="shared" si="44"/>
        <v/>
      </c>
      <c r="CH69" s="418" t="str">
        <f t="shared" si="52"/>
        <v/>
      </c>
      <c r="CI69" s="418" t="str">
        <f t="shared" si="53"/>
        <v/>
      </c>
      <c r="CJ69" s="418" t="str">
        <f t="shared" si="6"/>
        <v/>
      </c>
      <c r="CK69" s="418" t="str">
        <f t="shared" si="7"/>
        <v/>
      </c>
      <c r="CL69" s="418" t="str">
        <f t="shared" si="8"/>
        <v/>
      </c>
      <c r="CM69" s="418" t="str">
        <f t="shared" si="9"/>
        <v/>
      </c>
      <c r="CN69" s="418" t="str">
        <f t="shared" si="10"/>
        <v/>
      </c>
      <c r="CO69" s="418" t="str">
        <f t="shared" si="11"/>
        <v/>
      </c>
      <c r="CP69" s="418" t="str">
        <f t="shared" si="12"/>
        <v/>
      </c>
      <c r="CQ69" s="418" t="str">
        <f t="shared" si="13"/>
        <v/>
      </c>
      <c r="CR69" s="418" t="str">
        <f t="shared" si="14"/>
        <v/>
      </c>
      <c r="CS69" s="418" t="str">
        <f t="shared" si="15"/>
        <v/>
      </c>
      <c r="CT69" s="418" t="str">
        <f t="shared" si="16"/>
        <v/>
      </c>
      <c r="CU69" s="418" t="str">
        <f t="shared" si="17"/>
        <v/>
      </c>
      <c r="CV69" s="418" t="str">
        <f t="shared" si="18"/>
        <v/>
      </c>
      <c r="CW69" s="418" t="str">
        <f t="shared" si="19"/>
        <v/>
      </c>
      <c r="CX69" s="418" t="str">
        <f t="shared" si="20"/>
        <v/>
      </c>
      <c r="DE69" s="417"/>
      <c r="DF69" s="3389">
        <f t="shared" si="75"/>
        <v>0</v>
      </c>
      <c r="DG69" s="3375">
        <f t="shared" si="22"/>
        <v>0</v>
      </c>
      <c r="DH69" s="3375">
        <f t="shared" si="23"/>
        <v>0</v>
      </c>
      <c r="DI69" s="3375">
        <f t="shared" si="24"/>
        <v>0</v>
      </c>
      <c r="DJ69" s="3375">
        <f t="shared" si="45"/>
        <v>0</v>
      </c>
      <c r="DK69" s="3375">
        <f t="shared" si="46"/>
        <v>0</v>
      </c>
      <c r="DL69" s="3375">
        <f t="shared" si="47"/>
        <v>0</v>
      </c>
      <c r="DM69" s="3375">
        <f t="shared" si="54"/>
        <v>0</v>
      </c>
      <c r="DN69" s="3375">
        <f t="shared" si="55"/>
        <v>0</v>
      </c>
      <c r="DO69" s="3375">
        <f t="shared" si="25"/>
        <v>0</v>
      </c>
      <c r="DP69" s="3375">
        <f t="shared" si="26"/>
        <v>0</v>
      </c>
      <c r="DQ69" s="3375">
        <f t="shared" si="27"/>
        <v>0</v>
      </c>
      <c r="DR69" s="3375">
        <f t="shared" si="28"/>
        <v>0</v>
      </c>
      <c r="DS69" s="3375">
        <f t="shared" si="29"/>
        <v>0</v>
      </c>
      <c r="DT69" s="3375">
        <f t="shared" si="30"/>
        <v>0</v>
      </c>
      <c r="DU69" s="3375">
        <f t="shared" si="31"/>
        <v>0</v>
      </c>
      <c r="DV69" s="3375">
        <f t="shared" si="32"/>
        <v>0</v>
      </c>
      <c r="DW69" s="3375">
        <f t="shared" si="33"/>
        <v>0</v>
      </c>
      <c r="DX69" s="3375">
        <f t="shared" si="34"/>
        <v>0</v>
      </c>
      <c r="DY69" s="3375">
        <f t="shared" si="35"/>
        <v>0</v>
      </c>
      <c r="DZ69" s="3375">
        <f t="shared" si="36"/>
        <v>0</v>
      </c>
      <c r="EA69" s="3375">
        <f t="shared" si="37"/>
        <v>0</v>
      </c>
      <c r="EB69" s="3375">
        <f t="shared" si="38"/>
        <v>0</v>
      </c>
      <c r="EC69" s="3375">
        <f t="shared" si="39"/>
        <v>0</v>
      </c>
    </row>
    <row r="70" spans="1:133">
      <c r="A70" s="2387" t="s">
        <v>1952</v>
      </c>
      <c r="B70" s="1737">
        <f>+P70+R70+T70+V70+X70+Z70+AB70+AD70+AF70+AH70+AJ70+AL70+AN70+AP70</f>
        <v>0</v>
      </c>
      <c r="C70" s="1739">
        <f>+Q70+S70+U70+W70+Y70+AA70+AC70+AE70+AG70+AI70+AK70+AM70+AO70+AQ70</f>
        <v>0</v>
      </c>
      <c r="D70" s="2880"/>
      <c r="E70" s="2885"/>
      <c r="F70" s="2381"/>
      <c r="G70" s="2885"/>
      <c r="H70" s="2381"/>
      <c r="I70" s="2885"/>
      <c r="J70" s="2381"/>
      <c r="K70" s="2885"/>
      <c r="L70" s="2381"/>
      <c r="M70" s="2382"/>
      <c r="N70" s="2880"/>
      <c r="O70" s="2885"/>
      <c r="P70" s="425"/>
      <c r="Q70" s="3376"/>
      <c r="R70" s="425"/>
      <c r="S70" s="3376"/>
      <c r="T70" s="425"/>
      <c r="U70" s="3376"/>
      <c r="V70" s="425"/>
      <c r="W70" s="3376"/>
      <c r="X70" s="425"/>
      <c r="Y70" s="3376"/>
      <c r="Z70" s="425"/>
      <c r="AA70" s="3376"/>
      <c r="AB70" s="425"/>
      <c r="AC70" s="3376"/>
      <c r="AD70" s="425"/>
      <c r="AE70" s="3376"/>
      <c r="AF70" s="425"/>
      <c r="AG70" s="3376"/>
      <c r="AH70" s="425"/>
      <c r="AI70" s="3376"/>
      <c r="AJ70" s="425"/>
      <c r="AK70" s="3376"/>
      <c r="AL70" s="425"/>
      <c r="AM70" s="3376"/>
      <c r="AN70" s="425"/>
      <c r="AO70" s="3376"/>
      <c r="AP70" s="425"/>
      <c r="AQ70" s="426"/>
      <c r="AR70" s="423"/>
      <c r="AS70" s="426"/>
      <c r="AT70" s="3372"/>
      <c r="AU70" s="426"/>
      <c r="AV70" s="3392"/>
      <c r="AW70" s="2231"/>
      <c r="AX70" s="3373" t="str">
        <f>$CA70&amp;CB70&amp;CC70&amp;$CD70&amp;CJ70&amp;CK70&amp;CL70&amp;CM70&amp;CN70&amp;CO70&amp;CP70&amp;CQ70&amp;CR70&amp;CS70&amp;CT70&amp;CU70&amp;CV70&amp;CW70&amp;CX70</f>
        <v/>
      </c>
      <c r="CA70" s="418" t="str">
        <f t="shared" si="74"/>
        <v/>
      </c>
      <c r="CB70" s="418" t="str">
        <f t="shared" si="59"/>
        <v/>
      </c>
      <c r="CC70" s="418" t="str">
        <f t="shared" si="4"/>
        <v/>
      </c>
      <c r="CD70" s="418" t="str">
        <f t="shared" si="5"/>
        <v/>
      </c>
      <c r="CE70" s="3381"/>
      <c r="CF70" s="3381"/>
      <c r="CG70" s="3380"/>
      <c r="CH70" s="3380"/>
      <c r="CI70" s="3380"/>
      <c r="CJ70" s="3381"/>
      <c r="CK70" s="418" t="str">
        <f t="shared" si="7"/>
        <v/>
      </c>
      <c r="CL70" s="418" t="str">
        <f t="shared" si="8"/>
        <v/>
      </c>
      <c r="CM70" s="418" t="str">
        <f t="shared" si="9"/>
        <v/>
      </c>
      <c r="CN70" s="418" t="str">
        <f t="shared" si="10"/>
        <v/>
      </c>
      <c r="CO70" s="418" t="str">
        <f t="shared" si="11"/>
        <v/>
      </c>
      <c r="CP70" s="418" t="str">
        <f t="shared" si="12"/>
        <v/>
      </c>
      <c r="CQ70" s="418" t="str">
        <f t="shared" si="13"/>
        <v/>
      </c>
      <c r="CR70" s="418" t="str">
        <f t="shared" si="14"/>
        <v/>
      </c>
      <c r="CS70" s="418" t="str">
        <f t="shared" si="15"/>
        <v/>
      </c>
      <c r="CT70" s="418" t="str">
        <f t="shared" si="16"/>
        <v/>
      </c>
      <c r="CU70" s="418" t="str">
        <f t="shared" si="17"/>
        <v/>
      </c>
      <c r="CV70" s="418" t="str">
        <f t="shared" si="18"/>
        <v/>
      </c>
      <c r="CW70" s="418" t="str">
        <f t="shared" si="19"/>
        <v/>
      </c>
      <c r="CX70" s="418" t="str">
        <f t="shared" si="20"/>
        <v/>
      </c>
      <c r="DE70" s="417"/>
      <c r="DF70" s="3389">
        <f t="shared" si="75"/>
        <v>0</v>
      </c>
      <c r="DG70" s="3375">
        <f t="shared" si="22"/>
        <v>0</v>
      </c>
      <c r="DH70" s="3375">
        <f t="shared" si="23"/>
        <v>0</v>
      </c>
      <c r="DI70" s="3375">
        <f t="shared" si="24"/>
        <v>0</v>
      </c>
      <c r="DJ70" s="3380"/>
      <c r="DK70" s="3380"/>
      <c r="DL70" s="3380"/>
      <c r="DM70" s="3380"/>
      <c r="DN70" s="3380"/>
      <c r="DO70" s="3374"/>
      <c r="DP70" s="3375">
        <f t="shared" si="26"/>
        <v>0</v>
      </c>
      <c r="DQ70" s="3375">
        <f t="shared" si="27"/>
        <v>0</v>
      </c>
      <c r="DR70" s="3375">
        <f t="shared" si="28"/>
        <v>0</v>
      </c>
      <c r="DS70" s="3375">
        <f t="shared" si="29"/>
        <v>0</v>
      </c>
      <c r="DT70" s="3375">
        <f t="shared" si="30"/>
        <v>0</v>
      </c>
      <c r="DU70" s="3375">
        <f t="shared" si="31"/>
        <v>0</v>
      </c>
      <c r="DV70" s="3375">
        <f t="shared" si="32"/>
        <v>0</v>
      </c>
      <c r="DW70" s="3375">
        <f t="shared" si="33"/>
        <v>0</v>
      </c>
      <c r="DX70" s="3375">
        <f t="shared" si="34"/>
        <v>0</v>
      </c>
      <c r="DY70" s="3375">
        <f t="shared" si="35"/>
        <v>0</v>
      </c>
      <c r="DZ70" s="3375">
        <f t="shared" si="36"/>
        <v>0</v>
      </c>
      <c r="EA70" s="3375">
        <f t="shared" si="37"/>
        <v>0</v>
      </c>
      <c r="EB70" s="3375">
        <f t="shared" si="38"/>
        <v>0</v>
      </c>
      <c r="EC70" s="3375">
        <f t="shared" si="39"/>
        <v>0</v>
      </c>
    </row>
    <row r="71" spans="1:133">
      <c r="A71" s="420" t="s">
        <v>1953</v>
      </c>
      <c r="B71" s="1737">
        <f>+P71+R71+T71+V71+X71+Z71+AB71+AD71+AF71+AH71</f>
        <v>0</v>
      </c>
      <c r="C71" s="1739">
        <f>+Q71+S71+U71+W71+Y71+AA71+AC71+AE71+AG71+AI71</f>
        <v>0</v>
      </c>
      <c r="D71" s="2880"/>
      <c r="E71" s="2885"/>
      <c r="F71" s="2381"/>
      <c r="G71" s="2885"/>
      <c r="H71" s="2381"/>
      <c r="I71" s="2885"/>
      <c r="J71" s="2381"/>
      <c r="K71" s="2885"/>
      <c r="L71" s="2381"/>
      <c r="M71" s="2382"/>
      <c r="N71" s="2880"/>
      <c r="O71" s="2885"/>
      <c r="P71" s="425"/>
      <c r="Q71" s="3376"/>
      <c r="R71" s="425"/>
      <c r="S71" s="3376"/>
      <c r="T71" s="425"/>
      <c r="U71" s="3376"/>
      <c r="V71" s="425"/>
      <c r="W71" s="3376"/>
      <c r="X71" s="425"/>
      <c r="Y71" s="3376"/>
      <c r="Z71" s="425"/>
      <c r="AA71" s="3376"/>
      <c r="AB71" s="425"/>
      <c r="AC71" s="3376"/>
      <c r="AD71" s="425"/>
      <c r="AE71" s="3376"/>
      <c r="AF71" s="425"/>
      <c r="AG71" s="3376"/>
      <c r="AH71" s="425"/>
      <c r="AI71" s="3376"/>
      <c r="AJ71" s="2381"/>
      <c r="AK71" s="2885"/>
      <c r="AL71" s="2381"/>
      <c r="AM71" s="2885"/>
      <c r="AN71" s="2381"/>
      <c r="AO71" s="2885"/>
      <c r="AP71" s="2381"/>
      <c r="AQ71" s="2882"/>
      <c r="AR71" s="423"/>
      <c r="AS71" s="426"/>
      <c r="AT71" s="3372"/>
      <c r="AU71" s="426"/>
      <c r="AV71" s="3392"/>
      <c r="AW71" s="2231"/>
      <c r="AX71" s="3373" t="str">
        <f>$CA71&amp;CB71&amp;CC71&amp;$CD71&amp;CK71&amp;CL71&amp;CM71&amp;CN71&amp;CO71&amp;CP71&amp;CQ71&amp;CR71&amp;CS71&amp;CT71</f>
        <v/>
      </c>
      <c r="CA71" s="418" t="str">
        <f t="shared" si="74"/>
        <v/>
      </c>
      <c r="CB71" s="418" t="str">
        <f t="shared" si="59"/>
        <v/>
      </c>
      <c r="CC71" s="418" t="str">
        <f t="shared" si="4"/>
        <v/>
      </c>
      <c r="CD71" s="418" t="str">
        <f t="shared" si="5"/>
        <v/>
      </c>
      <c r="CE71" s="3381"/>
      <c r="CF71" s="3381"/>
      <c r="CG71" s="3380"/>
      <c r="CH71" s="3380"/>
      <c r="CI71" s="3380"/>
      <c r="CJ71" s="3381"/>
      <c r="CK71" s="418" t="str">
        <f t="shared" si="7"/>
        <v/>
      </c>
      <c r="CL71" s="418" t="str">
        <f t="shared" si="8"/>
        <v/>
      </c>
      <c r="CM71" s="418" t="str">
        <f t="shared" si="9"/>
        <v/>
      </c>
      <c r="CN71" s="418" t="str">
        <f t="shared" si="10"/>
        <v/>
      </c>
      <c r="CO71" s="418" t="str">
        <f t="shared" si="11"/>
        <v/>
      </c>
      <c r="CP71" s="418" t="str">
        <f t="shared" si="12"/>
        <v/>
      </c>
      <c r="CQ71" s="418" t="str">
        <f t="shared" si="13"/>
        <v/>
      </c>
      <c r="CR71" s="418" t="str">
        <f t="shared" si="14"/>
        <v/>
      </c>
      <c r="CS71" s="418" t="str">
        <f t="shared" si="15"/>
        <v/>
      </c>
      <c r="CT71" s="418" t="str">
        <f t="shared" si="16"/>
        <v/>
      </c>
      <c r="CU71" s="3374"/>
      <c r="CV71" s="3374"/>
      <c r="CW71" s="3374"/>
      <c r="CX71" s="3374"/>
      <c r="DE71" s="417"/>
      <c r="DF71" s="3389">
        <f t="shared" si="75"/>
        <v>0</v>
      </c>
      <c r="DG71" s="3375">
        <f t="shared" si="22"/>
        <v>0</v>
      </c>
      <c r="DH71" s="3375">
        <f t="shared" si="23"/>
        <v>0</v>
      </c>
      <c r="DI71" s="3375">
        <f t="shared" si="24"/>
        <v>0</v>
      </c>
      <c r="DJ71" s="3380"/>
      <c r="DK71" s="3380"/>
      <c r="DL71" s="3380"/>
      <c r="DM71" s="3380"/>
      <c r="DN71" s="3380"/>
      <c r="DO71" s="3374"/>
      <c r="DP71" s="3375">
        <f t="shared" si="26"/>
        <v>0</v>
      </c>
      <c r="DQ71" s="3375">
        <f t="shared" si="27"/>
        <v>0</v>
      </c>
      <c r="DR71" s="3375">
        <f t="shared" si="28"/>
        <v>0</v>
      </c>
      <c r="DS71" s="3375">
        <f t="shared" si="29"/>
        <v>0</v>
      </c>
      <c r="DT71" s="3375">
        <f t="shared" si="30"/>
        <v>0</v>
      </c>
      <c r="DU71" s="3375">
        <f t="shared" si="31"/>
        <v>0</v>
      </c>
      <c r="DV71" s="3375">
        <f t="shared" si="32"/>
        <v>0</v>
      </c>
      <c r="DW71" s="3375">
        <f t="shared" si="33"/>
        <v>0</v>
      </c>
      <c r="DX71" s="3375">
        <f t="shared" si="34"/>
        <v>0</v>
      </c>
      <c r="DY71" s="3375">
        <f t="shared" si="35"/>
        <v>0</v>
      </c>
      <c r="DZ71" s="3374"/>
      <c r="EA71" s="3374"/>
      <c r="EB71" s="3374"/>
      <c r="EC71" s="3374"/>
    </row>
    <row r="72" spans="1:133">
      <c r="A72" s="420" t="s">
        <v>1954</v>
      </c>
      <c r="B72" s="1737">
        <f t="shared" ref="B72:C74" si="76">+D72+F72+H72+J72+L72+N72+P72+R72+T72+V72+X72+Z72+AB72+AD72+AF72+AH72+AJ72+AL72+AN72+AP72</f>
        <v>0</v>
      </c>
      <c r="C72" s="1739">
        <f t="shared" si="76"/>
        <v>0</v>
      </c>
      <c r="D72" s="423"/>
      <c r="E72" s="3376"/>
      <c r="F72" s="425"/>
      <c r="G72" s="3376"/>
      <c r="H72" s="425"/>
      <c r="I72" s="424"/>
      <c r="J72" s="423"/>
      <c r="K72" s="423"/>
      <c r="L72" s="425"/>
      <c r="M72" s="424"/>
      <c r="N72" s="423"/>
      <c r="O72" s="3376"/>
      <c r="P72" s="425"/>
      <c r="Q72" s="3376"/>
      <c r="R72" s="425"/>
      <c r="S72" s="3376"/>
      <c r="T72" s="425"/>
      <c r="U72" s="3376"/>
      <c r="V72" s="425"/>
      <c r="W72" s="3376"/>
      <c r="X72" s="425"/>
      <c r="Y72" s="3376"/>
      <c r="Z72" s="425"/>
      <c r="AA72" s="3376"/>
      <c r="AB72" s="425"/>
      <c r="AC72" s="3376"/>
      <c r="AD72" s="425"/>
      <c r="AE72" s="3376"/>
      <c r="AF72" s="425"/>
      <c r="AG72" s="3376"/>
      <c r="AH72" s="425"/>
      <c r="AI72" s="3376"/>
      <c r="AJ72" s="425"/>
      <c r="AK72" s="3376"/>
      <c r="AL72" s="425"/>
      <c r="AM72" s="3376"/>
      <c r="AN72" s="425"/>
      <c r="AO72" s="3376"/>
      <c r="AP72" s="425"/>
      <c r="AQ72" s="426"/>
      <c r="AR72" s="423"/>
      <c r="AS72" s="426"/>
      <c r="AT72" s="3372"/>
      <c r="AU72" s="426"/>
      <c r="AV72" s="3392"/>
      <c r="AW72" s="2231"/>
      <c r="AX72" s="3373" t="str">
        <f t="shared" ref="AX72:AX74" si="77">$CA72&amp;CB72&amp;CC72&amp;$CD72&amp;CJ72&amp;CK72&amp;CL72&amp;CM72&amp;CN72&amp;CO72&amp;CP72&amp;CQ72&amp;CR72&amp;CS72&amp;CT72&amp;CU72&amp;CV72&amp;CW72&amp;CX72&amp;CE72&amp;CF72&amp;CG72&amp;CH72&amp;CI72</f>
        <v/>
      </c>
      <c r="CA72" s="418" t="str">
        <f t="shared" si="74"/>
        <v/>
      </c>
      <c r="CB72" s="418" t="str">
        <f t="shared" si="59"/>
        <v/>
      </c>
      <c r="CC72" s="418" t="str">
        <f t="shared" si="4"/>
        <v/>
      </c>
      <c r="CD72" s="418" t="str">
        <f t="shared" si="5"/>
        <v/>
      </c>
      <c r="CE72" s="418" t="str">
        <f t="shared" si="42"/>
        <v/>
      </c>
      <c r="CF72" s="418" t="str">
        <f t="shared" si="43"/>
        <v/>
      </c>
      <c r="CG72" s="418" t="str">
        <f t="shared" si="44"/>
        <v/>
      </c>
      <c r="CH72" s="418" t="str">
        <f t="shared" si="52"/>
        <v/>
      </c>
      <c r="CI72" s="418" t="str">
        <f t="shared" si="53"/>
        <v/>
      </c>
      <c r="CJ72" s="418" t="str">
        <f t="shared" si="6"/>
        <v/>
      </c>
      <c r="CK72" s="418" t="str">
        <f t="shared" si="7"/>
        <v/>
      </c>
      <c r="CL72" s="418" t="str">
        <f t="shared" si="8"/>
        <v/>
      </c>
      <c r="CM72" s="418" t="str">
        <f t="shared" si="9"/>
        <v/>
      </c>
      <c r="CN72" s="418" t="str">
        <f t="shared" si="10"/>
        <v/>
      </c>
      <c r="CO72" s="418" t="str">
        <f t="shared" si="11"/>
        <v/>
      </c>
      <c r="CP72" s="418" t="str">
        <f t="shared" si="12"/>
        <v/>
      </c>
      <c r="CQ72" s="418" t="str">
        <f t="shared" si="13"/>
        <v/>
      </c>
      <c r="CR72" s="418" t="str">
        <f t="shared" si="14"/>
        <v/>
      </c>
      <c r="CS72" s="418" t="str">
        <f t="shared" si="15"/>
        <v/>
      </c>
      <c r="CT72" s="418" t="str">
        <f t="shared" si="16"/>
        <v/>
      </c>
      <c r="CU72" s="418" t="str">
        <f t="shared" si="17"/>
        <v/>
      </c>
      <c r="CV72" s="418" t="str">
        <f t="shared" si="18"/>
        <v/>
      </c>
      <c r="CW72" s="418" t="str">
        <f t="shared" si="19"/>
        <v/>
      </c>
      <c r="CX72" s="418" t="str">
        <f t="shared" si="20"/>
        <v/>
      </c>
      <c r="DE72" s="417"/>
      <c r="DF72" s="3389">
        <f t="shared" si="75"/>
        <v>0</v>
      </c>
      <c r="DG72" s="3375">
        <f t="shared" si="22"/>
        <v>0</v>
      </c>
      <c r="DH72" s="3375">
        <f t="shared" si="23"/>
        <v>0</v>
      </c>
      <c r="DI72" s="3375">
        <f t="shared" si="24"/>
        <v>0</v>
      </c>
      <c r="DJ72" s="3375">
        <f t="shared" si="45"/>
        <v>0</v>
      </c>
      <c r="DK72" s="3375">
        <f t="shared" si="46"/>
        <v>0</v>
      </c>
      <c r="DL72" s="3375">
        <f t="shared" si="47"/>
        <v>0</v>
      </c>
      <c r="DM72" s="3375">
        <f t="shared" si="54"/>
        <v>0</v>
      </c>
      <c r="DN72" s="3375">
        <f t="shared" si="55"/>
        <v>0</v>
      </c>
      <c r="DO72" s="3375">
        <f t="shared" si="25"/>
        <v>0</v>
      </c>
      <c r="DP72" s="3375">
        <f t="shared" si="26"/>
        <v>0</v>
      </c>
      <c r="DQ72" s="3375">
        <f t="shared" si="27"/>
        <v>0</v>
      </c>
      <c r="DR72" s="3375">
        <f t="shared" si="28"/>
        <v>0</v>
      </c>
      <c r="DS72" s="3375">
        <f t="shared" si="29"/>
        <v>0</v>
      </c>
      <c r="DT72" s="3375">
        <f t="shared" si="30"/>
        <v>0</v>
      </c>
      <c r="DU72" s="3375">
        <f t="shared" si="31"/>
        <v>0</v>
      </c>
      <c r="DV72" s="3375">
        <f t="shared" si="32"/>
        <v>0</v>
      </c>
      <c r="DW72" s="3375">
        <f t="shared" si="33"/>
        <v>0</v>
      </c>
      <c r="DX72" s="3375">
        <f t="shared" si="34"/>
        <v>0</v>
      </c>
      <c r="DY72" s="3375">
        <f t="shared" si="35"/>
        <v>0</v>
      </c>
      <c r="DZ72" s="3375">
        <f t="shared" si="36"/>
        <v>0</v>
      </c>
      <c r="EA72" s="3375">
        <f t="shared" si="37"/>
        <v>0</v>
      </c>
      <c r="EB72" s="3375">
        <f t="shared" si="38"/>
        <v>0</v>
      </c>
      <c r="EC72" s="3375">
        <f t="shared" si="39"/>
        <v>0</v>
      </c>
    </row>
    <row r="73" spans="1:133">
      <c r="A73" s="420" t="s">
        <v>1955</v>
      </c>
      <c r="B73" s="1737">
        <f t="shared" si="76"/>
        <v>0</v>
      </c>
      <c r="C73" s="1739">
        <f t="shared" si="76"/>
        <v>0</v>
      </c>
      <c r="D73" s="423"/>
      <c r="E73" s="3376"/>
      <c r="F73" s="425"/>
      <c r="G73" s="3376"/>
      <c r="H73" s="425"/>
      <c r="I73" s="424"/>
      <c r="J73" s="423"/>
      <c r="K73" s="423"/>
      <c r="L73" s="425"/>
      <c r="M73" s="424"/>
      <c r="N73" s="423"/>
      <c r="O73" s="3376"/>
      <c r="P73" s="425"/>
      <c r="Q73" s="3376"/>
      <c r="R73" s="425"/>
      <c r="S73" s="3376"/>
      <c r="T73" s="425"/>
      <c r="U73" s="3376"/>
      <c r="V73" s="425"/>
      <c r="W73" s="3376"/>
      <c r="X73" s="425"/>
      <c r="Y73" s="3376"/>
      <c r="Z73" s="425"/>
      <c r="AA73" s="3376"/>
      <c r="AB73" s="425"/>
      <c r="AC73" s="3376"/>
      <c r="AD73" s="425"/>
      <c r="AE73" s="3376"/>
      <c r="AF73" s="425"/>
      <c r="AG73" s="3376"/>
      <c r="AH73" s="425"/>
      <c r="AI73" s="3376"/>
      <c r="AJ73" s="425"/>
      <c r="AK73" s="3376"/>
      <c r="AL73" s="425"/>
      <c r="AM73" s="3376"/>
      <c r="AN73" s="425"/>
      <c r="AO73" s="3376"/>
      <c r="AP73" s="425"/>
      <c r="AQ73" s="426"/>
      <c r="AR73" s="423"/>
      <c r="AS73" s="426"/>
      <c r="AT73" s="3372"/>
      <c r="AU73" s="426"/>
      <c r="AV73" s="3392"/>
      <c r="AW73" s="2231"/>
      <c r="AX73" s="3373" t="str">
        <f t="shared" si="77"/>
        <v/>
      </c>
      <c r="CA73" s="418" t="str">
        <f t="shared" si="74"/>
        <v/>
      </c>
      <c r="CB73" s="418" t="str">
        <f t="shared" si="59"/>
        <v/>
      </c>
      <c r="CC73" s="418" t="str">
        <f t="shared" si="4"/>
        <v/>
      </c>
      <c r="CD73" s="418" t="str">
        <f t="shared" si="5"/>
        <v/>
      </c>
      <c r="CE73" s="418" t="str">
        <f t="shared" si="42"/>
        <v/>
      </c>
      <c r="CF73" s="418" t="str">
        <f t="shared" si="43"/>
        <v/>
      </c>
      <c r="CG73" s="418" t="str">
        <f t="shared" si="44"/>
        <v/>
      </c>
      <c r="CH73" s="418" t="str">
        <f t="shared" si="52"/>
        <v/>
      </c>
      <c r="CI73" s="418" t="str">
        <f t="shared" si="53"/>
        <v/>
      </c>
      <c r="CJ73" s="418" t="str">
        <f t="shared" si="6"/>
        <v/>
      </c>
      <c r="CK73" s="418" t="str">
        <f t="shared" si="7"/>
        <v/>
      </c>
      <c r="CL73" s="418" t="str">
        <f t="shared" si="8"/>
        <v/>
      </c>
      <c r="CM73" s="418" t="str">
        <f t="shared" si="9"/>
        <v/>
      </c>
      <c r="CN73" s="418" t="str">
        <f t="shared" si="10"/>
        <v/>
      </c>
      <c r="CO73" s="418" t="str">
        <f t="shared" si="11"/>
        <v/>
      </c>
      <c r="CP73" s="418" t="str">
        <f t="shared" si="12"/>
        <v/>
      </c>
      <c r="CQ73" s="418" t="str">
        <f t="shared" si="13"/>
        <v/>
      </c>
      <c r="CR73" s="418" t="str">
        <f t="shared" si="14"/>
        <v/>
      </c>
      <c r="CS73" s="418" t="str">
        <f t="shared" si="15"/>
        <v/>
      </c>
      <c r="CT73" s="418" t="str">
        <f t="shared" si="16"/>
        <v/>
      </c>
      <c r="CU73" s="418" t="str">
        <f t="shared" si="17"/>
        <v/>
      </c>
      <c r="CV73" s="418" t="str">
        <f t="shared" si="18"/>
        <v/>
      </c>
      <c r="CW73" s="418" t="str">
        <f t="shared" si="19"/>
        <v/>
      </c>
      <c r="CX73" s="418" t="str">
        <f t="shared" si="20"/>
        <v/>
      </c>
      <c r="DE73" s="417"/>
      <c r="DF73" s="3389">
        <f t="shared" si="75"/>
        <v>0</v>
      </c>
      <c r="DG73" s="3375">
        <f t="shared" si="22"/>
        <v>0</v>
      </c>
      <c r="DH73" s="3375">
        <f t="shared" si="23"/>
        <v>0</v>
      </c>
      <c r="DI73" s="3375">
        <f t="shared" si="24"/>
        <v>0</v>
      </c>
      <c r="DJ73" s="3375">
        <f t="shared" si="45"/>
        <v>0</v>
      </c>
      <c r="DK73" s="3375">
        <f t="shared" si="46"/>
        <v>0</v>
      </c>
      <c r="DL73" s="3375">
        <f t="shared" si="47"/>
        <v>0</v>
      </c>
      <c r="DM73" s="3375">
        <f t="shared" si="54"/>
        <v>0</v>
      </c>
      <c r="DN73" s="3375">
        <f t="shared" si="55"/>
        <v>0</v>
      </c>
      <c r="DO73" s="3375">
        <f t="shared" si="25"/>
        <v>0</v>
      </c>
      <c r="DP73" s="3375">
        <f t="shared" si="26"/>
        <v>0</v>
      </c>
      <c r="DQ73" s="3375">
        <f t="shared" si="27"/>
        <v>0</v>
      </c>
      <c r="DR73" s="3375">
        <f t="shared" si="28"/>
        <v>0</v>
      </c>
      <c r="DS73" s="3375">
        <f t="shared" si="29"/>
        <v>0</v>
      </c>
      <c r="DT73" s="3375">
        <f t="shared" si="30"/>
        <v>0</v>
      </c>
      <c r="DU73" s="3375">
        <f t="shared" si="31"/>
        <v>0</v>
      </c>
      <c r="DV73" s="3375">
        <f t="shared" si="32"/>
        <v>0</v>
      </c>
      <c r="DW73" s="3375">
        <f t="shared" si="33"/>
        <v>0</v>
      </c>
      <c r="DX73" s="3375">
        <f t="shared" si="34"/>
        <v>0</v>
      </c>
      <c r="DY73" s="3375">
        <f t="shared" si="35"/>
        <v>0</v>
      </c>
      <c r="DZ73" s="3375">
        <f t="shared" si="36"/>
        <v>0</v>
      </c>
      <c r="EA73" s="3375">
        <f t="shared" si="37"/>
        <v>0</v>
      </c>
      <c r="EB73" s="3375">
        <f t="shared" si="38"/>
        <v>0</v>
      </c>
      <c r="EC73" s="3375">
        <f t="shared" si="39"/>
        <v>0</v>
      </c>
    </row>
    <row r="74" spans="1:133">
      <c r="A74" s="3390" t="s">
        <v>1956</v>
      </c>
      <c r="B74" s="1755">
        <f t="shared" si="76"/>
        <v>0</v>
      </c>
      <c r="C74" s="1757">
        <f t="shared" si="76"/>
        <v>0</v>
      </c>
      <c r="D74" s="3385"/>
      <c r="E74" s="3384"/>
      <c r="F74" s="432"/>
      <c r="G74" s="3384"/>
      <c r="H74" s="432"/>
      <c r="I74" s="433"/>
      <c r="J74" s="3385"/>
      <c r="K74" s="3385"/>
      <c r="L74" s="432"/>
      <c r="M74" s="433"/>
      <c r="N74" s="3385"/>
      <c r="O74" s="3384"/>
      <c r="P74" s="432"/>
      <c r="Q74" s="3384"/>
      <c r="R74" s="432"/>
      <c r="S74" s="3384"/>
      <c r="T74" s="432"/>
      <c r="U74" s="3384"/>
      <c r="V74" s="432"/>
      <c r="W74" s="3384"/>
      <c r="X74" s="432"/>
      <c r="Y74" s="3384"/>
      <c r="Z74" s="432"/>
      <c r="AA74" s="3384"/>
      <c r="AB74" s="432"/>
      <c r="AC74" s="3384"/>
      <c r="AD74" s="432"/>
      <c r="AE74" s="3384"/>
      <c r="AF74" s="432"/>
      <c r="AG74" s="3384"/>
      <c r="AH74" s="432"/>
      <c r="AI74" s="3384"/>
      <c r="AJ74" s="432"/>
      <c r="AK74" s="3384"/>
      <c r="AL74" s="432"/>
      <c r="AM74" s="3384"/>
      <c r="AN74" s="432"/>
      <c r="AO74" s="3384"/>
      <c r="AP74" s="432"/>
      <c r="AQ74" s="445"/>
      <c r="AR74" s="3385"/>
      <c r="AS74" s="445"/>
      <c r="AT74" s="3386"/>
      <c r="AU74" s="445"/>
      <c r="AV74" s="3393"/>
      <c r="AW74" s="2235"/>
      <c r="AX74" s="3373" t="str">
        <f t="shared" si="77"/>
        <v/>
      </c>
      <c r="CA74" s="418" t="str">
        <f t="shared" si="74"/>
        <v/>
      </c>
      <c r="CB74" s="418" t="str">
        <f t="shared" si="59"/>
        <v/>
      </c>
      <c r="CC74" s="418" t="str">
        <f t="shared" si="4"/>
        <v/>
      </c>
      <c r="CD74" s="418" t="str">
        <f t="shared" si="5"/>
        <v/>
      </c>
      <c r="CE74" s="418" t="str">
        <f t="shared" si="42"/>
        <v/>
      </c>
      <c r="CF74" s="418" t="str">
        <f t="shared" si="43"/>
        <v/>
      </c>
      <c r="CG74" s="418" t="str">
        <f t="shared" si="44"/>
        <v/>
      </c>
      <c r="CH74" s="418" t="str">
        <f t="shared" si="52"/>
        <v/>
      </c>
      <c r="CI74" s="418" t="str">
        <f t="shared" si="53"/>
        <v/>
      </c>
      <c r="CJ74" s="418" t="str">
        <f t="shared" si="6"/>
        <v/>
      </c>
      <c r="CK74" s="418" t="str">
        <f t="shared" si="7"/>
        <v/>
      </c>
      <c r="CL74" s="418" t="str">
        <f t="shared" si="8"/>
        <v/>
      </c>
      <c r="CM74" s="418" t="str">
        <f t="shared" si="9"/>
        <v/>
      </c>
      <c r="CN74" s="418" t="str">
        <f t="shared" si="10"/>
        <v/>
      </c>
      <c r="CO74" s="418" t="str">
        <f t="shared" si="11"/>
        <v/>
      </c>
      <c r="CP74" s="418" t="str">
        <f t="shared" si="12"/>
        <v/>
      </c>
      <c r="CQ74" s="418" t="str">
        <f t="shared" si="13"/>
        <v/>
      </c>
      <c r="CR74" s="418" t="str">
        <f t="shared" si="14"/>
        <v/>
      </c>
      <c r="CS74" s="418" t="str">
        <f t="shared" si="15"/>
        <v/>
      </c>
      <c r="CT74" s="418" t="str">
        <f t="shared" si="16"/>
        <v/>
      </c>
      <c r="CU74" s="418" t="str">
        <f t="shared" si="17"/>
        <v/>
      </c>
      <c r="CV74" s="418" t="str">
        <f t="shared" si="18"/>
        <v/>
      </c>
      <c r="CW74" s="418" t="str">
        <f t="shared" si="19"/>
        <v/>
      </c>
      <c r="CX74" s="418" t="str">
        <f t="shared" si="20"/>
        <v/>
      </c>
      <c r="DE74" s="417"/>
      <c r="DF74" s="3389">
        <f t="shared" si="75"/>
        <v>0</v>
      </c>
      <c r="DG74" s="3375">
        <f t="shared" si="22"/>
        <v>0</v>
      </c>
      <c r="DH74" s="3375">
        <f t="shared" si="23"/>
        <v>0</v>
      </c>
      <c r="DI74" s="3375">
        <f t="shared" si="24"/>
        <v>0</v>
      </c>
      <c r="DJ74" s="3375">
        <f t="shared" si="45"/>
        <v>0</v>
      </c>
      <c r="DK74" s="3375">
        <f t="shared" si="46"/>
        <v>0</v>
      </c>
      <c r="DL74" s="3375">
        <f t="shared" si="47"/>
        <v>0</v>
      </c>
      <c r="DM74" s="3375">
        <f t="shared" si="54"/>
        <v>0</v>
      </c>
      <c r="DN74" s="3375">
        <f t="shared" si="55"/>
        <v>0</v>
      </c>
      <c r="DO74" s="3375">
        <f t="shared" si="25"/>
        <v>0</v>
      </c>
      <c r="DP74" s="3375">
        <f t="shared" si="26"/>
        <v>0</v>
      </c>
      <c r="DQ74" s="3375">
        <f t="shared" si="27"/>
        <v>0</v>
      </c>
      <c r="DR74" s="3375">
        <f t="shared" si="28"/>
        <v>0</v>
      </c>
      <c r="DS74" s="3375">
        <f t="shared" si="29"/>
        <v>0</v>
      </c>
      <c r="DT74" s="3375">
        <f t="shared" si="30"/>
        <v>0</v>
      </c>
      <c r="DU74" s="3375">
        <f t="shared" si="31"/>
        <v>0</v>
      </c>
      <c r="DV74" s="3375">
        <f t="shared" si="32"/>
        <v>0</v>
      </c>
      <c r="DW74" s="3375">
        <f t="shared" si="33"/>
        <v>0</v>
      </c>
      <c r="DX74" s="3375">
        <f t="shared" si="34"/>
        <v>0</v>
      </c>
      <c r="DY74" s="3375">
        <f t="shared" si="35"/>
        <v>0</v>
      </c>
      <c r="DZ74" s="3375">
        <f t="shared" si="36"/>
        <v>0</v>
      </c>
      <c r="EA74" s="3375">
        <f t="shared" si="37"/>
        <v>0</v>
      </c>
      <c r="EB74" s="3375">
        <f t="shared" si="38"/>
        <v>0</v>
      </c>
      <c r="EC74" s="3375">
        <f t="shared" si="39"/>
        <v>0</v>
      </c>
    </row>
    <row r="75" spans="1:133" ht="18" customHeight="1">
      <c r="A75" s="3388" t="s">
        <v>1959</v>
      </c>
      <c r="B75" s="3388"/>
      <c r="C75" s="3388"/>
      <c r="D75" s="3388"/>
      <c r="E75" s="3388"/>
      <c r="F75" s="3388"/>
      <c r="G75" s="3388"/>
      <c r="H75" s="3388"/>
      <c r="I75" s="3388"/>
      <c r="J75" s="3388"/>
      <c r="K75" s="3388"/>
      <c r="L75" s="3388"/>
      <c r="M75" s="3388"/>
      <c r="N75" s="3388"/>
      <c r="O75" s="3388"/>
      <c r="P75" s="3388"/>
      <c r="Q75" s="3388"/>
      <c r="R75" s="3388"/>
      <c r="S75" s="3388"/>
      <c r="T75" s="3388"/>
      <c r="U75" s="3388"/>
      <c r="V75" s="3388"/>
      <c r="W75" s="3388"/>
      <c r="X75" s="3388"/>
      <c r="Y75" s="3388"/>
      <c r="Z75" s="3388"/>
      <c r="AA75" s="3388"/>
      <c r="AB75" s="3388"/>
      <c r="AC75" s="3388"/>
      <c r="AD75" s="3388"/>
      <c r="AE75" s="3388"/>
      <c r="AF75" s="3388"/>
      <c r="AG75" s="3388"/>
      <c r="AH75" s="3388"/>
      <c r="AI75" s="3388"/>
      <c r="AJ75" s="3388"/>
      <c r="AK75" s="3388"/>
      <c r="AL75" s="3388"/>
      <c r="AM75" s="3388"/>
      <c r="AN75" s="3388"/>
      <c r="AO75" s="3388"/>
      <c r="AP75" s="3388"/>
      <c r="AQ75" s="3388"/>
      <c r="AR75" s="3366"/>
      <c r="AS75" s="3366"/>
      <c r="AT75" s="3366"/>
      <c r="AU75" s="3366"/>
      <c r="AV75" s="3366"/>
      <c r="AW75" s="3366"/>
    </row>
    <row r="76" spans="1:133">
      <c r="A76" s="5718" t="s">
        <v>1933</v>
      </c>
      <c r="B76" s="6153" t="s">
        <v>91</v>
      </c>
      <c r="C76" s="6154"/>
      <c r="D76" s="5707" t="s">
        <v>43</v>
      </c>
      <c r="E76" s="5708"/>
      <c r="F76" s="5708"/>
      <c r="G76" s="5708"/>
      <c r="H76" s="5708"/>
      <c r="I76" s="5708"/>
      <c r="J76" s="5708"/>
      <c r="K76" s="5708"/>
      <c r="L76" s="5708"/>
      <c r="M76" s="5708"/>
      <c r="N76" s="5708"/>
      <c r="O76" s="5708"/>
      <c r="P76" s="5708"/>
      <c r="Q76" s="5708"/>
      <c r="R76" s="5708"/>
      <c r="S76" s="5708"/>
      <c r="T76" s="5708"/>
      <c r="U76" s="5708"/>
      <c r="V76" s="5708"/>
      <c r="W76" s="5708"/>
      <c r="X76" s="5708"/>
      <c r="Y76" s="5708"/>
      <c r="Z76" s="5708"/>
      <c r="AA76" s="5708"/>
      <c r="AB76" s="5708"/>
      <c r="AC76" s="5708"/>
      <c r="AD76" s="5708"/>
      <c r="AE76" s="5708"/>
      <c r="AF76" s="5708"/>
      <c r="AG76" s="5708"/>
      <c r="AH76" s="5708"/>
      <c r="AI76" s="5708"/>
      <c r="AJ76" s="5708"/>
      <c r="AK76" s="5708"/>
      <c r="AL76" s="5708"/>
      <c r="AM76" s="5708"/>
      <c r="AN76" s="5708"/>
      <c r="AO76" s="5708"/>
      <c r="AP76" s="5708"/>
      <c r="AQ76" s="6147"/>
      <c r="AR76" s="6106" t="s">
        <v>1934</v>
      </c>
      <c r="AS76" s="5716"/>
      <c r="AT76" s="6749" t="s">
        <v>478</v>
      </c>
      <c r="AU76" s="6750"/>
      <c r="AV76" s="6762" t="s">
        <v>50</v>
      </c>
      <c r="AW76" s="6119" t="s">
        <v>51</v>
      </c>
    </row>
    <row r="77" spans="1:133">
      <c r="A77" s="6110"/>
      <c r="B77" s="6156"/>
      <c r="C77" s="6157"/>
      <c r="D77" s="5710" t="s">
        <v>1935</v>
      </c>
      <c r="E77" s="6106"/>
      <c r="F77" s="5710" t="s">
        <v>963</v>
      </c>
      <c r="G77" s="6106"/>
      <c r="H77" s="5710" t="s">
        <v>1936</v>
      </c>
      <c r="I77" s="5712"/>
      <c r="J77" s="6106" t="s">
        <v>965</v>
      </c>
      <c r="K77" s="6106"/>
      <c r="L77" s="5710" t="s">
        <v>347</v>
      </c>
      <c r="M77" s="6106"/>
      <c r="N77" s="5710" t="s">
        <v>108</v>
      </c>
      <c r="O77" s="6106"/>
      <c r="P77" s="5710" t="s">
        <v>58</v>
      </c>
      <c r="Q77" s="6106"/>
      <c r="R77" s="5710" t="s">
        <v>59</v>
      </c>
      <c r="S77" s="6106"/>
      <c r="T77" s="5710" t="s">
        <v>60</v>
      </c>
      <c r="U77" s="5712"/>
      <c r="V77" s="5710" t="s">
        <v>61</v>
      </c>
      <c r="W77" s="5712"/>
      <c r="X77" s="5710" t="s">
        <v>62</v>
      </c>
      <c r="Y77" s="5712"/>
      <c r="Z77" s="5710" t="s">
        <v>63</v>
      </c>
      <c r="AA77" s="5712"/>
      <c r="AB77" s="5710" t="s">
        <v>64</v>
      </c>
      <c r="AC77" s="5712"/>
      <c r="AD77" s="5710" t="s">
        <v>65</v>
      </c>
      <c r="AE77" s="5712"/>
      <c r="AF77" s="5710" t="s">
        <v>66</v>
      </c>
      <c r="AG77" s="5712"/>
      <c r="AH77" s="5710" t="s">
        <v>67</v>
      </c>
      <c r="AI77" s="5712"/>
      <c r="AJ77" s="5710" t="s">
        <v>68</v>
      </c>
      <c r="AK77" s="5712"/>
      <c r="AL77" s="5710" t="s">
        <v>69</v>
      </c>
      <c r="AM77" s="5712"/>
      <c r="AN77" s="5710" t="s">
        <v>70</v>
      </c>
      <c r="AO77" s="5712"/>
      <c r="AP77" s="5710" t="s">
        <v>71</v>
      </c>
      <c r="AQ77" s="5716"/>
      <c r="AR77" s="6133" t="s">
        <v>72</v>
      </c>
      <c r="AS77" s="6228" t="s">
        <v>73</v>
      </c>
      <c r="AT77" s="6751"/>
      <c r="AU77" s="6752"/>
      <c r="AV77" s="6763"/>
      <c r="AW77" s="6120"/>
    </row>
    <row r="78" spans="1:133">
      <c r="A78" s="5719"/>
      <c r="B78" s="1396" t="s">
        <v>1937</v>
      </c>
      <c r="C78" s="1584" t="s">
        <v>1938</v>
      </c>
      <c r="D78" s="1395" t="s">
        <v>1937</v>
      </c>
      <c r="E78" s="1646" t="s">
        <v>1938</v>
      </c>
      <c r="F78" s="1395" t="s">
        <v>1937</v>
      </c>
      <c r="G78" s="1646" t="s">
        <v>1938</v>
      </c>
      <c r="H78" s="1395" t="s">
        <v>1937</v>
      </c>
      <c r="I78" s="1584" t="s">
        <v>1938</v>
      </c>
      <c r="J78" s="1396" t="s">
        <v>1937</v>
      </c>
      <c r="K78" s="1646" t="s">
        <v>1938</v>
      </c>
      <c r="L78" s="1395" t="s">
        <v>1937</v>
      </c>
      <c r="M78" s="1646" t="s">
        <v>1938</v>
      </c>
      <c r="N78" s="1395" t="s">
        <v>1937</v>
      </c>
      <c r="O78" s="1646" t="s">
        <v>1938</v>
      </c>
      <c r="P78" s="1395" t="s">
        <v>1937</v>
      </c>
      <c r="Q78" s="1646" t="s">
        <v>1938</v>
      </c>
      <c r="R78" s="1395" t="s">
        <v>1937</v>
      </c>
      <c r="S78" s="1646" t="s">
        <v>1938</v>
      </c>
      <c r="T78" s="1395" t="s">
        <v>1937</v>
      </c>
      <c r="U78" s="1646" t="s">
        <v>1938</v>
      </c>
      <c r="V78" s="1395" t="s">
        <v>1937</v>
      </c>
      <c r="W78" s="1646" t="s">
        <v>1938</v>
      </c>
      <c r="X78" s="1395" t="s">
        <v>1937</v>
      </c>
      <c r="Y78" s="1646" t="s">
        <v>1938</v>
      </c>
      <c r="Z78" s="1395" t="s">
        <v>1937</v>
      </c>
      <c r="AA78" s="1646" t="s">
        <v>1938</v>
      </c>
      <c r="AB78" s="1395" t="s">
        <v>1937</v>
      </c>
      <c r="AC78" s="1646" t="s">
        <v>1938</v>
      </c>
      <c r="AD78" s="1395" t="s">
        <v>1937</v>
      </c>
      <c r="AE78" s="1646" t="s">
        <v>1938</v>
      </c>
      <c r="AF78" s="1395" t="s">
        <v>1937</v>
      </c>
      <c r="AG78" s="1646" t="s">
        <v>1938</v>
      </c>
      <c r="AH78" s="1395" t="s">
        <v>1937</v>
      </c>
      <c r="AI78" s="1646" t="s">
        <v>1938</v>
      </c>
      <c r="AJ78" s="1395" t="s">
        <v>1937</v>
      </c>
      <c r="AK78" s="1646" t="s">
        <v>1938</v>
      </c>
      <c r="AL78" s="1395" t="s">
        <v>1937</v>
      </c>
      <c r="AM78" s="1646" t="s">
        <v>1938</v>
      </c>
      <c r="AN78" s="1395" t="s">
        <v>1937</v>
      </c>
      <c r="AO78" s="1646" t="s">
        <v>1938</v>
      </c>
      <c r="AP78" s="1395" t="s">
        <v>1937</v>
      </c>
      <c r="AQ78" s="1398" t="s">
        <v>1938</v>
      </c>
      <c r="AR78" s="6134"/>
      <c r="AS78" s="6229"/>
      <c r="AT78" s="1704" t="s">
        <v>483</v>
      </c>
      <c r="AU78" s="1706" t="s">
        <v>484</v>
      </c>
      <c r="AV78" s="6764"/>
      <c r="AW78" s="6116"/>
    </row>
    <row r="79" spans="1:133">
      <c r="A79" s="446" t="s">
        <v>1939</v>
      </c>
      <c r="B79" s="2393">
        <f>+N79+P79+R79+T79+V79+X79+Z79+AB79+AD79+AF79+AH79+AJ79+AL79+AN79+AP79</f>
        <v>0</v>
      </c>
      <c r="C79" s="1736">
        <f t="shared" ref="B79:C86" si="78">+O79+Q79+S79+U79+W79+Y79+AA79+AC79+AE79+AG79+AI79+AK79+AM79+AO79+AQ79</f>
        <v>0</v>
      </c>
      <c r="D79" s="2880"/>
      <c r="E79" s="2885"/>
      <c r="F79" s="2381"/>
      <c r="G79" s="2885"/>
      <c r="H79" s="2381"/>
      <c r="I79" s="2885"/>
      <c r="J79" s="2381"/>
      <c r="K79" s="2885"/>
      <c r="L79" s="2381"/>
      <c r="M79" s="2382"/>
      <c r="N79" s="423"/>
      <c r="O79" s="3376"/>
      <c r="P79" s="425"/>
      <c r="Q79" s="3376"/>
      <c r="R79" s="425"/>
      <c r="S79" s="3376"/>
      <c r="T79" s="425"/>
      <c r="U79" s="3376"/>
      <c r="V79" s="425"/>
      <c r="W79" s="3376"/>
      <c r="X79" s="425"/>
      <c r="Y79" s="3376"/>
      <c r="Z79" s="425"/>
      <c r="AA79" s="3376"/>
      <c r="AB79" s="425"/>
      <c r="AC79" s="3376"/>
      <c r="AD79" s="425"/>
      <c r="AE79" s="3376"/>
      <c r="AF79" s="425"/>
      <c r="AG79" s="3376"/>
      <c r="AH79" s="425"/>
      <c r="AI79" s="3376"/>
      <c r="AJ79" s="425"/>
      <c r="AK79" s="3376"/>
      <c r="AL79" s="425"/>
      <c r="AM79" s="3376"/>
      <c r="AN79" s="425"/>
      <c r="AO79" s="3376"/>
      <c r="AP79" s="425"/>
      <c r="AQ79" s="426"/>
      <c r="AR79" s="3371"/>
      <c r="AS79" s="426"/>
      <c r="AT79" s="3372"/>
      <c r="AU79" s="426"/>
      <c r="AV79" s="3391"/>
      <c r="AW79" s="2231"/>
      <c r="AX79" s="3373" t="str">
        <f t="shared" ref="AX79:AX86" si="79">$CA79&amp;CB79&amp;CC79&amp;$CD79&amp;CJ79&amp;CK79&amp;CL79&amp;CM79&amp;CN79&amp;CO79&amp;CP79&amp;CQ79&amp;CR79&amp;CS79&amp;CT79&amp;CU79&amp;CV79&amp;CW79&amp;CX79</f>
        <v/>
      </c>
      <c r="CA79" s="418" t="str">
        <f t="shared" ref="CA79:CA83" si="80">IF(B79&lt;&gt;(AS79)," * La suma de las columnas "&amp;AR$10&amp;""&amp;" DEBE SER IGUAL a los Exámenes Procesados. ","")</f>
        <v/>
      </c>
      <c r="CB79" s="418" t="str">
        <f t="shared" si="59"/>
        <v/>
      </c>
      <c r="CC79" s="418" t="str">
        <f t="shared" ref="CC79:CC96" si="81">IF(AND($B79&gt;0,AV79=""),"* No olvide ingresar la columna "&amp;AV$10&amp;""&amp;" *(Digite CERO si no tiene). ",IF(AV79&gt;$B79," *El Número de "&amp;AV$10&amp;""&amp;" no puede superar el Total Procesados. ",""))</f>
        <v/>
      </c>
      <c r="CD79" s="418" t="str">
        <f t="shared" ref="CD79:CD96" si="82">IF(AND($B79&gt;0,AW79=""),"* No olvide ingresar la columna "&amp;AW$10&amp;""&amp;" *(Digite CERO si no tiene). ",IF(AW79&gt;$B79," *El Número de "&amp;AW$10&amp;""&amp;" no puede superar el Total Procesados. ",""))</f>
        <v/>
      </c>
      <c r="CE79" s="3374"/>
      <c r="CF79" s="3374"/>
      <c r="CG79" s="3374"/>
      <c r="CH79" s="3374"/>
      <c r="CI79" s="3374"/>
      <c r="CJ79" s="418" t="str">
        <f t="shared" ref="CJ79:CJ96" si="83">IF(N79&lt;O79,CONCATENATE("* El total de Procesados debe ser mayor o igual al total de Reactivos en el grupo de edad ",$N$11),"")</f>
        <v/>
      </c>
      <c r="CK79" s="418" t="str">
        <f t="shared" ref="CK79:CK96" si="84">IF(P79&lt;Q79,CONCATENATE("* El total de Procesados debe ser mayor o igual al total de Reactivos en el grupo de edad ",$P$11),"")</f>
        <v/>
      </c>
      <c r="CL79" s="418" t="str">
        <f t="shared" ref="CL79:CL96" si="85">IF(R79&lt;S79,CONCATENATE("* El total de Procesados debe ser mayor o igual al total de Reactivos en el grupo de edad ",$R$11),"")</f>
        <v/>
      </c>
      <c r="CM79" s="418" t="str">
        <f t="shared" ref="CM79:CM96" si="86">IF($T79&lt;$U79,CONCATENATE("* El total de Procesados debe ser mayor o igual al total de Reactivos en el grupo de edad ",$T$11),"")</f>
        <v/>
      </c>
      <c r="CN79" s="418" t="str">
        <f t="shared" ref="CN79:CN96" si="87">IF(V79&lt;W79,CONCATENATE("* El total de Procesados debe ser mayor o igual al total de Reactivos en el grupo de edad ",$V$11),"")</f>
        <v/>
      </c>
      <c r="CO79" s="418" t="str">
        <f t="shared" ref="CO79:CO96" si="88">IF(X79&lt;Y79,CONCATENATE("* El total de Procesados debe ser mayor o igual al total de Reactivos en el grupo de edad ",$X$11),"")</f>
        <v/>
      </c>
      <c r="CP79" s="418" t="str">
        <f t="shared" ref="CP79:CP96" si="89">IF(Z79&lt;AA79,CONCATENATE("* El total de Procesados debe ser mayor o igual al total de Reactivos en el grupo de edad ",$Z$11),"")</f>
        <v/>
      </c>
      <c r="CQ79" s="418" t="str">
        <f t="shared" ref="CQ79:CQ96" si="90">IF(AB79&lt;AC79,CONCATENATE("* El total de Procesados debe ser mayor o igual al total de Reactivos en el grupo de edad ",$AB$11),"")</f>
        <v/>
      </c>
      <c r="CR79" s="418" t="str">
        <f t="shared" ref="CR79:CR96" si="91">IF(AD79&lt;AE79,CONCATENATE("* El total de Procesados debe ser mayor o igual al total de Reactivos en el grupo de edad ",$AD$11),"")</f>
        <v/>
      </c>
      <c r="CS79" s="418" t="str">
        <f t="shared" ref="CS79:CS96" si="92">IF(AF79&lt;AG79,CONCATENATE("* El total de Procesados debe ser mayor o igual al total de Reactivos en el grupo de edad ",$AF$11),"")</f>
        <v/>
      </c>
      <c r="CT79" s="418" t="str">
        <f t="shared" ref="CT79:CT96" si="93">IF(AH79&lt;AI79,CONCATENATE("* El total de Procesados debe ser mayor o igual al total de Reactivos en el grupo de edad ",$AH$11),"")</f>
        <v/>
      </c>
      <c r="CU79" s="418" t="str">
        <f t="shared" ref="CU79:CU96" si="94">IF(AJ79&lt;AK79,CONCATENATE("* El total de Procesados debe ser mayor o igual al total de Reactivos en el grupo de edad ",$AJ$11),"")</f>
        <v/>
      </c>
      <c r="CV79" s="418" t="str">
        <f t="shared" ref="CV79:CV96" si="95">IF(AL79&lt;AM79,CONCATENATE("* El total de Procesados debe ser mayor o igual al total de Reactivos en el grupo de edad ",$AL$11),"")</f>
        <v/>
      </c>
      <c r="CW79" s="418" t="str">
        <f t="shared" ref="CW79:CW96" si="96">IF(AN79&lt;AO79,CONCATENATE("* El total de Procesados debe ser mayor o igual al total de Reactivos en el grupo de edad ",$AN$11),"")</f>
        <v/>
      </c>
      <c r="CX79" s="418" t="str">
        <f t="shared" ref="CX79:CX96" si="97">IF(AP79&lt;AQ79,CONCATENATE("* El total de Procesados debe ser mayor o igual al total de Reactivos en el grupo de edad ",$AP$11),"")</f>
        <v/>
      </c>
      <c r="DE79" s="417"/>
      <c r="DF79" s="3389">
        <f t="shared" ref="DF79:DF83" si="98">IF(B79&lt;&gt;(AS79),1,0)</f>
        <v>0</v>
      </c>
      <c r="DG79" s="3375">
        <f t="shared" ref="DG79:DG96" si="99">IF(AND($B79&gt;0,AND(AT79="",AU79="")),1,IF((AT79+AU79)&gt;$B79,1,0))</f>
        <v>0</v>
      </c>
      <c r="DH79" s="3375">
        <f t="shared" ref="DH79:DH96" si="100">IF(AND($B79&gt;0,AV79=""),1,IF(AV79&gt;$B79,1,0))</f>
        <v>0</v>
      </c>
      <c r="DI79" s="3375">
        <f t="shared" ref="DI79:DI96" si="101">IF(AND($B79&gt;0,AW79=""),1,IF(AW79&gt;$B79,1,0))</f>
        <v>0</v>
      </c>
      <c r="DJ79" s="3374"/>
      <c r="DK79" s="3374"/>
      <c r="DL79" s="3374"/>
      <c r="DM79" s="3374"/>
      <c r="DN79" s="3374"/>
      <c r="DO79" s="3375">
        <f t="shared" ref="DO79:DO96" si="102">IF(N79&lt;O79,1,0)</f>
        <v>0</v>
      </c>
      <c r="DP79" s="3375">
        <f t="shared" ref="DP79:DP96" si="103">IF(P79&lt;Q79,1,0)</f>
        <v>0</v>
      </c>
      <c r="DQ79" s="3375">
        <f t="shared" ref="DQ79:DQ96" si="104">IF(R79&lt;S79,1,0)</f>
        <v>0</v>
      </c>
      <c r="DR79" s="3375">
        <f t="shared" ref="DR79:DR96" si="105">IF($T79&lt;$U79,1,0)</f>
        <v>0</v>
      </c>
      <c r="DS79" s="3375">
        <f t="shared" ref="DS79:DS96" si="106">IF(V79&lt;W79,1,0)</f>
        <v>0</v>
      </c>
      <c r="DT79" s="3375">
        <f t="shared" ref="DT79:DT96" si="107">IF(X79&lt;Y79,1,0)</f>
        <v>0</v>
      </c>
      <c r="DU79" s="3375">
        <f t="shared" ref="DU79:DU96" si="108">IF(Z79&lt;AA79,1,0)</f>
        <v>0</v>
      </c>
      <c r="DV79" s="3375">
        <f t="shared" ref="DV79:DV96" si="109">IF(AB79&lt;AC79,1,0)</f>
        <v>0</v>
      </c>
      <c r="DW79" s="3375">
        <f t="shared" ref="DW79:DW96" si="110">IF(AD79&lt;AE79,1,0)</f>
        <v>0</v>
      </c>
      <c r="DX79" s="3375">
        <f t="shared" ref="DX79:DX96" si="111">IF(AF79&lt;AG79,1,0)</f>
        <v>0</v>
      </c>
      <c r="DY79" s="3375">
        <f t="shared" ref="DY79:DY96" si="112">IF(AH79&lt;AI79,1,0)</f>
        <v>0</v>
      </c>
      <c r="DZ79" s="3375">
        <f t="shared" ref="DZ79:DZ96" si="113">IF(AJ79&lt;AK79,1,0)</f>
        <v>0</v>
      </c>
      <c r="EA79" s="3375">
        <f t="shared" ref="EA79:EA96" si="114">IF(AL79&lt;AM79,1,0)</f>
        <v>0</v>
      </c>
      <c r="EB79" s="3375">
        <f t="shared" ref="EB79:EB96" si="115">IF(AN79&lt;AO79,1,0)</f>
        <v>0</v>
      </c>
      <c r="EC79" s="3375">
        <f t="shared" ref="EC79:EC96" si="116">IF(AP79&lt;AQ79,1,0)</f>
        <v>0</v>
      </c>
    </row>
    <row r="80" spans="1:133">
      <c r="A80" s="420" t="s">
        <v>1940</v>
      </c>
      <c r="B80" s="1737">
        <f t="shared" si="78"/>
        <v>0</v>
      </c>
      <c r="C80" s="1739">
        <f t="shared" si="78"/>
        <v>0</v>
      </c>
      <c r="D80" s="2880"/>
      <c r="E80" s="2885"/>
      <c r="F80" s="2381"/>
      <c r="G80" s="2885"/>
      <c r="H80" s="2381"/>
      <c r="I80" s="2885"/>
      <c r="J80" s="2381"/>
      <c r="K80" s="2885"/>
      <c r="L80" s="2381"/>
      <c r="M80" s="2382"/>
      <c r="N80" s="423"/>
      <c r="O80" s="3376"/>
      <c r="P80" s="425"/>
      <c r="Q80" s="3376"/>
      <c r="R80" s="425"/>
      <c r="S80" s="3376"/>
      <c r="T80" s="425"/>
      <c r="U80" s="3376"/>
      <c r="V80" s="425"/>
      <c r="W80" s="3376"/>
      <c r="X80" s="425"/>
      <c r="Y80" s="3376"/>
      <c r="Z80" s="425"/>
      <c r="AA80" s="3376"/>
      <c r="AB80" s="425"/>
      <c r="AC80" s="3376"/>
      <c r="AD80" s="425"/>
      <c r="AE80" s="3376"/>
      <c r="AF80" s="425"/>
      <c r="AG80" s="3376"/>
      <c r="AH80" s="425"/>
      <c r="AI80" s="3376"/>
      <c r="AJ80" s="425"/>
      <c r="AK80" s="3376"/>
      <c r="AL80" s="425"/>
      <c r="AM80" s="3376"/>
      <c r="AN80" s="425"/>
      <c r="AO80" s="3376"/>
      <c r="AP80" s="425"/>
      <c r="AQ80" s="426"/>
      <c r="AR80" s="3371"/>
      <c r="AS80" s="426"/>
      <c r="AT80" s="3372"/>
      <c r="AU80" s="426"/>
      <c r="AV80" s="3392"/>
      <c r="AW80" s="2231"/>
      <c r="AX80" s="3373" t="str">
        <f t="shared" si="79"/>
        <v/>
      </c>
      <c r="CA80" s="418" t="str">
        <f t="shared" si="80"/>
        <v/>
      </c>
      <c r="CB80" s="418" t="str">
        <f t="shared" si="59"/>
        <v/>
      </c>
      <c r="CC80" s="418" t="str">
        <f t="shared" si="81"/>
        <v/>
      </c>
      <c r="CD80" s="418" t="str">
        <f t="shared" si="82"/>
        <v/>
      </c>
      <c r="CE80" s="3374"/>
      <c r="CF80" s="3374"/>
      <c r="CG80" s="3374"/>
      <c r="CH80" s="3374"/>
      <c r="CI80" s="3374"/>
      <c r="CJ80" s="418" t="str">
        <f t="shared" si="83"/>
        <v/>
      </c>
      <c r="CK80" s="418" t="str">
        <f t="shared" si="84"/>
        <v/>
      </c>
      <c r="CL80" s="418" t="str">
        <f t="shared" si="85"/>
        <v/>
      </c>
      <c r="CM80" s="418" t="str">
        <f t="shared" si="86"/>
        <v/>
      </c>
      <c r="CN80" s="418" t="str">
        <f t="shared" si="87"/>
        <v/>
      </c>
      <c r="CO80" s="418" t="str">
        <f t="shared" si="88"/>
        <v/>
      </c>
      <c r="CP80" s="418" t="str">
        <f t="shared" si="89"/>
        <v/>
      </c>
      <c r="CQ80" s="418" t="str">
        <f t="shared" si="90"/>
        <v/>
      </c>
      <c r="CR80" s="418" t="str">
        <f t="shared" si="91"/>
        <v/>
      </c>
      <c r="CS80" s="418" t="str">
        <f t="shared" si="92"/>
        <v/>
      </c>
      <c r="CT80" s="418" t="str">
        <f t="shared" si="93"/>
        <v/>
      </c>
      <c r="CU80" s="418" t="str">
        <f t="shared" si="94"/>
        <v/>
      </c>
      <c r="CV80" s="418" t="str">
        <f t="shared" si="95"/>
        <v/>
      </c>
      <c r="CW80" s="418" t="str">
        <f t="shared" si="96"/>
        <v/>
      </c>
      <c r="CX80" s="418" t="str">
        <f t="shared" si="97"/>
        <v/>
      </c>
      <c r="DE80" s="417"/>
      <c r="DF80" s="3389">
        <f t="shared" si="98"/>
        <v>0</v>
      </c>
      <c r="DG80" s="3375">
        <f t="shared" si="99"/>
        <v>0</v>
      </c>
      <c r="DH80" s="3375">
        <f t="shared" si="100"/>
        <v>0</v>
      </c>
      <c r="DI80" s="3375">
        <f t="shared" si="101"/>
        <v>0</v>
      </c>
      <c r="DJ80" s="3374"/>
      <c r="DK80" s="3374"/>
      <c r="DL80" s="3374"/>
      <c r="DM80" s="3374"/>
      <c r="DN80" s="3374"/>
      <c r="DO80" s="3375">
        <f t="shared" si="102"/>
        <v>0</v>
      </c>
      <c r="DP80" s="3375">
        <f t="shared" si="103"/>
        <v>0</v>
      </c>
      <c r="DQ80" s="3375">
        <f t="shared" si="104"/>
        <v>0</v>
      </c>
      <c r="DR80" s="3375">
        <f t="shared" si="105"/>
        <v>0</v>
      </c>
      <c r="DS80" s="3375">
        <f t="shared" si="106"/>
        <v>0</v>
      </c>
      <c r="DT80" s="3375">
        <f t="shared" si="107"/>
        <v>0</v>
      </c>
      <c r="DU80" s="3375">
        <f t="shared" si="108"/>
        <v>0</v>
      </c>
      <c r="DV80" s="3375">
        <f t="shared" si="109"/>
        <v>0</v>
      </c>
      <c r="DW80" s="3375">
        <f t="shared" si="110"/>
        <v>0</v>
      </c>
      <c r="DX80" s="3375">
        <f t="shared" si="111"/>
        <v>0</v>
      </c>
      <c r="DY80" s="3375">
        <f t="shared" si="112"/>
        <v>0</v>
      </c>
      <c r="DZ80" s="3375">
        <f t="shared" si="113"/>
        <v>0</v>
      </c>
      <c r="EA80" s="3375">
        <f t="shared" si="114"/>
        <v>0</v>
      </c>
      <c r="EB80" s="3375">
        <f t="shared" si="115"/>
        <v>0</v>
      </c>
      <c r="EC80" s="3375">
        <f t="shared" si="116"/>
        <v>0</v>
      </c>
    </row>
    <row r="81" spans="1:133">
      <c r="A81" s="420" t="s">
        <v>1941</v>
      </c>
      <c r="B81" s="1737">
        <f t="shared" si="78"/>
        <v>0</v>
      </c>
      <c r="C81" s="1739">
        <f t="shared" si="78"/>
        <v>0</v>
      </c>
      <c r="D81" s="2880"/>
      <c r="E81" s="2885"/>
      <c r="F81" s="2381"/>
      <c r="G81" s="2885"/>
      <c r="H81" s="2381"/>
      <c r="I81" s="2885"/>
      <c r="J81" s="2381"/>
      <c r="K81" s="2885"/>
      <c r="L81" s="2381"/>
      <c r="M81" s="2382"/>
      <c r="N81" s="423"/>
      <c r="O81" s="3376"/>
      <c r="P81" s="425"/>
      <c r="Q81" s="3376"/>
      <c r="R81" s="425"/>
      <c r="S81" s="3376"/>
      <c r="T81" s="425"/>
      <c r="U81" s="3376"/>
      <c r="V81" s="425"/>
      <c r="W81" s="3376"/>
      <c r="X81" s="425"/>
      <c r="Y81" s="3376"/>
      <c r="Z81" s="425"/>
      <c r="AA81" s="3376"/>
      <c r="AB81" s="425"/>
      <c r="AC81" s="3376"/>
      <c r="AD81" s="425"/>
      <c r="AE81" s="3376"/>
      <c r="AF81" s="425"/>
      <c r="AG81" s="3376"/>
      <c r="AH81" s="425"/>
      <c r="AI81" s="3376"/>
      <c r="AJ81" s="425"/>
      <c r="AK81" s="3376"/>
      <c r="AL81" s="425"/>
      <c r="AM81" s="3376"/>
      <c r="AN81" s="425"/>
      <c r="AO81" s="3376"/>
      <c r="AP81" s="425"/>
      <c r="AQ81" s="426"/>
      <c r="AR81" s="3371"/>
      <c r="AS81" s="426"/>
      <c r="AT81" s="3372"/>
      <c r="AU81" s="426"/>
      <c r="AV81" s="3392"/>
      <c r="AW81" s="2231"/>
      <c r="AX81" s="3373" t="str">
        <f t="shared" si="79"/>
        <v/>
      </c>
      <c r="CA81" s="418" t="str">
        <f t="shared" si="80"/>
        <v/>
      </c>
      <c r="CB81" s="418" t="str">
        <f t="shared" si="59"/>
        <v/>
      </c>
      <c r="CC81" s="418" t="str">
        <f t="shared" si="81"/>
        <v/>
      </c>
      <c r="CD81" s="418" t="str">
        <f t="shared" si="82"/>
        <v/>
      </c>
      <c r="CE81" s="3374"/>
      <c r="CF81" s="3374"/>
      <c r="CG81" s="3374"/>
      <c r="CH81" s="3374"/>
      <c r="CI81" s="3374"/>
      <c r="CJ81" s="418" t="str">
        <f t="shared" si="83"/>
        <v/>
      </c>
      <c r="CK81" s="418" t="str">
        <f t="shared" si="84"/>
        <v/>
      </c>
      <c r="CL81" s="418" t="str">
        <f t="shared" si="85"/>
        <v/>
      </c>
      <c r="CM81" s="418" t="str">
        <f t="shared" si="86"/>
        <v/>
      </c>
      <c r="CN81" s="418" t="str">
        <f t="shared" si="87"/>
        <v/>
      </c>
      <c r="CO81" s="418" t="str">
        <f t="shared" si="88"/>
        <v/>
      </c>
      <c r="CP81" s="418" t="str">
        <f t="shared" si="89"/>
        <v/>
      </c>
      <c r="CQ81" s="418" t="str">
        <f t="shared" si="90"/>
        <v/>
      </c>
      <c r="CR81" s="418" t="str">
        <f t="shared" si="91"/>
        <v/>
      </c>
      <c r="CS81" s="418" t="str">
        <f t="shared" si="92"/>
        <v/>
      </c>
      <c r="CT81" s="418" t="str">
        <f t="shared" si="93"/>
        <v/>
      </c>
      <c r="CU81" s="418" t="str">
        <f t="shared" si="94"/>
        <v/>
      </c>
      <c r="CV81" s="418" t="str">
        <f t="shared" si="95"/>
        <v/>
      </c>
      <c r="CW81" s="418" t="str">
        <f t="shared" si="96"/>
        <v/>
      </c>
      <c r="CX81" s="418" t="str">
        <f t="shared" si="97"/>
        <v/>
      </c>
      <c r="DE81" s="417"/>
      <c r="DF81" s="3389">
        <f t="shared" si="98"/>
        <v>0</v>
      </c>
      <c r="DG81" s="3375">
        <f t="shared" si="99"/>
        <v>0</v>
      </c>
      <c r="DH81" s="3375">
        <f t="shared" si="100"/>
        <v>0</v>
      </c>
      <c r="DI81" s="3375">
        <f t="shared" si="101"/>
        <v>0</v>
      </c>
      <c r="DJ81" s="3374"/>
      <c r="DK81" s="3374"/>
      <c r="DL81" s="3374"/>
      <c r="DM81" s="3374"/>
      <c r="DN81" s="3374"/>
      <c r="DO81" s="3375">
        <f t="shared" si="102"/>
        <v>0</v>
      </c>
      <c r="DP81" s="3375">
        <f t="shared" si="103"/>
        <v>0</v>
      </c>
      <c r="DQ81" s="3375">
        <f t="shared" si="104"/>
        <v>0</v>
      </c>
      <c r="DR81" s="3375">
        <f t="shared" si="105"/>
        <v>0</v>
      </c>
      <c r="DS81" s="3375">
        <f t="shared" si="106"/>
        <v>0</v>
      </c>
      <c r="DT81" s="3375">
        <f t="shared" si="107"/>
        <v>0</v>
      </c>
      <c r="DU81" s="3375">
        <f t="shared" si="108"/>
        <v>0</v>
      </c>
      <c r="DV81" s="3375">
        <f t="shared" si="109"/>
        <v>0</v>
      </c>
      <c r="DW81" s="3375">
        <f t="shared" si="110"/>
        <v>0</v>
      </c>
      <c r="DX81" s="3375">
        <f t="shared" si="111"/>
        <v>0</v>
      </c>
      <c r="DY81" s="3375">
        <f t="shared" si="112"/>
        <v>0</v>
      </c>
      <c r="DZ81" s="3375">
        <f t="shared" si="113"/>
        <v>0</v>
      </c>
      <c r="EA81" s="3375">
        <f t="shared" si="114"/>
        <v>0</v>
      </c>
      <c r="EB81" s="3375">
        <f t="shared" si="115"/>
        <v>0</v>
      </c>
      <c r="EC81" s="3375">
        <f t="shared" si="116"/>
        <v>0</v>
      </c>
    </row>
    <row r="82" spans="1:133">
      <c r="A82" s="420" t="s">
        <v>1942</v>
      </c>
      <c r="B82" s="1737">
        <f t="shared" si="78"/>
        <v>0</v>
      </c>
      <c r="C82" s="1739">
        <f t="shared" si="78"/>
        <v>0</v>
      </c>
      <c r="D82" s="2880"/>
      <c r="E82" s="2885"/>
      <c r="F82" s="2381"/>
      <c r="G82" s="2885"/>
      <c r="H82" s="2381"/>
      <c r="I82" s="2885"/>
      <c r="J82" s="2381"/>
      <c r="K82" s="2885"/>
      <c r="L82" s="2381"/>
      <c r="M82" s="2382"/>
      <c r="N82" s="423"/>
      <c r="O82" s="3376"/>
      <c r="P82" s="425"/>
      <c r="Q82" s="3376"/>
      <c r="R82" s="425"/>
      <c r="S82" s="3376"/>
      <c r="T82" s="425"/>
      <c r="U82" s="3376"/>
      <c r="V82" s="425"/>
      <c r="W82" s="3376"/>
      <c r="X82" s="425"/>
      <c r="Y82" s="3376"/>
      <c r="Z82" s="425"/>
      <c r="AA82" s="3376"/>
      <c r="AB82" s="425"/>
      <c r="AC82" s="3376"/>
      <c r="AD82" s="425"/>
      <c r="AE82" s="3376"/>
      <c r="AF82" s="425"/>
      <c r="AG82" s="3376"/>
      <c r="AH82" s="425"/>
      <c r="AI82" s="3376"/>
      <c r="AJ82" s="425"/>
      <c r="AK82" s="3376"/>
      <c r="AL82" s="425"/>
      <c r="AM82" s="3376"/>
      <c r="AN82" s="425"/>
      <c r="AO82" s="3376"/>
      <c r="AP82" s="425"/>
      <c r="AQ82" s="426"/>
      <c r="AR82" s="3371"/>
      <c r="AS82" s="426"/>
      <c r="AT82" s="3372"/>
      <c r="AU82" s="426"/>
      <c r="AV82" s="3392"/>
      <c r="AW82" s="2231"/>
      <c r="AX82" s="3373" t="str">
        <f t="shared" si="79"/>
        <v/>
      </c>
      <c r="CA82" s="418" t="str">
        <f t="shared" si="80"/>
        <v/>
      </c>
      <c r="CB82" s="418" t="str">
        <f t="shared" si="59"/>
        <v/>
      </c>
      <c r="CC82" s="418" t="str">
        <f t="shared" si="81"/>
        <v/>
      </c>
      <c r="CD82" s="418" t="str">
        <f t="shared" si="82"/>
        <v/>
      </c>
      <c r="CE82" s="3374"/>
      <c r="CF82" s="3374"/>
      <c r="CG82" s="3374"/>
      <c r="CH82" s="3374"/>
      <c r="CI82" s="3374"/>
      <c r="CJ82" s="418" t="str">
        <f t="shared" si="83"/>
        <v/>
      </c>
      <c r="CK82" s="418" t="str">
        <f t="shared" si="84"/>
        <v/>
      </c>
      <c r="CL82" s="418" t="str">
        <f t="shared" si="85"/>
        <v/>
      </c>
      <c r="CM82" s="418" t="str">
        <f t="shared" si="86"/>
        <v/>
      </c>
      <c r="CN82" s="418" t="str">
        <f t="shared" si="87"/>
        <v/>
      </c>
      <c r="CO82" s="418" t="str">
        <f t="shared" si="88"/>
        <v/>
      </c>
      <c r="CP82" s="418" t="str">
        <f t="shared" si="89"/>
        <v/>
      </c>
      <c r="CQ82" s="418" t="str">
        <f t="shared" si="90"/>
        <v/>
      </c>
      <c r="CR82" s="418" t="str">
        <f t="shared" si="91"/>
        <v/>
      </c>
      <c r="CS82" s="418" t="str">
        <f t="shared" si="92"/>
        <v/>
      </c>
      <c r="CT82" s="418" t="str">
        <f t="shared" si="93"/>
        <v/>
      </c>
      <c r="CU82" s="418" t="str">
        <f t="shared" si="94"/>
        <v/>
      </c>
      <c r="CV82" s="418" t="str">
        <f t="shared" si="95"/>
        <v/>
      </c>
      <c r="CW82" s="418" t="str">
        <f t="shared" si="96"/>
        <v/>
      </c>
      <c r="CX82" s="418" t="str">
        <f t="shared" si="97"/>
        <v/>
      </c>
      <c r="DE82" s="417"/>
      <c r="DF82" s="3389">
        <f t="shared" si="98"/>
        <v>0</v>
      </c>
      <c r="DG82" s="3375">
        <f t="shared" si="99"/>
        <v>0</v>
      </c>
      <c r="DH82" s="3375">
        <f t="shared" si="100"/>
        <v>0</v>
      </c>
      <c r="DI82" s="3375">
        <f t="shared" si="101"/>
        <v>0</v>
      </c>
      <c r="DJ82" s="3374"/>
      <c r="DK82" s="3374"/>
      <c r="DL82" s="3374"/>
      <c r="DM82" s="3374"/>
      <c r="DN82" s="3374"/>
      <c r="DO82" s="3375">
        <f t="shared" si="102"/>
        <v>0</v>
      </c>
      <c r="DP82" s="3375">
        <f t="shared" si="103"/>
        <v>0</v>
      </c>
      <c r="DQ82" s="3375">
        <f t="shared" si="104"/>
        <v>0</v>
      </c>
      <c r="DR82" s="3375">
        <f t="shared" si="105"/>
        <v>0</v>
      </c>
      <c r="DS82" s="3375">
        <f t="shared" si="106"/>
        <v>0</v>
      </c>
      <c r="DT82" s="3375">
        <f t="shared" si="107"/>
        <v>0</v>
      </c>
      <c r="DU82" s="3375">
        <f t="shared" si="108"/>
        <v>0</v>
      </c>
      <c r="DV82" s="3375">
        <f t="shared" si="109"/>
        <v>0</v>
      </c>
      <c r="DW82" s="3375">
        <f t="shared" si="110"/>
        <v>0</v>
      </c>
      <c r="DX82" s="3375">
        <f t="shared" si="111"/>
        <v>0</v>
      </c>
      <c r="DY82" s="3375">
        <f t="shared" si="112"/>
        <v>0</v>
      </c>
      <c r="DZ82" s="3375">
        <f t="shared" si="113"/>
        <v>0</v>
      </c>
      <c r="EA82" s="3375">
        <f t="shared" si="114"/>
        <v>0</v>
      </c>
      <c r="EB82" s="3375">
        <f t="shared" si="115"/>
        <v>0</v>
      </c>
      <c r="EC82" s="3375">
        <f t="shared" si="116"/>
        <v>0</v>
      </c>
    </row>
    <row r="83" spans="1:133">
      <c r="A83" s="2237" t="s">
        <v>1943</v>
      </c>
      <c r="B83" s="1737">
        <f t="shared" si="78"/>
        <v>0</v>
      </c>
      <c r="C83" s="1739">
        <f t="shared" si="78"/>
        <v>0</v>
      </c>
      <c r="D83" s="2880"/>
      <c r="E83" s="2885"/>
      <c r="F83" s="2381"/>
      <c r="G83" s="2885"/>
      <c r="H83" s="2381"/>
      <c r="I83" s="2885"/>
      <c r="J83" s="2381"/>
      <c r="K83" s="2885"/>
      <c r="L83" s="2381"/>
      <c r="M83" s="2382"/>
      <c r="N83" s="423"/>
      <c r="O83" s="3376"/>
      <c r="P83" s="425"/>
      <c r="Q83" s="3376"/>
      <c r="R83" s="425"/>
      <c r="S83" s="3376"/>
      <c r="T83" s="425"/>
      <c r="U83" s="3376"/>
      <c r="V83" s="425"/>
      <c r="W83" s="3376"/>
      <c r="X83" s="425"/>
      <c r="Y83" s="3376"/>
      <c r="Z83" s="425"/>
      <c r="AA83" s="3376"/>
      <c r="AB83" s="425"/>
      <c r="AC83" s="3376"/>
      <c r="AD83" s="425"/>
      <c r="AE83" s="3376"/>
      <c r="AF83" s="425"/>
      <c r="AG83" s="3376"/>
      <c r="AH83" s="425"/>
      <c r="AI83" s="3376"/>
      <c r="AJ83" s="425"/>
      <c r="AK83" s="3376"/>
      <c r="AL83" s="425"/>
      <c r="AM83" s="3376"/>
      <c r="AN83" s="425"/>
      <c r="AO83" s="3376"/>
      <c r="AP83" s="425"/>
      <c r="AQ83" s="426"/>
      <c r="AR83" s="3371"/>
      <c r="AS83" s="426"/>
      <c r="AT83" s="3372"/>
      <c r="AU83" s="426"/>
      <c r="AV83" s="3392"/>
      <c r="AW83" s="2231"/>
      <c r="AX83" s="3373" t="str">
        <f t="shared" si="79"/>
        <v/>
      </c>
      <c r="CA83" s="418" t="str">
        <f t="shared" si="80"/>
        <v/>
      </c>
      <c r="CB83" s="418" t="str">
        <f t="shared" si="59"/>
        <v/>
      </c>
      <c r="CC83" s="418" t="str">
        <f t="shared" si="81"/>
        <v/>
      </c>
      <c r="CD83" s="418" t="str">
        <f t="shared" si="82"/>
        <v/>
      </c>
      <c r="CE83" s="3374"/>
      <c r="CF83" s="3374"/>
      <c r="CG83" s="3374"/>
      <c r="CH83" s="3374"/>
      <c r="CI83" s="3374"/>
      <c r="CJ83" s="418" t="str">
        <f t="shared" si="83"/>
        <v/>
      </c>
      <c r="CK83" s="418" t="str">
        <f t="shared" si="84"/>
        <v/>
      </c>
      <c r="CL83" s="418" t="str">
        <f t="shared" si="85"/>
        <v/>
      </c>
      <c r="CM83" s="418" t="str">
        <f t="shared" si="86"/>
        <v/>
      </c>
      <c r="CN83" s="418" t="str">
        <f t="shared" si="87"/>
        <v/>
      </c>
      <c r="CO83" s="418" t="str">
        <f t="shared" si="88"/>
        <v/>
      </c>
      <c r="CP83" s="418" t="str">
        <f t="shared" si="89"/>
        <v/>
      </c>
      <c r="CQ83" s="418" t="str">
        <f t="shared" si="90"/>
        <v/>
      </c>
      <c r="CR83" s="418" t="str">
        <f t="shared" si="91"/>
        <v/>
      </c>
      <c r="CS83" s="418" t="str">
        <f t="shared" si="92"/>
        <v/>
      </c>
      <c r="CT83" s="418" t="str">
        <f t="shared" si="93"/>
        <v/>
      </c>
      <c r="CU83" s="418" t="str">
        <f t="shared" si="94"/>
        <v/>
      </c>
      <c r="CV83" s="418" t="str">
        <f t="shared" si="95"/>
        <v/>
      </c>
      <c r="CW83" s="418" t="str">
        <f t="shared" si="96"/>
        <v/>
      </c>
      <c r="CX83" s="418" t="str">
        <f t="shared" si="97"/>
        <v/>
      </c>
      <c r="DE83" s="417"/>
      <c r="DF83" s="3389">
        <f t="shared" si="98"/>
        <v>0</v>
      </c>
      <c r="DG83" s="3375">
        <f t="shared" si="99"/>
        <v>0</v>
      </c>
      <c r="DH83" s="3375">
        <f t="shared" si="100"/>
        <v>0</v>
      </c>
      <c r="DI83" s="3375">
        <f t="shared" si="101"/>
        <v>0</v>
      </c>
      <c r="DJ83" s="3374"/>
      <c r="DK83" s="3374"/>
      <c r="DL83" s="3374"/>
      <c r="DM83" s="3374"/>
      <c r="DN83" s="3374"/>
      <c r="DO83" s="3375">
        <f t="shared" si="102"/>
        <v>0</v>
      </c>
      <c r="DP83" s="3375">
        <f t="shared" si="103"/>
        <v>0</v>
      </c>
      <c r="DQ83" s="3375">
        <f t="shared" si="104"/>
        <v>0</v>
      </c>
      <c r="DR83" s="3375">
        <f t="shared" si="105"/>
        <v>0</v>
      </c>
      <c r="DS83" s="3375">
        <f t="shared" si="106"/>
        <v>0</v>
      </c>
      <c r="DT83" s="3375">
        <f t="shared" si="107"/>
        <v>0</v>
      </c>
      <c r="DU83" s="3375">
        <f t="shared" si="108"/>
        <v>0</v>
      </c>
      <c r="DV83" s="3375">
        <f t="shared" si="109"/>
        <v>0</v>
      </c>
      <c r="DW83" s="3375">
        <f t="shared" si="110"/>
        <v>0</v>
      </c>
      <c r="DX83" s="3375">
        <f t="shared" si="111"/>
        <v>0</v>
      </c>
      <c r="DY83" s="3375">
        <f t="shared" si="112"/>
        <v>0</v>
      </c>
      <c r="DZ83" s="3375">
        <f t="shared" si="113"/>
        <v>0</v>
      </c>
      <c r="EA83" s="3375">
        <f t="shared" si="114"/>
        <v>0</v>
      </c>
      <c r="EB83" s="3375">
        <f t="shared" si="115"/>
        <v>0</v>
      </c>
      <c r="EC83" s="3375">
        <f t="shared" si="116"/>
        <v>0</v>
      </c>
    </row>
    <row r="84" spans="1:133">
      <c r="A84" s="2237" t="s">
        <v>1944</v>
      </c>
      <c r="B84" s="1737">
        <f t="shared" si="78"/>
        <v>0</v>
      </c>
      <c r="C84" s="1739">
        <f t="shared" si="78"/>
        <v>0</v>
      </c>
      <c r="D84" s="2880"/>
      <c r="E84" s="2885"/>
      <c r="F84" s="2381"/>
      <c r="G84" s="2885"/>
      <c r="H84" s="2381"/>
      <c r="I84" s="2885"/>
      <c r="J84" s="2381"/>
      <c r="K84" s="2885"/>
      <c r="L84" s="2381"/>
      <c r="M84" s="2382"/>
      <c r="N84" s="423"/>
      <c r="O84" s="3376"/>
      <c r="P84" s="425"/>
      <c r="Q84" s="3376"/>
      <c r="R84" s="425"/>
      <c r="S84" s="3376"/>
      <c r="T84" s="425"/>
      <c r="U84" s="3376"/>
      <c r="V84" s="425"/>
      <c r="W84" s="3376"/>
      <c r="X84" s="425"/>
      <c r="Y84" s="3376"/>
      <c r="Z84" s="425"/>
      <c r="AA84" s="3376"/>
      <c r="AB84" s="425"/>
      <c r="AC84" s="3376"/>
      <c r="AD84" s="425"/>
      <c r="AE84" s="3376"/>
      <c r="AF84" s="425"/>
      <c r="AG84" s="3376"/>
      <c r="AH84" s="425"/>
      <c r="AI84" s="3376"/>
      <c r="AJ84" s="425"/>
      <c r="AK84" s="3376"/>
      <c r="AL84" s="425"/>
      <c r="AM84" s="3376"/>
      <c r="AN84" s="425"/>
      <c r="AO84" s="3376"/>
      <c r="AP84" s="425"/>
      <c r="AQ84" s="426"/>
      <c r="AR84" s="423"/>
      <c r="AS84" s="426"/>
      <c r="AT84" s="3372"/>
      <c r="AU84" s="426"/>
      <c r="AV84" s="3392"/>
      <c r="AW84" s="2231"/>
      <c r="AX84" s="3373" t="str">
        <f t="shared" si="79"/>
        <v/>
      </c>
      <c r="CA84" s="418" t="str">
        <f>IF(B84&lt;&gt;(AS84+AR84)," * La suma de las columnas "&amp;AR$10&amp;""&amp;" DEBE SER IGUAL a los Exámenes Procesados. ","")</f>
        <v/>
      </c>
      <c r="CB84" s="418" t="str">
        <f t="shared" si="59"/>
        <v/>
      </c>
      <c r="CC84" s="418" t="str">
        <f t="shared" si="81"/>
        <v/>
      </c>
      <c r="CD84" s="418" t="str">
        <f t="shared" si="82"/>
        <v/>
      </c>
      <c r="CE84" s="3374"/>
      <c r="CF84" s="3374"/>
      <c r="CG84" s="3374"/>
      <c r="CH84" s="3374"/>
      <c r="CI84" s="3374"/>
      <c r="CJ84" s="418" t="str">
        <f t="shared" si="83"/>
        <v/>
      </c>
      <c r="CK84" s="418" t="str">
        <f t="shared" si="84"/>
        <v/>
      </c>
      <c r="CL84" s="418" t="str">
        <f t="shared" si="85"/>
        <v/>
      </c>
      <c r="CM84" s="418" t="str">
        <f t="shared" si="86"/>
        <v/>
      </c>
      <c r="CN84" s="418" t="str">
        <f t="shared" si="87"/>
        <v/>
      </c>
      <c r="CO84" s="418" t="str">
        <f t="shared" si="88"/>
        <v/>
      </c>
      <c r="CP84" s="418" t="str">
        <f t="shared" si="89"/>
        <v/>
      </c>
      <c r="CQ84" s="418" t="str">
        <f t="shared" si="90"/>
        <v/>
      </c>
      <c r="CR84" s="418" t="str">
        <f t="shared" si="91"/>
        <v/>
      </c>
      <c r="CS84" s="418" t="str">
        <f t="shared" si="92"/>
        <v/>
      </c>
      <c r="CT84" s="418" t="str">
        <f t="shared" si="93"/>
        <v/>
      </c>
      <c r="CU84" s="418" t="str">
        <f t="shared" si="94"/>
        <v/>
      </c>
      <c r="CV84" s="418" t="str">
        <f t="shared" si="95"/>
        <v/>
      </c>
      <c r="CW84" s="418" t="str">
        <f t="shared" si="96"/>
        <v/>
      </c>
      <c r="CX84" s="418" t="str">
        <f t="shared" si="97"/>
        <v/>
      </c>
      <c r="DE84" s="417"/>
      <c r="DF84" s="3389">
        <f>IF(B84&lt;&gt;(AS84+AR84),1,0)</f>
        <v>0</v>
      </c>
      <c r="DG84" s="3375">
        <f t="shared" si="99"/>
        <v>0</v>
      </c>
      <c r="DH84" s="3375">
        <f t="shared" si="100"/>
        <v>0</v>
      </c>
      <c r="DI84" s="3375">
        <f t="shared" si="101"/>
        <v>0</v>
      </c>
      <c r="DJ84" s="3374"/>
      <c r="DK84" s="3374"/>
      <c r="DL84" s="3374"/>
      <c r="DM84" s="3374"/>
      <c r="DN84" s="3374"/>
      <c r="DO84" s="3375">
        <f t="shared" si="102"/>
        <v>0</v>
      </c>
      <c r="DP84" s="3375">
        <f t="shared" si="103"/>
        <v>0</v>
      </c>
      <c r="DQ84" s="3375">
        <f t="shared" si="104"/>
        <v>0</v>
      </c>
      <c r="DR84" s="3375">
        <f t="shared" si="105"/>
        <v>0</v>
      </c>
      <c r="DS84" s="3375">
        <f t="shared" si="106"/>
        <v>0</v>
      </c>
      <c r="DT84" s="3375">
        <f t="shared" si="107"/>
        <v>0</v>
      </c>
      <c r="DU84" s="3375">
        <f t="shared" si="108"/>
        <v>0</v>
      </c>
      <c r="DV84" s="3375">
        <f t="shared" si="109"/>
        <v>0</v>
      </c>
      <c r="DW84" s="3375">
        <f t="shared" si="110"/>
        <v>0</v>
      </c>
      <c r="DX84" s="3375">
        <f t="shared" si="111"/>
        <v>0</v>
      </c>
      <c r="DY84" s="3375">
        <f t="shared" si="112"/>
        <v>0</v>
      </c>
      <c r="DZ84" s="3375">
        <f t="shared" si="113"/>
        <v>0</v>
      </c>
      <c r="EA84" s="3375">
        <f t="shared" si="114"/>
        <v>0</v>
      </c>
      <c r="EB84" s="3375">
        <f t="shared" si="115"/>
        <v>0</v>
      </c>
      <c r="EC84" s="3375">
        <f t="shared" si="116"/>
        <v>0</v>
      </c>
    </row>
    <row r="85" spans="1:133">
      <c r="A85" s="2237" t="s">
        <v>1945</v>
      </c>
      <c r="B85" s="1737">
        <f t="shared" si="78"/>
        <v>0</v>
      </c>
      <c r="C85" s="1739">
        <f t="shared" si="78"/>
        <v>0</v>
      </c>
      <c r="D85" s="2880"/>
      <c r="E85" s="2885"/>
      <c r="F85" s="2381"/>
      <c r="G85" s="2885"/>
      <c r="H85" s="2381"/>
      <c r="I85" s="2885"/>
      <c r="J85" s="2381"/>
      <c r="K85" s="2885"/>
      <c r="L85" s="2381"/>
      <c r="M85" s="2382"/>
      <c r="N85" s="423"/>
      <c r="O85" s="3376"/>
      <c r="P85" s="425"/>
      <c r="Q85" s="3376"/>
      <c r="R85" s="425"/>
      <c r="S85" s="3376"/>
      <c r="T85" s="425"/>
      <c r="U85" s="3376"/>
      <c r="V85" s="425"/>
      <c r="W85" s="3376"/>
      <c r="X85" s="425"/>
      <c r="Y85" s="3376"/>
      <c r="Z85" s="425"/>
      <c r="AA85" s="3376"/>
      <c r="AB85" s="425"/>
      <c r="AC85" s="3376"/>
      <c r="AD85" s="425"/>
      <c r="AE85" s="3376"/>
      <c r="AF85" s="425"/>
      <c r="AG85" s="3376"/>
      <c r="AH85" s="425"/>
      <c r="AI85" s="3376"/>
      <c r="AJ85" s="425"/>
      <c r="AK85" s="3376"/>
      <c r="AL85" s="425"/>
      <c r="AM85" s="3376"/>
      <c r="AN85" s="425"/>
      <c r="AO85" s="3376"/>
      <c r="AP85" s="425"/>
      <c r="AQ85" s="426"/>
      <c r="AR85" s="3371"/>
      <c r="AS85" s="426"/>
      <c r="AT85" s="3372"/>
      <c r="AU85" s="426"/>
      <c r="AV85" s="3392"/>
      <c r="AW85" s="2231"/>
      <c r="AX85" s="3373" t="str">
        <f t="shared" si="79"/>
        <v/>
      </c>
      <c r="CA85" s="418" t="str">
        <f t="shared" ref="CA85:CA87" si="117">IF(B85&lt;&gt;(AS85)," * La suma de las columnas "&amp;AR$10&amp;""&amp;" DEBE SER IGUAL a los Exámenes Procesados. ","")</f>
        <v/>
      </c>
      <c r="CB85" s="418" t="str">
        <f t="shared" si="59"/>
        <v/>
      </c>
      <c r="CC85" s="418" t="str">
        <f t="shared" si="81"/>
        <v/>
      </c>
      <c r="CD85" s="418" t="str">
        <f t="shared" si="82"/>
        <v/>
      </c>
      <c r="CE85" s="3374"/>
      <c r="CF85" s="3374"/>
      <c r="CG85" s="3374"/>
      <c r="CH85" s="3374"/>
      <c r="CI85" s="3374"/>
      <c r="CJ85" s="418" t="str">
        <f t="shared" si="83"/>
        <v/>
      </c>
      <c r="CK85" s="418" t="str">
        <f t="shared" si="84"/>
        <v/>
      </c>
      <c r="CL85" s="418" t="str">
        <f t="shared" si="85"/>
        <v/>
      </c>
      <c r="CM85" s="418" t="str">
        <f t="shared" si="86"/>
        <v/>
      </c>
      <c r="CN85" s="418" t="str">
        <f t="shared" si="87"/>
        <v/>
      </c>
      <c r="CO85" s="418" t="str">
        <f t="shared" si="88"/>
        <v/>
      </c>
      <c r="CP85" s="418" t="str">
        <f t="shared" si="89"/>
        <v/>
      </c>
      <c r="CQ85" s="418" t="str">
        <f t="shared" si="90"/>
        <v/>
      </c>
      <c r="CR85" s="418" t="str">
        <f t="shared" si="91"/>
        <v/>
      </c>
      <c r="CS85" s="418" t="str">
        <f t="shared" si="92"/>
        <v/>
      </c>
      <c r="CT85" s="418" t="str">
        <f t="shared" si="93"/>
        <v/>
      </c>
      <c r="CU85" s="418" t="str">
        <f t="shared" si="94"/>
        <v/>
      </c>
      <c r="CV85" s="418" t="str">
        <f t="shared" si="95"/>
        <v/>
      </c>
      <c r="CW85" s="418" t="str">
        <f t="shared" si="96"/>
        <v/>
      </c>
      <c r="CX85" s="418" t="str">
        <f t="shared" si="97"/>
        <v/>
      </c>
      <c r="DE85" s="417"/>
      <c r="DF85" s="3389">
        <f t="shared" ref="DF85:DF87" si="118">IF(B85&lt;&gt;(AS85),1,0)</f>
        <v>0</v>
      </c>
      <c r="DG85" s="3375">
        <f t="shared" si="99"/>
        <v>0</v>
      </c>
      <c r="DH85" s="3375">
        <f t="shared" si="100"/>
        <v>0</v>
      </c>
      <c r="DI85" s="3375">
        <f t="shared" si="101"/>
        <v>0</v>
      </c>
      <c r="DJ85" s="3374"/>
      <c r="DK85" s="3374"/>
      <c r="DL85" s="3374"/>
      <c r="DM85" s="3374"/>
      <c r="DN85" s="3374"/>
      <c r="DO85" s="3375">
        <f t="shared" si="102"/>
        <v>0</v>
      </c>
      <c r="DP85" s="3375">
        <f t="shared" si="103"/>
        <v>0</v>
      </c>
      <c r="DQ85" s="3375">
        <f t="shared" si="104"/>
        <v>0</v>
      </c>
      <c r="DR85" s="3375">
        <f t="shared" si="105"/>
        <v>0</v>
      </c>
      <c r="DS85" s="3375">
        <f t="shared" si="106"/>
        <v>0</v>
      </c>
      <c r="DT85" s="3375">
        <f t="shared" si="107"/>
        <v>0</v>
      </c>
      <c r="DU85" s="3375">
        <f t="shared" si="108"/>
        <v>0</v>
      </c>
      <c r="DV85" s="3375">
        <f t="shared" si="109"/>
        <v>0</v>
      </c>
      <c r="DW85" s="3375">
        <f t="shared" si="110"/>
        <v>0</v>
      </c>
      <c r="DX85" s="3375">
        <f t="shared" si="111"/>
        <v>0</v>
      </c>
      <c r="DY85" s="3375">
        <f t="shared" si="112"/>
        <v>0</v>
      </c>
      <c r="DZ85" s="3375">
        <f t="shared" si="113"/>
        <v>0</v>
      </c>
      <c r="EA85" s="3375">
        <f t="shared" si="114"/>
        <v>0</v>
      </c>
      <c r="EB85" s="3375">
        <f t="shared" si="115"/>
        <v>0</v>
      </c>
      <c r="EC85" s="3375">
        <f t="shared" si="116"/>
        <v>0</v>
      </c>
    </row>
    <row r="86" spans="1:133">
      <c r="A86" s="420" t="s">
        <v>1946</v>
      </c>
      <c r="B86" s="1737">
        <f t="shared" si="78"/>
        <v>0</v>
      </c>
      <c r="C86" s="1739">
        <f t="shared" si="78"/>
        <v>0</v>
      </c>
      <c r="D86" s="2880"/>
      <c r="E86" s="2885"/>
      <c r="F86" s="2381"/>
      <c r="G86" s="2885"/>
      <c r="H86" s="2381"/>
      <c r="I86" s="2885"/>
      <c r="J86" s="2381"/>
      <c r="K86" s="2885"/>
      <c r="L86" s="2381"/>
      <c r="M86" s="2382"/>
      <c r="N86" s="423"/>
      <c r="O86" s="3376"/>
      <c r="P86" s="425"/>
      <c r="Q86" s="3376"/>
      <c r="R86" s="425"/>
      <c r="S86" s="3376"/>
      <c r="T86" s="425"/>
      <c r="U86" s="3376"/>
      <c r="V86" s="425"/>
      <c r="W86" s="3376"/>
      <c r="X86" s="425"/>
      <c r="Y86" s="3376"/>
      <c r="Z86" s="425"/>
      <c r="AA86" s="3376"/>
      <c r="AB86" s="425"/>
      <c r="AC86" s="3376"/>
      <c r="AD86" s="425"/>
      <c r="AE86" s="3376"/>
      <c r="AF86" s="425"/>
      <c r="AG86" s="3376"/>
      <c r="AH86" s="425"/>
      <c r="AI86" s="3376"/>
      <c r="AJ86" s="425"/>
      <c r="AK86" s="3376"/>
      <c r="AL86" s="425"/>
      <c r="AM86" s="3376"/>
      <c r="AN86" s="425"/>
      <c r="AO86" s="3376"/>
      <c r="AP86" s="425"/>
      <c r="AQ86" s="426"/>
      <c r="AR86" s="3371"/>
      <c r="AS86" s="426"/>
      <c r="AT86" s="3372"/>
      <c r="AU86" s="426"/>
      <c r="AV86" s="3392"/>
      <c r="AW86" s="2231"/>
      <c r="AX86" s="3373" t="str">
        <f t="shared" si="79"/>
        <v/>
      </c>
      <c r="CA86" s="418" t="str">
        <f t="shared" si="117"/>
        <v/>
      </c>
      <c r="CB86" s="418" t="str">
        <f t="shared" si="59"/>
        <v/>
      </c>
      <c r="CC86" s="418" t="str">
        <f t="shared" si="81"/>
        <v/>
      </c>
      <c r="CD86" s="418" t="str">
        <f t="shared" si="82"/>
        <v/>
      </c>
      <c r="CE86" s="3374"/>
      <c r="CF86" s="3374"/>
      <c r="CG86" s="3374"/>
      <c r="CH86" s="3374"/>
      <c r="CI86" s="3374"/>
      <c r="CJ86" s="418" t="str">
        <f t="shared" si="83"/>
        <v/>
      </c>
      <c r="CK86" s="418" t="str">
        <f t="shared" si="84"/>
        <v/>
      </c>
      <c r="CL86" s="418" t="str">
        <f t="shared" si="85"/>
        <v/>
      </c>
      <c r="CM86" s="418" t="str">
        <f t="shared" si="86"/>
        <v/>
      </c>
      <c r="CN86" s="418" t="str">
        <f t="shared" si="87"/>
        <v/>
      </c>
      <c r="CO86" s="418" t="str">
        <f t="shared" si="88"/>
        <v/>
      </c>
      <c r="CP86" s="418" t="str">
        <f t="shared" si="89"/>
        <v/>
      </c>
      <c r="CQ86" s="418" t="str">
        <f t="shared" si="90"/>
        <v/>
      </c>
      <c r="CR86" s="418" t="str">
        <f t="shared" si="91"/>
        <v/>
      </c>
      <c r="CS86" s="418" t="str">
        <f t="shared" si="92"/>
        <v/>
      </c>
      <c r="CT86" s="418" t="str">
        <f t="shared" si="93"/>
        <v/>
      </c>
      <c r="CU86" s="418" t="str">
        <f t="shared" si="94"/>
        <v/>
      </c>
      <c r="CV86" s="418" t="str">
        <f t="shared" si="95"/>
        <v/>
      </c>
      <c r="CW86" s="418" t="str">
        <f t="shared" si="96"/>
        <v/>
      </c>
      <c r="CX86" s="418" t="str">
        <f t="shared" si="97"/>
        <v/>
      </c>
      <c r="DE86" s="417"/>
      <c r="DF86" s="3389">
        <f t="shared" si="118"/>
        <v>0</v>
      </c>
      <c r="DG86" s="3375">
        <f t="shared" si="99"/>
        <v>0</v>
      </c>
      <c r="DH86" s="3375">
        <f t="shared" si="100"/>
        <v>0</v>
      </c>
      <c r="DI86" s="3375">
        <f t="shared" si="101"/>
        <v>0</v>
      </c>
      <c r="DJ86" s="3374"/>
      <c r="DK86" s="3374"/>
      <c r="DL86" s="3374"/>
      <c r="DM86" s="3374"/>
      <c r="DN86" s="3374"/>
      <c r="DO86" s="3375">
        <f t="shared" si="102"/>
        <v>0</v>
      </c>
      <c r="DP86" s="3375">
        <f t="shared" si="103"/>
        <v>0</v>
      </c>
      <c r="DQ86" s="3375">
        <f t="shared" si="104"/>
        <v>0</v>
      </c>
      <c r="DR86" s="3375">
        <f t="shared" si="105"/>
        <v>0</v>
      </c>
      <c r="DS86" s="3375">
        <f t="shared" si="106"/>
        <v>0</v>
      </c>
      <c r="DT86" s="3375">
        <f t="shared" si="107"/>
        <v>0</v>
      </c>
      <c r="DU86" s="3375">
        <f t="shared" si="108"/>
        <v>0</v>
      </c>
      <c r="DV86" s="3375">
        <f t="shared" si="109"/>
        <v>0</v>
      </c>
      <c r="DW86" s="3375">
        <f t="shared" si="110"/>
        <v>0</v>
      </c>
      <c r="DX86" s="3375">
        <f t="shared" si="111"/>
        <v>0</v>
      </c>
      <c r="DY86" s="3375">
        <f t="shared" si="112"/>
        <v>0</v>
      </c>
      <c r="DZ86" s="3375">
        <f t="shared" si="113"/>
        <v>0</v>
      </c>
      <c r="EA86" s="3375">
        <f t="shared" si="114"/>
        <v>0</v>
      </c>
      <c r="EB86" s="3375">
        <f t="shared" si="115"/>
        <v>0</v>
      </c>
      <c r="EC86" s="3375">
        <f t="shared" si="116"/>
        <v>0</v>
      </c>
    </row>
    <row r="87" spans="1:133">
      <c r="A87" s="420" t="s">
        <v>1947</v>
      </c>
      <c r="B87" s="1737">
        <f>+D87+F87+H87+J87+L87+N87+P87+R87+T87+V87+X87+Z87+AB87+AD87+AF87+AH87+AJ87+AL87+AN87+AP87</f>
        <v>0</v>
      </c>
      <c r="C87" s="1739">
        <f>+E87+G87+I87+K87+M87+O87+Q87+S87+U87+W87+Y87+AA87+AC87+AE87+AG87+AI87+AK87+AM87+AO87+AQ87</f>
        <v>0</v>
      </c>
      <c r="D87" s="423"/>
      <c r="E87" s="3376"/>
      <c r="F87" s="425"/>
      <c r="G87" s="3376"/>
      <c r="H87" s="425"/>
      <c r="I87" s="424"/>
      <c r="J87" s="423"/>
      <c r="K87" s="423"/>
      <c r="L87" s="425"/>
      <c r="M87" s="424"/>
      <c r="N87" s="423"/>
      <c r="O87" s="3376"/>
      <c r="P87" s="425"/>
      <c r="Q87" s="3376"/>
      <c r="R87" s="425"/>
      <c r="S87" s="3376"/>
      <c r="T87" s="425"/>
      <c r="U87" s="3376"/>
      <c r="V87" s="425"/>
      <c r="W87" s="3376"/>
      <c r="X87" s="425"/>
      <c r="Y87" s="3376"/>
      <c r="Z87" s="425"/>
      <c r="AA87" s="3376"/>
      <c r="AB87" s="425"/>
      <c r="AC87" s="3376"/>
      <c r="AD87" s="425"/>
      <c r="AE87" s="3376"/>
      <c r="AF87" s="425"/>
      <c r="AG87" s="3376"/>
      <c r="AH87" s="425"/>
      <c r="AI87" s="3376"/>
      <c r="AJ87" s="425"/>
      <c r="AK87" s="3376"/>
      <c r="AL87" s="425"/>
      <c r="AM87" s="3376"/>
      <c r="AN87" s="425"/>
      <c r="AO87" s="3376"/>
      <c r="AP87" s="425"/>
      <c r="AQ87" s="426"/>
      <c r="AR87" s="3371"/>
      <c r="AS87" s="426"/>
      <c r="AT87" s="3372"/>
      <c r="AU87" s="426"/>
      <c r="AV87" s="3392"/>
      <c r="AW87" s="2231"/>
      <c r="AX87" s="3373" t="str">
        <f>$CA87&amp;CB87&amp;CC87&amp;$CD87&amp;CJ87&amp;CE87&amp;CF87&amp;CG87&amp;CH87&amp;CI87&amp;CK87&amp;CL87&amp;CM87&amp;CN87&amp;CO87&amp;CP87&amp;CQ87&amp;CR87&amp;CS87&amp;CT87&amp;CU87&amp;CV87&amp;CW87&amp;CX87</f>
        <v/>
      </c>
      <c r="CA87" s="418" t="str">
        <f t="shared" si="117"/>
        <v/>
      </c>
      <c r="CB87" s="418" t="str">
        <f t="shared" si="59"/>
        <v/>
      </c>
      <c r="CC87" s="418" t="str">
        <f t="shared" si="81"/>
        <v/>
      </c>
      <c r="CD87" s="418" t="str">
        <f t="shared" si="82"/>
        <v/>
      </c>
      <c r="CE87" s="418" t="str">
        <f t="shared" ref="CE87:CE96" si="119">IF(D87&lt;E87,CONCATENATE("* El total de Procesados debe ser mayor o igual al total de Reactivos en el grupo de edad ",$D$11),"")</f>
        <v/>
      </c>
      <c r="CF87" s="418" t="str">
        <f t="shared" ref="CF87:CF96" si="120">IF(F87&lt;G87,CONCATENATE("* El total de Procesados debe ser mayor o igual al total de Reactivos en el grupo de edad ",$F$11),"")</f>
        <v/>
      </c>
      <c r="CG87" s="418" t="str">
        <f t="shared" ref="CG87:CG96" si="121">IF(H87&lt;I87,CONCATENATE("* El total de Procesados debe ser mayor o igual al total de Reactivos en el grupo de edad ",$H$11),"")</f>
        <v/>
      </c>
      <c r="CH87" s="418" t="str">
        <f t="shared" si="52"/>
        <v/>
      </c>
      <c r="CI87" s="418" t="str">
        <f t="shared" si="53"/>
        <v/>
      </c>
      <c r="CJ87" s="418" t="str">
        <f t="shared" si="83"/>
        <v/>
      </c>
      <c r="CK87" s="418" t="str">
        <f t="shared" si="84"/>
        <v/>
      </c>
      <c r="CL87" s="418" t="str">
        <f t="shared" si="85"/>
        <v/>
      </c>
      <c r="CM87" s="418" t="str">
        <f t="shared" si="86"/>
        <v/>
      </c>
      <c r="CN87" s="418" t="str">
        <f t="shared" si="87"/>
        <v/>
      </c>
      <c r="CO87" s="418" t="str">
        <f t="shared" si="88"/>
        <v/>
      </c>
      <c r="CP87" s="418" t="str">
        <f t="shared" si="89"/>
        <v/>
      </c>
      <c r="CQ87" s="418" t="str">
        <f t="shared" si="90"/>
        <v/>
      </c>
      <c r="CR87" s="418" t="str">
        <f t="shared" si="91"/>
        <v/>
      </c>
      <c r="CS87" s="418" t="str">
        <f t="shared" si="92"/>
        <v/>
      </c>
      <c r="CT87" s="418" t="str">
        <f t="shared" si="93"/>
        <v/>
      </c>
      <c r="CU87" s="418" t="str">
        <f t="shared" si="94"/>
        <v/>
      </c>
      <c r="CV87" s="418" t="str">
        <f t="shared" si="95"/>
        <v/>
      </c>
      <c r="CW87" s="418" t="str">
        <f t="shared" si="96"/>
        <v/>
      </c>
      <c r="CX87" s="418" t="str">
        <f t="shared" si="97"/>
        <v/>
      </c>
      <c r="DE87" s="417"/>
      <c r="DF87" s="3389">
        <f t="shared" si="118"/>
        <v>0</v>
      </c>
      <c r="DG87" s="3375">
        <f t="shared" si="99"/>
        <v>0</v>
      </c>
      <c r="DH87" s="3375">
        <f t="shared" si="100"/>
        <v>0</v>
      </c>
      <c r="DI87" s="3375">
        <f t="shared" si="101"/>
        <v>0</v>
      </c>
      <c r="DJ87" s="3375">
        <f t="shared" ref="DJ87:DJ96" si="122">IF(D87&lt;E87,1,0)</f>
        <v>0</v>
      </c>
      <c r="DK87" s="3375">
        <f t="shared" ref="DK87:DK96" si="123">IF(F87&lt;G87,1,0)</f>
        <v>0</v>
      </c>
      <c r="DL87" s="3375">
        <f t="shared" ref="DL87:DL96" si="124">IF(H87&lt;I87,1,0)</f>
        <v>0</v>
      </c>
      <c r="DM87" s="3375">
        <f t="shared" si="54"/>
        <v>0</v>
      </c>
      <c r="DN87" s="3375">
        <f t="shared" si="55"/>
        <v>0</v>
      </c>
      <c r="DO87" s="3375">
        <f t="shared" si="102"/>
        <v>0</v>
      </c>
      <c r="DP87" s="3375">
        <f t="shared" si="103"/>
        <v>0</v>
      </c>
      <c r="DQ87" s="3375">
        <f t="shared" si="104"/>
        <v>0</v>
      </c>
      <c r="DR87" s="3375">
        <f t="shared" si="105"/>
        <v>0</v>
      </c>
      <c r="DS87" s="3375">
        <f t="shared" si="106"/>
        <v>0</v>
      </c>
      <c r="DT87" s="3375">
        <f t="shared" si="107"/>
        <v>0</v>
      </c>
      <c r="DU87" s="3375">
        <f t="shared" si="108"/>
        <v>0</v>
      </c>
      <c r="DV87" s="3375">
        <f t="shared" si="109"/>
        <v>0</v>
      </c>
      <c r="DW87" s="3375">
        <f t="shared" si="110"/>
        <v>0</v>
      </c>
      <c r="DX87" s="3375">
        <f t="shared" si="111"/>
        <v>0</v>
      </c>
      <c r="DY87" s="3375">
        <f t="shared" si="112"/>
        <v>0</v>
      </c>
      <c r="DZ87" s="3375">
        <f t="shared" si="113"/>
        <v>0</v>
      </c>
      <c r="EA87" s="3375">
        <f t="shared" si="114"/>
        <v>0</v>
      </c>
      <c r="EB87" s="3375">
        <f t="shared" si="115"/>
        <v>0</v>
      </c>
      <c r="EC87" s="3375">
        <f t="shared" si="116"/>
        <v>0</v>
      </c>
    </row>
    <row r="88" spans="1:133" ht="21">
      <c r="A88" s="2237" t="s">
        <v>1948</v>
      </c>
      <c r="B88" s="1737">
        <f>+D88+F88+H88</f>
        <v>0</v>
      </c>
      <c r="C88" s="1739">
        <f>+E88+G88+I88</f>
        <v>0</v>
      </c>
      <c r="D88" s="423"/>
      <c r="E88" s="3376"/>
      <c r="F88" s="425"/>
      <c r="G88" s="3376"/>
      <c r="H88" s="425"/>
      <c r="I88" s="424"/>
      <c r="J88" s="3377"/>
      <c r="K88" s="3378"/>
      <c r="L88" s="3377"/>
      <c r="M88" s="3378"/>
      <c r="N88" s="3377"/>
      <c r="O88" s="3378"/>
      <c r="P88" s="3377"/>
      <c r="Q88" s="3378"/>
      <c r="R88" s="3377"/>
      <c r="S88" s="3378"/>
      <c r="T88" s="3377"/>
      <c r="U88" s="3378"/>
      <c r="V88" s="3377"/>
      <c r="W88" s="3378"/>
      <c r="X88" s="3377"/>
      <c r="Y88" s="3378"/>
      <c r="Z88" s="3377"/>
      <c r="AA88" s="3378"/>
      <c r="AB88" s="3377"/>
      <c r="AC88" s="3378"/>
      <c r="AD88" s="3377"/>
      <c r="AE88" s="3378"/>
      <c r="AF88" s="3377"/>
      <c r="AG88" s="3378"/>
      <c r="AH88" s="3377"/>
      <c r="AI88" s="3378"/>
      <c r="AJ88" s="3377"/>
      <c r="AK88" s="3378"/>
      <c r="AL88" s="3377"/>
      <c r="AM88" s="3378"/>
      <c r="AN88" s="3377"/>
      <c r="AO88" s="3378"/>
      <c r="AP88" s="3377"/>
      <c r="AQ88" s="3379"/>
      <c r="AR88" s="423"/>
      <c r="AS88" s="426"/>
      <c r="AT88" s="3372"/>
      <c r="AU88" s="426"/>
      <c r="AV88" s="3392"/>
      <c r="AW88" s="2231"/>
      <c r="AX88" s="3373" t="str">
        <f>$CA88&amp;CB88&amp;CC88&amp;$CD88&amp;CE88&amp;CF88&amp;CG88</f>
        <v/>
      </c>
      <c r="CA88" s="418" t="str">
        <f t="shared" ref="CA88:CA96" si="125">IF(B88&lt;&gt;(AS88+AR88)," * La suma de las columnas "&amp;AR$10&amp;""&amp;" DEBE SER IGUAL a los Exámenes Procesados. ","")</f>
        <v/>
      </c>
      <c r="CB88" s="418" t="str">
        <f t="shared" si="59"/>
        <v/>
      </c>
      <c r="CC88" s="418" t="str">
        <f t="shared" si="81"/>
        <v/>
      </c>
      <c r="CD88" s="418" t="str">
        <f t="shared" si="82"/>
        <v/>
      </c>
      <c r="CE88" s="418" t="str">
        <f t="shared" si="119"/>
        <v/>
      </c>
      <c r="CF88" s="418" t="str">
        <f t="shared" si="120"/>
        <v/>
      </c>
      <c r="CG88" s="418" t="str">
        <f t="shared" si="121"/>
        <v/>
      </c>
      <c r="CH88" s="3380"/>
      <c r="CI88" s="3380"/>
      <c r="CJ88" s="3381"/>
      <c r="CK88" s="3380"/>
      <c r="CL88" s="3380"/>
      <c r="CM88" s="3380"/>
      <c r="CN88" s="3380"/>
      <c r="CO88" s="3380"/>
      <c r="CP88" s="3380"/>
      <c r="CQ88" s="3380"/>
      <c r="CR88" s="3380"/>
      <c r="CS88" s="3380"/>
      <c r="CT88" s="3380"/>
      <c r="CU88" s="3380"/>
      <c r="CV88" s="3380"/>
      <c r="CW88" s="3380"/>
      <c r="CX88" s="3380"/>
      <c r="DE88" s="417"/>
      <c r="DF88" s="3389">
        <f t="shared" ref="DF88:DF96" si="126">IF(B88&lt;&gt;(AS88+AR88),1,0)</f>
        <v>0</v>
      </c>
      <c r="DG88" s="3375">
        <f t="shared" si="99"/>
        <v>0</v>
      </c>
      <c r="DH88" s="3375">
        <f t="shared" si="100"/>
        <v>0</v>
      </c>
      <c r="DI88" s="3375">
        <f t="shared" si="101"/>
        <v>0</v>
      </c>
      <c r="DJ88" s="3375">
        <f t="shared" si="122"/>
        <v>0</v>
      </c>
      <c r="DK88" s="3375">
        <f t="shared" si="123"/>
        <v>0</v>
      </c>
      <c r="DL88" s="3375">
        <f t="shared" si="124"/>
        <v>0</v>
      </c>
      <c r="DM88" s="3380"/>
      <c r="DN88" s="3380"/>
      <c r="DO88" s="3374"/>
      <c r="DP88" s="3374"/>
      <c r="DQ88" s="3374"/>
      <c r="DR88" s="3374"/>
      <c r="DS88" s="3374"/>
      <c r="DT88" s="3374"/>
      <c r="DU88" s="3374"/>
      <c r="DV88" s="3374"/>
      <c r="DW88" s="3374"/>
      <c r="DX88" s="3374"/>
      <c r="DY88" s="3374"/>
      <c r="DZ88" s="3374"/>
      <c r="EA88" s="3374"/>
      <c r="EB88" s="3374"/>
      <c r="EC88" s="3374"/>
    </row>
    <row r="89" spans="1:133">
      <c r="A89" s="2237" t="s">
        <v>1949</v>
      </c>
      <c r="B89" s="1737">
        <f>+P89+R89+T89+V89+X89+Z89+AB89+AD89+AF89+AH89+AJ89+AL89+AN89+AP89</f>
        <v>0</v>
      </c>
      <c r="C89" s="1739">
        <f>+Q89+S89+U89+W89+Y89+AA89+AC89+AE89+AG89+AI89+AK89+AM89+AO89+AQ89</f>
        <v>0</v>
      </c>
      <c r="D89" s="2880"/>
      <c r="E89" s="2885"/>
      <c r="F89" s="2381"/>
      <c r="G89" s="2885"/>
      <c r="H89" s="2381"/>
      <c r="I89" s="2885"/>
      <c r="J89" s="2381"/>
      <c r="K89" s="2885"/>
      <c r="L89" s="2381"/>
      <c r="M89" s="2382"/>
      <c r="N89" s="2880"/>
      <c r="O89" s="2885"/>
      <c r="P89" s="425"/>
      <c r="Q89" s="3376"/>
      <c r="R89" s="425"/>
      <c r="S89" s="3376"/>
      <c r="T89" s="425"/>
      <c r="U89" s="3376"/>
      <c r="V89" s="425"/>
      <c r="W89" s="3376"/>
      <c r="X89" s="425"/>
      <c r="Y89" s="3376"/>
      <c r="Z89" s="425"/>
      <c r="AA89" s="3376"/>
      <c r="AB89" s="425"/>
      <c r="AC89" s="3376"/>
      <c r="AD89" s="425"/>
      <c r="AE89" s="3376"/>
      <c r="AF89" s="425"/>
      <c r="AG89" s="3376"/>
      <c r="AH89" s="425"/>
      <c r="AI89" s="3376"/>
      <c r="AJ89" s="425"/>
      <c r="AK89" s="3376"/>
      <c r="AL89" s="425"/>
      <c r="AM89" s="3376"/>
      <c r="AN89" s="425"/>
      <c r="AO89" s="3376"/>
      <c r="AP89" s="425"/>
      <c r="AQ89" s="426"/>
      <c r="AR89" s="423"/>
      <c r="AS89" s="426"/>
      <c r="AT89" s="3372"/>
      <c r="AU89" s="426"/>
      <c r="AV89" s="3392"/>
      <c r="AW89" s="2231"/>
      <c r="AX89" s="3373" t="str">
        <f>$CA89&amp;CB89&amp;CC89&amp;$CD89&amp;CK89&amp;CL89&amp;CM89&amp;CN89&amp;CO89&amp;CP89&amp;CQ89&amp;CR89&amp;CS89&amp;CT89&amp;CU89&amp;CV89&amp;CW89&amp;CX89</f>
        <v/>
      </c>
      <c r="CA89" s="418" t="str">
        <f t="shared" si="125"/>
        <v/>
      </c>
      <c r="CB89" s="418" t="str">
        <f t="shared" si="59"/>
        <v/>
      </c>
      <c r="CC89" s="418" t="str">
        <f t="shared" si="81"/>
        <v/>
      </c>
      <c r="CD89" s="418" t="str">
        <f t="shared" si="82"/>
        <v/>
      </c>
      <c r="CE89" s="3381"/>
      <c r="CF89" s="3381"/>
      <c r="CG89" s="3380"/>
      <c r="CH89" s="3380"/>
      <c r="CI89" s="3380"/>
      <c r="CJ89" s="3381"/>
      <c r="CK89" s="418" t="str">
        <f t="shared" si="84"/>
        <v/>
      </c>
      <c r="CL89" s="418" t="str">
        <f t="shared" si="85"/>
        <v/>
      </c>
      <c r="CM89" s="418" t="str">
        <f t="shared" si="86"/>
        <v/>
      </c>
      <c r="CN89" s="418" t="str">
        <f t="shared" si="87"/>
        <v/>
      </c>
      <c r="CO89" s="418" t="str">
        <f t="shared" si="88"/>
        <v/>
      </c>
      <c r="CP89" s="418" t="str">
        <f t="shared" si="89"/>
        <v/>
      </c>
      <c r="CQ89" s="418" t="str">
        <f t="shared" si="90"/>
        <v/>
      </c>
      <c r="CR89" s="418" t="str">
        <f t="shared" si="91"/>
        <v/>
      </c>
      <c r="CS89" s="418" t="str">
        <f t="shared" si="92"/>
        <v/>
      </c>
      <c r="CT89" s="418" t="str">
        <f t="shared" si="93"/>
        <v/>
      </c>
      <c r="CU89" s="418" t="str">
        <f t="shared" si="94"/>
        <v/>
      </c>
      <c r="CV89" s="418" t="str">
        <f t="shared" si="95"/>
        <v/>
      </c>
      <c r="CW89" s="418" t="str">
        <f t="shared" si="96"/>
        <v/>
      </c>
      <c r="CX89" s="418" t="str">
        <f t="shared" si="97"/>
        <v/>
      </c>
      <c r="DE89" s="417"/>
      <c r="DF89" s="3389">
        <f t="shared" si="126"/>
        <v>0</v>
      </c>
      <c r="DG89" s="3375">
        <f t="shared" si="99"/>
        <v>0</v>
      </c>
      <c r="DH89" s="3375">
        <f t="shared" si="100"/>
        <v>0</v>
      </c>
      <c r="DI89" s="3375">
        <f t="shared" si="101"/>
        <v>0</v>
      </c>
      <c r="DJ89" s="3380"/>
      <c r="DK89" s="3380"/>
      <c r="DL89" s="3380"/>
      <c r="DM89" s="3380"/>
      <c r="DN89" s="3380"/>
      <c r="DO89" s="3374"/>
      <c r="DP89" s="3375">
        <f t="shared" si="103"/>
        <v>0</v>
      </c>
      <c r="DQ89" s="3375">
        <f t="shared" si="104"/>
        <v>0</v>
      </c>
      <c r="DR89" s="3375">
        <f t="shared" si="105"/>
        <v>0</v>
      </c>
      <c r="DS89" s="3375">
        <f t="shared" si="106"/>
        <v>0</v>
      </c>
      <c r="DT89" s="3375">
        <f t="shared" si="107"/>
        <v>0</v>
      </c>
      <c r="DU89" s="3375">
        <f t="shared" si="108"/>
        <v>0</v>
      </c>
      <c r="DV89" s="3375">
        <f t="shared" si="109"/>
        <v>0</v>
      </c>
      <c r="DW89" s="3375">
        <f t="shared" si="110"/>
        <v>0</v>
      </c>
      <c r="DX89" s="3375">
        <f t="shared" si="111"/>
        <v>0</v>
      </c>
      <c r="DY89" s="3375">
        <f t="shared" si="112"/>
        <v>0</v>
      </c>
      <c r="DZ89" s="3375">
        <f t="shared" si="113"/>
        <v>0</v>
      </c>
      <c r="EA89" s="3375">
        <f t="shared" si="114"/>
        <v>0</v>
      </c>
      <c r="EB89" s="3375">
        <f t="shared" si="115"/>
        <v>0</v>
      </c>
      <c r="EC89" s="3375">
        <f t="shared" si="116"/>
        <v>0</v>
      </c>
    </row>
    <row r="90" spans="1:133">
      <c r="A90" s="420" t="s">
        <v>1950</v>
      </c>
      <c r="B90" s="1737">
        <f>+N90+P90+R90+T90+V90+X90+Z90+AB90+AD90+AF90+AH90+AJ90+AL90+AN90+AP90</f>
        <v>0</v>
      </c>
      <c r="C90" s="1739">
        <f>+O90+Q90+S90+U90+W90+Y90+AA90+AC90+AE90+AG90+AI90+AK90+AM90+AO90+AQ90</f>
        <v>0</v>
      </c>
      <c r="D90" s="3371"/>
      <c r="E90" s="3378"/>
      <c r="F90" s="3377"/>
      <c r="G90" s="3378"/>
      <c r="H90" s="3377"/>
      <c r="I90" s="3382"/>
      <c r="J90" s="3371"/>
      <c r="K90" s="3371"/>
      <c r="L90" s="3377"/>
      <c r="M90" s="3382"/>
      <c r="N90" s="423"/>
      <c r="O90" s="3376"/>
      <c r="P90" s="425"/>
      <c r="Q90" s="3376"/>
      <c r="R90" s="425"/>
      <c r="S90" s="3376"/>
      <c r="T90" s="425"/>
      <c r="U90" s="3376"/>
      <c r="V90" s="425"/>
      <c r="W90" s="3376"/>
      <c r="X90" s="425"/>
      <c r="Y90" s="3376"/>
      <c r="Z90" s="425"/>
      <c r="AA90" s="3376"/>
      <c r="AB90" s="425"/>
      <c r="AC90" s="3376"/>
      <c r="AD90" s="425"/>
      <c r="AE90" s="3376"/>
      <c r="AF90" s="425"/>
      <c r="AG90" s="3376"/>
      <c r="AH90" s="425"/>
      <c r="AI90" s="3376"/>
      <c r="AJ90" s="425"/>
      <c r="AK90" s="3376"/>
      <c r="AL90" s="425"/>
      <c r="AM90" s="3376"/>
      <c r="AN90" s="425"/>
      <c r="AO90" s="3376"/>
      <c r="AP90" s="425"/>
      <c r="AQ90" s="426"/>
      <c r="AR90" s="423"/>
      <c r="AS90" s="426"/>
      <c r="AT90" s="3372"/>
      <c r="AU90" s="426"/>
      <c r="AV90" s="3392"/>
      <c r="AW90" s="2231"/>
      <c r="AX90" s="3373" t="str">
        <f>$CA90&amp;CB90&amp;CC90&amp;$CD90&amp;CJ90&amp;CK90&amp;CL90&amp;CM90&amp;CN90&amp;CO90&amp;CP90&amp;CQ90&amp;CR90&amp;CS90&amp;CT90&amp;CU90&amp;CV90&amp;CW90&amp;CX90</f>
        <v/>
      </c>
      <c r="CA90" s="418" t="str">
        <f t="shared" si="125"/>
        <v/>
      </c>
      <c r="CB90" s="418" t="str">
        <f t="shared" si="59"/>
        <v/>
      </c>
      <c r="CC90" s="418" t="str">
        <f t="shared" si="81"/>
        <v/>
      </c>
      <c r="CD90" s="418" t="str">
        <f t="shared" si="82"/>
        <v/>
      </c>
      <c r="CE90" s="3381"/>
      <c r="CF90" s="3381"/>
      <c r="CG90" s="3380"/>
      <c r="CH90" s="3380"/>
      <c r="CI90" s="3380"/>
      <c r="CJ90" s="418" t="str">
        <f t="shared" si="83"/>
        <v/>
      </c>
      <c r="CK90" s="418" t="str">
        <f t="shared" si="84"/>
        <v/>
      </c>
      <c r="CL90" s="418" t="str">
        <f t="shared" si="85"/>
        <v/>
      </c>
      <c r="CM90" s="418" t="str">
        <f t="shared" si="86"/>
        <v/>
      </c>
      <c r="CN90" s="418" t="str">
        <f t="shared" si="87"/>
        <v/>
      </c>
      <c r="CO90" s="418" t="str">
        <f t="shared" si="88"/>
        <v/>
      </c>
      <c r="CP90" s="418" t="str">
        <f t="shared" si="89"/>
        <v/>
      </c>
      <c r="CQ90" s="418" t="str">
        <f t="shared" si="90"/>
        <v/>
      </c>
      <c r="CR90" s="418" t="str">
        <f t="shared" si="91"/>
        <v/>
      </c>
      <c r="CS90" s="418" t="str">
        <f t="shared" si="92"/>
        <v/>
      </c>
      <c r="CT90" s="418" t="str">
        <f t="shared" si="93"/>
        <v/>
      </c>
      <c r="CU90" s="418" t="str">
        <f t="shared" si="94"/>
        <v/>
      </c>
      <c r="CV90" s="418" t="str">
        <f t="shared" si="95"/>
        <v/>
      </c>
      <c r="CW90" s="418" t="str">
        <f t="shared" si="96"/>
        <v/>
      </c>
      <c r="CX90" s="418" t="str">
        <f t="shared" si="97"/>
        <v/>
      </c>
      <c r="DE90" s="417"/>
      <c r="DF90" s="3389">
        <f t="shared" si="126"/>
        <v>0</v>
      </c>
      <c r="DG90" s="3375">
        <f t="shared" si="99"/>
        <v>0</v>
      </c>
      <c r="DH90" s="3375">
        <f t="shared" si="100"/>
        <v>0</v>
      </c>
      <c r="DI90" s="3375">
        <f t="shared" si="101"/>
        <v>0</v>
      </c>
      <c r="DJ90" s="3380"/>
      <c r="DK90" s="3380"/>
      <c r="DL90" s="3380"/>
      <c r="DM90" s="3380"/>
      <c r="DN90" s="3380"/>
      <c r="DO90" s="3375">
        <f t="shared" si="102"/>
        <v>0</v>
      </c>
      <c r="DP90" s="3375">
        <f t="shared" si="103"/>
        <v>0</v>
      </c>
      <c r="DQ90" s="3375">
        <f t="shared" si="104"/>
        <v>0</v>
      </c>
      <c r="DR90" s="3375">
        <f t="shared" si="105"/>
        <v>0</v>
      </c>
      <c r="DS90" s="3375">
        <f t="shared" si="106"/>
        <v>0</v>
      </c>
      <c r="DT90" s="3375">
        <f t="shared" si="107"/>
        <v>0</v>
      </c>
      <c r="DU90" s="3375">
        <f t="shared" si="108"/>
        <v>0</v>
      </c>
      <c r="DV90" s="3375">
        <f t="shared" si="109"/>
        <v>0</v>
      </c>
      <c r="DW90" s="3375">
        <f t="shared" si="110"/>
        <v>0</v>
      </c>
      <c r="DX90" s="3375">
        <f t="shared" si="111"/>
        <v>0</v>
      </c>
      <c r="DY90" s="3375">
        <f t="shared" si="112"/>
        <v>0</v>
      </c>
      <c r="DZ90" s="3375">
        <f t="shared" si="113"/>
        <v>0</v>
      </c>
      <c r="EA90" s="3375">
        <f t="shared" si="114"/>
        <v>0</v>
      </c>
      <c r="EB90" s="3375">
        <f t="shared" si="115"/>
        <v>0</v>
      </c>
      <c r="EC90" s="3375">
        <f t="shared" si="116"/>
        <v>0</v>
      </c>
    </row>
    <row r="91" spans="1:133">
      <c r="A91" s="420" t="s">
        <v>1951</v>
      </c>
      <c r="B91" s="1737">
        <f>+D91+F91+H91+J91+L91+N91+P91+R91+T91+V91+X91+Z91+AB91+AD91+AF91+AH91+AJ91+AL91+AN91+AP91</f>
        <v>0</v>
      </c>
      <c r="C91" s="1739">
        <f>+E91+G91+I91+K91+M91+O91+Q91+S91+U91+W91+Y91+AA91+AC91+AE91+AG91+AI91+AK91+AM91+AO91+AQ91</f>
        <v>0</v>
      </c>
      <c r="D91" s="423"/>
      <c r="E91" s="3376"/>
      <c r="F91" s="425"/>
      <c r="G91" s="3376"/>
      <c r="H91" s="425"/>
      <c r="I91" s="424"/>
      <c r="J91" s="423"/>
      <c r="K91" s="423"/>
      <c r="L91" s="425"/>
      <c r="M91" s="424"/>
      <c r="N91" s="423"/>
      <c r="O91" s="3376"/>
      <c r="P91" s="425"/>
      <c r="Q91" s="3376"/>
      <c r="R91" s="425"/>
      <c r="S91" s="3376"/>
      <c r="T91" s="425"/>
      <c r="U91" s="3376"/>
      <c r="V91" s="425"/>
      <c r="W91" s="3376"/>
      <c r="X91" s="425"/>
      <c r="Y91" s="3376"/>
      <c r="Z91" s="425"/>
      <c r="AA91" s="3376"/>
      <c r="AB91" s="425"/>
      <c r="AC91" s="3376"/>
      <c r="AD91" s="425"/>
      <c r="AE91" s="3376"/>
      <c r="AF91" s="425"/>
      <c r="AG91" s="3376"/>
      <c r="AH91" s="425"/>
      <c r="AI91" s="3376"/>
      <c r="AJ91" s="425"/>
      <c r="AK91" s="3376"/>
      <c r="AL91" s="425"/>
      <c r="AM91" s="3376"/>
      <c r="AN91" s="425"/>
      <c r="AO91" s="3376"/>
      <c r="AP91" s="425"/>
      <c r="AQ91" s="426"/>
      <c r="AR91" s="423"/>
      <c r="AS91" s="426"/>
      <c r="AT91" s="3372"/>
      <c r="AU91" s="426"/>
      <c r="AV91" s="3392"/>
      <c r="AW91" s="2231"/>
      <c r="AX91" s="3373" t="str">
        <f>$CA91&amp;CB91&amp;CC91&amp;$CD91&amp;CE91&amp;CF91&amp;CG91&amp;CH91&amp;CI91&amp;CJ91&amp;CK91&amp;CL91&amp;CM91&amp;CN91&amp;CO91&amp;CP91&amp;CQ91&amp;CR91&amp;CS91&amp;CT91&amp;CU91&amp;CV91&amp;CW91&amp;CX91</f>
        <v/>
      </c>
      <c r="CA91" s="418" t="str">
        <f t="shared" si="125"/>
        <v/>
      </c>
      <c r="CB91" s="418" t="str">
        <f t="shared" si="59"/>
        <v/>
      </c>
      <c r="CC91" s="418" t="str">
        <f t="shared" si="81"/>
        <v/>
      </c>
      <c r="CD91" s="418" t="str">
        <f t="shared" si="82"/>
        <v/>
      </c>
      <c r="CE91" s="418" t="str">
        <f t="shared" si="119"/>
        <v/>
      </c>
      <c r="CF91" s="418" t="str">
        <f t="shared" si="120"/>
        <v/>
      </c>
      <c r="CG91" s="418" t="str">
        <f t="shared" si="121"/>
        <v/>
      </c>
      <c r="CH91" s="418" t="str">
        <f t="shared" si="52"/>
        <v/>
      </c>
      <c r="CI91" s="418" t="str">
        <f t="shared" si="53"/>
        <v/>
      </c>
      <c r="CJ91" s="418" t="str">
        <f t="shared" si="83"/>
        <v/>
      </c>
      <c r="CK91" s="418" t="str">
        <f t="shared" si="84"/>
        <v/>
      </c>
      <c r="CL91" s="418" t="str">
        <f t="shared" si="85"/>
        <v/>
      </c>
      <c r="CM91" s="418" t="str">
        <f t="shared" si="86"/>
        <v/>
      </c>
      <c r="CN91" s="418" t="str">
        <f t="shared" si="87"/>
        <v/>
      </c>
      <c r="CO91" s="418" t="str">
        <f t="shared" si="88"/>
        <v/>
      </c>
      <c r="CP91" s="418" t="str">
        <f t="shared" si="89"/>
        <v/>
      </c>
      <c r="CQ91" s="418" t="str">
        <f t="shared" si="90"/>
        <v/>
      </c>
      <c r="CR91" s="418" t="str">
        <f t="shared" si="91"/>
        <v/>
      </c>
      <c r="CS91" s="418" t="str">
        <f t="shared" si="92"/>
        <v/>
      </c>
      <c r="CT91" s="418" t="str">
        <f t="shared" si="93"/>
        <v/>
      </c>
      <c r="CU91" s="418" t="str">
        <f t="shared" si="94"/>
        <v/>
      </c>
      <c r="CV91" s="418" t="str">
        <f t="shared" si="95"/>
        <v/>
      </c>
      <c r="CW91" s="418" t="str">
        <f t="shared" si="96"/>
        <v/>
      </c>
      <c r="CX91" s="418" t="str">
        <f t="shared" si="97"/>
        <v/>
      </c>
      <c r="DE91" s="417"/>
      <c r="DF91" s="3389">
        <f t="shared" si="126"/>
        <v>0</v>
      </c>
      <c r="DG91" s="3375">
        <f t="shared" si="99"/>
        <v>0</v>
      </c>
      <c r="DH91" s="3375">
        <f t="shared" si="100"/>
        <v>0</v>
      </c>
      <c r="DI91" s="3375">
        <f t="shared" si="101"/>
        <v>0</v>
      </c>
      <c r="DJ91" s="3375">
        <f t="shared" si="122"/>
        <v>0</v>
      </c>
      <c r="DK91" s="3375">
        <f t="shared" si="123"/>
        <v>0</v>
      </c>
      <c r="DL91" s="3375">
        <f t="shared" si="124"/>
        <v>0</v>
      </c>
      <c r="DM91" s="3375">
        <f t="shared" si="54"/>
        <v>0</v>
      </c>
      <c r="DN91" s="3375">
        <f t="shared" si="55"/>
        <v>0</v>
      </c>
      <c r="DO91" s="3375">
        <f t="shared" si="102"/>
        <v>0</v>
      </c>
      <c r="DP91" s="3375">
        <f t="shared" si="103"/>
        <v>0</v>
      </c>
      <c r="DQ91" s="3375">
        <f t="shared" si="104"/>
        <v>0</v>
      </c>
      <c r="DR91" s="3375">
        <f t="shared" si="105"/>
        <v>0</v>
      </c>
      <c r="DS91" s="3375">
        <f t="shared" si="106"/>
        <v>0</v>
      </c>
      <c r="DT91" s="3375">
        <f t="shared" si="107"/>
        <v>0</v>
      </c>
      <c r="DU91" s="3375">
        <f t="shared" si="108"/>
        <v>0</v>
      </c>
      <c r="DV91" s="3375">
        <f t="shared" si="109"/>
        <v>0</v>
      </c>
      <c r="DW91" s="3375">
        <f t="shared" si="110"/>
        <v>0</v>
      </c>
      <c r="DX91" s="3375">
        <f t="shared" si="111"/>
        <v>0</v>
      </c>
      <c r="DY91" s="3375">
        <f t="shared" si="112"/>
        <v>0</v>
      </c>
      <c r="DZ91" s="3375">
        <f t="shared" si="113"/>
        <v>0</v>
      </c>
      <c r="EA91" s="3375">
        <f t="shared" si="114"/>
        <v>0</v>
      </c>
      <c r="EB91" s="3375">
        <f t="shared" si="115"/>
        <v>0</v>
      </c>
      <c r="EC91" s="3375">
        <f t="shared" si="116"/>
        <v>0</v>
      </c>
    </row>
    <row r="92" spans="1:133">
      <c r="A92" s="2387" t="s">
        <v>1952</v>
      </c>
      <c r="B92" s="1737">
        <f>+P92+R92+T92+V92+X92+Z92+AB92+AD92+AF92+AH92+AJ92+AL92+AN92+AP92</f>
        <v>0</v>
      </c>
      <c r="C92" s="1739">
        <f>+Q92+S92+U92+W92+Y92+AA92+AC92+AE92+AG92+AI92+AK92+AM92+AO92+AQ92</f>
        <v>0</v>
      </c>
      <c r="D92" s="2880"/>
      <c r="E92" s="2885"/>
      <c r="F92" s="2381"/>
      <c r="G92" s="2885"/>
      <c r="H92" s="2381"/>
      <c r="I92" s="2885"/>
      <c r="J92" s="2381"/>
      <c r="K92" s="2885"/>
      <c r="L92" s="2381"/>
      <c r="M92" s="2382"/>
      <c r="N92" s="2880"/>
      <c r="O92" s="2885"/>
      <c r="P92" s="425"/>
      <c r="Q92" s="3376"/>
      <c r="R92" s="425"/>
      <c r="S92" s="3376"/>
      <c r="T92" s="425"/>
      <c r="U92" s="3376"/>
      <c r="V92" s="425"/>
      <c r="W92" s="3376"/>
      <c r="X92" s="425"/>
      <c r="Y92" s="3376"/>
      <c r="Z92" s="425"/>
      <c r="AA92" s="3376"/>
      <c r="AB92" s="425"/>
      <c r="AC92" s="3376"/>
      <c r="AD92" s="425"/>
      <c r="AE92" s="3376"/>
      <c r="AF92" s="425"/>
      <c r="AG92" s="3376"/>
      <c r="AH92" s="425"/>
      <c r="AI92" s="3376"/>
      <c r="AJ92" s="425"/>
      <c r="AK92" s="3376"/>
      <c r="AL92" s="425"/>
      <c r="AM92" s="3376"/>
      <c r="AN92" s="425"/>
      <c r="AO92" s="3376"/>
      <c r="AP92" s="425"/>
      <c r="AQ92" s="426"/>
      <c r="AR92" s="423"/>
      <c r="AS92" s="426"/>
      <c r="AT92" s="3372"/>
      <c r="AU92" s="426"/>
      <c r="AV92" s="3392"/>
      <c r="AW92" s="2231"/>
      <c r="AX92" s="3373" t="str">
        <f>$CA92&amp;CB92&amp;CC92&amp;$CD92&amp;CJ92&amp;CK92&amp;CL92&amp;CM92&amp;CN92&amp;CO92&amp;CP92&amp;CQ92&amp;CR92&amp;CS92&amp;CT92&amp;CU92&amp;CV92&amp;CW92&amp;CX92</f>
        <v/>
      </c>
      <c r="CA92" s="418" t="str">
        <f t="shared" si="125"/>
        <v/>
      </c>
      <c r="CB92" s="418" t="str">
        <f t="shared" si="59"/>
        <v/>
      </c>
      <c r="CC92" s="418" t="str">
        <f t="shared" si="81"/>
        <v/>
      </c>
      <c r="CD92" s="418" t="str">
        <f t="shared" si="82"/>
        <v/>
      </c>
      <c r="CE92" s="3381"/>
      <c r="CF92" s="3381"/>
      <c r="CG92" s="3380"/>
      <c r="CH92" s="3380"/>
      <c r="CI92" s="3380"/>
      <c r="CJ92" s="3381"/>
      <c r="CK92" s="418" t="str">
        <f t="shared" si="84"/>
        <v/>
      </c>
      <c r="CL92" s="418" t="str">
        <f t="shared" si="85"/>
        <v/>
      </c>
      <c r="CM92" s="418" t="str">
        <f t="shared" si="86"/>
        <v/>
      </c>
      <c r="CN92" s="418" t="str">
        <f t="shared" si="87"/>
        <v/>
      </c>
      <c r="CO92" s="418" t="str">
        <f t="shared" si="88"/>
        <v/>
      </c>
      <c r="CP92" s="418" t="str">
        <f t="shared" si="89"/>
        <v/>
      </c>
      <c r="CQ92" s="418" t="str">
        <f t="shared" si="90"/>
        <v/>
      </c>
      <c r="CR92" s="418" t="str">
        <f t="shared" si="91"/>
        <v/>
      </c>
      <c r="CS92" s="418" t="str">
        <f t="shared" si="92"/>
        <v/>
      </c>
      <c r="CT92" s="418" t="str">
        <f t="shared" si="93"/>
        <v/>
      </c>
      <c r="CU92" s="418" t="str">
        <f t="shared" si="94"/>
        <v/>
      </c>
      <c r="CV92" s="418" t="str">
        <f t="shared" si="95"/>
        <v/>
      </c>
      <c r="CW92" s="418" t="str">
        <f t="shared" si="96"/>
        <v/>
      </c>
      <c r="CX92" s="418" t="str">
        <f t="shared" si="97"/>
        <v/>
      </c>
      <c r="DE92" s="417"/>
      <c r="DF92" s="3389">
        <f t="shared" si="126"/>
        <v>0</v>
      </c>
      <c r="DG92" s="3375">
        <f t="shared" si="99"/>
        <v>0</v>
      </c>
      <c r="DH92" s="3375">
        <f t="shared" si="100"/>
        <v>0</v>
      </c>
      <c r="DI92" s="3375">
        <f t="shared" si="101"/>
        <v>0</v>
      </c>
      <c r="DJ92" s="3380"/>
      <c r="DK92" s="3380"/>
      <c r="DL92" s="3380"/>
      <c r="DM92" s="3380"/>
      <c r="DN92" s="3380"/>
      <c r="DO92" s="3374"/>
      <c r="DP92" s="3375">
        <f t="shared" si="103"/>
        <v>0</v>
      </c>
      <c r="DQ92" s="3375">
        <f t="shared" si="104"/>
        <v>0</v>
      </c>
      <c r="DR92" s="3375">
        <f t="shared" si="105"/>
        <v>0</v>
      </c>
      <c r="DS92" s="3375">
        <f t="shared" si="106"/>
        <v>0</v>
      </c>
      <c r="DT92" s="3375">
        <f t="shared" si="107"/>
        <v>0</v>
      </c>
      <c r="DU92" s="3375">
        <f t="shared" si="108"/>
        <v>0</v>
      </c>
      <c r="DV92" s="3375">
        <f t="shared" si="109"/>
        <v>0</v>
      </c>
      <c r="DW92" s="3375">
        <f t="shared" si="110"/>
        <v>0</v>
      </c>
      <c r="DX92" s="3375">
        <f t="shared" si="111"/>
        <v>0</v>
      </c>
      <c r="DY92" s="3375">
        <f t="shared" si="112"/>
        <v>0</v>
      </c>
      <c r="DZ92" s="3375">
        <f t="shared" si="113"/>
        <v>0</v>
      </c>
      <c r="EA92" s="3375">
        <f t="shared" si="114"/>
        <v>0</v>
      </c>
      <c r="EB92" s="3375">
        <f t="shared" si="115"/>
        <v>0</v>
      </c>
      <c r="EC92" s="3375">
        <f t="shared" si="116"/>
        <v>0</v>
      </c>
    </row>
    <row r="93" spans="1:133">
      <c r="A93" s="420" t="s">
        <v>1953</v>
      </c>
      <c r="B93" s="1737">
        <f>+P93+R93+T93+V93+X93+Z93+AB93+AD93+AF93+AH93</f>
        <v>0</v>
      </c>
      <c r="C93" s="1739">
        <f>+Q93+S93+U93+W93+Y93+AA93+AC93+AE93+AG93+AI93</f>
        <v>0</v>
      </c>
      <c r="D93" s="2880"/>
      <c r="E93" s="2885"/>
      <c r="F93" s="2381"/>
      <c r="G93" s="2885"/>
      <c r="H93" s="2381"/>
      <c r="I93" s="2885"/>
      <c r="J93" s="2381"/>
      <c r="K93" s="2885"/>
      <c r="L93" s="2381"/>
      <c r="M93" s="2382"/>
      <c r="N93" s="2880"/>
      <c r="O93" s="2885"/>
      <c r="P93" s="425"/>
      <c r="Q93" s="3376"/>
      <c r="R93" s="425"/>
      <c r="S93" s="3376"/>
      <c r="T93" s="425"/>
      <c r="U93" s="3376"/>
      <c r="V93" s="425"/>
      <c r="W93" s="3376"/>
      <c r="X93" s="425"/>
      <c r="Y93" s="3376"/>
      <c r="Z93" s="425"/>
      <c r="AA93" s="3376"/>
      <c r="AB93" s="425"/>
      <c r="AC93" s="3376"/>
      <c r="AD93" s="425"/>
      <c r="AE93" s="3376"/>
      <c r="AF93" s="425"/>
      <c r="AG93" s="3376"/>
      <c r="AH93" s="425"/>
      <c r="AI93" s="3376"/>
      <c r="AJ93" s="2381"/>
      <c r="AK93" s="2885"/>
      <c r="AL93" s="2381"/>
      <c r="AM93" s="2885"/>
      <c r="AN93" s="2381"/>
      <c r="AO93" s="2885"/>
      <c r="AP93" s="2381"/>
      <c r="AQ93" s="2882"/>
      <c r="AR93" s="423"/>
      <c r="AS93" s="426"/>
      <c r="AT93" s="3372"/>
      <c r="AU93" s="426"/>
      <c r="AV93" s="3392"/>
      <c r="AW93" s="2231"/>
      <c r="AX93" s="3373" t="str">
        <f>$CA93&amp;CB93&amp;CC93&amp;$CD93&amp;CK93&amp;CL93&amp;CM93&amp;CN93&amp;CO93&amp;CP93&amp;CQ93&amp;CR93&amp;CS93&amp;CT93</f>
        <v/>
      </c>
      <c r="CA93" s="418" t="str">
        <f t="shared" si="125"/>
        <v/>
      </c>
      <c r="CB93" s="418" t="str">
        <f t="shared" si="59"/>
        <v/>
      </c>
      <c r="CC93" s="418" t="str">
        <f t="shared" si="81"/>
        <v/>
      </c>
      <c r="CD93" s="418" t="str">
        <f t="shared" si="82"/>
        <v/>
      </c>
      <c r="CE93" s="3381"/>
      <c r="CF93" s="3381"/>
      <c r="CG93" s="3380"/>
      <c r="CH93" s="3380"/>
      <c r="CI93" s="3380"/>
      <c r="CJ93" s="3381"/>
      <c r="CK93" s="418" t="str">
        <f t="shared" si="84"/>
        <v/>
      </c>
      <c r="CL93" s="418" t="str">
        <f t="shared" si="85"/>
        <v/>
      </c>
      <c r="CM93" s="418" t="str">
        <f t="shared" si="86"/>
        <v/>
      </c>
      <c r="CN93" s="418" t="str">
        <f t="shared" si="87"/>
        <v/>
      </c>
      <c r="CO93" s="418" t="str">
        <f t="shared" si="88"/>
        <v/>
      </c>
      <c r="CP93" s="418" t="str">
        <f t="shared" si="89"/>
        <v/>
      </c>
      <c r="CQ93" s="418" t="str">
        <f t="shared" si="90"/>
        <v/>
      </c>
      <c r="CR93" s="418" t="str">
        <f t="shared" si="91"/>
        <v/>
      </c>
      <c r="CS93" s="418" t="str">
        <f t="shared" si="92"/>
        <v/>
      </c>
      <c r="CT93" s="418" t="str">
        <f t="shared" si="93"/>
        <v/>
      </c>
      <c r="CU93" s="3374"/>
      <c r="CV93" s="3374"/>
      <c r="CW93" s="3374"/>
      <c r="CX93" s="3374"/>
      <c r="DE93" s="417"/>
      <c r="DF93" s="3389">
        <f t="shared" si="126"/>
        <v>0</v>
      </c>
      <c r="DG93" s="3375">
        <f t="shared" si="99"/>
        <v>0</v>
      </c>
      <c r="DH93" s="3375">
        <f t="shared" si="100"/>
        <v>0</v>
      </c>
      <c r="DI93" s="3375">
        <f t="shared" si="101"/>
        <v>0</v>
      </c>
      <c r="DJ93" s="3380"/>
      <c r="DK93" s="3380"/>
      <c r="DL93" s="3380"/>
      <c r="DM93" s="3380"/>
      <c r="DN93" s="3380"/>
      <c r="DO93" s="3374"/>
      <c r="DP93" s="3375">
        <f t="shared" si="103"/>
        <v>0</v>
      </c>
      <c r="DQ93" s="3375">
        <f t="shared" si="104"/>
        <v>0</v>
      </c>
      <c r="DR93" s="3375">
        <f t="shared" si="105"/>
        <v>0</v>
      </c>
      <c r="DS93" s="3375">
        <f t="shared" si="106"/>
        <v>0</v>
      </c>
      <c r="DT93" s="3375">
        <f t="shared" si="107"/>
        <v>0</v>
      </c>
      <c r="DU93" s="3375">
        <f t="shared" si="108"/>
        <v>0</v>
      </c>
      <c r="DV93" s="3375">
        <f t="shared" si="109"/>
        <v>0</v>
      </c>
      <c r="DW93" s="3375">
        <f t="shared" si="110"/>
        <v>0</v>
      </c>
      <c r="DX93" s="3375">
        <f t="shared" si="111"/>
        <v>0</v>
      </c>
      <c r="DY93" s="3375">
        <f t="shared" si="112"/>
        <v>0</v>
      </c>
      <c r="DZ93" s="3374"/>
      <c r="EA93" s="3374"/>
      <c r="EB93" s="3374"/>
      <c r="EC93" s="3374"/>
    </row>
    <row r="94" spans="1:133">
      <c r="A94" s="420" t="s">
        <v>1954</v>
      </c>
      <c r="B94" s="1737">
        <f t="shared" ref="B94:C96" si="127">+D94+F94+H94+J94+L94+N94+P94+R94+T94+V94+X94+Z94+AB94+AD94+AF94+AH94+AJ94+AL94+AN94+AP94</f>
        <v>0</v>
      </c>
      <c r="C94" s="1739">
        <f t="shared" si="127"/>
        <v>0</v>
      </c>
      <c r="D94" s="423"/>
      <c r="E94" s="3376"/>
      <c r="F94" s="425"/>
      <c r="G94" s="3376"/>
      <c r="H94" s="425"/>
      <c r="I94" s="424"/>
      <c r="J94" s="423"/>
      <c r="K94" s="423"/>
      <c r="L94" s="425"/>
      <c r="M94" s="424"/>
      <c r="N94" s="423"/>
      <c r="O94" s="3376"/>
      <c r="P94" s="425"/>
      <c r="Q94" s="3376"/>
      <c r="R94" s="425"/>
      <c r="S94" s="3376"/>
      <c r="T94" s="425"/>
      <c r="U94" s="3376"/>
      <c r="V94" s="425"/>
      <c r="W94" s="3376"/>
      <c r="X94" s="425"/>
      <c r="Y94" s="3376"/>
      <c r="Z94" s="425"/>
      <c r="AA94" s="3376"/>
      <c r="AB94" s="425"/>
      <c r="AC94" s="3376"/>
      <c r="AD94" s="425"/>
      <c r="AE94" s="3376"/>
      <c r="AF94" s="425"/>
      <c r="AG94" s="3376"/>
      <c r="AH94" s="425"/>
      <c r="AI94" s="3376"/>
      <c r="AJ94" s="425"/>
      <c r="AK94" s="3376"/>
      <c r="AL94" s="425"/>
      <c r="AM94" s="3376"/>
      <c r="AN94" s="425"/>
      <c r="AO94" s="3376"/>
      <c r="AP94" s="425"/>
      <c r="AQ94" s="426"/>
      <c r="AR94" s="423"/>
      <c r="AS94" s="426"/>
      <c r="AT94" s="3372"/>
      <c r="AU94" s="426"/>
      <c r="AV94" s="3392"/>
      <c r="AW94" s="2231"/>
      <c r="AX94" s="3373" t="str">
        <f t="shared" ref="AX94:AX96" si="128">$CA94&amp;CB94&amp;CC94&amp;$CD94&amp;CJ94&amp;CK94&amp;CL94&amp;CM94&amp;CN94&amp;CO94&amp;CP94&amp;CQ94&amp;CR94&amp;CS94&amp;CT94&amp;CU94&amp;CV94&amp;CW94&amp;CX94&amp;CE94&amp;CF94&amp;CG94&amp;CH94&amp;CI94</f>
        <v/>
      </c>
      <c r="CA94" s="418" t="str">
        <f t="shared" si="125"/>
        <v/>
      </c>
      <c r="CB94" s="418" t="str">
        <f t="shared" si="59"/>
        <v/>
      </c>
      <c r="CC94" s="418" t="str">
        <f t="shared" si="81"/>
        <v/>
      </c>
      <c r="CD94" s="418" t="str">
        <f t="shared" si="82"/>
        <v/>
      </c>
      <c r="CE94" s="418" t="str">
        <f t="shared" si="119"/>
        <v/>
      </c>
      <c r="CF94" s="418" t="str">
        <f t="shared" si="120"/>
        <v/>
      </c>
      <c r="CG94" s="418" t="str">
        <f t="shared" si="121"/>
        <v/>
      </c>
      <c r="CH94" s="418" t="str">
        <f t="shared" ref="CH94:CH96" si="129">IF(J94&lt;K94,CONCATENATE("* El total de Procesados debe ser mayor o igual al total de Reactivos en el grupo de edad ",$J$11),"")</f>
        <v/>
      </c>
      <c r="CI94" s="418" t="str">
        <f t="shared" ref="CI94:CI96" si="130">IF(L94&lt;M94,CONCATENATE("* El total de Procesados debe ser mayor o igual al total de Reactivos en el grupo de edad ",$L$11),"")</f>
        <v/>
      </c>
      <c r="CJ94" s="418" t="str">
        <f t="shared" si="83"/>
        <v/>
      </c>
      <c r="CK94" s="418" t="str">
        <f t="shared" si="84"/>
        <v/>
      </c>
      <c r="CL94" s="418" t="str">
        <f t="shared" si="85"/>
        <v/>
      </c>
      <c r="CM94" s="418" t="str">
        <f t="shared" si="86"/>
        <v/>
      </c>
      <c r="CN94" s="418" t="str">
        <f t="shared" si="87"/>
        <v/>
      </c>
      <c r="CO94" s="418" t="str">
        <f t="shared" si="88"/>
        <v/>
      </c>
      <c r="CP94" s="418" t="str">
        <f t="shared" si="89"/>
        <v/>
      </c>
      <c r="CQ94" s="418" t="str">
        <f t="shared" si="90"/>
        <v/>
      </c>
      <c r="CR94" s="418" t="str">
        <f t="shared" si="91"/>
        <v/>
      </c>
      <c r="CS94" s="418" t="str">
        <f t="shared" si="92"/>
        <v/>
      </c>
      <c r="CT94" s="418" t="str">
        <f t="shared" si="93"/>
        <v/>
      </c>
      <c r="CU94" s="418" t="str">
        <f t="shared" si="94"/>
        <v/>
      </c>
      <c r="CV94" s="418" t="str">
        <f t="shared" si="95"/>
        <v/>
      </c>
      <c r="CW94" s="418" t="str">
        <f t="shared" si="96"/>
        <v/>
      </c>
      <c r="CX94" s="418" t="str">
        <f t="shared" si="97"/>
        <v/>
      </c>
      <c r="DE94" s="417"/>
      <c r="DF94" s="3389">
        <f t="shared" si="126"/>
        <v>0</v>
      </c>
      <c r="DG94" s="3375">
        <f t="shared" si="99"/>
        <v>0</v>
      </c>
      <c r="DH94" s="3375">
        <f t="shared" si="100"/>
        <v>0</v>
      </c>
      <c r="DI94" s="3375">
        <f t="shared" si="101"/>
        <v>0</v>
      </c>
      <c r="DJ94" s="3375">
        <f t="shared" si="122"/>
        <v>0</v>
      </c>
      <c r="DK94" s="3375">
        <f t="shared" si="123"/>
        <v>0</v>
      </c>
      <c r="DL94" s="3375">
        <f t="shared" si="124"/>
        <v>0</v>
      </c>
      <c r="DM94" s="3375">
        <f t="shared" ref="DM94:DM96" si="131">IF(J94&lt;K94,1,0)</f>
        <v>0</v>
      </c>
      <c r="DN94" s="3375">
        <f t="shared" ref="DN94:DN96" si="132">IF(L94&lt;M94,1,0)</f>
        <v>0</v>
      </c>
      <c r="DO94" s="3375">
        <f t="shared" si="102"/>
        <v>0</v>
      </c>
      <c r="DP94" s="3375">
        <f t="shared" si="103"/>
        <v>0</v>
      </c>
      <c r="DQ94" s="3375">
        <f t="shared" si="104"/>
        <v>0</v>
      </c>
      <c r="DR94" s="3375">
        <f t="shared" si="105"/>
        <v>0</v>
      </c>
      <c r="DS94" s="3375">
        <f t="shared" si="106"/>
        <v>0</v>
      </c>
      <c r="DT94" s="3375">
        <f t="shared" si="107"/>
        <v>0</v>
      </c>
      <c r="DU94" s="3375">
        <f t="shared" si="108"/>
        <v>0</v>
      </c>
      <c r="DV94" s="3375">
        <f t="shared" si="109"/>
        <v>0</v>
      </c>
      <c r="DW94" s="3375">
        <f t="shared" si="110"/>
        <v>0</v>
      </c>
      <c r="DX94" s="3375">
        <f t="shared" si="111"/>
        <v>0</v>
      </c>
      <c r="DY94" s="3375">
        <f t="shared" si="112"/>
        <v>0</v>
      </c>
      <c r="DZ94" s="3375">
        <f t="shared" si="113"/>
        <v>0</v>
      </c>
      <c r="EA94" s="3375">
        <f t="shared" si="114"/>
        <v>0</v>
      </c>
      <c r="EB94" s="3375">
        <f t="shared" si="115"/>
        <v>0</v>
      </c>
      <c r="EC94" s="3375">
        <f t="shared" si="116"/>
        <v>0</v>
      </c>
    </row>
    <row r="95" spans="1:133">
      <c r="A95" s="420" t="s">
        <v>1955</v>
      </c>
      <c r="B95" s="1737">
        <f t="shared" si="127"/>
        <v>0</v>
      </c>
      <c r="C95" s="1739">
        <f t="shared" si="127"/>
        <v>0</v>
      </c>
      <c r="D95" s="423"/>
      <c r="E95" s="3376"/>
      <c r="F95" s="425"/>
      <c r="G95" s="3376"/>
      <c r="H95" s="425"/>
      <c r="I95" s="424"/>
      <c r="J95" s="423"/>
      <c r="K95" s="423"/>
      <c r="L95" s="425"/>
      <c r="M95" s="424"/>
      <c r="N95" s="423"/>
      <c r="O95" s="3376"/>
      <c r="P95" s="425"/>
      <c r="Q95" s="3376"/>
      <c r="R95" s="425"/>
      <c r="S95" s="3376"/>
      <c r="T95" s="425"/>
      <c r="U95" s="3376"/>
      <c r="V95" s="425"/>
      <c r="W95" s="3376"/>
      <c r="X95" s="425"/>
      <c r="Y95" s="3376"/>
      <c r="Z95" s="425"/>
      <c r="AA95" s="3376"/>
      <c r="AB95" s="425"/>
      <c r="AC95" s="3376"/>
      <c r="AD95" s="425"/>
      <c r="AE95" s="3376"/>
      <c r="AF95" s="425"/>
      <c r="AG95" s="3376"/>
      <c r="AH95" s="425"/>
      <c r="AI95" s="3376"/>
      <c r="AJ95" s="425"/>
      <c r="AK95" s="3376"/>
      <c r="AL95" s="425"/>
      <c r="AM95" s="3376"/>
      <c r="AN95" s="425"/>
      <c r="AO95" s="3376"/>
      <c r="AP95" s="425"/>
      <c r="AQ95" s="426"/>
      <c r="AR95" s="423"/>
      <c r="AS95" s="426"/>
      <c r="AT95" s="3372"/>
      <c r="AU95" s="426"/>
      <c r="AV95" s="3392"/>
      <c r="AW95" s="2231"/>
      <c r="AX95" s="3373" t="str">
        <f t="shared" si="128"/>
        <v/>
      </c>
      <c r="CA95" s="418" t="str">
        <f t="shared" si="125"/>
        <v/>
      </c>
      <c r="CB95" s="418" t="str">
        <f t="shared" si="59"/>
        <v/>
      </c>
      <c r="CC95" s="418" t="str">
        <f t="shared" si="81"/>
        <v/>
      </c>
      <c r="CD95" s="418" t="str">
        <f t="shared" si="82"/>
        <v/>
      </c>
      <c r="CE95" s="418" t="str">
        <f t="shared" si="119"/>
        <v/>
      </c>
      <c r="CF95" s="418" t="str">
        <f t="shared" si="120"/>
        <v/>
      </c>
      <c r="CG95" s="418" t="str">
        <f t="shared" si="121"/>
        <v/>
      </c>
      <c r="CH95" s="418" t="str">
        <f t="shared" si="129"/>
        <v/>
      </c>
      <c r="CI95" s="418" t="str">
        <f t="shared" si="130"/>
        <v/>
      </c>
      <c r="CJ95" s="418" t="str">
        <f t="shared" si="83"/>
        <v/>
      </c>
      <c r="CK95" s="418" t="str">
        <f t="shared" si="84"/>
        <v/>
      </c>
      <c r="CL95" s="418" t="str">
        <f t="shared" si="85"/>
        <v/>
      </c>
      <c r="CM95" s="418" t="str">
        <f t="shared" si="86"/>
        <v/>
      </c>
      <c r="CN95" s="418" t="str">
        <f t="shared" si="87"/>
        <v/>
      </c>
      <c r="CO95" s="418" t="str">
        <f t="shared" si="88"/>
        <v/>
      </c>
      <c r="CP95" s="418" t="str">
        <f t="shared" si="89"/>
        <v/>
      </c>
      <c r="CQ95" s="418" t="str">
        <f t="shared" si="90"/>
        <v/>
      </c>
      <c r="CR95" s="418" t="str">
        <f t="shared" si="91"/>
        <v/>
      </c>
      <c r="CS95" s="418" t="str">
        <f t="shared" si="92"/>
        <v/>
      </c>
      <c r="CT95" s="418" t="str">
        <f t="shared" si="93"/>
        <v/>
      </c>
      <c r="CU95" s="418" t="str">
        <f t="shared" si="94"/>
        <v/>
      </c>
      <c r="CV95" s="418" t="str">
        <f t="shared" si="95"/>
        <v/>
      </c>
      <c r="CW95" s="418" t="str">
        <f t="shared" si="96"/>
        <v/>
      </c>
      <c r="CX95" s="418" t="str">
        <f t="shared" si="97"/>
        <v/>
      </c>
      <c r="DE95" s="417"/>
      <c r="DF95" s="3389">
        <f t="shared" si="126"/>
        <v>0</v>
      </c>
      <c r="DG95" s="3375">
        <f t="shared" si="99"/>
        <v>0</v>
      </c>
      <c r="DH95" s="3375">
        <f t="shared" si="100"/>
        <v>0</v>
      </c>
      <c r="DI95" s="3375">
        <f t="shared" si="101"/>
        <v>0</v>
      </c>
      <c r="DJ95" s="3375">
        <f t="shared" si="122"/>
        <v>0</v>
      </c>
      <c r="DK95" s="3375">
        <f t="shared" si="123"/>
        <v>0</v>
      </c>
      <c r="DL95" s="3375">
        <f t="shared" si="124"/>
        <v>0</v>
      </c>
      <c r="DM95" s="3375">
        <f t="shared" si="131"/>
        <v>0</v>
      </c>
      <c r="DN95" s="3375">
        <f t="shared" si="132"/>
        <v>0</v>
      </c>
      <c r="DO95" s="3375">
        <f t="shared" si="102"/>
        <v>0</v>
      </c>
      <c r="DP95" s="3375">
        <f t="shared" si="103"/>
        <v>0</v>
      </c>
      <c r="DQ95" s="3375">
        <f t="shared" si="104"/>
        <v>0</v>
      </c>
      <c r="DR95" s="3375">
        <f t="shared" si="105"/>
        <v>0</v>
      </c>
      <c r="DS95" s="3375">
        <f t="shared" si="106"/>
        <v>0</v>
      </c>
      <c r="DT95" s="3375">
        <f t="shared" si="107"/>
        <v>0</v>
      </c>
      <c r="DU95" s="3375">
        <f t="shared" si="108"/>
        <v>0</v>
      </c>
      <c r="DV95" s="3375">
        <f t="shared" si="109"/>
        <v>0</v>
      </c>
      <c r="DW95" s="3375">
        <f t="shared" si="110"/>
        <v>0</v>
      </c>
      <c r="DX95" s="3375">
        <f t="shared" si="111"/>
        <v>0</v>
      </c>
      <c r="DY95" s="3375">
        <f t="shared" si="112"/>
        <v>0</v>
      </c>
      <c r="DZ95" s="3375">
        <f t="shared" si="113"/>
        <v>0</v>
      </c>
      <c r="EA95" s="3375">
        <f t="shared" si="114"/>
        <v>0</v>
      </c>
      <c r="EB95" s="3375">
        <f t="shared" si="115"/>
        <v>0</v>
      </c>
      <c r="EC95" s="3375">
        <f t="shared" si="116"/>
        <v>0</v>
      </c>
    </row>
    <row r="96" spans="1:133">
      <c r="A96" s="3390" t="s">
        <v>1956</v>
      </c>
      <c r="B96" s="1755">
        <f t="shared" si="127"/>
        <v>0</v>
      </c>
      <c r="C96" s="1757">
        <f t="shared" si="127"/>
        <v>0</v>
      </c>
      <c r="D96" s="3385"/>
      <c r="E96" s="3384"/>
      <c r="F96" s="432"/>
      <c r="G96" s="3384"/>
      <c r="H96" s="432"/>
      <c r="I96" s="433"/>
      <c r="J96" s="3385"/>
      <c r="K96" s="3385"/>
      <c r="L96" s="432"/>
      <c r="M96" s="433"/>
      <c r="N96" s="3385"/>
      <c r="O96" s="3384"/>
      <c r="P96" s="432"/>
      <c r="Q96" s="3384"/>
      <c r="R96" s="432"/>
      <c r="S96" s="3384"/>
      <c r="T96" s="432"/>
      <c r="U96" s="3384"/>
      <c r="V96" s="432"/>
      <c r="W96" s="3384"/>
      <c r="X96" s="432"/>
      <c r="Y96" s="3384"/>
      <c r="Z96" s="432"/>
      <c r="AA96" s="3384"/>
      <c r="AB96" s="432"/>
      <c r="AC96" s="3384"/>
      <c r="AD96" s="432"/>
      <c r="AE96" s="3384"/>
      <c r="AF96" s="432"/>
      <c r="AG96" s="3384"/>
      <c r="AH96" s="432"/>
      <c r="AI96" s="3384"/>
      <c r="AJ96" s="432"/>
      <c r="AK96" s="3384"/>
      <c r="AL96" s="432"/>
      <c r="AM96" s="3384"/>
      <c r="AN96" s="432"/>
      <c r="AO96" s="3384"/>
      <c r="AP96" s="432"/>
      <c r="AQ96" s="445"/>
      <c r="AR96" s="3385"/>
      <c r="AS96" s="445"/>
      <c r="AT96" s="3386"/>
      <c r="AU96" s="445"/>
      <c r="AV96" s="3393"/>
      <c r="AW96" s="2235"/>
      <c r="AX96" s="3373" t="str">
        <f t="shared" si="128"/>
        <v/>
      </c>
      <c r="CA96" s="418" t="str">
        <f t="shared" si="125"/>
        <v/>
      </c>
      <c r="CB96" s="418" t="str">
        <f t="shared" si="59"/>
        <v/>
      </c>
      <c r="CC96" s="418" t="str">
        <f t="shared" si="81"/>
        <v/>
      </c>
      <c r="CD96" s="418" t="str">
        <f t="shared" si="82"/>
        <v/>
      </c>
      <c r="CE96" s="418" t="str">
        <f t="shared" si="119"/>
        <v/>
      </c>
      <c r="CF96" s="418" t="str">
        <f t="shared" si="120"/>
        <v/>
      </c>
      <c r="CG96" s="418" t="str">
        <f t="shared" si="121"/>
        <v/>
      </c>
      <c r="CH96" s="418" t="str">
        <f t="shared" si="129"/>
        <v/>
      </c>
      <c r="CI96" s="418" t="str">
        <f t="shared" si="130"/>
        <v/>
      </c>
      <c r="CJ96" s="418" t="str">
        <f t="shared" si="83"/>
        <v/>
      </c>
      <c r="CK96" s="418" t="str">
        <f t="shared" si="84"/>
        <v/>
      </c>
      <c r="CL96" s="418" t="str">
        <f t="shared" si="85"/>
        <v/>
      </c>
      <c r="CM96" s="418" t="str">
        <f t="shared" si="86"/>
        <v/>
      </c>
      <c r="CN96" s="418" t="str">
        <f t="shared" si="87"/>
        <v/>
      </c>
      <c r="CO96" s="418" t="str">
        <f t="shared" si="88"/>
        <v/>
      </c>
      <c r="CP96" s="418" t="str">
        <f t="shared" si="89"/>
        <v/>
      </c>
      <c r="CQ96" s="418" t="str">
        <f t="shared" si="90"/>
        <v/>
      </c>
      <c r="CR96" s="418" t="str">
        <f t="shared" si="91"/>
        <v/>
      </c>
      <c r="CS96" s="418" t="str">
        <f t="shared" si="92"/>
        <v/>
      </c>
      <c r="CT96" s="418" t="str">
        <f t="shared" si="93"/>
        <v/>
      </c>
      <c r="CU96" s="418" t="str">
        <f t="shared" si="94"/>
        <v/>
      </c>
      <c r="CV96" s="418" t="str">
        <f t="shared" si="95"/>
        <v/>
      </c>
      <c r="CW96" s="418" t="str">
        <f t="shared" si="96"/>
        <v/>
      </c>
      <c r="CX96" s="418" t="str">
        <f t="shared" si="97"/>
        <v/>
      </c>
      <c r="DE96" s="417"/>
      <c r="DF96" s="3389">
        <f t="shared" si="126"/>
        <v>0</v>
      </c>
      <c r="DG96" s="3375">
        <f t="shared" si="99"/>
        <v>0</v>
      </c>
      <c r="DH96" s="3375">
        <f t="shared" si="100"/>
        <v>0</v>
      </c>
      <c r="DI96" s="3375">
        <f t="shared" si="101"/>
        <v>0</v>
      </c>
      <c r="DJ96" s="3375">
        <f t="shared" si="122"/>
        <v>0</v>
      </c>
      <c r="DK96" s="3375">
        <f t="shared" si="123"/>
        <v>0</v>
      </c>
      <c r="DL96" s="3375">
        <f t="shared" si="124"/>
        <v>0</v>
      </c>
      <c r="DM96" s="3375">
        <f t="shared" si="131"/>
        <v>0</v>
      </c>
      <c r="DN96" s="3375">
        <f t="shared" si="132"/>
        <v>0</v>
      </c>
      <c r="DO96" s="3375">
        <f t="shared" si="102"/>
        <v>0</v>
      </c>
      <c r="DP96" s="3375">
        <f t="shared" si="103"/>
        <v>0</v>
      </c>
      <c r="DQ96" s="3375">
        <f t="shared" si="104"/>
        <v>0</v>
      </c>
      <c r="DR96" s="3375">
        <f t="shared" si="105"/>
        <v>0</v>
      </c>
      <c r="DS96" s="3375">
        <f t="shared" si="106"/>
        <v>0</v>
      </c>
      <c r="DT96" s="3375">
        <f t="shared" si="107"/>
        <v>0</v>
      </c>
      <c r="DU96" s="3375">
        <f t="shared" si="108"/>
        <v>0</v>
      </c>
      <c r="DV96" s="3375">
        <f t="shared" si="109"/>
        <v>0</v>
      </c>
      <c r="DW96" s="3375">
        <f t="shared" si="110"/>
        <v>0</v>
      </c>
      <c r="DX96" s="3375">
        <f t="shared" si="111"/>
        <v>0</v>
      </c>
      <c r="DY96" s="3375">
        <f t="shared" si="112"/>
        <v>0</v>
      </c>
      <c r="DZ96" s="3375">
        <f t="shared" si="113"/>
        <v>0</v>
      </c>
      <c r="EA96" s="3375">
        <f t="shared" si="114"/>
        <v>0</v>
      </c>
      <c r="EB96" s="3375">
        <f t="shared" si="115"/>
        <v>0</v>
      </c>
      <c r="EC96" s="3375">
        <f t="shared" si="116"/>
        <v>0</v>
      </c>
    </row>
    <row r="97" spans="1:133" ht="18" customHeight="1">
      <c r="A97" s="3388" t="s">
        <v>1960</v>
      </c>
      <c r="B97" s="3388"/>
      <c r="C97" s="3388"/>
      <c r="D97" s="3388"/>
      <c r="E97" s="3388"/>
      <c r="F97" s="3388"/>
      <c r="G97" s="3388"/>
      <c r="H97" s="3388"/>
      <c r="I97" s="3388"/>
      <c r="J97" s="3388"/>
      <c r="K97" s="3388"/>
      <c r="L97" s="3388"/>
      <c r="M97" s="3388"/>
      <c r="N97" s="3388"/>
      <c r="O97" s="3388"/>
      <c r="P97" s="3388"/>
      <c r="Q97" s="3388"/>
      <c r="R97" s="3388"/>
      <c r="S97" s="3388"/>
      <c r="T97" s="3388"/>
      <c r="U97" s="3388"/>
      <c r="V97" s="3388"/>
      <c r="W97" s="3388"/>
      <c r="X97" s="3388"/>
      <c r="Y97" s="3388"/>
      <c r="Z97" s="3388"/>
      <c r="AA97" s="3388"/>
      <c r="AB97" s="3388"/>
      <c r="AC97" s="3388"/>
      <c r="AD97" s="3388"/>
      <c r="AE97" s="3388"/>
      <c r="AF97" s="3388"/>
      <c r="AG97" s="3388"/>
      <c r="AH97" s="3388"/>
      <c r="AI97" s="3388"/>
      <c r="AJ97" s="3388"/>
      <c r="AK97" s="3388"/>
      <c r="AL97" s="3388"/>
      <c r="AM97" s="3388"/>
      <c r="AN97" s="3388"/>
      <c r="AO97" s="3388"/>
      <c r="AP97" s="3388"/>
      <c r="AQ97" s="3388"/>
      <c r="AR97" s="3366"/>
      <c r="AS97" s="3366"/>
      <c r="AT97" s="3366"/>
      <c r="AU97" s="3366"/>
      <c r="AV97" s="3366"/>
      <c r="AW97" s="3366"/>
    </row>
    <row r="98" spans="1:133">
      <c r="A98" s="5718" t="s">
        <v>1933</v>
      </c>
      <c r="B98" s="6153" t="s">
        <v>91</v>
      </c>
      <c r="C98" s="6154"/>
      <c r="D98" s="5707" t="s">
        <v>43</v>
      </c>
      <c r="E98" s="5708"/>
      <c r="F98" s="5708"/>
      <c r="G98" s="5708"/>
      <c r="H98" s="5708"/>
      <c r="I98" s="5708"/>
      <c r="J98" s="5708"/>
      <c r="K98" s="5708"/>
      <c r="L98" s="5708"/>
      <c r="M98" s="5708"/>
      <c r="N98" s="5708"/>
      <c r="O98" s="5708"/>
      <c r="P98" s="5708"/>
      <c r="Q98" s="5708"/>
      <c r="R98" s="5708"/>
      <c r="S98" s="5708"/>
      <c r="T98" s="5708"/>
      <c r="U98" s="5708"/>
      <c r="V98" s="5708"/>
      <c r="W98" s="5708"/>
      <c r="X98" s="5708"/>
      <c r="Y98" s="5708"/>
      <c r="Z98" s="5708"/>
      <c r="AA98" s="5708"/>
      <c r="AB98" s="5708"/>
      <c r="AC98" s="5708"/>
      <c r="AD98" s="5708"/>
      <c r="AE98" s="5708"/>
      <c r="AF98" s="5708"/>
      <c r="AG98" s="5708"/>
      <c r="AH98" s="5708"/>
      <c r="AI98" s="5708"/>
      <c r="AJ98" s="5708"/>
      <c r="AK98" s="5708"/>
      <c r="AL98" s="5708"/>
      <c r="AM98" s="5708"/>
      <c r="AN98" s="5708"/>
      <c r="AO98" s="5708"/>
      <c r="AP98" s="5708"/>
      <c r="AQ98" s="6147"/>
      <c r="AR98" s="6106" t="s">
        <v>1934</v>
      </c>
      <c r="AS98" s="5716"/>
      <c r="AT98" s="6749" t="s">
        <v>478</v>
      </c>
      <c r="AU98" s="6750"/>
      <c r="AV98" s="6762" t="s">
        <v>50</v>
      </c>
      <c r="AW98" s="6119" t="s">
        <v>51</v>
      </c>
    </row>
    <row r="99" spans="1:133">
      <c r="A99" s="6110"/>
      <c r="B99" s="6156"/>
      <c r="C99" s="6157"/>
      <c r="D99" s="5710" t="s">
        <v>1935</v>
      </c>
      <c r="E99" s="6106"/>
      <c r="F99" s="5710" t="s">
        <v>1961</v>
      </c>
      <c r="G99" s="6106"/>
      <c r="H99" s="5710" t="s">
        <v>1936</v>
      </c>
      <c r="I99" s="5712"/>
      <c r="J99" s="6106" t="s">
        <v>1962</v>
      </c>
      <c r="K99" s="6106"/>
      <c r="L99" s="5710" t="s">
        <v>1391</v>
      </c>
      <c r="M99" s="6106"/>
      <c r="N99" s="5710" t="s">
        <v>108</v>
      </c>
      <c r="O99" s="6106"/>
      <c r="P99" s="5710" t="s">
        <v>58</v>
      </c>
      <c r="Q99" s="6106"/>
      <c r="R99" s="5710" t="s">
        <v>59</v>
      </c>
      <c r="S99" s="6106"/>
      <c r="T99" s="5710" t="s">
        <v>60</v>
      </c>
      <c r="U99" s="5712"/>
      <c r="V99" s="5710" t="s">
        <v>61</v>
      </c>
      <c r="W99" s="5712"/>
      <c r="X99" s="5710" t="s">
        <v>62</v>
      </c>
      <c r="Y99" s="5712"/>
      <c r="Z99" s="5710" t="s">
        <v>63</v>
      </c>
      <c r="AA99" s="5712"/>
      <c r="AB99" s="5710" t="s">
        <v>64</v>
      </c>
      <c r="AC99" s="5712"/>
      <c r="AD99" s="5710" t="s">
        <v>65</v>
      </c>
      <c r="AE99" s="5712"/>
      <c r="AF99" s="5710" t="s">
        <v>66</v>
      </c>
      <c r="AG99" s="5712"/>
      <c r="AH99" s="5710" t="s">
        <v>67</v>
      </c>
      <c r="AI99" s="5712"/>
      <c r="AJ99" s="5710" t="s">
        <v>68</v>
      </c>
      <c r="AK99" s="5712"/>
      <c r="AL99" s="5710" t="s">
        <v>69</v>
      </c>
      <c r="AM99" s="5712"/>
      <c r="AN99" s="5710" t="s">
        <v>70</v>
      </c>
      <c r="AO99" s="5712"/>
      <c r="AP99" s="5710" t="s">
        <v>71</v>
      </c>
      <c r="AQ99" s="5716"/>
      <c r="AR99" s="6133" t="s">
        <v>72</v>
      </c>
      <c r="AS99" s="6228" t="s">
        <v>73</v>
      </c>
      <c r="AT99" s="6751"/>
      <c r="AU99" s="6752"/>
      <c r="AV99" s="6763"/>
      <c r="AW99" s="6120"/>
    </row>
    <row r="100" spans="1:133">
      <c r="A100" s="5719"/>
      <c r="B100" s="1396" t="s">
        <v>1937</v>
      </c>
      <c r="C100" s="1584" t="s">
        <v>1938</v>
      </c>
      <c r="D100" s="1395" t="s">
        <v>1937</v>
      </c>
      <c r="E100" s="1646" t="s">
        <v>1938</v>
      </c>
      <c r="F100" s="1395" t="s">
        <v>1937</v>
      </c>
      <c r="G100" s="1646" t="s">
        <v>1938</v>
      </c>
      <c r="H100" s="1395" t="s">
        <v>1937</v>
      </c>
      <c r="I100" s="1584" t="s">
        <v>1938</v>
      </c>
      <c r="J100" s="1396" t="s">
        <v>1937</v>
      </c>
      <c r="K100" s="1646" t="s">
        <v>1938</v>
      </c>
      <c r="L100" s="1395" t="s">
        <v>1937</v>
      </c>
      <c r="M100" s="1646" t="s">
        <v>1938</v>
      </c>
      <c r="N100" s="1395" t="s">
        <v>1937</v>
      </c>
      <c r="O100" s="1646" t="s">
        <v>1938</v>
      </c>
      <c r="P100" s="1395" t="s">
        <v>1937</v>
      </c>
      <c r="Q100" s="1646" t="s">
        <v>1938</v>
      </c>
      <c r="R100" s="1395" t="s">
        <v>1937</v>
      </c>
      <c r="S100" s="1646" t="s">
        <v>1938</v>
      </c>
      <c r="T100" s="1395" t="s">
        <v>1937</v>
      </c>
      <c r="U100" s="1646" t="s">
        <v>1938</v>
      </c>
      <c r="V100" s="1395" t="s">
        <v>1937</v>
      </c>
      <c r="W100" s="1646" t="s">
        <v>1938</v>
      </c>
      <c r="X100" s="1395" t="s">
        <v>1937</v>
      </c>
      <c r="Y100" s="1646" t="s">
        <v>1938</v>
      </c>
      <c r="Z100" s="1395" t="s">
        <v>1937</v>
      </c>
      <c r="AA100" s="1646" t="s">
        <v>1938</v>
      </c>
      <c r="AB100" s="1395" t="s">
        <v>1937</v>
      </c>
      <c r="AC100" s="1646" t="s">
        <v>1938</v>
      </c>
      <c r="AD100" s="1395" t="s">
        <v>1937</v>
      </c>
      <c r="AE100" s="1646" t="s">
        <v>1938</v>
      </c>
      <c r="AF100" s="1395" t="s">
        <v>1937</v>
      </c>
      <c r="AG100" s="1646" t="s">
        <v>1938</v>
      </c>
      <c r="AH100" s="1395" t="s">
        <v>1937</v>
      </c>
      <c r="AI100" s="1646" t="s">
        <v>1938</v>
      </c>
      <c r="AJ100" s="1395" t="s">
        <v>1937</v>
      </c>
      <c r="AK100" s="1646" t="s">
        <v>1938</v>
      </c>
      <c r="AL100" s="1395" t="s">
        <v>1937</v>
      </c>
      <c r="AM100" s="1646" t="s">
        <v>1938</v>
      </c>
      <c r="AN100" s="1395" t="s">
        <v>1937</v>
      </c>
      <c r="AO100" s="1646" t="s">
        <v>1938</v>
      </c>
      <c r="AP100" s="1395" t="s">
        <v>1937</v>
      </c>
      <c r="AQ100" s="1398" t="s">
        <v>1938</v>
      </c>
      <c r="AR100" s="6134"/>
      <c r="AS100" s="6229"/>
      <c r="AT100" s="1704" t="s">
        <v>483</v>
      </c>
      <c r="AU100" s="1706" t="s">
        <v>484</v>
      </c>
      <c r="AV100" s="6764"/>
      <c r="AW100" s="6116"/>
    </row>
    <row r="101" spans="1:133">
      <c r="A101" s="446" t="s">
        <v>1939</v>
      </c>
      <c r="B101" s="2393">
        <f t="shared" ref="B101:C108" si="133">+N101+P101+R101+T101+V101+X101+Z101+AB101+AD101+AF101+AH101+AJ101+AL101+AN101+AP101</f>
        <v>0</v>
      </c>
      <c r="C101" s="1736">
        <f t="shared" si="133"/>
        <v>0</v>
      </c>
      <c r="D101" s="2880"/>
      <c r="E101" s="2885"/>
      <c r="F101" s="2381"/>
      <c r="G101" s="2885"/>
      <c r="H101" s="2381"/>
      <c r="I101" s="2885"/>
      <c r="J101" s="2381"/>
      <c r="K101" s="2885"/>
      <c r="L101" s="2381"/>
      <c r="M101" s="2382"/>
      <c r="N101" s="423"/>
      <c r="O101" s="3376"/>
      <c r="P101" s="425"/>
      <c r="Q101" s="3376"/>
      <c r="R101" s="425"/>
      <c r="S101" s="3376"/>
      <c r="T101" s="425"/>
      <c r="U101" s="3376"/>
      <c r="V101" s="425"/>
      <c r="W101" s="3376"/>
      <c r="X101" s="425"/>
      <c r="Y101" s="3376"/>
      <c r="Z101" s="425"/>
      <c r="AA101" s="3376"/>
      <c r="AB101" s="425"/>
      <c r="AC101" s="3376"/>
      <c r="AD101" s="425"/>
      <c r="AE101" s="3376"/>
      <c r="AF101" s="425"/>
      <c r="AG101" s="3376"/>
      <c r="AH101" s="425"/>
      <c r="AI101" s="3376"/>
      <c r="AJ101" s="425"/>
      <c r="AK101" s="3376"/>
      <c r="AL101" s="425"/>
      <c r="AM101" s="3376"/>
      <c r="AN101" s="425"/>
      <c r="AO101" s="3376"/>
      <c r="AP101" s="425"/>
      <c r="AQ101" s="426"/>
      <c r="AR101" s="3371"/>
      <c r="AS101" s="426"/>
      <c r="AT101" s="3372"/>
      <c r="AU101" s="426"/>
      <c r="AV101" s="3391"/>
      <c r="AW101" s="2231"/>
      <c r="AX101" s="3373" t="str">
        <f t="shared" ref="AX101:AX108" si="134">$CA101&amp;CB101&amp;CC101&amp;$CD101&amp;CJ101&amp;CK101&amp;CL101&amp;CM101&amp;CN101&amp;CO101&amp;CP101&amp;CQ101&amp;CR101&amp;CS101&amp;CT101&amp;CU101&amp;CV101&amp;CW101&amp;CX101</f>
        <v/>
      </c>
      <c r="CA101" s="418" t="str">
        <f t="shared" ref="CA101:CA105" si="135">IF(B101&lt;&gt;(AS101)," * La suma de las columnas "&amp;AR$10&amp;""&amp;" DEBE SER IGUAL a los Exámenes Procesados. ","")</f>
        <v/>
      </c>
      <c r="CB101" s="418" t="str">
        <f t="shared" ref="CB101:CB140" si="136">IF(AND($B101&gt;0,AND(AT101="",AU101="")),"* No olvide ingresar las columnas Trans Masculino o Femenino (*Digite CERO si no tiene). ",IF((AT101+AU101)&gt;$B101,"* El Número de Trans Masculino o Femenino no puede superar el Total Procesados. ",""))</f>
        <v/>
      </c>
      <c r="CC101" s="418" t="str">
        <f t="shared" ref="CC101:CC140" si="137">IF(AND($B101&gt;0,AV101=""),"* No olvide ingresar la columna "&amp;AV$10&amp;""&amp;" *(Digite CERO si no tiene). ",IF(AV101&gt;$B101," *El Número de "&amp;AV$10&amp;""&amp;" no puede superar el Total Procesados. ",""))</f>
        <v/>
      </c>
      <c r="CD101" s="418" t="str">
        <f t="shared" ref="CD101:CD140" si="138">IF(AND($B101&gt;0,AW101=""),"* No olvide ingresar la columna "&amp;AW$10&amp;""&amp;" *(Digite CERO si no tiene). ",IF(AW101&gt;$B101," *El Número de "&amp;AW$10&amp;""&amp;" no puede superar el Total Procesados. ",""))</f>
        <v/>
      </c>
      <c r="CE101" s="3374"/>
      <c r="CF101" s="3374"/>
      <c r="CG101" s="3374"/>
      <c r="CH101" s="3374"/>
      <c r="CI101" s="3374"/>
      <c r="CJ101" s="418" t="str">
        <f t="shared" ref="CJ101:CJ140" si="139">IF(N101&lt;O101,CONCATENATE("* El total de Procesados debe ser mayor o igual al total de Reactivos en el grupo de edad ",$N$11),"")</f>
        <v/>
      </c>
      <c r="CK101" s="418" t="str">
        <f t="shared" ref="CK101:CK140" si="140">IF(P101&lt;Q101,CONCATENATE("* El total de Procesados debe ser mayor o igual al total de Reactivos en el grupo de edad ",$P$11),"")</f>
        <v/>
      </c>
      <c r="CL101" s="418" t="str">
        <f t="shared" ref="CL101:CL140" si="141">IF(R101&lt;S101,CONCATENATE("* El total de Procesados debe ser mayor o igual al total de Reactivos en el grupo de edad ",$R$11),"")</f>
        <v/>
      </c>
      <c r="CM101" s="418" t="str">
        <f t="shared" ref="CM101:CM140" si="142">IF($T101&lt;$U101,CONCATENATE("* El total de Procesados debe ser mayor o igual al total de Reactivos en el grupo de edad ",$T$11),"")</f>
        <v/>
      </c>
      <c r="CN101" s="418" t="str">
        <f t="shared" ref="CN101:CN140" si="143">IF(V101&lt;W101,CONCATENATE("* El total de Procesados debe ser mayor o igual al total de Reactivos en el grupo de edad ",$V$11),"")</f>
        <v/>
      </c>
      <c r="CO101" s="418" t="str">
        <f t="shared" ref="CO101:CO140" si="144">IF(X101&lt;Y101,CONCATENATE("* El total de Procesados debe ser mayor o igual al total de Reactivos en el grupo de edad ",$X$11),"")</f>
        <v/>
      </c>
      <c r="CP101" s="418" t="str">
        <f t="shared" ref="CP101:CP140" si="145">IF(Z101&lt;AA101,CONCATENATE("* El total de Procesados debe ser mayor o igual al total de Reactivos en el grupo de edad ",$Z$11),"")</f>
        <v/>
      </c>
      <c r="CQ101" s="418" t="str">
        <f t="shared" ref="CQ101:CQ140" si="146">IF(AB101&lt;AC101,CONCATENATE("* El total de Procesados debe ser mayor o igual al total de Reactivos en el grupo de edad ",$AB$11),"")</f>
        <v/>
      </c>
      <c r="CR101" s="418" t="str">
        <f t="shared" ref="CR101:CR140" si="147">IF(AD101&lt;AE101,CONCATENATE("* El total de Procesados debe ser mayor o igual al total de Reactivos en el grupo de edad ",$AD$11),"")</f>
        <v/>
      </c>
      <c r="CS101" s="418" t="str">
        <f t="shared" ref="CS101:CS140" si="148">IF(AF101&lt;AG101,CONCATENATE("* El total de Procesados debe ser mayor o igual al total de Reactivos en el grupo de edad ",$AF$11),"")</f>
        <v/>
      </c>
      <c r="CT101" s="418" t="str">
        <f t="shared" ref="CT101:CT140" si="149">IF(AH101&lt;AI101,CONCATENATE("* El total de Procesados debe ser mayor o igual al total de Reactivos en el grupo de edad ",$AH$11),"")</f>
        <v/>
      </c>
      <c r="CU101" s="418" t="str">
        <f t="shared" ref="CU101:CU140" si="150">IF(AJ101&lt;AK101,CONCATENATE("* El total de Procesados debe ser mayor o igual al total de Reactivos en el grupo de edad ",$AJ$11),"")</f>
        <v/>
      </c>
      <c r="CV101" s="418" t="str">
        <f t="shared" ref="CV101:CV140" si="151">IF(AL101&lt;AM101,CONCATENATE("* El total de Procesados debe ser mayor o igual al total de Reactivos en el grupo de edad ",$AL$11),"")</f>
        <v/>
      </c>
      <c r="CW101" s="418" t="str">
        <f t="shared" ref="CW101:CW140" si="152">IF(AN101&lt;AO101,CONCATENATE("* El total de Procesados debe ser mayor o igual al total de Reactivos en el grupo de edad ",$AN$11),"")</f>
        <v/>
      </c>
      <c r="CX101" s="418" t="str">
        <f t="shared" ref="CX101:CX140" si="153">IF(AP101&lt;AQ101,CONCATENATE("* El total de Procesados debe ser mayor o igual al total de Reactivos en el grupo de edad ",$AP$11),"")</f>
        <v/>
      </c>
      <c r="DE101" s="417"/>
      <c r="DF101" s="3389">
        <f t="shared" ref="DF101:DF105" si="154">IF(B101&lt;&gt;(AS101),1,0)</f>
        <v>0</v>
      </c>
      <c r="DG101" s="3375">
        <f t="shared" ref="DG101:DG140" si="155">IF(AND($B101&gt;0,AND(AT101="",AU101="")),1,IF((AT101+AU101)&gt;$B101,1,0))</f>
        <v>0</v>
      </c>
      <c r="DH101" s="3375">
        <f t="shared" ref="DH101:DH140" si="156">IF(AND($B101&gt;0,AV101=""),1,IF(AV101&gt;$B101,1,0))</f>
        <v>0</v>
      </c>
      <c r="DI101" s="3375">
        <f t="shared" ref="DI101:DI140" si="157">IF(AND($B101&gt;0,AW101=""),1,IF(AW101&gt;$B101,1,0))</f>
        <v>0</v>
      </c>
      <c r="DJ101" s="3374"/>
      <c r="DK101" s="3374"/>
      <c r="DL101" s="3374"/>
      <c r="DM101" s="3374"/>
      <c r="DN101" s="3374"/>
      <c r="DO101" s="3375">
        <f t="shared" ref="DO101:DO140" si="158">IF(N101&lt;O101,1,0)</f>
        <v>0</v>
      </c>
      <c r="DP101" s="3375">
        <f t="shared" ref="DP101:DP140" si="159">IF(P101&lt;Q101,1,0)</f>
        <v>0</v>
      </c>
      <c r="DQ101" s="3375">
        <f t="shared" ref="DQ101:DQ140" si="160">IF(R101&lt;S101,1,0)</f>
        <v>0</v>
      </c>
      <c r="DR101" s="3375">
        <f t="shared" ref="DR101:DR140" si="161">IF($T101&lt;$U101,1,0)</f>
        <v>0</v>
      </c>
      <c r="DS101" s="3375">
        <f t="shared" ref="DS101:DS140" si="162">IF(V101&lt;W101,1,0)</f>
        <v>0</v>
      </c>
      <c r="DT101" s="3375">
        <f t="shared" ref="DT101:DT140" si="163">IF(X101&lt;Y101,1,0)</f>
        <v>0</v>
      </c>
      <c r="DU101" s="3375">
        <f t="shared" ref="DU101:DU140" si="164">IF(Z101&lt;AA101,1,0)</f>
        <v>0</v>
      </c>
      <c r="DV101" s="3375">
        <f t="shared" ref="DV101:DV140" si="165">IF(AB101&lt;AC101,1,0)</f>
        <v>0</v>
      </c>
      <c r="DW101" s="3375">
        <f t="shared" ref="DW101:DW140" si="166">IF(AD101&lt;AE101,1,0)</f>
        <v>0</v>
      </c>
      <c r="DX101" s="3375">
        <f t="shared" ref="DX101:DX140" si="167">IF(AF101&lt;AG101,1,0)</f>
        <v>0</v>
      </c>
      <c r="DY101" s="3375">
        <f t="shared" ref="DY101:DY140" si="168">IF(AH101&lt;AI101,1,0)</f>
        <v>0</v>
      </c>
      <c r="DZ101" s="3375">
        <f t="shared" ref="DZ101:DZ140" si="169">IF(AJ101&lt;AK101,1,0)</f>
        <v>0</v>
      </c>
      <c r="EA101" s="3375">
        <f t="shared" ref="EA101:EA140" si="170">IF(AL101&lt;AM101,1,0)</f>
        <v>0</v>
      </c>
      <c r="EB101" s="3375">
        <f t="shared" ref="EB101:EB140" si="171">IF(AN101&lt;AO101,1,0)</f>
        <v>0</v>
      </c>
      <c r="EC101" s="3375">
        <f t="shared" ref="EC101:EC140" si="172">IF(AP101&lt;AQ101,1,0)</f>
        <v>0</v>
      </c>
    </row>
    <row r="102" spans="1:133">
      <c r="A102" s="420" t="s">
        <v>1940</v>
      </c>
      <c r="B102" s="1737">
        <f t="shared" si="133"/>
        <v>0</v>
      </c>
      <c r="C102" s="1739">
        <f t="shared" si="133"/>
        <v>0</v>
      </c>
      <c r="D102" s="2880"/>
      <c r="E102" s="2885"/>
      <c r="F102" s="2381"/>
      <c r="G102" s="2885"/>
      <c r="H102" s="2381"/>
      <c r="I102" s="2885"/>
      <c r="J102" s="2381"/>
      <c r="K102" s="2885"/>
      <c r="L102" s="2381"/>
      <c r="M102" s="2382"/>
      <c r="N102" s="423"/>
      <c r="O102" s="3376"/>
      <c r="P102" s="425"/>
      <c r="Q102" s="3376"/>
      <c r="R102" s="425"/>
      <c r="S102" s="3376"/>
      <c r="T102" s="425"/>
      <c r="U102" s="3376"/>
      <c r="V102" s="425"/>
      <c r="W102" s="3376"/>
      <c r="X102" s="425"/>
      <c r="Y102" s="3376"/>
      <c r="Z102" s="425"/>
      <c r="AA102" s="3376"/>
      <c r="AB102" s="425"/>
      <c r="AC102" s="3376"/>
      <c r="AD102" s="425"/>
      <c r="AE102" s="3376"/>
      <c r="AF102" s="425"/>
      <c r="AG102" s="3376"/>
      <c r="AH102" s="425"/>
      <c r="AI102" s="3376"/>
      <c r="AJ102" s="425"/>
      <c r="AK102" s="3376"/>
      <c r="AL102" s="425"/>
      <c r="AM102" s="3376"/>
      <c r="AN102" s="425"/>
      <c r="AO102" s="3376"/>
      <c r="AP102" s="425"/>
      <c r="AQ102" s="426"/>
      <c r="AR102" s="3371"/>
      <c r="AS102" s="426"/>
      <c r="AT102" s="3372"/>
      <c r="AU102" s="426"/>
      <c r="AV102" s="3392"/>
      <c r="AW102" s="2231"/>
      <c r="AX102" s="3373" t="str">
        <f t="shared" si="134"/>
        <v/>
      </c>
      <c r="CA102" s="418" t="str">
        <f t="shared" si="135"/>
        <v/>
      </c>
      <c r="CB102" s="418" t="str">
        <f t="shared" si="136"/>
        <v/>
      </c>
      <c r="CC102" s="418" t="str">
        <f t="shared" si="137"/>
        <v/>
      </c>
      <c r="CD102" s="418" t="str">
        <f t="shared" si="138"/>
        <v/>
      </c>
      <c r="CE102" s="3374"/>
      <c r="CF102" s="3374"/>
      <c r="CG102" s="3374"/>
      <c r="CH102" s="3374"/>
      <c r="CI102" s="3374"/>
      <c r="CJ102" s="418" t="str">
        <f t="shared" si="139"/>
        <v/>
      </c>
      <c r="CK102" s="418" t="str">
        <f t="shared" si="140"/>
        <v/>
      </c>
      <c r="CL102" s="418" t="str">
        <f t="shared" si="141"/>
        <v/>
      </c>
      <c r="CM102" s="418" t="str">
        <f t="shared" si="142"/>
        <v/>
      </c>
      <c r="CN102" s="418" t="str">
        <f t="shared" si="143"/>
        <v/>
      </c>
      <c r="CO102" s="418" t="str">
        <f t="shared" si="144"/>
        <v/>
      </c>
      <c r="CP102" s="418" t="str">
        <f t="shared" si="145"/>
        <v/>
      </c>
      <c r="CQ102" s="418" t="str">
        <f t="shared" si="146"/>
        <v/>
      </c>
      <c r="CR102" s="418" t="str">
        <f t="shared" si="147"/>
        <v/>
      </c>
      <c r="CS102" s="418" t="str">
        <f t="shared" si="148"/>
        <v/>
      </c>
      <c r="CT102" s="418" t="str">
        <f t="shared" si="149"/>
        <v/>
      </c>
      <c r="CU102" s="418" t="str">
        <f t="shared" si="150"/>
        <v/>
      </c>
      <c r="CV102" s="418" t="str">
        <f t="shared" si="151"/>
        <v/>
      </c>
      <c r="CW102" s="418" t="str">
        <f t="shared" si="152"/>
        <v/>
      </c>
      <c r="CX102" s="418" t="str">
        <f t="shared" si="153"/>
        <v/>
      </c>
      <c r="DE102" s="417"/>
      <c r="DF102" s="3389">
        <f t="shared" si="154"/>
        <v>0</v>
      </c>
      <c r="DG102" s="3375">
        <f t="shared" si="155"/>
        <v>0</v>
      </c>
      <c r="DH102" s="3375">
        <f t="shared" si="156"/>
        <v>0</v>
      </c>
      <c r="DI102" s="3375">
        <f t="shared" si="157"/>
        <v>0</v>
      </c>
      <c r="DJ102" s="3374"/>
      <c r="DK102" s="3374"/>
      <c r="DL102" s="3374"/>
      <c r="DM102" s="3374"/>
      <c r="DN102" s="3374"/>
      <c r="DO102" s="3375">
        <f t="shared" si="158"/>
        <v>0</v>
      </c>
      <c r="DP102" s="3375">
        <f t="shared" si="159"/>
        <v>0</v>
      </c>
      <c r="DQ102" s="3375">
        <f t="shared" si="160"/>
        <v>0</v>
      </c>
      <c r="DR102" s="3375">
        <f t="shared" si="161"/>
        <v>0</v>
      </c>
      <c r="DS102" s="3375">
        <f t="shared" si="162"/>
        <v>0</v>
      </c>
      <c r="DT102" s="3375">
        <f t="shared" si="163"/>
        <v>0</v>
      </c>
      <c r="DU102" s="3375">
        <f t="shared" si="164"/>
        <v>0</v>
      </c>
      <c r="DV102" s="3375">
        <f t="shared" si="165"/>
        <v>0</v>
      </c>
      <c r="DW102" s="3375">
        <f t="shared" si="166"/>
        <v>0</v>
      </c>
      <c r="DX102" s="3375">
        <f t="shared" si="167"/>
        <v>0</v>
      </c>
      <c r="DY102" s="3375">
        <f t="shared" si="168"/>
        <v>0</v>
      </c>
      <c r="DZ102" s="3375">
        <f t="shared" si="169"/>
        <v>0</v>
      </c>
      <c r="EA102" s="3375">
        <f t="shared" si="170"/>
        <v>0</v>
      </c>
      <c r="EB102" s="3375">
        <f t="shared" si="171"/>
        <v>0</v>
      </c>
      <c r="EC102" s="3375">
        <f t="shared" si="172"/>
        <v>0</v>
      </c>
    </row>
    <row r="103" spans="1:133">
      <c r="A103" s="420" t="s">
        <v>1941</v>
      </c>
      <c r="B103" s="1737">
        <f t="shared" si="133"/>
        <v>0</v>
      </c>
      <c r="C103" s="1739">
        <f t="shared" si="133"/>
        <v>0</v>
      </c>
      <c r="D103" s="2880"/>
      <c r="E103" s="2885"/>
      <c r="F103" s="2381"/>
      <c r="G103" s="2885"/>
      <c r="H103" s="2381"/>
      <c r="I103" s="2885"/>
      <c r="J103" s="2381"/>
      <c r="K103" s="2885"/>
      <c r="L103" s="2381"/>
      <c r="M103" s="2382"/>
      <c r="N103" s="423"/>
      <c r="O103" s="3376"/>
      <c r="P103" s="425"/>
      <c r="Q103" s="3376"/>
      <c r="R103" s="425"/>
      <c r="S103" s="3376"/>
      <c r="T103" s="425"/>
      <c r="U103" s="3376"/>
      <c r="V103" s="425"/>
      <c r="W103" s="3376"/>
      <c r="X103" s="425"/>
      <c r="Y103" s="3376"/>
      <c r="Z103" s="425"/>
      <c r="AA103" s="3376"/>
      <c r="AB103" s="425"/>
      <c r="AC103" s="3376"/>
      <c r="AD103" s="425"/>
      <c r="AE103" s="3376"/>
      <c r="AF103" s="425"/>
      <c r="AG103" s="3376"/>
      <c r="AH103" s="425"/>
      <c r="AI103" s="3376"/>
      <c r="AJ103" s="425"/>
      <c r="AK103" s="3376"/>
      <c r="AL103" s="425"/>
      <c r="AM103" s="3376"/>
      <c r="AN103" s="425"/>
      <c r="AO103" s="3376"/>
      <c r="AP103" s="425"/>
      <c r="AQ103" s="426"/>
      <c r="AR103" s="3371"/>
      <c r="AS103" s="426"/>
      <c r="AT103" s="3372"/>
      <c r="AU103" s="426"/>
      <c r="AV103" s="3392"/>
      <c r="AW103" s="2231"/>
      <c r="AX103" s="3373" t="str">
        <f t="shared" si="134"/>
        <v/>
      </c>
      <c r="CA103" s="418" t="str">
        <f t="shared" si="135"/>
        <v/>
      </c>
      <c r="CB103" s="418" t="str">
        <f t="shared" si="136"/>
        <v/>
      </c>
      <c r="CC103" s="418" t="str">
        <f t="shared" si="137"/>
        <v/>
      </c>
      <c r="CD103" s="418" t="str">
        <f t="shared" si="138"/>
        <v/>
      </c>
      <c r="CE103" s="3374"/>
      <c r="CF103" s="3374"/>
      <c r="CG103" s="3374"/>
      <c r="CH103" s="3374"/>
      <c r="CI103" s="3374"/>
      <c r="CJ103" s="418" t="str">
        <f t="shared" si="139"/>
        <v/>
      </c>
      <c r="CK103" s="418" t="str">
        <f t="shared" si="140"/>
        <v/>
      </c>
      <c r="CL103" s="418" t="str">
        <f t="shared" si="141"/>
        <v/>
      </c>
      <c r="CM103" s="418" t="str">
        <f t="shared" si="142"/>
        <v/>
      </c>
      <c r="CN103" s="418" t="str">
        <f t="shared" si="143"/>
        <v/>
      </c>
      <c r="CO103" s="418" t="str">
        <f t="shared" si="144"/>
        <v/>
      </c>
      <c r="CP103" s="418" t="str">
        <f t="shared" si="145"/>
        <v/>
      </c>
      <c r="CQ103" s="418" t="str">
        <f t="shared" si="146"/>
        <v/>
      </c>
      <c r="CR103" s="418" t="str">
        <f t="shared" si="147"/>
        <v/>
      </c>
      <c r="CS103" s="418" t="str">
        <f t="shared" si="148"/>
        <v/>
      </c>
      <c r="CT103" s="418" t="str">
        <f t="shared" si="149"/>
        <v/>
      </c>
      <c r="CU103" s="418" t="str">
        <f t="shared" si="150"/>
        <v/>
      </c>
      <c r="CV103" s="418" t="str">
        <f t="shared" si="151"/>
        <v/>
      </c>
      <c r="CW103" s="418" t="str">
        <f t="shared" si="152"/>
        <v/>
      </c>
      <c r="CX103" s="418" t="str">
        <f t="shared" si="153"/>
        <v/>
      </c>
      <c r="DE103" s="417"/>
      <c r="DF103" s="3389">
        <f t="shared" si="154"/>
        <v>0</v>
      </c>
      <c r="DG103" s="3375">
        <f t="shared" si="155"/>
        <v>0</v>
      </c>
      <c r="DH103" s="3375">
        <f t="shared" si="156"/>
        <v>0</v>
      </c>
      <c r="DI103" s="3375">
        <f t="shared" si="157"/>
        <v>0</v>
      </c>
      <c r="DJ103" s="3374"/>
      <c r="DK103" s="3374"/>
      <c r="DL103" s="3374"/>
      <c r="DM103" s="3374"/>
      <c r="DN103" s="3374"/>
      <c r="DO103" s="3375">
        <f t="shared" si="158"/>
        <v>0</v>
      </c>
      <c r="DP103" s="3375">
        <f t="shared" si="159"/>
        <v>0</v>
      </c>
      <c r="DQ103" s="3375">
        <f t="shared" si="160"/>
        <v>0</v>
      </c>
      <c r="DR103" s="3375">
        <f t="shared" si="161"/>
        <v>0</v>
      </c>
      <c r="DS103" s="3375">
        <f t="shared" si="162"/>
        <v>0</v>
      </c>
      <c r="DT103" s="3375">
        <f t="shared" si="163"/>
        <v>0</v>
      </c>
      <c r="DU103" s="3375">
        <f t="shared" si="164"/>
        <v>0</v>
      </c>
      <c r="DV103" s="3375">
        <f t="shared" si="165"/>
        <v>0</v>
      </c>
      <c r="DW103" s="3375">
        <f t="shared" si="166"/>
        <v>0</v>
      </c>
      <c r="DX103" s="3375">
        <f t="shared" si="167"/>
        <v>0</v>
      </c>
      <c r="DY103" s="3375">
        <f t="shared" si="168"/>
        <v>0</v>
      </c>
      <c r="DZ103" s="3375">
        <f t="shared" si="169"/>
        <v>0</v>
      </c>
      <c r="EA103" s="3375">
        <f t="shared" si="170"/>
        <v>0</v>
      </c>
      <c r="EB103" s="3375">
        <f t="shared" si="171"/>
        <v>0</v>
      </c>
      <c r="EC103" s="3375">
        <f t="shared" si="172"/>
        <v>0</v>
      </c>
    </row>
    <row r="104" spans="1:133">
      <c r="A104" s="420" t="s">
        <v>1942</v>
      </c>
      <c r="B104" s="1737">
        <f t="shared" si="133"/>
        <v>0</v>
      </c>
      <c r="C104" s="1739">
        <f t="shared" si="133"/>
        <v>0</v>
      </c>
      <c r="D104" s="2880"/>
      <c r="E104" s="2885"/>
      <c r="F104" s="2381"/>
      <c r="G104" s="2885"/>
      <c r="H104" s="2381"/>
      <c r="I104" s="2885"/>
      <c r="J104" s="2381"/>
      <c r="K104" s="2885"/>
      <c r="L104" s="2381"/>
      <c r="M104" s="2382"/>
      <c r="N104" s="423"/>
      <c r="O104" s="3376"/>
      <c r="P104" s="425"/>
      <c r="Q104" s="3376"/>
      <c r="R104" s="425"/>
      <c r="S104" s="3376"/>
      <c r="T104" s="425"/>
      <c r="U104" s="3376"/>
      <c r="V104" s="425"/>
      <c r="W104" s="3376"/>
      <c r="X104" s="425"/>
      <c r="Y104" s="3376"/>
      <c r="Z104" s="425"/>
      <c r="AA104" s="3376"/>
      <c r="AB104" s="425"/>
      <c r="AC104" s="3376"/>
      <c r="AD104" s="425"/>
      <c r="AE104" s="3376"/>
      <c r="AF104" s="425"/>
      <c r="AG104" s="3376"/>
      <c r="AH104" s="425"/>
      <c r="AI104" s="3376"/>
      <c r="AJ104" s="425"/>
      <c r="AK104" s="3376"/>
      <c r="AL104" s="425"/>
      <c r="AM104" s="3376"/>
      <c r="AN104" s="425"/>
      <c r="AO104" s="3376"/>
      <c r="AP104" s="425"/>
      <c r="AQ104" s="426"/>
      <c r="AR104" s="3371"/>
      <c r="AS104" s="426"/>
      <c r="AT104" s="3372"/>
      <c r="AU104" s="426"/>
      <c r="AV104" s="3392"/>
      <c r="AW104" s="2231"/>
      <c r="AX104" s="3373" t="str">
        <f t="shared" si="134"/>
        <v/>
      </c>
      <c r="CA104" s="418" t="str">
        <f t="shared" si="135"/>
        <v/>
      </c>
      <c r="CB104" s="418" t="str">
        <f t="shared" si="136"/>
        <v/>
      </c>
      <c r="CC104" s="418" t="str">
        <f t="shared" si="137"/>
        <v/>
      </c>
      <c r="CD104" s="418" t="str">
        <f t="shared" si="138"/>
        <v/>
      </c>
      <c r="CE104" s="3374"/>
      <c r="CF104" s="3374"/>
      <c r="CG104" s="3374"/>
      <c r="CH104" s="3374"/>
      <c r="CI104" s="3374"/>
      <c r="CJ104" s="418" t="str">
        <f t="shared" si="139"/>
        <v/>
      </c>
      <c r="CK104" s="418" t="str">
        <f t="shared" si="140"/>
        <v/>
      </c>
      <c r="CL104" s="418" t="str">
        <f t="shared" si="141"/>
        <v/>
      </c>
      <c r="CM104" s="418" t="str">
        <f t="shared" si="142"/>
        <v/>
      </c>
      <c r="CN104" s="418" t="str">
        <f t="shared" si="143"/>
        <v/>
      </c>
      <c r="CO104" s="418" t="str">
        <f t="shared" si="144"/>
        <v/>
      </c>
      <c r="CP104" s="418" t="str">
        <f t="shared" si="145"/>
        <v/>
      </c>
      <c r="CQ104" s="418" t="str">
        <f t="shared" si="146"/>
        <v/>
      </c>
      <c r="CR104" s="418" t="str">
        <f t="shared" si="147"/>
        <v/>
      </c>
      <c r="CS104" s="418" t="str">
        <f t="shared" si="148"/>
        <v/>
      </c>
      <c r="CT104" s="418" t="str">
        <f t="shared" si="149"/>
        <v/>
      </c>
      <c r="CU104" s="418" t="str">
        <f t="shared" si="150"/>
        <v/>
      </c>
      <c r="CV104" s="418" t="str">
        <f t="shared" si="151"/>
        <v/>
      </c>
      <c r="CW104" s="418" t="str">
        <f t="shared" si="152"/>
        <v/>
      </c>
      <c r="CX104" s="418" t="str">
        <f t="shared" si="153"/>
        <v/>
      </c>
      <c r="DE104" s="417"/>
      <c r="DF104" s="3389">
        <f t="shared" si="154"/>
        <v>0</v>
      </c>
      <c r="DG104" s="3375">
        <f t="shared" si="155"/>
        <v>0</v>
      </c>
      <c r="DH104" s="3375">
        <f t="shared" si="156"/>
        <v>0</v>
      </c>
      <c r="DI104" s="3375">
        <f t="shared" si="157"/>
        <v>0</v>
      </c>
      <c r="DJ104" s="3374"/>
      <c r="DK104" s="3374"/>
      <c r="DL104" s="3374"/>
      <c r="DM104" s="3374"/>
      <c r="DN104" s="3374"/>
      <c r="DO104" s="3375">
        <f t="shared" si="158"/>
        <v>0</v>
      </c>
      <c r="DP104" s="3375">
        <f t="shared" si="159"/>
        <v>0</v>
      </c>
      <c r="DQ104" s="3375">
        <f t="shared" si="160"/>
        <v>0</v>
      </c>
      <c r="DR104" s="3375">
        <f t="shared" si="161"/>
        <v>0</v>
      </c>
      <c r="DS104" s="3375">
        <f t="shared" si="162"/>
        <v>0</v>
      </c>
      <c r="DT104" s="3375">
        <f t="shared" si="163"/>
        <v>0</v>
      </c>
      <c r="DU104" s="3375">
        <f t="shared" si="164"/>
        <v>0</v>
      </c>
      <c r="DV104" s="3375">
        <f t="shared" si="165"/>
        <v>0</v>
      </c>
      <c r="DW104" s="3375">
        <f t="shared" si="166"/>
        <v>0</v>
      </c>
      <c r="DX104" s="3375">
        <f t="shared" si="167"/>
        <v>0</v>
      </c>
      <c r="DY104" s="3375">
        <f t="shared" si="168"/>
        <v>0</v>
      </c>
      <c r="DZ104" s="3375">
        <f t="shared" si="169"/>
        <v>0</v>
      </c>
      <c r="EA104" s="3375">
        <f t="shared" si="170"/>
        <v>0</v>
      </c>
      <c r="EB104" s="3375">
        <f t="shared" si="171"/>
        <v>0</v>
      </c>
      <c r="EC104" s="3375">
        <f t="shared" si="172"/>
        <v>0</v>
      </c>
    </row>
    <row r="105" spans="1:133">
      <c r="A105" s="2237" t="s">
        <v>1943</v>
      </c>
      <c r="B105" s="1737">
        <f t="shared" si="133"/>
        <v>0</v>
      </c>
      <c r="C105" s="1739">
        <f t="shared" si="133"/>
        <v>0</v>
      </c>
      <c r="D105" s="2880"/>
      <c r="E105" s="2885"/>
      <c r="F105" s="2381"/>
      <c r="G105" s="2885"/>
      <c r="H105" s="2381"/>
      <c r="I105" s="2885"/>
      <c r="J105" s="2381"/>
      <c r="K105" s="2885"/>
      <c r="L105" s="2381"/>
      <c r="M105" s="2382"/>
      <c r="N105" s="423"/>
      <c r="O105" s="3376"/>
      <c r="P105" s="425"/>
      <c r="Q105" s="3376"/>
      <c r="R105" s="425"/>
      <c r="S105" s="3376"/>
      <c r="T105" s="425"/>
      <c r="U105" s="3376"/>
      <c r="V105" s="425"/>
      <c r="W105" s="3376"/>
      <c r="X105" s="425"/>
      <c r="Y105" s="3376"/>
      <c r="Z105" s="425"/>
      <c r="AA105" s="3376"/>
      <c r="AB105" s="425"/>
      <c r="AC105" s="3376"/>
      <c r="AD105" s="425"/>
      <c r="AE105" s="3376"/>
      <c r="AF105" s="425"/>
      <c r="AG105" s="3376"/>
      <c r="AH105" s="425"/>
      <c r="AI105" s="3376"/>
      <c r="AJ105" s="425"/>
      <c r="AK105" s="3376"/>
      <c r="AL105" s="425"/>
      <c r="AM105" s="3376"/>
      <c r="AN105" s="425"/>
      <c r="AO105" s="3376"/>
      <c r="AP105" s="425"/>
      <c r="AQ105" s="426"/>
      <c r="AR105" s="3371"/>
      <c r="AS105" s="426"/>
      <c r="AT105" s="3372"/>
      <c r="AU105" s="426"/>
      <c r="AV105" s="3392"/>
      <c r="AW105" s="2231"/>
      <c r="AX105" s="3373" t="str">
        <f t="shared" si="134"/>
        <v/>
      </c>
      <c r="CA105" s="418" t="str">
        <f t="shared" si="135"/>
        <v/>
      </c>
      <c r="CB105" s="418" t="str">
        <f t="shared" si="136"/>
        <v/>
      </c>
      <c r="CC105" s="418" t="str">
        <f t="shared" si="137"/>
        <v/>
      </c>
      <c r="CD105" s="418" t="str">
        <f t="shared" si="138"/>
        <v/>
      </c>
      <c r="CE105" s="3374"/>
      <c r="CF105" s="3374"/>
      <c r="CG105" s="3374"/>
      <c r="CH105" s="3374"/>
      <c r="CI105" s="3374"/>
      <c r="CJ105" s="418" t="str">
        <f t="shared" si="139"/>
        <v/>
      </c>
      <c r="CK105" s="418" t="str">
        <f t="shared" si="140"/>
        <v/>
      </c>
      <c r="CL105" s="418" t="str">
        <f t="shared" si="141"/>
        <v/>
      </c>
      <c r="CM105" s="418" t="str">
        <f t="shared" si="142"/>
        <v/>
      </c>
      <c r="CN105" s="418" t="str">
        <f t="shared" si="143"/>
        <v/>
      </c>
      <c r="CO105" s="418" t="str">
        <f t="shared" si="144"/>
        <v/>
      </c>
      <c r="CP105" s="418" t="str">
        <f t="shared" si="145"/>
        <v/>
      </c>
      <c r="CQ105" s="418" t="str">
        <f t="shared" si="146"/>
        <v/>
      </c>
      <c r="CR105" s="418" t="str">
        <f t="shared" si="147"/>
        <v/>
      </c>
      <c r="CS105" s="418" t="str">
        <f t="shared" si="148"/>
        <v/>
      </c>
      <c r="CT105" s="418" t="str">
        <f t="shared" si="149"/>
        <v/>
      </c>
      <c r="CU105" s="418" t="str">
        <f t="shared" si="150"/>
        <v/>
      </c>
      <c r="CV105" s="418" t="str">
        <f t="shared" si="151"/>
        <v/>
      </c>
      <c r="CW105" s="418" t="str">
        <f t="shared" si="152"/>
        <v/>
      </c>
      <c r="CX105" s="418" t="str">
        <f t="shared" si="153"/>
        <v/>
      </c>
      <c r="DE105" s="417"/>
      <c r="DF105" s="3389">
        <f t="shared" si="154"/>
        <v>0</v>
      </c>
      <c r="DG105" s="3375">
        <f t="shared" si="155"/>
        <v>0</v>
      </c>
      <c r="DH105" s="3375">
        <f t="shared" si="156"/>
        <v>0</v>
      </c>
      <c r="DI105" s="3375">
        <f t="shared" si="157"/>
        <v>0</v>
      </c>
      <c r="DJ105" s="3374"/>
      <c r="DK105" s="3374"/>
      <c r="DL105" s="3374"/>
      <c r="DM105" s="3374"/>
      <c r="DN105" s="3374"/>
      <c r="DO105" s="3375">
        <f t="shared" si="158"/>
        <v>0</v>
      </c>
      <c r="DP105" s="3375">
        <f t="shared" si="159"/>
        <v>0</v>
      </c>
      <c r="DQ105" s="3375">
        <f t="shared" si="160"/>
        <v>0</v>
      </c>
      <c r="DR105" s="3375">
        <f t="shared" si="161"/>
        <v>0</v>
      </c>
      <c r="DS105" s="3375">
        <f t="shared" si="162"/>
        <v>0</v>
      </c>
      <c r="DT105" s="3375">
        <f t="shared" si="163"/>
        <v>0</v>
      </c>
      <c r="DU105" s="3375">
        <f t="shared" si="164"/>
        <v>0</v>
      </c>
      <c r="DV105" s="3375">
        <f t="shared" si="165"/>
        <v>0</v>
      </c>
      <c r="DW105" s="3375">
        <f t="shared" si="166"/>
        <v>0</v>
      </c>
      <c r="DX105" s="3375">
        <f t="shared" si="167"/>
        <v>0</v>
      </c>
      <c r="DY105" s="3375">
        <f t="shared" si="168"/>
        <v>0</v>
      </c>
      <c r="DZ105" s="3375">
        <f t="shared" si="169"/>
        <v>0</v>
      </c>
      <c r="EA105" s="3375">
        <f t="shared" si="170"/>
        <v>0</v>
      </c>
      <c r="EB105" s="3375">
        <f t="shared" si="171"/>
        <v>0</v>
      </c>
      <c r="EC105" s="3375">
        <f t="shared" si="172"/>
        <v>0</v>
      </c>
    </row>
    <row r="106" spans="1:133">
      <c r="A106" s="2237" t="s">
        <v>1944</v>
      </c>
      <c r="B106" s="1737">
        <f t="shared" si="133"/>
        <v>0</v>
      </c>
      <c r="C106" s="1739">
        <f t="shared" si="133"/>
        <v>0</v>
      </c>
      <c r="D106" s="2880"/>
      <c r="E106" s="2885"/>
      <c r="F106" s="2381"/>
      <c r="G106" s="2885"/>
      <c r="H106" s="2381"/>
      <c r="I106" s="2885"/>
      <c r="J106" s="2381"/>
      <c r="K106" s="2885"/>
      <c r="L106" s="2381"/>
      <c r="M106" s="2382"/>
      <c r="N106" s="423"/>
      <c r="O106" s="3376"/>
      <c r="P106" s="425"/>
      <c r="Q106" s="3376"/>
      <c r="R106" s="425"/>
      <c r="S106" s="3376"/>
      <c r="T106" s="425"/>
      <c r="U106" s="3376"/>
      <c r="V106" s="425"/>
      <c r="W106" s="3376"/>
      <c r="X106" s="425"/>
      <c r="Y106" s="3376"/>
      <c r="Z106" s="425"/>
      <c r="AA106" s="3376"/>
      <c r="AB106" s="425"/>
      <c r="AC106" s="3376"/>
      <c r="AD106" s="425"/>
      <c r="AE106" s="3376"/>
      <c r="AF106" s="425"/>
      <c r="AG106" s="3376"/>
      <c r="AH106" s="425"/>
      <c r="AI106" s="3376"/>
      <c r="AJ106" s="425"/>
      <c r="AK106" s="3376"/>
      <c r="AL106" s="425"/>
      <c r="AM106" s="3376"/>
      <c r="AN106" s="425"/>
      <c r="AO106" s="3376"/>
      <c r="AP106" s="425"/>
      <c r="AQ106" s="426"/>
      <c r="AR106" s="423"/>
      <c r="AS106" s="426"/>
      <c r="AT106" s="3372"/>
      <c r="AU106" s="426"/>
      <c r="AV106" s="3392"/>
      <c r="AW106" s="2231"/>
      <c r="AX106" s="3373" t="str">
        <f t="shared" si="134"/>
        <v/>
      </c>
      <c r="CA106" s="418" t="str">
        <f>IF(B106&lt;&gt;(AS106+AR106)," * La suma de las columnas "&amp;AR$10&amp;""&amp;" DEBE SER IGUAL a los Exámenes Procesados. ","")</f>
        <v/>
      </c>
      <c r="CB106" s="418" t="str">
        <f t="shared" si="136"/>
        <v/>
      </c>
      <c r="CC106" s="418" t="str">
        <f t="shared" si="137"/>
        <v/>
      </c>
      <c r="CD106" s="418" t="str">
        <f t="shared" si="138"/>
        <v/>
      </c>
      <c r="CE106" s="3374"/>
      <c r="CF106" s="3374"/>
      <c r="CG106" s="3374"/>
      <c r="CH106" s="3374"/>
      <c r="CI106" s="3374"/>
      <c r="CJ106" s="418" t="str">
        <f t="shared" si="139"/>
        <v/>
      </c>
      <c r="CK106" s="418" t="str">
        <f t="shared" si="140"/>
        <v/>
      </c>
      <c r="CL106" s="418" t="str">
        <f t="shared" si="141"/>
        <v/>
      </c>
      <c r="CM106" s="418" t="str">
        <f t="shared" si="142"/>
        <v/>
      </c>
      <c r="CN106" s="418" t="str">
        <f t="shared" si="143"/>
        <v/>
      </c>
      <c r="CO106" s="418" t="str">
        <f t="shared" si="144"/>
        <v/>
      </c>
      <c r="CP106" s="418" t="str">
        <f t="shared" si="145"/>
        <v/>
      </c>
      <c r="CQ106" s="418" t="str">
        <f t="shared" si="146"/>
        <v/>
      </c>
      <c r="CR106" s="418" t="str">
        <f t="shared" si="147"/>
        <v/>
      </c>
      <c r="CS106" s="418" t="str">
        <f t="shared" si="148"/>
        <v/>
      </c>
      <c r="CT106" s="418" t="str">
        <f t="shared" si="149"/>
        <v/>
      </c>
      <c r="CU106" s="418" t="str">
        <f t="shared" si="150"/>
        <v/>
      </c>
      <c r="CV106" s="418" t="str">
        <f t="shared" si="151"/>
        <v/>
      </c>
      <c r="CW106" s="418" t="str">
        <f t="shared" si="152"/>
        <v/>
      </c>
      <c r="CX106" s="418" t="str">
        <f t="shared" si="153"/>
        <v/>
      </c>
      <c r="DE106" s="417"/>
      <c r="DF106" s="3389">
        <f>IF(B106&lt;&gt;(AS106+AR106),1,0)</f>
        <v>0</v>
      </c>
      <c r="DG106" s="3375">
        <f t="shared" si="155"/>
        <v>0</v>
      </c>
      <c r="DH106" s="3375">
        <f t="shared" si="156"/>
        <v>0</v>
      </c>
      <c r="DI106" s="3375">
        <f t="shared" si="157"/>
        <v>0</v>
      </c>
      <c r="DJ106" s="3374"/>
      <c r="DK106" s="3374"/>
      <c r="DL106" s="3374"/>
      <c r="DM106" s="3374"/>
      <c r="DN106" s="3374"/>
      <c r="DO106" s="3375">
        <f t="shared" si="158"/>
        <v>0</v>
      </c>
      <c r="DP106" s="3375">
        <f t="shared" si="159"/>
        <v>0</v>
      </c>
      <c r="DQ106" s="3375">
        <f t="shared" si="160"/>
        <v>0</v>
      </c>
      <c r="DR106" s="3375">
        <f t="shared" si="161"/>
        <v>0</v>
      </c>
      <c r="DS106" s="3375">
        <f t="shared" si="162"/>
        <v>0</v>
      </c>
      <c r="DT106" s="3375">
        <f t="shared" si="163"/>
        <v>0</v>
      </c>
      <c r="DU106" s="3375">
        <f t="shared" si="164"/>
        <v>0</v>
      </c>
      <c r="DV106" s="3375">
        <f t="shared" si="165"/>
        <v>0</v>
      </c>
      <c r="DW106" s="3375">
        <f t="shared" si="166"/>
        <v>0</v>
      </c>
      <c r="DX106" s="3375">
        <f t="shared" si="167"/>
        <v>0</v>
      </c>
      <c r="DY106" s="3375">
        <f t="shared" si="168"/>
        <v>0</v>
      </c>
      <c r="DZ106" s="3375">
        <f t="shared" si="169"/>
        <v>0</v>
      </c>
      <c r="EA106" s="3375">
        <f t="shared" si="170"/>
        <v>0</v>
      </c>
      <c r="EB106" s="3375">
        <f t="shared" si="171"/>
        <v>0</v>
      </c>
      <c r="EC106" s="3375">
        <f t="shared" si="172"/>
        <v>0</v>
      </c>
    </row>
    <row r="107" spans="1:133">
      <c r="A107" s="2237" t="s">
        <v>1945</v>
      </c>
      <c r="B107" s="1737">
        <f t="shared" si="133"/>
        <v>0</v>
      </c>
      <c r="C107" s="1739">
        <f t="shared" si="133"/>
        <v>0</v>
      </c>
      <c r="D107" s="2880"/>
      <c r="E107" s="2885"/>
      <c r="F107" s="2381"/>
      <c r="G107" s="2885"/>
      <c r="H107" s="2381"/>
      <c r="I107" s="2885"/>
      <c r="J107" s="2381"/>
      <c r="K107" s="2885"/>
      <c r="L107" s="2381"/>
      <c r="M107" s="2382"/>
      <c r="N107" s="423"/>
      <c r="O107" s="3376"/>
      <c r="P107" s="425"/>
      <c r="Q107" s="3376"/>
      <c r="R107" s="425"/>
      <c r="S107" s="3376"/>
      <c r="T107" s="425"/>
      <c r="U107" s="3376"/>
      <c r="V107" s="425"/>
      <c r="W107" s="3376"/>
      <c r="X107" s="425"/>
      <c r="Y107" s="3376"/>
      <c r="Z107" s="425"/>
      <c r="AA107" s="3376"/>
      <c r="AB107" s="425"/>
      <c r="AC107" s="3376"/>
      <c r="AD107" s="425"/>
      <c r="AE107" s="3376"/>
      <c r="AF107" s="425"/>
      <c r="AG107" s="3376"/>
      <c r="AH107" s="425"/>
      <c r="AI107" s="3376"/>
      <c r="AJ107" s="425"/>
      <c r="AK107" s="3376"/>
      <c r="AL107" s="425"/>
      <c r="AM107" s="3376"/>
      <c r="AN107" s="425"/>
      <c r="AO107" s="3376"/>
      <c r="AP107" s="425"/>
      <c r="AQ107" s="426"/>
      <c r="AR107" s="3371"/>
      <c r="AS107" s="426"/>
      <c r="AT107" s="3372"/>
      <c r="AU107" s="426"/>
      <c r="AV107" s="3392"/>
      <c r="AW107" s="2231"/>
      <c r="AX107" s="3373" t="str">
        <f t="shared" si="134"/>
        <v/>
      </c>
      <c r="CA107" s="418" t="str">
        <f t="shared" ref="CA107:CA109" si="173">IF(B107&lt;&gt;(AS107)," * La suma de las columnas "&amp;AR$10&amp;""&amp;" DEBE SER IGUAL a los Exámenes Procesados. ","")</f>
        <v/>
      </c>
      <c r="CB107" s="418" t="str">
        <f t="shared" si="136"/>
        <v/>
      </c>
      <c r="CC107" s="418" t="str">
        <f t="shared" si="137"/>
        <v/>
      </c>
      <c r="CD107" s="418" t="str">
        <f t="shared" si="138"/>
        <v/>
      </c>
      <c r="CE107" s="3374"/>
      <c r="CF107" s="3374"/>
      <c r="CG107" s="3374"/>
      <c r="CH107" s="3374"/>
      <c r="CI107" s="3374"/>
      <c r="CJ107" s="418" t="str">
        <f t="shared" si="139"/>
        <v/>
      </c>
      <c r="CK107" s="418" t="str">
        <f t="shared" si="140"/>
        <v/>
      </c>
      <c r="CL107" s="418" t="str">
        <f t="shared" si="141"/>
        <v/>
      </c>
      <c r="CM107" s="418" t="str">
        <f t="shared" si="142"/>
        <v/>
      </c>
      <c r="CN107" s="418" t="str">
        <f t="shared" si="143"/>
        <v/>
      </c>
      <c r="CO107" s="418" t="str">
        <f t="shared" si="144"/>
        <v/>
      </c>
      <c r="CP107" s="418" t="str">
        <f t="shared" si="145"/>
        <v/>
      </c>
      <c r="CQ107" s="418" t="str">
        <f t="shared" si="146"/>
        <v/>
      </c>
      <c r="CR107" s="418" t="str">
        <f t="shared" si="147"/>
        <v/>
      </c>
      <c r="CS107" s="418" t="str">
        <f t="shared" si="148"/>
        <v/>
      </c>
      <c r="CT107" s="418" t="str">
        <f t="shared" si="149"/>
        <v/>
      </c>
      <c r="CU107" s="418" t="str">
        <f t="shared" si="150"/>
        <v/>
      </c>
      <c r="CV107" s="418" t="str">
        <f t="shared" si="151"/>
        <v/>
      </c>
      <c r="CW107" s="418" t="str">
        <f t="shared" si="152"/>
        <v/>
      </c>
      <c r="CX107" s="418" t="str">
        <f t="shared" si="153"/>
        <v/>
      </c>
      <c r="DE107" s="417"/>
      <c r="DF107" s="3389">
        <f t="shared" ref="DF107:DF109" si="174">IF(B107&lt;&gt;(AS107),1,0)</f>
        <v>0</v>
      </c>
      <c r="DG107" s="3375">
        <f t="shared" si="155"/>
        <v>0</v>
      </c>
      <c r="DH107" s="3375">
        <f t="shared" si="156"/>
        <v>0</v>
      </c>
      <c r="DI107" s="3375">
        <f t="shared" si="157"/>
        <v>0</v>
      </c>
      <c r="DJ107" s="3374"/>
      <c r="DK107" s="3374"/>
      <c r="DL107" s="3374"/>
      <c r="DM107" s="3374"/>
      <c r="DN107" s="3374"/>
      <c r="DO107" s="3375">
        <f t="shared" si="158"/>
        <v>0</v>
      </c>
      <c r="DP107" s="3375">
        <f t="shared" si="159"/>
        <v>0</v>
      </c>
      <c r="DQ107" s="3375">
        <f t="shared" si="160"/>
        <v>0</v>
      </c>
      <c r="DR107" s="3375">
        <f t="shared" si="161"/>
        <v>0</v>
      </c>
      <c r="DS107" s="3375">
        <f t="shared" si="162"/>
        <v>0</v>
      </c>
      <c r="DT107" s="3375">
        <f t="shared" si="163"/>
        <v>0</v>
      </c>
      <c r="DU107" s="3375">
        <f t="shared" si="164"/>
        <v>0</v>
      </c>
      <c r="DV107" s="3375">
        <f t="shared" si="165"/>
        <v>0</v>
      </c>
      <c r="DW107" s="3375">
        <f t="shared" si="166"/>
        <v>0</v>
      </c>
      <c r="DX107" s="3375">
        <f t="shared" si="167"/>
        <v>0</v>
      </c>
      <c r="DY107" s="3375">
        <f t="shared" si="168"/>
        <v>0</v>
      </c>
      <c r="DZ107" s="3375">
        <f t="shared" si="169"/>
        <v>0</v>
      </c>
      <c r="EA107" s="3375">
        <f t="shared" si="170"/>
        <v>0</v>
      </c>
      <c r="EB107" s="3375">
        <f t="shared" si="171"/>
        <v>0</v>
      </c>
      <c r="EC107" s="3375">
        <f t="shared" si="172"/>
        <v>0</v>
      </c>
    </row>
    <row r="108" spans="1:133">
      <c r="A108" s="420" t="s">
        <v>1946</v>
      </c>
      <c r="B108" s="1737">
        <f t="shared" si="133"/>
        <v>0</v>
      </c>
      <c r="C108" s="1739">
        <f t="shared" si="133"/>
        <v>0</v>
      </c>
      <c r="D108" s="2880"/>
      <c r="E108" s="2885"/>
      <c r="F108" s="2381"/>
      <c r="G108" s="2885"/>
      <c r="H108" s="2381"/>
      <c r="I108" s="2885"/>
      <c r="J108" s="2381"/>
      <c r="K108" s="2885"/>
      <c r="L108" s="2381"/>
      <c r="M108" s="2382"/>
      <c r="N108" s="423"/>
      <c r="O108" s="3376"/>
      <c r="P108" s="425"/>
      <c r="Q108" s="3376"/>
      <c r="R108" s="425"/>
      <c r="S108" s="3376"/>
      <c r="T108" s="425"/>
      <c r="U108" s="3376"/>
      <c r="V108" s="425"/>
      <c r="W108" s="3376"/>
      <c r="X108" s="425"/>
      <c r="Y108" s="3376"/>
      <c r="Z108" s="425"/>
      <c r="AA108" s="3376"/>
      <c r="AB108" s="425"/>
      <c r="AC108" s="3376"/>
      <c r="AD108" s="425"/>
      <c r="AE108" s="3376"/>
      <c r="AF108" s="425"/>
      <c r="AG108" s="3376"/>
      <c r="AH108" s="425"/>
      <c r="AI108" s="3376"/>
      <c r="AJ108" s="425"/>
      <c r="AK108" s="3376"/>
      <c r="AL108" s="425"/>
      <c r="AM108" s="3376"/>
      <c r="AN108" s="425"/>
      <c r="AO108" s="3376"/>
      <c r="AP108" s="425"/>
      <c r="AQ108" s="426"/>
      <c r="AR108" s="3371"/>
      <c r="AS108" s="426"/>
      <c r="AT108" s="3372"/>
      <c r="AU108" s="426"/>
      <c r="AV108" s="3392"/>
      <c r="AW108" s="2231"/>
      <c r="AX108" s="3373" t="str">
        <f t="shared" si="134"/>
        <v/>
      </c>
      <c r="CA108" s="418" t="str">
        <f t="shared" si="173"/>
        <v/>
      </c>
      <c r="CB108" s="418" t="str">
        <f t="shared" si="136"/>
        <v/>
      </c>
      <c r="CC108" s="418" t="str">
        <f t="shared" si="137"/>
        <v/>
      </c>
      <c r="CD108" s="418" t="str">
        <f t="shared" si="138"/>
        <v/>
      </c>
      <c r="CE108" s="3374"/>
      <c r="CF108" s="3374"/>
      <c r="CG108" s="3374"/>
      <c r="CH108" s="3374"/>
      <c r="CI108" s="3374"/>
      <c r="CJ108" s="418" t="str">
        <f t="shared" si="139"/>
        <v/>
      </c>
      <c r="CK108" s="418" t="str">
        <f t="shared" si="140"/>
        <v/>
      </c>
      <c r="CL108" s="418" t="str">
        <f t="shared" si="141"/>
        <v/>
      </c>
      <c r="CM108" s="418" t="str">
        <f t="shared" si="142"/>
        <v/>
      </c>
      <c r="CN108" s="418" t="str">
        <f t="shared" si="143"/>
        <v/>
      </c>
      <c r="CO108" s="418" t="str">
        <f t="shared" si="144"/>
        <v/>
      </c>
      <c r="CP108" s="418" t="str">
        <f t="shared" si="145"/>
        <v/>
      </c>
      <c r="CQ108" s="418" t="str">
        <f t="shared" si="146"/>
        <v/>
      </c>
      <c r="CR108" s="418" t="str">
        <f t="shared" si="147"/>
        <v/>
      </c>
      <c r="CS108" s="418" t="str">
        <f t="shared" si="148"/>
        <v/>
      </c>
      <c r="CT108" s="418" t="str">
        <f t="shared" si="149"/>
        <v/>
      </c>
      <c r="CU108" s="418" t="str">
        <f t="shared" si="150"/>
        <v/>
      </c>
      <c r="CV108" s="418" t="str">
        <f t="shared" si="151"/>
        <v/>
      </c>
      <c r="CW108" s="418" t="str">
        <f t="shared" si="152"/>
        <v/>
      </c>
      <c r="CX108" s="418" t="str">
        <f t="shared" si="153"/>
        <v/>
      </c>
      <c r="DE108" s="417"/>
      <c r="DF108" s="3389">
        <f t="shared" si="174"/>
        <v>0</v>
      </c>
      <c r="DG108" s="3375">
        <f t="shared" si="155"/>
        <v>0</v>
      </c>
      <c r="DH108" s="3375">
        <f t="shared" si="156"/>
        <v>0</v>
      </c>
      <c r="DI108" s="3375">
        <f t="shared" si="157"/>
        <v>0</v>
      </c>
      <c r="DJ108" s="3374"/>
      <c r="DK108" s="3374"/>
      <c r="DL108" s="3374"/>
      <c r="DM108" s="3374"/>
      <c r="DN108" s="3374"/>
      <c r="DO108" s="3375">
        <f t="shared" si="158"/>
        <v>0</v>
      </c>
      <c r="DP108" s="3375">
        <f t="shared" si="159"/>
        <v>0</v>
      </c>
      <c r="DQ108" s="3375">
        <f t="shared" si="160"/>
        <v>0</v>
      </c>
      <c r="DR108" s="3375">
        <f t="shared" si="161"/>
        <v>0</v>
      </c>
      <c r="DS108" s="3375">
        <f t="shared" si="162"/>
        <v>0</v>
      </c>
      <c r="DT108" s="3375">
        <f t="shared" si="163"/>
        <v>0</v>
      </c>
      <c r="DU108" s="3375">
        <f t="shared" si="164"/>
        <v>0</v>
      </c>
      <c r="DV108" s="3375">
        <f t="shared" si="165"/>
        <v>0</v>
      </c>
      <c r="DW108" s="3375">
        <f t="shared" si="166"/>
        <v>0</v>
      </c>
      <c r="DX108" s="3375">
        <f t="shared" si="167"/>
        <v>0</v>
      </c>
      <c r="DY108" s="3375">
        <f t="shared" si="168"/>
        <v>0</v>
      </c>
      <c r="DZ108" s="3375">
        <f t="shared" si="169"/>
        <v>0</v>
      </c>
      <c r="EA108" s="3375">
        <f t="shared" si="170"/>
        <v>0</v>
      </c>
      <c r="EB108" s="3375">
        <f t="shared" si="171"/>
        <v>0</v>
      </c>
      <c r="EC108" s="3375">
        <f t="shared" si="172"/>
        <v>0</v>
      </c>
    </row>
    <row r="109" spans="1:133">
      <c r="A109" s="420" t="s">
        <v>1947</v>
      </c>
      <c r="B109" s="1737">
        <f>+D109+F109+H109+J109+L109+N109+P109+R109+T109+V109+X109+Z109+AB109+AD109+AF109+AH109+AJ109+AL109+AN109+AP109</f>
        <v>0</v>
      </c>
      <c r="C109" s="1739">
        <f>+E109+G109+I109+K109+M109+O109+Q109+S109+U109+W109+Y109+AA109+AC109+AE109+AG109+AI109+AK109+AM109+AO109+AQ109</f>
        <v>0</v>
      </c>
      <c r="D109" s="423"/>
      <c r="E109" s="3376"/>
      <c r="F109" s="425"/>
      <c r="G109" s="3376"/>
      <c r="H109" s="425"/>
      <c r="I109" s="424"/>
      <c r="J109" s="423"/>
      <c r="K109" s="423"/>
      <c r="L109" s="425"/>
      <c r="M109" s="424"/>
      <c r="N109" s="423"/>
      <c r="O109" s="3376"/>
      <c r="P109" s="425"/>
      <c r="Q109" s="3376"/>
      <c r="R109" s="425"/>
      <c r="S109" s="3376"/>
      <c r="T109" s="425"/>
      <c r="U109" s="3376"/>
      <c r="V109" s="425"/>
      <c r="W109" s="3376"/>
      <c r="X109" s="425"/>
      <c r="Y109" s="3376"/>
      <c r="Z109" s="425"/>
      <c r="AA109" s="3376"/>
      <c r="AB109" s="425"/>
      <c r="AC109" s="3376"/>
      <c r="AD109" s="425"/>
      <c r="AE109" s="3376"/>
      <c r="AF109" s="425"/>
      <c r="AG109" s="3376"/>
      <c r="AH109" s="425"/>
      <c r="AI109" s="3376"/>
      <c r="AJ109" s="425"/>
      <c r="AK109" s="3376"/>
      <c r="AL109" s="425"/>
      <c r="AM109" s="3376"/>
      <c r="AN109" s="425"/>
      <c r="AO109" s="3376"/>
      <c r="AP109" s="425"/>
      <c r="AQ109" s="426"/>
      <c r="AR109" s="3371"/>
      <c r="AS109" s="426"/>
      <c r="AT109" s="3372"/>
      <c r="AU109" s="426"/>
      <c r="AV109" s="3392"/>
      <c r="AW109" s="2231"/>
      <c r="AX109" s="3373" t="str">
        <f>$CA109&amp;CB109&amp;CC109&amp;$CD109&amp;CJ109&amp;CE109&amp;CF109&amp;CG109&amp;CH109&amp;CI109&amp;CK109&amp;CL109&amp;CM109&amp;CN109&amp;CO109&amp;CP109&amp;CQ109&amp;CR109&amp;CS109&amp;CT109&amp;CU109&amp;CV109&amp;CW109&amp;CX109</f>
        <v/>
      </c>
      <c r="CA109" s="418" t="str">
        <f t="shared" si="173"/>
        <v/>
      </c>
      <c r="CB109" s="418" t="str">
        <f t="shared" si="136"/>
        <v/>
      </c>
      <c r="CC109" s="418" t="str">
        <f t="shared" si="137"/>
        <v/>
      </c>
      <c r="CD109" s="418" t="str">
        <f t="shared" si="138"/>
        <v/>
      </c>
      <c r="CE109" s="418" t="str">
        <f t="shared" ref="CE109:CE140" si="175">IF(D109&lt;E109,CONCATENATE("* El total de Procesados debe ser mayor o igual al total de Reactivos en el grupo de edad ",$D$11),"")</f>
        <v/>
      </c>
      <c r="CF109" s="418" t="str">
        <f t="shared" ref="CF109:CF140" si="176">IF(F109&lt;G109,CONCATENATE("* El total de Procesados debe ser mayor o igual al total de Reactivos en el grupo de edad ",$F$11),"")</f>
        <v/>
      </c>
      <c r="CG109" s="418" t="str">
        <f t="shared" ref="CG109:CG140" si="177">IF(H109&lt;I109,CONCATENATE("* El total de Procesados debe ser mayor o igual al total de Reactivos en el grupo de edad ",$H$11),"")</f>
        <v/>
      </c>
      <c r="CH109" s="418" t="str">
        <f>IF(J109&lt;K109,CONCATENATE("* El total de Procesados debe ser mayor o igual al total de Reactivos en el grupo de edad ",$J$11),"")</f>
        <v/>
      </c>
      <c r="CI109" s="418" t="str">
        <f>IF(L109&lt;M109,CONCATENATE("* El total de Procesados debe ser mayor o igual al total de Reactivos en el grupo de edad ",$L$11),"")</f>
        <v/>
      </c>
      <c r="CJ109" s="418" t="str">
        <f t="shared" si="139"/>
        <v/>
      </c>
      <c r="CK109" s="418" t="str">
        <f t="shared" si="140"/>
        <v/>
      </c>
      <c r="CL109" s="418" t="str">
        <f t="shared" si="141"/>
        <v/>
      </c>
      <c r="CM109" s="418" t="str">
        <f t="shared" si="142"/>
        <v/>
      </c>
      <c r="CN109" s="418" t="str">
        <f t="shared" si="143"/>
        <v/>
      </c>
      <c r="CO109" s="418" t="str">
        <f t="shared" si="144"/>
        <v/>
      </c>
      <c r="CP109" s="418" t="str">
        <f t="shared" si="145"/>
        <v/>
      </c>
      <c r="CQ109" s="418" t="str">
        <f t="shared" si="146"/>
        <v/>
      </c>
      <c r="CR109" s="418" t="str">
        <f t="shared" si="147"/>
        <v/>
      </c>
      <c r="CS109" s="418" t="str">
        <f t="shared" si="148"/>
        <v/>
      </c>
      <c r="CT109" s="418" t="str">
        <f t="shared" si="149"/>
        <v/>
      </c>
      <c r="CU109" s="418" t="str">
        <f t="shared" si="150"/>
        <v/>
      </c>
      <c r="CV109" s="418" t="str">
        <f t="shared" si="151"/>
        <v/>
      </c>
      <c r="CW109" s="418" t="str">
        <f t="shared" si="152"/>
        <v/>
      </c>
      <c r="CX109" s="418" t="str">
        <f t="shared" si="153"/>
        <v/>
      </c>
      <c r="DE109" s="417"/>
      <c r="DF109" s="3389">
        <f t="shared" si="174"/>
        <v>0</v>
      </c>
      <c r="DG109" s="3375">
        <f t="shared" si="155"/>
        <v>0</v>
      </c>
      <c r="DH109" s="3375">
        <f t="shared" si="156"/>
        <v>0</v>
      </c>
      <c r="DI109" s="3375">
        <f t="shared" si="157"/>
        <v>0</v>
      </c>
      <c r="DJ109" s="3375">
        <f t="shared" ref="DJ109:DJ140" si="178">IF(D109&lt;E109,1,0)</f>
        <v>0</v>
      </c>
      <c r="DK109" s="3375">
        <f t="shared" ref="DK109:DK140" si="179">IF(F109&lt;G109,1,0)</f>
        <v>0</v>
      </c>
      <c r="DL109" s="3375">
        <f t="shared" ref="DL109:DL140" si="180">IF(H109&lt;I109,1,0)</f>
        <v>0</v>
      </c>
      <c r="DM109" s="3375">
        <f>IF(J109&lt;K109,1,0)</f>
        <v>0</v>
      </c>
      <c r="DN109" s="3375">
        <f>IF(L109&lt;M109,1,0)</f>
        <v>0</v>
      </c>
      <c r="DO109" s="3375">
        <f t="shared" si="158"/>
        <v>0</v>
      </c>
      <c r="DP109" s="3375">
        <f t="shared" si="159"/>
        <v>0</v>
      </c>
      <c r="DQ109" s="3375">
        <f t="shared" si="160"/>
        <v>0</v>
      </c>
      <c r="DR109" s="3375">
        <f t="shared" si="161"/>
        <v>0</v>
      </c>
      <c r="DS109" s="3375">
        <f t="shared" si="162"/>
        <v>0</v>
      </c>
      <c r="DT109" s="3375">
        <f t="shared" si="163"/>
        <v>0</v>
      </c>
      <c r="DU109" s="3375">
        <f t="shared" si="164"/>
        <v>0</v>
      </c>
      <c r="DV109" s="3375">
        <f t="shared" si="165"/>
        <v>0</v>
      </c>
      <c r="DW109" s="3375">
        <f t="shared" si="166"/>
        <v>0</v>
      </c>
      <c r="DX109" s="3375">
        <f t="shared" si="167"/>
        <v>0</v>
      </c>
      <c r="DY109" s="3375">
        <f t="shared" si="168"/>
        <v>0</v>
      </c>
      <c r="DZ109" s="3375">
        <f t="shared" si="169"/>
        <v>0</v>
      </c>
      <c r="EA109" s="3375">
        <f t="shared" si="170"/>
        <v>0</v>
      </c>
      <c r="EB109" s="3375">
        <f t="shared" si="171"/>
        <v>0</v>
      </c>
      <c r="EC109" s="3375">
        <f t="shared" si="172"/>
        <v>0</v>
      </c>
    </row>
    <row r="110" spans="1:133" ht="21">
      <c r="A110" s="2237" t="s">
        <v>1948</v>
      </c>
      <c r="B110" s="1737">
        <f>+D110+F110+H110</f>
        <v>0</v>
      </c>
      <c r="C110" s="1739">
        <f>+E110+G110+I110</f>
        <v>0</v>
      </c>
      <c r="D110" s="423"/>
      <c r="E110" s="3376"/>
      <c r="F110" s="425"/>
      <c r="G110" s="3376"/>
      <c r="H110" s="425"/>
      <c r="I110" s="424"/>
      <c r="J110" s="3377"/>
      <c r="K110" s="3378"/>
      <c r="L110" s="3377"/>
      <c r="M110" s="3378"/>
      <c r="N110" s="3377"/>
      <c r="O110" s="3378"/>
      <c r="P110" s="3377"/>
      <c r="Q110" s="3378"/>
      <c r="R110" s="3377"/>
      <c r="S110" s="3378"/>
      <c r="T110" s="3377"/>
      <c r="U110" s="3378"/>
      <c r="V110" s="3377"/>
      <c r="W110" s="3378"/>
      <c r="X110" s="3377"/>
      <c r="Y110" s="3378"/>
      <c r="Z110" s="3377"/>
      <c r="AA110" s="3378"/>
      <c r="AB110" s="3377"/>
      <c r="AC110" s="3378"/>
      <c r="AD110" s="3377"/>
      <c r="AE110" s="3378"/>
      <c r="AF110" s="3377"/>
      <c r="AG110" s="3378"/>
      <c r="AH110" s="3377"/>
      <c r="AI110" s="3378"/>
      <c r="AJ110" s="3377"/>
      <c r="AK110" s="3378"/>
      <c r="AL110" s="3377"/>
      <c r="AM110" s="3378"/>
      <c r="AN110" s="3377"/>
      <c r="AO110" s="3378"/>
      <c r="AP110" s="3377"/>
      <c r="AQ110" s="3379"/>
      <c r="AR110" s="423"/>
      <c r="AS110" s="426"/>
      <c r="AT110" s="3372"/>
      <c r="AU110" s="426"/>
      <c r="AV110" s="3392"/>
      <c r="AW110" s="2231"/>
      <c r="AX110" s="3373" t="str">
        <f>$CA110&amp;CB110&amp;CC110&amp;$CD110&amp;CE110&amp;CF110&amp;CG110</f>
        <v/>
      </c>
      <c r="CA110" s="418" t="str">
        <f t="shared" ref="CA110:CA118" si="181">IF(B110&lt;&gt;(AS110+AR110)," * La suma de las columnas "&amp;AR$10&amp;""&amp;" DEBE SER IGUAL a los Exámenes Procesados. ","")</f>
        <v/>
      </c>
      <c r="CB110" s="418" t="str">
        <f t="shared" si="136"/>
        <v/>
      </c>
      <c r="CC110" s="418" t="str">
        <f t="shared" si="137"/>
        <v/>
      </c>
      <c r="CD110" s="418" t="str">
        <f t="shared" si="138"/>
        <v/>
      </c>
      <c r="CE110" s="418" t="str">
        <f t="shared" si="175"/>
        <v/>
      </c>
      <c r="CF110" s="418" t="str">
        <f t="shared" si="176"/>
        <v/>
      </c>
      <c r="CG110" s="418" t="str">
        <f t="shared" si="177"/>
        <v/>
      </c>
      <c r="CH110" s="3380"/>
      <c r="CI110" s="3380"/>
      <c r="CJ110" s="3381"/>
      <c r="CK110" s="3380"/>
      <c r="CL110" s="3380"/>
      <c r="CM110" s="3380"/>
      <c r="CN110" s="3380"/>
      <c r="CO110" s="3380"/>
      <c r="CP110" s="3380"/>
      <c r="CQ110" s="3380"/>
      <c r="CR110" s="3380"/>
      <c r="CS110" s="3380"/>
      <c r="CT110" s="3380"/>
      <c r="CU110" s="3380"/>
      <c r="CV110" s="3380"/>
      <c r="CW110" s="3380"/>
      <c r="CX110" s="3380"/>
      <c r="DE110" s="417"/>
      <c r="DF110" s="3389">
        <f t="shared" ref="DF110:DF118" si="182">IF(B110&lt;&gt;(AS110+AR110),1,0)</f>
        <v>0</v>
      </c>
      <c r="DG110" s="3375">
        <f t="shared" si="155"/>
        <v>0</v>
      </c>
      <c r="DH110" s="3375">
        <f t="shared" si="156"/>
        <v>0</v>
      </c>
      <c r="DI110" s="3375">
        <f t="shared" si="157"/>
        <v>0</v>
      </c>
      <c r="DJ110" s="3375">
        <f t="shared" si="178"/>
        <v>0</v>
      </c>
      <c r="DK110" s="3375">
        <f t="shared" si="179"/>
        <v>0</v>
      </c>
      <c r="DL110" s="3375">
        <f t="shared" si="180"/>
        <v>0</v>
      </c>
      <c r="DM110" s="3380"/>
      <c r="DN110" s="3380"/>
      <c r="DO110" s="3374"/>
      <c r="DP110" s="3374"/>
      <c r="DQ110" s="3374"/>
      <c r="DR110" s="3374"/>
      <c r="DS110" s="3374"/>
      <c r="DT110" s="3374"/>
      <c r="DU110" s="3374"/>
      <c r="DV110" s="3374"/>
      <c r="DW110" s="3374"/>
      <c r="DX110" s="3374"/>
      <c r="DY110" s="3374"/>
      <c r="DZ110" s="3374"/>
      <c r="EA110" s="3374"/>
      <c r="EB110" s="3374"/>
      <c r="EC110" s="3374"/>
    </row>
    <row r="111" spans="1:133">
      <c r="A111" s="2237" t="s">
        <v>1949</v>
      </c>
      <c r="B111" s="1737">
        <f>+P111+R111+T111+V111+X111+Z111+AB111+AD111+AF111+AH111+AJ111+AL111+AN111+AP111</f>
        <v>0</v>
      </c>
      <c r="C111" s="1739">
        <f>+Q111+S111+U111+W111+Y111+AA111+AC111+AE111+AG111+AI111+AK111+AM111+AO111+AQ111</f>
        <v>0</v>
      </c>
      <c r="D111" s="2880"/>
      <c r="E111" s="2885"/>
      <c r="F111" s="2381"/>
      <c r="G111" s="2885"/>
      <c r="H111" s="2381"/>
      <c r="I111" s="2885"/>
      <c r="J111" s="2381"/>
      <c r="K111" s="2885"/>
      <c r="L111" s="2381"/>
      <c r="M111" s="2382"/>
      <c r="N111" s="2880"/>
      <c r="O111" s="2885"/>
      <c r="P111" s="425"/>
      <c r="Q111" s="3376"/>
      <c r="R111" s="425"/>
      <c r="S111" s="3376"/>
      <c r="T111" s="425"/>
      <c r="U111" s="3376"/>
      <c r="V111" s="425"/>
      <c r="W111" s="3376"/>
      <c r="X111" s="425"/>
      <c r="Y111" s="3376"/>
      <c r="Z111" s="425"/>
      <c r="AA111" s="3376"/>
      <c r="AB111" s="425"/>
      <c r="AC111" s="3376"/>
      <c r="AD111" s="425"/>
      <c r="AE111" s="3376"/>
      <c r="AF111" s="425"/>
      <c r="AG111" s="3376"/>
      <c r="AH111" s="425"/>
      <c r="AI111" s="3376"/>
      <c r="AJ111" s="425"/>
      <c r="AK111" s="3376"/>
      <c r="AL111" s="425"/>
      <c r="AM111" s="3376"/>
      <c r="AN111" s="425"/>
      <c r="AO111" s="3376"/>
      <c r="AP111" s="425"/>
      <c r="AQ111" s="426"/>
      <c r="AR111" s="423"/>
      <c r="AS111" s="426"/>
      <c r="AT111" s="3372"/>
      <c r="AU111" s="426"/>
      <c r="AV111" s="3392"/>
      <c r="AW111" s="2231"/>
      <c r="AX111" s="3373" t="str">
        <f>$CA111&amp;CB111&amp;CC111&amp;$CD111&amp;CK111&amp;CL111&amp;CM111&amp;CN111&amp;CO111&amp;CP111&amp;CQ111&amp;CR111&amp;CS111&amp;CT111&amp;CU111&amp;CV111&amp;CW111&amp;CX111</f>
        <v/>
      </c>
      <c r="CA111" s="418" t="str">
        <f t="shared" si="181"/>
        <v/>
      </c>
      <c r="CB111" s="418" t="str">
        <f t="shared" si="136"/>
        <v/>
      </c>
      <c r="CC111" s="418" t="str">
        <f t="shared" si="137"/>
        <v/>
      </c>
      <c r="CD111" s="418" t="str">
        <f t="shared" si="138"/>
        <v/>
      </c>
      <c r="CE111" s="3381"/>
      <c r="CF111" s="3381"/>
      <c r="CG111" s="3380"/>
      <c r="CH111" s="3380"/>
      <c r="CI111" s="3380"/>
      <c r="CJ111" s="3381"/>
      <c r="CK111" s="418" t="str">
        <f t="shared" si="140"/>
        <v/>
      </c>
      <c r="CL111" s="418" t="str">
        <f t="shared" si="141"/>
        <v/>
      </c>
      <c r="CM111" s="418" t="str">
        <f t="shared" si="142"/>
        <v/>
      </c>
      <c r="CN111" s="418" t="str">
        <f t="shared" si="143"/>
        <v/>
      </c>
      <c r="CO111" s="418" t="str">
        <f t="shared" si="144"/>
        <v/>
      </c>
      <c r="CP111" s="418" t="str">
        <f t="shared" si="145"/>
        <v/>
      </c>
      <c r="CQ111" s="418" t="str">
        <f t="shared" si="146"/>
        <v/>
      </c>
      <c r="CR111" s="418" t="str">
        <f t="shared" si="147"/>
        <v/>
      </c>
      <c r="CS111" s="418" t="str">
        <f t="shared" si="148"/>
        <v/>
      </c>
      <c r="CT111" s="418" t="str">
        <f t="shared" si="149"/>
        <v/>
      </c>
      <c r="CU111" s="418" t="str">
        <f t="shared" si="150"/>
        <v/>
      </c>
      <c r="CV111" s="418" t="str">
        <f t="shared" si="151"/>
        <v/>
      </c>
      <c r="CW111" s="418" t="str">
        <f t="shared" si="152"/>
        <v/>
      </c>
      <c r="CX111" s="418" t="str">
        <f t="shared" si="153"/>
        <v/>
      </c>
      <c r="DE111" s="417"/>
      <c r="DF111" s="3389">
        <f t="shared" si="182"/>
        <v>0</v>
      </c>
      <c r="DG111" s="3375">
        <f t="shared" si="155"/>
        <v>0</v>
      </c>
      <c r="DH111" s="3375">
        <f t="shared" si="156"/>
        <v>0</v>
      </c>
      <c r="DI111" s="3375">
        <f t="shared" si="157"/>
        <v>0</v>
      </c>
      <c r="DJ111" s="3380"/>
      <c r="DK111" s="3380"/>
      <c r="DL111" s="3380"/>
      <c r="DM111" s="3380"/>
      <c r="DN111" s="3380"/>
      <c r="DO111" s="3374"/>
      <c r="DP111" s="3375">
        <f t="shared" si="159"/>
        <v>0</v>
      </c>
      <c r="DQ111" s="3375">
        <f t="shared" si="160"/>
        <v>0</v>
      </c>
      <c r="DR111" s="3375">
        <f t="shared" si="161"/>
        <v>0</v>
      </c>
      <c r="DS111" s="3375">
        <f t="shared" si="162"/>
        <v>0</v>
      </c>
      <c r="DT111" s="3375">
        <f t="shared" si="163"/>
        <v>0</v>
      </c>
      <c r="DU111" s="3375">
        <f t="shared" si="164"/>
        <v>0</v>
      </c>
      <c r="DV111" s="3375">
        <f t="shared" si="165"/>
        <v>0</v>
      </c>
      <c r="DW111" s="3375">
        <f t="shared" si="166"/>
        <v>0</v>
      </c>
      <c r="DX111" s="3375">
        <f t="shared" si="167"/>
        <v>0</v>
      </c>
      <c r="DY111" s="3375">
        <f t="shared" si="168"/>
        <v>0</v>
      </c>
      <c r="DZ111" s="3375">
        <f t="shared" si="169"/>
        <v>0</v>
      </c>
      <c r="EA111" s="3375">
        <f t="shared" si="170"/>
        <v>0</v>
      </c>
      <c r="EB111" s="3375">
        <f t="shared" si="171"/>
        <v>0</v>
      </c>
      <c r="EC111" s="3375">
        <f t="shared" si="172"/>
        <v>0</v>
      </c>
    </row>
    <row r="112" spans="1:133">
      <c r="A112" s="420" t="s">
        <v>1950</v>
      </c>
      <c r="B112" s="1737">
        <f>+N112+P112+R112+T112+V112+X112+Z112+AB112+AD112+AF112+AH112+AJ112+AL112+AN112+AP112</f>
        <v>0</v>
      </c>
      <c r="C112" s="1739">
        <f>+O112+Q112+S112+U112+W112+Y112+AA112+AC112+AE112+AG112+AI112+AK112+AM112+AO112+AQ112</f>
        <v>0</v>
      </c>
      <c r="D112" s="3371"/>
      <c r="E112" s="3378"/>
      <c r="F112" s="3377"/>
      <c r="G112" s="3378"/>
      <c r="H112" s="3377"/>
      <c r="I112" s="3382"/>
      <c r="J112" s="3371"/>
      <c r="K112" s="3371"/>
      <c r="L112" s="3377"/>
      <c r="M112" s="3382"/>
      <c r="N112" s="423"/>
      <c r="O112" s="3376"/>
      <c r="P112" s="425"/>
      <c r="Q112" s="3376"/>
      <c r="R112" s="425"/>
      <c r="S112" s="3376"/>
      <c r="T112" s="425"/>
      <c r="U112" s="3376"/>
      <c r="V112" s="425"/>
      <c r="W112" s="3376"/>
      <c r="X112" s="425"/>
      <c r="Y112" s="3376"/>
      <c r="Z112" s="425"/>
      <c r="AA112" s="3376"/>
      <c r="AB112" s="425"/>
      <c r="AC112" s="3376"/>
      <c r="AD112" s="425"/>
      <c r="AE112" s="3376"/>
      <c r="AF112" s="425"/>
      <c r="AG112" s="3376"/>
      <c r="AH112" s="425"/>
      <c r="AI112" s="3376"/>
      <c r="AJ112" s="425"/>
      <c r="AK112" s="3376"/>
      <c r="AL112" s="425"/>
      <c r="AM112" s="3376"/>
      <c r="AN112" s="425"/>
      <c r="AO112" s="3376"/>
      <c r="AP112" s="425"/>
      <c r="AQ112" s="426"/>
      <c r="AR112" s="423"/>
      <c r="AS112" s="426"/>
      <c r="AT112" s="3372"/>
      <c r="AU112" s="426"/>
      <c r="AV112" s="3392"/>
      <c r="AW112" s="2231"/>
      <c r="AX112" s="3373" t="str">
        <f>$CA112&amp;CB112&amp;CC112&amp;$CD112&amp;CJ112&amp;CK112&amp;CL112&amp;CM112&amp;CN112&amp;CO112&amp;CP112&amp;CQ112&amp;CR112&amp;CS112&amp;CT112&amp;CU112&amp;CV112&amp;CW112&amp;CX112</f>
        <v/>
      </c>
      <c r="CA112" s="418" t="str">
        <f t="shared" si="181"/>
        <v/>
      </c>
      <c r="CB112" s="418" t="str">
        <f t="shared" si="136"/>
        <v/>
      </c>
      <c r="CC112" s="418" t="str">
        <f t="shared" si="137"/>
        <v/>
      </c>
      <c r="CD112" s="418" t="str">
        <f t="shared" si="138"/>
        <v/>
      </c>
      <c r="CE112" s="3381"/>
      <c r="CF112" s="3381"/>
      <c r="CG112" s="3380"/>
      <c r="CH112" s="3380"/>
      <c r="CI112" s="3380"/>
      <c r="CJ112" s="418" t="str">
        <f t="shared" si="139"/>
        <v/>
      </c>
      <c r="CK112" s="418" t="str">
        <f t="shared" si="140"/>
        <v/>
      </c>
      <c r="CL112" s="418" t="str">
        <f t="shared" si="141"/>
        <v/>
      </c>
      <c r="CM112" s="418" t="str">
        <f t="shared" si="142"/>
        <v/>
      </c>
      <c r="CN112" s="418" t="str">
        <f t="shared" si="143"/>
        <v/>
      </c>
      <c r="CO112" s="418" t="str">
        <f t="shared" si="144"/>
        <v/>
      </c>
      <c r="CP112" s="418" t="str">
        <f t="shared" si="145"/>
        <v/>
      </c>
      <c r="CQ112" s="418" t="str">
        <f t="shared" si="146"/>
        <v/>
      </c>
      <c r="CR112" s="418" t="str">
        <f t="shared" si="147"/>
        <v/>
      </c>
      <c r="CS112" s="418" t="str">
        <f t="shared" si="148"/>
        <v/>
      </c>
      <c r="CT112" s="418" t="str">
        <f t="shared" si="149"/>
        <v/>
      </c>
      <c r="CU112" s="418" t="str">
        <f t="shared" si="150"/>
        <v/>
      </c>
      <c r="CV112" s="418" t="str">
        <f t="shared" si="151"/>
        <v/>
      </c>
      <c r="CW112" s="418" t="str">
        <f t="shared" si="152"/>
        <v/>
      </c>
      <c r="CX112" s="418" t="str">
        <f t="shared" si="153"/>
        <v/>
      </c>
      <c r="DE112" s="417"/>
      <c r="DF112" s="3389">
        <f t="shared" si="182"/>
        <v>0</v>
      </c>
      <c r="DG112" s="3375">
        <f t="shared" si="155"/>
        <v>0</v>
      </c>
      <c r="DH112" s="3375">
        <f t="shared" si="156"/>
        <v>0</v>
      </c>
      <c r="DI112" s="3375">
        <f t="shared" si="157"/>
        <v>0</v>
      </c>
      <c r="DJ112" s="3380"/>
      <c r="DK112" s="3380"/>
      <c r="DL112" s="3380"/>
      <c r="DM112" s="3380"/>
      <c r="DN112" s="3380"/>
      <c r="DO112" s="3375">
        <f t="shared" si="158"/>
        <v>0</v>
      </c>
      <c r="DP112" s="3375">
        <f t="shared" si="159"/>
        <v>0</v>
      </c>
      <c r="DQ112" s="3375">
        <f t="shared" si="160"/>
        <v>0</v>
      </c>
      <c r="DR112" s="3375">
        <f t="shared" si="161"/>
        <v>0</v>
      </c>
      <c r="DS112" s="3375">
        <f t="shared" si="162"/>
        <v>0</v>
      </c>
      <c r="DT112" s="3375">
        <f t="shared" si="163"/>
        <v>0</v>
      </c>
      <c r="DU112" s="3375">
        <f t="shared" si="164"/>
        <v>0</v>
      </c>
      <c r="DV112" s="3375">
        <f t="shared" si="165"/>
        <v>0</v>
      </c>
      <c r="DW112" s="3375">
        <f t="shared" si="166"/>
        <v>0</v>
      </c>
      <c r="DX112" s="3375">
        <f t="shared" si="167"/>
        <v>0</v>
      </c>
      <c r="DY112" s="3375">
        <f t="shared" si="168"/>
        <v>0</v>
      </c>
      <c r="DZ112" s="3375">
        <f t="shared" si="169"/>
        <v>0</v>
      </c>
      <c r="EA112" s="3375">
        <f t="shared" si="170"/>
        <v>0</v>
      </c>
      <c r="EB112" s="3375">
        <f t="shared" si="171"/>
        <v>0</v>
      </c>
      <c r="EC112" s="3375">
        <f t="shared" si="172"/>
        <v>0</v>
      </c>
    </row>
    <row r="113" spans="1:133">
      <c r="A113" s="420" t="s">
        <v>1951</v>
      </c>
      <c r="B113" s="1737">
        <f>+D113+F113+H113+J113+L113+N113+P113+R113+T113+V113+X113+Z113+AB113+AD113+AF113+AH113+AJ113+AL113+AN113+AP113</f>
        <v>0</v>
      </c>
      <c r="C113" s="1739">
        <f>+E113+G113+I113+K113+M113+O113+Q113+S113+U113+W113+Y113+AA113+AC113+AE113+AG113+AI113+AK113+AM113+AO113+AQ113</f>
        <v>0</v>
      </c>
      <c r="D113" s="423"/>
      <c r="E113" s="3376"/>
      <c r="F113" s="425"/>
      <c r="G113" s="3376"/>
      <c r="H113" s="425"/>
      <c r="I113" s="424"/>
      <c r="J113" s="423"/>
      <c r="K113" s="423"/>
      <c r="L113" s="425"/>
      <c r="M113" s="424"/>
      <c r="N113" s="423"/>
      <c r="O113" s="3376"/>
      <c r="P113" s="425"/>
      <c r="Q113" s="3376"/>
      <c r="R113" s="425"/>
      <c r="S113" s="3376"/>
      <c r="T113" s="425"/>
      <c r="U113" s="3376"/>
      <c r="V113" s="425"/>
      <c r="W113" s="3376"/>
      <c r="X113" s="425"/>
      <c r="Y113" s="3376"/>
      <c r="Z113" s="425"/>
      <c r="AA113" s="3376"/>
      <c r="AB113" s="425"/>
      <c r="AC113" s="3376"/>
      <c r="AD113" s="425"/>
      <c r="AE113" s="3376"/>
      <c r="AF113" s="425"/>
      <c r="AG113" s="3376"/>
      <c r="AH113" s="425"/>
      <c r="AI113" s="3376"/>
      <c r="AJ113" s="425"/>
      <c r="AK113" s="3376"/>
      <c r="AL113" s="425"/>
      <c r="AM113" s="3376"/>
      <c r="AN113" s="425"/>
      <c r="AO113" s="3376"/>
      <c r="AP113" s="425"/>
      <c r="AQ113" s="426"/>
      <c r="AR113" s="423"/>
      <c r="AS113" s="426"/>
      <c r="AT113" s="3372"/>
      <c r="AU113" s="426"/>
      <c r="AV113" s="3392"/>
      <c r="AW113" s="2231"/>
      <c r="AX113" s="3373" t="str">
        <f>$CA113&amp;CB113&amp;CC113&amp;$CD113&amp;CE113&amp;CF113&amp;CG113&amp;CH113&amp;CI113&amp;CJ113&amp;CK113&amp;CL113&amp;CM113&amp;CN113&amp;CO113&amp;CP113&amp;CQ113&amp;CR113&amp;CS113&amp;CT113&amp;CU113&amp;CV113&amp;CW113&amp;CX113</f>
        <v/>
      </c>
      <c r="CA113" s="418" t="str">
        <f t="shared" si="181"/>
        <v/>
      </c>
      <c r="CB113" s="418" t="str">
        <f t="shared" si="136"/>
        <v/>
      </c>
      <c r="CC113" s="418" t="str">
        <f t="shared" si="137"/>
        <v/>
      </c>
      <c r="CD113" s="418" t="str">
        <f t="shared" si="138"/>
        <v/>
      </c>
      <c r="CE113" s="418" t="str">
        <f t="shared" si="175"/>
        <v/>
      </c>
      <c r="CF113" s="418" t="str">
        <f t="shared" si="176"/>
        <v/>
      </c>
      <c r="CG113" s="418" t="str">
        <f t="shared" si="177"/>
        <v/>
      </c>
      <c r="CH113" s="418" t="str">
        <f>IF(J113&lt;K113,CONCATENATE("* El total de Procesados debe ser mayor o igual al total de Reactivos en el grupo de edad ",$J$11),"")</f>
        <v/>
      </c>
      <c r="CI113" s="418" t="str">
        <f>IF(L113&lt;M113,CONCATENATE("* El total de Procesados debe ser mayor o igual al total de Reactivos en el grupo de edad ",$L$11),"")</f>
        <v/>
      </c>
      <c r="CJ113" s="418" t="str">
        <f t="shared" si="139"/>
        <v/>
      </c>
      <c r="CK113" s="418" t="str">
        <f t="shared" si="140"/>
        <v/>
      </c>
      <c r="CL113" s="418" t="str">
        <f t="shared" si="141"/>
        <v/>
      </c>
      <c r="CM113" s="418" t="str">
        <f t="shared" si="142"/>
        <v/>
      </c>
      <c r="CN113" s="418" t="str">
        <f t="shared" si="143"/>
        <v/>
      </c>
      <c r="CO113" s="418" t="str">
        <f t="shared" si="144"/>
        <v/>
      </c>
      <c r="CP113" s="418" t="str">
        <f t="shared" si="145"/>
        <v/>
      </c>
      <c r="CQ113" s="418" t="str">
        <f t="shared" si="146"/>
        <v/>
      </c>
      <c r="CR113" s="418" t="str">
        <f t="shared" si="147"/>
        <v/>
      </c>
      <c r="CS113" s="418" t="str">
        <f t="shared" si="148"/>
        <v/>
      </c>
      <c r="CT113" s="418" t="str">
        <f t="shared" si="149"/>
        <v/>
      </c>
      <c r="CU113" s="418" t="str">
        <f t="shared" si="150"/>
        <v/>
      </c>
      <c r="CV113" s="418" t="str">
        <f t="shared" si="151"/>
        <v/>
      </c>
      <c r="CW113" s="418" t="str">
        <f t="shared" si="152"/>
        <v/>
      </c>
      <c r="CX113" s="418" t="str">
        <f t="shared" si="153"/>
        <v/>
      </c>
      <c r="DE113" s="417"/>
      <c r="DF113" s="3389">
        <f t="shared" si="182"/>
        <v>0</v>
      </c>
      <c r="DG113" s="3375">
        <f t="shared" si="155"/>
        <v>0</v>
      </c>
      <c r="DH113" s="3375">
        <f t="shared" si="156"/>
        <v>0</v>
      </c>
      <c r="DI113" s="3375">
        <f t="shared" si="157"/>
        <v>0</v>
      </c>
      <c r="DJ113" s="3375">
        <f t="shared" si="178"/>
        <v>0</v>
      </c>
      <c r="DK113" s="3375">
        <f t="shared" si="179"/>
        <v>0</v>
      </c>
      <c r="DL113" s="3375">
        <f t="shared" si="180"/>
        <v>0</v>
      </c>
      <c r="DM113" s="3375">
        <f>IF(J113&lt;K113,1,0)</f>
        <v>0</v>
      </c>
      <c r="DN113" s="3375">
        <f>IF(L113&lt;M113,1,0)</f>
        <v>0</v>
      </c>
      <c r="DO113" s="3375">
        <f t="shared" si="158"/>
        <v>0</v>
      </c>
      <c r="DP113" s="3375">
        <f t="shared" si="159"/>
        <v>0</v>
      </c>
      <c r="DQ113" s="3375">
        <f t="shared" si="160"/>
        <v>0</v>
      </c>
      <c r="DR113" s="3375">
        <f t="shared" si="161"/>
        <v>0</v>
      </c>
      <c r="DS113" s="3375">
        <f t="shared" si="162"/>
        <v>0</v>
      </c>
      <c r="DT113" s="3375">
        <f t="shared" si="163"/>
        <v>0</v>
      </c>
      <c r="DU113" s="3375">
        <f t="shared" si="164"/>
        <v>0</v>
      </c>
      <c r="DV113" s="3375">
        <f t="shared" si="165"/>
        <v>0</v>
      </c>
      <c r="DW113" s="3375">
        <f t="shared" si="166"/>
        <v>0</v>
      </c>
      <c r="DX113" s="3375">
        <f t="shared" si="167"/>
        <v>0</v>
      </c>
      <c r="DY113" s="3375">
        <f t="shared" si="168"/>
        <v>0</v>
      </c>
      <c r="DZ113" s="3375">
        <f t="shared" si="169"/>
        <v>0</v>
      </c>
      <c r="EA113" s="3375">
        <f t="shared" si="170"/>
        <v>0</v>
      </c>
      <c r="EB113" s="3375">
        <f t="shared" si="171"/>
        <v>0</v>
      </c>
      <c r="EC113" s="3375">
        <f t="shared" si="172"/>
        <v>0</v>
      </c>
    </row>
    <row r="114" spans="1:133">
      <c r="A114" s="2387" t="s">
        <v>1952</v>
      </c>
      <c r="B114" s="1737">
        <f>+P114+R114+T114+V114+X114+Z114+AB114+AD114+AF114+AH114+AJ114+AL114+AN114+AP114</f>
        <v>0</v>
      </c>
      <c r="C114" s="1739">
        <f>+Q114+S114+U114+W114+Y114+AA114+AC114+AE114+AG114+AI114+AK114+AM114+AO114+AQ114</f>
        <v>0</v>
      </c>
      <c r="D114" s="2880"/>
      <c r="E114" s="2885"/>
      <c r="F114" s="2381"/>
      <c r="G114" s="2885"/>
      <c r="H114" s="2381"/>
      <c r="I114" s="2885"/>
      <c r="J114" s="2381"/>
      <c r="K114" s="2885"/>
      <c r="L114" s="2381"/>
      <c r="M114" s="2382"/>
      <c r="N114" s="2880"/>
      <c r="O114" s="2885"/>
      <c r="P114" s="425"/>
      <c r="Q114" s="3376"/>
      <c r="R114" s="425"/>
      <c r="S114" s="3376"/>
      <c r="T114" s="425"/>
      <c r="U114" s="3376"/>
      <c r="V114" s="425"/>
      <c r="W114" s="3376"/>
      <c r="X114" s="425"/>
      <c r="Y114" s="3376"/>
      <c r="Z114" s="425"/>
      <c r="AA114" s="3376"/>
      <c r="AB114" s="425"/>
      <c r="AC114" s="3376"/>
      <c r="AD114" s="425"/>
      <c r="AE114" s="3376"/>
      <c r="AF114" s="425"/>
      <c r="AG114" s="3376"/>
      <c r="AH114" s="425"/>
      <c r="AI114" s="3376"/>
      <c r="AJ114" s="425"/>
      <c r="AK114" s="3376"/>
      <c r="AL114" s="425"/>
      <c r="AM114" s="3376"/>
      <c r="AN114" s="425"/>
      <c r="AO114" s="3376"/>
      <c r="AP114" s="425"/>
      <c r="AQ114" s="426"/>
      <c r="AR114" s="423"/>
      <c r="AS114" s="426"/>
      <c r="AT114" s="3372"/>
      <c r="AU114" s="426"/>
      <c r="AV114" s="3392"/>
      <c r="AW114" s="2231"/>
      <c r="AX114" s="3373" t="str">
        <f>$CA114&amp;CB114&amp;CC114&amp;$CD114&amp;CJ114&amp;CK114&amp;CL114&amp;CM114&amp;CN114&amp;CO114&amp;CP114&amp;CQ114&amp;CR114&amp;CS114&amp;CT114&amp;CU114&amp;CV114&amp;CW114&amp;CX114</f>
        <v/>
      </c>
      <c r="CA114" s="418" t="str">
        <f t="shared" si="181"/>
        <v/>
      </c>
      <c r="CB114" s="418" t="str">
        <f t="shared" si="136"/>
        <v/>
      </c>
      <c r="CC114" s="418" t="str">
        <f t="shared" si="137"/>
        <v/>
      </c>
      <c r="CD114" s="418" t="str">
        <f t="shared" si="138"/>
        <v/>
      </c>
      <c r="CE114" s="3381"/>
      <c r="CF114" s="3381"/>
      <c r="CG114" s="3380"/>
      <c r="CH114" s="3380"/>
      <c r="CI114" s="3380"/>
      <c r="CJ114" s="3381"/>
      <c r="CK114" s="418" t="str">
        <f t="shared" si="140"/>
        <v/>
      </c>
      <c r="CL114" s="418" t="str">
        <f t="shared" si="141"/>
        <v/>
      </c>
      <c r="CM114" s="418" t="str">
        <f t="shared" si="142"/>
        <v/>
      </c>
      <c r="CN114" s="418" t="str">
        <f t="shared" si="143"/>
        <v/>
      </c>
      <c r="CO114" s="418" t="str">
        <f t="shared" si="144"/>
        <v/>
      </c>
      <c r="CP114" s="418" t="str">
        <f t="shared" si="145"/>
        <v/>
      </c>
      <c r="CQ114" s="418" t="str">
        <f t="shared" si="146"/>
        <v/>
      </c>
      <c r="CR114" s="418" t="str">
        <f t="shared" si="147"/>
        <v/>
      </c>
      <c r="CS114" s="418" t="str">
        <f t="shared" si="148"/>
        <v/>
      </c>
      <c r="CT114" s="418" t="str">
        <f t="shared" si="149"/>
        <v/>
      </c>
      <c r="CU114" s="418" t="str">
        <f t="shared" si="150"/>
        <v/>
      </c>
      <c r="CV114" s="418" t="str">
        <f t="shared" si="151"/>
        <v/>
      </c>
      <c r="CW114" s="418" t="str">
        <f t="shared" si="152"/>
        <v/>
      </c>
      <c r="CX114" s="418" t="str">
        <f t="shared" si="153"/>
        <v/>
      </c>
      <c r="DE114" s="417"/>
      <c r="DF114" s="3389">
        <f t="shared" si="182"/>
        <v>0</v>
      </c>
      <c r="DG114" s="3375">
        <f t="shared" si="155"/>
        <v>0</v>
      </c>
      <c r="DH114" s="3375">
        <f t="shared" si="156"/>
        <v>0</v>
      </c>
      <c r="DI114" s="3375">
        <f t="shared" si="157"/>
        <v>0</v>
      </c>
      <c r="DJ114" s="3380"/>
      <c r="DK114" s="3380"/>
      <c r="DL114" s="3380"/>
      <c r="DM114" s="3380"/>
      <c r="DN114" s="3380"/>
      <c r="DO114" s="3374"/>
      <c r="DP114" s="3375">
        <f t="shared" si="159"/>
        <v>0</v>
      </c>
      <c r="DQ114" s="3375">
        <f t="shared" si="160"/>
        <v>0</v>
      </c>
      <c r="DR114" s="3375">
        <f t="shared" si="161"/>
        <v>0</v>
      </c>
      <c r="DS114" s="3375">
        <f t="shared" si="162"/>
        <v>0</v>
      </c>
      <c r="DT114" s="3375">
        <f t="shared" si="163"/>
        <v>0</v>
      </c>
      <c r="DU114" s="3375">
        <f t="shared" si="164"/>
        <v>0</v>
      </c>
      <c r="DV114" s="3375">
        <f t="shared" si="165"/>
        <v>0</v>
      </c>
      <c r="DW114" s="3375">
        <f t="shared" si="166"/>
        <v>0</v>
      </c>
      <c r="DX114" s="3375">
        <f t="shared" si="167"/>
        <v>0</v>
      </c>
      <c r="DY114" s="3375">
        <f t="shared" si="168"/>
        <v>0</v>
      </c>
      <c r="DZ114" s="3375">
        <f t="shared" si="169"/>
        <v>0</v>
      </c>
      <c r="EA114" s="3375">
        <f t="shared" si="170"/>
        <v>0</v>
      </c>
      <c r="EB114" s="3375">
        <f t="shared" si="171"/>
        <v>0</v>
      </c>
      <c r="EC114" s="3375">
        <f t="shared" si="172"/>
        <v>0</v>
      </c>
    </row>
    <row r="115" spans="1:133">
      <c r="A115" s="420" t="s">
        <v>1953</v>
      </c>
      <c r="B115" s="1737">
        <f>+P115+R115+T115+V115+X115+Z115+AB115+AD115+AF115+AH115</f>
        <v>0</v>
      </c>
      <c r="C115" s="1739">
        <f>+Q115+S115+U115+W115+Y115+AA115+AC115+AE115+AG115+AI115</f>
        <v>0</v>
      </c>
      <c r="D115" s="2880"/>
      <c r="E115" s="2885"/>
      <c r="F115" s="2381"/>
      <c r="G115" s="2885"/>
      <c r="H115" s="2381"/>
      <c r="I115" s="2885"/>
      <c r="J115" s="2381"/>
      <c r="K115" s="2885"/>
      <c r="L115" s="2381"/>
      <c r="M115" s="2382"/>
      <c r="N115" s="2880"/>
      <c r="O115" s="2885"/>
      <c r="P115" s="425"/>
      <c r="Q115" s="3376"/>
      <c r="R115" s="425"/>
      <c r="S115" s="3376"/>
      <c r="T115" s="425"/>
      <c r="U115" s="3376"/>
      <c r="V115" s="425"/>
      <c r="W115" s="3376"/>
      <c r="X115" s="425"/>
      <c r="Y115" s="3376"/>
      <c r="Z115" s="425"/>
      <c r="AA115" s="3376"/>
      <c r="AB115" s="425"/>
      <c r="AC115" s="3376"/>
      <c r="AD115" s="425"/>
      <c r="AE115" s="3376"/>
      <c r="AF115" s="425"/>
      <c r="AG115" s="3376"/>
      <c r="AH115" s="425"/>
      <c r="AI115" s="3376"/>
      <c r="AJ115" s="2381"/>
      <c r="AK115" s="2885"/>
      <c r="AL115" s="2381"/>
      <c r="AM115" s="2885"/>
      <c r="AN115" s="2381"/>
      <c r="AO115" s="2885"/>
      <c r="AP115" s="2381"/>
      <c r="AQ115" s="2882"/>
      <c r="AR115" s="423"/>
      <c r="AS115" s="426"/>
      <c r="AT115" s="3372"/>
      <c r="AU115" s="426"/>
      <c r="AV115" s="3392"/>
      <c r="AW115" s="2231"/>
      <c r="AX115" s="3373" t="str">
        <f>$CA115&amp;CB115&amp;CC115&amp;$CD115&amp;CK115&amp;CL115&amp;CM115&amp;CN115&amp;CO115&amp;CP115&amp;CQ115&amp;CR115&amp;CS115&amp;CT115</f>
        <v/>
      </c>
      <c r="CA115" s="418" t="str">
        <f t="shared" si="181"/>
        <v/>
      </c>
      <c r="CB115" s="418" t="str">
        <f t="shared" si="136"/>
        <v/>
      </c>
      <c r="CC115" s="418" t="str">
        <f t="shared" si="137"/>
        <v/>
      </c>
      <c r="CD115" s="418" t="str">
        <f t="shared" si="138"/>
        <v/>
      </c>
      <c r="CE115" s="3381"/>
      <c r="CF115" s="3381"/>
      <c r="CG115" s="3380"/>
      <c r="CH115" s="3380"/>
      <c r="CI115" s="3380"/>
      <c r="CJ115" s="3381"/>
      <c r="CK115" s="418" t="str">
        <f t="shared" si="140"/>
        <v/>
      </c>
      <c r="CL115" s="418" t="str">
        <f t="shared" si="141"/>
        <v/>
      </c>
      <c r="CM115" s="418" t="str">
        <f t="shared" si="142"/>
        <v/>
      </c>
      <c r="CN115" s="418" t="str">
        <f t="shared" si="143"/>
        <v/>
      </c>
      <c r="CO115" s="418" t="str">
        <f t="shared" si="144"/>
        <v/>
      </c>
      <c r="CP115" s="418" t="str">
        <f t="shared" si="145"/>
        <v/>
      </c>
      <c r="CQ115" s="418" t="str">
        <f t="shared" si="146"/>
        <v/>
      </c>
      <c r="CR115" s="418" t="str">
        <f t="shared" si="147"/>
        <v/>
      </c>
      <c r="CS115" s="418" t="str">
        <f t="shared" si="148"/>
        <v/>
      </c>
      <c r="CT115" s="418" t="str">
        <f t="shared" si="149"/>
        <v/>
      </c>
      <c r="CU115" s="3374"/>
      <c r="CV115" s="3374"/>
      <c r="CW115" s="3374"/>
      <c r="CX115" s="3374"/>
      <c r="DE115" s="417"/>
      <c r="DF115" s="3389">
        <f t="shared" si="182"/>
        <v>0</v>
      </c>
      <c r="DG115" s="3375">
        <f t="shared" si="155"/>
        <v>0</v>
      </c>
      <c r="DH115" s="3375">
        <f t="shared" si="156"/>
        <v>0</v>
      </c>
      <c r="DI115" s="3375">
        <f t="shared" si="157"/>
        <v>0</v>
      </c>
      <c r="DJ115" s="3380"/>
      <c r="DK115" s="3380"/>
      <c r="DL115" s="3380"/>
      <c r="DM115" s="3380"/>
      <c r="DN115" s="3380"/>
      <c r="DO115" s="3374"/>
      <c r="DP115" s="3375">
        <f t="shared" si="159"/>
        <v>0</v>
      </c>
      <c r="DQ115" s="3375">
        <f t="shared" si="160"/>
        <v>0</v>
      </c>
      <c r="DR115" s="3375">
        <f t="shared" si="161"/>
        <v>0</v>
      </c>
      <c r="DS115" s="3375">
        <f t="shared" si="162"/>
        <v>0</v>
      </c>
      <c r="DT115" s="3375">
        <f t="shared" si="163"/>
        <v>0</v>
      </c>
      <c r="DU115" s="3375">
        <f t="shared" si="164"/>
        <v>0</v>
      </c>
      <c r="DV115" s="3375">
        <f t="shared" si="165"/>
        <v>0</v>
      </c>
      <c r="DW115" s="3375">
        <f t="shared" si="166"/>
        <v>0</v>
      </c>
      <c r="DX115" s="3375">
        <f t="shared" si="167"/>
        <v>0</v>
      </c>
      <c r="DY115" s="3375">
        <f t="shared" si="168"/>
        <v>0</v>
      </c>
      <c r="DZ115" s="3374"/>
      <c r="EA115" s="3374"/>
      <c r="EB115" s="3374"/>
      <c r="EC115" s="3374"/>
    </row>
    <row r="116" spans="1:133">
      <c r="A116" s="420" t="s">
        <v>1954</v>
      </c>
      <c r="B116" s="1737">
        <f t="shared" ref="B116:C118" si="183">+D116+F116+H116+J116+L116+N116+P116+R116+T116+V116+X116+Z116+AB116+AD116+AF116+AH116+AJ116+AL116+AN116+AP116</f>
        <v>0</v>
      </c>
      <c r="C116" s="1739">
        <f t="shared" si="183"/>
        <v>0</v>
      </c>
      <c r="D116" s="423"/>
      <c r="E116" s="3376"/>
      <c r="F116" s="425"/>
      <c r="G116" s="3376"/>
      <c r="H116" s="425"/>
      <c r="I116" s="424"/>
      <c r="J116" s="423"/>
      <c r="K116" s="423"/>
      <c r="L116" s="425"/>
      <c r="M116" s="424"/>
      <c r="N116" s="423"/>
      <c r="O116" s="3376"/>
      <c r="P116" s="425"/>
      <c r="Q116" s="3376"/>
      <c r="R116" s="425"/>
      <c r="S116" s="3376"/>
      <c r="T116" s="425"/>
      <c r="U116" s="3376"/>
      <c r="V116" s="425"/>
      <c r="W116" s="3376"/>
      <c r="X116" s="425"/>
      <c r="Y116" s="3376"/>
      <c r="Z116" s="425"/>
      <c r="AA116" s="3376"/>
      <c r="AB116" s="425"/>
      <c r="AC116" s="3376"/>
      <c r="AD116" s="425"/>
      <c r="AE116" s="3376"/>
      <c r="AF116" s="425"/>
      <c r="AG116" s="3376"/>
      <c r="AH116" s="425"/>
      <c r="AI116" s="3376"/>
      <c r="AJ116" s="425"/>
      <c r="AK116" s="3376"/>
      <c r="AL116" s="425"/>
      <c r="AM116" s="3376"/>
      <c r="AN116" s="425"/>
      <c r="AO116" s="3376"/>
      <c r="AP116" s="425"/>
      <c r="AQ116" s="426"/>
      <c r="AR116" s="423"/>
      <c r="AS116" s="426"/>
      <c r="AT116" s="3372"/>
      <c r="AU116" s="426"/>
      <c r="AV116" s="3392"/>
      <c r="AW116" s="2231"/>
      <c r="AX116" s="3373" t="str">
        <f t="shared" ref="AX116:AX118" si="184">$CA116&amp;CB116&amp;CC116&amp;$CD116&amp;CJ116&amp;CK116&amp;CL116&amp;CM116&amp;CN116&amp;CO116&amp;CP116&amp;CQ116&amp;CR116&amp;CS116&amp;CT116&amp;CU116&amp;CV116&amp;CW116&amp;CX116&amp;CE116&amp;CF116&amp;CG116&amp;CH116&amp;CI116</f>
        <v/>
      </c>
      <c r="CA116" s="418" t="str">
        <f t="shared" si="181"/>
        <v/>
      </c>
      <c r="CB116" s="418" t="str">
        <f t="shared" si="136"/>
        <v/>
      </c>
      <c r="CC116" s="418" t="str">
        <f t="shared" si="137"/>
        <v/>
      </c>
      <c r="CD116" s="418" t="str">
        <f t="shared" si="138"/>
        <v/>
      </c>
      <c r="CE116" s="418" t="str">
        <f t="shared" si="175"/>
        <v/>
      </c>
      <c r="CF116" s="418" t="str">
        <f t="shared" si="176"/>
        <v/>
      </c>
      <c r="CG116" s="418" t="str">
        <f t="shared" si="177"/>
        <v/>
      </c>
      <c r="CH116" s="418" t="str">
        <f t="shared" ref="CH116:CH140" si="185">IF(J116&lt;K116,CONCATENATE("* El total de Procesados debe ser mayor o igual al total de Reactivos en el grupo de edad ",$J$11),"")</f>
        <v/>
      </c>
      <c r="CI116" s="418" t="str">
        <f t="shared" ref="CI116:CI140" si="186">IF(L116&lt;M116,CONCATENATE("* El total de Procesados debe ser mayor o igual al total de Reactivos en el grupo de edad ",$L$11),"")</f>
        <v/>
      </c>
      <c r="CJ116" s="418" t="str">
        <f t="shared" si="139"/>
        <v/>
      </c>
      <c r="CK116" s="418" t="str">
        <f t="shared" si="140"/>
        <v/>
      </c>
      <c r="CL116" s="418" t="str">
        <f t="shared" si="141"/>
        <v/>
      </c>
      <c r="CM116" s="418" t="str">
        <f t="shared" si="142"/>
        <v/>
      </c>
      <c r="CN116" s="418" t="str">
        <f t="shared" si="143"/>
        <v/>
      </c>
      <c r="CO116" s="418" t="str">
        <f t="shared" si="144"/>
        <v/>
      </c>
      <c r="CP116" s="418" t="str">
        <f t="shared" si="145"/>
        <v/>
      </c>
      <c r="CQ116" s="418" t="str">
        <f t="shared" si="146"/>
        <v/>
      </c>
      <c r="CR116" s="418" t="str">
        <f t="shared" si="147"/>
        <v/>
      </c>
      <c r="CS116" s="418" t="str">
        <f t="shared" si="148"/>
        <v/>
      </c>
      <c r="CT116" s="418" t="str">
        <f t="shared" si="149"/>
        <v/>
      </c>
      <c r="CU116" s="418" t="str">
        <f t="shared" si="150"/>
        <v/>
      </c>
      <c r="CV116" s="418" t="str">
        <f t="shared" si="151"/>
        <v/>
      </c>
      <c r="CW116" s="418" t="str">
        <f t="shared" si="152"/>
        <v/>
      </c>
      <c r="CX116" s="418" t="str">
        <f t="shared" si="153"/>
        <v/>
      </c>
      <c r="DE116" s="417"/>
      <c r="DF116" s="3389">
        <f t="shared" si="182"/>
        <v>0</v>
      </c>
      <c r="DG116" s="3375">
        <f t="shared" si="155"/>
        <v>0</v>
      </c>
      <c r="DH116" s="3375">
        <f t="shared" si="156"/>
        <v>0</v>
      </c>
      <c r="DI116" s="3375">
        <f t="shared" si="157"/>
        <v>0</v>
      </c>
      <c r="DJ116" s="3375">
        <f t="shared" si="178"/>
        <v>0</v>
      </c>
      <c r="DK116" s="3375">
        <f t="shared" si="179"/>
        <v>0</v>
      </c>
      <c r="DL116" s="3375">
        <f t="shared" si="180"/>
        <v>0</v>
      </c>
      <c r="DM116" s="3375">
        <f t="shared" ref="DM116:DM140" si="187">IF(J116&lt;K116,1,0)</f>
        <v>0</v>
      </c>
      <c r="DN116" s="3375">
        <f t="shared" ref="DN116:DN140" si="188">IF(L116&lt;M116,1,0)</f>
        <v>0</v>
      </c>
      <c r="DO116" s="3375">
        <f t="shared" si="158"/>
        <v>0</v>
      </c>
      <c r="DP116" s="3375">
        <f t="shared" si="159"/>
        <v>0</v>
      </c>
      <c r="DQ116" s="3375">
        <f t="shared" si="160"/>
        <v>0</v>
      </c>
      <c r="DR116" s="3375">
        <f t="shared" si="161"/>
        <v>0</v>
      </c>
      <c r="DS116" s="3375">
        <f t="shared" si="162"/>
        <v>0</v>
      </c>
      <c r="DT116" s="3375">
        <f t="shared" si="163"/>
        <v>0</v>
      </c>
      <c r="DU116" s="3375">
        <f t="shared" si="164"/>
        <v>0</v>
      </c>
      <c r="DV116" s="3375">
        <f t="shared" si="165"/>
        <v>0</v>
      </c>
      <c r="DW116" s="3375">
        <f t="shared" si="166"/>
        <v>0</v>
      </c>
      <c r="DX116" s="3375">
        <f t="shared" si="167"/>
        <v>0</v>
      </c>
      <c r="DY116" s="3375">
        <f t="shared" si="168"/>
        <v>0</v>
      </c>
      <c r="DZ116" s="3375">
        <f t="shared" si="169"/>
        <v>0</v>
      </c>
      <c r="EA116" s="3375">
        <f t="shared" si="170"/>
        <v>0</v>
      </c>
      <c r="EB116" s="3375">
        <f t="shared" si="171"/>
        <v>0</v>
      </c>
      <c r="EC116" s="3375">
        <f t="shared" si="172"/>
        <v>0</v>
      </c>
    </row>
    <row r="117" spans="1:133">
      <c r="A117" s="420" t="s">
        <v>1955</v>
      </c>
      <c r="B117" s="1737">
        <f t="shared" si="183"/>
        <v>0</v>
      </c>
      <c r="C117" s="1739">
        <f t="shared" si="183"/>
        <v>0</v>
      </c>
      <c r="D117" s="423"/>
      <c r="E117" s="3376"/>
      <c r="F117" s="425"/>
      <c r="G117" s="3376"/>
      <c r="H117" s="425"/>
      <c r="I117" s="424"/>
      <c r="J117" s="423"/>
      <c r="K117" s="423"/>
      <c r="L117" s="425"/>
      <c r="M117" s="424"/>
      <c r="N117" s="423"/>
      <c r="O117" s="3376"/>
      <c r="P117" s="425"/>
      <c r="Q117" s="3376"/>
      <c r="R117" s="425"/>
      <c r="S117" s="3376"/>
      <c r="T117" s="425"/>
      <c r="U117" s="3376"/>
      <c r="V117" s="425"/>
      <c r="W117" s="3376"/>
      <c r="X117" s="425"/>
      <c r="Y117" s="3376"/>
      <c r="Z117" s="425"/>
      <c r="AA117" s="3376"/>
      <c r="AB117" s="425"/>
      <c r="AC117" s="3376"/>
      <c r="AD117" s="425"/>
      <c r="AE117" s="3376"/>
      <c r="AF117" s="425"/>
      <c r="AG117" s="3376"/>
      <c r="AH117" s="425"/>
      <c r="AI117" s="3376"/>
      <c r="AJ117" s="425"/>
      <c r="AK117" s="3376"/>
      <c r="AL117" s="425"/>
      <c r="AM117" s="3376"/>
      <c r="AN117" s="425"/>
      <c r="AO117" s="3376"/>
      <c r="AP117" s="425"/>
      <c r="AQ117" s="426"/>
      <c r="AR117" s="423"/>
      <c r="AS117" s="426"/>
      <c r="AT117" s="3372"/>
      <c r="AU117" s="426"/>
      <c r="AV117" s="3392"/>
      <c r="AW117" s="2231"/>
      <c r="AX117" s="3373" t="str">
        <f t="shared" si="184"/>
        <v/>
      </c>
      <c r="CA117" s="418" t="str">
        <f t="shared" si="181"/>
        <v/>
      </c>
      <c r="CB117" s="418" t="str">
        <f t="shared" si="136"/>
        <v/>
      </c>
      <c r="CC117" s="418" t="str">
        <f t="shared" si="137"/>
        <v/>
      </c>
      <c r="CD117" s="418" t="str">
        <f t="shared" si="138"/>
        <v/>
      </c>
      <c r="CE117" s="418" t="str">
        <f t="shared" si="175"/>
        <v/>
      </c>
      <c r="CF117" s="418" t="str">
        <f t="shared" si="176"/>
        <v/>
      </c>
      <c r="CG117" s="418" t="str">
        <f t="shared" si="177"/>
        <v/>
      </c>
      <c r="CH117" s="418" t="str">
        <f t="shared" si="185"/>
        <v/>
      </c>
      <c r="CI117" s="418" t="str">
        <f t="shared" si="186"/>
        <v/>
      </c>
      <c r="CJ117" s="418" t="str">
        <f t="shared" si="139"/>
        <v/>
      </c>
      <c r="CK117" s="418" t="str">
        <f t="shared" si="140"/>
        <v/>
      </c>
      <c r="CL117" s="418" t="str">
        <f t="shared" si="141"/>
        <v/>
      </c>
      <c r="CM117" s="418" t="str">
        <f t="shared" si="142"/>
        <v/>
      </c>
      <c r="CN117" s="418" t="str">
        <f t="shared" si="143"/>
        <v/>
      </c>
      <c r="CO117" s="418" t="str">
        <f t="shared" si="144"/>
        <v/>
      </c>
      <c r="CP117" s="418" t="str">
        <f t="shared" si="145"/>
        <v/>
      </c>
      <c r="CQ117" s="418" t="str">
        <f t="shared" si="146"/>
        <v/>
      </c>
      <c r="CR117" s="418" t="str">
        <f t="shared" si="147"/>
        <v/>
      </c>
      <c r="CS117" s="418" t="str">
        <f t="shared" si="148"/>
        <v/>
      </c>
      <c r="CT117" s="418" t="str">
        <f t="shared" si="149"/>
        <v/>
      </c>
      <c r="CU117" s="418" t="str">
        <f t="shared" si="150"/>
        <v/>
      </c>
      <c r="CV117" s="418" t="str">
        <f t="shared" si="151"/>
        <v/>
      </c>
      <c r="CW117" s="418" t="str">
        <f t="shared" si="152"/>
        <v/>
      </c>
      <c r="CX117" s="418" t="str">
        <f t="shared" si="153"/>
        <v/>
      </c>
      <c r="DE117" s="417"/>
      <c r="DF117" s="3389">
        <f t="shared" si="182"/>
        <v>0</v>
      </c>
      <c r="DG117" s="3375">
        <f t="shared" si="155"/>
        <v>0</v>
      </c>
      <c r="DH117" s="3375">
        <f t="shared" si="156"/>
        <v>0</v>
      </c>
      <c r="DI117" s="3375">
        <f t="shared" si="157"/>
        <v>0</v>
      </c>
      <c r="DJ117" s="3375">
        <f t="shared" si="178"/>
        <v>0</v>
      </c>
      <c r="DK117" s="3375">
        <f t="shared" si="179"/>
        <v>0</v>
      </c>
      <c r="DL117" s="3375">
        <f t="shared" si="180"/>
        <v>0</v>
      </c>
      <c r="DM117" s="3375">
        <f t="shared" si="187"/>
        <v>0</v>
      </c>
      <c r="DN117" s="3375">
        <f t="shared" si="188"/>
        <v>0</v>
      </c>
      <c r="DO117" s="3375">
        <f t="shared" si="158"/>
        <v>0</v>
      </c>
      <c r="DP117" s="3375">
        <f t="shared" si="159"/>
        <v>0</v>
      </c>
      <c r="DQ117" s="3375">
        <f t="shared" si="160"/>
        <v>0</v>
      </c>
      <c r="DR117" s="3375">
        <f t="shared" si="161"/>
        <v>0</v>
      </c>
      <c r="DS117" s="3375">
        <f t="shared" si="162"/>
        <v>0</v>
      </c>
      <c r="DT117" s="3375">
        <f t="shared" si="163"/>
        <v>0</v>
      </c>
      <c r="DU117" s="3375">
        <f t="shared" si="164"/>
        <v>0</v>
      </c>
      <c r="DV117" s="3375">
        <f t="shared" si="165"/>
        <v>0</v>
      </c>
      <c r="DW117" s="3375">
        <f t="shared" si="166"/>
        <v>0</v>
      </c>
      <c r="DX117" s="3375">
        <f t="shared" si="167"/>
        <v>0</v>
      </c>
      <c r="DY117" s="3375">
        <f t="shared" si="168"/>
        <v>0</v>
      </c>
      <c r="DZ117" s="3375">
        <f t="shared" si="169"/>
        <v>0</v>
      </c>
      <c r="EA117" s="3375">
        <f t="shared" si="170"/>
        <v>0</v>
      </c>
      <c r="EB117" s="3375">
        <f t="shared" si="171"/>
        <v>0</v>
      </c>
      <c r="EC117" s="3375">
        <f t="shared" si="172"/>
        <v>0</v>
      </c>
    </row>
    <row r="118" spans="1:133">
      <c r="A118" s="3390" t="s">
        <v>1956</v>
      </c>
      <c r="B118" s="1755">
        <f t="shared" si="183"/>
        <v>0</v>
      </c>
      <c r="C118" s="1757">
        <f t="shared" si="183"/>
        <v>0</v>
      </c>
      <c r="D118" s="3385"/>
      <c r="E118" s="3384"/>
      <c r="F118" s="432"/>
      <c r="G118" s="3384"/>
      <c r="H118" s="432"/>
      <c r="I118" s="433"/>
      <c r="J118" s="3385"/>
      <c r="K118" s="3385"/>
      <c r="L118" s="432"/>
      <c r="M118" s="433"/>
      <c r="N118" s="3385"/>
      <c r="O118" s="3384"/>
      <c r="P118" s="432"/>
      <c r="Q118" s="3384"/>
      <c r="R118" s="432"/>
      <c r="S118" s="3384"/>
      <c r="T118" s="432"/>
      <c r="U118" s="3384"/>
      <c r="V118" s="432"/>
      <c r="W118" s="3384"/>
      <c r="X118" s="432"/>
      <c r="Y118" s="3384"/>
      <c r="Z118" s="432"/>
      <c r="AA118" s="3384"/>
      <c r="AB118" s="432"/>
      <c r="AC118" s="3384"/>
      <c r="AD118" s="432"/>
      <c r="AE118" s="3384"/>
      <c r="AF118" s="432"/>
      <c r="AG118" s="3384"/>
      <c r="AH118" s="432"/>
      <c r="AI118" s="3384"/>
      <c r="AJ118" s="432"/>
      <c r="AK118" s="3384"/>
      <c r="AL118" s="432"/>
      <c r="AM118" s="3384"/>
      <c r="AN118" s="432"/>
      <c r="AO118" s="3384"/>
      <c r="AP118" s="432"/>
      <c r="AQ118" s="445"/>
      <c r="AR118" s="3385"/>
      <c r="AS118" s="445"/>
      <c r="AT118" s="3386"/>
      <c r="AU118" s="445"/>
      <c r="AV118" s="3393"/>
      <c r="AW118" s="2235"/>
      <c r="AX118" s="3373" t="str">
        <f t="shared" si="184"/>
        <v/>
      </c>
      <c r="CA118" s="418" t="str">
        <f t="shared" si="181"/>
        <v/>
      </c>
      <c r="CB118" s="418" t="str">
        <f t="shared" si="136"/>
        <v/>
      </c>
      <c r="CC118" s="418" t="str">
        <f t="shared" si="137"/>
        <v/>
      </c>
      <c r="CD118" s="418" t="str">
        <f t="shared" si="138"/>
        <v/>
      </c>
      <c r="CE118" s="418" t="str">
        <f t="shared" si="175"/>
        <v/>
      </c>
      <c r="CF118" s="418" t="str">
        <f t="shared" si="176"/>
        <v/>
      </c>
      <c r="CG118" s="418" t="str">
        <f t="shared" si="177"/>
        <v/>
      </c>
      <c r="CH118" s="418" t="str">
        <f t="shared" si="185"/>
        <v/>
      </c>
      <c r="CI118" s="418" t="str">
        <f t="shared" si="186"/>
        <v/>
      </c>
      <c r="CJ118" s="418" t="str">
        <f t="shared" si="139"/>
        <v/>
      </c>
      <c r="CK118" s="418" t="str">
        <f t="shared" si="140"/>
        <v/>
      </c>
      <c r="CL118" s="418" t="str">
        <f t="shared" si="141"/>
        <v/>
      </c>
      <c r="CM118" s="418" t="str">
        <f t="shared" si="142"/>
        <v/>
      </c>
      <c r="CN118" s="418" t="str">
        <f t="shared" si="143"/>
        <v/>
      </c>
      <c r="CO118" s="418" t="str">
        <f t="shared" si="144"/>
        <v/>
      </c>
      <c r="CP118" s="418" t="str">
        <f t="shared" si="145"/>
        <v/>
      </c>
      <c r="CQ118" s="418" t="str">
        <f t="shared" si="146"/>
        <v/>
      </c>
      <c r="CR118" s="418" t="str">
        <f t="shared" si="147"/>
        <v/>
      </c>
      <c r="CS118" s="418" t="str">
        <f t="shared" si="148"/>
        <v/>
      </c>
      <c r="CT118" s="418" t="str">
        <f t="shared" si="149"/>
        <v/>
      </c>
      <c r="CU118" s="418" t="str">
        <f t="shared" si="150"/>
        <v/>
      </c>
      <c r="CV118" s="418" t="str">
        <f t="shared" si="151"/>
        <v/>
      </c>
      <c r="CW118" s="418" t="str">
        <f t="shared" si="152"/>
        <v/>
      </c>
      <c r="CX118" s="418" t="str">
        <f t="shared" si="153"/>
        <v/>
      </c>
      <c r="DE118" s="417"/>
      <c r="DF118" s="3389">
        <f t="shared" si="182"/>
        <v>0</v>
      </c>
      <c r="DG118" s="3375">
        <f t="shared" si="155"/>
        <v>0</v>
      </c>
      <c r="DH118" s="3375">
        <f t="shared" si="156"/>
        <v>0</v>
      </c>
      <c r="DI118" s="3375">
        <f t="shared" si="157"/>
        <v>0</v>
      </c>
      <c r="DJ118" s="3375">
        <f t="shared" si="178"/>
        <v>0</v>
      </c>
      <c r="DK118" s="3375">
        <f t="shared" si="179"/>
        <v>0</v>
      </c>
      <c r="DL118" s="3375">
        <f t="shared" si="180"/>
        <v>0</v>
      </c>
      <c r="DM118" s="3375">
        <f t="shared" si="187"/>
        <v>0</v>
      </c>
      <c r="DN118" s="3375">
        <f t="shared" si="188"/>
        <v>0</v>
      </c>
      <c r="DO118" s="3375">
        <f t="shared" si="158"/>
        <v>0</v>
      </c>
      <c r="DP118" s="3375">
        <f t="shared" si="159"/>
        <v>0</v>
      </c>
      <c r="DQ118" s="3375">
        <f t="shared" si="160"/>
        <v>0</v>
      </c>
      <c r="DR118" s="3375">
        <f t="shared" si="161"/>
        <v>0</v>
      </c>
      <c r="DS118" s="3375">
        <f t="shared" si="162"/>
        <v>0</v>
      </c>
      <c r="DT118" s="3375">
        <f t="shared" si="163"/>
        <v>0</v>
      </c>
      <c r="DU118" s="3375">
        <f t="shared" si="164"/>
        <v>0</v>
      </c>
      <c r="DV118" s="3375">
        <f t="shared" si="165"/>
        <v>0</v>
      </c>
      <c r="DW118" s="3375">
        <f t="shared" si="166"/>
        <v>0</v>
      </c>
      <c r="DX118" s="3375">
        <f t="shared" si="167"/>
        <v>0</v>
      </c>
      <c r="DY118" s="3375">
        <f t="shared" si="168"/>
        <v>0</v>
      </c>
      <c r="DZ118" s="3375">
        <f t="shared" si="169"/>
        <v>0</v>
      </c>
      <c r="EA118" s="3375">
        <f t="shared" si="170"/>
        <v>0</v>
      </c>
      <c r="EB118" s="3375">
        <f t="shared" si="171"/>
        <v>0</v>
      </c>
      <c r="EC118" s="3375">
        <f t="shared" si="172"/>
        <v>0</v>
      </c>
    </row>
    <row r="119" spans="1:133" ht="18" customHeight="1">
      <c r="A119" s="3388" t="s">
        <v>1963</v>
      </c>
      <c r="B119" s="3388"/>
      <c r="C119" s="3388"/>
      <c r="D119" s="3388"/>
      <c r="E119" s="3388"/>
      <c r="F119" s="3388"/>
      <c r="G119" s="3388"/>
      <c r="H119" s="3388"/>
      <c r="I119" s="3388"/>
      <c r="J119" s="3388"/>
      <c r="K119" s="3388"/>
      <c r="L119" s="3388"/>
      <c r="M119" s="3388"/>
      <c r="N119" s="3388"/>
      <c r="O119" s="3388"/>
      <c r="P119" s="3388"/>
      <c r="Q119" s="3388"/>
      <c r="R119" s="3388"/>
      <c r="S119" s="3388"/>
      <c r="T119" s="3388"/>
      <c r="U119" s="3388"/>
      <c r="V119" s="3388"/>
      <c r="W119" s="3388"/>
      <c r="X119" s="3388"/>
      <c r="Y119" s="3388"/>
      <c r="Z119" s="3388"/>
      <c r="AA119" s="3388"/>
      <c r="AB119" s="3388"/>
      <c r="AC119" s="3388"/>
      <c r="AD119" s="3388"/>
      <c r="AE119" s="3388"/>
      <c r="AF119" s="3388"/>
      <c r="AG119" s="3388"/>
      <c r="AH119" s="3388"/>
      <c r="AI119" s="3388"/>
      <c r="AJ119" s="3388"/>
      <c r="AK119" s="3388"/>
      <c r="AL119" s="3388"/>
      <c r="AM119" s="3388"/>
      <c r="AN119" s="3388"/>
      <c r="AO119" s="3388"/>
      <c r="AP119" s="3388"/>
      <c r="AQ119" s="3388"/>
      <c r="AR119" s="3366"/>
      <c r="AS119" s="3366"/>
      <c r="AT119" s="3366"/>
      <c r="AU119" s="3366"/>
      <c r="AV119" s="3366"/>
      <c r="AW119" s="3366"/>
      <c r="AX119" s="3373"/>
    </row>
    <row r="120" spans="1:133">
      <c r="A120" s="5718" t="s">
        <v>1933</v>
      </c>
      <c r="B120" s="6153" t="s">
        <v>91</v>
      </c>
      <c r="C120" s="6154"/>
      <c r="D120" s="5707" t="s">
        <v>43</v>
      </c>
      <c r="E120" s="5708"/>
      <c r="F120" s="5708"/>
      <c r="G120" s="5708"/>
      <c r="H120" s="5708"/>
      <c r="I120" s="5708"/>
      <c r="J120" s="5708"/>
      <c r="K120" s="5708"/>
      <c r="L120" s="5708"/>
      <c r="M120" s="5708"/>
      <c r="N120" s="5708"/>
      <c r="O120" s="5708"/>
      <c r="P120" s="5708"/>
      <c r="Q120" s="5708"/>
      <c r="R120" s="5708"/>
      <c r="S120" s="5708"/>
      <c r="T120" s="5708"/>
      <c r="U120" s="5708"/>
      <c r="V120" s="5708"/>
      <c r="W120" s="5708"/>
      <c r="X120" s="5708"/>
      <c r="Y120" s="5708"/>
      <c r="Z120" s="5708"/>
      <c r="AA120" s="5708"/>
      <c r="AB120" s="5708"/>
      <c r="AC120" s="5708"/>
      <c r="AD120" s="5708"/>
      <c r="AE120" s="5708"/>
      <c r="AF120" s="5708"/>
      <c r="AG120" s="5708"/>
      <c r="AH120" s="5708"/>
      <c r="AI120" s="5708"/>
      <c r="AJ120" s="5708"/>
      <c r="AK120" s="5708"/>
      <c r="AL120" s="5708"/>
      <c r="AM120" s="5708"/>
      <c r="AN120" s="5708"/>
      <c r="AO120" s="5708"/>
      <c r="AP120" s="5708"/>
      <c r="AQ120" s="6147"/>
      <c r="AR120" s="6106" t="s">
        <v>1934</v>
      </c>
      <c r="AS120" s="5716"/>
      <c r="AT120" s="6749" t="s">
        <v>478</v>
      </c>
      <c r="AU120" s="6750"/>
      <c r="AV120" s="6762" t="s">
        <v>50</v>
      </c>
      <c r="AW120" s="6119" t="s">
        <v>51</v>
      </c>
    </row>
    <row r="121" spans="1:133">
      <c r="A121" s="6110"/>
      <c r="B121" s="6156"/>
      <c r="C121" s="6157"/>
      <c r="D121" s="5710" t="s">
        <v>1935</v>
      </c>
      <c r="E121" s="6106"/>
      <c r="F121" s="5710" t="s">
        <v>963</v>
      </c>
      <c r="G121" s="6106"/>
      <c r="H121" s="5710" t="s">
        <v>1936</v>
      </c>
      <c r="I121" s="5712"/>
      <c r="J121" s="6106" t="s">
        <v>965</v>
      </c>
      <c r="K121" s="6106"/>
      <c r="L121" s="5710" t="s">
        <v>347</v>
      </c>
      <c r="M121" s="6106"/>
      <c r="N121" s="5710" t="s">
        <v>108</v>
      </c>
      <c r="O121" s="6106"/>
      <c r="P121" s="5710" t="s">
        <v>58</v>
      </c>
      <c r="Q121" s="6106"/>
      <c r="R121" s="5710" t="s">
        <v>59</v>
      </c>
      <c r="S121" s="6106"/>
      <c r="T121" s="5710" t="s">
        <v>60</v>
      </c>
      <c r="U121" s="5712"/>
      <c r="V121" s="5710" t="s">
        <v>61</v>
      </c>
      <c r="W121" s="5712"/>
      <c r="X121" s="5710" t="s">
        <v>62</v>
      </c>
      <c r="Y121" s="5712"/>
      <c r="Z121" s="5710" t="s">
        <v>63</v>
      </c>
      <c r="AA121" s="5712"/>
      <c r="AB121" s="5710" t="s">
        <v>64</v>
      </c>
      <c r="AC121" s="5712"/>
      <c r="AD121" s="5710" t="s">
        <v>65</v>
      </c>
      <c r="AE121" s="5712"/>
      <c r="AF121" s="5710" t="s">
        <v>66</v>
      </c>
      <c r="AG121" s="5712"/>
      <c r="AH121" s="5710" t="s">
        <v>67</v>
      </c>
      <c r="AI121" s="5712"/>
      <c r="AJ121" s="5710" t="s">
        <v>68</v>
      </c>
      <c r="AK121" s="5712"/>
      <c r="AL121" s="5710" t="s">
        <v>69</v>
      </c>
      <c r="AM121" s="5712"/>
      <c r="AN121" s="5710" t="s">
        <v>70</v>
      </c>
      <c r="AO121" s="5712"/>
      <c r="AP121" s="5710" t="s">
        <v>71</v>
      </c>
      <c r="AQ121" s="5716"/>
      <c r="AR121" s="6133" t="s">
        <v>72</v>
      </c>
      <c r="AS121" s="6228" t="s">
        <v>73</v>
      </c>
      <c r="AT121" s="6751"/>
      <c r="AU121" s="6752"/>
      <c r="AV121" s="6763"/>
      <c r="AW121" s="6120"/>
    </row>
    <row r="122" spans="1:133">
      <c r="A122" s="5719"/>
      <c r="B122" s="1396" t="s">
        <v>1937</v>
      </c>
      <c r="C122" s="1584" t="s">
        <v>1938</v>
      </c>
      <c r="D122" s="1395" t="s">
        <v>1937</v>
      </c>
      <c r="E122" s="1646" t="s">
        <v>1938</v>
      </c>
      <c r="F122" s="1395" t="s">
        <v>1937</v>
      </c>
      <c r="G122" s="1646" t="s">
        <v>1938</v>
      </c>
      <c r="H122" s="1395" t="s">
        <v>1937</v>
      </c>
      <c r="I122" s="1584" t="s">
        <v>1938</v>
      </c>
      <c r="J122" s="1396" t="s">
        <v>1937</v>
      </c>
      <c r="K122" s="1646" t="s">
        <v>1938</v>
      </c>
      <c r="L122" s="1395" t="s">
        <v>1937</v>
      </c>
      <c r="M122" s="1646" t="s">
        <v>1938</v>
      </c>
      <c r="N122" s="1395" t="s">
        <v>1937</v>
      </c>
      <c r="O122" s="1646" t="s">
        <v>1938</v>
      </c>
      <c r="P122" s="1395" t="s">
        <v>1937</v>
      </c>
      <c r="Q122" s="1646" t="s">
        <v>1938</v>
      </c>
      <c r="R122" s="1395" t="s">
        <v>1937</v>
      </c>
      <c r="S122" s="1646" t="s">
        <v>1938</v>
      </c>
      <c r="T122" s="1395" t="s">
        <v>1937</v>
      </c>
      <c r="U122" s="1646" t="s">
        <v>1938</v>
      </c>
      <c r="V122" s="1395" t="s">
        <v>1937</v>
      </c>
      <c r="W122" s="1646" t="s">
        <v>1938</v>
      </c>
      <c r="X122" s="1395" t="s">
        <v>1937</v>
      </c>
      <c r="Y122" s="1646" t="s">
        <v>1938</v>
      </c>
      <c r="Z122" s="1395" t="s">
        <v>1937</v>
      </c>
      <c r="AA122" s="1646" t="s">
        <v>1938</v>
      </c>
      <c r="AB122" s="1395" t="s">
        <v>1937</v>
      </c>
      <c r="AC122" s="1646" t="s">
        <v>1938</v>
      </c>
      <c r="AD122" s="1395" t="s">
        <v>1937</v>
      </c>
      <c r="AE122" s="1646" t="s">
        <v>1938</v>
      </c>
      <c r="AF122" s="1395" t="s">
        <v>1937</v>
      </c>
      <c r="AG122" s="1646" t="s">
        <v>1938</v>
      </c>
      <c r="AH122" s="1395" t="s">
        <v>1937</v>
      </c>
      <c r="AI122" s="1646" t="s">
        <v>1938</v>
      </c>
      <c r="AJ122" s="1395" t="s">
        <v>1937</v>
      </c>
      <c r="AK122" s="1646" t="s">
        <v>1938</v>
      </c>
      <c r="AL122" s="1395" t="s">
        <v>1937</v>
      </c>
      <c r="AM122" s="1646" t="s">
        <v>1938</v>
      </c>
      <c r="AN122" s="1395" t="s">
        <v>1937</v>
      </c>
      <c r="AO122" s="1646" t="s">
        <v>1938</v>
      </c>
      <c r="AP122" s="1395" t="s">
        <v>1937</v>
      </c>
      <c r="AQ122" s="1398" t="s">
        <v>1938</v>
      </c>
      <c r="AR122" s="6134"/>
      <c r="AS122" s="6229"/>
      <c r="AT122" s="1704" t="s">
        <v>483</v>
      </c>
      <c r="AU122" s="1706" t="s">
        <v>484</v>
      </c>
      <c r="AV122" s="6764"/>
      <c r="AW122" s="6116"/>
    </row>
    <row r="123" spans="1:133">
      <c r="A123" s="446" t="s">
        <v>1939</v>
      </c>
      <c r="B123" s="2393">
        <f t="shared" ref="B123:C130" si="189">+N123+P123+R123+T123+V123+X123+Z123+AB123+AD123+AF123+AH123+AJ123+AL123+AN123+AP123</f>
        <v>0</v>
      </c>
      <c r="C123" s="1736">
        <f t="shared" si="189"/>
        <v>0</v>
      </c>
      <c r="D123" s="2880"/>
      <c r="E123" s="2885"/>
      <c r="F123" s="2381"/>
      <c r="G123" s="2885"/>
      <c r="H123" s="2381"/>
      <c r="I123" s="2885"/>
      <c r="J123" s="2381"/>
      <c r="K123" s="2885"/>
      <c r="L123" s="2381"/>
      <c r="M123" s="2382"/>
      <c r="N123" s="423"/>
      <c r="O123" s="3376"/>
      <c r="P123" s="425"/>
      <c r="Q123" s="3376"/>
      <c r="R123" s="425"/>
      <c r="S123" s="3376"/>
      <c r="T123" s="425"/>
      <c r="U123" s="3376"/>
      <c r="V123" s="425"/>
      <c r="W123" s="3376"/>
      <c r="X123" s="425"/>
      <c r="Y123" s="3376"/>
      <c r="Z123" s="425"/>
      <c r="AA123" s="3376"/>
      <c r="AB123" s="425"/>
      <c r="AC123" s="3376"/>
      <c r="AD123" s="425"/>
      <c r="AE123" s="3376"/>
      <c r="AF123" s="425"/>
      <c r="AG123" s="3376"/>
      <c r="AH123" s="425"/>
      <c r="AI123" s="3376"/>
      <c r="AJ123" s="425"/>
      <c r="AK123" s="3376"/>
      <c r="AL123" s="425"/>
      <c r="AM123" s="3376"/>
      <c r="AN123" s="425"/>
      <c r="AO123" s="3376"/>
      <c r="AP123" s="425"/>
      <c r="AQ123" s="426"/>
      <c r="AR123" s="3371"/>
      <c r="AS123" s="426"/>
      <c r="AT123" s="3372"/>
      <c r="AU123" s="426"/>
      <c r="AV123" s="3391"/>
      <c r="AW123" s="2231"/>
      <c r="AX123" s="3373" t="str">
        <f t="shared" ref="AX123:AX130" si="190">$CA123&amp;CB123&amp;CC123&amp;$CD123&amp;CJ123&amp;CK123&amp;CL123&amp;CM123&amp;CN123&amp;CO123&amp;CP123&amp;CQ123&amp;CR123&amp;CS123&amp;CT123&amp;CU123&amp;CV123&amp;CW123&amp;CX123</f>
        <v/>
      </c>
      <c r="CA123" s="418" t="str">
        <f t="shared" ref="CA123:CA127" si="191">IF(B123&lt;&gt;(AS123)," * La suma de las columnas "&amp;AR$10&amp;""&amp;" DEBE SER IGUAL a los Exámenes Procesados. ","")</f>
        <v/>
      </c>
      <c r="CB123" s="418" t="str">
        <f t="shared" si="136"/>
        <v/>
      </c>
      <c r="CC123" s="418" t="str">
        <f t="shared" si="137"/>
        <v/>
      </c>
      <c r="CD123" s="418" t="str">
        <f t="shared" si="138"/>
        <v/>
      </c>
      <c r="CE123" s="3374"/>
      <c r="CF123" s="3374"/>
      <c r="CG123" s="3374"/>
      <c r="CH123" s="3374"/>
      <c r="CI123" s="3374"/>
      <c r="CJ123" s="418" t="str">
        <f t="shared" si="139"/>
        <v/>
      </c>
      <c r="CK123" s="418" t="str">
        <f t="shared" si="140"/>
        <v/>
      </c>
      <c r="CL123" s="418" t="str">
        <f t="shared" si="141"/>
        <v/>
      </c>
      <c r="CM123" s="418" t="str">
        <f t="shared" si="142"/>
        <v/>
      </c>
      <c r="CN123" s="418" t="str">
        <f t="shared" si="143"/>
        <v/>
      </c>
      <c r="CO123" s="418" t="str">
        <f t="shared" si="144"/>
        <v/>
      </c>
      <c r="CP123" s="418" t="str">
        <f t="shared" si="145"/>
        <v/>
      </c>
      <c r="CQ123" s="418" t="str">
        <f t="shared" si="146"/>
        <v/>
      </c>
      <c r="CR123" s="418" t="str">
        <f t="shared" si="147"/>
        <v/>
      </c>
      <c r="CS123" s="418" t="str">
        <f t="shared" si="148"/>
        <v/>
      </c>
      <c r="CT123" s="418" t="str">
        <f t="shared" si="149"/>
        <v/>
      </c>
      <c r="CU123" s="418" t="str">
        <f t="shared" si="150"/>
        <v/>
      </c>
      <c r="CV123" s="418" t="str">
        <f t="shared" si="151"/>
        <v/>
      </c>
      <c r="CW123" s="418" t="str">
        <f t="shared" si="152"/>
        <v/>
      </c>
      <c r="CX123" s="418" t="str">
        <f t="shared" si="153"/>
        <v/>
      </c>
      <c r="DE123" s="417"/>
      <c r="DF123" s="3389">
        <f t="shared" ref="DF123:DF127" si="192">IF(B123&lt;&gt;(AS123),1,0)</f>
        <v>0</v>
      </c>
      <c r="DG123" s="3375">
        <f t="shared" si="155"/>
        <v>0</v>
      </c>
      <c r="DH123" s="3375">
        <f t="shared" si="156"/>
        <v>0</v>
      </c>
      <c r="DI123" s="3375">
        <f t="shared" si="157"/>
        <v>0</v>
      </c>
      <c r="DJ123" s="3374"/>
      <c r="DK123" s="3374"/>
      <c r="DL123" s="3374"/>
      <c r="DM123" s="3374"/>
      <c r="DN123" s="3374"/>
      <c r="DO123" s="3375">
        <f t="shared" si="158"/>
        <v>0</v>
      </c>
      <c r="DP123" s="3375">
        <f t="shared" si="159"/>
        <v>0</v>
      </c>
      <c r="DQ123" s="3375">
        <f t="shared" si="160"/>
        <v>0</v>
      </c>
      <c r="DR123" s="3375">
        <f t="shared" si="161"/>
        <v>0</v>
      </c>
      <c r="DS123" s="3375">
        <f t="shared" si="162"/>
        <v>0</v>
      </c>
      <c r="DT123" s="3375">
        <f t="shared" si="163"/>
        <v>0</v>
      </c>
      <c r="DU123" s="3375">
        <f t="shared" si="164"/>
        <v>0</v>
      </c>
      <c r="DV123" s="3375">
        <f t="shared" si="165"/>
        <v>0</v>
      </c>
      <c r="DW123" s="3375">
        <f t="shared" si="166"/>
        <v>0</v>
      </c>
      <c r="DX123" s="3375">
        <f t="shared" si="167"/>
        <v>0</v>
      </c>
      <c r="DY123" s="3375">
        <f t="shared" si="168"/>
        <v>0</v>
      </c>
      <c r="DZ123" s="3375">
        <f t="shared" si="169"/>
        <v>0</v>
      </c>
      <c r="EA123" s="3375">
        <f t="shared" si="170"/>
        <v>0</v>
      </c>
      <c r="EB123" s="3375">
        <f t="shared" si="171"/>
        <v>0</v>
      </c>
      <c r="EC123" s="3375">
        <f t="shared" si="172"/>
        <v>0</v>
      </c>
    </row>
    <row r="124" spans="1:133">
      <c r="A124" s="420" t="s">
        <v>1940</v>
      </c>
      <c r="B124" s="1737">
        <f t="shared" si="189"/>
        <v>0</v>
      </c>
      <c r="C124" s="1739">
        <f t="shared" si="189"/>
        <v>0</v>
      </c>
      <c r="D124" s="2880"/>
      <c r="E124" s="2885"/>
      <c r="F124" s="2381"/>
      <c r="G124" s="2885"/>
      <c r="H124" s="2381"/>
      <c r="I124" s="2885"/>
      <c r="J124" s="2381"/>
      <c r="K124" s="2885"/>
      <c r="L124" s="2381"/>
      <c r="M124" s="2382"/>
      <c r="N124" s="423"/>
      <c r="O124" s="3376"/>
      <c r="P124" s="425"/>
      <c r="Q124" s="3376"/>
      <c r="R124" s="425"/>
      <c r="S124" s="3376"/>
      <c r="T124" s="425"/>
      <c r="U124" s="3376"/>
      <c r="V124" s="425"/>
      <c r="W124" s="3376"/>
      <c r="X124" s="425"/>
      <c r="Y124" s="3376"/>
      <c r="Z124" s="425"/>
      <c r="AA124" s="3376"/>
      <c r="AB124" s="425"/>
      <c r="AC124" s="3376"/>
      <c r="AD124" s="425"/>
      <c r="AE124" s="3376"/>
      <c r="AF124" s="425"/>
      <c r="AG124" s="3376"/>
      <c r="AH124" s="425"/>
      <c r="AI124" s="3376"/>
      <c r="AJ124" s="425"/>
      <c r="AK124" s="3376"/>
      <c r="AL124" s="425"/>
      <c r="AM124" s="3376"/>
      <c r="AN124" s="425"/>
      <c r="AO124" s="3376"/>
      <c r="AP124" s="425"/>
      <c r="AQ124" s="426"/>
      <c r="AR124" s="3371"/>
      <c r="AS124" s="426"/>
      <c r="AT124" s="3372"/>
      <c r="AU124" s="426"/>
      <c r="AV124" s="3392"/>
      <c r="AW124" s="2231"/>
      <c r="AX124" s="3373" t="str">
        <f t="shared" si="190"/>
        <v/>
      </c>
      <c r="CA124" s="418" t="str">
        <f t="shared" si="191"/>
        <v/>
      </c>
      <c r="CB124" s="418" t="str">
        <f t="shared" si="136"/>
        <v/>
      </c>
      <c r="CC124" s="418" t="str">
        <f t="shared" si="137"/>
        <v/>
      </c>
      <c r="CD124" s="418" t="str">
        <f t="shared" si="138"/>
        <v/>
      </c>
      <c r="CE124" s="3374"/>
      <c r="CF124" s="3374"/>
      <c r="CG124" s="3374"/>
      <c r="CH124" s="3374"/>
      <c r="CI124" s="3374"/>
      <c r="CJ124" s="418" t="str">
        <f t="shared" si="139"/>
        <v/>
      </c>
      <c r="CK124" s="418" t="str">
        <f t="shared" si="140"/>
        <v/>
      </c>
      <c r="CL124" s="418" t="str">
        <f t="shared" si="141"/>
        <v/>
      </c>
      <c r="CM124" s="418" t="str">
        <f t="shared" si="142"/>
        <v/>
      </c>
      <c r="CN124" s="418" t="str">
        <f t="shared" si="143"/>
        <v/>
      </c>
      <c r="CO124" s="418" t="str">
        <f t="shared" si="144"/>
        <v/>
      </c>
      <c r="CP124" s="418" t="str">
        <f t="shared" si="145"/>
        <v/>
      </c>
      <c r="CQ124" s="418" t="str">
        <f t="shared" si="146"/>
        <v/>
      </c>
      <c r="CR124" s="418" t="str">
        <f t="shared" si="147"/>
        <v/>
      </c>
      <c r="CS124" s="418" t="str">
        <f t="shared" si="148"/>
        <v/>
      </c>
      <c r="CT124" s="418" t="str">
        <f t="shared" si="149"/>
        <v/>
      </c>
      <c r="CU124" s="418" t="str">
        <f t="shared" si="150"/>
        <v/>
      </c>
      <c r="CV124" s="418" t="str">
        <f t="shared" si="151"/>
        <v/>
      </c>
      <c r="CW124" s="418" t="str">
        <f t="shared" si="152"/>
        <v/>
      </c>
      <c r="CX124" s="418" t="str">
        <f t="shared" si="153"/>
        <v/>
      </c>
      <c r="DE124" s="417"/>
      <c r="DF124" s="3389">
        <f t="shared" si="192"/>
        <v>0</v>
      </c>
      <c r="DG124" s="3375">
        <f t="shared" si="155"/>
        <v>0</v>
      </c>
      <c r="DH124" s="3375">
        <f t="shared" si="156"/>
        <v>0</v>
      </c>
      <c r="DI124" s="3375">
        <f t="shared" si="157"/>
        <v>0</v>
      </c>
      <c r="DJ124" s="3374"/>
      <c r="DK124" s="3374"/>
      <c r="DL124" s="3374"/>
      <c r="DM124" s="3374"/>
      <c r="DN124" s="3374"/>
      <c r="DO124" s="3375">
        <f t="shared" si="158"/>
        <v>0</v>
      </c>
      <c r="DP124" s="3375">
        <f t="shared" si="159"/>
        <v>0</v>
      </c>
      <c r="DQ124" s="3375">
        <f t="shared" si="160"/>
        <v>0</v>
      </c>
      <c r="DR124" s="3375">
        <f t="shared" si="161"/>
        <v>0</v>
      </c>
      <c r="DS124" s="3375">
        <f t="shared" si="162"/>
        <v>0</v>
      </c>
      <c r="DT124" s="3375">
        <f t="shared" si="163"/>
        <v>0</v>
      </c>
      <c r="DU124" s="3375">
        <f t="shared" si="164"/>
        <v>0</v>
      </c>
      <c r="DV124" s="3375">
        <f t="shared" si="165"/>
        <v>0</v>
      </c>
      <c r="DW124" s="3375">
        <f t="shared" si="166"/>
        <v>0</v>
      </c>
      <c r="DX124" s="3375">
        <f t="shared" si="167"/>
        <v>0</v>
      </c>
      <c r="DY124" s="3375">
        <f t="shared" si="168"/>
        <v>0</v>
      </c>
      <c r="DZ124" s="3375">
        <f t="shared" si="169"/>
        <v>0</v>
      </c>
      <c r="EA124" s="3375">
        <f t="shared" si="170"/>
        <v>0</v>
      </c>
      <c r="EB124" s="3375">
        <f t="shared" si="171"/>
        <v>0</v>
      </c>
      <c r="EC124" s="3375">
        <f t="shared" si="172"/>
        <v>0</v>
      </c>
    </row>
    <row r="125" spans="1:133">
      <c r="A125" s="420" t="s">
        <v>1941</v>
      </c>
      <c r="B125" s="1737">
        <f t="shared" si="189"/>
        <v>0</v>
      </c>
      <c r="C125" s="1739">
        <f t="shared" si="189"/>
        <v>0</v>
      </c>
      <c r="D125" s="2880"/>
      <c r="E125" s="2885"/>
      <c r="F125" s="2381"/>
      <c r="G125" s="2885"/>
      <c r="H125" s="2381"/>
      <c r="I125" s="2885"/>
      <c r="J125" s="2381"/>
      <c r="K125" s="2885"/>
      <c r="L125" s="2381"/>
      <c r="M125" s="2382"/>
      <c r="N125" s="423"/>
      <c r="O125" s="3376"/>
      <c r="P125" s="425"/>
      <c r="Q125" s="3376"/>
      <c r="R125" s="425"/>
      <c r="S125" s="3376"/>
      <c r="T125" s="425"/>
      <c r="U125" s="3376"/>
      <c r="V125" s="425"/>
      <c r="W125" s="3376"/>
      <c r="X125" s="425"/>
      <c r="Y125" s="3376"/>
      <c r="Z125" s="425"/>
      <c r="AA125" s="3376"/>
      <c r="AB125" s="425"/>
      <c r="AC125" s="3376"/>
      <c r="AD125" s="425"/>
      <c r="AE125" s="3376"/>
      <c r="AF125" s="425"/>
      <c r="AG125" s="3376"/>
      <c r="AH125" s="425"/>
      <c r="AI125" s="3376"/>
      <c r="AJ125" s="425"/>
      <c r="AK125" s="3376"/>
      <c r="AL125" s="425"/>
      <c r="AM125" s="3376"/>
      <c r="AN125" s="425"/>
      <c r="AO125" s="3376"/>
      <c r="AP125" s="425"/>
      <c r="AQ125" s="426"/>
      <c r="AR125" s="3371"/>
      <c r="AS125" s="426"/>
      <c r="AT125" s="3372"/>
      <c r="AU125" s="426"/>
      <c r="AV125" s="3392"/>
      <c r="AW125" s="2231"/>
      <c r="AX125" s="3373" t="str">
        <f t="shared" si="190"/>
        <v/>
      </c>
      <c r="CA125" s="418" t="str">
        <f t="shared" si="191"/>
        <v/>
      </c>
      <c r="CB125" s="418" t="str">
        <f t="shared" si="136"/>
        <v/>
      </c>
      <c r="CC125" s="418" t="str">
        <f t="shared" si="137"/>
        <v/>
      </c>
      <c r="CD125" s="418" t="str">
        <f t="shared" si="138"/>
        <v/>
      </c>
      <c r="CE125" s="3374"/>
      <c r="CF125" s="3374"/>
      <c r="CG125" s="3374"/>
      <c r="CH125" s="3374"/>
      <c r="CI125" s="3374"/>
      <c r="CJ125" s="418" t="str">
        <f t="shared" si="139"/>
        <v/>
      </c>
      <c r="CK125" s="418" t="str">
        <f t="shared" si="140"/>
        <v/>
      </c>
      <c r="CL125" s="418" t="str">
        <f t="shared" si="141"/>
        <v/>
      </c>
      <c r="CM125" s="418" t="str">
        <f t="shared" si="142"/>
        <v/>
      </c>
      <c r="CN125" s="418" t="str">
        <f t="shared" si="143"/>
        <v/>
      </c>
      <c r="CO125" s="418" t="str">
        <f t="shared" si="144"/>
        <v/>
      </c>
      <c r="CP125" s="418" t="str">
        <f t="shared" si="145"/>
        <v/>
      </c>
      <c r="CQ125" s="418" t="str">
        <f t="shared" si="146"/>
        <v/>
      </c>
      <c r="CR125" s="418" t="str">
        <f t="shared" si="147"/>
        <v/>
      </c>
      <c r="CS125" s="418" t="str">
        <f t="shared" si="148"/>
        <v/>
      </c>
      <c r="CT125" s="418" t="str">
        <f t="shared" si="149"/>
        <v/>
      </c>
      <c r="CU125" s="418" t="str">
        <f t="shared" si="150"/>
        <v/>
      </c>
      <c r="CV125" s="418" t="str">
        <f t="shared" si="151"/>
        <v/>
      </c>
      <c r="CW125" s="418" t="str">
        <f t="shared" si="152"/>
        <v/>
      </c>
      <c r="CX125" s="418" t="str">
        <f t="shared" si="153"/>
        <v/>
      </c>
      <c r="DE125" s="417"/>
      <c r="DF125" s="3389">
        <f t="shared" si="192"/>
        <v>0</v>
      </c>
      <c r="DG125" s="3375">
        <f t="shared" si="155"/>
        <v>0</v>
      </c>
      <c r="DH125" s="3375">
        <f t="shared" si="156"/>
        <v>0</v>
      </c>
      <c r="DI125" s="3375">
        <f t="shared" si="157"/>
        <v>0</v>
      </c>
      <c r="DJ125" s="3374"/>
      <c r="DK125" s="3374"/>
      <c r="DL125" s="3374"/>
      <c r="DM125" s="3374"/>
      <c r="DN125" s="3374"/>
      <c r="DO125" s="3375">
        <f t="shared" si="158"/>
        <v>0</v>
      </c>
      <c r="DP125" s="3375">
        <f t="shared" si="159"/>
        <v>0</v>
      </c>
      <c r="DQ125" s="3375">
        <f t="shared" si="160"/>
        <v>0</v>
      </c>
      <c r="DR125" s="3375">
        <f t="shared" si="161"/>
        <v>0</v>
      </c>
      <c r="DS125" s="3375">
        <f t="shared" si="162"/>
        <v>0</v>
      </c>
      <c r="DT125" s="3375">
        <f t="shared" si="163"/>
        <v>0</v>
      </c>
      <c r="DU125" s="3375">
        <f t="shared" si="164"/>
        <v>0</v>
      </c>
      <c r="DV125" s="3375">
        <f t="shared" si="165"/>
        <v>0</v>
      </c>
      <c r="DW125" s="3375">
        <f t="shared" si="166"/>
        <v>0</v>
      </c>
      <c r="DX125" s="3375">
        <f t="shared" si="167"/>
        <v>0</v>
      </c>
      <c r="DY125" s="3375">
        <f t="shared" si="168"/>
        <v>0</v>
      </c>
      <c r="DZ125" s="3375">
        <f t="shared" si="169"/>
        <v>0</v>
      </c>
      <c r="EA125" s="3375">
        <f t="shared" si="170"/>
        <v>0</v>
      </c>
      <c r="EB125" s="3375">
        <f t="shared" si="171"/>
        <v>0</v>
      </c>
      <c r="EC125" s="3375">
        <f t="shared" si="172"/>
        <v>0</v>
      </c>
    </row>
    <row r="126" spans="1:133">
      <c r="A126" s="420" t="s">
        <v>1942</v>
      </c>
      <c r="B126" s="1737">
        <f t="shared" si="189"/>
        <v>0</v>
      </c>
      <c r="C126" s="1739">
        <f t="shared" si="189"/>
        <v>0</v>
      </c>
      <c r="D126" s="2880"/>
      <c r="E126" s="2885"/>
      <c r="F126" s="2381"/>
      <c r="G126" s="2885"/>
      <c r="H126" s="2381"/>
      <c r="I126" s="2885"/>
      <c r="J126" s="2381"/>
      <c r="K126" s="2885"/>
      <c r="L126" s="2381"/>
      <c r="M126" s="2382"/>
      <c r="N126" s="423"/>
      <c r="O126" s="3376"/>
      <c r="P126" s="425"/>
      <c r="Q126" s="3376"/>
      <c r="R126" s="425"/>
      <c r="S126" s="3376"/>
      <c r="T126" s="425"/>
      <c r="U126" s="3376"/>
      <c r="V126" s="425"/>
      <c r="W126" s="3376"/>
      <c r="X126" s="425"/>
      <c r="Y126" s="3376"/>
      <c r="Z126" s="425"/>
      <c r="AA126" s="3376"/>
      <c r="AB126" s="425"/>
      <c r="AC126" s="3376"/>
      <c r="AD126" s="425"/>
      <c r="AE126" s="3376"/>
      <c r="AF126" s="425"/>
      <c r="AG126" s="3376"/>
      <c r="AH126" s="425"/>
      <c r="AI126" s="3376"/>
      <c r="AJ126" s="425"/>
      <c r="AK126" s="3376"/>
      <c r="AL126" s="425"/>
      <c r="AM126" s="3376"/>
      <c r="AN126" s="425"/>
      <c r="AO126" s="3376"/>
      <c r="AP126" s="425"/>
      <c r="AQ126" s="426"/>
      <c r="AR126" s="3371"/>
      <c r="AS126" s="426"/>
      <c r="AT126" s="3372"/>
      <c r="AU126" s="426"/>
      <c r="AV126" s="3392"/>
      <c r="AW126" s="2231"/>
      <c r="AX126" s="3373" t="str">
        <f t="shared" si="190"/>
        <v/>
      </c>
      <c r="CA126" s="418" t="str">
        <f t="shared" si="191"/>
        <v/>
      </c>
      <c r="CB126" s="418" t="str">
        <f t="shared" si="136"/>
        <v/>
      </c>
      <c r="CC126" s="418" t="str">
        <f t="shared" si="137"/>
        <v/>
      </c>
      <c r="CD126" s="418" t="str">
        <f t="shared" si="138"/>
        <v/>
      </c>
      <c r="CE126" s="3374"/>
      <c r="CF126" s="3374"/>
      <c r="CG126" s="3374"/>
      <c r="CH126" s="3374"/>
      <c r="CI126" s="3374"/>
      <c r="CJ126" s="418" t="str">
        <f t="shared" si="139"/>
        <v/>
      </c>
      <c r="CK126" s="418" t="str">
        <f t="shared" si="140"/>
        <v/>
      </c>
      <c r="CL126" s="418" t="str">
        <f t="shared" si="141"/>
        <v/>
      </c>
      <c r="CM126" s="418" t="str">
        <f t="shared" si="142"/>
        <v/>
      </c>
      <c r="CN126" s="418" t="str">
        <f t="shared" si="143"/>
        <v/>
      </c>
      <c r="CO126" s="418" t="str">
        <f t="shared" si="144"/>
        <v/>
      </c>
      <c r="CP126" s="418" t="str">
        <f t="shared" si="145"/>
        <v/>
      </c>
      <c r="CQ126" s="418" t="str">
        <f t="shared" si="146"/>
        <v/>
      </c>
      <c r="CR126" s="418" t="str">
        <f t="shared" si="147"/>
        <v/>
      </c>
      <c r="CS126" s="418" t="str">
        <f t="shared" si="148"/>
        <v/>
      </c>
      <c r="CT126" s="418" t="str">
        <f t="shared" si="149"/>
        <v/>
      </c>
      <c r="CU126" s="418" t="str">
        <f t="shared" si="150"/>
        <v/>
      </c>
      <c r="CV126" s="418" t="str">
        <f t="shared" si="151"/>
        <v/>
      </c>
      <c r="CW126" s="418" t="str">
        <f t="shared" si="152"/>
        <v/>
      </c>
      <c r="CX126" s="418" t="str">
        <f t="shared" si="153"/>
        <v/>
      </c>
      <c r="DE126" s="417"/>
      <c r="DF126" s="3389">
        <f t="shared" si="192"/>
        <v>0</v>
      </c>
      <c r="DG126" s="3375">
        <f t="shared" si="155"/>
        <v>0</v>
      </c>
      <c r="DH126" s="3375">
        <f t="shared" si="156"/>
        <v>0</v>
      </c>
      <c r="DI126" s="3375">
        <f t="shared" si="157"/>
        <v>0</v>
      </c>
      <c r="DJ126" s="3374"/>
      <c r="DK126" s="3374"/>
      <c r="DL126" s="3374"/>
      <c r="DM126" s="3374"/>
      <c r="DN126" s="3374"/>
      <c r="DO126" s="3375">
        <f t="shared" si="158"/>
        <v>0</v>
      </c>
      <c r="DP126" s="3375">
        <f t="shared" si="159"/>
        <v>0</v>
      </c>
      <c r="DQ126" s="3375">
        <f t="shared" si="160"/>
        <v>0</v>
      </c>
      <c r="DR126" s="3375">
        <f t="shared" si="161"/>
        <v>0</v>
      </c>
      <c r="DS126" s="3375">
        <f t="shared" si="162"/>
        <v>0</v>
      </c>
      <c r="DT126" s="3375">
        <f t="shared" si="163"/>
        <v>0</v>
      </c>
      <c r="DU126" s="3375">
        <f t="shared" si="164"/>
        <v>0</v>
      </c>
      <c r="DV126" s="3375">
        <f t="shared" si="165"/>
        <v>0</v>
      </c>
      <c r="DW126" s="3375">
        <f t="shared" si="166"/>
        <v>0</v>
      </c>
      <c r="DX126" s="3375">
        <f t="shared" si="167"/>
        <v>0</v>
      </c>
      <c r="DY126" s="3375">
        <f t="shared" si="168"/>
        <v>0</v>
      </c>
      <c r="DZ126" s="3375">
        <f t="shared" si="169"/>
        <v>0</v>
      </c>
      <c r="EA126" s="3375">
        <f t="shared" si="170"/>
        <v>0</v>
      </c>
      <c r="EB126" s="3375">
        <f t="shared" si="171"/>
        <v>0</v>
      </c>
      <c r="EC126" s="3375">
        <f t="shared" si="172"/>
        <v>0</v>
      </c>
    </row>
    <row r="127" spans="1:133">
      <c r="A127" s="2237" t="s">
        <v>1943</v>
      </c>
      <c r="B127" s="1737">
        <f t="shared" si="189"/>
        <v>0</v>
      </c>
      <c r="C127" s="1739">
        <f t="shared" si="189"/>
        <v>0</v>
      </c>
      <c r="D127" s="2880"/>
      <c r="E127" s="2885"/>
      <c r="F127" s="2381"/>
      <c r="G127" s="2885"/>
      <c r="H127" s="2381"/>
      <c r="I127" s="2885"/>
      <c r="J127" s="2381"/>
      <c r="K127" s="2885"/>
      <c r="L127" s="2381"/>
      <c r="M127" s="2382"/>
      <c r="N127" s="423"/>
      <c r="O127" s="3376"/>
      <c r="P127" s="425"/>
      <c r="Q127" s="3376"/>
      <c r="R127" s="425"/>
      <c r="S127" s="3376"/>
      <c r="T127" s="425"/>
      <c r="U127" s="3376"/>
      <c r="V127" s="425"/>
      <c r="W127" s="3376"/>
      <c r="X127" s="425"/>
      <c r="Y127" s="3376"/>
      <c r="Z127" s="425"/>
      <c r="AA127" s="3376"/>
      <c r="AB127" s="425"/>
      <c r="AC127" s="3376"/>
      <c r="AD127" s="425"/>
      <c r="AE127" s="3376"/>
      <c r="AF127" s="425"/>
      <c r="AG127" s="3376"/>
      <c r="AH127" s="425"/>
      <c r="AI127" s="3376"/>
      <c r="AJ127" s="425"/>
      <c r="AK127" s="3376"/>
      <c r="AL127" s="425"/>
      <c r="AM127" s="3376"/>
      <c r="AN127" s="425"/>
      <c r="AO127" s="3376"/>
      <c r="AP127" s="425"/>
      <c r="AQ127" s="426"/>
      <c r="AR127" s="3371"/>
      <c r="AS127" s="426"/>
      <c r="AT127" s="3372"/>
      <c r="AU127" s="426"/>
      <c r="AV127" s="3392"/>
      <c r="AW127" s="2231"/>
      <c r="AX127" s="3373" t="str">
        <f t="shared" si="190"/>
        <v/>
      </c>
      <c r="CA127" s="418" t="str">
        <f t="shared" si="191"/>
        <v/>
      </c>
      <c r="CB127" s="418" t="str">
        <f t="shared" si="136"/>
        <v/>
      </c>
      <c r="CC127" s="418" t="str">
        <f t="shared" si="137"/>
        <v/>
      </c>
      <c r="CD127" s="418" t="str">
        <f t="shared" si="138"/>
        <v/>
      </c>
      <c r="CE127" s="3374"/>
      <c r="CF127" s="3374"/>
      <c r="CG127" s="3374"/>
      <c r="CH127" s="3374"/>
      <c r="CI127" s="3374"/>
      <c r="CJ127" s="418" t="str">
        <f t="shared" si="139"/>
        <v/>
      </c>
      <c r="CK127" s="418" t="str">
        <f t="shared" si="140"/>
        <v/>
      </c>
      <c r="CL127" s="418" t="str">
        <f t="shared" si="141"/>
        <v/>
      </c>
      <c r="CM127" s="418" t="str">
        <f t="shared" si="142"/>
        <v/>
      </c>
      <c r="CN127" s="418" t="str">
        <f t="shared" si="143"/>
        <v/>
      </c>
      <c r="CO127" s="418" t="str">
        <f t="shared" si="144"/>
        <v/>
      </c>
      <c r="CP127" s="418" t="str">
        <f t="shared" si="145"/>
        <v/>
      </c>
      <c r="CQ127" s="418" t="str">
        <f t="shared" si="146"/>
        <v/>
      </c>
      <c r="CR127" s="418" t="str">
        <f t="shared" si="147"/>
        <v/>
      </c>
      <c r="CS127" s="418" t="str">
        <f t="shared" si="148"/>
        <v/>
      </c>
      <c r="CT127" s="418" t="str">
        <f t="shared" si="149"/>
        <v/>
      </c>
      <c r="CU127" s="418" t="str">
        <f t="shared" si="150"/>
        <v/>
      </c>
      <c r="CV127" s="418" t="str">
        <f t="shared" si="151"/>
        <v/>
      </c>
      <c r="CW127" s="418" t="str">
        <f t="shared" si="152"/>
        <v/>
      </c>
      <c r="CX127" s="418" t="str">
        <f t="shared" si="153"/>
        <v/>
      </c>
      <c r="DE127" s="417"/>
      <c r="DF127" s="3389">
        <f t="shared" si="192"/>
        <v>0</v>
      </c>
      <c r="DG127" s="3375">
        <f t="shared" si="155"/>
        <v>0</v>
      </c>
      <c r="DH127" s="3375">
        <f t="shared" si="156"/>
        <v>0</v>
      </c>
      <c r="DI127" s="3375">
        <f t="shared" si="157"/>
        <v>0</v>
      </c>
      <c r="DJ127" s="3374"/>
      <c r="DK127" s="3374"/>
      <c r="DL127" s="3374"/>
      <c r="DM127" s="3374"/>
      <c r="DN127" s="3374"/>
      <c r="DO127" s="3375">
        <f t="shared" si="158"/>
        <v>0</v>
      </c>
      <c r="DP127" s="3375">
        <f t="shared" si="159"/>
        <v>0</v>
      </c>
      <c r="DQ127" s="3375">
        <f t="shared" si="160"/>
        <v>0</v>
      </c>
      <c r="DR127" s="3375">
        <f t="shared" si="161"/>
        <v>0</v>
      </c>
      <c r="DS127" s="3375">
        <f t="shared" si="162"/>
        <v>0</v>
      </c>
      <c r="DT127" s="3375">
        <f t="shared" si="163"/>
        <v>0</v>
      </c>
      <c r="DU127" s="3375">
        <f t="shared" si="164"/>
        <v>0</v>
      </c>
      <c r="DV127" s="3375">
        <f t="shared" si="165"/>
        <v>0</v>
      </c>
      <c r="DW127" s="3375">
        <f t="shared" si="166"/>
        <v>0</v>
      </c>
      <c r="DX127" s="3375">
        <f t="shared" si="167"/>
        <v>0</v>
      </c>
      <c r="DY127" s="3375">
        <f t="shared" si="168"/>
        <v>0</v>
      </c>
      <c r="DZ127" s="3375">
        <f t="shared" si="169"/>
        <v>0</v>
      </c>
      <c r="EA127" s="3375">
        <f t="shared" si="170"/>
        <v>0</v>
      </c>
      <c r="EB127" s="3375">
        <f t="shared" si="171"/>
        <v>0</v>
      </c>
      <c r="EC127" s="3375">
        <f t="shared" si="172"/>
        <v>0</v>
      </c>
    </row>
    <row r="128" spans="1:133">
      <c r="A128" s="2237" t="s">
        <v>1944</v>
      </c>
      <c r="B128" s="1737">
        <f t="shared" si="189"/>
        <v>0</v>
      </c>
      <c r="C128" s="1739">
        <f t="shared" si="189"/>
        <v>0</v>
      </c>
      <c r="D128" s="2880"/>
      <c r="E128" s="2885"/>
      <c r="F128" s="2381"/>
      <c r="G128" s="2885"/>
      <c r="H128" s="2381"/>
      <c r="I128" s="2885"/>
      <c r="J128" s="2381"/>
      <c r="K128" s="2885"/>
      <c r="L128" s="2381"/>
      <c r="M128" s="2382"/>
      <c r="N128" s="423"/>
      <c r="O128" s="3376"/>
      <c r="P128" s="425"/>
      <c r="Q128" s="3376"/>
      <c r="R128" s="425"/>
      <c r="S128" s="3376"/>
      <c r="T128" s="425"/>
      <c r="U128" s="3376"/>
      <c r="V128" s="425"/>
      <c r="W128" s="3376"/>
      <c r="X128" s="425"/>
      <c r="Y128" s="3376"/>
      <c r="Z128" s="425"/>
      <c r="AA128" s="3376"/>
      <c r="AB128" s="425"/>
      <c r="AC128" s="3376"/>
      <c r="AD128" s="425"/>
      <c r="AE128" s="3376"/>
      <c r="AF128" s="425"/>
      <c r="AG128" s="3376"/>
      <c r="AH128" s="425"/>
      <c r="AI128" s="3376"/>
      <c r="AJ128" s="425"/>
      <c r="AK128" s="3376"/>
      <c r="AL128" s="425"/>
      <c r="AM128" s="3376"/>
      <c r="AN128" s="425"/>
      <c r="AO128" s="3376"/>
      <c r="AP128" s="425"/>
      <c r="AQ128" s="426"/>
      <c r="AR128" s="423"/>
      <c r="AS128" s="426"/>
      <c r="AT128" s="3372"/>
      <c r="AU128" s="426"/>
      <c r="AV128" s="3392"/>
      <c r="AW128" s="2231"/>
      <c r="AX128" s="3373" t="str">
        <f t="shared" si="190"/>
        <v/>
      </c>
      <c r="CA128" s="418" t="str">
        <f>IF(B128&lt;&gt;(AS128+AR128)," * La suma de las columnas "&amp;AR$10&amp;""&amp;" DEBE SER IGUAL a los Exámenes Procesados. ","")</f>
        <v/>
      </c>
      <c r="CB128" s="418" t="str">
        <f t="shared" si="136"/>
        <v/>
      </c>
      <c r="CC128" s="418" t="str">
        <f t="shared" si="137"/>
        <v/>
      </c>
      <c r="CD128" s="418" t="str">
        <f t="shared" si="138"/>
        <v/>
      </c>
      <c r="CE128" s="3374"/>
      <c r="CF128" s="3374"/>
      <c r="CG128" s="3374"/>
      <c r="CH128" s="3374"/>
      <c r="CI128" s="3374"/>
      <c r="CJ128" s="418" t="str">
        <f t="shared" si="139"/>
        <v/>
      </c>
      <c r="CK128" s="418" t="str">
        <f t="shared" si="140"/>
        <v/>
      </c>
      <c r="CL128" s="418" t="str">
        <f t="shared" si="141"/>
        <v/>
      </c>
      <c r="CM128" s="418" t="str">
        <f t="shared" si="142"/>
        <v/>
      </c>
      <c r="CN128" s="418" t="str">
        <f t="shared" si="143"/>
        <v/>
      </c>
      <c r="CO128" s="418" t="str">
        <f t="shared" si="144"/>
        <v/>
      </c>
      <c r="CP128" s="418" t="str">
        <f t="shared" si="145"/>
        <v/>
      </c>
      <c r="CQ128" s="418" t="str">
        <f t="shared" si="146"/>
        <v/>
      </c>
      <c r="CR128" s="418" t="str">
        <f t="shared" si="147"/>
        <v/>
      </c>
      <c r="CS128" s="418" t="str">
        <f t="shared" si="148"/>
        <v/>
      </c>
      <c r="CT128" s="418" t="str">
        <f t="shared" si="149"/>
        <v/>
      </c>
      <c r="CU128" s="418" t="str">
        <f t="shared" si="150"/>
        <v/>
      </c>
      <c r="CV128" s="418" t="str">
        <f t="shared" si="151"/>
        <v/>
      </c>
      <c r="CW128" s="418" t="str">
        <f t="shared" si="152"/>
        <v/>
      </c>
      <c r="CX128" s="418" t="str">
        <f t="shared" si="153"/>
        <v/>
      </c>
      <c r="DE128" s="417"/>
      <c r="DF128" s="3389">
        <f>IF(B128&lt;&gt;(AS128+AR128),1,0)</f>
        <v>0</v>
      </c>
      <c r="DG128" s="3375">
        <f t="shared" si="155"/>
        <v>0</v>
      </c>
      <c r="DH128" s="3375">
        <f t="shared" si="156"/>
        <v>0</v>
      </c>
      <c r="DI128" s="3375">
        <f t="shared" si="157"/>
        <v>0</v>
      </c>
      <c r="DJ128" s="3374"/>
      <c r="DK128" s="3374"/>
      <c r="DL128" s="3374"/>
      <c r="DM128" s="3374"/>
      <c r="DN128" s="3374"/>
      <c r="DO128" s="3375">
        <f t="shared" si="158"/>
        <v>0</v>
      </c>
      <c r="DP128" s="3375">
        <f t="shared" si="159"/>
        <v>0</v>
      </c>
      <c r="DQ128" s="3375">
        <f t="shared" si="160"/>
        <v>0</v>
      </c>
      <c r="DR128" s="3375">
        <f t="shared" si="161"/>
        <v>0</v>
      </c>
      <c r="DS128" s="3375">
        <f t="shared" si="162"/>
        <v>0</v>
      </c>
      <c r="DT128" s="3375">
        <f t="shared" si="163"/>
        <v>0</v>
      </c>
      <c r="DU128" s="3375">
        <f t="shared" si="164"/>
        <v>0</v>
      </c>
      <c r="DV128" s="3375">
        <f t="shared" si="165"/>
        <v>0</v>
      </c>
      <c r="DW128" s="3375">
        <f t="shared" si="166"/>
        <v>0</v>
      </c>
      <c r="DX128" s="3375">
        <f t="shared" si="167"/>
        <v>0</v>
      </c>
      <c r="DY128" s="3375">
        <f t="shared" si="168"/>
        <v>0</v>
      </c>
      <c r="DZ128" s="3375">
        <f t="shared" si="169"/>
        <v>0</v>
      </c>
      <c r="EA128" s="3375">
        <f t="shared" si="170"/>
        <v>0</v>
      </c>
      <c r="EB128" s="3375">
        <f t="shared" si="171"/>
        <v>0</v>
      </c>
      <c r="EC128" s="3375">
        <f t="shared" si="172"/>
        <v>0</v>
      </c>
    </row>
    <row r="129" spans="1:133">
      <c r="A129" s="2237" t="s">
        <v>1945</v>
      </c>
      <c r="B129" s="1737">
        <f t="shared" si="189"/>
        <v>0</v>
      </c>
      <c r="C129" s="1739">
        <f t="shared" si="189"/>
        <v>0</v>
      </c>
      <c r="D129" s="2880"/>
      <c r="E129" s="2885"/>
      <c r="F129" s="2381"/>
      <c r="G129" s="2885"/>
      <c r="H129" s="2381"/>
      <c r="I129" s="2885"/>
      <c r="J129" s="2381"/>
      <c r="K129" s="2885"/>
      <c r="L129" s="2381"/>
      <c r="M129" s="2382"/>
      <c r="N129" s="423"/>
      <c r="O129" s="3376"/>
      <c r="P129" s="425"/>
      <c r="Q129" s="3376"/>
      <c r="R129" s="425"/>
      <c r="S129" s="3376"/>
      <c r="T129" s="425"/>
      <c r="U129" s="3376"/>
      <c r="V129" s="425"/>
      <c r="W129" s="3376"/>
      <c r="X129" s="425"/>
      <c r="Y129" s="3376"/>
      <c r="Z129" s="425"/>
      <c r="AA129" s="3376"/>
      <c r="AB129" s="425"/>
      <c r="AC129" s="3376"/>
      <c r="AD129" s="425"/>
      <c r="AE129" s="3376"/>
      <c r="AF129" s="425"/>
      <c r="AG129" s="3376"/>
      <c r="AH129" s="425"/>
      <c r="AI129" s="3376"/>
      <c r="AJ129" s="425"/>
      <c r="AK129" s="3376"/>
      <c r="AL129" s="425"/>
      <c r="AM129" s="3376"/>
      <c r="AN129" s="425"/>
      <c r="AO129" s="3376"/>
      <c r="AP129" s="425"/>
      <c r="AQ129" s="426"/>
      <c r="AR129" s="3371"/>
      <c r="AS129" s="426"/>
      <c r="AT129" s="3372"/>
      <c r="AU129" s="426"/>
      <c r="AV129" s="3392"/>
      <c r="AW129" s="2231"/>
      <c r="AX129" s="3373" t="str">
        <f t="shared" si="190"/>
        <v/>
      </c>
      <c r="CA129" s="418" t="str">
        <f t="shared" ref="CA129:CA131" si="193">IF(B129&lt;&gt;(AS129)," * La suma de las columnas "&amp;AR$10&amp;""&amp;" DEBE SER IGUAL a los Exámenes Procesados. ","")</f>
        <v/>
      </c>
      <c r="CB129" s="418" t="str">
        <f t="shared" si="136"/>
        <v/>
      </c>
      <c r="CC129" s="418" t="str">
        <f t="shared" si="137"/>
        <v/>
      </c>
      <c r="CD129" s="418" t="str">
        <f t="shared" si="138"/>
        <v/>
      </c>
      <c r="CE129" s="3374"/>
      <c r="CF129" s="3374"/>
      <c r="CG129" s="3374"/>
      <c r="CH129" s="3374"/>
      <c r="CI129" s="3374"/>
      <c r="CJ129" s="418" t="str">
        <f t="shared" si="139"/>
        <v/>
      </c>
      <c r="CK129" s="418" t="str">
        <f t="shared" si="140"/>
        <v/>
      </c>
      <c r="CL129" s="418" t="str">
        <f t="shared" si="141"/>
        <v/>
      </c>
      <c r="CM129" s="418" t="str">
        <f t="shared" si="142"/>
        <v/>
      </c>
      <c r="CN129" s="418" t="str">
        <f t="shared" si="143"/>
        <v/>
      </c>
      <c r="CO129" s="418" t="str">
        <f t="shared" si="144"/>
        <v/>
      </c>
      <c r="CP129" s="418" t="str">
        <f t="shared" si="145"/>
        <v/>
      </c>
      <c r="CQ129" s="418" t="str">
        <f t="shared" si="146"/>
        <v/>
      </c>
      <c r="CR129" s="418" t="str">
        <f t="shared" si="147"/>
        <v/>
      </c>
      <c r="CS129" s="418" t="str">
        <f t="shared" si="148"/>
        <v/>
      </c>
      <c r="CT129" s="418" t="str">
        <f t="shared" si="149"/>
        <v/>
      </c>
      <c r="CU129" s="418" t="str">
        <f t="shared" si="150"/>
        <v/>
      </c>
      <c r="CV129" s="418" t="str">
        <f t="shared" si="151"/>
        <v/>
      </c>
      <c r="CW129" s="418" t="str">
        <f t="shared" si="152"/>
        <v/>
      </c>
      <c r="CX129" s="418" t="str">
        <f t="shared" si="153"/>
        <v/>
      </c>
      <c r="DE129" s="417"/>
      <c r="DF129" s="3389">
        <f t="shared" ref="DF129:DF131" si="194">IF(B129&lt;&gt;(AS129),1,0)</f>
        <v>0</v>
      </c>
      <c r="DG129" s="3375">
        <f t="shared" si="155"/>
        <v>0</v>
      </c>
      <c r="DH129" s="3375">
        <f t="shared" si="156"/>
        <v>0</v>
      </c>
      <c r="DI129" s="3375">
        <f t="shared" si="157"/>
        <v>0</v>
      </c>
      <c r="DJ129" s="3374"/>
      <c r="DK129" s="3374"/>
      <c r="DL129" s="3374"/>
      <c r="DM129" s="3374"/>
      <c r="DN129" s="3374"/>
      <c r="DO129" s="3375">
        <f t="shared" si="158"/>
        <v>0</v>
      </c>
      <c r="DP129" s="3375">
        <f t="shared" si="159"/>
        <v>0</v>
      </c>
      <c r="DQ129" s="3375">
        <f t="shared" si="160"/>
        <v>0</v>
      </c>
      <c r="DR129" s="3375">
        <f t="shared" si="161"/>
        <v>0</v>
      </c>
      <c r="DS129" s="3375">
        <f t="shared" si="162"/>
        <v>0</v>
      </c>
      <c r="DT129" s="3375">
        <f t="shared" si="163"/>
        <v>0</v>
      </c>
      <c r="DU129" s="3375">
        <f t="shared" si="164"/>
        <v>0</v>
      </c>
      <c r="DV129" s="3375">
        <f t="shared" si="165"/>
        <v>0</v>
      </c>
      <c r="DW129" s="3375">
        <f t="shared" si="166"/>
        <v>0</v>
      </c>
      <c r="DX129" s="3375">
        <f t="shared" si="167"/>
        <v>0</v>
      </c>
      <c r="DY129" s="3375">
        <f t="shared" si="168"/>
        <v>0</v>
      </c>
      <c r="DZ129" s="3375">
        <f t="shared" si="169"/>
        <v>0</v>
      </c>
      <c r="EA129" s="3375">
        <f t="shared" si="170"/>
        <v>0</v>
      </c>
      <c r="EB129" s="3375">
        <f t="shared" si="171"/>
        <v>0</v>
      </c>
      <c r="EC129" s="3375">
        <f t="shared" si="172"/>
        <v>0</v>
      </c>
    </row>
    <row r="130" spans="1:133">
      <c r="A130" s="420" t="s">
        <v>1946</v>
      </c>
      <c r="B130" s="1737">
        <f t="shared" si="189"/>
        <v>0</v>
      </c>
      <c r="C130" s="1739">
        <f t="shared" si="189"/>
        <v>0</v>
      </c>
      <c r="D130" s="2880"/>
      <c r="E130" s="2885"/>
      <c r="F130" s="2381"/>
      <c r="G130" s="2885"/>
      <c r="H130" s="2381"/>
      <c r="I130" s="2885"/>
      <c r="J130" s="2381"/>
      <c r="K130" s="2885"/>
      <c r="L130" s="2381"/>
      <c r="M130" s="2382"/>
      <c r="N130" s="423"/>
      <c r="O130" s="3376"/>
      <c r="P130" s="425"/>
      <c r="Q130" s="3376"/>
      <c r="R130" s="425"/>
      <c r="S130" s="3376"/>
      <c r="T130" s="425"/>
      <c r="U130" s="3376"/>
      <c r="V130" s="425"/>
      <c r="W130" s="3376"/>
      <c r="X130" s="425"/>
      <c r="Y130" s="3376"/>
      <c r="Z130" s="425"/>
      <c r="AA130" s="3376"/>
      <c r="AB130" s="425"/>
      <c r="AC130" s="3376"/>
      <c r="AD130" s="425"/>
      <c r="AE130" s="3376"/>
      <c r="AF130" s="425"/>
      <c r="AG130" s="3376"/>
      <c r="AH130" s="425"/>
      <c r="AI130" s="3376"/>
      <c r="AJ130" s="425"/>
      <c r="AK130" s="3376"/>
      <c r="AL130" s="425"/>
      <c r="AM130" s="3376"/>
      <c r="AN130" s="425"/>
      <c r="AO130" s="3376"/>
      <c r="AP130" s="425"/>
      <c r="AQ130" s="426"/>
      <c r="AR130" s="3371"/>
      <c r="AS130" s="426"/>
      <c r="AT130" s="3372"/>
      <c r="AU130" s="426"/>
      <c r="AV130" s="3392"/>
      <c r="AW130" s="2231"/>
      <c r="AX130" s="3373" t="str">
        <f t="shared" si="190"/>
        <v/>
      </c>
      <c r="CA130" s="418" t="str">
        <f t="shared" si="193"/>
        <v/>
      </c>
      <c r="CB130" s="418" t="str">
        <f t="shared" si="136"/>
        <v/>
      </c>
      <c r="CC130" s="418" t="str">
        <f t="shared" si="137"/>
        <v/>
      </c>
      <c r="CD130" s="418" t="str">
        <f t="shared" si="138"/>
        <v/>
      </c>
      <c r="CE130" s="3374"/>
      <c r="CF130" s="3374"/>
      <c r="CG130" s="3374"/>
      <c r="CH130" s="3374"/>
      <c r="CI130" s="3374"/>
      <c r="CJ130" s="418" t="str">
        <f t="shared" si="139"/>
        <v/>
      </c>
      <c r="CK130" s="418" t="str">
        <f t="shared" si="140"/>
        <v/>
      </c>
      <c r="CL130" s="418" t="str">
        <f t="shared" si="141"/>
        <v/>
      </c>
      <c r="CM130" s="418" t="str">
        <f t="shared" si="142"/>
        <v/>
      </c>
      <c r="CN130" s="418" t="str">
        <f t="shared" si="143"/>
        <v/>
      </c>
      <c r="CO130" s="418" t="str">
        <f t="shared" si="144"/>
        <v/>
      </c>
      <c r="CP130" s="418" t="str">
        <f t="shared" si="145"/>
        <v/>
      </c>
      <c r="CQ130" s="418" t="str">
        <f t="shared" si="146"/>
        <v/>
      </c>
      <c r="CR130" s="418" t="str">
        <f t="shared" si="147"/>
        <v/>
      </c>
      <c r="CS130" s="418" t="str">
        <f t="shared" si="148"/>
        <v/>
      </c>
      <c r="CT130" s="418" t="str">
        <f t="shared" si="149"/>
        <v/>
      </c>
      <c r="CU130" s="418" t="str">
        <f t="shared" si="150"/>
        <v/>
      </c>
      <c r="CV130" s="418" t="str">
        <f t="shared" si="151"/>
        <v/>
      </c>
      <c r="CW130" s="418" t="str">
        <f t="shared" si="152"/>
        <v/>
      </c>
      <c r="CX130" s="418" t="str">
        <f t="shared" si="153"/>
        <v/>
      </c>
      <c r="DE130" s="417"/>
      <c r="DF130" s="3389">
        <f t="shared" si="194"/>
        <v>0</v>
      </c>
      <c r="DG130" s="3375">
        <f t="shared" si="155"/>
        <v>0</v>
      </c>
      <c r="DH130" s="3375">
        <f t="shared" si="156"/>
        <v>0</v>
      </c>
      <c r="DI130" s="3375">
        <f t="shared" si="157"/>
        <v>0</v>
      </c>
      <c r="DJ130" s="3374"/>
      <c r="DK130" s="3374"/>
      <c r="DL130" s="3374"/>
      <c r="DM130" s="3374"/>
      <c r="DN130" s="3374"/>
      <c r="DO130" s="3375">
        <f t="shared" si="158"/>
        <v>0</v>
      </c>
      <c r="DP130" s="3375">
        <f t="shared" si="159"/>
        <v>0</v>
      </c>
      <c r="DQ130" s="3375">
        <f t="shared" si="160"/>
        <v>0</v>
      </c>
      <c r="DR130" s="3375">
        <f t="shared" si="161"/>
        <v>0</v>
      </c>
      <c r="DS130" s="3375">
        <f t="shared" si="162"/>
        <v>0</v>
      </c>
      <c r="DT130" s="3375">
        <f t="shared" si="163"/>
        <v>0</v>
      </c>
      <c r="DU130" s="3375">
        <f t="shared" si="164"/>
        <v>0</v>
      </c>
      <c r="DV130" s="3375">
        <f t="shared" si="165"/>
        <v>0</v>
      </c>
      <c r="DW130" s="3375">
        <f t="shared" si="166"/>
        <v>0</v>
      </c>
      <c r="DX130" s="3375">
        <f t="shared" si="167"/>
        <v>0</v>
      </c>
      <c r="DY130" s="3375">
        <f t="shared" si="168"/>
        <v>0</v>
      </c>
      <c r="DZ130" s="3375">
        <f t="shared" si="169"/>
        <v>0</v>
      </c>
      <c r="EA130" s="3375">
        <f t="shared" si="170"/>
        <v>0</v>
      </c>
      <c r="EB130" s="3375">
        <f t="shared" si="171"/>
        <v>0</v>
      </c>
      <c r="EC130" s="3375">
        <f t="shared" si="172"/>
        <v>0</v>
      </c>
    </row>
    <row r="131" spans="1:133">
      <c r="A131" s="420" t="s">
        <v>1947</v>
      </c>
      <c r="B131" s="1737">
        <f>+D131+F131+H131+J131+L131+N131+P131+R131+T131+V131+X131+Z131+AB131+AD131+AF131+AH131+AJ131+AL131+AN131+AP131</f>
        <v>0</v>
      </c>
      <c r="C131" s="1739">
        <f>+E131+G131+I131+K131+M131+O131+Q131+S131+U131+W131+Y131+AA131+AC131+AE131+AG131+AI131+AK131+AM131+AO131+AQ131</f>
        <v>0</v>
      </c>
      <c r="D131" s="423"/>
      <c r="E131" s="3376"/>
      <c r="F131" s="425"/>
      <c r="G131" s="3376"/>
      <c r="H131" s="425"/>
      <c r="I131" s="424"/>
      <c r="J131" s="423"/>
      <c r="K131" s="423"/>
      <c r="L131" s="425"/>
      <c r="M131" s="424"/>
      <c r="N131" s="423"/>
      <c r="O131" s="3376"/>
      <c r="P131" s="425"/>
      <c r="Q131" s="3376"/>
      <c r="R131" s="425"/>
      <c r="S131" s="3376"/>
      <c r="T131" s="425"/>
      <c r="U131" s="3376"/>
      <c r="V131" s="425"/>
      <c r="W131" s="3376"/>
      <c r="X131" s="425"/>
      <c r="Y131" s="3376"/>
      <c r="Z131" s="425"/>
      <c r="AA131" s="3376"/>
      <c r="AB131" s="425"/>
      <c r="AC131" s="3376"/>
      <c r="AD131" s="425"/>
      <c r="AE131" s="3376"/>
      <c r="AF131" s="425"/>
      <c r="AG131" s="3376"/>
      <c r="AH131" s="425"/>
      <c r="AI131" s="3376"/>
      <c r="AJ131" s="425"/>
      <c r="AK131" s="3376"/>
      <c r="AL131" s="425"/>
      <c r="AM131" s="3376"/>
      <c r="AN131" s="425"/>
      <c r="AO131" s="3376"/>
      <c r="AP131" s="425"/>
      <c r="AQ131" s="426"/>
      <c r="AR131" s="3371"/>
      <c r="AS131" s="426"/>
      <c r="AT131" s="3372"/>
      <c r="AU131" s="426"/>
      <c r="AV131" s="3392"/>
      <c r="AW131" s="2231"/>
      <c r="AX131" s="3373" t="str">
        <f>$CA131&amp;CB131&amp;CC131&amp;$CD131&amp;CJ131&amp;CE131&amp;CF131&amp;CG131&amp;CH131&amp;CI131&amp;CK131&amp;CL131&amp;CM131&amp;CN131&amp;CO131&amp;CP131&amp;CQ131&amp;CR131&amp;CS131&amp;CT131&amp;CU131&amp;CV131&amp;CW131&amp;CX131</f>
        <v/>
      </c>
      <c r="CA131" s="418" t="str">
        <f t="shared" si="193"/>
        <v/>
      </c>
      <c r="CB131" s="418" t="str">
        <f t="shared" si="136"/>
        <v/>
      </c>
      <c r="CC131" s="418" t="str">
        <f t="shared" si="137"/>
        <v/>
      </c>
      <c r="CD131" s="418" t="str">
        <f t="shared" si="138"/>
        <v/>
      </c>
      <c r="CE131" s="418" t="str">
        <f t="shared" si="175"/>
        <v/>
      </c>
      <c r="CF131" s="418" t="str">
        <f t="shared" si="176"/>
        <v/>
      </c>
      <c r="CG131" s="418" t="str">
        <f t="shared" si="177"/>
        <v/>
      </c>
      <c r="CH131" s="418" t="str">
        <f t="shared" si="185"/>
        <v/>
      </c>
      <c r="CI131" s="418" t="str">
        <f t="shared" si="186"/>
        <v/>
      </c>
      <c r="CJ131" s="418" t="str">
        <f t="shared" si="139"/>
        <v/>
      </c>
      <c r="CK131" s="418" t="str">
        <f t="shared" si="140"/>
        <v/>
      </c>
      <c r="CL131" s="418" t="str">
        <f t="shared" si="141"/>
        <v/>
      </c>
      <c r="CM131" s="418" t="str">
        <f t="shared" si="142"/>
        <v/>
      </c>
      <c r="CN131" s="418" t="str">
        <f t="shared" si="143"/>
        <v/>
      </c>
      <c r="CO131" s="418" t="str">
        <f t="shared" si="144"/>
        <v/>
      </c>
      <c r="CP131" s="418" t="str">
        <f t="shared" si="145"/>
        <v/>
      </c>
      <c r="CQ131" s="418" t="str">
        <f t="shared" si="146"/>
        <v/>
      </c>
      <c r="CR131" s="418" t="str">
        <f t="shared" si="147"/>
        <v/>
      </c>
      <c r="CS131" s="418" t="str">
        <f t="shared" si="148"/>
        <v/>
      </c>
      <c r="CT131" s="418" t="str">
        <f t="shared" si="149"/>
        <v/>
      </c>
      <c r="CU131" s="418" t="str">
        <f t="shared" si="150"/>
        <v/>
      </c>
      <c r="CV131" s="418" t="str">
        <f t="shared" si="151"/>
        <v/>
      </c>
      <c r="CW131" s="418" t="str">
        <f t="shared" si="152"/>
        <v/>
      </c>
      <c r="CX131" s="418" t="str">
        <f t="shared" si="153"/>
        <v/>
      </c>
      <c r="DE131" s="417"/>
      <c r="DF131" s="3389">
        <f t="shared" si="194"/>
        <v>0</v>
      </c>
      <c r="DG131" s="3375">
        <f t="shared" si="155"/>
        <v>0</v>
      </c>
      <c r="DH131" s="3375">
        <f t="shared" si="156"/>
        <v>0</v>
      </c>
      <c r="DI131" s="3375">
        <f t="shared" si="157"/>
        <v>0</v>
      </c>
      <c r="DJ131" s="3375">
        <f t="shared" si="178"/>
        <v>0</v>
      </c>
      <c r="DK131" s="3375">
        <f t="shared" si="179"/>
        <v>0</v>
      </c>
      <c r="DL131" s="3375">
        <f t="shared" si="180"/>
        <v>0</v>
      </c>
      <c r="DM131" s="3375">
        <f t="shared" si="187"/>
        <v>0</v>
      </c>
      <c r="DN131" s="3375">
        <f t="shared" si="188"/>
        <v>0</v>
      </c>
      <c r="DO131" s="3375">
        <f t="shared" si="158"/>
        <v>0</v>
      </c>
      <c r="DP131" s="3375">
        <f t="shared" si="159"/>
        <v>0</v>
      </c>
      <c r="DQ131" s="3375">
        <f t="shared" si="160"/>
        <v>0</v>
      </c>
      <c r="DR131" s="3375">
        <f t="shared" si="161"/>
        <v>0</v>
      </c>
      <c r="DS131" s="3375">
        <f t="shared" si="162"/>
        <v>0</v>
      </c>
      <c r="DT131" s="3375">
        <f t="shared" si="163"/>
        <v>0</v>
      </c>
      <c r="DU131" s="3375">
        <f t="shared" si="164"/>
        <v>0</v>
      </c>
      <c r="DV131" s="3375">
        <f t="shared" si="165"/>
        <v>0</v>
      </c>
      <c r="DW131" s="3375">
        <f t="shared" si="166"/>
        <v>0</v>
      </c>
      <c r="DX131" s="3375">
        <f t="shared" si="167"/>
        <v>0</v>
      </c>
      <c r="DY131" s="3375">
        <f t="shared" si="168"/>
        <v>0</v>
      </c>
      <c r="DZ131" s="3375">
        <f t="shared" si="169"/>
        <v>0</v>
      </c>
      <c r="EA131" s="3375">
        <f t="shared" si="170"/>
        <v>0</v>
      </c>
      <c r="EB131" s="3375">
        <f t="shared" si="171"/>
        <v>0</v>
      </c>
      <c r="EC131" s="3375">
        <f t="shared" si="172"/>
        <v>0</v>
      </c>
    </row>
    <row r="132" spans="1:133" ht="21">
      <c r="A132" s="2237" t="s">
        <v>1948</v>
      </c>
      <c r="B132" s="1737">
        <f>+D132+F132+H132</f>
        <v>0</v>
      </c>
      <c r="C132" s="1739">
        <f>+E132+G132+I132</f>
        <v>0</v>
      </c>
      <c r="D132" s="423"/>
      <c r="E132" s="3376"/>
      <c r="F132" s="425"/>
      <c r="G132" s="3376"/>
      <c r="H132" s="425"/>
      <c r="I132" s="424"/>
      <c r="J132" s="3377"/>
      <c r="K132" s="3378"/>
      <c r="L132" s="3377"/>
      <c r="M132" s="3378"/>
      <c r="N132" s="3377"/>
      <c r="O132" s="3378"/>
      <c r="P132" s="3377"/>
      <c r="Q132" s="3378"/>
      <c r="R132" s="3377"/>
      <c r="S132" s="3378"/>
      <c r="T132" s="3377"/>
      <c r="U132" s="3378"/>
      <c r="V132" s="3377"/>
      <c r="W132" s="3378"/>
      <c r="X132" s="3377"/>
      <c r="Y132" s="3378"/>
      <c r="Z132" s="3377"/>
      <c r="AA132" s="3378"/>
      <c r="AB132" s="3377"/>
      <c r="AC132" s="3378"/>
      <c r="AD132" s="3377"/>
      <c r="AE132" s="3378"/>
      <c r="AF132" s="3377"/>
      <c r="AG132" s="3378"/>
      <c r="AH132" s="3377"/>
      <c r="AI132" s="3378"/>
      <c r="AJ132" s="3377"/>
      <c r="AK132" s="3378"/>
      <c r="AL132" s="3377"/>
      <c r="AM132" s="3378"/>
      <c r="AN132" s="3377"/>
      <c r="AO132" s="3378"/>
      <c r="AP132" s="3377"/>
      <c r="AQ132" s="3379"/>
      <c r="AR132" s="423"/>
      <c r="AS132" s="426"/>
      <c r="AT132" s="3372"/>
      <c r="AU132" s="426"/>
      <c r="AV132" s="3392"/>
      <c r="AW132" s="2231"/>
      <c r="AX132" s="3373" t="str">
        <f>$CA132&amp;CB132&amp;CC132&amp;$CD132&amp;CE132&amp;CF132&amp;CG132</f>
        <v/>
      </c>
      <c r="CA132" s="418" t="str">
        <f t="shared" ref="CA132:CA140" si="195">IF(B132&lt;&gt;(AS132+AR132)," * La suma de las columnas "&amp;AR$10&amp;""&amp;" DEBE SER IGUAL a los Exámenes Procesados. ","")</f>
        <v/>
      </c>
      <c r="CB132" s="418" t="str">
        <f t="shared" si="136"/>
        <v/>
      </c>
      <c r="CC132" s="418" t="str">
        <f t="shared" si="137"/>
        <v/>
      </c>
      <c r="CD132" s="418" t="str">
        <f t="shared" si="138"/>
        <v/>
      </c>
      <c r="CE132" s="418" t="str">
        <f t="shared" si="175"/>
        <v/>
      </c>
      <c r="CF132" s="418" t="str">
        <f t="shared" si="176"/>
        <v/>
      </c>
      <c r="CG132" s="418" t="str">
        <f t="shared" si="177"/>
        <v/>
      </c>
      <c r="CH132" s="3380"/>
      <c r="CI132" s="3380"/>
      <c r="CJ132" s="3381"/>
      <c r="CK132" s="3380"/>
      <c r="CL132" s="3380"/>
      <c r="CM132" s="3380"/>
      <c r="CN132" s="3380"/>
      <c r="CO132" s="3380"/>
      <c r="CP132" s="3380"/>
      <c r="CQ132" s="3380"/>
      <c r="CR132" s="3380"/>
      <c r="CS132" s="3380"/>
      <c r="CT132" s="3380"/>
      <c r="CU132" s="3380"/>
      <c r="CV132" s="3380"/>
      <c r="CW132" s="3380"/>
      <c r="CX132" s="3380"/>
      <c r="DE132" s="417"/>
      <c r="DF132" s="3389">
        <f t="shared" ref="DF132:DF140" si="196">IF(B132&lt;&gt;(AS132+AR132),1,0)</f>
        <v>0</v>
      </c>
      <c r="DG132" s="3375">
        <f t="shared" si="155"/>
        <v>0</v>
      </c>
      <c r="DH132" s="3375">
        <f t="shared" si="156"/>
        <v>0</v>
      </c>
      <c r="DI132" s="3375">
        <f t="shared" si="157"/>
        <v>0</v>
      </c>
      <c r="DJ132" s="3375">
        <f t="shared" si="178"/>
        <v>0</v>
      </c>
      <c r="DK132" s="3375">
        <f t="shared" si="179"/>
        <v>0</v>
      </c>
      <c r="DL132" s="3375">
        <f t="shared" si="180"/>
        <v>0</v>
      </c>
      <c r="DM132" s="3380"/>
      <c r="DN132" s="3380"/>
      <c r="DO132" s="3374"/>
      <c r="DP132" s="3374"/>
      <c r="DQ132" s="3374"/>
      <c r="DR132" s="3374"/>
      <c r="DS132" s="3374"/>
      <c r="DT132" s="3374"/>
      <c r="DU132" s="3374"/>
      <c r="DV132" s="3374"/>
      <c r="DW132" s="3374"/>
      <c r="DX132" s="3374"/>
      <c r="DY132" s="3374"/>
      <c r="DZ132" s="3374"/>
      <c r="EA132" s="3374"/>
      <c r="EB132" s="3374"/>
      <c r="EC132" s="3374"/>
    </row>
    <row r="133" spans="1:133">
      <c r="A133" s="2237" t="s">
        <v>1949</v>
      </c>
      <c r="B133" s="1737">
        <f>+P133+R133+T133+V133+X133+Z133+AB133+AD133+AF133+AH133+AJ133+AL133+AN133+AP133</f>
        <v>0</v>
      </c>
      <c r="C133" s="1739">
        <f>+Q133+S133+U133+W133+Y133+AA133+AC133+AE133+AG133+AI133+AK133+AM133+AO133+AQ133</f>
        <v>0</v>
      </c>
      <c r="D133" s="2880"/>
      <c r="E133" s="2885"/>
      <c r="F133" s="2381"/>
      <c r="G133" s="2885"/>
      <c r="H133" s="2381"/>
      <c r="I133" s="2885"/>
      <c r="J133" s="2381"/>
      <c r="K133" s="2885"/>
      <c r="L133" s="2381"/>
      <c r="M133" s="2382"/>
      <c r="N133" s="2880"/>
      <c r="O133" s="2885"/>
      <c r="P133" s="425"/>
      <c r="Q133" s="3376"/>
      <c r="R133" s="425"/>
      <c r="S133" s="3376"/>
      <c r="T133" s="425"/>
      <c r="U133" s="3376"/>
      <c r="V133" s="425"/>
      <c r="W133" s="3376"/>
      <c r="X133" s="425"/>
      <c r="Y133" s="3376"/>
      <c r="Z133" s="425"/>
      <c r="AA133" s="3376"/>
      <c r="AB133" s="425"/>
      <c r="AC133" s="3376"/>
      <c r="AD133" s="425"/>
      <c r="AE133" s="3376"/>
      <c r="AF133" s="425"/>
      <c r="AG133" s="3376"/>
      <c r="AH133" s="425"/>
      <c r="AI133" s="3376"/>
      <c r="AJ133" s="425"/>
      <c r="AK133" s="3376"/>
      <c r="AL133" s="425"/>
      <c r="AM133" s="3376"/>
      <c r="AN133" s="425"/>
      <c r="AO133" s="3376"/>
      <c r="AP133" s="425"/>
      <c r="AQ133" s="426"/>
      <c r="AR133" s="423"/>
      <c r="AS133" s="426"/>
      <c r="AT133" s="3372"/>
      <c r="AU133" s="426"/>
      <c r="AV133" s="3392"/>
      <c r="AW133" s="2231"/>
      <c r="AX133" s="3373" t="str">
        <f>$CA133&amp;CB133&amp;CC133&amp;$CD133&amp;CK133&amp;CL133&amp;CM133&amp;CN133&amp;CO133&amp;CP133&amp;CQ133&amp;CR133&amp;CS133&amp;CT133&amp;CU133&amp;CV133&amp;CW133&amp;CX133</f>
        <v/>
      </c>
      <c r="CA133" s="418" t="str">
        <f t="shared" si="195"/>
        <v/>
      </c>
      <c r="CB133" s="418" t="str">
        <f t="shared" si="136"/>
        <v/>
      </c>
      <c r="CC133" s="418" t="str">
        <f t="shared" si="137"/>
        <v/>
      </c>
      <c r="CD133" s="418" t="str">
        <f t="shared" si="138"/>
        <v/>
      </c>
      <c r="CE133" s="3381"/>
      <c r="CF133" s="3381"/>
      <c r="CG133" s="3380"/>
      <c r="CH133" s="3380"/>
      <c r="CI133" s="3380"/>
      <c r="CJ133" s="3381"/>
      <c r="CK133" s="418" t="str">
        <f t="shared" si="140"/>
        <v/>
      </c>
      <c r="CL133" s="418" t="str">
        <f t="shared" si="141"/>
        <v/>
      </c>
      <c r="CM133" s="418" t="str">
        <f t="shared" si="142"/>
        <v/>
      </c>
      <c r="CN133" s="418" t="str">
        <f t="shared" si="143"/>
        <v/>
      </c>
      <c r="CO133" s="418" t="str">
        <f t="shared" si="144"/>
        <v/>
      </c>
      <c r="CP133" s="418" t="str">
        <f t="shared" si="145"/>
        <v/>
      </c>
      <c r="CQ133" s="418" t="str">
        <f t="shared" si="146"/>
        <v/>
      </c>
      <c r="CR133" s="418" t="str">
        <f t="shared" si="147"/>
        <v/>
      </c>
      <c r="CS133" s="418" t="str">
        <f t="shared" si="148"/>
        <v/>
      </c>
      <c r="CT133" s="418" t="str">
        <f t="shared" si="149"/>
        <v/>
      </c>
      <c r="CU133" s="418" t="str">
        <f t="shared" si="150"/>
        <v/>
      </c>
      <c r="CV133" s="418" t="str">
        <f t="shared" si="151"/>
        <v/>
      </c>
      <c r="CW133" s="418" t="str">
        <f t="shared" si="152"/>
        <v/>
      </c>
      <c r="CX133" s="418" t="str">
        <f t="shared" si="153"/>
        <v/>
      </c>
      <c r="DE133" s="417"/>
      <c r="DF133" s="3389">
        <f t="shared" si="196"/>
        <v>0</v>
      </c>
      <c r="DG133" s="3375">
        <f t="shared" si="155"/>
        <v>0</v>
      </c>
      <c r="DH133" s="3375">
        <f t="shared" si="156"/>
        <v>0</v>
      </c>
      <c r="DI133" s="3375">
        <f t="shared" si="157"/>
        <v>0</v>
      </c>
      <c r="DJ133" s="3380"/>
      <c r="DK133" s="3380"/>
      <c r="DL133" s="3380"/>
      <c r="DM133" s="3380"/>
      <c r="DN133" s="3380"/>
      <c r="DO133" s="3374"/>
      <c r="DP133" s="3375">
        <f t="shared" si="159"/>
        <v>0</v>
      </c>
      <c r="DQ133" s="3375">
        <f t="shared" si="160"/>
        <v>0</v>
      </c>
      <c r="DR133" s="3375">
        <f t="shared" si="161"/>
        <v>0</v>
      </c>
      <c r="DS133" s="3375">
        <f t="shared" si="162"/>
        <v>0</v>
      </c>
      <c r="DT133" s="3375">
        <f t="shared" si="163"/>
        <v>0</v>
      </c>
      <c r="DU133" s="3375">
        <f t="shared" si="164"/>
        <v>0</v>
      </c>
      <c r="DV133" s="3375">
        <f t="shared" si="165"/>
        <v>0</v>
      </c>
      <c r="DW133" s="3375">
        <f t="shared" si="166"/>
        <v>0</v>
      </c>
      <c r="DX133" s="3375">
        <f t="shared" si="167"/>
        <v>0</v>
      </c>
      <c r="DY133" s="3375">
        <f t="shared" si="168"/>
        <v>0</v>
      </c>
      <c r="DZ133" s="3375">
        <f t="shared" si="169"/>
        <v>0</v>
      </c>
      <c r="EA133" s="3375">
        <f t="shared" si="170"/>
        <v>0</v>
      </c>
      <c r="EB133" s="3375">
        <f t="shared" si="171"/>
        <v>0</v>
      </c>
      <c r="EC133" s="3375">
        <f t="shared" si="172"/>
        <v>0</v>
      </c>
    </row>
    <row r="134" spans="1:133">
      <c r="A134" s="420" t="s">
        <v>1950</v>
      </c>
      <c r="B134" s="1737">
        <f>+N134+P134+R134+T134+V134+X134+Z134+AB134+AD134+AF134+AH134+AJ134+AL134+AN134+AP134</f>
        <v>0</v>
      </c>
      <c r="C134" s="1739">
        <f>+O134+Q134+S134+U134+W134+Y134+AA134+AC134+AE134+AG134+AI134+AK134+AM134+AO134+AQ134</f>
        <v>0</v>
      </c>
      <c r="D134" s="3371"/>
      <c r="E134" s="3378"/>
      <c r="F134" s="3377"/>
      <c r="G134" s="3378"/>
      <c r="H134" s="3377"/>
      <c r="I134" s="3382"/>
      <c r="J134" s="3371"/>
      <c r="K134" s="3371"/>
      <c r="L134" s="3377"/>
      <c r="M134" s="3382"/>
      <c r="N134" s="423"/>
      <c r="O134" s="3376"/>
      <c r="P134" s="425"/>
      <c r="Q134" s="3376"/>
      <c r="R134" s="425"/>
      <c r="S134" s="3376"/>
      <c r="T134" s="425"/>
      <c r="U134" s="3376"/>
      <c r="V134" s="425"/>
      <c r="W134" s="3376"/>
      <c r="X134" s="425"/>
      <c r="Y134" s="3376"/>
      <c r="Z134" s="425"/>
      <c r="AA134" s="3376"/>
      <c r="AB134" s="425"/>
      <c r="AC134" s="3376"/>
      <c r="AD134" s="425"/>
      <c r="AE134" s="3376"/>
      <c r="AF134" s="425"/>
      <c r="AG134" s="3376"/>
      <c r="AH134" s="425"/>
      <c r="AI134" s="3376"/>
      <c r="AJ134" s="425"/>
      <c r="AK134" s="3376"/>
      <c r="AL134" s="425"/>
      <c r="AM134" s="3376"/>
      <c r="AN134" s="425"/>
      <c r="AO134" s="3376"/>
      <c r="AP134" s="425"/>
      <c r="AQ134" s="426"/>
      <c r="AR134" s="423"/>
      <c r="AS134" s="426"/>
      <c r="AT134" s="3372"/>
      <c r="AU134" s="426"/>
      <c r="AV134" s="3392"/>
      <c r="AW134" s="2231"/>
      <c r="AX134" s="3373" t="str">
        <f>$CA134&amp;CB134&amp;CC134&amp;$CD134&amp;CJ134&amp;CK134&amp;CL134&amp;CM134&amp;CN134&amp;CO134&amp;CP134&amp;CQ134&amp;CR134&amp;CS134&amp;CT134&amp;CU134&amp;CV134&amp;CW134&amp;CX134</f>
        <v/>
      </c>
      <c r="CA134" s="418" t="str">
        <f t="shared" si="195"/>
        <v/>
      </c>
      <c r="CB134" s="418" t="str">
        <f t="shared" si="136"/>
        <v/>
      </c>
      <c r="CC134" s="418" t="str">
        <f t="shared" si="137"/>
        <v/>
      </c>
      <c r="CD134" s="418" t="str">
        <f t="shared" si="138"/>
        <v/>
      </c>
      <c r="CE134" s="3381"/>
      <c r="CF134" s="3381"/>
      <c r="CG134" s="3380"/>
      <c r="CH134" s="3380"/>
      <c r="CI134" s="3380"/>
      <c r="CJ134" s="418" t="str">
        <f t="shared" si="139"/>
        <v/>
      </c>
      <c r="CK134" s="418" t="str">
        <f t="shared" si="140"/>
        <v/>
      </c>
      <c r="CL134" s="418" t="str">
        <f t="shared" si="141"/>
        <v/>
      </c>
      <c r="CM134" s="418" t="str">
        <f t="shared" si="142"/>
        <v/>
      </c>
      <c r="CN134" s="418" t="str">
        <f t="shared" si="143"/>
        <v/>
      </c>
      <c r="CO134" s="418" t="str">
        <f t="shared" si="144"/>
        <v/>
      </c>
      <c r="CP134" s="418" t="str">
        <f t="shared" si="145"/>
        <v/>
      </c>
      <c r="CQ134" s="418" t="str">
        <f t="shared" si="146"/>
        <v/>
      </c>
      <c r="CR134" s="418" t="str">
        <f t="shared" si="147"/>
        <v/>
      </c>
      <c r="CS134" s="418" t="str">
        <f t="shared" si="148"/>
        <v/>
      </c>
      <c r="CT134" s="418" t="str">
        <f t="shared" si="149"/>
        <v/>
      </c>
      <c r="CU134" s="418" t="str">
        <f t="shared" si="150"/>
        <v/>
      </c>
      <c r="CV134" s="418" t="str">
        <f t="shared" si="151"/>
        <v/>
      </c>
      <c r="CW134" s="418" t="str">
        <f t="shared" si="152"/>
        <v/>
      </c>
      <c r="CX134" s="418" t="str">
        <f t="shared" si="153"/>
        <v/>
      </c>
      <c r="DE134" s="417"/>
      <c r="DF134" s="3389">
        <f t="shared" si="196"/>
        <v>0</v>
      </c>
      <c r="DG134" s="3375">
        <f t="shared" si="155"/>
        <v>0</v>
      </c>
      <c r="DH134" s="3375">
        <f t="shared" si="156"/>
        <v>0</v>
      </c>
      <c r="DI134" s="3375">
        <f t="shared" si="157"/>
        <v>0</v>
      </c>
      <c r="DJ134" s="3380"/>
      <c r="DK134" s="3380"/>
      <c r="DL134" s="3380"/>
      <c r="DM134" s="3380"/>
      <c r="DN134" s="3380"/>
      <c r="DO134" s="3375">
        <f t="shared" si="158"/>
        <v>0</v>
      </c>
      <c r="DP134" s="3375">
        <f t="shared" si="159"/>
        <v>0</v>
      </c>
      <c r="DQ134" s="3375">
        <f t="shared" si="160"/>
        <v>0</v>
      </c>
      <c r="DR134" s="3375">
        <f t="shared" si="161"/>
        <v>0</v>
      </c>
      <c r="DS134" s="3375">
        <f t="shared" si="162"/>
        <v>0</v>
      </c>
      <c r="DT134" s="3375">
        <f t="shared" si="163"/>
        <v>0</v>
      </c>
      <c r="DU134" s="3375">
        <f t="shared" si="164"/>
        <v>0</v>
      </c>
      <c r="DV134" s="3375">
        <f t="shared" si="165"/>
        <v>0</v>
      </c>
      <c r="DW134" s="3375">
        <f t="shared" si="166"/>
        <v>0</v>
      </c>
      <c r="DX134" s="3375">
        <f t="shared" si="167"/>
        <v>0</v>
      </c>
      <c r="DY134" s="3375">
        <f t="shared" si="168"/>
        <v>0</v>
      </c>
      <c r="DZ134" s="3375">
        <f t="shared" si="169"/>
        <v>0</v>
      </c>
      <c r="EA134" s="3375">
        <f t="shared" si="170"/>
        <v>0</v>
      </c>
      <c r="EB134" s="3375">
        <f t="shared" si="171"/>
        <v>0</v>
      </c>
      <c r="EC134" s="3375">
        <f t="shared" si="172"/>
        <v>0</v>
      </c>
    </row>
    <row r="135" spans="1:133">
      <c r="A135" s="420" t="s">
        <v>1951</v>
      </c>
      <c r="B135" s="1737">
        <f>+D135+F135+H135+J135+L135+N135+P135+R135+T135+V135+X135+Z135+AB135+AD135+AF135+AH135+AJ135+AL135+AN135+AP135</f>
        <v>0</v>
      </c>
      <c r="C135" s="1739">
        <f>+E135+G135+I135+K135+M135+O135+Q135+S135+U135+W135+Y135+AA135+AC135+AE135+AG135+AI135+AK135+AM135+AO135+AQ135</f>
        <v>0</v>
      </c>
      <c r="D135" s="423"/>
      <c r="E135" s="3376"/>
      <c r="F135" s="425"/>
      <c r="G135" s="3376"/>
      <c r="H135" s="425"/>
      <c r="I135" s="424"/>
      <c r="J135" s="423"/>
      <c r="K135" s="423"/>
      <c r="L135" s="425"/>
      <c r="M135" s="424"/>
      <c r="N135" s="423"/>
      <c r="O135" s="3376"/>
      <c r="P135" s="425"/>
      <c r="Q135" s="3376"/>
      <c r="R135" s="425"/>
      <c r="S135" s="3376"/>
      <c r="T135" s="425"/>
      <c r="U135" s="3376"/>
      <c r="V135" s="425"/>
      <c r="W135" s="3376"/>
      <c r="X135" s="425"/>
      <c r="Y135" s="3376"/>
      <c r="Z135" s="425"/>
      <c r="AA135" s="3376"/>
      <c r="AB135" s="425"/>
      <c r="AC135" s="3376"/>
      <c r="AD135" s="425"/>
      <c r="AE135" s="3376"/>
      <c r="AF135" s="425"/>
      <c r="AG135" s="3376"/>
      <c r="AH135" s="425"/>
      <c r="AI135" s="3376"/>
      <c r="AJ135" s="425"/>
      <c r="AK135" s="3376"/>
      <c r="AL135" s="425"/>
      <c r="AM135" s="3376"/>
      <c r="AN135" s="425"/>
      <c r="AO135" s="3376"/>
      <c r="AP135" s="425"/>
      <c r="AQ135" s="426"/>
      <c r="AR135" s="423"/>
      <c r="AS135" s="426"/>
      <c r="AT135" s="3372"/>
      <c r="AU135" s="426"/>
      <c r="AV135" s="3392"/>
      <c r="AW135" s="2231"/>
      <c r="AX135" s="3373" t="str">
        <f>$CA135&amp;CB135&amp;CC135&amp;$CD135&amp;CE135&amp;CF135&amp;CG135&amp;CH135&amp;CI135&amp;CJ135&amp;CK135&amp;CL135&amp;CM135&amp;CN135&amp;CO135&amp;CP135&amp;CQ135&amp;CR135&amp;CS135&amp;CT135&amp;CU135&amp;CV135&amp;CW135&amp;CX135</f>
        <v/>
      </c>
      <c r="CA135" s="418" t="str">
        <f t="shared" si="195"/>
        <v/>
      </c>
      <c r="CB135" s="418" t="str">
        <f t="shared" si="136"/>
        <v/>
      </c>
      <c r="CC135" s="418" t="str">
        <f t="shared" si="137"/>
        <v/>
      </c>
      <c r="CD135" s="418" t="str">
        <f t="shared" si="138"/>
        <v/>
      </c>
      <c r="CE135" s="418" t="str">
        <f t="shared" si="175"/>
        <v/>
      </c>
      <c r="CF135" s="418" t="str">
        <f t="shared" si="176"/>
        <v/>
      </c>
      <c r="CG135" s="418" t="str">
        <f t="shared" si="177"/>
        <v/>
      </c>
      <c r="CH135" s="418" t="str">
        <f t="shared" si="185"/>
        <v/>
      </c>
      <c r="CI135" s="418" t="str">
        <f t="shared" si="186"/>
        <v/>
      </c>
      <c r="CJ135" s="418" t="str">
        <f t="shared" si="139"/>
        <v/>
      </c>
      <c r="CK135" s="418" t="str">
        <f t="shared" si="140"/>
        <v/>
      </c>
      <c r="CL135" s="418" t="str">
        <f t="shared" si="141"/>
        <v/>
      </c>
      <c r="CM135" s="418" t="str">
        <f t="shared" si="142"/>
        <v/>
      </c>
      <c r="CN135" s="418" t="str">
        <f t="shared" si="143"/>
        <v/>
      </c>
      <c r="CO135" s="418" t="str">
        <f t="shared" si="144"/>
        <v/>
      </c>
      <c r="CP135" s="418" t="str">
        <f t="shared" si="145"/>
        <v/>
      </c>
      <c r="CQ135" s="418" t="str">
        <f t="shared" si="146"/>
        <v/>
      </c>
      <c r="CR135" s="418" t="str">
        <f t="shared" si="147"/>
        <v/>
      </c>
      <c r="CS135" s="418" t="str">
        <f t="shared" si="148"/>
        <v/>
      </c>
      <c r="CT135" s="418" t="str">
        <f t="shared" si="149"/>
        <v/>
      </c>
      <c r="CU135" s="418" t="str">
        <f t="shared" si="150"/>
        <v/>
      </c>
      <c r="CV135" s="418" t="str">
        <f t="shared" si="151"/>
        <v/>
      </c>
      <c r="CW135" s="418" t="str">
        <f t="shared" si="152"/>
        <v/>
      </c>
      <c r="CX135" s="418" t="str">
        <f t="shared" si="153"/>
        <v/>
      </c>
      <c r="DE135" s="417"/>
      <c r="DF135" s="3389">
        <f t="shared" si="196"/>
        <v>0</v>
      </c>
      <c r="DG135" s="3375">
        <f t="shared" si="155"/>
        <v>0</v>
      </c>
      <c r="DH135" s="3375">
        <f t="shared" si="156"/>
        <v>0</v>
      </c>
      <c r="DI135" s="3375">
        <f t="shared" si="157"/>
        <v>0</v>
      </c>
      <c r="DJ135" s="3375">
        <f t="shared" si="178"/>
        <v>0</v>
      </c>
      <c r="DK135" s="3375">
        <f t="shared" si="179"/>
        <v>0</v>
      </c>
      <c r="DL135" s="3375">
        <f t="shared" si="180"/>
        <v>0</v>
      </c>
      <c r="DM135" s="3375">
        <f t="shared" si="187"/>
        <v>0</v>
      </c>
      <c r="DN135" s="3375">
        <f t="shared" si="188"/>
        <v>0</v>
      </c>
      <c r="DO135" s="3375">
        <f t="shared" si="158"/>
        <v>0</v>
      </c>
      <c r="DP135" s="3375">
        <f t="shared" si="159"/>
        <v>0</v>
      </c>
      <c r="DQ135" s="3375">
        <f t="shared" si="160"/>
        <v>0</v>
      </c>
      <c r="DR135" s="3375">
        <f t="shared" si="161"/>
        <v>0</v>
      </c>
      <c r="DS135" s="3375">
        <f t="shared" si="162"/>
        <v>0</v>
      </c>
      <c r="DT135" s="3375">
        <f t="shared" si="163"/>
        <v>0</v>
      </c>
      <c r="DU135" s="3375">
        <f t="shared" si="164"/>
        <v>0</v>
      </c>
      <c r="DV135" s="3375">
        <f t="shared" si="165"/>
        <v>0</v>
      </c>
      <c r="DW135" s="3375">
        <f t="shared" si="166"/>
        <v>0</v>
      </c>
      <c r="DX135" s="3375">
        <f t="shared" si="167"/>
        <v>0</v>
      </c>
      <c r="DY135" s="3375">
        <f t="shared" si="168"/>
        <v>0</v>
      </c>
      <c r="DZ135" s="3375">
        <f t="shared" si="169"/>
        <v>0</v>
      </c>
      <c r="EA135" s="3375">
        <f t="shared" si="170"/>
        <v>0</v>
      </c>
      <c r="EB135" s="3375">
        <f t="shared" si="171"/>
        <v>0</v>
      </c>
      <c r="EC135" s="3375">
        <f t="shared" si="172"/>
        <v>0</v>
      </c>
    </row>
    <row r="136" spans="1:133">
      <c r="A136" s="2387" t="s">
        <v>1952</v>
      </c>
      <c r="B136" s="1737">
        <f>+P136+R136+T136+V136+X136+Z136+AB136+AD136+AF136+AH136+AJ136+AL136+AN136+AP136</f>
        <v>0</v>
      </c>
      <c r="C136" s="1739">
        <f>+Q136+S136+U136+W136+Y136+AA136+AC136+AE136+AG136+AI136+AK136+AM136+AO136+AQ136</f>
        <v>0</v>
      </c>
      <c r="D136" s="2880"/>
      <c r="E136" s="2885"/>
      <c r="F136" s="2381"/>
      <c r="G136" s="2885"/>
      <c r="H136" s="2381"/>
      <c r="I136" s="2885"/>
      <c r="J136" s="2381"/>
      <c r="K136" s="2885"/>
      <c r="L136" s="2381"/>
      <c r="M136" s="2382"/>
      <c r="N136" s="2880"/>
      <c r="O136" s="2885"/>
      <c r="P136" s="425"/>
      <c r="Q136" s="3376"/>
      <c r="R136" s="425"/>
      <c r="S136" s="3376"/>
      <c r="T136" s="425"/>
      <c r="U136" s="3376"/>
      <c r="V136" s="425"/>
      <c r="W136" s="3376"/>
      <c r="X136" s="425"/>
      <c r="Y136" s="3376"/>
      <c r="Z136" s="425"/>
      <c r="AA136" s="3376"/>
      <c r="AB136" s="425"/>
      <c r="AC136" s="3376"/>
      <c r="AD136" s="425"/>
      <c r="AE136" s="3376"/>
      <c r="AF136" s="425"/>
      <c r="AG136" s="3376"/>
      <c r="AH136" s="425"/>
      <c r="AI136" s="3376"/>
      <c r="AJ136" s="425"/>
      <c r="AK136" s="3376"/>
      <c r="AL136" s="425"/>
      <c r="AM136" s="3376"/>
      <c r="AN136" s="425"/>
      <c r="AO136" s="3376"/>
      <c r="AP136" s="425"/>
      <c r="AQ136" s="426"/>
      <c r="AR136" s="423"/>
      <c r="AS136" s="426"/>
      <c r="AT136" s="3372"/>
      <c r="AU136" s="426"/>
      <c r="AV136" s="3392"/>
      <c r="AW136" s="2231"/>
      <c r="AX136" s="3373" t="str">
        <f>$CA136&amp;CB136&amp;CC136&amp;$CD136&amp;CJ136&amp;CK136&amp;CL136&amp;CM136&amp;CN136&amp;CO136&amp;CP136&amp;CQ136&amp;CR136&amp;CS136&amp;CT136&amp;CU136&amp;CV136&amp;CW136&amp;CX136</f>
        <v/>
      </c>
      <c r="CA136" s="418" t="str">
        <f t="shared" si="195"/>
        <v/>
      </c>
      <c r="CB136" s="418" t="str">
        <f t="shared" si="136"/>
        <v/>
      </c>
      <c r="CC136" s="418" t="str">
        <f t="shared" si="137"/>
        <v/>
      </c>
      <c r="CD136" s="418" t="str">
        <f t="shared" si="138"/>
        <v/>
      </c>
      <c r="CE136" s="3381"/>
      <c r="CF136" s="3381"/>
      <c r="CG136" s="3380"/>
      <c r="CH136" s="3380"/>
      <c r="CI136" s="3380"/>
      <c r="CJ136" s="3381"/>
      <c r="CK136" s="418" t="str">
        <f t="shared" si="140"/>
        <v/>
      </c>
      <c r="CL136" s="418" t="str">
        <f t="shared" si="141"/>
        <v/>
      </c>
      <c r="CM136" s="418" t="str">
        <f t="shared" si="142"/>
        <v/>
      </c>
      <c r="CN136" s="418" t="str">
        <f t="shared" si="143"/>
        <v/>
      </c>
      <c r="CO136" s="418" t="str">
        <f t="shared" si="144"/>
        <v/>
      </c>
      <c r="CP136" s="418" t="str">
        <f t="shared" si="145"/>
        <v/>
      </c>
      <c r="CQ136" s="418" t="str">
        <f t="shared" si="146"/>
        <v/>
      </c>
      <c r="CR136" s="418" t="str">
        <f t="shared" si="147"/>
        <v/>
      </c>
      <c r="CS136" s="418" t="str">
        <f t="shared" si="148"/>
        <v/>
      </c>
      <c r="CT136" s="418" t="str">
        <f t="shared" si="149"/>
        <v/>
      </c>
      <c r="CU136" s="418" t="str">
        <f t="shared" si="150"/>
        <v/>
      </c>
      <c r="CV136" s="418" t="str">
        <f t="shared" si="151"/>
        <v/>
      </c>
      <c r="CW136" s="418" t="str">
        <f t="shared" si="152"/>
        <v/>
      </c>
      <c r="CX136" s="418" t="str">
        <f t="shared" si="153"/>
        <v/>
      </c>
      <c r="DE136" s="417"/>
      <c r="DF136" s="3389">
        <f t="shared" si="196"/>
        <v>0</v>
      </c>
      <c r="DG136" s="3375">
        <f t="shared" si="155"/>
        <v>0</v>
      </c>
      <c r="DH136" s="3375">
        <f t="shared" si="156"/>
        <v>0</v>
      </c>
      <c r="DI136" s="3375">
        <f t="shared" si="157"/>
        <v>0</v>
      </c>
      <c r="DJ136" s="3380"/>
      <c r="DK136" s="3380"/>
      <c r="DL136" s="3380"/>
      <c r="DM136" s="3380"/>
      <c r="DN136" s="3380"/>
      <c r="DO136" s="3374"/>
      <c r="DP136" s="3375">
        <f t="shared" si="159"/>
        <v>0</v>
      </c>
      <c r="DQ136" s="3375">
        <f t="shared" si="160"/>
        <v>0</v>
      </c>
      <c r="DR136" s="3375">
        <f t="shared" si="161"/>
        <v>0</v>
      </c>
      <c r="DS136" s="3375">
        <f t="shared" si="162"/>
        <v>0</v>
      </c>
      <c r="DT136" s="3375">
        <f t="shared" si="163"/>
        <v>0</v>
      </c>
      <c r="DU136" s="3375">
        <f t="shared" si="164"/>
        <v>0</v>
      </c>
      <c r="DV136" s="3375">
        <f t="shared" si="165"/>
        <v>0</v>
      </c>
      <c r="DW136" s="3375">
        <f t="shared" si="166"/>
        <v>0</v>
      </c>
      <c r="DX136" s="3375">
        <f t="shared" si="167"/>
        <v>0</v>
      </c>
      <c r="DY136" s="3375">
        <f t="shared" si="168"/>
        <v>0</v>
      </c>
      <c r="DZ136" s="3375">
        <f t="shared" si="169"/>
        <v>0</v>
      </c>
      <c r="EA136" s="3375">
        <f t="shared" si="170"/>
        <v>0</v>
      </c>
      <c r="EB136" s="3375">
        <f t="shared" si="171"/>
        <v>0</v>
      </c>
      <c r="EC136" s="3375">
        <f t="shared" si="172"/>
        <v>0</v>
      </c>
    </row>
    <row r="137" spans="1:133">
      <c r="A137" s="420" t="s">
        <v>1953</v>
      </c>
      <c r="B137" s="1737">
        <f>+P137+R137+T137+V137+X137+Z137+AB137+AD137+AF137+AH137</f>
        <v>0</v>
      </c>
      <c r="C137" s="1739">
        <f>+Q137+S137+U137+W137+Y137+AA137+AC137+AE137+AG137+AI137</f>
        <v>0</v>
      </c>
      <c r="D137" s="2880"/>
      <c r="E137" s="2885"/>
      <c r="F137" s="2381"/>
      <c r="G137" s="2885"/>
      <c r="H137" s="2381"/>
      <c r="I137" s="2885"/>
      <c r="J137" s="2381"/>
      <c r="K137" s="2885"/>
      <c r="L137" s="2381"/>
      <c r="M137" s="2382"/>
      <c r="N137" s="2880"/>
      <c r="O137" s="2885"/>
      <c r="P137" s="425"/>
      <c r="Q137" s="3376"/>
      <c r="R137" s="425"/>
      <c r="S137" s="3376"/>
      <c r="T137" s="425"/>
      <c r="U137" s="3376"/>
      <c r="V137" s="425"/>
      <c r="W137" s="3376"/>
      <c r="X137" s="425"/>
      <c r="Y137" s="3376"/>
      <c r="Z137" s="425"/>
      <c r="AA137" s="3376"/>
      <c r="AB137" s="425"/>
      <c r="AC137" s="3376"/>
      <c r="AD137" s="425"/>
      <c r="AE137" s="3376"/>
      <c r="AF137" s="425"/>
      <c r="AG137" s="3376"/>
      <c r="AH137" s="425"/>
      <c r="AI137" s="3376"/>
      <c r="AJ137" s="2381"/>
      <c r="AK137" s="2885"/>
      <c r="AL137" s="2381"/>
      <c r="AM137" s="2885"/>
      <c r="AN137" s="2381"/>
      <c r="AO137" s="2885"/>
      <c r="AP137" s="2381"/>
      <c r="AQ137" s="2882"/>
      <c r="AR137" s="423"/>
      <c r="AS137" s="426"/>
      <c r="AT137" s="3372"/>
      <c r="AU137" s="426"/>
      <c r="AV137" s="3392"/>
      <c r="AW137" s="2231"/>
      <c r="AX137" s="3373" t="str">
        <f>$CA137&amp;CB137&amp;CC137&amp;$CD137&amp;CK137&amp;CL137&amp;CM137&amp;CN137&amp;CO137&amp;CP137&amp;CQ137&amp;CR137&amp;CS137&amp;CT137</f>
        <v/>
      </c>
      <c r="CA137" s="418" t="str">
        <f t="shared" si="195"/>
        <v/>
      </c>
      <c r="CB137" s="418" t="str">
        <f t="shared" si="136"/>
        <v/>
      </c>
      <c r="CC137" s="418" t="str">
        <f t="shared" si="137"/>
        <v/>
      </c>
      <c r="CD137" s="418" t="str">
        <f t="shared" si="138"/>
        <v/>
      </c>
      <c r="CE137" s="3381"/>
      <c r="CF137" s="3381"/>
      <c r="CG137" s="3380"/>
      <c r="CH137" s="3380"/>
      <c r="CI137" s="3380"/>
      <c r="CJ137" s="3381"/>
      <c r="CK137" s="418" t="str">
        <f t="shared" si="140"/>
        <v/>
      </c>
      <c r="CL137" s="418" t="str">
        <f t="shared" si="141"/>
        <v/>
      </c>
      <c r="CM137" s="418" t="str">
        <f t="shared" si="142"/>
        <v/>
      </c>
      <c r="CN137" s="418" t="str">
        <f t="shared" si="143"/>
        <v/>
      </c>
      <c r="CO137" s="418" t="str">
        <f t="shared" si="144"/>
        <v/>
      </c>
      <c r="CP137" s="418" t="str">
        <f t="shared" si="145"/>
        <v/>
      </c>
      <c r="CQ137" s="418" t="str">
        <f t="shared" si="146"/>
        <v/>
      </c>
      <c r="CR137" s="418" t="str">
        <f t="shared" si="147"/>
        <v/>
      </c>
      <c r="CS137" s="418" t="str">
        <f t="shared" si="148"/>
        <v/>
      </c>
      <c r="CT137" s="418" t="str">
        <f t="shared" si="149"/>
        <v/>
      </c>
      <c r="CU137" s="3374"/>
      <c r="CV137" s="3374"/>
      <c r="CW137" s="3374"/>
      <c r="CX137" s="3374"/>
      <c r="DE137" s="417"/>
      <c r="DF137" s="3389">
        <f t="shared" si="196"/>
        <v>0</v>
      </c>
      <c r="DG137" s="3375">
        <f t="shared" si="155"/>
        <v>0</v>
      </c>
      <c r="DH137" s="3375">
        <f t="shared" si="156"/>
        <v>0</v>
      </c>
      <c r="DI137" s="3375">
        <f t="shared" si="157"/>
        <v>0</v>
      </c>
      <c r="DJ137" s="3380"/>
      <c r="DK137" s="3380"/>
      <c r="DL137" s="3380"/>
      <c r="DM137" s="3380"/>
      <c r="DN137" s="3380"/>
      <c r="DO137" s="3374"/>
      <c r="DP137" s="3375">
        <f t="shared" si="159"/>
        <v>0</v>
      </c>
      <c r="DQ137" s="3375">
        <f t="shared" si="160"/>
        <v>0</v>
      </c>
      <c r="DR137" s="3375">
        <f t="shared" si="161"/>
        <v>0</v>
      </c>
      <c r="DS137" s="3375">
        <f t="shared" si="162"/>
        <v>0</v>
      </c>
      <c r="DT137" s="3375">
        <f t="shared" si="163"/>
        <v>0</v>
      </c>
      <c r="DU137" s="3375">
        <f t="shared" si="164"/>
        <v>0</v>
      </c>
      <c r="DV137" s="3375">
        <f t="shared" si="165"/>
        <v>0</v>
      </c>
      <c r="DW137" s="3375">
        <f t="shared" si="166"/>
        <v>0</v>
      </c>
      <c r="DX137" s="3375">
        <f t="shared" si="167"/>
        <v>0</v>
      </c>
      <c r="DY137" s="3375">
        <f t="shared" si="168"/>
        <v>0</v>
      </c>
      <c r="DZ137" s="3374"/>
      <c r="EA137" s="3374"/>
      <c r="EB137" s="3374"/>
      <c r="EC137" s="3374"/>
    </row>
    <row r="138" spans="1:133">
      <c r="A138" s="420" t="s">
        <v>1954</v>
      </c>
      <c r="B138" s="1737">
        <f t="shared" ref="B138:C140" si="197">+D138+F138+H138+J138+L138+N138+P138+R138+T138+V138+X138+Z138+AB138+AD138+AF138+AH138+AJ138+AL138+AN138+AP138</f>
        <v>0</v>
      </c>
      <c r="C138" s="1739">
        <f t="shared" si="197"/>
        <v>0</v>
      </c>
      <c r="D138" s="423"/>
      <c r="E138" s="3376"/>
      <c r="F138" s="425"/>
      <c r="G138" s="3376"/>
      <c r="H138" s="425"/>
      <c r="I138" s="424"/>
      <c r="J138" s="423"/>
      <c r="K138" s="423"/>
      <c r="L138" s="425"/>
      <c r="M138" s="424"/>
      <c r="N138" s="423"/>
      <c r="O138" s="3376"/>
      <c r="P138" s="425"/>
      <c r="Q138" s="3376"/>
      <c r="R138" s="425"/>
      <c r="S138" s="3376"/>
      <c r="T138" s="425"/>
      <c r="U138" s="3376"/>
      <c r="V138" s="425"/>
      <c r="W138" s="3376"/>
      <c r="X138" s="425"/>
      <c r="Y138" s="3376"/>
      <c r="Z138" s="425"/>
      <c r="AA138" s="3376"/>
      <c r="AB138" s="425"/>
      <c r="AC138" s="3376"/>
      <c r="AD138" s="425"/>
      <c r="AE138" s="3376"/>
      <c r="AF138" s="425"/>
      <c r="AG138" s="3376"/>
      <c r="AH138" s="425"/>
      <c r="AI138" s="3376"/>
      <c r="AJ138" s="425"/>
      <c r="AK138" s="3376"/>
      <c r="AL138" s="425"/>
      <c r="AM138" s="3376"/>
      <c r="AN138" s="425"/>
      <c r="AO138" s="3376"/>
      <c r="AP138" s="425"/>
      <c r="AQ138" s="426"/>
      <c r="AR138" s="423"/>
      <c r="AS138" s="426"/>
      <c r="AT138" s="3372"/>
      <c r="AU138" s="426"/>
      <c r="AV138" s="3392"/>
      <c r="AW138" s="2231"/>
      <c r="AX138" s="3373" t="str">
        <f t="shared" ref="AX138:AX140" si="198">$CA138&amp;CB138&amp;CC138&amp;$CD138&amp;CJ138&amp;CK138&amp;CL138&amp;CM138&amp;CN138&amp;CO138&amp;CP138&amp;CQ138&amp;CR138&amp;CS138&amp;CT138&amp;CU138&amp;CV138&amp;CW138&amp;CX138&amp;CE138&amp;CF138&amp;CG138&amp;CH138&amp;CI138</f>
        <v/>
      </c>
      <c r="CA138" s="418" t="str">
        <f t="shared" si="195"/>
        <v/>
      </c>
      <c r="CB138" s="418" t="str">
        <f t="shared" si="136"/>
        <v/>
      </c>
      <c r="CC138" s="418" t="str">
        <f t="shared" si="137"/>
        <v/>
      </c>
      <c r="CD138" s="418" t="str">
        <f t="shared" si="138"/>
        <v/>
      </c>
      <c r="CE138" s="418" t="str">
        <f t="shared" si="175"/>
        <v/>
      </c>
      <c r="CF138" s="418" t="str">
        <f t="shared" si="176"/>
        <v/>
      </c>
      <c r="CG138" s="418" t="str">
        <f t="shared" si="177"/>
        <v/>
      </c>
      <c r="CH138" s="418" t="str">
        <f t="shared" si="185"/>
        <v/>
      </c>
      <c r="CI138" s="418" t="str">
        <f t="shared" si="186"/>
        <v/>
      </c>
      <c r="CJ138" s="418" t="str">
        <f t="shared" si="139"/>
        <v/>
      </c>
      <c r="CK138" s="418" t="str">
        <f t="shared" si="140"/>
        <v/>
      </c>
      <c r="CL138" s="418" t="str">
        <f t="shared" si="141"/>
        <v/>
      </c>
      <c r="CM138" s="418" t="str">
        <f t="shared" si="142"/>
        <v/>
      </c>
      <c r="CN138" s="418" t="str">
        <f t="shared" si="143"/>
        <v/>
      </c>
      <c r="CO138" s="418" t="str">
        <f t="shared" si="144"/>
        <v/>
      </c>
      <c r="CP138" s="418" t="str">
        <f t="shared" si="145"/>
        <v/>
      </c>
      <c r="CQ138" s="418" t="str">
        <f t="shared" si="146"/>
        <v/>
      </c>
      <c r="CR138" s="418" t="str">
        <f t="shared" si="147"/>
        <v/>
      </c>
      <c r="CS138" s="418" t="str">
        <f t="shared" si="148"/>
        <v/>
      </c>
      <c r="CT138" s="418" t="str">
        <f t="shared" si="149"/>
        <v/>
      </c>
      <c r="CU138" s="418" t="str">
        <f t="shared" si="150"/>
        <v/>
      </c>
      <c r="CV138" s="418" t="str">
        <f t="shared" si="151"/>
        <v/>
      </c>
      <c r="CW138" s="418" t="str">
        <f t="shared" si="152"/>
        <v/>
      </c>
      <c r="CX138" s="418" t="str">
        <f t="shared" si="153"/>
        <v/>
      </c>
      <c r="DE138" s="417"/>
      <c r="DF138" s="3389">
        <f t="shared" si="196"/>
        <v>0</v>
      </c>
      <c r="DG138" s="3375">
        <f t="shared" si="155"/>
        <v>0</v>
      </c>
      <c r="DH138" s="3375">
        <f t="shared" si="156"/>
        <v>0</v>
      </c>
      <c r="DI138" s="3375">
        <f t="shared" si="157"/>
        <v>0</v>
      </c>
      <c r="DJ138" s="3375">
        <f t="shared" si="178"/>
        <v>0</v>
      </c>
      <c r="DK138" s="3375">
        <f t="shared" si="179"/>
        <v>0</v>
      </c>
      <c r="DL138" s="3375">
        <f t="shared" si="180"/>
        <v>0</v>
      </c>
      <c r="DM138" s="3375">
        <f t="shared" si="187"/>
        <v>0</v>
      </c>
      <c r="DN138" s="3375">
        <f t="shared" si="188"/>
        <v>0</v>
      </c>
      <c r="DO138" s="3375">
        <f t="shared" si="158"/>
        <v>0</v>
      </c>
      <c r="DP138" s="3375">
        <f t="shared" si="159"/>
        <v>0</v>
      </c>
      <c r="DQ138" s="3375">
        <f t="shared" si="160"/>
        <v>0</v>
      </c>
      <c r="DR138" s="3375">
        <f t="shared" si="161"/>
        <v>0</v>
      </c>
      <c r="DS138" s="3375">
        <f t="shared" si="162"/>
        <v>0</v>
      </c>
      <c r="DT138" s="3375">
        <f t="shared" si="163"/>
        <v>0</v>
      </c>
      <c r="DU138" s="3375">
        <f t="shared" si="164"/>
        <v>0</v>
      </c>
      <c r="DV138" s="3375">
        <f t="shared" si="165"/>
        <v>0</v>
      </c>
      <c r="DW138" s="3375">
        <f t="shared" si="166"/>
        <v>0</v>
      </c>
      <c r="DX138" s="3375">
        <f t="shared" si="167"/>
        <v>0</v>
      </c>
      <c r="DY138" s="3375">
        <f t="shared" si="168"/>
        <v>0</v>
      </c>
      <c r="DZ138" s="3375">
        <f t="shared" si="169"/>
        <v>0</v>
      </c>
      <c r="EA138" s="3375">
        <f t="shared" si="170"/>
        <v>0</v>
      </c>
      <c r="EB138" s="3375">
        <f t="shared" si="171"/>
        <v>0</v>
      </c>
      <c r="EC138" s="3375">
        <f t="shared" si="172"/>
        <v>0</v>
      </c>
    </row>
    <row r="139" spans="1:133">
      <c r="A139" s="420" t="s">
        <v>1955</v>
      </c>
      <c r="B139" s="1737">
        <f t="shared" si="197"/>
        <v>0</v>
      </c>
      <c r="C139" s="1739">
        <f t="shared" si="197"/>
        <v>0</v>
      </c>
      <c r="D139" s="423"/>
      <c r="E139" s="3376"/>
      <c r="F139" s="425"/>
      <c r="G139" s="3376"/>
      <c r="H139" s="425"/>
      <c r="I139" s="424"/>
      <c r="J139" s="423"/>
      <c r="K139" s="423"/>
      <c r="L139" s="425"/>
      <c r="M139" s="424"/>
      <c r="N139" s="423"/>
      <c r="O139" s="3376"/>
      <c r="P139" s="425"/>
      <c r="Q139" s="3376"/>
      <c r="R139" s="425"/>
      <c r="S139" s="3376"/>
      <c r="T139" s="425"/>
      <c r="U139" s="3376"/>
      <c r="V139" s="425"/>
      <c r="W139" s="3376"/>
      <c r="X139" s="425"/>
      <c r="Y139" s="3376"/>
      <c r="Z139" s="425"/>
      <c r="AA139" s="3376"/>
      <c r="AB139" s="425"/>
      <c r="AC139" s="3376"/>
      <c r="AD139" s="425"/>
      <c r="AE139" s="3376"/>
      <c r="AF139" s="425"/>
      <c r="AG139" s="3376"/>
      <c r="AH139" s="425"/>
      <c r="AI139" s="3376"/>
      <c r="AJ139" s="425"/>
      <c r="AK139" s="3376"/>
      <c r="AL139" s="425"/>
      <c r="AM139" s="3376"/>
      <c r="AN139" s="425"/>
      <c r="AO139" s="3376"/>
      <c r="AP139" s="425"/>
      <c r="AQ139" s="426"/>
      <c r="AR139" s="423"/>
      <c r="AS139" s="426"/>
      <c r="AT139" s="3372"/>
      <c r="AU139" s="426"/>
      <c r="AV139" s="3392"/>
      <c r="AW139" s="2231"/>
      <c r="AX139" s="3373" t="str">
        <f t="shared" si="198"/>
        <v/>
      </c>
      <c r="CA139" s="418" t="str">
        <f t="shared" si="195"/>
        <v/>
      </c>
      <c r="CB139" s="418" t="str">
        <f t="shared" si="136"/>
        <v/>
      </c>
      <c r="CC139" s="418" t="str">
        <f t="shared" si="137"/>
        <v/>
      </c>
      <c r="CD139" s="418" t="str">
        <f t="shared" si="138"/>
        <v/>
      </c>
      <c r="CE139" s="418" t="str">
        <f t="shared" si="175"/>
        <v/>
      </c>
      <c r="CF139" s="418" t="str">
        <f t="shared" si="176"/>
        <v/>
      </c>
      <c r="CG139" s="418" t="str">
        <f t="shared" si="177"/>
        <v/>
      </c>
      <c r="CH139" s="418" t="str">
        <f t="shared" si="185"/>
        <v/>
      </c>
      <c r="CI139" s="418" t="str">
        <f t="shared" si="186"/>
        <v/>
      </c>
      <c r="CJ139" s="418" t="str">
        <f t="shared" si="139"/>
        <v/>
      </c>
      <c r="CK139" s="418" t="str">
        <f t="shared" si="140"/>
        <v/>
      </c>
      <c r="CL139" s="418" t="str">
        <f t="shared" si="141"/>
        <v/>
      </c>
      <c r="CM139" s="418" t="str">
        <f t="shared" si="142"/>
        <v/>
      </c>
      <c r="CN139" s="418" t="str">
        <f t="shared" si="143"/>
        <v/>
      </c>
      <c r="CO139" s="418" t="str">
        <f t="shared" si="144"/>
        <v/>
      </c>
      <c r="CP139" s="418" t="str">
        <f t="shared" si="145"/>
        <v/>
      </c>
      <c r="CQ139" s="418" t="str">
        <f t="shared" si="146"/>
        <v/>
      </c>
      <c r="CR139" s="418" t="str">
        <f t="shared" si="147"/>
        <v/>
      </c>
      <c r="CS139" s="418" t="str">
        <f t="shared" si="148"/>
        <v/>
      </c>
      <c r="CT139" s="418" t="str">
        <f t="shared" si="149"/>
        <v/>
      </c>
      <c r="CU139" s="418" t="str">
        <f t="shared" si="150"/>
        <v/>
      </c>
      <c r="CV139" s="418" t="str">
        <f t="shared" si="151"/>
        <v/>
      </c>
      <c r="CW139" s="418" t="str">
        <f t="shared" si="152"/>
        <v/>
      </c>
      <c r="CX139" s="418" t="str">
        <f t="shared" si="153"/>
        <v/>
      </c>
      <c r="DE139" s="417"/>
      <c r="DF139" s="3389">
        <f t="shared" si="196"/>
        <v>0</v>
      </c>
      <c r="DG139" s="3375">
        <f t="shared" si="155"/>
        <v>0</v>
      </c>
      <c r="DH139" s="3375">
        <f t="shared" si="156"/>
        <v>0</v>
      </c>
      <c r="DI139" s="3375">
        <f t="shared" si="157"/>
        <v>0</v>
      </c>
      <c r="DJ139" s="3375">
        <f t="shared" si="178"/>
        <v>0</v>
      </c>
      <c r="DK139" s="3375">
        <f t="shared" si="179"/>
        <v>0</v>
      </c>
      <c r="DL139" s="3375">
        <f t="shared" si="180"/>
        <v>0</v>
      </c>
      <c r="DM139" s="3375">
        <f t="shared" si="187"/>
        <v>0</v>
      </c>
      <c r="DN139" s="3375">
        <f t="shared" si="188"/>
        <v>0</v>
      </c>
      <c r="DO139" s="3375">
        <f t="shared" si="158"/>
        <v>0</v>
      </c>
      <c r="DP139" s="3375">
        <f t="shared" si="159"/>
        <v>0</v>
      </c>
      <c r="DQ139" s="3375">
        <f t="shared" si="160"/>
        <v>0</v>
      </c>
      <c r="DR139" s="3375">
        <f t="shared" si="161"/>
        <v>0</v>
      </c>
      <c r="DS139" s="3375">
        <f t="shared" si="162"/>
        <v>0</v>
      </c>
      <c r="DT139" s="3375">
        <f t="shared" si="163"/>
        <v>0</v>
      </c>
      <c r="DU139" s="3375">
        <f t="shared" si="164"/>
        <v>0</v>
      </c>
      <c r="DV139" s="3375">
        <f t="shared" si="165"/>
        <v>0</v>
      </c>
      <c r="DW139" s="3375">
        <f t="shared" si="166"/>
        <v>0</v>
      </c>
      <c r="DX139" s="3375">
        <f t="shared" si="167"/>
        <v>0</v>
      </c>
      <c r="DY139" s="3375">
        <f t="shared" si="168"/>
        <v>0</v>
      </c>
      <c r="DZ139" s="3375">
        <f t="shared" si="169"/>
        <v>0</v>
      </c>
      <c r="EA139" s="3375">
        <f t="shared" si="170"/>
        <v>0</v>
      </c>
      <c r="EB139" s="3375">
        <f t="shared" si="171"/>
        <v>0</v>
      </c>
      <c r="EC139" s="3375">
        <f t="shared" si="172"/>
        <v>0</v>
      </c>
    </row>
    <row r="140" spans="1:133">
      <c r="A140" s="3390" t="s">
        <v>1956</v>
      </c>
      <c r="B140" s="1755">
        <f t="shared" si="197"/>
        <v>0</v>
      </c>
      <c r="C140" s="1757">
        <f t="shared" si="197"/>
        <v>0</v>
      </c>
      <c r="D140" s="3385"/>
      <c r="E140" s="3384"/>
      <c r="F140" s="432"/>
      <c r="G140" s="3384"/>
      <c r="H140" s="432"/>
      <c r="I140" s="433"/>
      <c r="J140" s="3385"/>
      <c r="K140" s="3385"/>
      <c r="L140" s="432"/>
      <c r="M140" s="433"/>
      <c r="N140" s="3385"/>
      <c r="O140" s="3384"/>
      <c r="P140" s="432"/>
      <c r="Q140" s="3384"/>
      <c r="R140" s="432"/>
      <c r="S140" s="3384"/>
      <c r="T140" s="432"/>
      <c r="U140" s="3384"/>
      <c r="V140" s="432"/>
      <c r="W140" s="3384"/>
      <c r="X140" s="432"/>
      <c r="Y140" s="3384"/>
      <c r="Z140" s="432"/>
      <c r="AA140" s="3384"/>
      <c r="AB140" s="432"/>
      <c r="AC140" s="3384"/>
      <c r="AD140" s="432"/>
      <c r="AE140" s="3384"/>
      <c r="AF140" s="432"/>
      <c r="AG140" s="3384"/>
      <c r="AH140" s="432"/>
      <c r="AI140" s="3384"/>
      <c r="AJ140" s="432"/>
      <c r="AK140" s="3384"/>
      <c r="AL140" s="432"/>
      <c r="AM140" s="3384"/>
      <c r="AN140" s="432"/>
      <c r="AO140" s="3384"/>
      <c r="AP140" s="432"/>
      <c r="AQ140" s="445"/>
      <c r="AR140" s="3385"/>
      <c r="AS140" s="445"/>
      <c r="AT140" s="3386"/>
      <c r="AU140" s="445"/>
      <c r="AV140" s="3393"/>
      <c r="AW140" s="2235"/>
      <c r="AX140" s="3373" t="str">
        <f t="shared" si="198"/>
        <v/>
      </c>
      <c r="CA140" s="418" t="str">
        <f t="shared" si="195"/>
        <v/>
      </c>
      <c r="CB140" s="418" t="str">
        <f t="shared" si="136"/>
        <v/>
      </c>
      <c r="CC140" s="418" t="str">
        <f t="shared" si="137"/>
        <v/>
      </c>
      <c r="CD140" s="418" t="str">
        <f t="shared" si="138"/>
        <v/>
      </c>
      <c r="CE140" s="418" t="str">
        <f t="shared" si="175"/>
        <v/>
      </c>
      <c r="CF140" s="418" t="str">
        <f t="shared" si="176"/>
        <v/>
      </c>
      <c r="CG140" s="418" t="str">
        <f t="shared" si="177"/>
        <v/>
      </c>
      <c r="CH140" s="418" t="str">
        <f t="shared" si="185"/>
        <v/>
      </c>
      <c r="CI140" s="418" t="str">
        <f t="shared" si="186"/>
        <v/>
      </c>
      <c r="CJ140" s="418" t="str">
        <f t="shared" si="139"/>
        <v/>
      </c>
      <c r="CK140" s="418" t="str">
        <f t="shared" si="140"/>
        <v/>
      </c>
      <c r="CL140" s="418" t="str">
        <f t="shared" si="141"/>
        <v/>
      </c>
      <c r="CM140" s="418" t="str">
        <f t="shared" si="142"/>
        <v/>
      </c>
      <c r="CN140" s="418" t="str">
        <f t="shared" si="143"/>
        <v/>
      </c>
      <c r="CO140" s="418" t="str">
        <f t="shared" si="144"/>
        <v/>
      </c>
      <c r="CP140" s="418" t="str">
        <f t="shared" si="145"/>
        <v/>
      </c>
      <c r="CQ140" s="418" t="str">
        <f t="shared" si="146"/>
        <v/>
      </c>
      <c r="CR140" s="418" t="str">
        <f t="shared" si="147"/>
        <v/>
      </c>
      <c r="CS140" s="418" t="str">
        <f t="shared" si="148"/>
        <v/>
      </c>
      <c r="CT140" s="418" t="str">
        <f t="shared" si="149"/>
        <v/>
      </c>
      <c r="CU140" s="418" t="str">
        <f t="shared" si="150"/>
        <v/>
      </c>
      <c r="CV140" s="418" t="str">
        <f t="shared" si="151"/>
        <v/>
      </c>
      <c r="CW140" s="418" t="str">
        <f t="shared" si="152"/>
        <v/>
      </c>
      <c r="CX140" s="418" t="str">
        <f t="shared" si="153"/>
        <v/>
      </c>
      <c r="DE140" s="417"/>
      <c r="DF140" s="3389">
        <f t="shared" si="196"/>
        <v>0</v>
      </c>
      <c r="DG140" s="3375">
        <f t="shared" si="155"/>
        <v>0</v>
      </c>
      <c r="DH140" s="3375">
        <f t="shared" si="156"/>
        <v>0</v>
      </c>
      <c r="DI140" s="3375">
        <f t="shared" si="157"/>
        <v>0</v>
      </c>
      <c r="DJ140" s="3375">
        <f t="shared" si="178"/>
        <v>0</v>
      </c>
      <c r="DK140" s="3375">
        <f t="shared" si="179"/>
        <v>0</v>
      </c>
      <c r="DL140" s="3375">
        <f t="shared" si="180"/>
        <v>0</v>
      </c>
      <c r="DM140" s="3375">
        <f t="shared" si="187"/>
        <v>0</v>
      </c>
      <c r="DN140" s="3375">
        <f t="shared" si="188"/>
        <v>0</v>
      </c>
      <c r="DO140" s="3375">
        <f t="shared" si="158"/>
        <v>0</v>
      </c>
      <c r="DP140" s="3375">
        <f t="shared" si="159"/>
        <v>0</v>
      </c>
      <c r="DQ140" s="3375">
        <f t="shared" si="160"/>
        <v>0</v>
      </c>
      <c r="DR140" s="3375">
        <f t="shared" si="161"/>
        <v>0</v>
      </c>
      <c r="DS140" s="3375">
        <f t="shared" si="162"/>
        <v>0</v>
      </c>
      <c r="DT140" s="3375">
        <f t="shared" si="163"/>
        <v>0</v>
      </c>
      <c r="DU140" s="3375">
        <f t="shared" si="164"/>
        <v>0</v>
      </c>
      <c r="DV140" s="3375">
        <f t="shared" si="165"/>
        <v>0</v>
      </c>
      <c r="DW140" s="3375">
        <f t="shared" si="166"/>
        <v>0</v>
      </c>
      <c r="DX140" s="3375">
        <f t="shared" si="167"/>
        <v>0</v>
      </c>
      <c r="DY140" s="3375">
        <f t="shared" si="168"/>
        <v>0</v>
      </c>
      <c r="DZ140" s="3375">
        <f t="shared" si="169"/>
        <v>0</v>
      </c>
      <c r="EA140" s="3375">
        <f t="shared" si="170"/>
        <v>0</v>
      </c>
      <c r="EB140" s="3375">
        <f t="shared" si="171"/>
        <v>0</v>
      </c>
      <c r="EC140" s="3375">
        <f t="shared" si="172"/>
        <v>0</v>
      </c>
    </row>
    <row r="141" spans="1:133" ht="18" customHeight="1">
      <c r="A141" s="6753" t="s">
        <v>1964</v>
      </c>
      <c r="B141" s="6753"/>
      <c r="C141" s="6753"/>
      <c r="D141" s="6753"/>
      <c r="E141" s="6753"/>
      <c r="F141" s="6753"/>
      <c r="G141" s="6753"/>
      <c r="H141" s="6753"/>
      <c r="I141" s="6753"/>
      <c r="J141" s="6753"/>
      <c r="K141" s="6753"/>
      <c r="L141" s="6753"/>
      <c r="M141" s="6753"/>
      <c r="N141" s="6753"/>
      <c r="O141" s="6753"/>
      <c r="P141" s="6753"/>
    </row>
    <row r="142" spans="1:133">
      <c r="A142" s="6140" t="s">
        <v>1965</v>
      </c>
      <c r="B142" s="6119"/>
      <c r="C142" s="5707" t="s">
        <v>1966</v>
      </c>
      <c r="D142" s="5708"/>
      <c r="E142" s="5709"/>
      <c r="F142" s="6142" t="s">
        <v>1967</v>
      </c>
      <c r="G142" s="6142"/>
      <c r="H142" s="6142"/>
      <c r="I142" s="6142" t="s">
        <v>1968</v>
      </c>
      <c r="J142" s="6142"/>
      <c r="K142" s="6142"/>
      <c r="L142" s="6142" t="s">
        <v>1969</v>
      </c>
      <c r="M142" s="6142"/>
      <c r="N142" s="6142"/>
      <c r="O142" s="5707" t="s">
        <v>748</v>
      </c>
      <c r="P142" s="5709"/>
    </row>
    <row r="143" spans="1:133">
      <c r="A143" s="6114"/>
      <c r="B143" s="6116"/>
      <c r="C143" s="1395" t="s">
        <v>1937</v>
      </c>
      <c r="D143" s="1646" t="s">
        <v>1938</v>
      </c>
      <c r="E143" s="393" t="s">
        <v>1970</v>
      </c>
      <c r="F143" s="1395" t="s">
        <v>1937</v>
      </c>
      <c r="G143" s="1646" t="s">
        <v>1938</v>
      </c>
      <c r="H143" s="393" t="s">
        <v>1970</v>
      </c>
      <c r="I143" s="1395" t="s">
        <v>1937</v>
      </c>
      <c r="J143" s="1646" t="s">
        <v>1938</v>
      </c>
      <c r="K143" s="393" t="s">
        <v>1970</v>
      </c>
      <c r="L143" s="1395" t="s">
        <v>1937</v>
      </c>
      <c r="M143" s="1646" t="s">
        <v>1938</v>
      </c>
      <c r="N143" s="393" t="s">
        <v>1970</v>
      </c>
      <c r="O143" s="1395" t="s">
        <v>1937</v>
      </c>
      <c r="P143" s="1584" t="s">
        <v>1938</v>
      </c>
    </row>
    <row r="144" spans="1:133">
      <c r="A144" s="6758" t="s">
        <v>1971</v>
      </c>
      <c r="B144" s="6759"/>
      <c r="C144" s="3394"/>
      <c r="D144" s="3395"/>
      <c r="E144" s="3396"/>
      <c r="F144" s="3394"/>
      <c r="G144" s="3395"/>
      <c r="H144" s="3396"/>
      <c r="I144" s="3394"/>
      <c r="J144" s="3395"/>
      <c r="K144" s="3396"/>
      <c r="L144" s="3394"/>
      <c r="M144" s="3395"/>
      <c r="N144" s="3396"/>
      <c r="O144" s="3394"/>
      <c r="P144" s="3397"/>
      <c r="Q144" s="3373" t="str">
        <f t="shared" ref="Q144:Q156" si="199">$CA144&amp;CB144&amp;$CC144&amp;CD144&amp;$CE144&amp;CF144&amp;$CG144&amp;CH144&amp;$CI144</f>
        <v/>
      </c>
      <c r="R144" s="3373"/>
      <c r="S144" s="3373"/>
      <c r="T144" s="3373"/>
      <c r="U144" s="3373"/>
      <c r="V144" s="3373"/>
      <c r="W144" s="3373"/>
      <c r="X144" s="3373"/>
      <c r="Y144" s="3373"/>
      <c r="Z144" s="3373"/>
      <c r="AA144" s="3373"/>
      <c r="AB144" s="3373"/>
      <c r="AC144" s="463"/>
      <c r="AD144" s="463"/>
      <c r="AE144" s="461"/>
      <c r="AF144" s="461"/>
      <c r="AG144" s="461"/>
      <c r="AH144" s="461"/>
      <c r="AI144" s="461"/>
      <c r="AJ144" s="461"/>
      <c r="AK144" s="461"/>
      <c r="AL144" s="461"/>
      <c r="AM144" s="461"/>
      <c r="AN144" s="461"/>
      <c r="AO144" s="461"/>
      <c r="AP144" s="461"/>
      <c r="AQ144" s="461"/>
      <c r="AR144" s="461"/>
      <c r="AS144" s="461"/>
      <c r="AT144" s="461"/>
      <c r="AU144" s="461"/>
      <c r="AV144" s="461"/>
      <c r="AW144" s="461"/>
      <c r="AX144" s="463"/>
      <c r="AY144" s="463"/>
      <c r="AZ144" s="463"/>
      <c r="BA144" s="463"/>
      <c r="BB144" s="463"/>
      <c r="BC144" s="463"/>
      <c r="BD144" s="463"/>
      <c r="BE144" s="463"/>
      <c r="BF144" s="463"/>
      <c r="BG144" s="463"/>
      <c r="BH144" s="463"/>
      <c r="BI144" s="463"/>
      <c r="BJ144" s="463"/>
      <c r="BK144" s="463"/>
      <c r="BL144" s="463"/>
      <c r="BM144" s="463"/>
      <c r="BN144" s="461"/>
      <c r="BO144" s="461"/>
      <c r="BP144" s="461"/>
      <c r="BQ144" s="461"/>
      <c r="BR144" s="461"/>
      <c r="BS144" s="461"/>
      <c r="BT144" s="461"/>
      <c r="BU144" s="461"/>
      <c r="BV144" s="463"/>
      <c r="BW144" s="463"/>
      <c r="BX144" s="3364"/>
      <c r="BY144" s="3364"/>
      <c r="BZ144" s="3364"/>
      <c r="CA144" s="418" t="str">
        <f t="shared" ref="CA144:CA156" si="200">IF(C144&gt;=D144,"","* Los Exámenes Reactivos de Hepatitis B NO DEBEN ser mayor a los Exámenes Procesados. ")</f>
        <v/>
      </c>
      <c r="CB144" s="418" t="str">
        <f t="shared" ref="CB144:CB156" si="201">IF(C144&gt;=E144,"","* Los Exámenes Confirmados de Hepatitis B NO DEBEN ser mayor a los exámenes Procesados. ")</f>
        <v/>
      </c>
      <c r="CC144" s="418" t="str">
        <f t="shared" ref="CC144:CC156" si="202">IF(F144&gt;=G144,"","* Los Exámenes Reactivos de Hepatitis C NO DEBEN ser mayor a los Exámenes Procesados. ")</f>
        <v/>
      </c>
      <c r="CD144" s="418" t="str">
        <f t="shared" ref="CD144:CD156" si="203">IF(F144&gt;=H144,"","* Los Exámenes Confirmados de Hepatitis C NO DEBEN ser mayor a los Exámenes Procesados. ")</f>
        <v/>
      </c>
      <c r="CE144" s="418" t="str">
        <f t="shared" ref="CE144:CE156" si="204">IF(I144&gt;=J144,"","* Los Exámenes Reactivos de CHAGAS NO DEBEN ser mayor a los Exámenes Procesados. ")</f>
        <v/>
      </c>
      <c r="CF144" s="418" t="str">
        <f t="shared" ref="CF144:CF156" si="205">IF(I144&gt;=K144,"","* Los Exámenes Confirmados de CHAGAS NO DEBEN ser mayor a los Exámenes Procesados. ")</f>
        <v/>
      </c>
      <c r="CG144" s="418" t="str">
        <f t="shared" ref="CG144:CG156" si="206">IF(L144&gt;=M144,"","* Los Exámenes Reactivos de HTLV1 NO DEBEN ser mayor a los Exámenes Procesados. ")</f>
        <v/>
      </c>
      <c r="CH144" s="418" t="str">
        <f t="shared" ref="CH144:CH156" si="207">IF(L144&gt;=N144,"","* Los Exámenes Confirmados de HTLV1 NO DEBEN ser mayor a los Exámenes Procesados. ")</f>
        <v/>
      </c>
      <c r="CI144" s="418" t="str">
        <f t="shared" ref="CI144:CI156" si="208">IF(O144&gt;=P144,"","* Los exámenes Reactivos de SIFILIS NO DEBEN ser mayor a los exámenes Procesados. ")</f>
        <v/>
      </c>
      <c r="CJ144" s="3365"/>
      <c r="DF144" s="3375">
        <f t="shared" ref="DF144:DF156" si="209">IF(C144&gt;=D144,0,1)</f>
        <v>0</v>
      </c>
      <c r="DG144" s="3375">
        <f t="shared" ref="DG144:DG156" si="210">IF(E144&gt;C144,1,0)</f>
        <v>0</v>
      </c>
      <c r="DH144" s="3375">
        <f t="shared" ref="DH144:DH156" si="211">IF(F144&gt;=G144,0,1)</f>
        <v>0</v>
      </c>
      <c r="DI144" s="3375">
        <f t="shared" ref="DI144:DI156" si="212">IF(F144&gt;=H144,0,1)</f>
        <v>0</v>
      </c>
      <c r="DJ144" s="3375">
        <f t="shared" ref="DJ144:DJ156" si="213">IF(I144&gt;=J144,0,1)</f>
        <v>0</v>
      </c>
      <c r="DK144" s="3375">
        <f t="shared" ref="DK144:DK156" si="214">IF(I144&gt;=K144,0,1)</f>
        <v>0</v>
      </c>
      <c r="DL144" s="3375">
        <f t="shared" ref="DL144:DL156" si="215">IF(L144&gt;=M144,0,1)</f>
        <v>0</v>
      </c>
      <c r="DM144" s="3375">
        <f t="shared" ref="DM144:DM156" si="216">IF(L144&gt;=N144,0,1)</f>
        <v>0</v>
      </c>
      <c r="DN144" s="3375">
        <f t="shared" ref="DN144:DN156" si="217">IF(O144&gt;=P144,0,1)</f>
        <v>0</v>
      </c>
    </row>
    <row r="145" spans="1:118">
      <c r="A145" s="6467" t="s">
        <v>1972</v>
      </c>
      <c r="B145" s="457" t="s">
        <v>1973</v>
      </c>
      <c r="C145" s="448"/>
      <c r="D145" s="3398"/>
      <c r="E145" s="2229"/>
      <c r="F145" s="448"/>
      <c r="G145" s="3398"/>
      <c r="H145" s="2229"/>
      <c r="I145" s="448"/>
      <c r="J145" s="3398"/>
      <c r="K145" s="2229"/>
      <c r="L145" s="448"/>
      <c r="M145" s="3398"/>
      <c r="N145" s="2229"/>
      <c r="O145" s="448"/>
      <c r="P145" s="449"/>
      <c r="Q145" s="3373" t="str">
        <f t="shared" si="199"/>
        <v/>
      </c>
      <c r="R145" s="3373"/>
      <c r="S145" s="3373"/>
      <c r="T145" s="3373"/>
      <c r="U145" s="3373"/>
      <c r="V145" s="3373"/>
      <c r="W145" s="3373"/>
      <c r="X145" s="3373"/>
      <c r="Y145" s="3373"/>
      <c r="Z145" s="3373"/>
      <c r="AA145" s="3373"/>
      <c r="AB145" s="3373"/>
      <c r="AC145" s="463"/>
      <c r="AD145" s="463"/>
      <c r="AE145" s="461"/>
      <c r="AF145" s="461"/>
      <c r="AG145" s="461"/>
      <c r="AH145" s="461"/>
      <c r="AI145" s="461"/>
      <c r="AJ145" s="461"/>
      <c r="AK145" s="461"/>
      <c r="AL145" s="461"/>
      <c r="AM145" s="461"/>
      <c r="AN145" s="461"/>
      <c r="AO145" s="461"/>
      <c r="AP145" s="461"/>
      <c r="AQ145" s="461"/>
      <c r="AR145" s="461"/>
      <c r="AS145" s="461"/>
      <c r="AT145" s="461"/>
      <c r="AU145" s="461"/>
      <c r="AV145" s="461"/>
      <c r="AW145" s="461"/>
      <c r="AX145" s="463"/>
      <c r="AY145" s="463"/>
      <c r="AZ145" s="463"/>
      <c r="BA145" s="463"/>
      <c r="BB145" s="463"/>
      <c r="BC145" s="463"/>
      <c r="BD145" s="463"/>
      <c r="BE145" s="463"/>
      <c r="BF145" s="463"/>
      <c r="BG145" s="463"/>
      <c r="BH145" s="463"/>
      <c r="BI145" s="463"/>
      <c r="BJ145" s="463"/>
      <c r="BK145" s="463"/>
      <c r="BL145" s="463"/>
      <c r="BM145" s="463"/>
      <c r="BN145" s="461"/>
      <c r="BO145" s="461"/>
      <c r="BP145" s="461"/>
      <c r="BQ145" s="461"/>
      <c r="BR145" s="461"/>
      <c r="BS145" s="461"/>
      <c r="BT145" s="461"/>
      <c r="BU145" s="461"/>
      <c r="BV145" s="463"/>
      <c r="BW145" s="463"/>
      <c r="BX145" s="3364"/>
      <c r="BY145" s="3364"/>
      <c r="BZ145" s="3364"/>
      <c r="CA145" s="418" t="str">
        <f t="shared" si="200"/>
        <v/>
      </c>
      <c r="CB145" s="418" t="str">
        <f t="shared" si="201"/>
        <v/>
      </c>
      <c r="CC145" s="418" t="str">
        <f t="shared" si="202"/>
        <v/>
      </c>
      <c r="CD145" s="418" t="str">
        <f t="shared" si="203"/>
        <v/>
      </c>
      <c r="CE145" s="418" t="str">
        <f t="shared" si="204"/>
        <v/>
      </c>
      <c r="CF145" s="418" t="str">
        <f t="shared" si="205"/>
        <v/>
      </c>
      <c r="CG145" s="418" t="str">
        <f t="shared" si="206"/>
        <v/>
      </c>
      <c r="CH145" s="418" t="str">
        <f t="shared" si="207"/>
        <v/>
      </c>
      <c r="CI145" s="418" t="str">
        <f t="shared" si="208"/>
        <v/>
      </c>
      <c r="CJ145" s="3365"/>
      <c r="DF145" s="3375">
        <f t="shared" si="209"/>
        <v>0</v>
      </c>
      <c r="DG145" s="3375">
        <f t="shared" si="210"/>
        <v>0</v>
      </c>
      <c r="DH145" s="3375">
        <f t="shared" si="211"/>
        <v>0</v>
      </c>
      <c r="DI145" s="3375">
        <f t="shared" si="212"/>
        <v>0</v>
      </c>
      <c r="DJ145" s="3375">
        <f t="shared" si="213"/>
        <v>0</v>
      </c>
      <c r="DK145" s="3375">
        <f t="shared" si="214"/>
        <v>0</v>
      </c>
      <c r="DL145" s="3375">
        <f t="shared" si="215"/>
        <v>0</v>
      </c>
      <c r="DM145" s="3375">
        <f t="shared" si="216"/>
        <v>0</v>
      </c>
      <c r="DN145" s="3375">
        <f t="shared" si="217"/>
        <v>0</v>
      </c>
    </row>
    <row r="146" spans="1:118">
      <c r="A146" s="6744"/>
      <c r="B146" s="2237" t="s">
        <v>1974</v>
      </c>
      <c r="C146" s="413"/>
      <c r="D146" s="3370"/>
      <c r="E146" s="2261"/>
      <c r="F146" s="413"/>
      <c r="G146" s="3370"/>
      <c r="H146" s="2261"/>
      <c r="I146" s="413"/>
      <c r="J146" s="3370"/>
      <c r="K146" s="2261"/>
      <c r="L146" s="413"/>
      <c r="M146" s="3370"/>
      <c r="N146" s="2261"/>
      <c r="O146" s="413"/>
      <c r="P146" s="412"/>
      <c r="Q146" s="3373" t="str">
        <f t="shared" si="199"/>
        <v/>
      </c>
      <c r="R146" s="3373"/>
      <c r="S146" s="3373"/>
      <c r="T146" s="3373"/>
      <c r="U146" s="3373"/>
      <c r="V146" s="3373"/>
      <c r="W146" s="3373"/>
      <c r="X146" s="3373"/>
      <c r="Y146" s="3373"/>
      <c r="Z146" s="3373"/>
      <c r="AA146" s="3373"/>
      <c r="AB146" s="3373"/>
      <c r="AC146" s="463"/>
      <c r="AD146" s="463"/>
      <c r="AE146" s="461"/>
      <c r="AF146" s="461"/>
      <c r="AG146" s="461"/>
      <c r="AH146" s="461"/>
      <c r="AI146" s="461"/>
      <c r="AJ146" s="461"/>
      <c r="AK146" s="461"/>
      <c r="AL146" s="461"/>
      <c r="AM146" s="461"/>
      <c r="AN146" s="461"/>
      <c r="AO146" s="461"/>
      <c r="AP146" s="461"/>
      <c r="AQ146" s="461"/>
      <c r="AR146" s="461"/>
      <c r="AS146" s="461"/>
      <c r="AT146" s="461"/>
      <c r="AU146" s="461"/>
      <c r="AV146" s="461"/>
      <c r="AW146" s="461"/>
      <c r="AX146" s="463"/>
      <c r="AY146" s="463"/>
      <c r="AZ146" s="463"/>
      <c r="BA146" s="463"/>
      <c r="BB146" s="463"/>
      <c r="BC146" s="463"/>
      <c r="BD146" s="463"/>
      <c r="BE146" s="463"/>
      <c r="BF146" s="463"/>
      <c r="BG146" s="463"/>
      <c r="BH146" s="463"/>
      <c r="BI146" s="463"/>
      <c r="BJ146" s="463"/>
      <c r="BK146" s="463"/>
      <c r="BL146" s="463"/>
      <c r="BM146" s="463"/>
      <c r="BN146" s="461"/>
      <c r="BO146" s="461"/>
      <c r="BP146" s="461"/>
      <c r="BQ146" s="461"/>
      <c r="BR146" s="461"/>
      <c r="BS146" s="461"/>
      <c r="BT146" s="461"/>
      <c r="BU146" s="461"/>
      <c r="BV146" s="463"/>
      <c r="BW146" s="463"/>
      <c r="BX146" s="3364"/>
      <c r="BY146" s="3364"/>
      <c r="BZ146" s="3364"/>
      <c r="CA146" s="418" t="str">
        <f t="shared" si="200"/>
        <v/>
      </c>
      <c r="CB146" s="418" t="str">
        <f t="shared" si="201"/>
        <v/>
      </c>
      <c r="CC146" s="418" t="str">
        <f t="shared" si="202"/>
        <v/>
      </c>
      <c r="CD146" s="418" t="str">
        <f t="shared" si="203"/>
        <v/>
      </c>
      <c r="CE146" s="418" t="str">
        <f t="shared" si="204"/>
        <v/>
      </c>
      <c r="CF146" s="418" t="str">
        <f t="shared" si="205"/>
        <v/>
      </c>
      <c r="CG146" s="418" t="str">
        <f t="shared" si="206"/>
        <v/>
      </c>
      <c r="CH146" s="418" t="str">
        <f t="shared" si="207"/>
        <v/>
      </c>
      <c r="CI146" s="418" t="str">
        <f t="shared" si="208"/>
        <v/>
      </c>
      <c r="CJ146" s="3365"/>
      <c r="DF146" s="3375">
        <f t="shared" si="209"/>
        <v>0</v>
      </c>
      <c r="DG146" s="3375">
        <f t="shared" si="210"/>
        <v>0</v>
      </c>
      <c r="DH146" s="3375">
        <f t="shared" si="211"/>
        <v>0</v>
      </c>
      <c r="DI146" s="3375">
        <f t="shared" si="212"/>
        <v>0</v>
      </c>
      <c r="DJ146" s="3375">
        <f t="shared" si="213"/>
        <v>0</v>
      </c>
      <c r="DK146" s="3375">
        <f t="shared" si="214"/>
        <v>0</v>
      </c>
      <c r="DL146" s="3375">
        <f t="shared" si="215"/>
        <v>0</v>
      </c>
      <c r="DM146" s="3375">
        <f t="shared" si="216"/>
        <v>0</v>
      </c>
      <c r="DN146" s="3375">
        <f t="shared" si="217"/>
        <v>0</v>
      </c>
    </row>
    <row r="147" spans="1:118">
      <c r="A147" s="6468"/>
      <c r="B147" s="2005" t="s">
        <v>1975</v>
      </c>
      <c r="C147" s="435"/>
      <c r="D147" s="3399"/>
      <c r="E147" s="2252"/>
      <c r="F147" s="435"/>
      <c r="G147" s="3399"/>
      <c r="H147" s="2252"/>
      <c r="I147" s="435"/>
      <c r="J147" s="3399"/>
      <c r="K147" s="2252"/>
      <c r="L147" s="435"/>
      <c r="M147" s="3399"/>
      <c r="N147" s="2252"/>
      <c r="O147" s="435"/>
      <c r="P147" s="434"/>
      <c r="Q147" s="3373" t="str">
        <f t="shared" si="199"/>
        <v/>
      </c>
      <c r="R147" s="3373"/>
      <c r="S147" s="3373"/>
      <c r="T147" s="3373"/>
      <c r="U147" s="3373"/>
      <c r="V147" s="3373"/>
      <c r="W147" s="3373"/>
      <c r="X147" s="3373"/>
      <c r="Y147" s="3373"/>
      <c r="Z147" s="3373"/>
      <c r="AA147" s="3373"/>
      <c r="AB147" s="3373"/>
      <c r="AC147" s="463"/>
      <c r="AD147" s="463"/>
      <c r="AE147" s="461"/>
      <c r="AF147" s="461"/>
      <c r="AG147" s="461"/>
      <c r="AH147" s="461"/>
      <c r="AI147" s="461"/>
      <c r="AJ147" s="461"/>
      <c r="AK147" s="461"/>
      <c r="AL147" s="461"/>
      <c r="AM147" s="461"/>
      <c r="AN147" s="461"/>
      <c r="AO147" s="461"/>
      <c r="AP147" s="461"/>
      <c r="AQ147" s="461"/>
      <c r="AR147" s="461"/>
      <c r="AS147" s="461"/>
      <c r="AT147" s="461"/>
      <c r="AU147" s="461"/>
      <c r="AV147" s="461"/>
      <c r="AW147" s="461"/>
      <c r="AX147" s="463"/>
      <c r="AY147" s="463"/>
      <c r="AZ147" s="463"/>
      <c r="BA147" s="463"/>
      <c r="BB147" s="463"/>
      <c r="BC147" s="463"/>
      <c r="BD147" s="463"/>
      <c r="BE147" s="463"/>
      <c r="BF147" s="463"/>
      <c r="BG147" s="463"/>
      <c r="BH147" s="463"/>
      <c r="BI147" s="463"/>
      <c r="BJ147" s="463"/>
      <c r="BK147" s="463"/>
      <c r="BL147" s="463"/>
      <c r="BM147" s="463"/>
      <c r="BN147" s="461"/>
      <c r="BO147" s="461"/>
      <c r="BP147" s="461"/>
      <c r="BQ147" s="461"/>
      <c r="BR147" s="461"/>
      <c r="BS147" s="461"/>
      <c r="BT147" s="461"/>
      <c r="BU147" s="461"/>
      <c r="BV147" s="463"/>
      <c r="BW147" s="463"/>
      <c r="BX147" s="3364"/>
      <c r="BY147" s="3364"/>
      <c r="BZ147" s="3364"/>
      <c r="CA147" s="418" t="str">
        <f t="shared" si="200"/>
        <v/>
      </c>
      <c r="CB147" s="418" t="str">
        <f t="shared" si="201"/>
        <v/>
      </c>
      <c r="CC147" s="418" t="str">
        <f t="shared" si="202"/>
        <v/>
      </c>
      <c r="CD147" s="418" t="str">
        <f t="shared" si="203"/>
        <v/>
      </c>
      <c r="CE147" s="418" t="str">
        <f t="shared" si="204"/>
        <v/>
      </c>
      <c r="CF147" s="418" t="str">
        <f t="shared" si="205"/>
        <v/>
      </c>
      <c r="CG147" s="418" t="str">
        <f t="shared" si="206"/>
        <v/>
      </c>
      <c r="CH147" s="418" t="str">
        <f t="shared" si="207"/>
        <v/>
      </c>
      <c r="CI147" s="418" t="str">
        <f t="shared" si="208"/>
        <v/>
      </c>
      <c r="CJ147" s="3365"/>
      <c r="DF147" s="3375">
        <f t="shared" si="209"/>
        <v>0</v>
      </c>
      <c r="DG147" s="3375">
        <f t="shared" si="210"/>
        <v>0</v>
      </c>
      <c r="DH147" s="3375">
        <f t="shared" si="211"/>
        <v>0</v>
      </c>
      <c r="DI147" s="3375">
        <f t="shared" si="212"/>
        <v>0</v>
      </c>
      <c r="DJ147" s="3375">
        <f t="shared" si="213"/>
        <v>0</v>
      </c>
      <c r="DK147" s="3375">
        <f t="shared" si="214"/>
        <v>0</v>
      </c>
      <c r="DL147" s="3375">
        <f t="shared" si="215"/>
        <v>0</v>
      </c>
      <c r="DM147" s="3375">
        <f t="shared" si="216"/>
        <v>0</v>
      </c>
      <c r="DN147" s="3375">
        <f t="shared" si="217"/>
        <v>0</v>
      </c>
    </row>
    <row r="148" spans="1:118">
      <c r="A148" s="6760" t="s">
        <v>1976</v>
      </c>
      <c r="B148" s="6761"/>
      <c r="C148" s="435"/>
      <c r="D148" s="3399"/>
      <c r="E148" s="2252"/>
      <c r="F148" s="435"/>
      <c r="G148" s="3399"/>
      <c r="H148" s="2252"/>
      <c r="I148" s="435"/>
      <c r="J148" s="3399"/>
      <c r="K148" s="2252"/>
      <c r="L148" s="435"/>
      <c r="M148" s="3399"/>
      <c r="N148" s="2252"/>
      <c r="O148" s="435"/>
      <c r="P148" s="434"/>
      <c r="Q148" s="3373" t="str">
        <f t="shared" si="199"/>
        <v/>
      </c>
      <c r="R148" s="3373"/>
      <c r="S148" s="3373"/>
      <c r="T148" s="3373"/>
      <c r="U148" s="3373"/>
      <c r="V148" s="3373"/>
      <c r="W148" s="3373"/>
      <c r="X148" s="3373"/>
      <c r="Y148" s="3373"/>
      <c r="Z148" s="3373"/>
      <c r="AA148" s="3373"/>
      <c r="AB148" s="3373"/>
      <c r="AC148" s="463"/>
      <c r="AD148" s="463"/>
      <c r="AE148" s="461"/>
      <c r="AF148" s="461"/>
      <c r="AG148" s="461"/>
      <c r="AH148" s="461"/>
      <c r="AI148" s="461"/>
      <c r="AJ148" s="461"/>
      <c r="AK148" s="461"/>
      <c r="AL148" s="461"/>
      <c r="AM148" s="461"/>
      <c r="AN148" s="461"/>
      <c r="AO148" s="461"/>
      <c r="AP148" s="461"/>
      <c r="AQ148" s="461"/>
      <c r="AR148" s="461"/>
      <c r="AS148" s="461"/>
      <c r="AT148" s="461"/>
      <c r="AU148" s="461"/>
      <c r="AV148" s="461"/>
      <c r="AW148" s="461"/>
      <c r="AX148" s="463"/>
      <c r="AY148" s="463"/>
      <c r="AZ148" s="463"/>
      <c r="BA148" s="463"/>
      <c r="BB148" s="463"/>
      <c r="BC148" s="463"/>
      <c r="BD148" s="463"/>
      <c r="BE148" s="463"/>
      <c r="BF148" s="463"/>
      <c r="BG148" s="463"/>
      <c r="BH148" s="463"/>
      <c r="BI148" s="463"/>
      <c r="BJ148" s="463"/>
      <c r="BK148" s="463"/>
      <c r="BL148" s="463"/>
      <c r="BM148" s="463"/>
      <c r="BN148" s="461"/>
      <c r="BO148" s="461"/>
      <c r="BP148" s="461"/>
      <c r="BQ148" s="461"/>
      <c r="BR148" s="461"/>
      <c r="BS148" s="461"/>
      <c r="BT148" s="461"/>
      <c r="BU148" s="461"/>
      <c r="BV148" s="463"/>
      <c r="BW148" s="463"/>
      <c r="BX148" s="3364"/>
      <c r="BY148" s="3364"/>
      <c r="BZ148" s="3364"/>
      <c r="CA148" s="418" t="str">
        <f t="shared" si="200"/>
        <v/>
      </c>
      <c r="CB148" s="418" t="str">
        <f t="shared" si="201"/>
        <v/>
      </c>
      <c r="CC148" s="418" t="str">
        <f t="shared" si="202"/>
        <v/>
      </c>
      <c r="CD148" s="418" t="str">
        <f t="shared" si="203"/>
        <v/>
      </c>
      <c r="CE148" s="418" t="str">
        <f t="shared" si="204"/>
        <v/>
      </c>
      <c r="CF148" s="418" t="str">
        <f t="shared" si="205"/>
        <v/>
      </c>
      <c r="CG148" s="418" t="str">
        <f t="shared" si="206"/>
        <v/>
      </c>
      <c r="CH148" s="418" t="str">
        <f t="shared" si="207"/>
        <v/>
      </c>
      <c r="CI148" s="418" t="str">
        <f t="shared" si="208"/>
        <v/>
      </c>
      <c r="CJ148" s="3365"/>
      <c r="DF148" s="3375">
        <f t="shared" si="209"/>
        <v>0</v>
      </c>
      <c r="DG148" s="3375">
        <f t="shared" si="210"/>
        <v>0</v>
      </c>
      <c r="DH148" s="3375">
        <f t="shared" si="211"/>
        <v>0</v>
      </c>
      <c r="DI148" s="3375">
        <f t="shared" si="212"/>
        <v>0</v>
      </c>
      <c r="DJ148" s="3375">
        <f t="shared" si="213"/>
        <v>0</v>
      </c>
      <c r="DK148" s="3375">
        <f t="shared" si="214"/>
        <v>0</v>
      </c>
      <c r="DL148" s="3375">
        <f t="shared" si="215"/>
        <v>0</v>
      </c>
      <c r="DM148" s="3375">
        <f t="shared" si="216"/>
        <v>0</v>
      </c>
      <c r="DN148" s="3375">
        <f t="shared" si="217"/>
        <v>0</v>
      </c>
    </row>
    <row r="149" spans="1:118" s="385" customFormat="1" ht="18" customHeight="1">
      <c r="A149" s="6753" t="s">
        <v>1977</v>
      </c>
      <c r="B149" s="6753"/>
      <c r="C149" s="6753"/>
      <c r="D149" s="6753"/>
      <c r="E149" s="6753"/>
      <c r="F149" s="6753"/>
      <c r="G149" s="6753"/>
      <c r="H149" s="6753"/>
      <c r="I149" s="6753"/>
      <c r="J149" s="6753"/>
      <c r="K149" s="6753"/>
      <c r="L149" s="6753"/>
      <c r="M149" s="6753"/>
      <c r="N149" s="6753"/>
      <c r="O149" s="6753"/>
      <c r="P149" s="6753"/>
    </row>
    <row r="150" spans="1:118">
      <c r="A150" s="6140" t="s">
        <v>1965</v>
      </c>
      <c r="B150" s="6119"/>
      <c r="C150" s="5707" t="s">
        <v>1966</v>
      </c>
      <c r="D150" s="5708"/>
      <c r="E150" s="5709"/>
      <c r="F150" s="6142" t="s">
        <v>1967</v>
      </c>
      <c r="G150" s="6142"/>
      <c r="H150" s="6142"/>
      <c r="I150" s="6142" t="s">
        <v>1968</v>
      </c>
      <c r="J150" s="6142"/>
      <c r="K150" s="6142"/>
      <c r="L150" s="6142" t="s">
        <v>1969</v>
      </c>
      <c r="M150" s="6142"/>
      <c r="N150" s="6142"/>
      <c r="O150" s="5707" t="s">
        <v>748</v>
      </c>
      <c r="P150" s="5709"/>
    </row>
    <row r="151" spans="1:118">
      <c r="A151" s="6114"/>
      <c r="B151" s="6116"/>
      <c r="C151" s="3400" t="s">
        <v>1937</v>
      </c>
      <c r="D151" s="3401" t="s">
        <v>1938</v>
      </c>
      <c r="E151" s="3402" t="s">
        <v>1970</v>
      </c>
      <c r="F151" s="3400" t="s">
        <v>1937</v>
      </c>
      <c r="G151" s="3401" t="s">
        <v>1938</v>
      </c>
      <c r="H151" s="3402" t="s">
        <v>1970</v>
      </c>
      <c r="I151" s="3400" t="s">
        <v>1937</v>
      </c>
      <c r="J151" s="3401" t="s">
        <v>1938</v>
      </c>
      <c r="K151" s="3402" t="s">
        <v>1970</v>
      </c>
      <c r="L151" s="3400" t="s">
        <v>1937</v>
      </c>
      <c r="M151" s="3401" t="s">
        <v>1938</v>
      </c>
      <c r="N151" s="3402" t="s">
        <v>1970</v>
      </c>
      <c r="O151" s="3400" t="s">
        <v>1937</v>
      </c>
      <c r="P151" s="3403" t="s">
        <v>1938</v>
      </c>
    </row>
    <row r="152" spans="1:118">
      <c r="A152" s="6754" t="s">
        <v>1971</v>
      </c>
      <c r="B152" s="6755"/>
      <c r="C152" s="3394"/>
      <c r="D152" s="3395"/>
      <c r="E152" s="3396"/>
      <c r="F152" s="3394"/>
      <c r="G152" s="3395"/>
      <c r="H152" s="3396"/>
      <c r="I152" s="3394"/>
      <c r="J152" s="3395"/>
      <c r="K152" s="3396"/>
      <c r="L152" s="3394"/>
      <c r="M152" s="3395"/>
      <c r="N152" s="3396"/>
      <c r="O152" s="3394"/>
      <c r="P152" s="3397"/>
      <c r="Q152" s="3373" t="str">
        <f t="shared" si="199"/>
        <v/>
      </c>
      <c r="R152" s="3373"/>
      <c r="S152" s="3373"/>
      <c r="T152" s="3373"/>
      <c r="U152" s="3373"/>
      <c r="V152" s="3373"/>
      <c r="W152" s="3373"/>
      <c r="X152" s="3373"/>
      <c r="Y152" s="3373"/>
      <c r="Z152" s="3373"/>
      <c r="AA152" s="3373"/>
      <c r="AB152" s="3373"/>
      <c r="AC152" s="463"/>
      <c r="AD152" s="463"/>
      <c r="AE152" s="461"/>
      <c r="AF152" s="461"/>
      <c r="AG152" s="461"/>
      <c r="AH152" s="461"/>
      <c r="AI152" s="461"/>
      <c r="AJ152" s="461"/>
      <c r="AK152" s="461"/>
      <c r="AL152" s="461"/>
      <c r="AM152" s="461"/>
      <c r="AN152" s="461"/>
      <c r="AO152" s="461"/>
      <c r="AP152" s="461"/>
      <c r="AQ152" s="461"/>
      <c r="AR152" s="461"/>
      <c r="AS152" s="461"/>
      <c r="AT152" s="461"/>
      <c r="AU152" s="461"/>
      <c r="AV152" s="461"/>
      <c r="AW152" s="461"/>
      <c r="AX152" s="463"/>
      <c r="AY152" s="463"/>
      <c r="AZ152" s="463"/>
      <c r="BA152" s="463"/>
      <c r="BB152" s="463"/>
      <c r="BC152" s="463"/>
      <c r="BD152" s="463"/>
      <c r="BE152" s="463"/>
      <c r="BF152" s="463"/>
      <c r="BG152" s="463"/>
      <c r="BH152" s="463"/>
      <c r="BI152" s="463"/>
      <c r="BJ152" s="463"/>
      <c r="BK152" s="463"/>
      <c r="BL152" s="463"/>
      <c r="BM152" s="463"/>
      <c r="BN152" s="461"/>
      <c r="BO152" s="461"/>
      <c r="BP152" s="461"/>
      <c r="BQ152" s="461"/>
      <c r="BR152" s="461"/>
      <c r="BS152" s="461"/>
      <c r="BT152" s="461"/>
      <c r="BU152" s="461"/>
      <c r="BV152" s="463"/>
      <c r="BW152" s="463"/>
      <c r="BX152" s="3364"/>
      <c r="BY152" s="3364"/>
      <c r="BZ152" s="3364"/>
      <c r="CA152" s="418" t="str">
        <f t="shared" si="200"/>
        <v/>
      </c>
      <c r="CB152" s="418" t="str">
        <f t="shared" si="201"/>
        <v/>
      </c>
      <c r="CC152" s="418" t="str">
        <f t="shared" si="202"/>
        <v/>
      </c>
      <c r="CD152" s="418" t="str">
        <f t="shared" si="203"/>
        <v/>
      </c>
      <c r="CE152" s="418" t="str">
        <f t="shared" si="204"/>
        <v/>
      </c>
      <c r="CF152" s="418" t="str">
        <f t="shared" si="205"/>
        <v/>
      </c>
      <c r="CG152" s="418" t="str">
        <f t="shared" si="206"/>
        <v/>
      </c>
      <c r="CH152" s="418" t="str">
        <f t="shared" si="207"/>
        <v/>
      </c>
      <c r="CI152" s="418" t="str">
        <f t="shared" si="208"/>
        <v/>
      </c>
      <c r="CJ152" s="3365"/>
      <c r="DF152" s="3375">
        <f t="shared" si="209"/>
        <v>0</v>
      </c>
      <c r="DG152" s="3375">
        <f t="shared" si="210"/>
        <v>0</v>
      </c>
      <c r="DH152" s="3375">
        <f t="shared" si="211"/>
        <v>0</v>
      </c>
      <c r="DI152" s="3375">
        <f t="shared" si="212"/>
        <v>0</v>
      </c>
      <c r="DJ152" s="3375">
        <f t="shared" si="213"/>
        <v>0</v>
      </c>
      <c r="DK152" s="3375">
        <f t="shared" si="214"/>
        <v>0</v>
      </c>
      <c r="DL152" s="3375">
        <f t="shared" si="215"/>
        <v>0</v>
      </c>
      <c r="DM152" s="3375">
        <f t="shared" si="216"/>
        <v>0</v>
      </c>
      <c r="DN152" s="3375">
        <f t="shared" si="217"/>
        <v>0</v>
      </c>
    </row>
    <row r="153" spans="1:118">
      <c r="A153" s="6467" t="s">
        <v>1972</v>
      </c>
      <c r="B153" s="2056" t="s">
        <v>1973</v>
      </c>
      <c r="C153" s="448"/>
      <c r="D153" s="3398"/>
      <c r="E153" s="2229"/>
      <c r="F153" s="448"/>
      <c r="G153" s="3398"/>
      <c r="H153" s="2229"/>
      <c r="I153" s="448"/>
      <c r="J153" s="3398"/>
      <c r="K153" s="2229"/>
      <c r="L153" s="448"/>
      <c r="M153" s="3398"/>
      <c r="N153" s="2229"/>
      <c r="O153" s="448"/>
      <c r="P153" s="449"/>
      <c r="Q153" s="3373" t="str">
        <f t="shared" si="199"/>
        <v/>
      </c>
      <c r="R153" s="3373"/>
      <c r="S153" s="3373"/>
      <c r="T153" s="3373"/>
      <c r="U153" s="3373"/>
      <c r="V153" s="3373"/>
      <c r="W153" s="3373"/>
      <c r="X153" s="3373"/>
      <c r="Y153" s="3373"/>
      <c r="Z153" s="3373"/>
      <c r="AA153" s="3373"/>
      <c r="AB153" s="3373"/>
      <c r="AC153" s="463"/>
      <c r="AD153" s="463"/>
      <c r="AE153" s="461"/>
      <c r="AF153" s="461"/>
      <c r="AG153" s="461"/>
      <c r="AH153" s="461"/>
      <c r="AI153" s="461"/>
      <c r="AJ153" s="461"/>
      <c r="AK153" s="461"/>
      <c r="AL153" s="461"/>
      <c r="AM153" s="461"/>
      <c r="AN153" s="461"/>
      <c r="AO153" s="461"/>
      <c r="AP153" s="461"/>
      <c r="AQ153" s="461"/>
      <c r="AR153" s="461"/>
      <c r="AS153" s="461"/>
      <c r="AT153" s="461"/>
      <c r="AU153" s="461"/>
      <c r="AV153" s="461"/>
      <c r="AW153" s="461"/>
      <c r="AX153" s="463"/>
      <c r="AY153" s="463"/>
      <c r="AZ153" s="463"/>
      <c r="BA153" s="463"/>
      <c r="BB153" s="463"/>
      <c r="BC153" s="463"/>
      <c r="BD153" s="463"/>
      <c r="BE153" s="463"/>
      <c r="BF153" s="463"/>
      <c r="BG153" s="463"/>
      <c r="BH153" s="463"/>
      <c r="BI153" s="463"/>
      <c r="BJ153" s="463"/>
      <c r="BK153" s="463"/>
      <c r="BL153" s="463"/>
      <c r="BM153" s="463"/>
      <c r="BN153" s="461"/>
      <c r="BO153" s="461"/>
      <c r="BP153" s="461"/>
      <c r="BQ153" s="461"/>
      <c r="BR153" s="461"/>
      <c r="BS153" s="461"/>
      <c r="BT153" s="461"/>
      <c r="BU153" s="461"/>
      <c r="BV153" s="463"/>
      <c r="BW153" s="463"/>
      <c r="BX153" s="3364"/>
      <c r="BY153" s="3364"/>
      <c r="BZ153" s="3364"/>
      <c r="CA153" s="418" t="str">
        <f t="shared" si="200"/>
        <v/>
      </c>
      <c r="CB153" s="418" t="str">
        <f t="shared" si="201"/>
        <v/>
      </c>
      <c r="CC153" s="418" t="str">
        <f t="shared" si="202"/>
        <v/>
      </c>
      <c r="CD153" s="418" t="str">
        <f t="shared" si="203"/>
        <v/>
      </c>
      <c r="CE153" s="418" t="str">
        <f t="shared" si="204"/>
        <v/>
      </c>
      <c r="CF153" s="418" t="str">
        <f t="shared" si="205"/>
        <v/>
      </c>
      <c r="CG153" s="418" t="str">
        <f t="shared" si="206"/>
        <v/>
      </c>
      <c r="CH153" s="418" t="str">
        <f t="shared" si="207"/>
        <v/>
      </c>
      <c r="CI153" s="418" t="str">
        <f t="shared" si="208"/>
        <v/>
      </c>
      <c r="CJ153" s="3365"/>
      <c r="DF153" s="3375">
        <f t="shared" si="209"/>
        <v>0</v>
      </c>
      <c r="DG153" s="3375">
        <f t="shared" si="210"/>
        <v>0</v>
      </c>
      <c r="DH153" s="3375">
        <f t="shared" si="211"/>
        <v>0</v>
      </c>
      <c r="DI153" s="3375">
        <f t="shared" si="212"/>
        <v>0</v>
      </c>
      <c r="DJ153" s="3375">
        <f t="shared" si="213"/>
        <v>0</v>
      </c>
      <c r="DK153" s="3375">
        <f t="shared" si="214"/>
        <v>0</v>
      </c>
      <c r="DL153" s="3375">
        <f t="shared" si="215"/>
        <v>0</v>
      </c>
      <c r="DM153" s="3375">
        <f t="shared" si="216"/>
        <v>0</v>
      </c>
      <c r="DN153" s="3375">
        <f t="shared" si="217"/>
        <v>0</v>
      </c>
    </row>
    <row r="154" spans="1:118">
      <c r="A154" s="6744"/>
      <c r="B154" s="2057" t="s">
        <v>1974</v>
      </c>
      <c r="C154" s="413"/>
      <c r="D154" s="3370"/>
      <c r="E154" s="2261"/>
      <c r="F154" s="413"/>
      <c r="G154" s="3370"/>
      <c r="H154" s="2261"/>
      <c r="I154" s="413"/>
      <c r="J154" s="3370"/>
      <c r="K154" s="2261"/>
      <c r="L154" s="413"/>
      <c r="M154" s="3370"/>
      <c r="N154" s="2261"/>
      <c r="O154" s="413"/>
      <c r="P154" s="412"/>
      <c r="Q154" s="3373" t="str">
        <f t="shared" si="199"/>
        <v/>
      </c>
      <c r="R154" s="3373"/>
      <c r="S154" s="3373"/>
      <c r="T154" s="3373"/>
      <c r="U154" s="3373"/>
      <c r="V154" s="3373"/>
      <c r="W154" s="3373"/>
      <c r="X154" s="3373"/>
      <c r="Y154" s="3373"/>
      <c r="Z154" s="3373"/>
      <c r="AA154" s="3373"/>
      <c r="AB154" s="3373"/>
      <c r="AC154" s="463"/>
      <c r="AD154" s="463"/>
      <c r="AE154" s="461"/>
      <c r="AF154" s="461"/>
      <c r="AG154" s="461"/>
      <c r="AH154" s="461"/>
      <c r="AI154" s="461"/>
      <c r="AJ154" s="461"/>
      <c r="AK154" s="461"/>
      <c r="AL154" s="461"/>
      <c r="AM154" s="461"/>
      <c r="AN154" s="461"/>
      <c r="AO154" s="461"/>
      <c r="AP154" s="461"/>
      <c r="AQ154" s="461"/>
      <c r="AR154" s="461"/>
      <c r="AS154" s="461"/>
      <c r="AT154" s="461"/>
      <c r="AU154" s="461"/>
      <c r="AV154" s="461"/>
      <c r="AW154" s="461"/>
      <c r="AX154" s="463"/>
      <c r="AY154" s="463"/>
      <c r="AZ154" s="463"/>
      <c r="BA154" s="463"/>
      <c r="BB154" s="463"/>
      <c r="BC154" s="463"/>
      <c r="BD154" s="463"/>
      <c r="BE154" s="463"/>
      <c r="BF154" s="463"/>
      <c r="BG154" s="463"/>
      <c r="BH154" s="463"/>
      <c r="BI154" s="463"/>
      <c r="BJ154" s="463"/>
      <c r="BK154" s="463"/>
      <c r="BL154" s="463"/>
      <c r="BM154" s="463"/>
      <c r="BN154" s="461"/>
      <c r="BO154" s="461"/>
      <c r="BP154" s="461"/>
      <c r="BQ154" s="461"/>
      <c r="BR154" s="461"/>
      <c r="BS154" s="461"/>
      <c r="BT154" s="461"/>
      <c r="BU154" s="461"/>
      <c r="BV154" s="463"/>
      <c r="BW154" s="463"/>
      <c r="BX154" s="3364"/>
      <c r="BY154" s="3364"/>
      <c r="BZ154" s="3364"/>
      <c r="CA154" s="418" t="str">
        <f t="shared" si="200"/>
        <v/>
      </c>
      <c r="CB154" s="418" t="str">
        <f t="shared" si="201"/>
        <v/>
      </c>
      <c r="CC154" s="418" t="str">
        <f t="shared" si="202"/>
        <v/>
      </c>
      <c r="CD154" s="418" t="str">
        <f t="shared" si="203"/>
        <v/>
      </c>
      <c r="CE154" s="418" t="str">
        <f t="shared" si="204"/>
        <v/>
      </c>
      <c r="CF154" s="418" t="str">
        <f t="shared" si="205"/>
        <v/>
      </c>
      <c r="CG154" s="418" t="str">
        <f t="shared" si="206"/>
        <v/>
      </c>
      <c r="CH154" s="418" t="str">
        <f t="shared" si="207"/>
        <v/>
      </c>
      <c r="CI154" s="418" t="str">
        <f t="shared" si="208"/>
        <v/>
      </c>
      <c r="CJ154" s="3365"/>
      <c r="DF154" s="3375">
        <f t="shared" si="209"/>
        <v>0</v>
      </c>
      <c r="DG154" s="3375">
        <f t="shared" si="210"/>
        <v>0</v>
      </c>
      <c r="DH154" s="3375">
        <f t="shared" si="211"/>
        <v>0</v>
      </c>
      <c r="DI154" s="3375">
        <f t="shared" si="212"/>
        <v>0</v>
      </c>
      <c r="DJ154" s="3375">
        <f t="shared" si="213"/>
        <v>0</v>
      </c>
      <c r="DK154" s="3375">
        <f t="shared" si="214"/>
        <v>0</v>
      </c>
      <c r="DL154" s="3375">
        <f t="shared" si="215"/>
        <v>0</v>
      </c>
      <c r="DM154" s="3375">
        <f t="shared" si="216"/>
        <v>0</v>
      </c>
      <c r="DN154" s="3375">
        <f t="shared" si="217"/>
        <v>0</v>
      </c>
    </row>
    <row r="155" spans="1:118">
      <c r="A155" s="6468"/>
      <c r="B155" s="3404" t="s">
        <v>1975</v>
      </c>
      <c r="C155" s="435"/>
      <c r="D155" s="3399"/>
      <c r="E155" s="2252"/>
      <c r="F155" s="435"/>
      <c r="G155" s="3399"/>
      <c r="H155" s="2252"/>
      <c r="I155" s="435"/>
      <c r="J155" s="3399"/>
      <c r="K155" s="2252"/>
      <c r="L155" s="435"/>
      <c r="M155" s="3399"/>
      <c r="N155" s="2252"/>
      <c r="O155" s="435"/>
      <c r="P155" s="434"/>
      <c r="Q155" s="3373" t="str">
        <f t="shared" si="199"/>
        <v/>
      </c>
      <c r="R155" s="3373"/>
      <c r="S155" s="3373"/>
      <c r="T155" s="3373"/>
      <c r="U155" s="3373"/>
      <c r="V155" s="3373"/>
      <c r="W155" s="3373"/>
      <c r="X155" s="3373"/>
      <c r="Y155" s="3373"/>
      <c r="Z155" s="3373"/>
      <c r="AA155" s="3373"/>
      <c r="AB155" s="3373"/>
      <c r="AC155" s="463"/>
      <c r="AD155" s="463"/>
      <c r="AE155" s="461"/>
      <c r="AF155" s="461"/>
      <c r="AG155" s="461"/>
      <c r="AH155" s="461"/>
      <c r="AI155" s="461"/>
      <c r="AJ155" s="461"/>
      <c r="AK155" s="461"/>
      <c r="AL155" s="461"/>
      <c r="AM155" s="461"/>
      <c r="AN155" s="461"/>
      <c r="AO155" s="461"/>
      <c r="AP155" s="461"/>
      <c r="AQ155" s="461"/>
      <c r="AR155" s="461"/>
      <c r="AS155" s="461"/>
      <c r="AT155" s="461"/>
      <c r="AU155" s="461"/>
      <c r="AV155" s="461"/>
      <c r="AW155" s="461"/>
      <c r="AX155" s="463"/>
      <c r="AY155" s="463"/>
      <c r="AZ155" s="463"/>
      <c r="BA155" s="463"/>
      <c r="BB155" s="463"/>
      <c r="BC155" s="463"/>
      <c r="BD155" s="463"/>
      <c r="BE155" s="463"/>
      <c r="BF155" s="463"/>
      <c r="BG155" s="463"/>
      <c r="BH155" s="463"/>
      <c r="BI155" s="463"/>
      <c r="BJ155" s="463"/>
      <c r="BK155" s="463"/>
      <c r="BL155" s="463"/>
      <c r="BM155" s="463"/>
      <c r="BN155" s="461"/>
      <c r="BO155" s="461"/>
      <c r="BP155" s="461"/>
      <c r="BQ155" s="461"/>
      <c r="BR155" s="461"/>
      <c r="BS155" s="461"/>
      <c r="BT155" s="461"/>
      <c r="BU155" s="461"/>
      <c r="BV155" s="463"/>
      <c r="BW155" s="463"/>
      <c r="BX155" s="3364"/>
      <c r="BY155" s="3364"/>
      <c r="BZ155" s="3364"/>
      <c r="CA155" s="418" t="str">
        <f t="shared" si="200"/>
        <v/>
      </c>
      <c r="CB155" s="418" t="str">
        <f t="shared" si="201"/>
        <v/>
      </c>
      <c r="CC155" s="418" t="str">
        <f t="shared" si="202"/>
        <v/>
      </c>
      <c r="CD155" s="418" t="str">
        <f t="shared" si="203"/>
        <v/>
      </c>
      <c r="CE155" s="418" t="str">
        <f t="shared" si="204"/>
        <v/>
      </c>
      <c r="CF155" s="418" t="str">
        <f t="shared" si="205"/>
        <v/>
      </c>
      <c r="CG155" s="418" t="str">
        <f t="shared" si="206"/>
        <v/>
      </c>
      <c r="CH155" s="418" t="str">
        <f t="shared" si="207"/>
        <v/>
      </c>
      <c r="CI155" s="418" t="str">
        <f t="shared" si="208"/>
        <v/>
      </c>
      <c r="CJ155" s="3365"/>
      <c r="DF155" s="3375">
        <f t="shared" si="209"/>
        <v>0</v>
      </c>
      <c r="DG155" s="3375">
        <f t="shared" si="210"/>
        <v>0</v>
      </c>
      <c r="DH155" s="3375">
        <f t="shared" si="211"/>
        <v>0</v>
      </c>
      <c r="DI155" s="3375">
        <f t="shared" si="212"/>
        <v>0</v>
      </c>
      <c r="DJ155" s="3375">
        <f t="shared" si="213"/>
        <v>0</v>
      </c>
      <c r="DK155" s="3375">
        <f t="shared" si="214"/>
        <v>0</v>
      </c>
      <c r="DL155" s="3375">
        <f t="shared" si="215"/>
        <v>0</v>
      </c>
      <c r="DM155" s="3375">
        <f t="shared" si="216"/>
        <v>0</v>
      </c>
      <c r="DN155" s="3375">
        <f t="shared" si="217"/>
        <v>0</v>
      </c>
    </row>
    <row r="156" spans="1:118">
      <c r="A156" s="6756" t="s">
        <v>1976</v>
      </c>
      <c r="B156" s="6757"/>
      <c r="C156" s="435"/>
      <c r="D156" s="3399"/>
      <c r="E156" s="2252"/>
      <c r="F156" s="435"/>
      <c r="G156" s="3399"/>
      <c r="H156" s="2252"/>
      <c r="I156" s="435"/>
      <c r="J156" s="3399"/>
      <c r="K156" s="2252"/>
      <c r="L156" s="435"/>
      <c r="M156" s="3399"/>
      <c r="N156" s="2252"/>
      <c r="O156" s="435"/>
      <c r="P156" s="434"/>
      <c r="Q156" s="3373" t="str">
        <f t="shared" si="199"/>
        <v/>
      </c>
      <c r="R156" s="3373"/>
      <c r="S156" s="3373"/>
      <c r="T156" s="3373"/>
      <c r="U156" s="3373"/>
      <c r="V156" s="3373"/>
      <c r="W156" s="3373"/>
      <c r="X156" s="3373"/>
      <c r="Y156" s="3373"/>
      <c r="Z156" s="3373"/>
      <c r="AA156" s="3373"/>
      <c r="AB156" s="3373"/>
      <c r="AC156" s="463"/>
      <c r="AD156" s="463"/>
      <c r="AE156" s="461"/>
      <c r="AF156" s="461"/>
      <c r="AG156" s="461"/>
      <c r="AH156" s="461"/>
      <c r="AI156" s="461"/>
      <c r="AJ156" s="461"/>
      <c r="AK156" s="461"/>
      <c r="AL156" s="461"/>
      <c r="AM156" s="461"/>
      <c r="AN156" s="461"/>
      <c r="AO156" s="461"/>
      <c r="AP156" s="461"/>
      <c r="AQ156" s="461"/>
      <c r="AR156" s="461"/>
      <c r="AS156" s="461"/>
      <c r="AT156" s="461"/>
      <c r="AU156" s="461"/>
      <c r="AV156" s="461"/>
      <c r="AW156" s="461"/>
      <c r="AX156" s="463"/>
      <c r="AY156" s="463"/>
      <c r="AZ156" s="463"/>
      <c r="BA156" s="463"/>
      <c r="BB156" s="463"/>
      <c r="BC156" s="463"/>
      <c r="BD156" s="463"/>
      <c r="BE156" s="463"/>
      <c r="BF156" s="463"/>
      <c r="BG156" s="463"/>
      <c r="BH156" s="463"/>
      <c r="BI156" s="463"/>
      <c r="BJ156" s="463"/>
      <c r="BK156" s="463"/>
      <c r="BL156" s="463"/>
      <c r="BM156" s="463"/>
      <c r="BN156" s="461"/>
      <c r="BO156" s="461"/>
      <c r="BP156" s="461"/>
      <c r="BQ156" s="461"/>
      <c r="BR156" s="461"/>
      <c r="BS156" s="461"/>
      <c r="BT156" s="461"/>
      <c r="BU156" s="461"/>
      <c r="BV156" s="463"/>
      <c r="BW156" s="463"/>
      <c r="BX156" s="3364"/>
      <c r="BY156" s="3364"/>
      <c r="BZ156" s="3364"/>
      <c r="CA156" s="418" t="str">
        <f t="shared" si="200"/>
        <v/>
      </c>
      <c r="CB156" s="418" t="str">
        <f t="shared" si="201"/>
        <v/>
      </c>
      <c r="CC156" s="418" t="str">
        <f t="shared" si="202"/>
        <v/>
      </c>
      <c r="CD156" s="418" t="str">
        <f t="shared" si="203"/>
        <v/>
      </c>
      <c r="CE156" s="418" t="str">
        <f t="shared" si="204"/>
        <v/>
      </c>
      <c r="CF156" s="418" t="str">
        <f t="shared" si="205"/>
        <v/>
      </c>
      <c r="CG156" s="418" t="str">
        <f t="shared" si="206"/>
        <v/>
      </c>
      <c r="CH156" s="418" t="str">
        <f t="shared" si="207"/>
        <v/>
      </c>
      <c r="CI156" s="418" t="str">
        <f t="shared" si="208"/>
        <v/>
      </c>
      <c r="CJ156" s="3365"/>
      <c r="DF156" s="3375">
        <f t="shared" si="209"/>
        <v>0</v>
      </c>
      <c r="DG156" s="3375">
        <f t="shared" si="210"/>
        <v>0</v>
      </c>
      <c r="DH156" s="3375">
        <f t="shared" si="211"/>
        <v>0</v>
      </c>
      <c r="DI156" s="3375">
        <f t="shared" si="212"/>
        <v>0</v>
      </c>
      <c r="DJ156" s="3375">
        <f t="shared" si="213"/>
        <v>0</v>
      </c>
      <c r="DK156" s="3375">
        <f t="shared" si="214"/>
        <v>0</v>
      </c>
      <c r="DL156" s="3375">
        <f t="shared" si="215"/>
        <v>0</v>
      </c>
      <c r="DM156" s="3375">
        <f t="shared" si="216"/>
        <v>0</v>
      </c>
      <c r="DN156" s="3375">
        <f t="shared" si="217"/>
        <v>0</v>
      </c>
    </row>
    <row r="157" spans="1:118" ht="18" customHeight="1">
      <c r="A157" s="6753" t="s">
        <v>1978</v>
      </c>
      <c r="B157" s="6753"/>
      <c r="C157" s="6753"/>
      <c r="D157" s="6753"/>
      <c r="E157" s="6753"/>
      <c r="F157" s="6753"/>
      <c r="G157" s="6753"/>
      <c r="H157" s="6753"/>
      <c r="I157" s="3405"/>
      <c r="J157" s="3405"/>
      <c r="K157" s="3405"/>
      <c r="L157" s="3405"/>
      <c r="M157" s="3405"/>
      <c r="N157" s="3405"/>
      <c r="O157" s="3405"/>
      <c r="P157" s="3405"/>
      <c r="Q157" s="3405"/>
      <c r="R157" s="3405"/>
      <c r="S157" s="3405"/>
      <c r="T157" s="3405"/>
      <c r="U157" s="3405"/>
      <c r="V157" s="3405"/>
      <c r="W157" s="3405"/>
      <c r="X157" s="3405"/>
      <c r="Y157" s="3405"/>
      <c r="Z157" s="3405"/>
      <c r="AA157" s="3405"/>
      <c r="AB157" s="3405"/>
      <c r="AC157" s="3405"/>
      <c r="AD157" s="3405"/>
      <c r="AE157" s="3405"/>
      <c r="AF157" s="3405"/>
      <c r="AG157" s="3405"/>
      <c r="AH157" s="3405"/>
      <c r="AI157" s="3405"/>
      <c r="AJ157" s="3405"/>
      <c r="AK157" s="3366"/>
      <c r="AL157" s="3366"/>
      <c r="AM157" s="3366"/>
      <c r="AN157" s="3366"/>
      <c r="AO157" s="3366"/>
      <c r="AP157" s="3366"/>
      <c r="AQ157" s="3366"/>
      <c r="AR157" s="3366"/>
      <c r="AS157" s="3366"/>
      <c r="AT157" s="3366"/>
      <c r="AU157" s="3366"/>
      <c r="AV157" s="3366"/>
      <c r="AW157" s="3366"/>
      <c r="AX157" s="3366"/>
    </row>
    <row r="158" spans="1:118">
      <c r="A158" s="6140" t="s">
        <v>1965</v>
      </c>
      <c r="B158" s="6119"/>
      <c r="C158" s="6153" t="s">
        <v>91</v>
      </c>
      <c r="D158" s="6154"/>
      <c r="E158" s="5707" t="s">
        <v>43</v>
      </c>
      <c r="F158" s="5708"/>
      <c r="G158" s="5708"/>
      <c r="H158" s="5708"/>
      <c r="I158" s="5708"/>
      <c r="J158" s="5708"/>
      <c r="K158" s="5708"/>
      <c r="L158" s="5708"/>
      <c r="M158" s="5708"/>
      <c r="N158" s="5708"/>
      <c r="O158" s="5708"/>
      <c r="P158" s="5708"/>
      <c r="Q158" s="5708"/>
      <c r="R158" s="5708"/>
      <c r="S158" s="5708"/>
      <c r="T158" s="5708"/>
      <c r="U158" s="5708"/>
      <c r="V158" s="5708"/>
      <c r="W158" s="5708"/>
      <c r="X158" s="5708"/>
      <c r="Y158" s="5708"/>
      <c r="Z158" s="5708"/>
      <c r="AA158" s="5708"/>
      <c r="AB158" s="5708"/>
      <c r="AC158" s="5708"/>
      <c r="AD158" s="5708"/>
      <c r="AE158" s="5708"/>
      <c r="AF158" s="5708"/>
      <c r="AG158" s="5708"/>
      <c r="AH158" s="5708"/>
      <c r="AI158" s="5708"/>
      <c r="AJ158" s="6147"/>
      <c r="AK158" s="6053" t="s">
        <v>1979</v>
      </c>
      <c r="AL158" s="6053"/>
      <c r="AM158" s="6053"/>
      <c r="AN158" s="6606"/>
      <c r="AO158" s="6734" t="s">
        <v>478</v>
      </c>
      <c r="AP158" s="6053"/>
      <c r="AQ158" s="6053"/>
      <c r="AR158" s="6606"/>
      <c r="AS158" s="6749" t="s">
        <v>343</v>
      </c>
      <c r="AT158" s="6750"/>
      <c r="AU158" s="6749" t="s">
        <v>51</v>
      </c>
      <c r="AV158" s="6750"/>
      <c r="AW158" s="6139" t="s">
        <v>1980</v>
      </c>
      <c r="AX158" s="6119"/>
    </row>
    <row r="159" spans="1:118">
      <c r="A159" s="6141"/>
      <c r="B159" s="6120"/>
      <c r="C159" s="6156"/>
      <c r="D159" s="6157"/>
      <c r="E159" s="5710" t="s">
        <v>1981</v>
      </c>
      <c r="F159" s="6106"/>
      <c r="G159" s="5710" t="s">
        <v>1936</v>
      </c>
      <c r="H159" s="6106"/>
      <c r="I159" s="5710" t="s">
        <v>965</v>
      </c>
      <c r="J159" s="6106"/>
      <c r="K159" s="5707" t="s">
        <v>347</v>
      </c>
      <c r="L159" s="5709"/>
      <c r="M159" s="5707" t="s">
        <v>108</v>
      </c>
      <c r="N159" s="5709"/>
      <c r="O159" s="5707" t="s">
        <v>58</v>
      </c>
      <c r="P159" s="5709"/>
      <c r="Q159" s="5707" t="s">
        <v>59</v>
      </c>
      <c r="R159" s="5709"/>
      <c r="S159" s="5707" t="s">
        <v>60</v>
      </c>
      <c r="T159" s="5709"/>
      <c r="U159" s="5707" t="s">
        <v>61</v>
      </c>
      <c r="V159" s="5709"/>
      <c r="W159" s="5707" t="s">
        <v>62</v>
      </c>
      <c r="X159" s="5709"/>
      <c r="Y159" s="5707" t="s">
        <v>63</v>
      </c>
      <c r="Z159" s="5709"/>
      <c r="AA159" s="5707" t="s">
        <v>64</v>
      </c>
      <c r="AB159" s="5709"/>
      <c r="AC159" s="5707" t="s">
        <v>65</v>
      </c>
      <c r="AD159" s="5709"/>
      <c r="AE159" s="5707" t="s">
        <v>66</v>
      </c>
      <c r="AF159" s="5709"/>
      <c r="AG159" s="5707" t="s">
        <v>67</v>
      </c>
      <c r="AH159" s="5709"/>
      <c r="AI159" s="5707" t="s">
        <v>1982</v>
      </c>
      <c r="AJ159" s="6147"/>
      <c r="AK159" s="6729" t="s">
        <v>72</v>
      </c>
      <c r="AL159" s="6059"/>
      <c r="AM159" s="6049" t="s">
        <v>73</v>
      </c>
      <c r="AN159" s="6726"/>
      <c r="AO159" s="6729" t="s">
        <v>483</v>
      </c>
      <c r="AP159" s="6059"/>
      <c r="AQ159" s="6060" t="s">
        <v>484</v>
      </c>
      <c r="AR159" s="6726"/>
      <c r="AS159" s="6751"/>
      <c r="AT159" s="6752"/>
      <c r="AU159" s="6751"/>
      <c r="AV159" s="6752"/>
      <c r="AW159" s="6115"/>
      <c r="AX159" s="6116"/>
    </row>
    <row r="160" spans="1:118" ht="31.5">
      <c r="A160" s="6114"/>
      <c r="B160" s="6116"/>
      <c r="C160" s="1395" t="s">
        <v>1937</v>
      </c>
      <c r="D160" s="1646" t="s">
        <v>1983</v>
      </c>
      <c r="E160" s="1395" t="s">
        <v>1937</v>
      </c>
      <c r="F160" s="1646" t="s">
        <v>1983</v>
      </c>
      <c r="G160" s="1395" t="s">
        <v>1937</v>
      </c>
      <c r="H160" s="1646" t="s">
        <v>1983</v>
      </c>
      <c r="I160" s="1395" t="s">
        <v>1937</v>
      </c>
      <c r="J160" s="1646" t="s">
        <v>1983</v>
      </c>
      <c r="K160" s="1395" t="s">
        <v>1937</v>
      </c>
      <c r="L160" s="1646" t="s">
        <v>1983</v>
      </c>
      <c r="M160" s="1395" t="s">
        <v>1937</v>
      </c>
      <c r="N160" s="1646" t="s">
        <v>1983</v>
      </c>
      <c r="O160" s="1395" t="s">
        <v>1937</v>
      </c>
      <c r="P160" s="1646" t="s">
        <v>1983</v>
      </c>
      <c r="Q160" s="1395" t="s">
        <v>1937</v>
      </c>
      <c r="R160" s="1646" t="s">
        <v>1983</v>
      </c>
      <c r="S160" s="1395" t="s">
        <v>1937</v>
      </c>
      <c r="T160" s="1646" t="s">
        <v>1983</v>
      </c>
      <c r="U160" s="1395" t="s">
        <v>1937</v>
      </c>
      <c r="V160" s="1646" t="s">
        <v>1983</v>
      </c>
      <c r="W160" s="1395" t="s">
        <v>1937</v>
      </c>
      <c r="X160" s="1646" t="s">
        <v>1983</v>
      </c>
      <c r="Y160" s="1395" t="s">
        <v>1937</v>
      </c>
      <c r="Z160" s="1646" t="s">
        <v>1983</v>
      </c>
      <c r="AA160" s="1395" t="s">
        <v>1937</v>
      </c>
      <c r="AB160" s="1646" t="s">
        <v>1983</v>
      </c>
      <c r="AC160" s="1395" t="s">
        <v>1937</v>
      </c>
      <c r="AD160" s="1646" t="s">
        <v>1983</v>
      </c>
      <c r="AE160" s="1395" t="s">
        <v>1937</v>
      </c>
      <c r="AF160" s="1646" t="s">
        <v>1983</v>
      </c>
      <c r="AG160" s="1395" t="s">
        <v>1937</v>
      </c>
      <c r="AH160" s="1646" t="s">
        <v>1983</v>
      </c>
      <c r="AI160" s="1395" t="s">
        <v>1937</v>
      </c>
      <c r="AJ160" s="1398" t="s">
        <v>1983</v>
      </c>
      <c r="AK160" s="1396" t="s">
        <v>1937</v>
      </c>
      <c r="AL160" s="1646" t="s">
        <v>1983</v>
      </c>
      <c r="AM160" s="1395" t="s">
        <v>1937</v>
      </c>
      <c r="AN160" s="1646" t="s">
        <v>1983</v>
      </c>
      <c r="AO160" s="1733" t="s">
        <v>1937</v>
      </c>
      <c r="AP160" s="1646" t="s">
        <v>1983</v>
      </c>
      <c r="AQ160" s="1395" t="s">
        <v>1937</v>
      </c>
      <c r="AR160" s="1646" t="s">
        <v>1983</v>
      </c>
      <c r="AS160" s="1733" t="s">
        <v>1937</v>
      </c>
      <c r="AT160" s="1646" t="s">
        <v>1983</v>
      </c>
      <c r="AU160" s="1733" t="s">
        <v>1937</v>
      </c>
      <c r="AV160" s="1584" t="s">
        <v>1983</v>
      </c>
      <c r="AW160" s="1733" t="s">
        <v>1937</v>
      </c>
      <c r="AX160" s="1584" t="s">
        <v>1983</v>
      </c>
    </row>
    <row r="161" spans="1:130">
      <c r="A161" s="6747" t="s">
        <v>1984</v>
      </c>
      <c r="B161" s="6748"/>
      <c r="C161" s="1737">
        <f t="shared" ref="C161:D163" si="218">+M161+O161+Q161+S161+U161+W161+Y161+AA161+AC161+AE161</f>
        <v>0</v>
      </c>
      <c r="D161" s="2294">
        <f t="shared" si="218"/>
        <v>0</v>
      </c>
      <c r="E161" s="2375"/>
      <c r="F161" s="2374"/>
      <c r="G161" s="2375"/>
      <c r="H161" s="2374"/>
      <c r="I161" s="2375"/>
      <c r="J161" s="2374"/>
      <c r="K161" s="2375"/>
      <c r="L161" s="2374"/>
      <c r="M161" s="448"/>
      <c r="N161" s="3398"/>
      <c r="O161" s="448"/>
      <c r="P161" s="3398"/>
      <c r="Q161" s="448"/>
      <c r="R161" s="3398"/>
      <c r="S161" s="448"/>
      <c r="T161" s="3398"/>
      <c r="U161" s="448"/>
      <c r="V161" s="3398"/>
      <c r="W161" s="448"/>
      <c r="X161" s="3398"/>
      <c r="Y161" s="448"/>
      <c r="Z161" s="3398"/>
      <c r="AA161" s="448"/>
      <c r="AB161" s="3398"/>
      <c r="AC161" s="448"/>
      <c r="AD161" s="3398"/>
      <c r="AE161" s="448"/>
      <c r="AF161" s="3398"/>
      <c r="AG161" s="2375"/>
      <c r="AH161" s="2376"/>
      <c r="AI161" s="2375"/>
      <c r="AJ161" s="3408"/>
      <c r="AK161" s="3409"/>
      <c r="AL161" s="3410"/>
      <c r="AM161" s="413"/>
      <c r="AN161" s="3411"/>
      <c r="AO161" s="3372"/>
      <c r="AP161" s="2231"/>
      <c r="AQ161" s="423"/>
      <c r="AR161" s="3412"/>
      <c r="AS161" s="3372"/>
      <c r="AT161" s="3412"/>
      <c r="AU161" s="3372"/>
      <c r="AV161" s="2231"/>
      <c r="AW161" s="3372"/>
      <c r="AX161" s="2231"/>
      <c r="AY161" s="3373" t="str">
        <f t="shared" ref="AY161:AY163" si="219">$CA161&amp;$CC161&amp;CD161&amp;CE161&amp;CF161&amp;CG161&amp;CH161&amp;CI161&amp;CJ161&amp;CK161&amp;CL161&amp;CM161&amp;CN161&amp;CO161&amp;CP161&amp;CQ161&amp;CR161&amp;CS161&amp;CT161&amp;CU161&amp;CV161&amp;CW161</f>
        <v/>
      </c>
      <c r="CA161" s="3413" t="str">
        <f t="shared" ref="CA161:CA183" si="220">IF(D161&gt;C161," * El Total de Exámenes Confirmados Positivos por ISP NO DEBE SUPERAR los  Exámenes Procesados. ","")</f>
        <v/>
      </c>
      <c r="CB161" s="3414"/>
      <c r="CC161" s="418" t="str">
        <f t="shared" ref="CC161:CC210" si="221">IF(AN161&gt;AM161," * El número de Exámenes por Sexo Mujeres Confirmados positivos por ISP NO PUEDE Superar al número de Procesados. ","")</f>
        <v/>
      </c>
      <c r="CD161" s="417"/>
      <c r="CE161" s="417"/>
      <c r="CF161" s="417"/>
      <c r="CG161" s="417"/>
      <c r="CH161" s="417"/>
      <c r="CI161" s="418" t="str">
        <f t="shared" ref="CI161:CI183" si="222">IF(AND(C161&gt;0,AND(AO161="",AQ161=""))," * No olvide digitar los exámenes procesados Trans (Masculino y Femenino). Digite Cero si no tiene.",IF((AO161+AQ161)&gt;C161," * Los exámenes procesados en Trans (Masculino y Femenino) no pueden ser mayor que el Total de exámenes procesados.",""))</f>
        <v/>
      </c>
      <c r="CJ161" s="3366"/>
      <c r="CK161" s="418" t="str">
        <f t="shared" ref="CK161:CK210" si="223">IF((AM161+AK161)&lt;&gt;C161," * El N° de exámenes Procesados por SEXO (Hombres + Mujeres)no puede ser distinto al Total de exámenes procesados","")</f>
        <v/>
      </c>
      <c r="CL161" s="418" t="str">
        <f t="shared" ref="CL161:CL210" si="224">IF((AN161+AL161)&lt;&gt;D161," * El N° de exámenes Confirmados positivos por ISP por Sexo (Hombres+Mujeres) no puede ser distinto al N° Total de exámenes Confirmados positivos por ISP ","")</f>
        <v/>
      </c>
      <c r="CM161" s="418" t="str">
        <f t="shared" ref="CM161:CM210" si="225">IF(AND(C161&gt;0,AS161="")," * No olvide digitar los examanes de Pueblos Originarios Procesados. Digite Cero si no tiene.",IF(AS161&gt;C161," * Los exámenes de Pueblos originarios Procesados no pueden ser mayor que el Total de exámenes procesados.",""))</f>
        <v/>
      </c>
      <c r="CN161" s="418" t="str">
        <f t="shared" ref="CN161:CN210" si="226">IF(AND(C161&gt;0,AU161="")," * No olvide digitar los exámenes Procesados de Migrantes. Digite Cero si no tiene.",IF(AU161&gt;C161," * Los exámenes procesados de Migrantes no pueden ser mayor que el Total de exámenes procesados.",""))</f>
        <v/>
      </c>
      <c r="CO161" s="418" t="str">
        <f t="shared" ref="CO161:CO210" si="227">IF(AND(D161&gt;0,AND(AP161="",AR161=""))," * No olvide digitar los exámenes Confirmados positivos por ISP de Trans (Masculino y Femenino). Digite Cero si no tiene.",IF((AP161+AR161)&gt;D161," * Los exámenes confirmados positivos por ISP de Trans (Masculino y Femenino) no pueden ser mayor que el Total de exámenes Confirmados positivos por ISP.",""))</f>
        <v/>
      </c>
      <c r="CP161" s="418" t="str">
        <f t="shared" ref="CP161:CP210" si="228">IF(AND(D161&gt;0,AT161="")," * No olvide digitar los exámenes Confirmados positivos por ISP de Pueblos Originarios. Digite Cero si no tiene.",IF(AT161&gt;D161," * Los exámenes Confirmados positivos por ISP de Pueblos originarios no pueden ser mayor que el Total de exámenes Procesados por ISP.",""))</f>
        <v/>
      </c>
      <c r="CQ161" s="418" t="str">
        <f t="shared" ref="CQ161:CQ210" si="229">IF(AND(D161&gt;0,AV161="")," * No olvide digitar los exámenes Confirmados positivos por ISP de Migrantes. Digite Cero si no tiene.",IF(AV161&gt;D161," * Los exámenes Confirmados positivos por ISP de Migrantes no pueden ser mayor que el Total de exámenes Procesados por ISP.",""))</f>
        <v/>
      </c>
      <c r="CR161" s="417"/>
      <c r="CS161" s="417"/>
      <c r="CT161" s="1708" t="str">
        <f t="shared" ref="CT161:CT210" si="230">IF(AND((M161+O161)&gt;0,AW161=""),"*No olvide digitar los Exámenes Procesados de 14-18 años. Digite cero si no tiene.",IF(AW161&gt;(M161+O161),"* El Total de Procesados de 14-18 años NO DEBE ser mayor al Total de Procesados registrados en los grupos de edad 10 a 14 + 15 a 19 años. ",""))</f>
        <v/>
      </c>
      <c r="CU161" s="1708" t="str">
        <f t="shared" ref="CU161:CU210" si="231">IF(AND((N161+P161)&gt;0,AX161=""),"*No olvide digitar los Exámenes Confirmados Positivos por ISP de 14-18 años. Digite cero si no tiene.",IF(AX161&gt;(N161+P161),"* El Total de Confirmados de 14-18 años NO DEBE ser mayor al Total de Confirmados Positivos por ISP registrados en los grupos de edad 10 a 14 + 15 a 19 años. ",""))</f>
        <v/>
      </c>
      <c r="DF161" s="3415">
        <f t="shared" ref="DF161:DF210" si="232">IF(D161&gt;C161,1,0)</f>
        <v>0</v>
      </c>
      <c r="DG161" s="3414"/>
      <c r="DH161" s="3389">
        <f t="shared" ref="DH161:DH210" si="233">IF(AN161&gt;AM161,1,0)</f>
        <v>0</v>
      </c>
      <c r="DI161" s="417"/>
      <c r="DJ161" s="417"/>
      <c r="DK161" s="417"/>
      <c r="DL161" s="417"/>
      <c r="DM161" s="417"/>
      <c r="DN161" s="3389">
        <f t="shared" ref="DN161:DN210" si="234">IF(AND(C161&gt;0,AND(AO161="",AQ161="")),1,IF((AO161+AQ161)&gt;C161,1,0))</f>
        <v>0</v>
      </c>
      <c r="DO161" s="3366"/>
      <c r="DP161" s="3389">
        <f t="shared" ref="DP161:DP210" si="235">IF((AM161+AK161)&lt;&gt;C161,1,0)</f>
        <v>0</v>
      </c>
      <c r="DQ161" s="3389">
        <f t="shared" ref="DQ161:DQ210" si="236">IF((AN161+AL161)&lt;&gt;D161,1,0)</f>
        <v>0</v>
      </c>
      <c r="DR161" s="3389">
        <f t="shared" ref="DR161:DR210" si="237">IF(AND(C161&gt;0,AS161=""),1,IF(AS161&gt;C161,1,0))</f>
        <v>0</v>
      </c>
      <c r="DS161" s="3389">
        <f t="shared" ref="DS161:DS210" si="238">IF(AND(C161&gt;0,AU161=""),1,IF(AU161&gt;C161,1,0))</f>
        <v>0</v>
      </c>
      <c r="DT161" s="3389">
        <f t="shared" ref="DT161:DT183" si="239">IF(AND(D161&gt;0,AND(AP161="",AR161="")),1,IF((AP161+AR161)&gt;D161,1,0))</f>
        <v>0</v>
      </c>
      <c r="DU161" s="3389">
        <f t="shared" ref="DU161:DU210" si="240">IF(AND(D161&gt;0,AT161=""),1,IF(AT161&gt;D161,1,0))</f>
        <v>0</v>
      </c>
      <c r="DV161" s="3389">
        <f t="shared" ref="DV161:DV210" si="241">IF(AND(D161&gt;0,AV161=""),1,IF(AV161&gt;D161,1,0))</f>
        <v>0</v>
      </c>
      <c r="DW161" s="417"/>
      <c r="DX161" s="417"/>
      <c r="DY161" s="3416">
        <f t="shared" ref="DY161:DY210" si="242">IF(AND((M161+O161)&gt;0,AW161=""),1,IF(AW161&gt;(M161+O161),1,0))</f>
        <v>0</v>
      </c>
      <c r="DZ161" s="3416">
        <f t="shared" ref="DZ161:DZ210" si="243">IF(AND((N161+P161)&gt;0,AX161=""),1,IF(AX161&gt;(N161+P161),1,0))</f>
        <v>0</v>
      </c>
    </row>
    <row r="162" spans="1:130">
      <c r="A162" s="6738" t="s">
        <v>1985</v>
      </c>
      <c r="B162" s="6739"/>
      <c r="C162" s="1737">
        <f t="shared" si="218"/>
        <v>0</v>
      </c>
      <c r="D162" s="2300">
        <f t="shared" si="218"/>
        <v>0</v>
      </c>
      <c r="E162" s="2381"/>
      <c r="F162" s="2885"/>
      <c r="G162" s="2381"/>
      <c r="H162" s="2885"/>
      <c r="I162" s="2381"/>
      <c r="J162" s="2885"/>
      <c r="K162" s="2381"/>
      <c r="L162" s="2885"/>
      <c r="M162" s="413"/>
      <c r="N162" s="3370"/>
      <c r="O162" s="413"/>
      <c r="P162" s="3370"/>
      <c r="Q162" s="413"/>
      <c r="R162" s="3370"/>
      <c r="S162" s="413"/>
      <c r="T162" s="3370"/>
      <c r="U162" s="413"/>
      <c r="V162" s="3370"/>
      <c r="W162" s="413"/>
      <c r="X162" s="3370"/>
      <c r="Y162" s="413"/>
      <c r="Z162" s="3370"/>
      <c r="AA162" s="413"/>
      <c r="AB162" s="3370"/>
      <c r="AC162" s="413"/>
      <c r="AD162" s="3370"/>
      <c r="AE162" s="413"/>
      <c r="AF162" s="3370"/>
      <c r="AG162" s="2381"/>
      <c r="AH162" s="2382"/>
      <c r="AI162" s="2381"/>
      <c r="AJ162" s="2882"/>
      <c r="AK162" s="3371"/>
      <c r="AL162" s="3103"/>
      <c r="AM162" s="425"/>
      <c r="AN162" s="3412"/>
      <c r="AO162" s="3372"/>
      <c r="AP162" s="2231"/>
      <c r="AQ162" s="423"/>
      <c r="AR162" s="3412"/>
      <c r="AS162" s="3372"/>
      <c r="AT162" s="3412"/>
      <c r="AU162" s="3372"/>
      <c r="AV162" s="2231"/>
      <c r="AW162" s="3372"/>
      <c r="AX162" s="2231"/>
      <c r="AY162" s="3373" t="str">
        <f t="shared" si="219"/>
        <v/>
      </c>
      <c r="CA162" s="3413" t="str">
        <f t="shared" si="220"/>
        <v/>
      </c>
      <c r="CB162" s="3414"/>
      <c r="CC162" s="418" t="str">
        <f t="shared" si="221"/>
        <v/>
      </c>
      <c r="CD162" s="417"/>
      <c r="CE162" s="417"/>
      <c r="CF162" s="417"/>
      <c r="CG162" s="417"/>
      <c r="CH162" s="417"/>
      <c r="CI162" s="418" t="str">
        <f t="shared" si="222"/>
        <v/>
      </c>
      <c r="CJ162" s="3366"/>
      <c r="CK162" s="418" t="str">
        <f t="shared" si="223"/>
        <v/>
      </c>
      <c r="CL162" s="418" t="str">
        <f t="shared" si="224"/>
        <v/>
      </c>
      <c r="CM162" s="418" t="str">
        <f t="shared" si="225"/>
        <v/>
      </c>
      <c r="CN162" s="418" t="str">
        <f t="shared" si="226"/>
        <v/>
      </c>
      <c r="CO162" s="418" t="str">
        <f t="shared" si="227"/>
        <v/>
      </c>
      <c r="CP162" s="418" t="str">
        <f t="shared" si="228"/>
        <v/>
      </c>
      <c r="CQ162" s="418" t="str">
        <f t="shared" si="229"/>
        <v/>
      </c>
      <c r="CR162" s="417"/>
      <c r="CS162" s="417"/>
      <c r="CT162" s="1708" t="str">
        <f t="shared" si="230"/>
        <v/>
      </c>
      <c r="CU162" s="1708" t="str">
        <f t="shared" si="231"/>
        <v/>
      </c>
      <c r="DF162" s="3415">
        <f t="shared" si="232"/>
        <v>0</v>
      </c>
      <c r="DG162" s="3414"/>
      <c r="DH162" s="3389">
        <f t="shared" si="233"/>
        <v>0</v>
      </c>
      <c r="DI162" s="417"/>
      <c r="DJ162" s="417"/>
      <c r="DK162" s="417"/>
      <c r="DL162" s="417"/>
      <c r="DM162" s="417"/>
      <c r="DN162" s="3389">
        <f t="shared" si="234"/>
        <v>0</v>
      </c>
      <c r="DO162" s="3366"/>
      <c r="DP162" s="3389">
        <f t="shared" si="235"/>
        <v>0</v>
      </c>
      <c r="DQ162" s="3389">
        <f t="shared" si="236"/>
        <v>0</v>
      </c>
      <c r="DR162" s="3389">
        <f t="shared" si="237"/>
        <v>0</v>
      </c>
      <c r="DS162" s="3389">
        <f t="shared" si="238"/>
        <v>0</v>
      </c>
      <c r="DT162" s="3389">
        <f t="shared" si="239"/>
        <v>0</v>
      </c>
      <c r="DU162" s="3389">
        <f t="shared" si="240"/>
        <v>0</v>
      </c>
      <c r="DV162" s="3389">
        <f t="shared" si="241"/>
        <v>0</v>
      </c>
      <c r="DW162" s="417"/>
      <c r="DX162" s="417"/>
      <c r="DY162" s="3416">
        <f t="shared" si="242"/>
        <v>0</v>
      </c>
      <c r="DZ162" s="3416">
        <f t="shared" si="243"/>
        <v>0</v>
      </c>
    </row>
    <row r="163" spans="1:130">
      <c r="A163" s="6738" t="s">
        <v>1986</v>
      </c>
      <c r="B163" s="6739"/>
      <c r="C163" s="1737">
        <f t="shared" si="218"/>
        <v>0</v>
      </c>
      <c r="D163" s="2300">
        <f t="shared" si="218"/>
        <v>0</v>
      </c>
      <c r="E163" s="2381"/>
      <c r="F163" s="2885"/>
      <c r="G163" s="2381"/>
      <c r="H163" s="2885"/>
      <c r="I163" s="2381"/>
      <c r="J163" s="2885"/>
      <c r="K163" s="2381"/>
      <c r="L163" s="2885"/>
      <c r="M163" s="425"/>
      <c r="N163" s="3376"/>
      <c r="O163" s="425"/>
      <c r="P163" s="3376"/>
      <c r="Q163" s="425"/>
      <c r="R163" s="3376"/>
      <c r="S163" s="425"/>
      <c r="T163" s="3376"/>
      <c r="U163" s="425"/>
      <c r="V163" s="3376"/>
      <c r="W163" s="425"/>
      <c r="X163" s="3376"/>
      <c r="Y163" s="425"/>
      <c r="Z163" s="3376"/>
      <c r="AA163" s="425"/>
      <c r="AB163" s="3376"/>
      <c r="AC163" s="425"/>
      <c r="AD163" s="3376"/>
      <c r="AE163" s="425"/>
      <c r="AF163" s="3376"/>
      <c r="AG163" s="2381"/>
      <c r="AH163" s="2382"/>
      <c r="AI163" s="2381"/>
      <c r="AJ163" s="2882"/>
      <c r="AK163" s="3371"/>
      <c r="AL163" s="3103"/>
      <c r="AM163" s="425"/>
      <c r="AN163" s="3412"/>
      <c r="AO163" s="3372"/>
      <c r="AP163" s="2231"/>
      <c r="AQ163" s="423"/>
      <c r="AR163" s="3412"/>
      <c r="AS163" s="3372"/>
      <c r="AT163" s="3412"/>
      <c r="AU163" s="3372"/>
      <c r="AV163" s="2231"/>
      <c r="AW163" s="3372"/>
      <c r="AX163" s="2231"/>
      <c r="AY163" s="3373" t="str">
        <f t="shared" si="219"/>
        <v/>
      </c>
      <c r="CA163" s="3413" t="str">
        <f t="shared" si="220"/>
        <v/>
      </c>
      <c r="CB163" s="3414"/>
      <c r="CC163" s="418" t="str">
        <f t="shared" si="221"/>
        <v/>
      </c>
      <c r="CD163" s="417"/>
      <c r="CE163" s="417"/>
      <c r="CF163" s="417"/>
      <c r="CG163" s="417"/>
      <c r="CH163" s="417"/>
      <c r="CI163" s="418" t="str">
        <f t="shared" si="222"/>
        <v/>
      </c>
      <c r="CJ163" s="3366"/>
      <c r="CK163" s="418" t="str">
        <f t="shared" si="223"/>
        <v/>
      </c>
      <c r="CL163" s="418" t="str">
        <f t="shared" si="224"/>
        <v/>
      </c>
      <c r="CM163" s="418" t="str">
        <f t="shared" si="225"/>
        <v/>
      </c>
      <c r="CN163" s="418" t="str">
        <f t="shared" si="226"/>
        <v/>
      </c>
      <c r="CO163" s="418" t="str">
        <f t="shared" si="227"/>
        <v/>
      </c>
      <c r="CP163" s="418" t="str">
        <f t="shared" si="228"/>
        <v/>
      </c>
      <c r="CQ163" s="418" t="str">
        <f t="shared" si="229"/>
        <v/>
      </c>
      <c r="CR163" s="417"/>
      <c r="CS163" s="417"/>
      <c r="CT163" s="1708" t="str">
        <f t="shared" si="230"/>
        <v/>
      </c>
      <c r="CU163" s="1708" t="str">
        <f t="shared" si="231"/>
        <v/>
      </c>
      <c r="DF163" s="3415">
        <f t="shared" si="232"/>
        <v>0</v>
      </c>
      <c r="DG163" s="3414"/>
      <c r="DH163" s="3389">
        <f t="shared" si="233"/>
        <v>0</v>
      </c>
      <c r="DI163" s="417"/>
      <c r="DJ163" s="417"/>
      <c r="DK163" s="417"/>
      <c r="DL163" s="417"/>
      <c r="DM163" s="417"/>
      <c r="DN163" s="3389">
        <f t="shared" si="234"/>
        <v>0</v>
      </c>
      <c r="DO163" s="3366"/>
      <c r="DP163" s="3389">
        <f t="shared" si="235"/>
        <v>0</v>
      </c>
      <c r="DQ163" s="3389">
        <f t="shared" si="236"/>
        <v>0</v>
      </c>
      <c r="DR163" s="3389">
        <f t="shared" si="237"/>
        <v>0</v>
      </c>
      <c r="DS163" s="3389">
        <f t="shared" si="238"/>
        <v>0</v>
      </c>
      <c r="DT163" s="3389">
        <f t="shared" si="239"/>
        <v>0</v>
      </c>
      <c r="DU163" s="3389">
        <f t="shared" si="240"/>
        <v>0</v>
      </c>
      <c r="DV163" s="3389">
        <f t="shared" si="241"/>
        <v>0</v>
      </c>
      <c r="DW163" s="417"/>
      <c r="DX163" s="417"/>
      <c r="DY163" s="3416">
        <f t="shared" si="242"/>
        <v>0</v>
      </c>
      <c r="DZ163" s="3416">
        <f t="shared" si="243"/>
        <v>0</v>
      </c>
    </row>
    <row r="164" spans="1:130">
      <c r="A164" s="6738" t="s">
        <v>1949</v>
      </c>
      <c r="B164" s="6739"/>
      <c r="C164" s="1737">
        <f>+O164+Q164+S164+U164+W164+Y164+AA164+AC164+AE164+AG164+AI164</f>
        <v>0</v>
      </c>
      <c r="D164" s="2295">
        <f>+P164+R164+T164+V164+X164+Z164+AB164+AD164+AF164+AH164+AJ164</f>
        <v>0</v>
      </c>
      <c r="E164" s="2381"/>
      <c r="F164" s="2885"/>
      <c r="G164" s="2381"/>
      <c r="H164" s="2885"/>
      <c r="I164" s="2381"/>
      <c r="J164" s="2885"/>
      <c r="K164" s="2381"/>
      <c r="L164" s="2885"/>
      <c r="M164" s="2381"/>
      <c r="N164" s="2885"/>
      <c r="O164" s="425"/>
      <c r="P164" s="3376"/>
      <c r="Q164" s="425"/>
      <c r="R164" s="3376"/>
      <c r="S164" s="425"/>
      <c r="T164" s="3376"/>
      <c r="U164" s="425"/>
      <c r="V164" s="3376"/>
      <c r="W164" s="425"/>
      <c r="X164" s="3376"/>
      <c r="Y164" s="425"/>
      <c r="Z164" s="3376"/>
      <c r="AA164" s="425"/>
      <c r="AB164" s="3376"/>
      <c r="AC164" s="425"/>
      <c r="AD164" s="3376"/>
      <c r="AE164" s="425"/>
      <c r="AF164" s="3376"/>
      <c r="AG164" s="425"/>
      <c r="AH164" s="3376"/>
      <c r="AI164" s="425"/>
      <c r="AJ164" s="3376"/>
      <c r="AK164" s="3372"/>
      <c r="AL164" s="2231"/>
      <c r="AM164" s="425"/>
      <c r="AN164" s="3412"/>
      <c r="AO164" s="3372"/>
      <c r="AP164" s="2231"/>
      <c r="AQ164" s="423"/>
      <c r="AR164" s="3412"/>
      <c r="AS164" s="3372"/>
      <c r="AT164" s="3412"/>
      <c r="AU164" s="3372"/>
      <c r="AV164" s="2231"/>
      <c r="AW164" s="3372"/>
      <c r="AX164" s="2231"/>
      <c r="AY164" s="3373" t="str">
        <f t="shared" ref="AY164:AY183" si="244">$CA164&amp;CB164&amp;$CC164&amp;CD164&amp;CE164&amp;CF164&amp;CG164&amp;CH164&amp;CI164&amp;CJ164&amp;CK164&amp;CL164&amp;CM164&amp;CN164&amp;CO164&amp;CP164&amp;CQ164&amp;CR164&amp;CS164&amp;CT164&amp;CU164&amp;CV164&amp;CW164</f>
        <v/>
      </c>
      <c r="CA164" s="3413" t="str">
        <f t="shared" si="220"/>
        <v/>
      </c>
      <c r="CB164" s="418" t="str">
        <f t="shared" ref="CB164:CB210" si="245">IF(AL164&gt;AK164," * El número de Exámenes por Sexo Hombres Confirmados positivos por ISP NO PUEDE Superar al número de Procesados. ","")</f>
        <v/>
      </c>
      <c r="CC164" s="418" t="str">
        <f t="shared" si="221"/>
        <v/>
      </c>
      <c r="CD164" s="417"/>
      <c r="CE164" s="417"/>
      <c r="CF164" s="417"/>
      <c r="CG164" s="417"/>
      <c r="CH164" s="417"/>
      <c r="CI164" s="418" t="str">
        <f t="shared" si="222"/>
        <v/>
      </c>
      <c r="CJ164" s="3366"/>
      <c r="CK164" s="418" t="str">
        <f t="shared" si="223"/>
        <v/>
      </c>
      <c r="CL164" s="418" t="str">
        <f t="shared" si="224"/>
        <v/>
      </c>
      <c r="CM164" s="418" t="str">
        <f t="shared" si="225"/>
        <v/>
      </c>
      <c r="CN164" s="418" t="str">
        <f t="shared" si="226"/>
        <v/>
      </c>
      <c r="CO164" s="418" t="str">
        <f t="shared" si="227"/>
        <v/>
      </c>
      <c r="CP164" s="418" t="str">
        <f t="shared" si="228"/>
        <v/>
      </c>
      <c r="CQ164" s="418" t="str">
        <f t="shared" si="229"/>
        <v/>
      </c>
      <c r="CR164" s="417"/>
      <c r="CS164" s="417"/>
      <c r="CT164" s="1708" t="str">
        <f t="shared" si="230"/>
        <v/>
      </c>
      <c r="CU164" s="1708" t="str">
        <f t="shared" si="231"/>
        <v/>
      </c>
      <c r="DF164" s="3415">
        <f t="shared" si="232"/>
        <v>0</v>
      </c>
      <c r="DG164" s="3389">
        <f t="shared" ref="DG164:DG210" si="246">IF(AL164&gt;AK164,1,0)</f>
        <v>0</v>
      </c>
      <c r="DH164" s="3389">
        <f t="shared" si="233"/>
        <v>0</v>
      </c>
      <c r="DI164" s="417"/>
      <c r="DJ164" s="417"/>
      <c r="DK164" s="417"/>
      <c r="DL164" s="417"/>
      <c r="DM164" s="417"/>
      <c r="DN164" s="3389">
        <f t="shared" si="234"/>
        <v>0</v>
      </c>
      <c r="DO164" s="3366"/>
      <c r="DP164" s="3389">
        <f t="shared" si="235"/>
        <v>0</v>
      </c>
      <c r="DQ164" s="3389">
        <f t="shared" si="236"/>
        <v>0</v>
      </c>
      <c r="DR164" s="3389">
        <f t="shared" si="237"/>
        <v>0</v>
      </c>
      <c r="DS164" s="3389">
        <f t="shared" si="238"/>
        <v>0</v>
      </c>
      <c r="DT164" s="3389">
        <f t="shared" si="239"/>
        <v>0</v>
      </c>
      <c r="DU164" s="3389">
        <f t="shared" si="240"/>
        <v>0</v>
      </c>
      <c r="DV164" s="3389">
        <f t="shared" si="241"/>
        <v>0</v>
      </c>
      <c r="DW164" s="417"/>
      <c r="DX164" s="417"/>
      <c r="DY164" s="3416">
        <f t="shared" si="242"/>
        <v>0</v>
      </c>
      <c r="DZ164" s="3416">
        <f t="shared" si="243"/>
        <v>0</v>
      </c>
    </row>
    <row r="165" spans="1:130">
      <c r="A165" s="6738" t="s">
        <v>1955</v>
      </c>
      <c r="B165" s="6739"/>
      <c r="C165" s="1737">
        <f t="shared" ref="C165:C166" si="247">+E165+G165+I165+K165+M165+O165+Q165+S165+U165+W165+Y165+AA165+AC165+AE165+AG165+AI165</f>
        <v>0</v>
      </c>
      <c r="D165" s="2295">
        <f t="shared" ref="D165:D166" si="248">+F165+H165+J165+L165+N165+P165+R165+T165+V165+X165+Z165+AB165+AD165+AF165+AH165+AJ165</f>
        <v>0</v>
      </c>
      <c r="E165" s="425"/>
      <c r="F165" s="3376"/>
      <c r="G165" s="425"/>
      <c r="H165" s="3376"/>
      <c r="I165" s="425"/>
      <c r="J165" s="3376"/>
      <c r="K165" s="425"/>
      <c r="L165" s="3376"/>
      <c r="M165" s="425"/>
      <c r="N165" s="3376"/>
      <c r="O165" s="425"/>
      <c r="P165" s="3376"/>
      <c r="Q165" s="425"/>
      <c r="R165" s="3376"/>
      <c r="S165" s="425"/>
      <c r="T165" s="3376"/>
      <c r="U165" s="425"/>
      <c r="V165" s="3376"/>
      <c r="W165" s="425"/>
      <c r="X165" s="3376"/>
      <c r="Y165" s="425"/>
      <c r="Z165" s="3376"/>
      <c r="AA165" s="425"/>
      <c r="AB165" s="3376"/>
      <c r="AC165" s="425"/>
      <c r="AD165" s="3376"/>
      <c r="AE165" s="425"/>
      <c r="AF165" s="3376"/>
      <c r="AG165" s="425"/>
      <c r="AH165" s="3376"/>
      <c r="AI165" s="425"/>
      <c r="AJ165" s="3376"/>
      <c r="AK165" s="3417"/>
      <c r="AL165" s="2233"/>
      <c r="AM165" s="3041"/>
      <c r="AN165" s="3412"/>
      <c r="AO165" s="3372"/>
      <c r="AP165" s="2231"/>
      <c r="AQ165" s="423"/>
      <c r="AR165" s="3412"/>
      <c r="AS165" s="3372"/>
      <c r="AT165" s="3412"/>
      <c r="AU165" s="3372"/>
      <c r="AV165" s="2231"/>
      <c r="AW165" s="3372"/>
      <c r="AX165" s="2231"/>
      <c r="AY165" s="3373" t="str">
        <f t="shared" si="244"/>
        <v/>
      </c>
      <c r="CA165" s="3413" t="str">
        <f t="shared" si="220"/>
        <v/>
      </c>
      <c r="CB165" s="418" t="str">
        <f t="shared" si="245"/>
        <v/>
      </c>
      <c r="CC165" s="418" t="str">
        <f t="shared" si="221"/>
        <v/>
      </c>
      <c r="CD165" s="417"/>
      <c r="CE165" s="417"/>
      <c r="CF165" s="417"/>
      <c r="CG165" s="417"/>
      <c r="CH165" s="417"/>
      <c r="CI165" s="418" t="str">
        <f t="shared" si="222"/>
        <v/>
      </c>
      <c r="CJ165" s="3366"/>
      <c r="CK165" s="418" t="str">
        <f t="shared" si="223"/>
        <v/>
      </c>
      <c r="CL165" s="418" t="str">
        <f t="shared" si="224"/>
        <v/>
      </c>
      <c r="CM165" s="418" t="str">
        <f t="shared" si="225"/>
        <v/>
      </c>
      <c r="CN165" s="418" t="str">
        <f t="shared" si="226"/>
        <v/>
      </c>
      <c r="CO165" s="418" t="str">
        <f t="shared" si="227"/>
        <v/>
      </c>
      <c r="CP165" s="418" t="str">
        <f t="shared" si="228"/>
        <v/>
      </c>
      <c r="CQ165" s="418" t="str">
        <f t="shared" si="229"/>
        <v/>
      </c>
      <c r="CR165" s="417"/>
      <c r="CS165" s="417"/>
      <c r="CT165" s="1708" t="str">
        <f t="shared" si="230"/>
        <v/>
      </c>
      <c r="CU165" s="1708" t="str">
        <f t="shared" si="231"/>
        <v/>
      </c>
      <c r="DF165" s="3415">
        <f t="shared" si="232"/>
        <v>0</v>
      </c>
      <c r="DG165" s="3389">
        <f t="shared" si="246"/>
        <v>0</v>
      </c>
      <c r="DH165" s="3389">
        <f t="shared" si="233"/>
        <v>0</v>
      </c>
      <c r="DI165" s="417"/>
      <c r="DJ165" s="417"/>
      <c r="DK165" s="417"/>
      <c r="DL165" s="417"/>
      <c r="DM165" s="417"/>
      <c r="DN165" s="3389">
        <f t="shared" si="234"/>
        <v>0</v>
      </c>
      <c r="DO165" s="3366"/>
      <c r="DP165" s="3389">
        <f t="shared" si="235"/>
        <v>0</v>
      </c>
      <c r="DQ165" s="3389">
        <f t="shared" si="236"/>
        <v>0</v>
      </c>
      <c r="DR165" s="3389">
        <f t="shared" si="237"/>
        <v>0</v>
      </c>
      <c r="DS165" s="3389">
        <f t="shared" si="238"/>
        <v>0</v>
      </c>
      <c r="DT165" s="3389">
        <f t="shared" si="239"/>
        <v>0</v>
      </c>
      <c r="DU165" s="3389">
        <f t="shared" si="240"/>
        <v>0</v>
      </c>
      <c r="DV165" s="3389">
        <f t="shared" si="241"/>
        <v>0</v>
      </c>
      <c r="DW165" s="417"/>
      <c r="DX165" s="417"/>
      <c r="DY165" s="3416">
        <f t="shared" si="242"/>
        <v>0</v>
      </c>
      <c r="DZ165" s="3416">
        <f t="shared" si="243"/>
        <v>0</v>
      </c>
    </row>
    <row r="166" spans="1:130">
      <c r="A166" s="6738" t="s">
        <v>1987</v>
      </c>
      <c r="B166" s="6739"/>
      <c r="C166" s="1737">
        <f t="shared" si="247"/>
        <v>0</v>
      </c>
      <c r="D166" s="2300">
        <f t="shared" si="248"/>
        <v>0</v>
      </c>
      <c r="E166" s="425"/>
      <c r="F166" s="3376"/>
      <c r="G166" s="425"/>
      <c r="H166" s="3376"/>
      <c r="I166" s="425"/>
      <c r="J166" s="3376"/>
      <c r="K166" s="425"/>
      <c r="L166" s="3376"/>
      <c r="M166" s="425"/>
      <c r="N166" s="3376"/>
      <c r="O166" s="425"/>
      <c r="P166" s="3376"/>
      <c r="Q166" s="425"/>
      <c r="R166" s="3376"/>
      <c r="S166" s="425"/>
      <c r="T166" s="3376"/>
      <c r="U166" s="425"/>
      <c r="V166" s="3376"/>
      <c r="W166" s="425"/>
      <c r="X166" s="3376"/>
      <c r="Y166" s="425"/>
      <c r="Z166" s="3376"/>
      <c r="AA166" s="425"/>
      <c r="AB166" s="3376"/>
      <c r="AC166" s="425"/>
      <c r="AD166" s="3376"/>
      <c r="AE166" s="425"/>
      <c r="AF166" s="3376"/>
      <c r="AG166" s="425"/>
      <c r="AH166" s="3376"/>
      <c r="AI166" s="425"/>
      <c r="AJ166" s="3376"/>
      <c r="AK166" s="3372"/>
      <c r="AL166" s="2231"/>
      <c r="AM166" s="425"/>
      <c r="AN166" s="3412"/>
      <c r="AO166" s="3372"/>
      <c r="AP166" s="2231"/>
      <c r="AQ166" s="423"/>
      <c r="AR166" s="3412"/>
      <c r="AS166" s="3372"/>
      <c r="AT166" s="3412"/>
      <c r="AU166" s="3372"/>
      <c r="AV166" s="2231"/>
      <c r="AW166" s="3372"/>
      <c r="AX166" s="2231"/>
      <c r="AY166" s="3373" t="str">
        <f t="shared" si="244"/>
        <v/>
      </c>
      <c r="CA166" s="3413" t="str">
        <f t="shared" si="220"/>
        <v/>
      </c>
      <c r="CB166" s="418" t="str">
        <f t="shared" si="245"/>
        <v/>
      </c>
      <c r="CC166" s="418" t="str">
        <f t="shared" si="221"/>
        <v/>
      </c>
      <c r="CD166" s="417"/>
      <c r="CE166" s="417"/>
      <c r="CF166" s="417"/>
      <c r="CG166" s="417"/>
      <c r="CH166" s="417"/>
      <c r="CI166" s="418" t="str">
        <f t="shared" si="222"/>
        <v/>
      </c>
      <c r="CJ166" s="3366"/>
      <c r="CK166" s="418" t="str">
        <f t="shared" si="223"/>
        <v/>
      </c>
      <c r="CL166" s="418" t="str">
        <f t="shared" si="224"/>
        <v/>
      </c>
      <c r="CM166" s="418" t="str">
        <f t="shared" si="225"/>
        <v/>
      </c>
      <c r="CN166" s="418" t="str">
        <f t="shared" si="226"/>
        <v/>
      </c>
      <c r="CO166" s="418" t="str">
        <f t="shared" si="227"/>
        <v/>
      </c>
      <c r="CP166" s="418" t="str">
        <f t="shared" si="228"/>
        <v/>
      </c>
      <c r="CQ166" s="418" t="str">
        <f t="shared" si="229"/>
        <v/>
      </c>
      <c r="CR166" s="417"/>
      <c r="CS166" s="417"/>
      <c r="CT166" s="1708" t="str">
        <f t="shared" si="230"/>
        <v/>
      </c>
      <c r="CU166" s="1708" t="str">
        <f t="shared" si="231"/>
        <v/>
      </c>
      <c r="DF166" s="3415">
        <f t="shared" si="232"/>
        <v>0</v>
      </c>
      <c r="DG166" s="3389">
        <f t="shared" si="246"/>
        <v>0</v>
      </c>
      <c r="DH166" s="3389">
        <f t="shared" si="233"/>
        <v>0</v>
      </c>
      <c r="DI166" s="417"/>
      <c r="DJ166" s="417"/>
      <c r="DK166" s="417"/>
      <c r="DL166" s="417"/>
      <c r="DM166" s="417"/>
      <c r="DN166" s="3389">
        <f t="shared" si="234"/>
        <v>0</v>
      </c>
      <c r="DO166" s="3366"/>
      <c r="DP166" s="3389">
        <f t="shared" si="235"/>
        <v>0</v>
      </c>
      <c r="DQ166" s="3389">
        <f t="shared" si="236"/>
        <v>0</v>
      </c>
      <c r="DR166" s="3389">
        <f t="shared" si="237"/>
        <v>0</v>
      </c>
      <c r="DS166" s="3389">
        <f t="shared" si="238"/>
        <v>0</v>
      </c>
      <c r="DT166" s="3389">
        <f t="shared" si="239"/>
        <v>0</v>
      </c>
      <c r="DU166" s="3389">
        <f t="shared" si="240"/>
        <v>0</v>
      </c>
      <c r="DV166" s="3389">
        <f t="shared" si="241"/>
        <v>0</v>
      </c>
      <c r="DW166" s="417"/>
      <c r="DX166" s="417"/>
      <c r="DY166" s="3416">
        <f t="shared" si="242"/>
        <v>0</v>
      </c>
      <c r="DZ166" s="3416">
        <f t="shared" si="243"/>
        <v>0</v>
      </c>
    </row>
    <row r="167" spans="1:130">
      <c r="A167" s="6738" t="s">
        <v>1988</v>
      </c>
      <c r="B167" s="6739"/>
      <c r="C167" s="1737">
        <f t="shared" ref="C167:C168" si="249">+O167+Q167+S167+U167+W167+Y167+AA167+AC167+AE167+AG167+AI167</f>
        <v>0</v>
      </c>
      <c r="D167" s="2300">
        <f t="shared" ref="D167:D168" si="250">+P167+R167+T167+V167+X167+Z167+AB167+AD167+AF167+AH167+AJ167</f>
        <v>0</v>
      </c>
      <c r="E167" s="2381"/>
      <c r="F167" s="2885"/>
      <c r="G167" s="2381"/>
      <c r="H167" s="2885"/>
      <c r="I167" s="2381"/>
      <c r="J167" s="2885"/>
      <c r="K167" s="2381"/>
      <c r="L167" s="2885"/>
      <c r="M167" s="2381"/>
      <c r="N167" s="2885"/>
      <c r="O167" s="425"/>
      <c r="P167" s="3376"/>
      <c r="Q167" s="425"/>
      <c r="R167" s="3376"/>
      <c r="S167" s="425"/>
      <c r="T167" s="3376"/>
      <c r="U167" s="425"/>
      <c r="V167" s="3376"/>
      <c r="W167" s="425"/>
      <c r="X167" s="3376"/>
      <c r="Y167" s="425"/>
      <c r="Z167" s="3376"/>
      <c r="AA167" s="425"/>
      <c r="AB167" s="3376"/>
      <c r="AC167" s="425"/>
      <c r="AD167" s="3376"/>
      <c r="AE167" s="425"/>
      <c r="AF167" s="3376"/>
      <c r="AG167" s="425"/>
      <c r="AH167" s="3376"/>
      <c r="AI167" s="425"/>
      <c r="AJ167" s="3376"/>
      <c r="AK167" s="3372"/>
      <c r="AL167" s="2231"/>
      <c r="AM167" s="425"/>
      <c r="AN167" s="3412"/>
      <c r="AO167" s="3372"/>
      <c r="AP167" s="2231"/>
      <c r="AQ167" s="423"/>
      <c r="AR167" s="3412"/>
      <c r="AS167" s="3372"/>
      <c r="AT167" s="3412"/>
      <c r="AU167" s="3372"/>
      <c r="AV167" s="2231"/>
      <c r="AW167" s="3372"/>
      <c r="AX167" s="2231"/>
      <c r="AY167" s="3373" t="str">
        <f t="shared" si="244"/>
        <v/>
      </c>
      <c r="CA167" s="3413" t="str">
        <f t="shared" si="220"/>
        <v/>
      </c>
      <c r="CB167" s="418" t="str">
        <f t="shared" si="245"/>
        <v/>
      </c>
      <c r="CC167" s="418" t="str">
        <f t="shared" si="221"/>
        <v/>
      </c>
      <c r="CD167" s="417"/>
      <c r="CE167" s="417"/>
      <c r="CF167" s="417"/>
      <c r="CG167" s="417"/>
      <c r="CH167" s="417"/>
      <c r="CI167" s="418" t="str">
        <f t="shared" si="222"/>
        <v/>
      </c>
      <c r="CJ167" s="3366"/>
      <c r="CK167" s="418" t="str">
        <f t="shared" si="223"/>
        <v/>
      </c>
      <c r="CL167" s="418" t="str">
        <f t="shared" si="224"/>
        <v/>
      </c>
      <c r="CM167" s="418" t="str">
        <f t="shared" si="225"/>
        <v/>
      </c>
      <c r="CN167" s="418" t="str">
        <f t="shared" si="226"/>
        <v/>
      </c>
      <c r="CO167" s="418" t="str">
        <f t="shared" si="227"/>
        <v/>
      </c>
      <c r="CP167" s="418" t="str">
        <f t="shared" si="228"/>
        <v/>
      </c>
      <c r="CQ167" s="418" t="str">
        <f t="shared" si="229"/>
        <v/>
      </c>
      <c r="CR167" s="417"/>
      <c r="CS167" s="417"/>
      <c r="CT167" s="1708" t="str">
        <f t="shared" si="230"/>
        <v/>
      </c>
      <c r="CU167" s="1708" t="str">
        <f t="shared" si="231"/>
        <v/>
      </c>
      <c r="DF167" s="3415">
        <f t="shared" si="232"/>
        <v>0</v>
      </c>
      <c r="DG167" s="3389">
        <f t="shared" si="246"/>
        <v>0</v>
      </c>
      <c r="DH167" s="3389">
        <f t="shared" si="233"/>
        <v>0</v>
      </c>
      <c r="DI167" s="417"/>
      <c r="DJ167" s="417"/>
      <c r="DK167" s="417"/>
      <c r="DL167" s="417"/>
      <c r="DM167" s="417"/>
      <c r="DN167" s="3389">
        <f t="shared" si="234"/>
        <v>0</v>
      </c>
      <c r="DO167" s="3366"/>
      <c r="DP167" s="3389">
        <f t="shared" si="235"/>
        <v>0</v>
      </c>
      <c r="DQ167" s="3389">
        <f t="shared" si="236"/>
        <v>0</v>
      </c>
      <c r="DR167" s="3389">
        <f t="shared" si="237"/>
        <v>0</v>
      </c>
      <c r="DS167" s="3389">
        <f t="shared" si="238"/>
        <v>0</v>
      </c>
      <c r="DT167" s="3389">
        <f t="shared" si="239"/>
        <v>0</v>
      </c>
      <c r="DU167" s="3389">
        <f t="shared" si="240"/>
        <v>0</v>
      </c>
      <c r="DV167" s="3389">
        <f t="shared" si="241"/>
        <v>0</v>
      </c>
      <c r="DW167" s="417"/>
      <c r="DX167" s="417"/>
      <c r="DY167" s="3416">
        <f t="shared" si="242"/>
        <v>0</v>
      </c>
      <c r="DZ167" s="3416">
        <f t="shared" si="243"/>
        <v>0</v>
      </c>
    </row>
    <row r="168" spans="1:130">
      <c r="A168" s="6738" t="s">
        <v>1952</v>
      </c>
      <c r="B168" s="6739"/>
      <c r="C168" s="1737">
        <f t="shared" si="249"/>
        <v>0</v>
      </c>
      <c r="D168" s="2300">
        <f t="shared" si="250"/>
        <v>0</v>
      </c>
      <c r="E168" s="2381"/>
      <c r="F168" s="2885"/>
      <c r="G168" s="2381"/>
      <c r="H168" s="2885"/>
      <c r="I168" s="2381"/>
      <c r="J168" s="2885"/>
      <c r="K168" s="2381"/>
      <c r="L168" s="2885"/>
      <c r="M168" s="2381"/>
      <c r="N168" s="2885"/>
      <c r="O168" s="425"/>
      <c r="P168" s="3376"/>
      <c r="Q168" s="425"/>
      <c r="R168" s="3376"/>
      <c r="S168" s="425"/>
      <c r="T168" s="3376"/>
      <c r="U168" s="425"/>
      <c r="V168" s="3376"/>
      <c r="W168" s="425"/>
      <c r="X168" s="3376"/>
      <c r="Y168" s="425"/>
      <c r="Z168" s="3376"/>
      <c r="AA168" s="425"/>
      <c r="AB168" s="3376"/>
      <c r="AC168" s="425"/>
      <c r="AD168" s="3376"/>
      <c r="AE168" s="425"/>
      <c r="AF168" s="3376"/>
      <c r="AG168" s="425"/>
      <c r="AH168" s="3376"/>
      <c r="AI168" s="425"/>
      <c r="AJ168" s="3376"/>
      <c r="AK168" s="3372"/>
      <c r="AL168" s="2231"/>
      <c r="AM168" s="425"/>
      <c r="AN168" s="3412"/>
      <c r="AO168" s="3372"/>
      <c r="AP168" s="2231"/>
      <c r="AQ168" s="423"/>
      <c r="AR168" s="3412"/>
      <c r="AS168" s="3372"/>
      <c r="AT168" s="3412"/>
      <c r="AU168" s="3372"/>
      <c r="AV168" s="2231"/>
      <c r="AW168" s="3372"/>
      <c r="AX168" s="2231"/>
      <c r="AY168" s="3373" t="str">
        <f t="shared" si="244"/>
        <v/>
      </c>
      <c r="CA168" s="3413" t="str">
        <f t="shared" si="220"/>
        <v/>
      </c>
      <c r="CB168" s="418" t="str">
        <f t="shared" si="245"/>
        <v/>
      </c>
      <c r="CC168" s="418" t="str">
        <f t="shared" si="221"/>
        <v/>
      </c>
      <c r="CD168" s="417"/>
      <c r="CE168" s="417"/>
      <c r="CF168" s="417"/>
      <c r="CG168" s="417"/>
      <c r="CH168" s="417"/>
      <c r="CI168" s="418" t="str">
        <f t="shared" si="222"/>
        <v/>
      </c>
      <c r="CJ168" s="3366"/>
      <c r="CK168" s="418" t="str">
        <f t="shared" si="223"/>
        <v/>
      </c>
      <c r="CL168" s="418" t="str">
        <f t="shared" si="224"/>
        <v/>
      </c>
      <c r="CM168" s="418" t="str">
        <f t="shared" si="225"/>
        <v/>
      </c>
      <c r="CN168" s="418" t="str">
        <f t="shared" si="226"/>
        <v/>
      </c>
      <c r="CO168" s="418" t="str">
        <f t="shared" si="227"/>
        <v/>
      </c>
      <c r="CP168" s="418" t="str">
        <f t="shared" si="228"/>
        <v/>
      </c>
      <c r="CQ168" s="418" t="str">
        <f t="shared" si="229"/>
        <v/>
      </c>
      <c r="CR168" s="417"/>
      <c r="CS168" s="417"/>
      <c r="CT168" s="1708" t="str">
        <f t="shared" si="230"/>
        <v/>
      </c>
      <c r="CU168" s="1708" t="str">
        <f t="shared" si="231"/>
        <v/>
      </c>
      <c r="DF168" s="3415">
        <f t="shared" si="232"/>
        <v>0</v>
      </c>
      <c r="DG168" s="3389">
        <f t="shared" si="246"/>
        <v>0</v>
      </c>
      <c r="DH168" s="3389">
        <f t="shared" si="233"/>
        <v>0</v>
      </c>
      <c r="DI168" s="417"/>
      <c r="DJ168" s="417"/>
      <c r="DK168" s="417"/>
      <c r="DL168" s="417"/>
      <c r="DM168" s="417"/>
      <c r="DN168" s="3389">
        <f t="shared" si="234"/>
        <v>0</v>
      </c>
      <c r="DO168" s="3366"/>
      <c r="DP168" s="3389">
        <f t="shared" si="235"/>
        <v>0</v>
      </c>
      <c r="DQ168" s="3389">
        <f t="shared" si="236"/>
        <v>0</v>
      </c>
      <c r="DR168" s="3389">
        <f t="shared" si="237"/>
        <v>0</v>
      </c>
      <c r="DS168" s="3389">
        <f t="shared" si="238"/>
        <v>0</v>
      </c>
      <c r="DT168" s="3389">
        <f t="shared" si="239"/>
        <v>0</v>
      </c>
      <c r="DU168" s="3389">
        <f t="shared" si="240"/>
        <v>0</v>
      </c>
      <c r="DV168" s="3389">
        <f t="shared" si="241"/>
        <v>0</v>
      </c>
      <c r="DW168" s="417"/>
      <c r="DX168" s="417"/>
      <c r="DY168" s="3416">
        <f t="shared" si="242"/>
        <v>0</v>
      </c>
      <c r="DZ168" s="3416">
        <f t="shared" si="243"/>
        <v>0</v>
      </c>
    </row>
    <row r="169" spans="1:130">
      <c r="A169" s="6742" t="s">
        <v>1989</v>
      </c>
      <c r="B169" s="6743"/>
      <c r="C169" s="1773">
        <f>+E169+G169+I169+K169+M169+O169+Q169+S169+U169+W169+Y169+AA169+AC169+AE169+AG169+AI169</f>
        <v>0</v>
      </c>
      <c r="D169" s="3418">
        <f>+F169+H169+J169+L169+N169+P169+R169+T169+V169+X169+Z169+AB169+AD169+AF169+AH169+AJ169</f>
        <v>0</v>
      </c>
      <c r="E169" s="3419"/>
      <c r="F169" s="3420"/>
      <c r="G169" s="3419"/>
      <c r="H169" s="3420"/>
      <c r="I169" s="3419"/>
      <c r="J169" s="3420"/>
      <c r="K169" s="3419"/>
      <c r="L169" s="3420"/>
      <c r="M169" s="3419"/>
      <c r="N169" s="3420"/>
      <c r="O169" s="3419"/>
      <c r="P169" s="3420"/>
      <c r="Q169" s="3419"/>
      <c r="R169" s="3420"/>
      <c r="S169" s="3419"/>
      <c r="T169" s="3420"/>
      <c r="U169" s="3419"/>
      <c r="V169" s="3420"/>
      <c r="W169" s="3419"/>
      <c r="X169" s="3420"/>
      <c r="Y169" s="3419"/>
      <c r="Z169" s="3420"/>
      <c r="AA169" s="3419"/>
      <c r="AB169" s="3420"/>
      <c r="AC169" s="3419"/>
      <c r="AD169" s="3420"/>
      <c r="AE169" s="3419"/>
      <c r="AF169" s="3420"/>
      <c r="AG169" s="3419"/>
      <c r="AH169" s="3420"/>
      <c r="AI169" s="3419"/>
      <c r="AJ169" s="3420"/>
      <c r="AK169" s="3421"/>
      <c r="AL169" s="3422"/>
      <c r="AM169" s="3419"/>
      <c r="AN169" s="3423"/>
      <c r="AO169" s="3421"/>
      <c r="AP169" s="3422"/>
      <c r="AQ169" s="3424"/>
      <c r="AR169" s="3423"/>
      <c r="AS169" s="3386"/>
      <c r="AT169" s="3425"/>
      <c r="AU169" s="3421"/>
      <c r="AV169" s="3422"/>
      <c r="AW169" s="3421"/>
      <c r="AX169" s="3422"/>
      <c r="AY169" s="3373" t="str">
        <f t="shared" si="244"/>
        <v/>
      </c>
      <c r="CA169" s="3413" t="str">
        <f t="shared" si="220"/>
        <v/>
      </c>
      <c r="CB169" s="418" t="str">
        <f t="shared" si="245"/>
        <v/>
      </c>
      <c r="CC169" s="418" t="str">
        <f t="shared" si="221"/>
        <v/>
      </c>
      <c r="CD169" s="417"/>
      <c r="CE169" s="417"/>
      <c r="CF169" s="417"/>
      <c r="CG169" s="417"/>
      <c r="CH169" s="417"/>
      <c r="CI169" s="418" t="str">
        <f t="shared" si="222"/>
        <v/>
      </c>
      <c r="CJ169" s="3366"/>
      <c r="CK169" s="418" t="str">
        <f t="shared" si="223"/>
        <v/>
      </c>
      <c r="CL169" s="418" t="str">
        <f t="shared" si="224"/>
        <v/>
      </c>
      <c r="CM169" s="418" t="str">
        <f t="shared" si="225"/>
        <v/>
      </c>
      <c r="CN169" s="418" t="str">
        <f t="shared" si="226"/>
        <v/>
      </c>
      <c r="CO169" s="418" t="str">
        <f t="shared" si="227"/>
        <v/>
      </c>
      <c r="CP169" s="418" t="str">
        <f t="shared" si="228"/>
        <v/>
      </c>
      <c r="CQ169" s="418" t="str">
        <f t="shared" si="229"/>
        <v/>
      </c>
      <c r="CR169" s="417"/>
      <c r="CS169" s="417"/>
      <c r="CT169" s="1708" t="str">
        <f t="shared" si="230"/>
        <v/>
      </c>
      <c r="CU169" s="1708" t="str">
        <f t="shared" si="231"/>
        <v/>
      </c>
      <c r="DF169" s="3415">
        <f t="shared" si="232"/>
        <v>0</v>
      </c>
      <c r="DG169" s="3389">
        <f t="shared" si="246"/>
        <v>0</v>
      </c>
      <c r="DH169" s="3389">
        <f t="shared" si="233"/>
        <v>0</v>
      </c>
      <c r="DI169" s="417"/>
      <c r="DJ169" s="417"/>
      <c r="DK169" s="417"/>
      <c r="DL169" s="417"/>
      <c r="DM169" s="417"/>
      <c r="DN169" s="3389">
        <f t="shared" si="234"/>
        <v>0</v>
      </c>
      <c r="DO169" s="3366"/>
      <c r="DP169" s="3389">
        <f t="shared" si="235"/>
        <v>0</v>
      </c>
      <c r="DQ169" s="3389">
        <f t="shared" si="236"/>
        <v>0</v>
      </c>
      <c r="DR169" s="3389">
        <f t="shared" si="237"/>
        <v>0</v>
      </c>
      <c r="DS169" s="3389">
        <f t="shared" si="238"/>
        <v>0</v>
      </c>
      <c r="DT169" s="3389">
        <f t="shared" si="239"/>
        <v>0</v>
      </c>
      <c r="DU169" s="3389">
        <f t="shared" si="240"/>
        <v>0</v>
      </c>
      <c r="DV169" s="3389">
        <f t="shared" si="241"/>
        <v>0</v>
      </c>
      <c r="DW169" s="417"/>
      <c r="DX169" s="417"/>
      <c r="DY169" s="3416">
        <f t="shared" si="242"/>
        <v>0</v>
      </c>
      <c r="DZ169" s="3416">
        <f t="shared" si="243"/>
        <v>0</v>
      </c>
    </row>
    <row r="170" spans="1:130">
      <c r="A170" s="6467" t="s">
        <v>1972</v>
      </c>
      <c r="B170" s="2056" t="s">
        <v>1973</v>
      </c>
      <c r="C170" s="1751">
        <f t="shared" ref="C170:D172" si="251">+O170+Q170+S170+U170+W170+Y170+AA170+AC170+AE170+AG170</f>
        <v>0</v>
      </c>
      <c r="D170" s="2294">
        <f t="shared" si="251"/>
        <v>0</v>
      </c>
      <c r="E170" s="2375"/>
      <c r="F170" s="2374"/>
      <c r="G170" s="2375"/>
      <c r="H170" s="2374"/>
      <c r="I170" s="2375"/>
      <c r="J170" s="2374"/>
      <c r="K170" s="2375"/>
      <c r="L170" s="2374"/>
      <c r="M170" s="2375"/>
      <c r="N170" s="2374"/>
      <c r="O170" s="448"/>
      <c r="P170" s="3398"/>
      <c r="Q170" s="448"/>
      <c r="R170" s="3398"/>
      <c r="S170" s="448"/>
      <c r="T170" s="3398"/>
      <c r="U170" s="448"/>
      <c r="V170" s="3398"/>
      <c r="W170" s="448"/>
      <c r="X170" s="3398"/>
      <c r="Y170" s="448"/>
      <c r="Z170" s="3398"/>
      <c r="AA170" s="448"/>
      <c r="AB170" s="3398"/>
      <c r="AC170" s="448"/>
      <c r="AD170" s="3398"/>
      <c r="AE170" s="448"/>
      <c r="AF170" s="3398"/>
      <c r="AG170" s="448"/>
      <c r="AH170" s="3398"/>
      <c r="AI170" s="3426"/>
      <c r="AJ170" s="3427"/>
      <c r="AK170" s="3428"/>
      <c r="AL170" s="2229"/>
      <c r="AM170" s="448"/>
      <c r="AN170" s="3429"/>
      <c r="AO170" s="3428"/>
      <c r="AP170" s="2229"/>
      <c r="AQ170" s="2307"/>
      <c r="AR170" s="3429"/>
      <c r="AS170" s="3430"/>
      <c r="AT170" s="3411"/>
      <c r="AU170" s="2307"/>
      <c r="AV170" s="3429"/>
      <c r="AW170" s="3431"/>
      <c r="AX170" s="3432"/>
      <c r="AY170" s="3373" t="str">
        <f t="shared" ref="AY170:AY172" si="252">$CA170&amp;CB170&amp;$CC170&amp;CD170&amp;CE170&amp;CF170&amp;CG170&amp;CH170&amp;CI170&amp;CJ170&amp;CK170&amp;CL170&amp;CM170&amp;CN170&amp;CO170&amp;CP170&amp;CQ170&amp;CR170&amp;CS170</f>
        <v/>
      </c>
      <c r="CA170" s="3413" t="str">
        <f t="shared" si="220"/>
        <v/>
      </c>
      <c r="CB170" s="418" t="str">
        <f t="shared" si="245"/>
        <v/>
      </c>
      <c r="CC170" s="418" t="str">
        <f t="shared" si="221"/>
        <v/>
      </c>
      <c r="CD170" s="417"/>
      <c r="CE170" s="417"/>
      <c r="CF170" s="417"/>
      <c r="CG170" s="417"/>
      <c r="CH170" s="417"/>
      <c r="CI170" s="418" t="str">
        <f t="shared" si="222"/>
        <v/>
      </c>
      <c r="CJ170" s="3366"/>
      <c r="CK170" s="418" t="str">
        <f t="shared" si="223"/>
        <v/>
      </c>
      <c r="CL170" s="418" t="str">
        <f t="shared" si="224"/>
        <v/>
      </c>
      <c r="CM170" s="418" t="str">
        <f t="shared" si="225"/>
        <v/>
      </c>
      <c r="CN170" s="418" t="str">
        <f t="shared" si="226"/>
        <v/>
      </c>
      <c r="CO170" s="418" t="str">
        <f t="shared" si="227"/>
        <v/>
      </c>
      <c r="CP170" s="418" t="str">
        <f t="shared" si="228"/>
        <v/>
      </c>
      <c r="CQ170" s="418" t="str">
        <f t="shared" si="229"/>
        <v/>
      </c>
      <c r="CR170" s="417"/>
      <c r="CS170" s="417"/>
      <c r="CT170" s="1944"/>
      <c r="CU170" s="1944"/>
      <c r="DF170" s="3415">
        <f t="shared" si="232"/>
        <v>0</v>
      </c>
      <c r="DG170" s="3389">
        <f t="shared" si="246"/>
        <v>0</v>
      </c>
      <c r="DH170" s="3389">
        <f t="shared" si="233"/>
        <v>0</v>
      </c>
      <c r="DI170" s="417"/>
      <c r="DJ170" s="417"/>
      <c r="DK170" s="417"/>
      <c r="DL170" s="417"/>
      <c r="DM170" s="417"/>
      <c r="DN170" s="3389">
        <f t="shared" si="234"/>
        <v>0</v>
      </c>
      <c r="DO170" s="3366"/>
      <c r="DP170" s="3389">
        <f t="shared" si="235"/>
        <v>0</v>
      </c>
      <c r="DQ170" s="3389">
        <f t="shared" si="236"/>
        <v>0</v>
      </c>
      <c r="DR170" s="3389">
        <f t="shared" si="237"/>
        <v>0</v>
      </c>
      <c r="DS170" s="3389">
        <f t="shared" si="238"/>
        <v>0</v>
      </c>
      <c r="DT170" s="3389">
        <f t="shared" si="239"/>
        <v>0</v>
      </c>
      <c r="DU170" s="3389">
        <f t="shared" si="240"/>
        <v>0</v>
      </c>
      <c r="DV170" s="3389">
        <f t="shared" si="241"/>
        <v>0</v>
      </c>
      <c r="DW170" s="417"/>
      <c r="DX170" s="417"/>
      <c r="DY170" s="1944"/>
      <c r="DZ170" s="1944"/>
    </row>
    <row r="171" spans="1:130">
      <c r="A171" s="6744"/>
      <c r="B171" s="2057" t="s">
        <v>1974</v>
      </c>
      <c r="C171" s="1737">
        <f t="shared" si="251"/>
        <v>0</v>
      </c>
      <c r="D171" s="2300">
        <f t="shared" si="251"/>
        <v>0</v>
      </c>
      <c r="E171" s="2381"/>
      <c r="F171" s="2885"/>
      <c r="G171" s="2381"/>
      <c r="H171" s="2885"/>
      <c r="I171" s="2381"/>
      <c r="J171" s="2885"/>
      <c r="K171" s="2381"/>
      <c r="L171" s="2885"/>
      <c r="M171" s="2381"/>
      <c r="N171" s="2885"/>
      <c r="O171" s="425"/>
      <c r="P171" s="3376"/>
      <c r="Q171" s="425"/>
      <c r="R171" s="3376"/>
      <c r="S171" s="425"/>
      <c r="T171" s="3376"/>
      <c r="U171" s="425"/>
      <c r="V171" s="3376"/>
      <c r="W171" s="425"/>
      <c r="X171" s="3376"/>
      <c r="Y171" s="425"/>
      <c r="Z171" s="3376"/>
      <c r="AA171" s="425"/>
      <c r="AB171" s="3376"/>
      <c r="AC171" s="425"/>
      <c r="AD171" s="3376"/>
      <c r="AE171" s="425"/>
      <c r="AF171" s="3376"/>
      <c r="AG171" s="425"/>
      <c r="AH171" s="3376"/>
      <c r="AI171" s="2381"/>
      <c r="AJ171" s="2382"/>
      <c r="AK171" s="3372"/>
      <c r="AL171" s="2231"/>
      <c r="AM171" s="425"/>
      <c r="AN171" s="3412"/>
      <c r="AO171" s="3372"/>
      <c r="AP171" s="2231"/>
      <c r="AQ171" s="423"/>
      <c r="AR171" s="3412"/>
      <c r="AS171" s="3372"/>
      <c r="AT171" s="3412"/>
      <c r="AU171" s="423"/>
      <c r="AV171" s="3412"/>
      <c r="AW171" s="3433"/>
      <c r="AX171" s="3103"/>
      <c r="AY171" s="3373" t="str">
        <f t="shared" si="252"/>
        <v/>
      </c>
      <c r="CA171" s="3413" t="str">
        <f t="shared" si="220"/>
        <v/>
      </c>
      <c r="CB171" s="418" t="str">
        <f t="shared" si="245"/>
        <v/>
      </c>
      <c r="CC171" s="418" t="str">
        <f t="shared" si="221"/>
        <v/>
      </c>
      <c r="CD171" s="417"/>
      <c r="CE171" s="417"/>
      <c r="CF171" s="417"/>
      <c r="CG171" s="417"/>
      <c r="CH171" s="417"/>
      <c r="CI171" s="418" t="str">
        <f t="shared" si="222"/>
        <v/>
      </c>
      <c r="CJ171" s="3366"/>
      <c r="CK171" s="418" t="str">
        <f t="shared" si="223"/>
        <v/>
      </c>
      <c r="CL171" s="418" t="str">
        <f t="shared" si="224"/>
        <v/>
      </c>
      <c r="CM171" s="418" t="str">
        <f t="shared" si="225"/>
        <v/>
      </c>
      <c r="CN171" s="418" t="str">
        <f t="shared" si="226"/>
        <v/>
      </c>
      <c r="CO171" s="418" t="str">
        <f t="shared" si="227"/>
        <v/>
      </c>
      <c r="CP171" s="418" t="str">
        <f t="shared" si="228"/>
        <v/>
      </c>
      <c r="CQ171" s="418" t="str">
        <f t="shared" si="229"/>
        <v/>
      </c>
      <c r="CR171" s="417"/>
      <c r="CS171" s="417"/>
      <c r="CT171" s="1944"/>
      <c r="CU171" s="1944"/>
      <c r="DF171" s="3415">
        <f t="shared" si="232"/>
        <v>0</v>
      </c>
      <c r="DG171" s="3389">
        <f t="shared" si="246"/>
        <v>0</v>
      </c>
      <c r="DH171" s="3389">
        <f t="shared" si="233"/>
        <v>0</v>
      </c>
      <c r="DI171" s="417"/>
      <c r="DJ171" s="417"/>
      <c r="DK171" s="417"/>
      <c r="DL171" s="417"/>
      <c r="DM171" s="417"/>
      <c r="DN171" s="3389">
        <f t="shared" si="234"/>
        <v>0</v>
      </c>
      <c r="DO171" s="3366"/>
      <c r="DP171" s="3389">
        <f t="shared" si="235"/>
        <v>0</v>
      </c>
      <c r="DQ171" s="3389">
        <f t="shared" si="236"/>
        <v>0</v>
      </c>
      <c r="DR171" s="3389">
        <f t="shared" si="237"/>
        <v>0</v>
      </c>
      <c r="DS171" s="3389">
        <f t="shared" si="238"/>
        <v>0</v>
      </c>
      <c r="DT171" s="3389">
        <f t="shared" si="239"/>
        <v>0</v>
      </c>
      <c r="DU171" s="3389">
        <f t="shared" si="240"/>
        <v>0</v>
      </c>
      <c r="DV171" s="3389">
        <f t="shared" si="241"/>
        <v>0</v>
      </c>
      <c r="DW171" s="417"/>
      <c r="DX171" s="417"/>
      <c r="DY171" s="1944"/>
      <c r="DZ171" s="1944"/>
    </row>
    <row r="172" spans="1:130">
      <c r="A172" s="6468"/>
      <c r="B172" s="3050" t="s">
        <v>1975</v>
      </c>
      <c r="C172" s="1773">
        <f t="shared" si="251"/>
        <v>0</v>
      </c>
      <c r="D172" s="2296">
        <f t="shared" si="251"/>
        <v>0</v>
      </c>
      <c r="E172" s="2384"/>
      <c r="F172" s="3434"/>
      <c r="G172" s="2384"/>
      <c r="H172" s="3434"/>
      <c r="I172" s="2384"/>
      <c r="J172" s="3434"/>
      <c r="K172" s="2384"/>
      <c r="L172" s="3434"/>
      <c r="M172" s="2384"/>
      <c r="N172" s="3434"/>
      <c r="O172" s="432"/>
      <c r="P172" s="3384"/>
      <c r="Q172" s="432"/>
      <c r="R172" s="3384"/>
      <c r="S172" s="432"/>
      <c r="T172" s="3384"/>
      <c r="U172" s="432"/>
      <c r="V172" s="3384"/>
      <c r="W172" s="432"/>
      <c r="X172" s="3384"/>
      <c r="Y172" s="432"/>
      <c r="Z172" s="3384"/>
      <c r="AA172" s="432"/>
      <c r="AB172" s="3384"/>
      <c r="AC172" s="432"/>
      <c r="AD172" s="3384"/>
      <c r="AE172" s="432"/>
      <c r="AF172" s="3384"/>
      <c r="AG172" s="432"/>
      <c r="AH172" s="3384"/>
      <c r="AI172" s="2384"/>
      <c r="AJ172" s="3435"/>
      <c r="AK172" s="3386"/>
      <c r="AL172" s="2235"/>
      <c r="AM172" s="432"/>
      <c r="AN172" s="3425"/>
      <c r="AO172" s="3386"/>
      <c r="AP172" s="2235"/>
      <c r="AQ172" s="3385"/>
      <c r="AR172" s="3425"/>
      <c r="AS172" s="3386"/>
      <c r="AT172" s="3425"/>
      <c r="AU172" s="3385"/>
      <c r="AV172" s="3425"/>
      <c r="AW172" s="3436"/>
      <c r="AX172" s="3212"/>
      <c r="AY172" s="3373" t="str">
        <f t="shared" si="252"/>
        <v/>
      </c>
      <c r="CA172" s="3413" t="str">
        <f t="shared" si="220"/>
        <v/>
      </c>
      <c r="CB172" s="418" t="str">
        <f t="shared" si="245"/>
        <v/>
      </c>
      <c r="CC172" s="418" t="str">
        <f t="shared" si="221"/>
        <v/>
      </c>
      <c r="CD172" s="417"/>
      <c r="CE172" s="417"/>
      <c r="CF172" s="417"/>
      <c r="CG172" s="417"/>
      <c r="CH172" s="417"/>
      <c r="CI172" s="418" t="str">
        <f t="shared" si="222"/>
        <v/>
      </c>
      <c r="CJ172" s="3366"/>
      <c r="CK172" s="418" t="str">
        <f t="shared" si="223"/>
        <v/>
      </c>
      <c r="CL172" s="418" t="str">
        <f t="shared" si="224"/>
        <v/>
      </c>
      <c r="CM172" s="418" t="str">
        <f t="shared" si="225"/>
        <v/>
      </c>
      <c r="CN172" s="418" t="str">
        <f t="shared" si="226"/>
        <v/>
      </c>
      <c r="CO172" s="418" t="str">
        <f t="shared" si="227"/>
        <v/>
      </c>
      <c r="CP172" s="418" t="str">
        <f t="shared" si="228"/>
        <v/>
      </c>
      <c r="CQ172" s="418" t="str">
        <f t="shared" si="229"/>
        <v/>
      </c>
      <c r="CR172" s="417"/>
      <c r="CS172" s="417"/>
      <c r="CT172" s="1944"/>
      <c r="CU172" s="1944"/>
      <c r="DF172" s="3415">
        <f t="shared" si="232"/>
        <v>0</v>
      </c>
      <c r="DG172" s="3389">
        <f t="shared" si="246"/>
        <v>0</v>
      </c>
      <c r="DH172" s="3389">
        <f t="shared" si="233"/>
        <v>0</v>
      </c>
      <c r="DI172" s="417"/>
      <c r="DJ172" s="417"/>
      <c r="DK172" s="417"/>
      <c r="DL172" s="417"/>
      <c r="DM172" s="417"/>
      <c r="DN172" s="3389">
        <f t="shared" si="234"/>
        <v>0</v>
      </c>
      <c r="DO172" s="3366"/>
      <c r="DP172" s="3389">
        <f t="shared" si="235"/>
        <v>0</v>
      </c>
      <c r="DQ172" s="3389">
        <f t="shared" si="236"/>
        <v>0</v>
      </c>
      <c r="DR172" s="3389">
        <f t="shared" si="237"/>
        <v>0</v>
      </c>
      <c r="DS172" s="3389">
        <f t="shared" si="238"/>
        <v>0</v>
      </c>
      <c r="DT172" s="3389">
        <f t="shared" si="239"/>
        <v>0</v>
      </c>
      <c r="DU172" s="3389">
        <f t="shared" si="240"/>
        <v>0</v>
      </c>
      <c r="DV172" s="3389">
        <f t="shared" si="241"/>
        <v>0</v>
      </c>
      <c r="DW172" s="417"/>
      <c r="DX172" s="417"/>
      <c r="DY172" s="1944"/>
      <c r="DZ172" s="1944"/>
    </row>
    <row r="173" spans="1:130">
      <c r="A173" s="6745" t="s">
        <v>1954</v>
      </c>
      <c r="B173" s="6746"/>
      <c r="C173" s="1751">
        <f t="shared" ref="C173:D175" si="253">+E173+G173+I173+K173+M173+O173+Q173+S173+U173+W173+Y173+AA173+AC173+AE173+AG173+AI173</f>
        <v>0</v>
      </c>
      <c r="D173" s="2300">
        <f t="shared" si="253"/>
        <v>0</v>
      </c>
      <c r="E173" s="413"/>
      <c r="F173" s="3370"/>
      <c r="G173" s="413"/>
      <c r="H173" s="3370"/>
      <c r="I173" s="413"/>
      <c r="J173" s="3370"/>
      <c r="K173" s="413"/>
      <c r="L173" s="3370"/>
      <c r="M173" s="3437"/>
      <c r="N173" s="3438"/>
      <c r="O173" s="3437"/>
      <c r="P173" s="3438"/>
      <c r="Q173" s="3437"/>
      <c r="R173" s="3438"/>
      <c r="S173" s="3437"/>
      <c r="T173" s="3438"/>
      <c r="U173" s="3437"/>
      <c r="V173" s="3438"/>
      <c r="W173" s="3437"/>
      <c r="X173" s="3438"/>
      <c r="Y173" s="3437"/>
      <c r="Z173" s="3438"/>
      <c r="AA173" s="3437"/>
      <c r="AB173" s="3438"/>
      <c r="AC173" s="3437"/>
      <c r="AD173" s="3439"/>
      <c r="AE173" s="3437"/>
      <c r="AF173" s="3439"/>
      <c r="AG173" s="3394"/>
      <c r="AH173" s="3397"/>
      <c r="AI173" s="3437"/>
      <c r="AJ173" s="3438"/>
      <c r="AK173" s="3430"/>
      <c r="AL173" s="2261"/>
      <c r="AM173" s="413"/>
      <c r="AN173" s="3411"/>
      <c r="AO173" s="3430"/>
      <c r="AP173" s="2261"/>
      <c r="AQ173" s="411"/>
      <c r="AR173" s="3411"/>
      <c r="AS173" s="3430"/>
      <c r="AT173" s="3411"/>
      <c r="AU173" s="3430"/>
      <c r="AV173" s="2261"/>
      <c r="AW173" s="3430"/>
      <c r="AX173" s="2261"/>
      <c r="AY173" s="3373" t="str">
        <f t="shared" si="244"/>
        <v/>
      </c>
      <c r="CA173" s="3413" t="str">
        <f t="shared" si="220"/>
        <v/>
      </c>
      <c r="CB173" s="418" t="str">
        <f t="shared" si="245"/>
        <v/>
      </c>
      <c r="CC173" s="418" t="str">
        <f t="shared" si="221"/>
        <v/>
      </c>
      <c r="CD173" s="417"/>
      <c r="CE173" s="417"/>
      <c r="CF173" s="417"/>
      <c r="CG173" s="417"/>
      <c r="CH173" s="417"/>
      <c r="CI173" s="418" t="str">
        <f t="shared" si="222"/>
        <v/>
      </c>
      <c r="CJ173" s="3366"/>
      <c r="CK173" s="418" t="str">
        <f t="shared" si="223"/>
        <v/>
      </c>
      <c r="CL173" s="418" t="str">
        <f t="shared" si="224"/>
        <v/>
      </c>
      <c r="CM173" s="418" t="str">
        <f t="shared" si="225"/>
        <v/>
      </c>
      <c r="CN173" s="418" t="str">
        <f t="shared" si="226"/>
        <v/>
      </c>
      <c r="CO173" s="418" t="str">
        <f t="shared" si="227"/>
        <v/>
      </c>
      <c r="CP173" s="418" t="str">
        <f t="shared" si="228"/>
        <v/>
      </c>
      <c r="CQ173" s="418" t="str">
        <f t="shared" si="229"/>
        <v/>
      </c>
      <c r="CR173" s="417"/>
      <c r="CS173" s="417"/>
      <c r="CT173" s="1708" t="str">
        <f t="shared" si="230"/>
        <v/>
      </c>
      <c r="CU173" s="1708" t="str">
        <f t="shared" si="231"/>
        <v/>
      </c>
      <c r="DF173" s="3415">
        <f t="shared" si="232"/>
        <v>0</v>
      </c>
      <c r="DG173" s="3389">
        <f t="shared" si="246"/>
        <v>0</v>
      </c>
      <c r="DH173" s="3389">
        <f t="shared" si="233"/>
        <v>0</v>
      </c>
      <c r="DI173" s="417"/>
      <c r="DJ173" s="417"/>
      <c r="DK173" s="417"/>
      <c r="DL173" s="417"/>
      <c r="DM173" s="417"/>
      <c r="DN173" s="3389">
        <f t="shared" si="234"/>
        <v>0</v>
      </c>
      <c r="DO173" s="3366"/>
      <c r="DP173" s="3389">
        <f t="shared" si="235"/>
        <v>0</v>
      </c>
      <c r="DQ173" s="3389">
        <f t="shared" si="236"/>
        <v>0</v>
      </c>
      <c r="DR173" s="3389">
        <f t="shared" si="237"/>
        <v>0</v>
      </c>
      <c r="DS173" s="3389">
        <f t="shared" si="238"/>
        <v>0</v>
      </c>
      <c r="DT173" s="3389">
        <f t="shared" si="239"/>
        <v>0</v>
      </c>
      <c r="DU173" s="3389">
        <f t="shared" si="240"/>
        <v>0</v>
      </c>
      <c r="DV173" s="3389">
        <f t="shared" si="241"/>
        <v>0</v>
      </c>
      <c r="DW173" s="417"/>
      <c r="DX173" s="417"/>
      <c r="DY173" s="3416">
        <f t="shared" si="242"/>
        <v>0</v>
      </c>
      <c r="DZ173" s="3416">
        <f t="shared" si="243"/>
        <v>0</v>
      </c>
    </row>
    <row r="174" spans="1:130">
      <c r="A174" s="6738" t="s">
        <v>1990</v>
      </c>
      <c r="B174" s="6739"/>
      <c r="C174" s="1737">
        <f t="shared" si="253"/>
        <v>0</v>
      </c>
      <c r="D174" s="2295">
        <f t="shared" si="253"/>
        <v>0</v>
      </c>
      <c r="E174" s="425"/>
      <c r="F174" s="3376"/>
      <c r="G174" s="425"/>
      <c r="H174" s="3376"/>
      <c r="I174" s="425"/>
      <c r="J174" s="3376"/>
      <c r="K174" s="425"/>
      <c r="L174" s="3376"/>
      <c r="M174" s="425"/>
      <c r="N174" s="3376"/>
      <c r="O174" s="3419"/>
      <c r="P174" s="3420"/>
      <c r="Q174" s="3419"/>
      <c r="R174" s="3420"/>
      <c r="S174" s="3419"/>
      <c r="T174" s="3420"/>
      <c r="U174" s="3419"/>
      <c r="V174" s="3420"/>
      <c r="W174" s="3419"/>
      <c r="X174" s="3420"/>
      <c r="Y174" s="3419"/>
      <c r="Z174" s="3420"/>
      <c r="AA174" s="3419"/>
      <c r="AB174" s="3420"/>
      <c r="AC174" s="3419"/>
      <c r="AD174" s="3440"/>
      <c r="AE174" s="3419"/>
      <c r="AF174" s="3440"/>
      <c r="AG174" s="3419"/>
      <c r="AH174" s="3441"/>
      <c r="AI174" s="3419"/>
      <c r="AJ174" s="3420"/>
      <c r="AK174" s="3421"/>
      <c r="AL174" s="3422"/>
      <c r="AM174" s="3419"/>
      <c r="AN174" s="3423"/>
      <c r="AO174" s="3421"/>
      <c r="AP174" s="3422"/>
      <c r="AQ174" s="3424"/>
      <c r="AR174" s="3423"/>
      <c r="AS174" s="3421"/>
      <c r="AT174" s="3423"/>
      <c r="AU174" s="3421"/>
      <c r="AV174" s="3422"/>
      <c r="AW174" s="3421"/>
      <c r="AX174" s="3422"/>
      <c r="AY174" s="3373" t="str">
        <f t="shared" si="244"/>
        <v/>
      </c>
      <c r="CA174" s="3413" t="str">
        <f t="shared" si="220"/>
        <v/>
      </c>
      <c r="CB174" s="418" t="str">
        <f t="shared" si="245"/>
        <v/>
      </c>
      <c r="CC174" s="418" t="str">
        <f t="shared" si="221"/>
        <v/>
      </c>
      <c r="CD174" s="417"/>
      <c r="CE174" s="417"/>
      <c r="CF174" s="417"/>
      <c r="CG174" s="417"/>
      <c r="CH174" s="417"/>
      <c r="CI174" s="418" t="str">
        <f t="shared" si="222"/>
        <v/>
      </c>
      <c r="CJ174" s="3366"/>
      <c r="CK174" s="418" t="str">
        <f t="shared" si="223"/>
        <v/>
      </c>
      <c r="CL174" s="418" t="str">
        <f t="shared" si="224"/>
        <v/>
      </c>
      <c r="CM174" s="418" t="str">
        <f t="shared" si="225"/>
        <v/>
      </c>
      <c r="CN174" s="418" t="str">
        <f t="shared" si="226"/>
        <v/>
      </c>
      <c r="CO174" s="418" t="str">
        <f t="shared" si="227"/>
        <v/>
      </c>
      <c r="CP174" s="418" t="str">
        <f t="shared" si="228"/>
        <v/>
      </c>
      <c r="CQ174" s="418" t="str">
        <f t="shared" si="229"/>
        <v/>
      </c>
      <c r="CR174" s="417"/>
      <c r="CS174" s="417"/>
      <c r="CT174" s="1708" t="str">
        <f t="shared" si="230"/>
        <v/>
      </c>
      <c r="CU174" s="1708" t="str">
        <f t="shared" si="231"/>
        <v/>
      </c>
      <c r="DF174" s="3415">
        <f t="shared" si="232"/>
        <v>0</v>
      </c>
      <c r="DG174" s="3389">
        <f t="shared" si="246"/>
        <v>0</v>
      </c>
      <c r="DH174" s="3389">
        <f t="shared" si="233"/>
        <v>0</v>
      </c>
      <c r="DI174" s="417"/>
      <c r="DJ174" s="417"/>
      <c r="DK174" s="417"/>
      <c r="DL174" s="417"/>
      <c r="DM174" s="417"/>
      <c r="DN174" s="3389">
        <f t="shared" si="234"/>
        <v>0</v>
      </c>
      <c r="DO174" s="3366"/>
      <c r="DP174" s="3389">
        <f t="shared" si="235"/>
        <v>0</v>
      </c>
      <c r="DQ174" s="3389">
        <f t="shared" si="236"/>
        <v>0</v>
      </c>
      <c r="DR174" s="3389">
        <f t="shared" si="237"/>
        <v>0</v>
      </c>
      <c r="DS174" s="3389">
        <f t="shared" si="238"/>
        <v>0</v>
      </c>
      <c r="DT174" s="3389">
        <f t="shared" si="239"/>
        <v>0</v>
      </c>
      <c r="DU174" s="3389">
        <f t="shared" si="240"/>
        <v>0</v>
      </c>
      <c r="DV174" s="3389">
        <f t="shared" si="241"/>
        <v>0</v>
      </c>
      <c r="DW174" s="417"/>
      <c r="DX174" s="417"/>
      <c r="DY174" s="3416">
        <f t="shared" si="242"/>
        <v>0</v>
      </c>
      <c r="DZ174" s="3416">
        <f t="shared" si="243"/>
        <v>0</v>
      </c>
    </row>
    <row r="175" spans="1:130">
      <c r="A175" s="6738" t="s">
        <v>1956</v>
      </c>
      <c r="B175" s="6739"/>
      <c r="C175" s="1737">
        <f t="shared" si="253"/>
        <v>0</v>
      </c>
      <c r="D175" s="2295">
        <f>+F175+H175+J175+L175+N175+P175+R175+T175+V175+X175+Z175+AB175+AD175+AF175+AH175+AJ175</f>
        <v>0</v>
      </c>
      <c r="E175" s="425"/>
      <c r="F175" s="3376"/>
      <c r="G175" s="425"/>
      <c r="H175" s="3376"/>
      <c r="I175" s="425"/>
      <c r="J175" s="3376"/>
      <c r="K175" s="425"/>
      <c r="L175" s="3376"/>
      <c r="M175" s="425"/>
      <c r="N175" s="3376"/>
      <c r="O175" s="3419"/>
      <c r="P175" s="3420"/>
      <c r="Q175" s="3419"/>
      <c r="R175" s="3420"/>
      <c r="S175" s="3419"/>
      <c r="T175" s="3420"/>
      <c r="U175" s="3419"/>
      <c r="V175" s="3420"/>
      <c r="W175" s="3419"/>
      <c r="X175" s="3420"/>
      <c r="Y175" s="3419"/>
      <c r="Z175" s="3420"/>
      <c r="AA175" s="3419"/>
      <c r="AB175" s="3420"/>
      <c r="AC175" s="3419"/>
      <c r="AD175" s="3440"/>
      <c r="AE175" s="3419"/>
      <c r="AF175" s="3440"/>
      <c r="AG175" s="3419"/>
      <c r="AH175" s="3441"/>
      <c r="AI175" s="3419"/>
      <c r="AJ175" s="3420"/>
      <c r="AK175" s="3421"/>
      <c r="AL175" s="3422"/>
      <c r="AM175" s="3419"/>
      <c r="AN175" s="3423"/>
      <c r="AO175" s="3421"/>
      <c r="AP175" s="3422"/>
      <c r="AQ175" s="3424"/>
      <c r="AR175" s="3423"/>
      <c r="AS175" s="3421"/>
      <c r="AT175" s="3423"/>
      <c r="AU175" s="3421"/>
      <c r="AV175" s="3422"/>
      <c r="AW175" s="3421"/>
      <c r="AX175" s="3422"/>
      <c r="AY175" s="3373" t="str">
        <f t="shared" si="244"/>
        <v/>
      </c>
      <c r="CA175" s="3413" t="str">
        <f t="shared" si="220"/>
        <v/>
      </c>
      <c r="CB175" s="418" t="str">
        <f t="shared" si="245"/>
        <v/>
      </c>
      <c r="CC175" s="418" t="str">
        <f t="shared" si="221"/>
        <v/>
      </c>
      <c r="CD175" s="417"/>
      <c r="CE175" s="417"/>
      <c r="CF175" s="417"/>
      <c r="CG175" s="417"/>
      <c r="CH175" s="417"/>
      <c r="CI175" s="418" t="str">
        <f t="shared" si="222"/>
        <v/>
      </c>
      <c r="CJ175" s="3366"/>
      <c r="CK175" s="418" t="str">
        <f t="shared" si="223"/>
        <v/>
      </c>
      <c r="CL175" s="418" t="str">
        <f t="shared" si="224"/>
        <v/>
      </c>
      <c r="CM175" s="418" t="str">
        <f t="shared" si="225"/>
        <v/>
      </c>
      <c r="CN175" s="418" t="str">
        <f t="shared" si="226"/>
        <v/>
      </c>
      <c r="CO175" s="418" t="str">
        <f t="shared" si="227"/>
        <v/>
      </c>
      <c r="CP175" s="418" t="str">
        <f t="shared" si="228"/>
        <v/>
      </c>
      <c r="CQ175" s="418" t="str">
        <f t="shared" si="229"/>
        <v/>
      </c>
      <c r="CR175" s="417"/>
      <c r="CS175" s="417"/>
      <c r="CT175" s="1708" t="str">
        <f t="shared" si="230"/>
        <v/>
      </c>
      <c r="CU175" s="1708" t="str">
        <f t="shared" si="231"/>
        <v/>
      </c>
      <c r="DF175" s="3415">
        <f t="shared" si="232"/>
        <v>0</v>
      </c>
      <c r="DG175" s="3389">
        <f t="shared" si="246"/>
        <v>0</v>
      </c>
      <c r="DH175" s="3389">
        <f t="shared" si="233"/>
        <v>0</v>
      </c>
      <c r="DI175" s="417"/>
      <c r="DJ175" s="417"/>
      <c r="DK175" s="417"/>
      <c r="DL175" s="417"/>
      <c r="DM175" s="417"/>
      <c r="DN175" s="3389">
        <f t="shared" si="234"/>
        <v>0</v>
      </c>
      <c r="DO175" s="3366"/>
      <c r="DP175" s="3389">
        <f t="shared" si="235"/>
        <v>0</v>
      </c>
      <c r="DQ175" s="3389">
        <f t="shared" si="236"/>
        <v>0</v>
      </c>
      <c r="DR175" s="3389">
        <f t="shared" si="237"/>
        <v>0</v>
      </c>
      <c r="DS175" s="3389">
        <f t="shared" si="238"/>
        <v>0</v>
      </c>
      <c r="DT175" s="3389">
        <f t="shared" si="239"/>
        <v>0</v>
      </c>
      <c r="DU175" s="3389">
        <f t="shared" si="240"/>
        <v>0</v>
      </c>
      <c r="DV175" s="3389">
        <f t="shared" si="241"/>
        <v>0</v>
      </c>
      <c r="DW175" s="417"/>
      <c r="DX175" s="417"/>
      <c r="DY175" s="3416">
        <f t="shared" si="242"/>
        <v>0</v>
      </c>
      <c r="DZ175" s="3416">
        <f t="shared" si="243"/>
        <v>0</v>
      </c>
    </row>
    <row r="176" spans="1:130">
      <c r="A176" s="6738" t="s">
        <v>1991</v>
      </c>
      <c r="B176" s="6739"/>
      <c r="C176" s="1737">
        <f t="shared" ref="C176:D178" si="254">+O176+Q176+S176+U176+W176+Y176+AA176+AC176+AE176+AG176+AI176</f>
        <v>0</v>
      </c>
      <c r="D176" s="3442">
        <f t="shared" si="254"/>
        <v>0</v>
      </c>
      <c r="E176" s="2381"/>
      <c r="F176" s="2885"/>
      <c r="G176" s="2381"/>
      <c r="H176" s="2885"/>
      <c r="I176" s="2381"/>
      <c r="J176" s="2885"/>
      <c r="K176" s="2381"/>
      <c r="L176" s="2885"/>
      <c r="M176" s="2381"/>
      <c r="N176" s="2885"/>
      <c r="O176" s="3419"/>
      <c r="P176" s="3420"/>
      <c r="Q176" s="3419"/>
      <c r="R176" s="3420"/>
      <c r="S176" s="3419"/>
      <c r="T176" s="3420"/>
      <c r="U176" s="3419"/>
      <c r="V176" s="3420"/>
      <c r="W176" s="3419"/>
      <c r="X176" s="3420"/>
      <c r="Y176" s="3419"/>
      <c r="Z176" s="3420"/>
      <c r="AA176" s="3419"/>
      <c r="AB176" s="3420"/>
      <c r="AC176" s="3419"/>
      <c r="AD176" s="3440"/>
      <c r="AE176" s="3419"/>
      <c r="AF176" s="3440"/>
      <c r="AG176" s="3419"/>
      <c r="AH176" s="3441"/>
      <c r="AI176" s="3419"/>
      <c r="AJ176" s="3420"/>
      <c r="AK176" s="3421"/>
      <c r="AL176" s="3422"/>
      <c r="AM176" s="3419"/>
      <c r="AN176" s="3423"/>
      <c r="AO176" s="3421"/>
      <c r="AP176" s="3422"/>
      <c r="AQ176" s="3424"/>
      <c r="AR176" s="3423"/>
      <c r="AS176" s="3421"/>
      <c r="AT176" s="3423"/>
      <c r="AU176" s="3421"/>
      <c r="AV176" s="3422"/>
      <c r="AW176" s="3421"/>
      <c r="AX176" s="3422"/>
      <c r="AY176" s="3373" t="str">
        <f t="shared" si="244"/>
        <v/>
      </c>
      <c r="CA176" s="3413" t="str">
        <f t="shared" si="220"/>
        <v/>
      </c>
      <c r="CB176" s="418" t="str">
        <f t="shared" si="245"/>
        <v/>
      </c>
      <c r="CC176" s="418" t="str">
        <f t="shared" si="221"/>
        <v/>
      </c>
      <c r="CD176" s="417"/>
      <c r="CE176" s="417"/>
      <c r="CF176" s="417"/>
      <c r="CG176" s="417"/>
      <c r="CH176" s="417"/>
      <c r="CI176" s="418" t="str">
        <f t="shared" si="222"/>
        <v/>
      </c>
      <c r="CJ176" s="3366"/>
      <c r="CK176" s="418" t="str">
        <f t="shared" si="223"/>
        <v/>
      </c>
      <c r="CL176" s="418" t="str">
        <f t="shared" si="224"/>
        <v/>
      </c>
      <c r="CM176" s="418" t="str">
        <f t="shared" si="225"/>
        <v/>
      </c>
      <c r="CN176" s="418" t="str">
        <f t="shared" si="226"/>
        <v/>
      </c>
      <c r="CO176" s="418" t="str">
        <f t="shared" si="227"/>
        <v/>
      </c>
      <c r="CP176" s="418" t="str">
        <f t="shared" si="228"/>
        <v/>
      </c>
      <c r="CQ176" s="418" t="str">
        <f t="shared" si="229"/>
        <v/>
      </c>
      <c r="CR176" s="417"/>
      <c r="CS176" s="417"/>
      <c r="CT176" s="1708" t="str">
        <f t="shared" si="230"/>
        <v/>
      </c>
      <c r="CU176" s="1708" t="str">
        <f t="shared" si="231"/>
        <v/>
      </c>
      <c r="DF176" s="3415">
        <f t="shared" si="232"/>
        <v>0</v>
      </c>
      <c r="DG176" s="3389">
        <f t="shared" si="246"/>
        <v>0</v>
      </c>
      <c r="DH176" s="3389">
        <f t="shared" si="233"/>
        <v>0</v>
      </c>
      <c r="DI176" s="417"/>
      <c r="DJ176" s="417"/>
      <c r="DK176" s="417"/>
      <c r="DL176" s="417"/>
      <c r="DM176" s="417"/>
      <c r="DN176" s="3389">
        <f t="shared" si="234"/>
        <v>0</v>
      </c>
      <c r="DO176" s="3366"/>
      <c r="DP176" s="3389">
        <f t="shared" si="235"/>
        <v>0</v>
      </c>
      <c r="DQ176" s="3389">
        <f t="shared" si="236"/>
        <v>0</v>
      </c>
      <c r="DR176" s="3389">
        <f t="shared" si="237"/>
        <v>0</v>
      </c>
      <c r="DS176" s="3389">
        <f t="shared" si="238"/>
        <v>0</v>
      </c>
      <c r="DT176" s="3389">
        <f t="shared" si="239"/>
        <v>0</v>
      </c>
      <c r="DU176" s="3389">
        <f t="shared" si="240"/>
        <v>0</v>
      </c>
      <c r="DV176" s="3389">
        <f t="shared" si="241"/>
        <v>0</v>
      </c>
      <c r="DW176" s="417"/>
      <c r="DX176" s="417"/>
      <c r="DY176" s="3416">
        <f t="shared" si="242"/>
        <v>0</v>
      </c>
      <c r="DZ176" s="3416">
        <f t="shared" si="243"/>
        <v>0</v>
      </c>
    </row>
    <row r="177" spans="1:130">
      <c r="A177" s="6738" t="s">
        <v>1992</v>
      </c>
      <c r="B177" s="6739"/>
      <c r="C177" s="1737">
        <f t="shared" si="254"/>
        <v>0</v>
      </c>
      <c r="D177" s="3442">
        <f t="shared" si="254"/>
        <v>0</v>
      </c>
      <c r="E177" s="2381"/>
      <c r="F177" s="2885"/>
      <c r="G177" s="2381"/>
      <c r="H177" s="2885"/>
      <c r="I177" s="2381"/>
      <c r="J177" s="2885"/>
      <c r="K177" s="2381"/>
      <c r="L177" s="2885"/>
      <c r="M177" s="2381"/>
      <c r="N177" s="2885"/>
      <c r="O177" s="3419"/>
      <c r="P177" s="3420"/>
      <c r="Q177" s="3419"/>
      <c r="R177" s="3420"/>
      <c r="S177" s="3419"/>
      <c r="T177" s="3420"/>
      <c r="U177" s="3419"/>
      <c r="V177" s="3420"/>
      <c r="W177" s="3419"/>
      <c r="X177" s="3420"/>
      <c r="Y177" s="3419"/>
      <c r="Z177" s="3420"/>
      <c r="AA177" s="3419"/>
      <c r="AB177" s="3420"/>
      <c r="AC177" s="3419"/>
      <c r="AD177" s="3440"/>
      <c r="AE177" s="3419"/>
      <c r="AF177" s="3440"/>
      <c r="AG177" s="425"/>
      <c r="AH177" s="3422"/>
      <c r="AI177" s="425"/>
      <c r="AJ177" s="3424"/>
      <c r="AK177" s="3421"/>
      <c r="AL177" s="3422"/>
      <c r="AM177" s="3419"/>
      <c r="AN177" s="3423"/>
      <c r="AO177" s="3421"/>
      <c r="AP177" s="3422"/>
      <c r="AQ177" s="3424"/>
      <c r="AR177" s="3423"/>
      <c r="AS177" s="3421"/>
      <c r="AT177" s="3423"/>
      <c r="AU177" s="3421"/>
      <c r="AV177" s="3422"/>
      <c r="AW177" s="3421"/>
      <c r="AX177" s="3422"/>
      <c r="AY177" s="3373" t="str">
        <f t="shared" si="244"/>
        <v/>
      </c>
      <c r="CA177" s="3413" t="str">
        <f t="shared" si="220"/>
        <v/>
      </c>
      <c r="CB177" s="418" t="str">
        <f t="shared" si="245"/>
        <v/>
      </c>
      <c r="CC177" s="418" t="str">
        <f t="shared" si="221"/>
        <v/>
      </c>
      <c r="CD177" s="417"/>
      <c r="CE177" s="417"/>
      <c r="CF177" s="417"/>
      <c r="CG177" s="417"/>
      <c r="CH177" s="417"/>
      <c r="CI177" s="418" t="str">
        <f t="shared" si="222"/>
        <v/>
      </c>
      <c r="CJ177" s="3366"/>
      <c r="CK177" s="418" t="str">
        <f t="shared" si="223"/>
        <v/>
      </c>
      <c r="CL177" s="418" t="str">
        <f t="shared" si="224"/>
        <v/>
      </c>
      <c r="CM177" s="418" t="str">
        <f t="shared" si="225"/>
        <v/>
      </c>
      <c r="CN177" s="418" t="str">
        <f t="shared" si="226"/>
        <v/>
      </c>
      <c r="CO177" s="418" t="str">
        <f t="shared" si="227"/>
        <v/>
      </c>
      <c r="CP177" s="418" t="str">
        <f t="shared" si="228"/>
        <v/>
      </c>
      <c r="CQ177" s="418" t="str">
        <f t="shared" si="229"/>
        <v/>
      </c>
      <c r="CR177" s="417"/>
      <c r="CS177" s="417"/>
      <c r="CT177" s="1708" t="str">
        <f t="shared" si="230"/>
        <v/>
      </c>
      <c r="CU177" s="1708" t="str">
        <f t="shared" si="231"/>
        <v/>
      </c>
      <c r="DF177" s="3415">
        <f t="shared" si="232"/>
        <v>0</v>
      </c>
      <c r="DG177" s="3389">
        <f t="shared" si="246"/>
        <v>0</v>
      </c>
      <c r="DH177" s="3389">
        <f t="shared" si="233"/>
        <v>0</v>
      </c>
      <c r="DI177" s="417"/>
      <c r="DJ177" s="417"/>
      <c r="DK177" s="417"/>
      <c r="DL177" s="417"/>
      <c r="DM177" s="417"/>
      <c r="DN177" s="3389">
        <f t="shared" si="234"/>
        <v>0</v>
      </c>
      <c r="DO177" s="3366"/>
      <c r="DP177" s="3389">
        <f t="shared" si="235"/>
        <v>0</v>
      </c>
      <c r="DQ177" s="3389">
        <f t="shared" si="236"/>
        <v>0</v>
      </c>
      <c r="DR177" s="3389">
        <f t="shared" si="237"/>
        <v>0</v>
      </c>
      <c r="DS177" s="3389">
        <f t="shared" si="238"/>
        <v>0</v>
      </c>
      <c r="DT177" s="3389">
        <f t="shared" si="239"/>
        <v>0</v>
      </c>
      <c r="DU177" s="3389">
        <f t="shared" si="240"/>
        <v>0</v>
      </c>
      <c r="DV177" s="3389">
        <f t="shared" si="241"/>
        <v>0</v>
      </c>
      <c r="DW177" s="417"/>
      <c r="DX177" s="417"/>
      <c r="DY177" s="3416">
        <f t="shared" si="242"/>
        <v>0</v>
      </c>
      <c r="DZ177" s="3416">
        <f t="shared" si="243"/>
        <v>0</v>
      </c>
    </row>
    <row r="178" spans="1:130">
      <c r="A178" s="6738" t="s">
        <v>1993</v>
      </c>
      <c r="B178" s="6739"/>
      <c r="C178" s="1737">
        <f t="shared" si="254"/>
        <v>0</v>
      </c>
      <c r="D178" s="3442">
        <f t="shared" si="254"/>
        <v>0</v>
      </c>
      <c r="E178" s="2381"/>
      <c r="F178" s="2885"/>
      <c r="G178" s="2381"/>
      <c r="H178" s="2885"/>
      <c r="I178" s="2381"/>
      <c r="J178" s="2885"/>
      <c r="K178" s="2381"/>
      <c r="L178" s="2885"/>
      <c r="M178" s="2381"/>
      <c r="N178" s="2885"/>
      <c r="O178" s="3419"/>
      <c r="P178" s="3420"/>
      <c r="Q178" s="3419"/>
      <c r="R178" s="3420"/>
      <c r="S178" s="3419"/>
      <c r="T178" s="3420"/>
      <c r="U178" s="3419"/>
      <c r="V178" s="3420"/>
      <c r="W178" s="3419"/>
      <c r="X178" s="3420"/>
      <c r="Y178" s="3419"/>
      <c r="Z178" s="3420"/>
      <c r="AA178" s="3419"/>
      <c r="AB178" s="3420"/>
      <c r="AC178" s="3419"/>
      <c r="AD178" s="3440"/>
      <c r="AE178" s="3419"/>
      <c r="AF178" s="3440"/>
      <c r="AG178" s="3419"/>
      <c r="AH178" s="3441"/>
      <c r="AI178" s="3419"/>
      <c r="AJ178" s="3420"/>
      <c r="AK178" s="3421"/>
      <c r="AL178" s="3422"/>
      <c r="AM178" s="3419"/>
      <c r="AN178" s="3423"/>
      <c r="AO178" s="3421"/>
      <c r="AP178" s="3422"/>
      <c r="AQ178" s="3424"/>
      <c r="AR178" s="3423"/>
      <c r="AS178" s="3421"/>
      <c r="AT178" s="3423"/>
      <c r="AU178" s="3421"/>
      <c r="AV178" s="3422"/>
      <c r="AW178" s="3421"/>
      <c r="AX178" s="3422"/>
      <c r="AY178" s="3373" t="str">
        <f t="shared" si="244"/>
        <v/>
      </c>
      <c r="CA178" s="3413" t="str">
        <f t="shared" si="220"/>
        <v/>
      </c>
      <c r="CB178" s="418" t="str">
        <f t="shared" si="245"/>
        <v/>
      </c>
      <c r="CC178" s="418" t="str">
        <f t="shared" si="221"/>
        <v/>
      </c>
      <c r="CD178" s="417"/>
      <c r="CE178" s="417"/>
      <c r="CF178" s="417"/>
      <c r="CG178" s="417"/>
      <c r="CH178" s="417"/>
      <c r="CI178" s="418" t="str">
        <f t="shared" si="222"/>
        <v/>
      </c>
      <c r="CJ178" s="3366"/>
      <c r="CK178" s="418" t="str">
        <f t="shared" si="223"/>
        <v/>
      </c>
      <c r="CL178" s="418" t="str">
        <f t="shared" si="224"/>
        <v/>
      </c>
      <c r="CM178" s="418" t="str">
        <f t="shared" si="225"/>
        <v/>
      </c>
      <c r="CN178" s="418" t="str">
        <f t="shared" si="226"/>
        <v/>
      </c>
      <c r="CO178" s="418" t="str">
        <f t="shared" si="227"/>
        <v/>
      </c>
      <c r="CP178" s="418" t="str">
        <f t="shared" si="228"/>
        <v/>
      </c>
      <c r="CQ178" s="418" t="str">
        <f t="shared" si="229"/>
        <v/>
      </c>
      <c r="CR178" s="417"/>
      <c r="CS178" s="417"/>
      <c r="CT178" s="1708" t="str">
        <f t="shared" si="230"/>
        <v/>
      </c>
      <c r="CU178" s="1708" t="str">
        <f t="shared" si="231"/>
        <v/>
      </c>
      <c r="DF178" s="3415">
        <f t="shared" si="232"/>
        <v>0</v>
      </c>
      <c r="DG178" s="3389">
        <f t="shared" si="246"/>
        <v>0</v>
      </c>
      <c r="DH178" s="3389">
        <f t="shared" si="233"/>
        <v>0</v>
      </c>
      <c r="DI178" s="417"/>
      <c r="DJ178" s="417"/>
      <c r="DK178" s="417"/>
      <c r="DL178" s="417"/>
      <c r="DM178" s="417"/>
      <c r="DN178" s="3389">
        <f t="shared" si="234"/>
        <v>0</v>
      </c>
      <c r="DO178" s="3366"/>
      <c r="DP178" s="3389">
        <f t="shared" si="235"/>
        <v>0</v>
      </c>
      <c r="DQ178" s="3389">
        <f t="shared" si="236"/>
        <v>0</v>
      </c>
      <c r="DR178" s="3389">
        <f t="shared" si="237"/>
        <v>0</v>
      </c>
      <c r="DS178" s="3389">
        <f t="shared" si="238"/>
        <v>0</v>
      </c>
      <c r="DT178" s="3389">
        <f t="shared" si="239"/>
        <v>0</v>
      </c>
      <c r="DU178" s="3389">
        <f t="shared" si="240"/>
        <v>0</v>
      </c>
      <c r="DV178" s="3389">
        <f t="shared" si="241"/>
        <v>0</v>
      </c>
      <c r="DW178" s="417"/>
      <c r="DX178" s="417"/>
      <c r="DY178" s="3416">
        <f t="shared" si="242"/>
        <v>0</v>
      </c>
      <c r="DZ178" s="3416">
        <f t="shared" si="243"/>
        <v>0</v>
      </c>
    </row>
    <row r="179" spans="1:130">
      <c r="A179" s="6738" t="s">
        <v>1994</v>
      </c>
      <c r="B179" s="6739"/>
      <c r="C179" s="1737">
        <f t="shared" ref="C179:D183" si="255">+E179+G179+I179+K179+M179+O179+Q179+S179+U179+W179+Y179+AA179+AC179+AE179+AG179+AI179</f>
        <v>0</v>
      </c>
      <c r="D179" s="3442">
        <f t="shared" si="255"/>
        <v>0</v>
      </c>
      <c r="E179" s="3419"/>
      <c r="F179" s="3420"/>
      <c r="G179" s="3419"/>
      <c r="H179" s="3420"/>
      <c r="I179" s="3419"/>
      <c r="J179" s="3420"/>
      <c r="K179" s="3419"/>
      <c r="L179" s="3420"/>
      <c r="M179" s="3419"/>
      <c r="N179" s="3420"/>
      <c r="O179" s="3419"/>
      <c r="P179" s="3420"/>
      <c r="Q179" s="3419"/>
      <c r="R179" s="3420"/>
      <c r="S179" s="3419"/>
      <c r="T179" s="3420"/>
      <c r="U179" s="3419"/>
      <c r="V179" s="3420"/>
      <c r="W179" s="3419"/>
      <c r="X179" s="3420"/>
      <c r="Y179" s="3419"/>
      <c r="Z179" s="3420"/>
      <c r="AA179" s="3419"/>
      <c r="AB179" s="3420"/>
      <c r="AC179" s="3419"/>
      <c r="AD179" s="3440"/>
      <c r="AE179" s="3419"/>
      <c r="AF179" s="3440"/>
      <c r="AG179" s="3419"/>
      <c r="AH179" s="3441"/>
      <c r="AI179" s="3419"/>
      <c r="AJ179" s="3420"/>
      <c r="AK179" s="3421"/>
      <c r="AL179" s="3422"/>
      <c r="AM179" s="3419"/>
      <c r="AN179" s="3423"/>
      <c r="AO179" s="3421"/>
      <c r="AP179" s="3422"/>
      <c r="AQ179" s="3424"/>
      <c r="AR179" s="3423"/>
      <c r="AS179" s="3421"/>
      <c r="AT179" s="3423"/>
      <c r="AU179" s="3421"/>
      <c r="AV179" s="3422"/>
      <c r="AW179" s="3421"/>
      <c r="AX179" s="3422"/>
      <c r="AY179" s="3373" t="str">
        <f t="shared" si="244"/>
        <v/>
      </c>
      <c r="CA179" s="3413" t="str">
        <f t="shared" si="220"/>
        <v/>
      </c>
      <c r="CB179" s="418" t="str">
        <f t="shared" si="245"/>
        <v/>
      </c>
      <c r="CC179" s="418" t="str">
        <f t="shared" si="221"/>
        <v/>
      </c>
      <c r="CD179" s="417"/>
      <c r="CE179" s="417"/>
      <c r="CF179" s="417"/>
      <c r="CG179" s="417"/>
      <c r="CH179" s="417"/>
      <c r="CI179" s="418" t="str">
        <f t="shared" si="222"/>
        <v/>
      </c>
      <c r="CJ179" s="3366"/>
      <c r="CK179" s="418" t="str">
        <f t="shared" si="223"/>
        <v/>
      </c>
      <c r="CL179" s="418" t="str">
        <f t="shared" si="224"/>
        <v/>
      </c>
      <c r="CM179" s="418" t="str">
        <f t="shared" si="225"/>
        <v/>
      </c>
      <c r="CN179" s="418" t="str">
        <f t="shared" si="226"/>
        <v/>
      </c>
      <c r="CO179" s="418" t="str">
        <f t="shared" si="227"/>
        <v/>
      </c>
      <c r="CP179" s="418" t="str">
        <f t="shared" si="228"/>
        <v/>
      </c>
      <c r="CQ179" s="418" t="str">
        <f t="shared" si="229"/>
        <v/>
      </c>
      <c r="CR179" s="417"/>
      <c r="CS179" s="417"/>
      <c r="CT179" s="1708" t="str">
        <f t="shared" si="230"/>
        <v/>
      </c>
      <c r="CU179" s="1708" t="str">
        <f t="shared" si="231"/>
        <v/>
      </c>
      <c r="DF179" s="3415">
        <f t="shared" si="232"/>
        <v>0</v>
      </c>
      <c r="DG179" s="3389">
        <f t="shared" si="246"/>
        <v>0</v>
      </c>
      <c r="DH179" s="3389">
        <f t="shared" si="233"/>
        <v>0</v>
      </c>
      <c r="DI179" s="417"/>
      <c r="DJ179" s="417"/>
      <c r="DK179" s="417"/>
      <c r="DL179" s="417"/>
      <c r="DM179" s="417"/>
      <c r="DN179" s="3389">
        <f t="shared" si="234"/>
        <v>0</v>
      </c>
      <c r="DO179" s="3366"/>
      <c r="DP179" s="3389">
        <f t="shared" si="235"/>
        <v>0</v>
      </c>
      <c r="DQ179" s="3389">
        <f t="shared" si="236"/>
        <v>0</v>
      </c>
      <c r="DR179" s="3389">
        <f t="shared" si="237"/>
        <v>0</v>
      </c>
      <c r="DS179" s="3389">
        <f t="shared" si="238"/>
        <v>0</v>
      </c>
      <c r="DT179" s="3389">
        <f t="shared" si="239"/>
        <v>0</v>
      </c>
      <c r="DU179" s="3389">
        <f t="shared" si="240"/>
        <v>0</v>
      </c>
      <c r="DV179" s="3389">
        <f t="shared" si="241"/>
        <v>0</v>
      </c>
      <c r="DW179" s="417"/>
      <c r="DX179" s="417"/>
      <c r="DY179" s="3416">
        <f t="shared" si="242"/>
        <v>0</v>
      </c>
      <c r="DZ179" s="3416">
        <f t="shared" si="243"/>
        <v>0</v>
      </c>
    </row>
    <row r="180" spans="1:130">
      <c r="A180" s="6738" t="s">
        <v>1995</v>
      </c>
      <c r="B180" s="6739"/>
      <c r="C180" s="1737">
        <f t="shared" si="255"/>
        <v>0</v>
      </c>
      <c r="D180" s="3442">
        <f t="shared" si="255"/>
        <v>0</v>
      </c>
      <c r="E180" s="3419"/>
      <c r="F180" s="3420"/>
      <c r="G180" s="3419"/>
      <c r="H180" s="3420"/>
      <c r="I180" s="3419"/>
      <c r="J180" s="3420"/>
      <c r="K180" s="3419"/>
      <c r="L180" s="3420"/>
      <c r="M180" s="3419"/>
      <c r="N180" s="3420"/>
      <c r="O180" s="3419"/>
      <c r="P180" s="3420"/>
      <c r="Q180" s="3419"/>
      <c r="R180" s="3420"/>
      <c r="S180" s="3419"/>
      <c r="T180" s="3420"/>
      <c r="U180" s="3419"/>
      <c r="V180" s="3420"/>
      <c r="W180" s="3419"/>
      <c r="X180" s="3420"/>
      <c r="Y180" s="3419"/>
      <c r="Z180" s="3420"/>
      <c r="AA180" s="3419"/>
      <c r="AB180" s="3420"/>
      <c r="AC180" s="3419"/>
      <c r="AD180" s="3440"/>
      <c r="AE180" s="3419"/>
      <c r="AF180" s="3440"/>
      <c r="AG180" s="3419"/>
      <c r="AH180" s="3441"/>
      <c r="AI180" s="3419"/>
      <c r="AJ180" s="3420"/>
      <c r="AK180" s="3421"/>
      <c r="AL180" s="3422"/>
      <c r="AM180" s="3419"/>
      <c r="AN180" s="3423"/>
      <c r="AO180" s="3421"/>
      <c r="AP180" s="3422"/>
      <c r="AQ180" s="3424"/>
      <c r="AR180" s="3423"/>
      <c r="AS180" s="3421"/>
      <c r="AT180" s="3423"/>
      <c r="AU180" s="3421"/>
      <c r="AV180" s="3422"/>
      <c r="AW180" s="3421"/>
      <c r="AX180" s="3422"/>
      <c r="AY180" s="3373" t="str">
        <f t="shared" si="244"/>
        <v/>
      </c>
      <c r="CA180" s="3413" t="str">
        <f t="shared" si="220"/>
        <v/>
      </c>
      <c r="CB180" s="418" t="str">
        <f t="shared" si="245"/>
        <v/>
      </c>
      <c r="CC180" s="418" t="str">
        <f t="shared" si="221"/>
        <v/>
      </c>
      <c r="CD180" s="417"/>
      <c r="CE180" s="417"/>
      <c r="CF180" s="417"/>
      <c r="CG180" s="417"/>
      <c r="CH180" s="417"/>
      <c r="CI180" s="418" t="str">
        <f t="shared" si="222"/>
        <v/>
      </c>
      <c r="CJ180" s="3366"/>
      <c r="CK180" s="418" t="str">
        <f t="shared" si="223"/>
        <v/>
      </c>
      <c r="CL180" s="418" t="str">
        <f t="shared" si="224"/>
        <v/>
      </c>
      <c r="CM180" s="418" t="str">
        <f t="shared" si="225"/>
        <v/>
      </c>
      <c r="CN180" s="418" t="str">
        <f t="shared" si="226"/>
        <v/>
      </c>
      <c r="CO180" s="418" t="str">
        <f t="shared" si="227"/>
        <v/>
      </c>
      <c r="CP180" s="418" t="str">
        <f t="shared" si="228"/>
        <v/>
      </c>
      <c r="CQ180" s="418" t="str">
        <f t="shared" si="229"/>
        <v/>
      </c>
      <c r="CR180" s="417"/>
      <c r="CS180" s="417"/>
      <c r="CT180" s="1708" t="str">
        <f t="shared" si="230"/>
        <v/>
      </c>
      <c r="CU180" s="1708" t="str">
        <f t="shared" si="231"/>
        <v/>
      </c>
      <c r="DF180" s="3415">
        <f t="shared" si="232"/>
        <v>0</v>
      </c>
      <c r="DG180" s="3389">
        <f t="shared" si="246"/>
        <v>0</v>
      </c>
      <c r="DH180" s="3389">
        <f t="shared" si="233"/>
        <v>0</v>
      </c>
      <c r="DI180" s="417"/>
      <c r="DJ180" s="417"/>
      <c r="DK180" s="417"/>
      <c r="DL180" s="417"/>
      <c r="DM180" s="417"/>
      <c r="DN180" s="3389">
        <f t="shared" si="234"/>
        <v>0</v>
      </c>
      <c r="DO180" s="3366"/>
      <c r="DP180" s="3389">
        <f t="shared" si="235"/>
        <v>0</v>
      </c>
      <c r="DQ180" s="3389">
        <f t="shared" si="236"/>
        <v>0</v>
      </c>
      <c r="DR180" s="3389">
        <f t="shared" si="237"/>
        <v>0</v>
      </c>
      <c r="DS180" s="3389">
        <f t="shared" si="238"/>
        <v>0</v>
      </c>
      <c r="DT180" s="3389">
        <f t="shared" si="239"/>
        <v>0</v>
      </c>
      <c r="DU180" s="3389">
        <f t="shared" si="240"/>
        <v>0</v>
      </c>
      <c r="DV180" s="3389">
        <f t="shared" si="241"/>
        <v>0</v>
      </c>
      <c r="DW180" s="417"/>
      <c r="DX180" s="417"/>
      <c r="DY180" s="3416">
        <f t="shared" si="242"/>
        <v>0</v>
      </c>
      <c r="DZ180" s="3416">
        <f t="shared" si="243"/>
        <v>0</v>
      </c>
    </row>
    <row r="181" spans="1:130">
      <c r="A181" s="6738" t="s">
        <v>1996</v>
      </c>
      <c r="B181" s="6739"/>
      <c r="C181" s="1737">
        <f t="shared" si="255"/>
        <v>0</v>
      </c>
      <c r="D181" s="3442">
        <f t="shared" si="255"/>
        <v>0</v>
      </c>
      <c r="E181" s="3419"/>
      <c r="F181" s="3420"/>
      <c r="G181" s="3419"/>
      <c r="H181" s="3420"/>
      <c r="I181" s="3419"/>
      <c r="J181" s="3420"/>
      <c r="K181" s="3419"/>
      <c r="L181" s="3420"/>
      <c r="M181" s="3419"/>
      <c r="N181" s="3420"/>
      <c r="O181" s="3419"/>
      <c r="P181" s="3420"/>
      <c r="Q181" s="3419"/>
      <c r="R181" s="3420"/>
      <c r="S181" s="3419"/>
      <c r="T181" s="3420"/>
      <c r="U181" s="3419"/>
      <c r="V181" s="3420"/>
      <c r="W181" s="3419"/>
      <c r="X181" s="3420"/>
      <c r="Y181" s="3419"/>
      <c r="Z181" s="3420"/>
      <c r="AA181" s="3419"/>
      <c r="AB181" s="3420"/>
      <c r="AC181" s="3419"/>
      <c r="AD181" s="3440"/>
      <c r="AE181" s="3419"/>
      <c r="AF181" s="3440"/>
      <c r="AG181" s="3419"/>
      <c r="AH181" s="3441"/>
      <c r="AI181" s="3419"/>
      <c r="AJ181" s="3420"/>
      <c r="AK181" s="3421"/>
      <c r="AL181" s="3422"/>
      <c r="AM181" s="3419"/>
      <c r="AN181" s="3423"/>
      <c r="AO181" s="3421"/>
      <c r="AP181" s="3422"/>
      <c r="AQ181" s="3424"/>
      <c r="AR181" s="3423"/>
      <c r="AS181" s="3421"/>
      <c r="AT181" s="3423"/>
      <c r="AU181" s="3421"/>
      <c r="AV181" s="3422"/>
      <c r="AW181" s="3421"/>
      <c r="AX181" s="3422"/>
      <c r="AY181" s="3373" t="str">
        <f t="shared" si="244"/>
        <v/>
      </c>
      <c r="CA181" s="3413" t="str">
        <f t="shared" si="220"/>
        <v/>
      </c>
      <c r="CB181" s="418" t="str">
        <f t="shared" si="245"/>
        <v/>
      </c>
      <c r="CC181" s="418" t="str">
        <f t="shared" si="221"/>
        <v/>
      </c>
      <c r="CD181" s="417"/>
      <c r="CE181" s="417"/>
      <c r="CF181" s="417"/>
      <c r="CG181" s="417"/>
      <c r="CH181" s="417"/>
      <c r="CI181" s="418" t="str">
        <f t="shared" si="222"/>
        <v/>
      </c>
      <c r="CJ181" s="3366"/>
      <c r="CK181" s="418" t="str">
        <f t="shared" si="223"/>
        <v/>
      </c>
      <c r="CL181" s="418" t="str">
        <f t="shared" si="224"/>
        <v/>
      </c>
      <c r="CM181" s="418" t="str">
        <f t="shared" si="225"/>
        <v/>
      </c>
      <c r="CN181" s="418" t="str">
        <f t="shared" si="226"/>
        <v/>
      </c>
      <c r="CO181" s="418" t="str">
        <f t="shared" si="227"/>
        <v/>
      </c>
      <c r="CP181" s="418" t="str">
        <f t="shared" si="228"/>
        <v/>
      </c>
      <c r="CQ181" s="418" t="str">
        <f t="shared" si="229"/>
        <v/>
      </c>
      <c r="CR181" s="417"/>
      <c r="CS181" s="417"/>
      <c r="CT181" s="1708" t="str">
        <f t="shared" si="230"/>
        <v/>
      </c>
      <c r="CU181" s="1708" t="str">
        <f t="shared" si="231"/>
        <v/>
      </c>
      <c r="DF181" s="3415">
        <f t="shared" si="232"/>
        <v>0</v>
      </c>
      <c r="DG181" s="3389">
        <f t="shared" si="246"/>
        <v>0</v>
      </c>
      <c r="DH181" s="3389">
        <f t="shared" si="233"/>
        <v>0</v>
      </c>
      <c r="DI181" s="417"/>
      <c r="DJ181" s="417"/>
      <c r="DK181" s="417"/>
      <c r="DL181" s="417"/>
      <c r="DM181" s="417"/>
      <c r="DN181" s="3389">
        <f t="shared" si="234"/>
        <v>0</v>
      </c>
      <c r="DO181" s="3366"/>
      <c r="DP181" s="3389">
        <f t="shared" si="235"/>
        <v>0</v>
      </c>
      <c r="DQ181" s="3389">
        <f t="shared" si="236"/>
        <v>0</v>
      </c>
      <c r="DR181" s="3389">
        <f t="shared" si="237"/>
        <v>0</v>
      </c>
      <c r="DS181" s="3389">
        <f t="shared" si="238"/>
        <v>0</v>
      </c>
      <c r="DT181" s="3389">
        <f t="shared" si="239"/>
        <v>0</v>
      </c>
      <c r="DU181" s="3389">
        <f t="shared" si="240"/>
        <v>0</v>
      </c>
      <c r="DV181" s="3389">
        <f t="shared" si="241"/>
        <v>0</v>
      </c>
      <c r="DW181" s="417"/>
      <c r="DX181" s="417"/>
      <c r="DY181" s="3416">
        <f t="shared" si="242"/>
        <v>0</v>
      </c>
      <c r="DZ181" s="3416">
        <f t="shared" si="243"/>
        <v>0</v>
      </c>
    </row>
    <row r="182" spans="1:130">
      <c r="A182" s="6738" t="s">
        <v>1997</v>
      </c>
      <c r="B182" s="6739"/>
      <c r="C182" s="1737">
        <f t="shared" si="255"/>
        <v>0</v>
      </c>
      <c r="D182" s="3442">
        <f t="shared" si="255"/>
        <v>0</v>
      </c>
      <c r="E182" s="3419"/>
      <c r="F182" s="3420"/>
      <c r="G182" s="3419"/>
      <c r="H182" s="3420"/>
      <c r="I182" s="3419"/>
      <c r="J182" s="3420"/>
      <c r="K182" s="3419"/>
      <c r="L182" s="3420"/>
      <c r="M182" s="3419"/>
      <c r="N182" s="3420"/>
      <c r="O182" s="3419"/>
      <c r="P182" s="3420"/>
      <c r="Q182" s="3419"/>
      <c r="R182" s="3420"/>
      <c r="S182" s="3419"/>
      <c r="T182" s="3420"/>
      <c r="U182" s="3419"/>
      <c r="V182" s="3420"/>
      <c r="W182" s="3419"/>
      <c r="X182" s="3420"/>
      <c r="Y182" s="3419"/>
      <c r="Z182" s="3420"/>
      <c r="AA182" s="3419"/>
      <c r="AB182" s="3420"/>
      <c r="AC182" s="3419"/>
      <c r="AD182" s="3440"/>
      <c r="AE182" s="3419"/>
      <c r="AF182" s="3440"/>
      <c r="AG182" s="3419"/>
      <c r="AH182" s="3441"/>
      <c r="AI182" s="3419"/>
      <c r="AJ182" s="3420"/>
      <c r="AK182" s="3421"/>
      <c r="AL182" s="3422"/>
      <c r="AM182" s="3419"/>
      <c r="AN182" s="3423"/>
      <c r="AO182" s="3421"/>
      <c r="AP182" s="3422"/>
      <c r="AQ182" s="3424"/>
      <c r="AR182" s="3423"/>
      <c r="AS182" s="3421"/>
      <c r="AT182" s="3423"/>
      <c r="AU182" s="3421"/>
      <c r="AV182" s="3422"/>
      <c r="AW182" s="3421"/>
      <c r="AX182" s="3422"/>
      <c r="AY182" s="3373" t="str">
        <f t="shared" si="244"/>
        <v/>
      </c>
      <c r="CA182" s="3413" t="str">
        <f t="shared" si="220"/>
        <v/>
      </c>
      <c r="CB182" s="418" t="str">
        <f t="shared" si="245"/>
        <v/>
      </c>
      <c r="CC182" s="418" t="str">
        <f t="shared" si="221"/>
        <v/>
      </c>
      <c r="CD182" s="417"/>
      <c r="CE182" s="417"/>
      <c r="CF182" s="417"/>
      <c r="CG182" s="417"/>
      <c r="CH182" s="417"/>
      <c r="CI182" s="418" t="str">
        <f t="shared" si="222"/>
        <v/>
      </c>
      <c r="CJ182" s="3366"/>
      <c r="CK182" s="418" t="str">
        <f t="shared" si="223"/>
        <v/>
      </c>
      <c r="CL182" s="418" t="str">
        <f t="shared" si="224"/>
        <v/>
      </c>
      <c r="CM182" s="418" t="str">
        <f t="shared" si="225"/>
        <v/>
      </c>
      <c r="CN182" s="418" t="str">
        <f t="shared" si="226"/>
        <v/>
      </c>
      <c r="CO182" s="418" t="str">
        <f t="shared" si="227"/>
        <v/>
      </c>
      <c r="CP182" s="418" t="str">
        <f t="shared" si="228"/>
        <v/>
      </c>
      <c r="CQ182" s="418" t="str">
        <f t="shared" si="229"/>
        <v/>
      </c>
      <c r="CR182" s="417"/>
      <c r="CS182" s="417"/>
      <c r="CT182" s="1708" t="str">
        <f t="shared" si="230"/>
        <v/>
      </c>
      <c r="CU182" s="1708" t="str">
        <f t="shared" si="231"/>
        <v/>
      </c>
      <c r="DF182" s="3415">
        <f t="shared" si="232"/>
        <v>0</v>
      </c>
      <c r="DG182" s="3389">
        <f t="shared" si="246"/>
        <v>0</v>
      </c>
      <c r="DH182" s="3389">
        <f t="shared" si="233"/>
        <v>0</v>
      </c>
      <c r="DI182" s="417"/>
      <c r="DJ182" s="417"/>
      <c r="DK182" s="417"/>
      <c r="DL182" s="417"/>
      <c r="DM182" s="417"/>
      <c r="DN182" s="3389">
        <f t="shared" si="234"/>
        <v>0</v>
      </c>
      <c r="DO182" s="3366"/>
      <c r="DP182" s="3389">
        <f t="shared" si="235"/>
        <v>0</v>
      </c>
      <c r="DQ182" s="3389">
        <f t="shared" si="236"/>
        <v>0</v>
      </c>
      <c r="DR182" s="3389">
        <f t="shared" si="237"/>
        <v>0</v>
      </c>
      <c r="DS182" s="3389">
        <f t="shared" si="238"/>
        <v>0</v>
      </c>
      <c r="DT182" s="3389">
        <f t="shared" si="239"/>
        <v>0</v>
      </c>
      <c r="DU182" s="3389">
        <f t="shared" si="240"/>
        <v>0</v>
      </c>
      <c r="DV182" s="3389">
        <f t="shared" si="241"/>
        <v>0</v>
      </c>
      <c r="DW182" s="417"/>
      <c r="DX182" s="417"/>
      <c r="DY182" s="3416">
        <f t="shared" si="242"/>
        <v>0</v>
      </c>
      <c r="DZ182" s="3416">
        <f t="shared" si="243"/>
        <v>0</v>
      </c>
    </row>
    <row r="183" spans="1:130">
      <c r="A183" s="6740" t="s">
        <v>1998</v>
      </c>
      <c r="B183" s="6741"/>
      <c r="C183" s="1773">
        <f t="shared" si="255"/>
        <v>0</v>
      </c>
      <c r="D183" s="2296">
        <f t="shared" si="255"/>
        <v>0</v>
      </c>
      <c r="E183" s="432"/>
      <c r="F183" s="3384"/>
      <c r="G183" s="432"/>
      <c r="H183" s="3384"/>
      <c r="I183" s="432"/>
      <c r="J183" s="3384"/>
      <c r="K183" s="432"/>
      <c r="L183" s="3384"/>
      <c r="M183" s="432"/>
      <c r="N183" s="433"/>
      <c r="O183" s="432"/>
      <c r="P183" s="3384"/>
      <c r="Q183" s="432"/>
      <c r="R183" s="3384"/>
      <c r="S183" s="432"/>
      <c r="T183" s="3384"/>
      <c r="U183" s="432"/>
      <c r="V183" s="3384"/>
      <c r="W183" s="432"/>
      <c r="X183" s="3384"/>
      <c r="Y183" s="432"/>
      <c r="Z183" s="3384"/>
      <c r="AA183" s="432"/>
      <c r="AB183" s="3384"/>
      <c r="AC183" s="432"/>
      <c r="AD183" s="3443"/>
      <c r="AE183" s="432"/>
      <c r="AF183" s="3443"/>
      <c r="AG183" s="432"/>
      <c r="AH183" s="433"/>
      <c r="AI183" s="432"/>
      <c r="AJ183" s="3384"/>
      <c r="AK183" s="3386"/>
      <c r="AL183" s="2235"/>
      <c r="AM183" s="432"/>
      <c r="AN183" s="3425"/>
      <c r="AO183" s="3386"/>
      <c r="AP183" s="2235"/>
      <c r="AQ183" s="3385"/>
      <c r="AR183" s="3425"/>
      <c r="AS183" s="3386"/>
      <c r="AT183" s="3425"/>
      <c r="AU183" s="3386"/>
      <c r="AV183" s="2235"/>
      <c r="AW183" s="3386"/>
      <c r="AX183" s="2235"/>
      <c r="AY183" s="3373" t="str">
        <f t="shared" si="244"/>
        <v/>
      </c>
      <c r="CA183" s="3413" t="str">
        <f t="shared" si="220"/>
        <v/>
      </c>
      <c r="CB183" s="418" t="str">
        <f t="shared" si="245"/>
        <v/>
      </c>
      <c r="CC183" s="418" t="str">
        <f t="shared" si="221"/>
        <v/>
      </c>
      <c r="CD183" s="417"/>
      <c r="CE183" s="417"/>
      <c r="CF183" s="417"/>
      <c r="CG183" s="417"/>
      <c r="CH183" s="417"/>
      <c r="CI183" s="418" t="str">
        <f t="shared" si="222"/>
        <v/>
      </c>
      <c r="CJ183" s="3366"/>
      <c r="CK183" s="418" t="str">
        <f t="shared" si="223"/>
        <v/>
      </c>
      <c r="CL183" s="418" t="str">
        <f t="shared" si="224"/>
        <v/>
      </c>
      <c r="CM183" s="418" t="str">
        <f t="shared" si="225"/>
        <v/>
      </c>
      <c r="CN183" s="418" t="str">
        <f t="shared" si="226"/>
        <v/>
      </c>
      <c r="CO183" s="418" t="str">
        <f t="shared" si="227"/>
        <v/>
      </c>
      <c r="CP183" s="418" t="str">
        <f t="shared" si="228"/>
        <v/>
      </c>
      <c r="CQ183" s="418" t="str">
        <f t="shared" si="229"/>
        <v/>
      </c>
      <c r="CR183" s="417"/>
      <c r="CS183" s="417"/>
      <c r="CT183" s="1708" t="str">
        <f t="shared" si="230"/>
        <v/>
      </c>
      <c r="CU183" s="1708" t="str">
        <f t="shared" si="231"/>
        <v/>
      </c>
      <c r="DF183" s="3415">
        <f t="shared" si="232"/>
        <v>0</v>
      </c>
      <c r="DG183" s="3389">
        <f t="shared" si="246"/>
        <v>0</v>
      </c>
      <c r="DH183" s="3389">
        <f t="shared" si="233"/>
        <v>0</v>
      </c>
      <c r="DI183" s="417"/>
      <c r="DJ183" s="417"/>
      <c r="DK183" s="417"/>
      <c r="DL183" s="417"/>
      <c r="DM183" s="417"/>
      <c r="DN183" s="3389">
        <f t="shared" si="234"/>
        <v>0</v>
      </c>
      <c r="DO183" s="3366"/>
      <c r="DP183" s="3389">
        <f t="shared" si="235"/>
        <v>0</v>
      </c>
      <c r="DQ183" s="3389">
        <f t="shared" si="236"/>
        <v>0</v>
      </c>
      <c r="DR183" s="3389">
        <f t="shared" si="237"/>
        <v>0</v>
      </c>
      <c r="DS183" s="3389">
        <f t="shared" si="238"/>
        <v>0</v>
      </c>
      <c r="DT183" s="3389">
        <f t="shared" si="239"/>
        <v>0</v>
      </c>
      <c r="DU183" s="3389">
        <f t="shared" si="240"/>
        <v>0</v>
      </c>
      <c r="DV183" s="3389">
        <f t="shared" si="241"/>
        <v>0</v>
      </c>
      <c r="DW183" s="417"/>
      <c r="DX183" s="417"/>
      <c r="DY183" s="3416">
        <f t="shared" si="242"/>
        <v>0</v>
      </c>
      <c r="DZ183" s="3416">
        <f t="shared" si="243"/>
        <v>0</v>
      </c>
    </row>
    <row r="184" spans="1:130" ht="18" customHeight="1">
      <c r="A184" s="6753" t="s">
        <v>1999</v>
      </c>
      <c r="B184" s="6753"/>
      <c r="C184" s="6753"/>
      <c r="D184" s="6753"/>
      <c r="E184" s="6753"/>
      <c r="F184" s="6753"/>
      <c r="G184" s="6753"/>
      <c r="H184" s="6753"/>
      <c r="I184" s="3444"/>
      <c r="J184" s="3444"/>
      <c r="K184" s="3444"/>
      <c r="L184" s="3444"/>
      <c r="M184" s="3444"/>
      <c r="N184" s="3444"/>
      <c r="O184" s="3444"/>
      <c r="P184" s="3444"/>
      <c r="Q184" s="3444"/>
      <c r="R184" s="3444"/>
      <c r="S184" s="3444"/>
      <c r="T184" s="3444"/>
      <c r="U184" s="3444"/>
      <c r="V184" s="3444"/>
      <c r="W184" s="3444"/>
      <c r="X184" s="3444"/>
      <c r="Y184" s="3444"/>
      <c r="Z184" s="3444"/>
      <c r="AA184" s="3444"/>
      <c r="AB184" s="3444"/>
      <c r="AC184" s="3444"/>
      <c r="AD184" s="3444"/>
      <c r="AE184" s="3444"/>
      <c r="AF184" s="3444"/>
      <c r="AG184" s="3444"/>
      <c r="AH184" s="3444"/>
      <c r="AI184" s="3444"/>
      <c r="AJ184" s="3444"/>
      <c r="AK184" s="3445"/>
      <c r="AL184" s="3445"/>
      <c r="AM184" s="3445"/>
      <c r="AN184" s="3445"/>
      <c r="AO184" s="3445"/>
      <c r="AP184" s="3445"/>
      <c r="AQ184" s="3445"/>
      <c r="AR184" s="3445"/>
      <c r="AS184" s="3445"/>
      <c r="AT184" s="3445"/>
      <c r="AU184" s="3445"/>
      <c r="AV184" s="3445"/>
      <c r="AW184" s="3445"/>
      <c r="AX184" s="3445"/>
    </row>
    <row r="185" spans="1:130">
      <c r="A185" s="6140" t="s">
        <v>1965</v>
      </c>
      <c r="B185" s="6119"/>
      <c r="C185" s="6153" t="s">
        <v>91</v>
      </c>
      <c r="D185" s="6154"/>
      <c r="E185" s="5707" t="s">
        <v>43</v>
      </c>
      <c r="F185" s="5708"/>
      <c r="G185" s="5708"/>
      <c r="H185" s="5708"/>
      <c r="I185" s="5708"/>
      <c r="J185" s="5708"/>
      <c r="K185" s="5708"/>
      <c r="L185" s="5708"/>
      <c r="M185" s="5708"/>
      <c r="N185" s="5708"/>
      <c r="O185" s="5708"/>
      <c r="P185" s="5708"/>
      <c r="Q185" s="5708"/>
      <c r="R185" s="5708"/>
      <c r="S185" s="5708"/>
      <c r="T185" s="5708"/>
      <c r="U185" s="5708"/>
      <c r="V185" s="5708"/>
      <c r="W185" s="5708"/>
      <c r="X185" s="5708"/>
      <c r="Y185" s="5708"/>
      <c r="Z185" s="5708"/>
      <c r="AA185" s="5708"/>
      <c r="AB185" s="5708"/>
      <c r="AC185" s="5708"/>
      <c r="AD185" s="5708"/>
      <c r="AE185" s="5708"/>
      <c r="AF185" s="5708"/>
      <c r="AG185" s="5708"/>
      <c r="AH185" s="5708"/>
      <c r="AI185" s="5708"/>
      <c r="AJ185" s="6147"/>
      <c r="AK185" s="6053" t="s">
        <v>1979</v>
      </c>
      <c r="AL185" s="6053"/>
      <c r="AM185" s="6053"/>
      <c r="AN185" s="6606"/>
      <c r="AO185" s="6734" t="s">
        <v>478</v>
      </c>
      <c r="AP185" s="6053"/>
      <c r="AQ185" s="6053"/>
      <c r="AR185" s="6606"/>
      <c r="AS185" s="6749" t="s">
        <v>343</v>
      </c>
      <c r="AT185" s="6750"/>
      <c r="AU185" s="6749" t="s">
        <v>51</v>
      </c>
      <c r="AV185" s="6750"/>
      <c r="AW185" s="6139" t="s">
        <v>1980</v>
      </c>
      <c r="AX185" s="6119"/>
    </row>
    <row r="186" spans="1:130">
      <c r="A186" s="6141"/>
      <c r="B186" s="6120"/>
      <c r="C186" s="6156"/>
      <c r="D186" s="6157"/>
      <c r="E186" s="5710" t="s">
        <v>1981</v>
      </c>
      <c r="F186" s="6106"/>
      <c r="G186" s="5710" t="s">
        <v>1936</v>
      </c>
      <c r="H186" s="6106"/>
      <c r="I186" s="5710" t="s">
        <v>965</v>
      </c>
      <c r="J186" s="6106"/>
      <c r="K186" s="5707" t="s">
        <v>347</v>
      </c>
      <c r="L186" s="5709"/>
      <c r="M186" s="5707" t="s">
        <v>108</v>
      </c>
      <c r="N186" s="5709"/>
      <c r="O186" s="5707" t="s">
        <v>58</v>
      </c>
      <c r="P186" s="5709"/>
      <c r="Q186" s="5707" t="s">
        <v>59</v>
      </c>
      <c r="R186" s="5709"/>
      <c r="S186" s="5707" t="s">
        <v>60</v>
      </c>
      <c r="T186" s="5709"/>
      <c r="U186" s="5707" t="s">
        <v>61</v>
      </c>
      <c r="V186" s="5709"/>
      <c r="W186" s="5707" t="s">
        <v>62</v>
      </c>
      <c r="X186" s="5709"/>
      <c r="Y186" s="5707" t="s">
        <v>63</v>
      </c>
      <c r="Z186" s="5709"/>
      <c r="AA186" s="5707" t="s">
        <v>64</v>
      </c>
      <c r="AB186" s="5709"/>
      <c r="AC186" s="5707" t="s">
        <v>65</v>
      </c>
      <c r="AD186" s="5709"/>
      <c r="AE186" s="5707" t="s">
        <v>66</v>
      </c>
      <c r="AF186" s="5709"/>
      <c r="AG186" s="5707" t="s">
        <v>67</v>
      </c>
      <c r="AH186" s="5709"/>
      <c r="AI186" s="5707" t="s">
        <v>1982</v>
      </c>
      <c r="AJ186" s="6147"/>
      <c r="AK186" s="6729" t="s">
        <v>72</v>
      </c>
      <c r="AL186" s="6059"/>
      <c r="AM186" s="6049" t="s">
        <v>73</v>
      </c>
      <c r="AN186" s="6726"/>
      <c r="AO186" s="6729" t="s">
        <v>484</v>
      </c>
      <c r="AP186" s="6059"/>
      <c r="AQ186" s="6060" t="s">
        <v>483</v>
      </c>
      <c r="AR186" s="6726"/>
      <c r="AS186" s="6751"/>
      <c r="AT186" s="6752"/>
      <c r="AU186" s="6751"/>
      <c r="AV186" s="6752"/>
      <c r="AW186" s="6115"/>
      <c r="AX186" s="6116"/>
    </row>
    <row r="187" spans="1:130" ht="31.5">
      <c r="A187" s="6114"/>
      <c r="B187" s="6116"/>
      <c r="C187" s="1395" t="s">
        <v>1937</v>
      </c>
      <c r="D187" s="1646" t="s">
        <v>1983</v>
      </c>
      <c r="E187" s="1395" t="s">
        <v>1937</v>
      </c>
      <c r="F187" s="1646" t="s">
        <v>1983</v>
      </c>
      <c r="G187" s="1395" t="s">
        <v>1937</v>
      </c>
      <c r="H187" s="1646" t="s">
        <v>1983</v>
      </c>
      <c r="I187" s="1395" t="s">
        <v>1937</v>
      </c>
      <c r="J187" s="1646" t="s">
        <v>1983</v>
      </c>
      <c r="K187" s="1395" t="s">
        <v>1937</v>
      </c>
      <c r="L187" s="1646" t="s">
        <v>1983</v>
      </c>
      <c r="M187" s="1395" t="s">
        <v>1937</v>
      </c>
      <c r="N187" s="1646" t="s">
        <v>1983</v>
      </c>
      <c r="O187" s="1395" t="s">
        <v>1937</v>
      </c>
      <c r="P187" s="1646" t="s">
        <v>1983</v>
      </c>
      <c r="Q187" s="1395" t="s">
        <v>1937</v>
      </c>
      <c r="R187" s="1646" t="s">
        <v>1983</v>
      </c>
      <c r="S187" s="1395" t="s">
        <v>1937</v>
      </c>
      <c r="T187" s="1646" t="s">
        <v>1983</v>
      </c>
      <c r="U187" s="1395" t="s">
        <v>1937</v>
      </c>
      <c r="V187" s="1646" t="s">
        <v>1983</v>
      </c>
      <c r="W187" s="1395" t="s">
        <v>1937</v>
      </c>
      <c r="X187" s="1646" t="s">
        <v>1983</v>
      </c>
      <c r="Y187" s="1395" t="s">
        <v>1937</v>
      </c>
      <c r="Z187" s="1646" t="s">
        <v>1983</v>
      </c>
      <c r="AA187" s="1395" t="s">
        <v>1937</v>
      </c>
      <c r="AB187" s="1646" t="s">
        <v>1983</v>
      </c>
      <c r="AC187" s="1395" t="s">
        <v>1937</v>
      </c>
      <c r="AD187" s="1646" t="s">
        <v>1983</v>
      </c>
      <c r="AE187" s="1395" t="s">
        <v>1937</v>
      </c>
      <c r="AF187" s="1646" t="s">
        <v>1983</v>
      </c>
      <c r="AG187" s="1395" t="s">
        <v>1937</v>
      </c>
      <c r="AH187" s="1646" t="s">
        <v>1983</v>
      </c>
      <c r="AI187" s="1395" t="s">
        <v>1937</v>
      </c>
      <c r="AJ187" s="1398" t="s">
        <v>1983</v>
      </c>
      <c r="AK187" s="1396" t="s">
        <v>1937</v>
      </c>
      <c r="AL187" s="1646" t="s">
        <v>1983</v>
      </c>
      <c r="AM187" s="1395" t="s">
        <v>1937</v>
      </c>
      <c r="AN187" s="1646" t="s">
        <v>1983</v>
      </c>
      <c r="AO187" s="1733" t="s">
        <v>1937</v>
      </c>
      <c r="AP187" s="1646" t="s">
        <v>1983</v>
      </c>
      <c r="AQ187" s="1395" t="s">
        <v>1937</v>
      </c>
      <c r="AR187" s="1646" t="s">
        <v>1983</v>
      </c>
      <c r="AS187" s="1733" t="s">
        <v>1937</v>
      </c>
      <c r="AT187" s="1646" t="s">
        <v>1983</v>
      </c>
      <c r="AU187" s="1733" t="s">
        <v>1937</v>
      </c>
      <c r="AV187" s="1584" t="s">
        <v>1983</v>
      </c>
      <c r="AW187" s="1733" t="s">
        <v>1937</v>
      </c>
      <c r="AX187" s="1584" t="s">
        <v>1983</v>
      </c>
    </row>
    <row r="188" spans="1:130">
      <c r="A188" s="6747" t="s">
        <v>1984</v>
      </c>
      <c r="B188" s="6748"/>
      <c r="C188" s="2393">
        <f t="shared" ref="C188:D190" si="256">+M188+O188+Q188+S188+U188+W188+Y188+AA188+AC188+AE188</f>
        <v>0</v>
      </c>
      <c r="D188" s="2294">
        <f t="shared" si="256"/>
        <v>0</v>
      </c>
      <c r="E188" s="2375"/>
      <c r="F188" s="2374"/>
      <c r="G188" s="2375"/>
      <c r="H188" s="2374"/>
      <c r="I188" s="2375"/>
      <c r="J188" s="2374"/>
      <c r="K188" s="2375"/>
      <c r="L188" s="2374"/>
      <c r="M188" s="448"/>
      <c r="N188" s="3398"/>
      <c r="O188" s="448"/>
      <c r="P188" s="3398"/>
      <c r="Q188" s="448"/>
      <c r="R188" s="3398"/>
      <c r="S188" s="448"/>
      <c r="T188" s="3398"/>
      <c r="U188" s="448"/>
      <c r="V188" s="3398"/>
      <c r="W188" s="448"/>
      <c r="X188" s="3398"/>
      <c r="Y188" s="448"/>
      <c r="Z188" s="3398"/>
      <c r="AA188" s="448"/>
      <c r="AB188" s="3398"/>
      <c r="AC188" s="448"/>
      <c r="AD188" s="3398"/>
      <c r="AE188" s="448"/>
      <c r="AF188" s="3398"/>
      <c r="AG188" s="2375"/>
      <c r="AH188" s="2376"/>
      <c r="AI188" s="2375"/>
      <c r="AJ188" s="3408"/>
      <c r="AK188" s="3409"/>
      <c r="AL188" s="3410"/>
      <c r="AM188" s="413"/>
      <c r="AN188" s="3411"/>
      <c r="AO188" s="3372"/>
      <c r="AP188" s="2231"/>
      <c r="AQ188" s="423"/>
      <c r="AR188" s="3412"/>
      <c r="AS188" s="3372"/>
      <c r="AT188" s="3412"/>
      <c r="AU188" s="3372"/>
      <c r="AV188" s="2231"/>
      <c r="AW188" s="3372"/>
      <c r="AX188" s="2231"/>
      <c r="AY188" s="3373" t="str">
        <f>$CA188&amp;$CC188&amp;CD188&amp;CE188&amp;CF188&amp;CG188&amp;CH188&amp;CI188&amp;CJ188&amp;CK188&amp;CL188&amp;CM188&amp;CN188&amp;CO188&amp;CP188&amp;CQ188&amp;CR188&amp;CS188&amp;CT188&amp;CU188</f>
        <v/>
      </c>
      <c r="CA188" s="3413" t="str">
        <f t="shared" ref="CA188:CA210" si="257">IF(D188&gt;C188," * El Total de Exámenes Confirmados Positivos por ISP NO DEBE SUPERAR los Exámenes Procesados. ","")</f>
        <v/>
      </c>
      <c r="CB188" s="3414"/>
      <c r="CC188" s="418" t="str">
        <f t="shared" si="221"/>
        <v/>
      </c>
      <c r="CD188" s="417"/>
      <c r="CE188" s="417"/>
      <c r="CF188" s="417"/>
      <c r="CG188" s="417"/>
      <c r="CH188" s="417"/>
      <c r="CI188" s="418" t="str">
        <f t="shared" ref="CI188:CI251" si="258">IF(AND(C188&gt;0,AND(AO188="",AQ188=""))," * No olvide digitar los exámenes procesados Trans (Masculino y femenino) Digite Cero si no tiene.",IF((AO188+AQ188)&gt;C188," * Los exámenes procesados en Trans (Masculino y femenino) no pueden ser mayor que el Total de exámenes procesados.",""))</f>
        <v/>
      </c>
      <c r="CJ188" s="3366"/>
      <c r="CK188" s="418" t="str">
        <f t="shared" si="223"/>
        <v/>
      </c>
      <c r="CL188" s="418" t="str">
        <f t="shared" si="224"/>
        <v/>
      </c>
      <c r="CM188" s="418" t="str">
        <f t="shared" si="225"/>
        <v/>
      </c>
      <c r="CN188" s="418" t="str">
        <f t="shared" si="226"/>
        <v/>
      </c>
      <c r="CO188" s="418" t="str">
        <f t="shared" si="227"/>
        <v/>
      </c>
      <c r="CP188" s="418" t="str">
        <f t="shared" si="228"/>
        <v/>
      </c>
      <c r="CQ188" s="418" t="str">
        <f t="shared" si="229"/>
        <v/>
      </c>
      <c r="CR188" s="417"/>
      <c r="CS188" s="417"/>
      <c r="CT188" s="1708" t="str">
        <f t="shared" si="230"/>
        <v/>
      </c>
      <c r="CU188" s="1708" t="str">
        <f t="shared" si="231"/>
        <v/>
      </c>
      <c r="DF188" s="3415">
        <f t="shared" si="232"/>
        <v>0</v>
      </c>
      <c r="DG188" s="3414"/>
      <c r="DH188" s="3389">
        <f t="shared" si="233"/>
        <v>0</v>
      </c>
      <c r="DI188" s="417"/>
      <c r="DJ188" s="417"/>
      <c r="DK188" s="417"/>
      <c r="DL188" s="417"/>
      <c r="DM188" s="417"/>
      <c r="DN188" s="3389">
        <f t="shared" si="234"/>
        <v>0</v>
      </c>
      <c r="DO188" s="3366"/>
      <c r="DP188" s="3389">
        <f t="shared" si="235"/>
        <v>0</v>
      </c>
      <c r="DQ188" s="3389">
        <f t="shared" si="236"/>
        <v>0</v>
      </c>
      <c r="DR188" s="3389">
        <f t="shared" si="237"/>
        <v>0</v>
      </c>
      <c r="DS188" s="3389">
        <f t="shared" si="238"/>
        <v>0</v>
      </c>
      <c r="DT188" s="3389">
        <f t="shared" ref="DT188:DT251" si="259">IF(AND(D188&gt;0,OR(AP188="",AR188="")),1,IF((AP188+AR188)&gt;D188,1,0))</f>
        <v>0</v>
      </c>
      <c r="DU188" s="3389">
        <f t="shared" si="240"/>
        <v>0</v>
      </c>
      <c r="DV188" s="3389">
        <f t="shared" si="241"/>
        <v>0</v>
      </c>
      <c r="DW188" s="417"/>
      <c r="DX188" s="417"/>
      <c r="DY188" s="3389">
        <f t="shared" si="242"/>
        <v>0</v>
      </c>
      <c r="DZ188" s="3389">
        <f t="shared" si="243"/>
        <v>0</v>
      </c>
    </row>
    <row r="189" spans="1:130">
      <c r="A189" s="6738" t="s">
        <v>1985</v>
      </c>
      <c r="B189" s="6739"/>
      <c r="C189" s="1737">
        <f t="shared" si="256"/>
        <v>0</v>
      </c>
      <c r="D189" s="2300">
        <f t="shared" si="256"/>
        <v>0</v>
      </c>
      <c r="E189" s="2381"/>
      <c r="F189" s="2885"/>
      <c r="G189" s="2381"/>
      <c r="H189" s="2885"/>
      <c r="I189" s="2381"/>
      <c r="J189" s="2885"/>
      <c r="K189" s="2381"/>
      <c r="L189" s="2885"/>
      <c r="M189" s="413"/>
      <c r="N189" s="3370"/>
      <c r="O189" s="413"/>
      <c r="P189" s="3370"/>
      <c r="Q189" s="413"/>
      <c r="R189" s="3370"/>
      <c r="S189" s="413"/>
      <c r="T189" s="3370"/>
      <c r="U189" s="413"/>
      <c r="V189" s="3370"/>
      <c r="W189" s="413"/>
      <c r="X189" s="3370"/>
      <c r="Y189" s="413"/>
      <c r="Z189" s="3370"/>
      <c r="AA189" s="413"/>
      <c r="AB189" s="3370"/>
      <c r="AC189" s="413"/>
      <c r="AD189" s="3370"/>
      <c r="AE189" s="413"/>
      <c r="AF189" s="3370"/>
      <c r="AG189" s="2381"/>
      <c r="AH189" s="2382"/>
      <c r="AI189" s="2381"/>
      <c r="AJ189" s="2882"/>
      <c r="AK189" s="3371"/>
      <c r="AL189" s="3103"/>
      <c r="AM189" s="425"/>
      <c r="AN189" s="3412"/>
      <c r="AO189" s="3372"/>
      <c r="AP189" s="2231"/>
      <c r="AQ189" s="423"/>
      <c r="AR189" s="3412"/>
      <c r="AS189" s="3372"/>
      <c r="AT189" s="3412"/>
      <c r="AU189" s="3372"/>
      <c r="AV189" s="2231"/>
      <c r="AW189" s="3372"/>
      <c r="AX189" s="2231"/>
      <c r="AY189" s="3373" t="str">
        <f t="shared" ref="AY189:AY190" si="260">$CA189&amp;$CC189&amp;CD189&amp;CE189&amp;CF189&amp;CG189&amp;CH189&amp;CI189&amp;CJ189&amp;CK189&amp;CL189&amp;CM189&amp;CN189&amp;CO189&amp;CP189&amp;CQ189&amp;CR189&amp;CS189&amp;CT189</f>
        <v/>
      </c>
      <c r="CA189" s="3413" t="str">
        <f t="shared" si="257"/>
        <v/>
      </c>
      <c r="CB189" s="3414"/>
      <c r="CC189" s="418" t="str">
        <f t="shared" si="221"/>
        <v/>
      </c>
      <c r="CD189" s="417"/>
      <c r="CE189" s="417"/>
      <c r="CF189" s="417"/>
      <c r="CG189" s="417"/>
      <c r="CH189" s="417"/>
      <c r="CI189" s="418" t="str">
        <f t="shared" si="258"/>
        <v/>
      </c>
      <c r="CJ189" s="3366"/>
      <c r="CK189" s="418" t="str">
        <f t="shared" si="223"/>
        <v/>
      </c>
      <c r="CL189" s="418" t="str">
        <f t="shared" si="224"/>
        <v/>
      </c>
      <c r="CM189" s="418" t="str">
        <f t="shared" si="225"/>
        <v/>
      </c>
      <c r="CN189" s="418" t="str">
        <f t="shared" si="226"/>
        <v/>
      </c>
      <c r="CO189" s="418" t="str">
        <f t="shared" si="227"/>
        <v/>
      </c>
      <c r="CP189" s="418" t="str">
        <f t="shared" si="228"/>
        <v/>
      </c>
      <c r="CQ189" s="418" t="str">
        <f t="shared" si="229"/>
        <v/>
      </c>
      <c r="CR189" s="417"/>
      <c r="CS189" s="417"/>
      <c r="CT189" s="1708" t="str">
        <f t="shared" si="230"/>
        <v/>
      </c>
      <c r="CU189" s="1708" t="str">
        <f t="shared" si="231"/>
        <v/>
      </c>
      <c r="DF189" s="3415">
        <f t="shared" si="232"/>
        <v>0</v>
      </c>
      <c r="DG189" s="3414"/>
      <c r="DH189" s="3389">
        <f t="shared" si="233"/>
        <v>0</v>
      </c>
      <c r="DI189" s="417"/>
      <c r="DJ189" s="417"/>
      <c r="DK189" s="417"/>
      <c r="DL189" s="417"/>
      <c r="DM189" s="417"/>
      <c r="DN189" s="3389">
        <f t="shared" si="234"/>
        <v>0</v>
      </c>
      <c r="DO189" s="3366"/>
      <c r="DP189" s="3389">
        <f t="shared" si="235"/>
        <v>0</v>
      </c>
      <c r="DQ189" s="3389">
        <f t="shared" si="236"/>
        <v>0</v>
      </c>
      <c r="DR189" s="3389">
        <f t="shared" si="237"/>
        <v>0</v>
      </c>
      <c r="DS189" s="3389">
        <f t="shared" si="238"/>
        <v>0</v>
      </c>
      <c r="DT189" s="3389">
        <f t="shared" si="259"/>
        <v>0</v>
      </c>
      <c r="DU189" s="3389">
        <f t="shared" si="240"/>
        <v>0</v>
      </c>
      <c r="DV189" s="3389">
        <f t="shared" si="241"/>
        <v>0</v>
      </c>
      <c r="DW189" s="417"/>
      <c r="DX189" s="417"/>
      <c r="DY189" s="3389">
        <f t="shared" si="242"/>
        <v>0</v>
      </c>
      <c r="DZ189" s="3389">
        <f t="shared" si="243"/>
        <v>0</v>
      </c>
    </row>
    <row r="190" spans="1:130">
      <c r="A190" s="6738" t="s">
        <v>1986</v>
      </c>
      <c r="B190" s="6739"/>
      <c r="C190" s="1737">
        <f t="shared" si="256"/>
        <v>0</v>
      </c>
      <c r="D190" s="2300">
        <f t="shared" si="256"/>
        <v>0</v>
      </c>
      <c r="E190" s="2381"/>
      <c r="F190" s="2885"/>
      <c r="G190" s="2381"/>
      <c r="H190" s="2885"/>
      <c r="I190" s="2381"/>
      <c r="J190" s="2885"/>
      <c r="K190" s="2381"/>
      <c r="L190" s="2885"/>
      <c r="M190" s="425"/>
      <c r="N190" s="3376"/>
      <c r="O190" s="425"/>
      <c r="P190" s="3376"/>
      <c r="Q190" s="425"/>
      <c r="R190" s="3376"/>
      <c r="S190" s="425"/>
      <c r="T190" s="3376"/>
      <c r="U190" s="425"/>
      <c r="V190" s="3376"/>
      <c r="W190" s="425"/>
      <c r="X190" s="3376"/>
      <c r="Y190" s="425"/>
      <c r="Z190" s="3376"/>
      <c r="AA190" s="425"/>
      <c r="AB190" s="3376"/>
      <c r="AC190" s="425"/>
      <c r="AD190" s="3376"/>
      <c r="AE190" s="425"/>
      <c r="AF190" s="3376"/>
      <c r="AG190" s="2381"/>
      <c r="AH190" s="2382"/>
      <c r="AI190" s="2381"/>
      <c r="AJ190" s="2882"/>
      <c r="AK190" s="3371"/>
      <c r="AL190" s="3103"/>
      <c r="AM190" s="425"/>
      <c r="AN190" s="3412"/>
      <c r="AO190" s="3372"/>
      <c r="AP190" s="2231"/>
      <c r="AQ190" s="423"/>
      <c r="AR190" s="3412"/>
      <c r="AS190" s="3372"/>
      <c r="AT190" s="3412"/>
      <c r="AU190" s="3372"/>
      <c r="AV190" s="2231"/>
      <c r="AW190" s="3372"/>
      <c r="AX190" s="2231"/>
      <c r="AY190" s="3373" t="str">
        <f t="shared" si="260"/>
        <v/>
      </c>
      <c r="CA190" s="3413" t="str">
        <f t="shared" si="257"/>
        <v/>
      </c>
      <c r="CB190" s="3414"/>
      <c r="CC190" s="418" t="str">
        <f t="shared" si="221"/>
        <v/>
      </c>
      <c r="CD190" s="417"/>
      <c r="CE190" s="417"/>
      <c r="CF190" s="417"/>
      <c r="CG190" s="417"/>
      <c r="CH190" s="417"/>
      <c r="CI190" s="418" t="str">
        <f t="shared" si="258"/>
        <v/>
      </c>
      <c r="CJ190" s="3366"/>
      <c r="CK190" s="418" t="str">
        <f t="shared" si="223"/>
        <v/>
      </c>
      <c r="CL190" s="418" t="str">
        <f t="shared" si="224"/>
        <v/>
      </c>
      <c r="CM190" s="418" t="str">
        <f t="shared" si="225"/>
        <v/>
      </c>
      <c r="CN190" s="418" t="str">
        <f t="shared" si="226"/>
        <v/>
      </c>
      <c r="CO190" s="418" t="str">
        <f t="shared" si="227"/>
        <v/>
      </c>
      <c r="CP190" s="418" t="str">
        <f t="shared" si="228"/>
        <v/>
      </c>
      <c r="CQ190" s="418" t="str">
        <f t="shared" si="229"/>
        <v/>
      </c>
      <c r="CR190" s="417"/>
      <c r="CS190" s="417"/>
      <c r="CT190" s="1708" t="str">
        <f t="shared" si="230"/>
        <v/>
      </c>
      <c r="CU190" s="1708" t="str">
        <f t="shared" si="231"/>
        <v/>
      </c>
      <c r="DF190" s="3415">
        <f t="shared" si="232"/>
        <v>0</v>
      </c>
      <c r="DG190" s="3414"/>
      <c r="DH190" s="3389">
        <f t="shared" si="233"/>
        <v>0</v>
      </c>
      <c r="DI190" s="417"/>
      <c r="DJ190" s="417"/>
      <c r="DK190" s="417"/>
      <c r="DL190" s="417"/>
      <c r="DM190" s="417"/>
      <c r="DN190" s="3389">
        <f t="shared" si="234"/>
        <v>0</v>
      </c>
      <c r="DO190" s="3366"/>
      <c r="DP190" s="3389">
        <f t="shared" si="235"/>
        <v>0</v>
      </c>
      <c r="DQ190" s="3389">
        <f t="shared" si="236"/>
        <v>0</v>
      </c>
      <c r="DR190" s="3389">
        <f t="shared" si="237"/>
        <v>0</v>
      </c>
      <c r="DS190" s="3389">
        <f t="shared" si="238"/>
        <v>0</v>
      </c>
      <c r="DT190" s="3389">
        <f t="shared" si="259"/>
        <v>0</v>
      </c>
      <c r="DU190" s="3389">
        <f t="shared" si="240"/>
        <v>0</v>
      </c>
      <c r="DV190" s="3389">
        <f t="shared" si="241"/>
        <v>0</v>
      </c>
      <c r="DW190" s="417"/>
      <c r="DX190" s="417"/>
      <c r="DY190" s="3389">
        <f t="shared" si="242"/>
        <v>0</v>
      </c>
      <c r="DZ190" s="3389">
        <f t="shared" si="243"/>
        <v>0</v>
      </c>
    </row>
    <row r="191" spans="1:130">
      <c r="A191" s="6738" t="s">
        <v>1949</v>
      </c>
      <c r="B191" s="6739"/>
      <c r="C191" s="1737">
        <f>+O191+Q191+S191+U191+W191+Y191+AA191+AC191+AE191+AG191+AI191</f>
        <v>0</v>
      </c>
      <c r="D191" s="2295">
        <f>+P191+R191+T191+V191+X191+Z191+AB191+AD191+AF191+AH191+AJ191</f>
        <v>0</v>
      </c>
      <c r="E191" s="2381"/>
      <c r="F191" s="2885"/>
      <c r="G191" s="2381"/>
      <c r="H191" s="2885"/>
      <c r="I191" s="2381"/>
      <c r="J191" s="2885"/>
      <c r="K191" s="2381"/>
      <c r="L191" s="2885"/>
      <c r="M191" s="2381"/>
      <c r="N191" s="2885"/>
      <c r="O191" s="425"/>
      <c r="P191" s="3376"/>
      <c r="Q191" s="425"/>
      <c r="R191" s="3376"/>
      <c r="S191" s="425"/>
      <c r="T191" s="3376"/>
      <c r="U191" s="425"/>
      <c r="V191" s="3376"/>
      <c r="W191" s="425"/>
      <c r="X191" s="3376"/>
      <c r="Y191" s="425"/>
      <c r="Z191" s="3376"/>
      <c r="AA191" s="425"/>
      <c r="AB191" s="3376"/>
      <c r="AC191" s="425"/>
      <c r="AD191" s="3376"/>
      <c r="AE191" s="425"/>
      <c r="AF191" s="3376"/>
      <c r="AG191" s="425"/>
      <c r="AH191" s="3376"/>
      <c r="AI191" s="425"/>
      <c r="AJ191" s="3376"/>
      <c r="AK191" s="3372"/>
      <c r="AL191" s="2231"/>
      <c r="AM191" s="425"/>
      <c r="AN191" s="3412"/>
      <c r="AO191" s="3372"/>
      <c r="AP191" s="2231"/>
      <c r="AQ191" s="423"/>
      <c r="AR191" s="3412"/>
      <c r="AS191" s="3372"/>
      <c r="AT191" s="3412"/>
      <c r="AU191" s="3372"/>
      <c r="AV191" s="2231"/>
      <c r="AW191" s="3372"/>
      <c r="AX191" s="2231"/>
      <c r="AY191" s="3373" t="str">
        <f t="shared" ref="AY191:AY210" si="261">$CA191&amp;CB191&amp;$CC191&amp;CD191&amp;CE191&amp;CF191&amp;CG191&amp;CH191&amp;CI191&amp;CJ191&amp;CK191&amp;CL191&amp;CM191&amp;CN191&amp;CO191&amp;CP191&amp;CQ191&amp;CR191&amp;CS191&amp;CT191&amp;CU191</f>
        <v/>
      </c>
      <c r="CA191" s="3413" t="str">
        <f t="shared" si="257"/>
        <v/>
      </c>
      <c r="CB191" s="418" t="str">
        <f t="shared" si="245"/>
        <v/>
      </c>
      <c r="CC191" s="418" t="str">
        <f t="shared" si="221"/>
        <v/>
      </c>
      <c r="CD191" s="417"/>
      <c r="CE191" s="417"/>
      <c r="CF191" s="417"/>
      <c r="CG191" s="417"/>
      <c r="CH191" s="417"/>
      <c r="CI191" s="418" t="str">
        <f t="shared" si="258"/>
        <v/>
      </c>
      <c r="CJ191" s="3366"/>
      <c r="CK191" s="418" t="str">
        <f t="shared" si="223"/>
        <v/>
      </c>
      <c r="CL191" s="418" t="str">
        <f t="shared" si="224"/>
        <v/>
      </c>
      <c r="CM191" s="418" t="str">
        <f t="shared" si="225"/>
        <v/>
      </c>
      <c r="CN191" s="418" t="str">
        <f t="shared" si="226"/>
        <v/>
      </c>
      <c r="CO191" s="418" t="str">
        <f t="shared" si="227"/>
        <v/>
      </c>
      <c r="CP191" s="418" t="str">
        <f t="shared" si="228"/>
        <v/>
      </c>
      <c r="CQ191" s="418" t="str">
        <f t="shared" si="229"/>
        <v/>
      </c>
      <c r="CR191" s="417"/>
      <c r="CS191" s="417"/>
      <c r="CT191" s="1708" t="str">
        <f t="shared" si="230"/>
        <v/>
      </c>
      <c r="CU191" s="1708" t="str">
        <f t="shared" si="231"/>
        <v/>
      </c>
      <c r="DF191" s="3415">
        <f t="shared" si="232"/>
        <v>0</v>
      </c>
      <c r="DG191" s="3389">
        <f t="shared" si="246"/>
        <v>0</v>
      </c>
      <c r="DH191" s="3389">
        <f t="shared" si="233"/>
        <v>0</v>
      </c>
      <c r="DI191" s="417"/>
      <c r="DJ191" s="417"/>
      <c r="DK191" s="417"/>
      <c r="DL191" s="417"/>
      <c r="DM191" s="417"/>
      <c r="DN191" s="3389">
        <f t="shared" si="234"/>
        <v>0</v>
      </c>
      <c r="DO191" s="3366"/>
      <c r="DP191" s="3389">
        <f t="shared" si="235"/>
        <v>0</v>
      </c>
      <c r="DQ191" s="3389">
        <f t="shared" si="236"/>
        <v>0</v>
      </c>
      <c r="DR191" s="3389">
        <f t="shared" si="237"/>
        <v>0</v>
      </c>
      <c r="DS191" s="3389">
        <f t="shared" si="238"/>
        <v>0</v>
      </c>
      <c r="DT191" s="3389">
        <f t="shared" si="259"/>
        <v>0</v>
      </c>
      <c r="DU191" s="3389">
        <f t="shared" si="240"/>
        <v>0</v>
      </c>
      <c r="DV191" s="3389">
        <f t="shared" si="241"/>
        <v>0</v>
      </c>
      <c r="DW191" s="417"/>
      <c r="DX191" s="417"/>
      <c r="DY191" s="3389">
        <f t="shared" si="242"/>
        <v>0</v>
      </c>
      <c r="DZ191" s="3389">
        <f t="shared" si="243"/>
        <v>0</v>
      </c>
    </row>
    <row r="192" spans="1:130">
      <c r="A192" s="6738" t="s">
        <v>1955</v>
      </c>
      <c r="B192" s="6739"/>
      <c r="C192" s="1737">
        <f t="shared" ref="C192:C193" si="262">+E192+G192+I192+K192+M192+O192+Q192+S192+U192+W192+Y192+AA192+AC192+AE192+AG192+AI192</f>
        <v>0</v>
      </c>
      <c r="D192" s="2295">
        <f t="shared" ref="D192:D193" si="263">+F192+H192+J192+L192+N192+P192+R192+T192+V192+X192+Z192+AB192+AD192+AF192+AH192+AJ192</f>
        <v>0</v>
      </c>
      <c r="E192" s="425"/>
      <c r="F192" s="3376"/>
      <c r="G192" s="425"/>
      <c r="H192" s="3376"/>
      <c r="I192" s="425"/>
      <c r="J192" s="3376"/>
      <c r="K192" s="425"/>
      <c r="L192" s="3376"/>
      <c r="M192" s="425"/>
      <c r="N192" s="3376"/>
      <c r="O192" s="425"/>
      <c r="P192" s="3376"/>
      <c r="Q192" s="425"/>
      <c r="R192" s="3376"/>
      <c r="S192" s="425"/>
      <c r="T192" s="3376"/>
      <c r="U192" s="425"/>
      <c r="V192" s="3376"/>
      <c r="W192" s="425"/>
      <c r="X192" s="3376"/>
      <c r="Y192" s="425"/>
      <c r="Z192" s="3376"/>
      <c r="AA192" s="425"/>
      <c r="AB192" s="3376"/>
      <c r="AC192" s="425"/>
      <c r="AD192" s="3376"/>
      <c r="AE192" s="425"/>
      <c r="AF192" s="3376"/>
      <c r="AG192" s="425"/>
      <c r="AH192" s="3376"/>
      <c r="AI192" s="425"/>
      <c r="AJ192" s="3376"/>
      <c r="AK192" s="3417"/>
      <c r="AL192" s="2233"/>
      <c r="AM192" s="3041"/>
      <c r="AN192" s="3412"/>
      <c r="AO192" s="3372"/>
      <c r="AP192" s="2231"/>
      <c r="AQ192" s="423"/>
      <c r="AR192" s="3412"/>
      <c r="AS192" s="3372"/>
      <c r="AT192" s="3412"/>
      <c r="AU192" s="3372"/>
      <c r="AV192" s="2231"/>
      <c r="AW192" s="3372"/>
      <c r="AX192" s="2231"/>
      <c r="AY192" s="3373" t="str">
        <f t="shared" si="261"/>
        <v/>
      </c>
      <c r="CA192" s="3413" t="str">
        <f t="shared" si="257"/>
        <v/>
      </c>
      <c r="CB192" s="418" t="str">
        <f t="shared" si="245"/>
        <v/>
      </c>
      <c r="CC192" s="418" t="str">
        <f t="shared" si="221"/>
        <v/>
      </c>
      <c r="CD192" s="417"/>
      <c r="CE192" s="417"/>
      <c r="CF192" s="417"/>
      <c r="CG192" s="417"/>
      <c r="CH192" s="417"/>
      <c r="CI192" s="418" t="str">
        <f t="shared" si="258"/>
        <v/>
      </c>
      <c r="CJ192" s="3366"/>
      <c r="CK192" s="418" t="str">
        <f t="shared" si="223"/>
        <v/>
      </c>
      <c r="CL192" s="418" t="str">
        <f t="shared" si="224"/>
        <v/>
      </c>
      <c r="CM192" s="418" t="str">
        <f t="shared" si="225"/>
        <v/>
      </c>
      <c r="CN192" s="418" t="str">
        <f t="shared" si="226"/>
        <v/>
      </c>
      <c r="CO192" s="418" t="str">
        <f t="shared" si="227"/>
        <v/>
      </c>
      <c r="CP192" s="418" t="str">
        <f t="shared" si="228"/>
        <v/>
      </c>
      <c r="CQ192" s="418" t="str">
        <f t="shared" si="229"/>
        <v/>
      </c>
      <c r="CR192" s="417"/>
      <c r="CS192" s="417"/>
      <c r="CT192" s="1708" t="str">
        <f t="shared" si="230"/>
        <v/>
      </c>
      <c r="CU192" s="1708" t="str">
        <f t="shared" si="231"/>
        <v/>
      </c>
      <c r="DF192" s="3415">
        <f t="shared" si="232"/>
        <v>0</v>
      </c>
      <c r="DG192" s="3389">
        <f t="shared" si="246"/>
        <v>0</v>
      </c>
      <c r="DH192" s="3389">
        <f t="shared" si="233"/>
        <v>0</v>
      </c>
      <c r="DI192" s="417"/>
      <c r="DJ192" s="417"/>
      <c r="DK192" s="417"/>
      <c r="DL192" s="417"/>
      <c r="DM192" s="417"/>
      <c r="DN192" s="3389">
        <f t="shared" si="234"/>
        <v>0</v>
      </c>
      <c r="DO192" s="3366"/>
      <c r="DP192" s="3389">
        <f t="shared" si="235"/>
        <v>0</v>
      </c>
      <c r="DQ192" s="3389">
        <f t="shared" si="236"/>
        <v>0</v>
      </c>
      <c r="DR192" s="3389">
        <f t="shared" si="237"/>
        <v>0</v>
      </c>
      <c r="DS192" s="3389">
        <f t="shared" si="238"/>
        <v>0</v>
      </c>
      <c r="DT192" s="3389">
        <f t="shared" si="259"/>
        <v>0</v>
      </c>
      <c r="DU192" s="3389">
        <f t="shared" si="240"/>
        <v>0</v>
      </c>
      <c r="DV192" s="3389">
        <f t="shared" si="241"/>
        <v>0</v>
      </c>
      <c r="DW192" s="417"/>
      <c r="DX192" s="417"/>
      <c r="DY192" s="3389">
        <f t="shared" si="242"/>
        <v>0</v>
      </c>
      <c r="DZ192" s="3389">
        <f t="shared" si="243"/>
        <v>0</v>
      </c>
    </row>
    <row r="193" spans="1:130">
      <c r="A193" s="6738" t="s">
        <v>1987</v>
      </c>
      <c r="B193" s="6739"/>
      <c r="C193" s="1737">
        <f t="shared" si="262"/>
        <v>0</v>
      </c>
      <c r="D193" s="2300">
        <f t="shared" si="263"/>
        <v>0</v>
      </c>
      <c r="E193" s="425"/>
      <c r="F193" s="3376"/>
      <c r="G193" s="425"/>
      <c r="H193" s="3376"/>
      <c r="I193" s="425"/>
      <c r="J193" s="3376"/>
      <c r="K193" s="425"/>
      <c r="L193" s="3376"/>
      <c r="M193" s="425"/>
      <c r="N193" s="3376"/>
      <c r="O193" s="425"/>
      <c r="P193" s="3376"/>
      <c r="Q193" s="425"/>
      <c r="R193" s="3376"/>
      <c r="S193" s="425"/>
      <c r="T193" s="3376"/>
      <c r="U193" s="425"/>
      <c r="V193" s="3376"/>
      <c r="W193" s="425"/>
      <c r="X193" s="3376"/>
      <c r="Y193" s="425"/>
      <c r="Z193" s="3376"/>
      <c r="AA193" s="425"/>
      <c r="AB193" s="3376"/>
      <c r="AC193" s="425"/>
      <c r="AD193" s="3376"/>
      <c r="AE193" s="425"/>
      <c r="AF193" s="3376"/>
      <c r="AG193" s="425"/>
      <c r="AH193" s="3376"/>
      <c r="AI193" s="425"/>
      <c r="AJ193" s="3376"/>
      <c r="AK193" s="3372"/>
      <c r="AL193" s="2231"/>
      <c r="AM193" s="425"/>
      <c r="AN193" s="3412"/>
      <c r="AO193" s="3372"/>
      <c r="AP193" s="2231"/>
      <c r="AQ193" s="423"/>
      <c r="AR193" s="3412"/>
      <c r="AS193" s="3372"/>
      <c r="AT193" s="3412"/>
      <c r="AU193" s="3372"/>
      <c r="AV193" s="2231"/>
      <c r="AW193" s="3372"/>
      <c r="AX193" s="2231"/>
      <c r="AY193" s="3373" t="str">
        <f t="shared" si="261"/>
        <v/>
      </c>
      <c r="CA193" s="3413" t="str">
        <f t="shared" si="257"/>
        <v/>
      </c>
      <c r="CB193" s="418" t="str">
        <f t="shared" si="245"/>
        <v/>
      </c>
      <c r="CC193" s="418" t="str">
        <f t="shared" si="221"/>
        <v/>
      </c>
      <c r="CD193" s="417"/>
      <c r="CE193" s="417"/>
      <c r="CF193" s="417"/>
      <c r="CG193" s="417"/>
      <c r="CH193" s="417"/>
      <c r="CI193" s="418" t="str">
        <f t="shared" si="258"/>
        <v/>
      </c>
      <c r="CJ193" s="3366"/>
      <c r="CK193" s="418" t="str">
        <f t="shared" si="223"/>
        <v/>
      </c>
      <c r="CL193" s="418" t="str">
        <f t="shared" si="224"/>
        <v/>
      </c>
      <c r="CM193" s="418" t="str">
        <f t="shared" si="225"/>
        <v/>
      </c>
      <c r="CN193" s="418" t="str">
        <f t="shared" si="226"/>
        <v/>
      </c>
      <c r="CO193" s="418" t="str">
        <f t="shared" si="227"/>
        <v/>
      </c>
      <c r="CP193" s="418" t="str">
        <f t="shared" si="228"/>
        <v/>
      </c>
      <c r="CQ193" s="418" t="str">
        <f t="shared" si="229"/>
        <v/>
      </c>
      <c r="CR193" s="417"/>
      <c r="CS193" s="417"/>
      <c r="CT193" s="1708" t="str">
        <f t="shared" si="230"/>
        <v/>
      </c>
      <c r="CU193" s="1708" t="str">
        <f t="shared" si="231"/>
        <v/>
      </c>
      <c r="DF193" s="3415">
        <f t="shared" si="232"/>
        <v>0</v>
      </c>
      <c r="DG193" s="3389">
        <f t="shared" si="246"/>
        <v>0</v>
      </c>
      <c r="DH193" s="3389">
        <f t="shared" si="233"/>
        <v>0</v>
      </c>
      <c r="DI193" s="417"/>
      <c r="DJ193" s="417"/>
      <c r="DK193" s="417"/>
      <c r="DL193" s="417"/>
      <c r="DM193" s="417"/>
      <c r="DN193" s="3389">
        <f t="shared" si="234"/>
        <v>0</v>
      </c>
      <c r="DO193" s="3366"/>
      <c r="DP193" s="3389">
        <f t="shared" si="235"/>
        <v>0</v>
      </c>
      <c r="DQ193" s="3389">
        <f t="shared" si="236"/>
        <v>0</v>
      </c>
      <c r="DR193" s="3389">
        <f t="shared" si="237"/>
        <v>0</v>
      </c>
      <c r="DS193" s="3389">
        <f t="shared" si="238"/>
        <v>0</v>
      </c>
      <c r="DT193" s="3389">
        <f t="shared" si="259"/>
        <v>0</v>
      </c>
      <c r="DU193" s="3389">
        <f t="shared" si="240"/>
        <v>0</v>
      </c>
      <c r="DV193" s="3389">
        <f t="shared" si="241"/>
        <v>0</v>
      </c>
      <c r="DW193" s="417"/>
      <c r="DX193" s="417"/>
      <c r="DY193" s="3389">
        <f t="shared" si="242"/>
        <v>0</v>
      </c>
      <c r="DZ193" s="3389">
        <f t="shared" si="243"/>
        <v>0</v>
      </c>
    </row>
    <row r="194" spans="1:130">
      <c r="A194" s="6738" t="s">
        <v>1988</v>
      </c>
      <c r="B194" s="6739"/>
      <c r="C194" s="1737">
        <f t="shared" ref="C194:C195" si="264">+O194+Q194+S194+U194+W194+Y194+AA194+AC194+AE194+AG194+AI194</f>
        <v>0</v>
      </c>
      <c r="D194" s="2300">
        <f t="shared" ref="D194:D195" si="265">+P194+R194+T194+V194+X194+Z194+AB194+AD194+AF194+AH194+AJ194</f>
        <v>0</v>
      </c>
      <c r="E194" s="2381"/>
      <c r="F194" s="2885"/>
      <c r="G194" s="2381"/>
      <c r="H194" s="2885"/>
      <c r="I194" s="2381"/>
      <c r="J194" s="2885"/>
      <c r="K194" s="2381"/>
      <c r="L194" s="2885"/>
      <c r="M194" s="2381"/>
      <c r="N194" s="2885"/>
      <c r="O194" s="425"/>
      <c r="P194" s="3376"/>
      <c r="Q194" s="425"/>
      <c r="R194" s="3376"/>
      <c r="S194" s="425"/>
      <c r="T194" s="3376"/>
      <c r="U194" s="425"/>
      <c r="V194" s="3376"/>
      <c r="W194" s="425"/>
      <c r="X194" s="3376"/>
      <c r="Y194" s="425"/>
      <c r="Z194" s="3376"/>
      <c r="AA194" s="425"/>
      <c r="AB194" s="3376"/>
      <c r="AC194" s="425"/>
      <c r="AD194" s="3376"/>
      <c r="AE194" s="425"/>
      <c r="AF194" s="3376"/>
      <c r="AG194" s="425"/>
      <c r="AH194" s="3376"/>
      <c r="AI194" s="425"/>
      <c r="AJ194" s="3376"/>
      <c r="AK194" s="3372"/>
      <c r="AL194" s="2231"/>
      <c r="AM194" s="425"/>
      <c r="AN194" s="3412"/>
      <c r="AO194" s="3372"/>
      <c r="AP194" s="2231"/>
      <c r="AQ194" s="423"/>
      <c r="AR194" s="3412"/>
      <c r="AS194" s="3372"/>
      <c r="AT194" s="3412"/>
      <c r="AU194" s="3372"/>
      <c r="AV194" s="2231"/>
      <c r="AW194" s="3372"/>
      <c r="AX194" s="2231"/>
      <c r="AY194" s="3373" t="str">
        <f t="shared" si="261"/>
        <v/>
      </c>
      <c r="CA194" s="3413" t="str">
        <f t="shared" si="257"/>
        <v/>
      </c>
      <c r="CB194" s="418" t="str">
        <f t="shared" si="245"/>
        <v/>
      </c>
      <c r="CC194" s="418" t="str">
        <f t="shared" si="221"/>
        <v/>
      </c>
      <c r="CD194" s="417"/>
      <c r="CE194" s="417"/>
      <c r="CF194" s="417"/>
      <c r="CG194" s="417"/>
      <c r="CH194" s="417"/>
      <c r="CI194" s="418" t="str">
        <f t="shared" si="258"/>
        <v/>
      </c>
      <c r="CJ194" s="3366"/>
      <c r="CK194" s="418" t="str">
        <f t="shared" si="223"/>
        <v/>
      </c>
      <c r="CL194" s="418" t="str">
        <f t="shared" si="224"/>
        <v/>
      </c>
      <c r="CM194" s="418" t="str">
        <f t="shared" si="225"/>
        <v/>
      </c>
      <c r="CN194" s="418" t="str">
        <f t="shared" si="226"/>
        <v/>
      </c>
      <c r="CO194" s="418" t="str">
        <f t="shared" si="227"/>
        <v/>
      </c>
      <c r="CP194" s="418" t="str">
        <f t="shared" si="228"/>
        <v/>
      </c>
      <c r="CQ194" s="418" t="str">
        <f t="shared" si="229"/>
        <v/>
      </c>
      <c r="CR194" s="417"/>
      <c r="CS194" s="417"/>
      <c r="CT194" s="1708" t="str">
        <f t="shared" si="230"/>
        <v/>
      </c>
      <c r="CU194" s="1708" t="str">
        <f t="shared" si="231"/>
        <v/>
      </c>
      <c r="DF194" s="3415">
        <f t="shared" si="232"/>
        <v>0</v>
      </c>
      <c r="DG194" s="3389">
        <f t="shared" si="246"/>
        <v>0</v>
      </c>
      <c r="DH194" s="3389">
        <f t="shared" si="233"/>
        <v>0</v>
      </c>
      <c r="DI194" s="417"/>
      <c r="DJ194" s="417"/>
      <c r="DK194" s="417"/>
      <c r="DL194" s="417"/>
      <c r="DM194" s="417"/>
      <c r="DN194" s="3389">
        <f t="shared" si="234"/>
        <v>0</v>
      </c>
      <c r="DO194" s="3366"/>
      <c r="DP194" s="3389">
        <f t="shared" si="235"/>
        <v>0</v>
      </c>
      <c r="DQ194" s="3389">
        <f t="shared" si="236"/>
        <v>0</v>
      </c>
      <c r="DR194" s="3389">
        <f t="shared" si="237"/>
        <v>0</v>
      </c>
      <c r="DS194" s="3389">
        <f t="shared" si="238"/>
        <v>0</v>
      </c>
      <c r="DT194" s="3389">
        <f t="shared" si="259"/>
        <v>0</v>
      </c>
      <c r="DU194" s="3389">
        <f t="shared" si="240"/>
        <v>0</v>
      </c>
      <c r="DV194" s="3389">
        <f t="shared" si="241"/>
        <v>0</v>
      </c>
      <c r="DW194" s="417"/>
      <c r="DX194" s="417"/>
      <c r="DY194" s="3389">
        <f t="shared" si="242"/>
        <v>0</v>
      </c>
      <c r="DZ194" s="3389">
        <f t="shared" si="243"/>
        <v>0</v>
      </c>
    </row>
    <row r="195" spans="1:130">
      <c r="A195" s="6738" t="s">
        <v>1952</v>
      </c>
      <c r="B195" s="6739"/>
      <c r="C195" s="1737">
        <f t="shared" si="264"/>
        <v>0</v>
      </c>
      <c r="D195" s="2300">
        <f t="shared" si="265"/>
        <v>0</v>
      </c>
      <c r="E195" s="2381"/>
      <c r="F195" s="2885"/>
      <c r="G195" s="2381"/>
      <c r="H195" s="2885"/>
      <c r="I195" s="2381"/>
      <c r="J195" s="2885"/>
      <c r="K195" s="2381"/>
      <c r="L195" s="2885"/>
      <c r="M195" s="2381"/>
      <c r="N195" s="2885"/>
      <c r="O195" s="425"/>
      <c r="P195" s="3376"/>
      <c r="Q195" s="425"/>
      <c r="R195" s="3376"/>
      <c r="S195" s="425"/>
      <c r="T195" s="3376"/>
      <c r="U195" s="425"/>
      <c r="V195" s="3376"/>
      <c r="W195" s="425"/>
      <c r="X195" s="3376"/>
      <c r="Y195" s="425"/>
      <c r="Z195" s="3376"/>
      <c r="AA195" s="425"/>
      <c r="AB195" s="3376"/>
      <c r="AC195" s="425"/>
      <c r="AD195" s="3376"/>
      <c r="AE195" s="425"/>
      <c r="AF195" s="3376"/>
      <c r="AG195" s="425"/>
      <c r="AH195" s="3376"/>
      <c r="AI195" s="425"/>
      <c r="AJ195" s="3376"/>
      <c r="AK195" s="3372"/>
      <c r="AL195" s="2231"/>
      <c r="AM195" s="425"/>
      <c r="AN195" s="3412"/>
      <c r="AO195" s="3372"/>
      <c r="AP195" s="2231"/>
      <c r="AQ195" s="423"/>
      <c r="AR195" s="3412"/>
      <c r="AS195" s="3372"/>
      <c r="AT195" s="3412"/>
      <c r="AU195" s="3372"/>
      <c r="AV195" s="2231"/>
      <c r="AW195" s="3372"/>
      <c r="AX195" s="2231"/>
      <c r="AY195" s="3373" t="str">
        <f t="shared" si="261"/>
        <v/>
      </c>
      <c r="CA195" s="3413" t="str">
        <f t="shared" si="257"/>
        <v/>
      </c>
      <c r="CB195" s="418" t="str">
        <f t="shared" si="245"/>
        <v/>
      </c>
      <c r="CC195" s="418" t="str">
        <f t="shared" si="221"/>
        <v/>
      </c>
      <c r="CD195" s="417"/>
      <c r="CE195" s="417"/>
      <c r="CF195" s="417"/>
      <c r="CG195" s="417"/>
      <c r="CH195" s="417"/>
      <c r="CI195" s="418" t="str">
        <f t="shared" si="258"/>
        <v/>
      </c>
      <c r="CJ195" s="3366"/>
      <c r="CK195" s="418" t="str">
        <f t="shared" si="223"/>
        <v/>
      </c>
      <c r="CL195" s="418" t="str">
        <f t="shared" si="224"/>
        <v/>
      </c>
      <c r="CM195" s="418" t="str">
        <f t="shared" si="225"/>
        <v/>
      </c>
      <c r="CN195" s="418" t="str">
        <f t="shared" si="226"/>
        <v/>
      </c>
      <c r="CO195" s="418" t="str">
        <f t="shared" si="227"/>
        <v/>
      </c>
      <c r="CP195" s="418" t="str">
        <f t="shared" si="228"/>
        <v/>
      </c>
      <c r="CQ195" s="418" t="str">
        <f t="shared" si="229"/>
        <v/>
      </c>
      <c r="CR195" s="417"/>
      <c r="CS195" s="417"/>
      <c r="CT195" s="1708" t="str">
        <f t="shared" si="230"/>
        <v/>
      </c>
      <c r="CU195" s="1708" t="str">
        <f t="shared" si="231"/>
        <v/>
      </c>
      <c r="DF195" s="3415">
        <f t="shared" si="232"/>
        <v>0</v>
      </c>
      <c r="DG195" s="3389">
        <f t="shared" si="246"/>
        <v>0</v>
      </c>
      <c r="DH195" s="3389">
        <f t="shared" si="233"/>
        <v>0</v>
      </c>
      <c r="DI195" s="417"/>
      <c r="DJ195" s="417"/>
      <c r="DK195" s="417"/>
      <c r="DL195" s="417"/>
      <c r="DM195" s="417"/>
      <c r="DN195" s="3389">
        <f t="shared" si="234"/>
        <v>0</v>
      </c>
      <c r="DO195" s="3366"/>
      <c r="DP195" s="3389">
        <f t="shared" si="235"/>
        <v>0</v>
      </c>
      <c r="DQ195" s="3389">
        <f t="shared" si="236"/>
        <v>0</v>
      </c>
      <c r="DR195" s="3389">
        <f t="shared" si="237"/>
        <v>0</v>
      </c>
      <c r="DS195" s="3389">
        <f t="shared" si="238"/>
        <v>0</v>
      </c>
      <c r="DT195" s="3389">
        <f t="shared" si="259"/>
        <v>0</v>
      </c>
      <c r="DU195" s="3389">
        <f t="shared" si="240"/>
        <v>0</v>
      </c>
      <c r="DV195" s="3389">
        <f t="shared" si="241"/>
        <v>0</v>
      </c>
      <c r="DW195" s="417"/>
      <c r="DX195" s="417"/>
      <c r="DY195" s="3389">
        <f t="shared" si="242"/>
        <v>0</v>
      </c>
      <c r="DZ195" s="3389">
        <f t="shared" si="243"/>
        <v>0</v>
      </c>
    </row>
    <row r="196" spans="1:130">
      <c r="A196" s="6742" t="s">
        <v>1989</v>
      </c>
      <c r="B196" s="6743"/>
      <c r="C196" s="1773">
        <f>+E196+G196+I196+K196+M196+O196+Q196+S196+U196+W196+Y196+AA196+AC196+AE196+AG196+AI196</f>
        <v>0</v>
      </c>
      <c r="D196" s="3418">
        <f>+F196+H196+J196+L196+N196+P196+R196+T196+V196+X196+Z196+AB196+AD196+AF196+AH196+AJ196</f>
        <v>0</v>
      </c>
      <c r="E196" s="3419"/>
      <c r="F196" s="3420"/>
      <c r="G196" s="3419"/>
      <c r="H196" s="3420"/>
      <c r="I196" s="3419"/>
      <c r="J196" s="3420"/>
      <c r="K196" s="3419"/>
      <c r="L196" s="3420"/>
      <c r="M196" s="3419"/>
      <c r="N196" s="3420"/>
      <c r="O196" s="3419"/>
      <c r="P196" s="3420"/>
      <c r="Q196" s="3419"/>
      <c r="R196" s="3420"/>
      <c r="S196" s="3419"/>
      <c r="T196" s="3420"/>
      <c r="U196" s="3419"/>
      <c r="V196" s="3420"/>
      <c r="W196" s="3419"/>
      <c r="X196" s="3420"/>
      <c r="Y196" s="3419"/>
      <c r="Z196" s="3420"/>
      <c r="AA196" s="3419"/>
      <c r="AB196" s="3420"/>
      <c r="AC196" s="3419"/>
      <c r="AD196" s="3420"/>
      <c r="AE196" s="3419"/>
      <c r="AF196" s="3420"/>
      <c r="AG196" s="3419"/>
      <c r="AH196" s="3420"/>
      <c r="AI196" s="3419"/>
      <c r="AJ196" s="3420"/>
      <c r="AK196" s="3421"/>
      <c r="AL196" s="3422"/>
      <c r="AM196" s="3419"/>
      <c r="AN196" s="3423"/>
      <c r="AO196" s="3421"/>
      <c r="AP196" s="3422"/>
      <c r="AQ196" s="3424"/>
      <c r="AR196" s="3423"/>
      <c r="AS196" s="3386"/>
      <c r="AT196" s="3425"/>
      <c r="AU196" s="3421"/>
      <c r="AV196" s="3422"/>
      <c r="AW196" s="3421"/>
      <c r="AX196" s="3422"/>
      <c r="AY196" s="3373" t="str">
        <f t="shared" si="261"/>
        <v/>
      </c>
      <c r="CA196" s="3413" t="str">
        <f t="shared" si="257"/>
        <v/>
      </c>
      <c r="CB196" s="418" t="str">
        <f t="shared" si="245"/>
        <v/>
      </c>
      <c r="CC196" s="418" t="str">
        <f t="shared" si="221"/>
        <v/>
      </c>
      <c r="CD196" s="417"/>
      <c r="CE196" s="417"/>
      <c r="CF196" s="417"/>
      <c r="CG196" s="417"/>
      <c r="CH196" s="417"/>
      <c r="CI196" s="418" t="str">
        <f t="shared" si="258"/>
        <v/>
      </c>
      <c r="CJ196" s="3366"/>
      <c r="CK196" s="418" t="str">
        <f t="shared" si="223"/>
        <v/>
      </c>
      <c r="CL196" s="418" t="str">
        <f t="shared" si="224"/>
        <v/>
      </c>
      <c r="CM196" s="418" t="str">
        <f t="shared" si="225"/>
        <v/>
      </c>
      <c r="CN196" s="418" t="str">
        <f t="shared" si="226"/>
        <v/>
      </c>
      <c r="CO196" s="418" t="str">
        <f t="shared" si="227"/>
        <v/>
      </c>
      <c r="CP196" s="418" t="str">
        <f t="shared" si="228"/>
        <v/>
      </c>
      <c r="CQ196" s="418" t="str">
        <f t="shared" si="229"/>
        <v/>
      </c>
      <c r="CR196" s="417"/>
      <c r="CS196" s="417"/>
      <c r="CT196" s="1708" t="str">
        <f t="shared" si="230"/>
        <v/>
      </c>
      <c r="CU196" s="1708" t="str">
        <f t="shared" si="231"/>
        <v/>
      </c>
      <c r="DF196" s="3415">
        <f t="shared" si="232"/>
        <v>0</v>
      </c>
      <c r="DG196" s="3389">
        <f t="shared" si="246"/>
        <v>0</v>
      </c>
      <c r="DH196" s="3389">
        <f t="shared" si="233"/>
        <v>0</v>
      </c>
      <c r="DI196" s="417"/>
      <c r="DJ196" s="417"/>
      <c r="DK196" s="417"/>
      <c r="DL196" s="417"/>
      <c r="DM196" s="417"/>
      <c r="DN196" s="3389">
        <f t="shared" si="234"/>
        <v>0</v>
      </c>
      <c r="DO196" s="3366"/>
      <c r="DP196" s="3389">
        <f t="shared" si="235"/>
        <v>0</v>
      </c>
      <c r="DQ196" s="3389">
        <f t="shared" si="236"/>
        <v>0</v>
      </c>
      <c r="DR196" s="3389">
        <f t="shared" si="237"/>
        <v>0</v>
      </c>
      <c r="DS196" s="3389">
        <f t="shared" si="238"/>
        <v>0</v>
      </c>
      <c r="DT196" s="3389">
        <f t="shared" si="259"/>
        <v>0</v>
      </c>
      <c r="DU196" s="3389">
        <f t="shared" si="240"/>
        <v>0</v>
      </c>
      <c r="DV196" s="3389">
        <f t="shared" si="241"/>
        <v>0</v>
      </c>
      <c r="DW196" s="417"/>
      <c r="DX196" s="417"/>
      <c r="DY196" s="3389">
        <f t="shared" si="242"/>
        <v>0</v>
      </c>
      <c r="DZ196" s="3389">
        <f t="shared" si="243"/>
        <v>0</v>
      </c>
    </row>
    <row r="197" spans="1:130">
      <c r="A197" s="6467" t="s">
        <v>1972</v>
      </c>
      <c r="B197" s="2056" t="s">
        <v>1973</v>
      </c>
      <c r="C197" s="1751">
        <f t="shared" ref="C197:D199" si="266">+O197+Q197+S197+U197+W197+Y197+AA197+AC197+AE197+AG197</f>
        <v>0</v>
      </c>
      <c r="D197" s="2294">
        <f t="shared" si="266"/>
        <v>0</v>
      </c>
      <c r="E197" s="2375"/>
      <c r="F197" s="2374"/>
      <c r="G197" s="2375"/>
      <c r="H197" s="2374"/>
      <c r="I197" s="2375"/>
      <c r="J197" s="2374"/>
      <c r="K197" s="2375"/>
      <c r="L197" s="2374"/>
      <c r="M197" s="2375"/>
      <c r="N197" s="2374"/>
      <c r="O197" s="448"/>
      <c r="P197" s="3398"/>
      <c r="Q197" s="448"/>
      <c r="R197" s="3398"/>
      <c r="S197" s="448"/>
      <c r="T197" s="3398"/>
      <c r="U197" s="448"/>
      <c r="V197" s="3398"/>
      <c r="W197" s="448"/>
      <c r="X197" s="3398"/>
      <c r="Y197" s="448"/>
      <c r="Z197" s="3398"/>
      <c r="AA197" s="448"/>
      <c r="AB197" s="3398"/>
      <c r="AC197" s="448"/>
      <c r="AD197" s="3398"/>
      <c r="AE197" s="448"/>
      <c r="AF197" s="3398"/>
      <c r="AG197" s="448"/>
      <c r="AH197" s="3398"/>
      <c r="AI197" s="3426"/>
      <c r="AJ197" s="3427"/>
      <c r="AK197" s="3428"/>
      <c r="AL197" s="2229"/>
      <c r="AM197" s="448"/>
      <c r="AN197" s="3429"/>
      <c r="AO197" s="3428"/>
      <c r="AP197" s="2229"/>
      <c r="AQ197" s="2307"/>
      <c r="AR197" s="3429"/>
      <c r="AS197" s="3430"/>
      <c r="AT197" s="3411"/>
      <c r="AU197" s="2307"/>
      <c r="AV197" s="3429"/>
      <c r="AW197" s="3431"/>
      <c r="AX197" s="3432"/>
      <c r="AY197" s="3373" t="str">
        <f t="shared" ref="AY197:AY199" si="267">$CA197&amp;CB197&amp;$CC197&amp;CD197&amp;CE197&amp;CF197&amp;CG197&amp;CH197&amp;CI197&amp;CJ197&amp;CK197&amp;CL197&amp;CM197&amp;CN197&amp;CO197&amp;CP197&amp;CQ197&amp;CR197&amp;CS197</f>
        <v/>
      </c>
      <c r="CA197" s="3413" t="str">
        <f t="shared" si="257"/>
        <v/>
      </c>
      <c r="CB197" s="418" t="str">
        <f t="shared" si="245"/>
        <v/>
      </c>
      <c r="CC197" s="418" t="str">
        <f t="shared" si="221"/>
        <v/>
      </c>
      <c r="CD197" s="417"/>
      <c r="CE197" s="417"/>
      <c r="CF197" s="417"/>
      <c r="CG197" s="417"/>
      <c r="CH197" s="417"/>
      <c r="CI197" s="418" t="str">
        <f t="shared" si="258"/>
        <v/>
      </c>
      <c r="CJ197" s="3366"/>
      <c r="CK197" s="418" t="str">
        <f t="shared" si="223"/>
        <v/>
      </c>
      <c r="CL197" s="418" t="str">
        <f t="shared" si="224"/>
        <v/>
      </c>
      <c r="CM197" s="418" t="str">
        <f t="shared" si="225"/>
        <v/>
      </c>
      <c r="CN197" s="418" t="str">
        <f t="shared" si="226"/>
        <v/>
      </c>
      <c r="CO197" s="418" t="str">
        <f t="shared" si="227"/>
        <v/>
      </c>
      <c r="CP197" s="418" t="str">
        <f t="shared" si="228"/>
        <v/>
      </c>
      <c r="CQ197" s="418" t="str">
        <f t="shared" si="229"/>
        <v/>
      </c>
      <c r="CR197" s="417"/>
      <c r="CS197" s="417"/>
      <c r="CT197" s="3380"/>
      <c r="CU197" s="3380"/>
      <c r="DF197" s="3415">
        <f t="shared" si="232"/>
        <v>0</v>
      </c>
      <c r="DG197" s="3389">
        <f t="shared" si="246"/>
        <v>0</v>
      </c>
      <c r="DH197" s="3389">
        <f t="shared" si="233"/>
        <v>0</v>
      </c>
      <c r="DI197" s="417"/>
      <c r="DJ197" s="417"/>
      <c r="DK197" s="417"/>
      <c r="DL197" s="417"/>
      <c r="DM197" s="417"/>
      <c r="DN197" s="3389">
        <f t="shared" si="234"/>
        <v>0</v>
      </c>
      <c r="DO197" s="3366"/>
      <c r="DP197" s="3389">
        <f t="shared" si="235"/>
        <v>0</v>
      </c>
      <c r="DQ197" s="3389">
        <f t="shared" si="236"/>
        <v>0</v>
      </c>
      <c r="DR197" s="3389">
        <f t="shared" si="237"/>
        <v>0</v>
      </c>
      <c r="DS197" s="3389">
        <f t="shared" si="238"/>
        <v>0</v>
      </c>
      <c r="DT197" s="3389">
        <f t="shared" si="259"/>
        <v>0</v>
      </c>
      <c r="DU197" s="3389">
        <f t="shared" si="240"/>
        <v>0</v>
      </c>
      <c r="DV197" s="3389">
        <f t="shared" si="241"/>
        <v>0</v>
      </c>
      <c r="DW197" s="417"/>
      <c r="DX197" s="417"/>
      <c r="DY197" s="1944"/>
      <c r="DZ197" s="1944"/>
    </row>
    <row r="198" spans="1:130">
      <c r="A198" s="6744"/>
      <c r="B198" s="2057" t="s">
        <v>1974</v>
      </c>
      <c r="C198" s="1737">
        <f t="shared" si="266"/>
        <v>0</v>
      </c>
      <c r="D198" s="2300">
        <f t="shared" si="266"/>
        <v>0</v>
      </c>
      <c r="E198" s="2381"/>
      <c r="F198" s="2885"/>
      <c r="G198" s="2381"/>
      <c r="H198" s="2885"/>
      <c r="I198" s="2381"/>
      <c r="J198" s="2885"/>
      <c r="K198" s="2381"/>
      <c r="L198" s="2885"/>
      <c r="M198" s="2381"/>
      <c r="N198" s="2885"/>
      <c r="O198" s="425"/>
      <c r="P198" s="3376"/>
      <c r="Q198" s="425"/>
      <c r="R198" s="3376"/>
      <c r="S198" s="425"/>
      <c r="T198" s="3376"/>
      <c r="U198" s="425"/>
      <c r="V198" s="3376"/>
      <c r="W198" s="425"/>
      <c r="X198" s="3376"/>
      <c r="Y198" s="425"/>
      <c r="Z198" s="3376"/>
      <c r="AA198" s="425"/>
      <c r="AB198" s="3376"/>
      <c r="AC198" s="425"/>
      <c r="AD198" s="3376"/>
      <c r="AE198" s="425"/>
      <c r="AF198" s="3376"/>
      <c r="AG198" s="425"/>
      <c r="AH198" s="3376"/>
      <c r="AI198" s="2381"/>
      <c r="AJ198" s="2382"/>
      <c r="AK198" s="3372"/>
      <c r="AL198" s="2231"/>
      <c r="AM198" s="425"/>
      <c r="AN198" s="3412"/>
      <c r="AO198" s="3372"/>
      <c r="AP198" s="2231"/>
      <c r="AQ198" s="423"/>
      <c r="AR198" s="3412"/>
      <c r="AS198" s="3372"/>
      <c r="AT198" s="3412"/>
      <c r="AU198" s="423"/>
      <c r="AV198" s="3412"/>
      <c r="AW198" s="3433"/>
      <c r="AX198" s="3103"/>
      <c r="AY198" s="3373" t="str">
        <f t="shared" si="267"/>
        <v/>
      </c>
      <c r="CA198" s="3413" t="str">
        <f t="shared" si="257"/>
        <v/>
      </c>
      <c r="CB198" s="418" t="str">
        <f t="shared" si="245"/>
        <v/>
      </c>
      <c r="CC198" s="418" t="str">
        <f t="shared" si="221"/>
        <v/>
      </c>
      <c r="CD198" s="417"/>
      <c r="CE198" s="417"/>
      <c r="CF198" s="417"/>
      <c r="CG198" s="417"/>
      <c r="CH198" s="417"/>
      <c r="CI198" s="418" t="str">
        <f t="shared" si="258"/>
        <v/>
      </c>
      <c r="CJ198" s="3366"/>
      <c r="CK198" s="418" t="str">
        <f t="shared" si="223"/>
        <v/>
      </c>
      <c r="CL198" s="418" t="str">
        <f t="shared" si="224"/>
        <v/>
      </c>
      <c r="CM198" s="418" t="str">
        <f t="shared" si="225"/>
        <v/>
      </c>
      <c r="CN198" s="418" t="str">
        <f t="shared" si="226"/>
        <v/>
      </c>
      <c r="CO198" s="418" t="str">
        <f t="shared" si="227"/>
        <v/>
      </c>
      <c r="CP198" s="418" t="str">
        <f t="shared" si="228"/>
        <v/>
      </c>
      <c r="CQ198" s="418" t="str">
        <f t="shared" si="229"/>
        <v/>
      </c>
      <c r="CR198" s="417"/>
      <c r="CS198" s="417"/>
      <c r="CT198" s="3380"/>
      <c r="CU198" s="3380"/>
      <c r="DF198" s="3415">
        <f t="shared" si="232"/>
        <v>0</v>
      </c>
      <c r="DG198" s="3389">
        <f t="shared" si="246"/>
        <v>0</v>
      </c>
      <c r="DH198" s="3389">
        <f t="shared" si="233"/>
        <v>0</v>
      </c>
      <c r="DI198" s="417"/>
      <c r="DJ198" s="417"/>
      <c r="DK198" s="417"/>
      <c r="DL198" s="417"/>
      <c r="DM198" s="417"/>
      <c r="DN198" s="3389">
        <f t="shared" si="234"/>
        <v>0</v>
      </c>
      <c r="DO198" s="3366"/>
      <c r="DP198" s="3389">
        <f t="shared" si="235"/>
        <v>0</v>
      </c>
      <c r="DQ198" s="3389">
        <f t="shared" si="236"/>
        <v>0</v>
      </c>
      <c r="DR198" s="3389">
        <f t="shared" si="237"/>
        <v>0</v>
      </c>
      <c r="DS198" s="3389">
        <f t="shared" si="238"/>
        <v>0</v>
      </c>
      <c r="DT198" s="3389">
        <f t="shared" si="259"/>
        <v>0</v>
      </c>
      <c r="DU198" s="3389">
        <f t="shared" si="240"/>
        <v>0</v>
      </c>
      <c r="DV198" s="3389">
        <f t="shared" si="241"/>
        <v>0</v>
      </c>
      <c r="DW198" s="417"/>
      <c r="DX198" s="417"/>
      <c r="DY198" s="1944"/>
      <c r="DZ198" s="1944"/>
    </row>
    <row r="199" spans="1:130">
      <c r="A199" s="6468"/>
      <c r="B199" s="3050" t="s">
        <v>1975</v>
      </c>
      <c r="C199" s="1773">
        <f t="shared" si="266"/>
        <v>0</v>
      </c>
      <c r="D199" s="2296">
        <f t="shared" si="266"/>
        <v>0</v>
      </c>
      <c r="E199" s="2384"/>
      <c r="F199" s="3434"/>
      <c r="G199" s="2384"/>
      <c r="H199" s="3434"/>
      <c r="I199" s="2384"/>
      <c r="J199" s="3434"/>
      <c r="K199" s="2384"/>
      <c r="L199" s="3434"/>
      <c r="M199" s="2384"/>
      <c r="N199" s="3434"/>
      <c r="O199" s="432"/>
      <c r="P199" s="3384"/>
      <c r="Q199" s="432"/>
      <c r="R199" s="3384"/>
      <c r="S199" s="432"/>
      <c r="T199" s="3384"/>
      <c r="U199" s="432"/>
      <c r="V199" s="3384"/>
      <c r="W199" s="432"/>
      <c r="X199" s="3384"/>
      <c r="Y199" s="432"/>
      <c r="Z199" s="3384"/>
      <c r="AA199" s="432"/>
      <c r="AB199" s="3384"/>
      <c r="AC199" s="432"/>
      <c r="AD199" s="3384"/>
      <c r="AE199" s="432"/>
      <c r="AF199" s="3384"/>
      <c r="AG199" s="432"/>
      <c r="AH199" s="3384"/>
      <c r="AI199" s="2384"/>
      <c r="AJ199" s="3435"/>
      <c r="AK199" s="3386"/>
      <c r="AL199" s="2235"/>
      <c r="AM199" s="432"/>
      <c r="AN199" s="3425"/>
      <c r="AO199" s="3386"/>
      <c r="AP199" s="2235"/>
      <c r="AQ199" s="3385"/>
      <c r="AR199" s="3425"/>
      <c r="AS199" s="3386"/>
      <c r="AT199" s="3425"/>
      <c r="AU199" s="3385"/>
      <c r="AV199" s="3425"/>
      <c r="AW199" s="3436"/>
      <c r="AX199" s="3212"/>
      <c r="AY199" s="3373" t="str">
        <f t="shared" si="267"/>
        <v/>
      </c>
      <c r="CA199" s="3413" t="str">
        <f t="shared" si="257"/>
        <v/>
      </c>
      <c r="CB199" s="418" t="str">
        <f t="shared" si="245"/>
        <v/>
      </c>
      <c r="CC199" s="418" t="str">
        <f t="shared" si="221"/>
        <v/>
      </c>
      <c r="CD199" s="417"/>
      <c r="CE199" s="417"/>
      <c r="CF199" s="417"/>
      <c r="CG199" s="417"/>
      <c r="CH199" s="417"/>
      <c r="CI199" s="418" t="str">
        <f t="shared" si="258"/>
        <v/>
      </c>
      <c r="CJ199" s="3366"/>
      <c r="CK199" s="418" t="str">
        <f t="shared" si="223"/>
        <v/>
      </c>
      <c r="CL199" s="418" t="str">
        <f t="shared" si="224"/>
        <v/>
      </c>
      <c r="CM199" s="418" t="str">
        <f t="shared" si="225"/>
        <v/>
      </c>
      <c r="CN199" s="418" t="str">
        <f t="shared" si="226"/>
        <v/>
      </c>
      <c r="CO199" s="418" t="str">
        <f t="shared" si="227"/>
        <v/>
      </c>
      <c r="CP199" s="418" t="str">
        <f t="shared" si="228"/>
        <v/>
      </c>
      <c r="CQ199" s="418" t="str">
        <f t="shared" si="229"/>
        <v/>
      </c>
      <c r="CR199" s="417"/>
      <c r="CS199" s="417"/>
      <c r="CT199" s="3380"/>
      <c r="CU199" s="3380"/>
      <c r="DF199" s="3415">
        <f t="shared" si="232"/>
        <v>0</v>
      </c>
      <c r="DG199" s="3389">
        <f t="shared" si="246"/>
        <v>0</v>
      </c>
      <c r="DH199" s="3389">
        <f t="shared" si="233"/>
        <v>0</v>
      </c>
      <c r="DI199" s="417"/>
      <c r="DJ199" s="417"/>
      <c r="DK199" s="417"/>
      <c r="DL199" s="417"/>
      <c r="DM199" s="417"/>
      <c r="DN199" s="3389">
        <f t="shared" si="234"/>
        <v>0</v>
      </c>
      <c r="DO199" s="3366"/>
      <c r="DP199" s="3389">
        <f t="shared" si="235"/>
        <v>0</v>
      </c>
      <c r="DQ199" s="3389">
        <f t="shared" si="236"/>
        <v>0</v>
      </c>
      <c r="DR199" s="3389">
        <f t="shared" si="237"/>
        <v>0</v>
      </c>
      <c r="DS199" s="3389">
        <f t="shared" si="238"/>
        <v>0</v>
      </c>
      <c r="DT199" s="3389">
        <f t="shared" si="259"/>
        <v>0</v>
      </c>
      <c r="DU199" s="3389">
        <f t="shared" si="240"/>
        <v>0</v>
      </c>
      <c r="DV199" s="3389">
        <f t="shared" si="241"/>
        <v>0</v>
      </c>
      <c r="DW199" s="417"/>
      <c r="DX199" s="417"/>
      <c r="DY199" s="1944"/>
      <c r="DZ199" s="1944"/>
    </row>
    <row r="200" spans="1:130">
      <c r="A200" s="6745" t="s">
        <v>1954</v>
      </c>
      <c r="B200" s="6746"/>
      <c r="C200" s="1751">
        <f t="shared" ref="C200:D202" si="268">+E200+G200+I200+K200+M200+O200+Q200+S200+U200+W200+Y200+AA200+AC200+AE200+AG200+AI200</f>
        <v>0</v>
      </c>
      <c r="D200" s="2300">
        <f t="shared" si="268"/>
        <v>0</v>
      </c>
      <c r="E200" s="413"/>
      <c r="F200" s="3370"/>
      <c r="G200" s="413"/>
      <c r="H200" s="3370"/>
      <c r="I200" s="413"/>
      <c r="J200" s="3370"/>
      <c r="K200" s="413"/>
      <c r="L200" s="3370"/>
      <c r="M200" s="3437"/>
      <c r="N200" s="3438"/>
      <c r="O200" s="3437"/>
      <c r="P200" s="3438"/>
      <c r="Q200" s="3437"/>
      <c r="R200" s="3438"/>
      <c r="S200" s="3437"/>
      <c r="T200" s="3438"/>
      <c r="U200" s="3437"/>
      <c r="V200" s="3438"/>
      <c r="W200" s="3437"/>
      <c r="X200" s="3438"/>
      <c r="Y200" s="3437"/>
      <c r="Z200" s="3438"/>
      <c r="AA200" s="3437"/>
      <c r="AB200" s="3438"/>
      <c r="AC200" s="3437"/>
      <c r="AD200" s="3439"/>
      <c r="AE200" s="3437"/>
      <c r="AF200" s="3439"/>
      <c r="AG200" s="3394"/>
      <c r="AH200" s="3397"/>
      <c r="AI200" s="3437"/>
      <c r="AJ200" s="3438"/>
      <c r="AK200" s="3430"/>
      <c r="AL200" s="2261"/>
      <c r="AM200" s="413"/>
      <c r="AN200" s="3411"/>
      <c r="AO200" s="3430"/>
      <c r="AP200" s="2261"/>
      <c r="AQ200" s="411"/>
      <c r="AR200" s="3411"/>
      <c r="AS200" s="3430"/>
      <c r="AT200" s="3411"/>
      <c r="AU200" s="3430"/>
      <c r="AV200" s="2261"/>
      <c r="AW200" s="3430"/>
      <c r="AX200" s="2261"/>
      <c r="AY200" s="3373" t="str">
        <f t="shared" si="261"/>
        <v/>
      </c>
      <c r="CA200" s="3413" t="str">
        <f t="shared" si="257"/>
        <v/>
      </c>
      <c r="CB200" s="418" t="str">
        <f t="shared" si="245"/>
        <v/>
      </c>
      <c r="CC200" s="418" t="str">
        <f t="shared" si="221"/>
        <v/>
      </c>
      <c r="CD200" s="417"/>
      <c r="CE200" s="417"/>
      <c r="CF200" s="417"/>
      <c r="CG200" s="417"/>
      <c r="CH200" s="417"/>
      <c r="CI200" s="418" t="str">
        <f t="shared" si="258"/>
        <v/>
      </c>
      <c r="CJ200" s="3366"/>
      <c r="CK200" s="418" t="str">
        <f t="shared" si="223"/>
        <v/>
      </c>
      <c r="CL200" s="418" t="str">
        <f t="shared" si="224"/>
        <v/>
      </c>
      <c r="CM200" s="418" t="str">
        <f t="shared" si="225"/>
        <v/>
      </c>
      <c r="CN200" s="418" t="str">
        <f t="shared" si="226"/>
        <v/>
      </c>
      <c r="CO200" s="418" t="str">
        <f t="shared" si="227"/>
        <v/>
      </c>
      <c r="CP200" s="418" t="str">
        <f t="shared" si="228"/>
        <v/>
      </c>
      <c r="CQ200" s="418" t="str">
        <f t="shared" si="229"/>
        <v/>
      </c>
      <c r="CR200" s="417"/>
      <c r="CS200" s="417"/>
      <c r="CT200" s="1708" t="str">
        <f t="shared" si="230"/>
        <v/>
      </c>
      <c r="CU200" s="1708" t="str">
        <f t="shared" si="231"/>
        <v/>
      </c>
      <c r="DF200" s="3415">
        <f t="shared" si="232"/>
        <v>0</v>
      </c>
      <c r="DG200" s="3389">
        <f t="shared" si="246"/>
        <v>0</v>
      </c>
      <c r="DH200" s="3389">
        <f t="shared" si="233"/>
        <v>0</v>
      </c>
      <c r="DI200" s="417"/>
      <c r="DJ200" s="417"/>
      <c r="DK200" s="417"/>
      <c r="DL200" s="417"/>
      <c r="DM200" s="417"/>
      <c r="DN200" s="3389">
        <f t="shared" si="234"/>
        <v>0</v>
      </c>
      <c r="DO200" s="3366"/>
      <c r="DP200" s="3389">
        <f t="shared" si="235"/>
        <v>0</v>
      </c>
      <c r="DQ200" s="3389">
        <f t="shared" si="236"/>
        <v>0</v>
      </c>
      <c r="DR200" s="3389">
        <f t="shared" si="237"/>
        <v>0</v>
      </c>
      <c r="DS200" s="3389">
        <f t="shared" si="238"/>
        <v>0</v>
      </c>
      <c r="DT200" s="3389">
        <f t="shared" si="259"/>
        <v>0</v>
      </c>
      <c r="DU200" s="3389">
        <f t="shared" si="240"/>
        <v>0</v>
      </c>
      <c r="DV200" s="3389">
        <f t="shared" si="241"/>
        <v>0</v>
      </c>
      <c r="DW200" s="417"/>
      <c r="DX200" s="417"/>
      <c r="DY200" s="3389">
        <f t="shared" si="242"/>
        <v>0</v>
      </c>
      <c r="DZ200" s="3389">
        <f t="shared" si="243"/>
        <v>0</v>
      </c>
    </row>
    <row r="201" spans="1:130">
      <c r="A201" s="6738" t="s">
        <v>1990</v>
      </c>
      <c r="B201" s="6739"/>
      <c r="C201" s="1737">
        <f t="shared" si="268"/>
        <v>0</v>
      </c>
      <c r="D201" s="2295">
        <f t="shared" si="268"/>
        <v>0</v>
      </c>
      <c r="E201" s="425"/>
      <c r="F201" s="3376"/>
      <c r="G201" s="425"/>
      <c r="H201" s="3376"/>
      <c r="I201" s="425"/>
      <c r="J201" s="3376"/>
      <c r="K201" s="425"/>
      <c r="L201" s="3376"/>
      <c r="M201" s="425"/>
      <c r="N201" s="3376"/>
      <c r="O201" s="3419"/>
      <c r="P201" s="3420"/>
      <c r="Q201" s="3419"/>
      <c r="R201" s="3420"/>
      <c r="S201" s="3419"/>
      <c r="T201" s="3420"/>
      <c r="U201" s="3419"/>
      <c r="V201" s="3420"/>
      <c r="W201" s="3419"/>
      <c r="X201" s="3420"/>
      <c r="Y201" s="3419"/>
      <c r="Z201" s="3420"/>
      <c r="AA201" s="3419"/>
      <c r="AB201" s="3420"/>
      <c r="AC201" s="3419"/>
      <c r="AD201" s="3440"/>
      <c r="AE201" s="3419"/>
      <c r="AF201" s="3440"/>
      <c r="AG201" s="3419"/>
      <c r="AH201" s="3441"/>
      <c r="AI201" s="3419"/>
      <c r="AJ201" s="3420"/>
      <c r="AK201" s="3421"/>
      <c r="AL201" s="3422"/>
      <c r="AM201" s="3419"/>
      <c r="AN201" s="3423"/>
      <c r="AO201" s="3421"/>
      <c r="AP201" s="3422"/>
      <c r="AQ201" s="3424"/>
      <c r="AR201" s="3423"/>
      <c r="AS201" s="3421"/>
      <c r="AT201" s="3423"/>
      <c r="AU201" s="3421"/>
      <c r="AV201" s="3422"/>
      <c r="AW201" s="3421"/>
      <c r="AX201" s="3422"/>
      <c r="AY201" s="3373" t="str">
        <f t="shared" si="261"/>
        <v/>
      </c>
      <c r="CA201" s="3413" t="str">
        <f t="shared" si="257"/>
        <v/>
      </c>
      <c r="CB201" s="418" t="str">
        <f t="shared" si="245"/>
        <v/>
      </c>
      <c r="CC201" s="418" t="str">
        <f t="shared" si="221"/>
        <v/>
      </c>
      <c r="CD201" s="417"/>
      <c r="CE201" s="417"/>
      <c r="CF201" s="417"/>
      <c r="CG201" s="417"/>
      <c r="CH201" s="417"/>
      <c r="CI201" s="418" t="str">
        <f t="shared" si="258"/>
        <v/>
      </c>
      <c r="CJ201" s="3366"/>
      <c r="CK201" s="418" t="str">
        <f t="shared" si="223"/>
        <v/>
      </c>
      <c r="CL201" s="418" t="str">
        <f t="shared" si="224"/>
        <v/>
      </c>
      <c r="CM201" s="418" t="str">
        <f t="shared" si="225"/>
        <v/>
      </c>
      <c r="CN201" s="418" t="str">
        <f t="shared" si="226"/>
        <v/>
      </c>
      <c r="CO201" s="418" t="str">
        <f t="shared" si="227"/>
        <v/>
      </c>
      <c r="CP201" s="418" t="str">
        <f t="shared" si="228"/>
        <v/>
      </c>
      <c r="CQ201" s="418" t="str">
        <f t="shared" si="229"/>
        <v/>
      </c>
      <c r="CR201" s="417"/>
      <c r="CS201" s="417"/>
      <c r="CT201" s="1708" t="str">
        <f t="shared" si="230"/>
        <v/>
      </c>
      <c r="CU201" s="1708" t="str">
        <f t="shared" si="231"/>
        <v/>
      </c>
      <c r="DF201" s="3415">
        <f t="shared" si="232"/>
        <v>0</v>
      </c>
      <c r="DG201" s="3389">
        <f t="shared" si="246"/>
        <v>0</v>
      </c>
      <c r="DH201" s="3389">
        <f t="shared" si="233"/>
        <v>0</v>
      </c>
      <c r="DI201" s="417"/>
      <c r="DJ201" s="417"/>
      <c r="DK201" s="417"/>
      <c r="DL201" s="417"/>
      <c r="DM201" s="417"/>
      <c r="DN201" s="3389">
        <f t="shared" si="234"/>
        <v>0</v>
      </c>
      <c r="DO201" s="3366"/>
      <c r="DP201" s="3389">
        <f t="shared" si="235"/>
        <v>0</v>
      </c>
      <c r="DQ201" s="3389">
        <f t="shared" si="236"/>
        <v>0</v>
      </c>
      <c r="DR201" s="3389">
        <f t="shared" si="237"/>
        <v>0</v>
      </c>
      <c r="DS201" s="3389">
        <f t="shared" si="238"/>
        <v>0</v>
      </c>
      <c r="DT201" s="3389">
        <f t="shared" si="259"/>
        <v>0</v>
      </c>
      <c r="DU201" s="3389">
        <f t="shared" si="240"/>
        <v>0</v>
      </c>
      <c r="DV201" s="3389">
        <f t="shared" si="241"/>
        <v>0</v>
      </c>
      <c r="DW201" s="417"/>
      <c r="DX201" s="417"/>
      <c r="DY201" s="3389">
        <f t="shared" si="242"/>
        <v>0</v>
      </c>
      <c r="DZ201" s="3389">
        <f t="shared" si="243"/>
        <v>0</v>
      </c>
    </row>
    <row r="202" spans="1:130">
      <c r="A202" s="6738" t="s">
        <v>1956</v>
      </c>
      <c r="B202" s="6739"/>
      <c r="C202" s="1737">
        <f t="shared" si="268"/>
        <v>0</v>
      </c>
      <c r="D202" s="2295">
        <f>+F202+H202+J202+L202+N202+P202+R202+T202+V202+X202+Z202+AB202+AD202+AF202+AH202+AJ202</f>
        <v>0</v>
      </c>
      <c r="E202" s="425"/>
      <c r="F202" s="3376"/>
      <c r="G202" s="425"/>
      <c r="H202" s="3376"/>
      <c r="I202" s="425"/>
      <c r="J202" s="3376"/>
      <c r="K202" s="425"/>
      <c r="L202" s="3376"/>
      <c r="M202" s="425"/>
      <c r="N202" s="3376"/>
      <c r="O202" s="3419"/>
      <c r="P202" s="3420"/>
      <c r="Q202" s="3419"/>
      <c r="R202" s="3420"/>
      <c r="S202" s="3419"/>
      <c r="T202" s="3420"/>
      <c r="U202" s="3419"/>
      <c r="V202" s="3420"/>
      <c r="W202" s="3419"/>
      <c r="X202" s="3420"/>
      <c r="Y202" s="3419"/>
      <c r="Z202" s="3420"/>
      <c r="AA202" s="3419"/>
      <c r="AB202" s="3420"/>
      <c r="AC202" s="3419"/>
      <c r="AD202" s="3440"/>
      <c r="AE202" s="3419"/>
      <c r="AF202" s="3440"/>
      <c r="AG202" s="3419"/>
      <c r="AH202" s="3441"/>
      <c r="AI202" s="3419"/>
      <c r="AJ202" s="3420"/>
      <c r="AK202" s="3421"/>
      <c r="AL202" s="3422"/>
      <c r="AM202" s="3419"/>
      <c r="AN202" s="3423"/>
      <c r="AO202" s="3421"/>
      <c r="AP202" s="3422"/>
      <c r="AQ202" s="3424"/>
      <c r="AR202" s="3423"/>
      <c r="AS202" s="3421"/>
      <c r="AT202" s="3423"/>
      <c r="AU202" s="3421"/>
      <c r="AV202" s="3422"/>
      <c r="AW202" s="3421"/>
      <c r="AX202" s="3422"/>
      <c r="AY202" s="3373" t="str">
        <f t="shared" si="261"/>
        <v/>
      </c>
      <c r="CA202" s="3413" t="str">
        <f t="shared" si="257"/>
        <v/>
      </c>
      <c r="CB202" s="418" t="str">
        <f t="shared" si="245"/>
        <v/>
      </c>
      <c r="CC202" s="418" t="str">
        <f t="shared" si="221"/>
        <v/>
      </c>
      <c r="CD202" s="417"/>
      <c r="CE202" s="417"/>
      <c r="CF202" s="417"/>
      <c r="CG202" s="417"/>
      <c r="CH202" s="417"/>
      <c r="CI202" s="418" t="str">
        <f t="shared" si="258"/>
        <v/>
      </c>
      <c r="CJ202" s="3366"/>
      <c r="CK202" s="418" t="str">
        <f t="shared" si="223"/>
        <v/>
      </c>
      <c r="CL202" s="418" t="str">
        <f t="shared" si="224"/>
        <v/>
      </c>
      <c r="CM202" s="418" t="str">
        <f t="shared" si="225"/>
        <v/>
      </c>
      <c r="CN202" s="418" t="str">
        <f t="shared" si="226"/>
        <v/>
      </c>
      <c r="CO202" s="418" t="str">
        <f t="shared" si="227"/>
        <v/>
      </c>
      <c r="CP202" s="418" t="str">
        <f t="shared" si="228"/>
        <v/>
      </c>
      <c r="CQ202" s="418" t="str">
        <f t="shared" si="229"/>
        <v/>
      </c>
      <c r="CR202" s="417"/>
      <c r="CS202" s="417"/>
      <c r="CT202" s="1708" t="str">
        <f t="shared" si="230"/>
        <v/>
      </c>
      <c r="CU202" s="1708" t="str">
        <f t="shared" si="231"/>
        <v/>
      </c>
      <c r="DF202" s="3415">
        <f t="shared" si="232"/>
        <v>0</v>
      </c>
      <c r="DG202" s="3389">
        <f t="shared" si="246"/>
        <v>0</v>
      </c>
      <c r="DH202" s="3389">
        <f t="shared" si="233"/>
        <v>0</v>
      </c>
      <c r="DI202" s="417"/>
      <c r="DJ202" s="417"/>
      <c r="DK202" s="417"/>
      <c r="DL202" s="417"/>
      <c r="DM202" s="417"/>
      <c r="DN202" s="3389">
        <f t="shared" si="234"/>
        <v>0</v>
      </c>
      <c r="DO202" s="3366"/>
      <c r="DP202" s="3389">
        <f t="shared" si="235"/>
        <v>0</v>
      </c>
      <c r="DQ202" s="3389">
        <f t="shared" si="236"/>
        <v>0</v>
      </c>
      <c r="DR202" s="3389">
        <f t="shared" si="237"/>
        <v>0</v>
      </c>
      <c r="DS202" s="3389">
        <f t="shared" si="238"/>
        <v>0</v>
      </c>
      <c r="DT202" s="3389">
        <f t="shared" si="259"/>
        <v>0</v>
      </c>
      <c r="DU202" s="3389">
        <f t="shared" si="240"/>
        <v>0</v>
      </c>
      <c r="DV202" s="3389">
        <f t="shared" si="241"/>
        <v>0</v>
      </c>
      <c r="DW202" s="417"/>
      <c r="DX202" s="417"/>
      <c r="DY202" s="3389">
        <f t="shared" si="242"/>
        <v>0</v>
      </c>
      <c r="DZ202" s="3389">
        <f t="shared" si="243"/>
        <v>0</v>
      </c>
    </row>
    <row r="203" spans="1:130">
      <c r="A203" s="6738" t="s">
        <v>1991</v>
      </c>
      <c r="B203" s="6739"/>
      <c r="C203" s="1737">
        <f t="shared" ref="C203:D205" si="269">+O203+Q203+S203+U203+W203+Y203+AA203+AC203+AE203+AG203+AI203</f>
        <v>0</v>
      </c>
      <c r="D203" s="3442">
        <f t="shared" si="269"/>
        <v>0</v>
      </c>
      <c r="E203" s="2381"/>
      <c r="F203" s="2885"/>
      <c r="G203" s="2381"/>
      <c r="H203" s="2885"/>
      <c r="I203" s="2381"/>
      <c r="J203" s="2885"/>
      <c r="K203" s="2381"/>
      <c r="L203" s="2885"/>
      <c r="M203" s="2381"/>
      <c r="N203" s="2885"/>
      <c r="O203" s="3419"/>
      <c r="P203" s="3420"/>
      <c r="Q203" s="3419"/>
      <c r="R203" s="3420"/>
      <c r="S203" s="3419"/>
      <c r="T203" s="3420"/>
      <c r="U203" s="3419"/>
      <c r="V203" s="3420"/>
      <c r="W203" s="3419"/>
      <c r="X203" s="3420"/>
      <c r="Y203" s="3419"/>
      <c r="Z203" s="3420"/>
      <c r="AA203" s="3419"/>
      <c r="AB203" s="3420"/>
      <c r="AC203" s="3419"/>
      <c r="AD203" s="3440"/>
      <c r="AE203" s="3419"/>
      <c r="AF203" s="3440"/>
      <c r="AG203" s="3419"/>
      <c r="AH203" s="3441"/>
      <c r="AI203" s="3419"/>
      <c r="AJ203" s="3420"/>
      <c r="AK203" s="3421"/>
      <c r="AL203" s="3422"/>
      <c r="AM203" s="3419"/>
      <c r="AN203" s="3423"/>
      <c r="AO203" s="3421"/>
      <c r="AP203" s="3422"/>
      <c r="AQ203" s="3424"/>
      <c r="AR203" s="3423"/>
      <c r="AS203" s="3421"/>
      <c r="AT203" s="3423"/>
      <c r="AU203" s="3421"/>
      <c r="AV203" s="3422"/>
      <c r="AW203" s="3421"/>
      <c r="AX203" s="3422"/>
      <c r="AY203" s="3373" t="str">
        <f t="shared" si="261"/>
        <v/>
      </c>
      <c r="CA203" s="3413" t="str">
        <f t="shared" si="257"/>
        <v/>
      </c>
      <c r="CB203" s="418" t="str">
        <f t="shared" si="245"/>
        <v/>
      </c>
      <c r="CC203" s="418" t="str">
        <f t="shared" si="221"/>
        <v/>
      </c>
      <c r="CD203" s="417"/>
      <c r="CE203" s="417"/>
      <c r="CF203" s="417"/>
      <c r="CG203" s="417"/>
      <c r="CH203" s="417"/>
      <c r="CI203" s="418" t="str">
        <f t="shared" si="258"/>
        <v/>
      </c>
      <c r="CJ203" s="3366"/>
      <c r="CK203" s="418" t="str">
        <f t="shared" si="223"/>
        <v/>
      </c>
      <c r="CL203" s="418" t="str">
        <f t="shared" si="224"/>
        <v/>
      </c>
      <c r="CM203" s="418" t="str">
        <f t="shared" si="225"/>
        <v/>
      </c>
      <c r="CN203" s="418" t="str">
        <f t="shared" si="226"/>
        <v/>
      </c>
      <c r="CO203" s="418" t="str">
        <f t="shared" si="227"/>
        <v/>
      </c>
      <c r="CP203" s="418" t="str">
        <f t="shared" si="228"/>
        <v/>
      </c>
      <c r="CQ203" s="418" t="str">
        <f t="shared" si="229"/>
        <v/>
      </c>
      <c r="CR203" s="417"/>
      <c r="CS203" s="417"/>
      <c r="CT203" s="1708" t="str">
        <f t="shared" si="230"/>
        <v/>
      </c>
      <c r="CU203" s="1708" t="str">
        <f t="shared" si="231"/>
        <v/>
      </c>
      <c r="DF203" s="3415">
        <f t="shared" si="232"/>
        <v>0</v>
      </c>
      <c r="DG203" s="3389">
        <f t="shared" si="246"/>
        <v>0</v>
      </c>
      <c r="DH203" s="3389">
        <f t="shared" si="233"/>
        <v>0</v>
      </c>
      <c r="DI203" s="417"/>
      <c r="DJ203" s="417"/>
      <c r="DK203" s="417"/>
      <c r="DL203" s="417"/>
      <c r="DM203" s="417"/>
      <c r="DN203" s="3389">
        <f t="shared" si="234"/>
        <v>0</v>
      </c>
      <c r="DO203" s="3366"/>
      <c r="DP203" s="3389">
        <f t="shared" si="235"/>
        <v>0</v>
      </c>
      <c r="DQ203" s="3389">
        <f t="shared" si="236"/>
        <v>0</v>
      </c>
      <c r="DR203" s="3389">
        <f t="shared" si="237"/>
        <v>0</v>
      </c>
      <c r="DS203" s="3389">
        <f t="shared" si="238"/>
        <v>0</v>
      </c>
      <c r="DT203" s="3389">
        <f t="shared" si="259"/>
        <v>0</v>
      </c>
      <c r="DU203" s="3389">
        <f t="shared" si="240"/>
        <v>0</v>
      </c>
      <c r="DV203" s="3389">
        <f t="shared" si="241"/>
        <v>0</v>
      </c>
      <c r="DW203" s="417"/>
      <c r="DX203" s="417"/>
      <c r="DY203" s="3389">
        <f t="shared" si="242"/>
        <v>0</v>
      </c>
      <c r="DZ203" s="3389">
        <f t="shared" si="243"/>
        <v>0</v>
      </c>
    </row>
    <row r="204" spans="1:130">
      <c r="A204" s="6738" t="s">
        <v>1992</v>
      </c>
      <c r="B204" s="6739"/>
      <c r="C204" s="1737">
        <f t="shared" si="269"/>
        <v>0</v>
      </c>
      <c r="D204" s="3442">
        <f t="shared" si="269"/>
        <v>0</v>
      </c>
      <c r="E204" s="2381"/>
      <c r="F204" s="2885"/>
      <c r="G204" s="2381"/>
      <c r="H204" s="2885"/>
      <c r="I204" s="2381"/>
      <c r="J204" s="2885"/>
      <c r="K204" s="2381"/>
      <c r="L204" s="2885"/>
      <c r="M204" s="2381"/>
      <c r="N204" s="2885"/>
      <c r="O204" s="3419"/>
      <c r="P204" s="3420"/>
      <c r="Q204" s="3419"/>
      <c r="R204" s="3420"/>
      <c r="S204" s="3419"/>
      <c r="T204" s="3420"/>
      <c r="U204" s="3419"/>
      <c r="V204" s="3420"/>
      <c r="W204" s="3419"/>
      <c r="X204" s="3420"/>
      <c r="Y204" s="3419"/>
      <c r="Z204" s="3420"/>
      <c r="AA204" s="3419"/>
      <c r="AB204" s="3420"/>
      <c r="AC204" s="3419"/>
      <c r="AD204" s="3440"/>
      <c r="AE204" s="3419"/>
      <c r="AF204" s="3440"/>
      <c r="AG204" s="425"/>
      <c r="AH204" s="3422"/>
      <c r="AI204" s="425"/>
      <c r="AJ204" s="3424"/>
      <c r="AK204" s="3421"/>
      <c r="AL204" s="3422"/>
      <c r="AM204" s="3419"/>
      <c r="AN204" s="3423"/>
      <c r="AO204" s="3421"/>
      <c r="AP204" s="3422"/>
      <c r="AQ204" s="3424"/>
      <c r="AR204" s="3423"/>
      <c r="AS204" s="3421"/>
      <c r="AT204" s="3423"/>
      <c r="AU204" s="3421"/>
      <c r="AV204" s="3422"/>
      <c r="AW204" s="3421"/>
      <c r="AX204" s="3422"/>
      <c r="AY204" s="3373" t="str">
        <f t="shared" si="261"/>
        <v/>
      </c>
      <c r="CA204" s="3413" t="str">
        <f t="shared" si="257"/>
        <v/>
      </c>
      <c r="CB204" s="418" t="str">
        <f t="shared" si="245"/>
        <v/>
      </c>
      <c r="CC204" s="418" t="str">
        <f t="shared" si="221"/>
        <v/>
      </c>
      <c r="CD204" s="417"/>
      <c r="CE204" s="417"/>
      <c r="CF204" s="417"/>
      <c r="CG204" s="417"/>
      <c r="CH204" s="417"/>
      <c r="CI204" s="418" t="str">
        <f t="shared" si="258"/>
        <v/>
      </c>
      <c r="CJ204" s="3366"/>
      <c r="CK204" s="418" t="str">
        <f t="shared" si="223"/>
        <v/>
      </c>
      <c r="CL204" s="418" t="str">
        <f t="shared" si="224"/>
        <v/>
      </c>
      <c r="CM204" s="418" t="str">
        <f t="shared" si="225"/>
        <v/>
      </c>
      <c r="CN204" s="418" t="str">
        <f t="shared" si="226"/>
        <v/>
      </c>
      <c r="CO204" s="418" t="str">
        <f t="shared" si="227"/>
        <v/>
      </c>
      <c r="CP204" s="418" t="str">
        <f t="shared" si="228"/>
        <v/>
      </c>
      <c r="CQ204" s="418" t="str">
        <f t="shared" si="229"/>
        <v/>
      </c>
      <c r="CR204" s="417"/>
      <c r="CS204" s="417"/>
      <c r="CT204" s="1708" t="str">
        <f t="shared" si="230"/>
        <v/>
      </c>
      <c r="CU204" s="1708" t="str">
        <f t="shared" si="231"/>
        <v/>
      </c>
      <c r="DF204" s="3415">
        <f t="shared" si="232"/>
        <v>0</v>
      </c>
      <c r="DG204" s="3389">
        <f t="shared" si="246"/>
        <v>0</v>
      </c>
      <c r="DH204" s="3389">
        <f t="shared" si="233"/>
        <v>0</v>
      </c>
      <c r="DI204" s="417"/>
      <c r="DJ204" s="417"/>
      <c r="DK204" s="417"/>
      <c r="DL204" s="417"/>
      <c r="DM204" s="417"/>
      <c r="DN204" s="3389">
        <f t="shared" si="234"/>
        <v>0</v>
      </c>
      <c r="DO204" s="3366"/>
      <c r="DP204" s="3389">
        <f t="shared" si="235"/>
        <v>0</v>
      </c>
      <c r="DQ204" s="3389">
        <f t="shared" si="236"/>
        <v>0</v>
      </c>
      <c r="DR204" s="3389">
        <f t="shared" si="237"/>
        <v>0</v>
      </c>
      <c r="DS204" s="3389">
        <f t="shared" si="238"/>
        <v>0</v>
      </c>
      <c r="DT204" s="3389">
        <f t="shared" si="259"/>
        <v>0</v>
      </c>
      <c r="DU204" s="3389">
        <f t="shared" si="240"/>
        <v>0</v>
      </c>
      <c r="DV204" s="3389">
        <f t="shared" si="241"/>
        <v>0</v>
      </c>
      <c r="DW204" s="417"/>
      <c r="DX204" s="417"/>
      <c r="DY204" s="3389">
        <f t="shared" si="242"/>
        <v>0</v>
      </c>
      <c r="DZ204" s="3389">
        <f t="shared" si="243"/>
        <v>0</v>
      </c>
    </row>
    <row r="205" spans="1:130">
      <c r="A205" s="6738" t="s">
        <v>1993</v>
      </c>
      <c r="B205" s="6739"/>
      <c r="C205" s="1737">
        <f t="shared" si="269"/>
        <v>0</v>
      </c>
      <c r="D205" s="3442">
        <f t="shared" si="269"/>
        <v>0</v>
      </c>
      <c r="E205" s="2381"/>
      <c r="F205" s="2885"/>
      <c r="G205" s="2381"/>
      <c r="H205" s="2885"/>
      <c r="I205" s="2381"/>
      <c r="J205" s="2885"/>
      <c r="K205" s="2381"/>
      <c r="L205" s="2885"/>
      <c r="M205" s="2381"/>
      <c r="N205" s="2885"/>
      <c r="O205" s="3419"/>
      <c r="P205" s="3420"/>
      <c r="Q205" s="3419"/>
      <c r="R205" s="3420"/>
      <c r="S205" s="3419"/>
      <c r="T205" s="3420"/>
      <c r="U205" s="3419"/>
      <c r="V205" s="3420"/>
      <c r="W205" s="3419"/>
      <c r="X205" s="3420"/>
      <c r="Y205" s="3419"/>
      <c r="Z205" s="3420"/>
      <c r="AA205" s="3419"/>
      <c r="AB205" s="3420"/>
      <c r="AC205" s="3419"/>
      <c r="AD205" s="3440"/>
      <c r="AE205" s="3419"/>
      <c r="AF205" s="3440"/>
      <c r="AG205" s="3419"/>
      <c r="AH205" s="3441"/>
      <c r="AI205" s="3419"/>
      <c r="AJ205" s="3420"/>
      <c r="AK205" s="3421"/>
      <c r="AL205" s="3422"/>
      <c r="AM205" s="3419"/>
      <c r="AN205" s="3423"/>
      <c r="AO205" s="3421"/>
      <c r="AP205" s="3422"/>
      <c r="AQ205" s="3424"/>
      <c r="AR205" s="3423"/>
      <c r="AS205" s="3421"/>
      <c r="AT205" s="3423"/>
      <c r="AU205" s="3421"/>
      <c r="AV205" s="3422"/>
      <c r="AW205" s="3421"/>
      <c r="AX205" s="3422"/>
      <c r="AY205" s="3373" t="str">
        <f t="shared" si="261"/>
        <v/>
      </c>
      <c r="CA205" s="3413" t="str">
        <f t="shared" si="257"/>
        <v/>
      </c>
      <c r="CB205" s="418" t="str">
        <f t="shared" si="245"/>
        <v/>
      </c>
      <c r="CC205" s="418" t="str">
        <f t="shared" si="221"/>
        <v/>
      </c>
      <c r="CD205" s="417"/>
      <c r="CE205" s="417"/>
      <c r="CF205" s="417"/>
      <c r="CG205" s="417"/>
      <c r="CH205" s="417"/>
      <c r="CI205" s="418" t="str">
        <f t="shared" si="258"/>
        <v/>
      </c>
      <c r="CJ205" s="3366"/>
      <c r="CK205" s="418" t="str">
        <f t="shared" si="223"/>
        <v/>
      </c>
      <c r="CL205" s="418" t="str">
        <f t="shared" si="224"/>
        <v/>
      </c>
      <c r="CM205" s="418" t="str">
        <f t="shared" si="225"/>
        <v/>
      </c>
      <c r="CN205" s="418" t="str">
        <f t="shared" si="226"/>
        <v/>
      </c>
      <c r="CO205" s="418" t="str">
        <f t="shared" si="227"/>
        <v/>
      </c>
      <c r="CP205" s="418" t="str">
        <f t="shared" si="228"/>
        <v/>
      </c>
      <c r="CQ205" s="418" t="str">
        <f t="shared" si="229"/>
        <v/>
      </c>
      <c r="CR205" s="417"/>
      <c r="CS205" s="417"/>
      <c r="CT205" s="1708" t="str">
        <f t="shared" si="230"/>
        <v/>
      </c>
      <c r="CU205" s="1708" t="str">
        <f t="shared" si="231"/>
        <v/>
      </c>
      <c r="DF205" s="3415">
        <f t="shared" si="232"/>
        <v>0</v>
      </c>
      <c r="DG205" s="3389">
        <f t="shared" si="246"/>
        <v>0</v>
      </c>
      <c r="DH205" s="3389">
        <f t="shared" si="233"/>
        <v>0</v>
      </c>
      <c r="DI205" s="417"/>
      <c r="DJ205" s="417"/>
      <c r="DK205" s="417"/>
      <c r="DL205" s="417"/>
      <c r="DM205" s="417"/>
      <c r="DN205" s="3389">
        <f t="shared" si="234"/>
        <v>0</v>
      </c>
      <c r="DO205" s="3366"/>
      <c r="DP205" s="3389">
        <f t="shared" si="235"/>
        <v>0</v>
      </c>
      <c r="DQ205" s="3389">
        <f t="shared" si="236"/>
        <v>0</v>
      </c>
      <c r="DR205" s="3389">
        <f t="shared" si="237"/>
        <v>0</v>
      </c>
      <c r="DS205" s="3389">
        <f t="shared" si="238"/>
        <v>0</v>
      </c>
      <c r="DT205" s="3389">
        <f t="shared" si="259"/>
        <v>0</v>
      </c>
      <c r="DU205" s="3389">
        <f t="shared" si="240"/>
        <v>0</v>
      </c>
      <c r="DV205" s="3389">
        <f t="shared" si="241"/>
        <v>0</v>
      </c>
      <c r="DW205" s="417"/>
      <c r="DX205" s="417"/>
      <c r="DY205" s="3389">
        <f t="shared" si="242"/>
        <v>0</v>
      </c>
      <c r="DZ205" s="3389">
        <f t="shared" si="243"/>
        <v>0</v>
      </c>
    </row>
    <row r="206" spans="1:130">
      <c r="A206" s="6738" t="s">
        <v>1994</v>
      </c>
      <c r="B206" s="6739"/>
      <c r="C206" s="1737">
        <f t="shared" ref="C206:D210" si="270">+E206+G206+I206+K206+M206+O206+Q206+S206+U206+W206+Y206+AA206+AC206+AE206+AG206+AI206</f>
        <v>0</v>
      </c>
      <c r="D206" s="3442">
        <f t="shared" si="270"/>
        <v>0</v>
      </c>
      <c r="E206" s="3419"/>
      <c r="F206" s="3420"/>
      <c r="G206" s="3419"/>
      <c r="H206" s="3420"/>
      <c r="I206" s="3419"/>
      <c r="J206" s="3420"/>
      <c r="K206" s="3419"/>
      <c r="L206" s="3420"/>
      <c r="M206" s="3419"/>
      <c r="N206" s="3420"/>
      <c r="O206" s="3419"/>
      <c r="P206" s="3420"/>
      <c r="Q206" s="3419"/>
      <c r="R206" s="3420"/>
      <c r="S206" s="3419"/>
      <c r="T206" s="3420"/>
      <c r="U206" s="3419"/>
      <c r="V206" s="3420"/>
      <c r="W206" s="3419"/>
      <c r="X206" s="3420"/>
      <c r="Y206" s="3419"/>
      <c r="Z206" s="3420"/>
      <c r="AA206" s="3419"/>
      <c r="AB206" s="3420"/>
      <c r="AC206" s="3419"/>
      <c r="AD206" s="3440"/>
      <c r="AE206" s="3419"/>
      <c r="AF206" s="3440"/>
      <c r="AG206" s="3419"/>
      <c r="AH206" s="3441"/>
      <c r="AI206" s="3419"/>
      <c r="AJ206" s="3420"/>
      <c r="AK206" s="3421"/>
      <c r="AL206" s="3422"/>
      <c r="AM206" s="3419"/>
      <c r="AN206" s="3423"/>
      <c r="AO206" s="3421"/>
      <c r="AP206" s="3422"/>
      <c r="AQ206" s="3424"/>
      <c r="AR206" s="3423"/>
      <c r="AS206" s="3421"/>
      <c r="AT206" s="3423"/>
      <c r="AU206" s="3421"/>
      <c r="AV206" s="3422"/>
      <c r="AW206" s="3421"/>
      <c r="AX206" s="3422"/>
      <c r="AY206" s="3373" t="str">
        <f t="shared" si="261"/>
        <v/>
      </c>
      <c r="CA206" s="3413" t="str">
        <f t="shared" si="257"/>
        <v/>
      </c>
      <c r="CB206" s="418" t="str">
        <f t="shared" si="245"/>
        <v/>
      </c>
      <c r="CC206" s="418" t="str">
        <f t="shared" si="221"/>
        <v/>
      </c>
      <c r="CD206" s="417"/>
      <c r="CE206" s="417"/>
      <c r="CF206" s="417"/>
      <c r="CG206" s="417"/>
      <c r="CH206" s="417"/>
      <c r="CI206" s="418" t="str">
        <f t="shared" si="258"/>
        <v/>
      </c>
      <c r="CJ206" s="3366"/>
      <c r="CK206" s="418" t="str">
        <f t="shared" si="223"/>
        <v/>
      </c>
      <c r="CL206" s="418" t="str">
        <f t="shared" si="224"/>
        <v/>
      </c>
      <c r="CM206" s="418" t="str">
        <f t="shared" si="225"/>
        <v/>
      </c>
      <c r="CN206" s="418" t="str">
        <f t="shared" si="226"/>
        <v/>
      </c>
      <c r="CO206" s="418" t="str">
        <f t="shared" si="227"/>
        <v/>
      </c>
      <c r="CP206" s="418" t="str">
        <f t="shared" si="228"/>
        <v/>
      </c>
      <c r="CQ206" s="418" t="str">
        <f t="shared" si="229"/>
        <v/>
      </c>
      <c r="CR206" s="417"/>
      <c r="CS206" s="417"/>
      <c r="CT206" s="1708" t="str">
        <f t="shared" si="230"/>
        <v/>
      </c>
      <c r="CU206" s="1708" t="str">
        <f t="shared" si="231"/>
        <v/>
      </c>
      <c r="DF206" s="3415">
        <f t="shared" si="232"/>
        <v>0</v>
      </c>
      <c r="DG206" s="3389">
        <f t="shared" si="246"/>
        <v>0</v>
      </c>
      <c r="DH206" s="3389">
        <f t="shared" si="233"/>
        <v>0</v>
      </c>
      <c r="DI206" s="417"/>
      <c r="DJ206" s="417"/>
      <c r="DK206" s="417"/>
      <c r="DL206" s="417"/>
      <c r="DM206" s="417"/>
      <c r="DN206" s="3389">
        <f t="shared" si="234"/>
        <v>0</v>
      </c>
      <c r="DO206" s="3366"/>
      <c r="DP206" s="3389">
        <f t="shared" si="235"/>
        <v>0</v>
      </c>
      <c r="DQ206" s="3389">
        <f t="shared" si="236"/>
        <v>0</v>
      </c>
      <c r="DR206" s="3389">
        <f t="shared" si="237"/>
        <v>0</v>
      </c>
      <c r="DS206" s="3389">
        <f t="shared" si="238"/>
        <v>0</v>
      </c>
      <c r="DT206" s="3389">
        <f t="shared" si="259"/>
        <v>0</v>
      </c>
      <c r="DU206" s="3389">
        <f t="shared" si="240"/>
        <v>0</v>
      </c>
      <c r="DV206" s="3389">
        <f t="shared" si="241"/>
        <v>0</v>
      </c>
      <c r="DW206" s="417"/>
      <c r="DX206" s="417"/>
      <c r="DY206" s="3389">
        <f t="shared" si="242"/>
        <v>0</v>
      </c>
      <c r="DZ206" s="3389">
        <f t="shared" si="243"/>
        <v>0</v>
      </c>
    </row>
    <row r="207" spans="1:130">
      <c r="A207" s="6738" t="s">
        <v>1995</v>
      </c>
      <c r="B207" s="6739"/>
      <c r="C207" s="1737">
        <f t="shared" si="270"/>
        <v>0</v>
      </c>
      <c r="D207" s="3442">
        <f t="shared" si="270"/>
        <v>0</v>
      </c>
      <c r="E207" s="3419"/>
      <c r="F207" s="3420"/>
      <c r="G207" s="3419"/>
      <c r="H207" s="3420"/>
      <c r="I207" s="3419"/>
      <c r="J207" s="3420"/>
      <c r="K207" s="3419"/>
      <c r="L207" s="3420"/>
      <c r="M207" s="3419"/>
      <c r="N207" s="3420"/>
      <c r="O207" s="3419"/>
      <c r="P207" s="3420"/>
      <c r="Q207" s="3419"/>
      <c r="R207" s="3420"/>
      <c r="S207" s="3419"/>
      <c r="T207" s="3420"/>
      <c r="U207" s="3419"/>
      <c r="V207" s="3420"/>
      <c r="W207" s="3419"/>
      <c r="X207" s="3420"/>
      <c r="Y207" s="3419"/>
      <c r="Z207" s="3420"/>
      <c r="AA207" s="3419"/>
      <c r="AB207" s="3420"/>
      <c r="AC207" s="3419"/>
      <c r="AD207" s="3440"/>
      <c r="AE207" s="3419"/>
      <c r="AF207" s="3440"/>
      <c r="AG207" s="3419"/>
      <c r="AH207" s="3441"/>
      <c r="AI207" s="3419"/>
      <c r="AJ207" s="3420"/>
      <c r="AK207" s="3421"/>
      <c r="AL207" s="3422"/>
      <c r="AM207" s="3419"/>
      <c r="AN207" s="3423"/>
      <c r="AO207" s="3421"/>
      <c r="AP207" s="3422"/>
      <c r="AQ207" s="3424"/>
      <c r="AR207" s="3423"/>
      <c r="AS207" s="3421"/>
      <c r="AT207" s="3423"/>
      <c r="AU207" s="3421"/>
      <c r="AV207" s="3422"/>
      <c r="AW207" s="3421"/>
      <c r="AX207" s="3422"/>
      <c r="AY207" s="3373" t="str">
        <f t="shared" si="261"/>
        <v/>
      </c>
      <c r="CA207" s="3413" t="str">
        <f t="shared" si="257"/>
        <v/>
      </c>
      <c r="CB207" s="418" t="str">
        <f t="shared" si="245"/>
        <v/>
      </c>
      <c r="CC207" s="418" t="str">
        <f t="shared" si="221"/>
        <v/>
      </c>
      <c r="CD207" s="417"/>
      <c r="CE207" s="417"/>
      <c r="CF207" s="417"/>
      <c r="CG207" s="417"/>
      <c r="CH207" s="417"/>
      <c r="CI207" s="418" t="str">
        <f t="shared" si="258"/>
        <v/>
      </c>
      <c r="CJ207" s="3366"/>
      <c r="CK207" s="418" t="str">
        <f t="shared" si="223"/>
        <v/>
      </c>
      <c r="CL207" s="418" t="str">
        <f t="shared" si="224"/>
        <v/>
      </c>
      <c r="CM207" s="418" t="str">
        <f t="shared" si="225"/>
        <v/>
      </c>
      <c r="CN207" s="418" t="str">
        <f t="shared" si="226"/>
        <v/>
      </c>
      <c r="CO207" s="418" t="str">
        <f t="shared" si="227"/>
        <v/>
      </c>
      <c r="CP207" s="418" t="str">
        <f t="shared" si="228"/>
        <v/>
      </c>
      <c r="CQ207" s="418" t="str">
        <f t="shared" si="229"/>
        <v/>
      </c>
      <c r="CR207" s="417"/>
      <c r="CS207" s="417"/>
      <c r="CT207" s="1708" t="str">
        <f t="shared" si="230"/>
        <v/>
      </c>
      <c r="CU207" s="1708" t="str">
        <f t="shared" si="231"/>
        <v/>
      </c>
      <c r="DF207" s="3415">
        <f t="shared" si="232"/>
        <v>0</v>
      </c>
      <c r="DG207" s="3389">
        <f t="shared" si="246"/>
        <v>0</v>
      </c>
      <c r="DH207" s="3389">
        <f t="shared" si="233"/>
        <v>0</v>
      </c>
      <c r="DI207" s="417"/>
      <c r="DJ207" s="417"/>
      <c r="DK207" s="417"/>
      <c r="DL207" s="417"/>
      <c r="DM207" s="417"/>
      <c r="DN207" s="3389">
        <f t="shared" si="234"/>
        <v>0</v>
      </c>
      <c r="DO207" s="3366"/>
      <c r="DP207" s="3389">
        <f t="shared" si="235"/>
        <v>0</v>
      </c>
      <c r="DQ207" s="3389">
        <f t="shared" si="236"/>
        <v>0</v>
      </c>
      <c r="DR207" s="3389">
        <f t="shared" si="237"/>
        <v>0</v>
      </c>
      <c r="DS207" s="3389">
        <f t="shared" si="238"/>
        <v>0</v>
      </c>
      <c r="DT207" s="3389">
        <f t="shared" si="259"/>
        <v>0</v>
      </c>
      <c r="DU207" s="3389">
        <f t="shared" si="240"/>
        <v>0</v>
      </c>
      <c r="DV207" s="3389">
        <f t="shared" si="241"/>
        <v>0</v>
      </c>
      <c r="DW207" s="417"/>
      <c r="DX207" s="417"/>
      <c r="DY207" s="3389">
        <f t="shared" si="242"/>
        <v>0</v>
      </c>
      <c r="DZ207" s="3389">
        <f t="shared" si="243"/>
        <v>0</v>
      </c>
    </row>
    <row r="208" spans="1:130">
      <c r="A208" s="6738" t="s">
        <v>1996</v>
      </c>
      <c r="B208" s="6739"/>
      <c r="C208" s="1737">
        <f t="shared" si="270"/>
        <v>0</v>
      </c>
      <c r="D208" s="3442">
        <f t="shared" si="270"/>
        <v>0</v>
      </c>
      <c r="E208" s="3419"/>
      <c r="F208" s="3420"/>
      <c r="G208" s="3419"/>
      <c r="H208" s="3420"/>
      <c r="I208" s="3419"/>
      <c r="J208" s="3420"/>
      <c r="K208" s="3419"/>
      <c r="L208" s="3420"/>
      <c r="M208" s="3419"/>
      <c r="N208" s="3420"/>
      <c r="O208" s="3419"/>
      <c r="P208" s="3420"/>
      <c r="Q208" s="3419"/>
      <c r="R208" s="3420"/>
      <c r="S208" s="3419"/>
      <c r="T208" s="3420"/>
      <c r="U208" s="3419"/>
      <c r="V208" s="3420"/>
      <c r="W208" s="3419"/>
      <c r="X208" s="3420"/>
      <c r="Y208" s="3419"/>
      <c r="Z208" s="3420"/>
      <c r="AA208" s="3419"/>
      <c r="AB208" s="3420"/>
      <c r="AC208" s="3419"/>
      <c r="AD208" s="3440"/>
      <c r="AE208" s="3419"/>
      <c r="AF208" s="3440"/>
      <c r="AG208" s="3419"/>
      <c r="AH208" s="3441"/>
      <c r="AI208" s="3419"/>
      <c r="AJ208" s="3420"/>
      <c r="AK208" s="3421"/>
      <c r="AL208" s="3422"/>
      <c r="AM208" s="3419"/>
      <c r="AN208" s="3423"/>
      <c r="AO208" s="3421"/>
      <c r="AP208" s="3422"/>
      <c r="AQ208" s="3424"/>
      <c r="AR208" s="3423"/>
      <c r="AS208" s="3421"/>
      <c r="AT208" s="3423"/>
      <c r="AU208" s="3421"/>
      <c r="AV208" s="3422"/>
      <c r="AW208" s="3421"/>
      <c r="AX208" s="3422"/>
      <c r="AY208" s="3373" t="str">
        <f t="shared" si="261"/>
        <v/>
      </c>
      <c r="CA208" s="3413" t="str">
        <f t="shared" si="257"/>
        <v/>
      </c>
      <c r="CB208" s="418" t="str">
        <f t="shared" si="245"/>
        <v/>
      </c>
      <c r="CC208" s="418" t="str">
        <f t="shared" si="221"/>
        <v/>
      </c>
      <c r="CD208" s="417"/>
      <c r="CE208" s="417"/>
      <c r="CF208" s="417"/>
      <c r="CG208" s="417"/>
      <c r="CH208" s="417"/>
      <c r="CI208" s="418" t="str">
        <f t="shared" si="258"/>
        <v/>
      </c>
      <c r="CJ208" s="3366"/>
      <c r="CK208" s="418" t="str">
        <f t="shared" si="223"/>
        <v/>
      </c>
      <c r="CL208" s="418" t="str">
        <f t="shared" si="224"/>
        <v/>
      </c>
      <c r="CM208" s="418" t="str">
        <f t="shared" si="225"/>
        <v/>
      </c>
      <c r="CN208" s="418" t="str">
        <f t="shared" si="226"/>
        <v/>
      </c>
      <c r="CO208" s="418" t="str">
        <f t="shared" si="227"/>
        <v/>
      </c>
      <c r="CP208" s="418" t="str">
        <f t="shared" si="228"/>
        <v/>
      </c>
      <c r="CQ208" s="418" t="str">
        <f t="shared" si="229"/>
        <v/>
      </c>
      <c r="CR208" s="417"/>
      <c r="CS208" s="417"/>
      <c r="CT208" s="1708" t="str">
        <f t="shared" si="230"/>
        <v/>
      </c>
      <c r="CU208" s="1708" t="str">
        <f t="shared" si="231"/>
        <v/>
      </c>
      <c r="DF208" s="3415">
        <f t="shared" si="232"/>
        <v>0</v>
      </c>
      <c r="DG208" s="3389">
        <f t="shared" si="246"/>
        <v>0</v>
      </c>
      <c r="DH208" s="3389">
        <f t="shared" si="233"/>
        <v>0</v>
      </c>
      <c r="DI208" s="417"/>
      <c r="DJ208" s="417"/>
      <c r="DK208" s="417"/>
      <c r="DL208" s="417"/>
      <c r="DM208" s="417"/>
      <c r="DN208" s="3389">
        <f t="shared" si="234"/>
        <v>0</v>
      </c>
      <c r="DO208" s="3366"/>
      <c r="DP208" s="3389">
        <f t="shared" si="235"/>
        <v>0</v>
      </c>
      <c r="DQ208" s="3389">
        <f t="shared" si="236"/>
        <v>0</v>
      </c>
      <c r="DR208" s="3389">
        <f t="shared" si="237"/>
        <v>0</v>
      </c>
      <c r="DS208" s="3389">
        <f t="shared" si="238"/>
        <v>0</v>
      </c>
      <c r="DT208" s="3389">
        <f t="shared" si="259"/>
        <v>0</v>
      </c>
      <c r="DU208" s="3389">
        <f t="shared" si="240"/>
        <v>0</v>
      </c>
      <c r="DV208" s="3389">
        <f t="shared" si="241"/>
        <v>0</v>
      </c>
      <c r="DW208" s="417"/>
      <c r="DX208" s="417"/>
      <c r="DY208" s="3389">
        <f t="shared" si="242"/>
        <v>0</v>
      </c>
      <c r="DZ208" s="3389">
        <f t="shared" si="243"/>
        <v>0</v>
      </c>
    </row>
    <row r="209" spans="1:130">
      <c r="A209" s="6738" t="s">
        <v>1997</v>
      </c>
      <c r="B209" s="6739"/>
      <c r="C209" s="1737">
        <f t="shared" si="270"/>
        <v>0</v>
      </c>
      <c r="D209" s="3442">
        <f t="shared" si="270"/>
        <v>0</v>
      </c>
      <c r="E209" s="3419"/>
      <c r="F209" s="3420"/>
      <c r="G209" s="3419"/>
      <c r="H209" s="3420"/>
      <c r="I209" s="3419"/>
      <c r="J209" s="3420"/>
      <c r="K209" s="3419"/>
      <c r="L209" s="3420"/>
      <c r="M209" s="3419"/>
      <c r="N209" s="3420"/>
      <c r="O209" s="3419"/>
      <c r="P209" s="3420"/>
      <c r="Q209" s="3419"/>
      <c r="R209" s="3420"/>
      <c r="S209" s="3419"/>
      <c r="T209" s="3420"/>
      <c r="U209" s="3419"/>
      <c r="V209" s="3420"/>
      <c r="W209" s="3419"/>
      <c r="X209" s="3420"/>
      <c r="Y209" s="3419"/>
      <c r="Z209" s="3420"/>
      <c r="AA209" s="3419"/>
      <c r="AB209" s="3420"/>
      <c r="AC209" s="3419"/>
      <c r="AD209" s="3440"/>
      <c r="AE209" s="3419"/>
      <c r="AF209" s="3440"/>
      <c r="AG209" s="3419"/>
      <c r="AH209" s="3441"/>
      <c r="AI209" s="3419"/>
      <c r="AJ209" s="3420"/>
      <c r="AK209" s="3421"/>
      <c r="AL209" s="3422"/>
      <c r="AM209" s="3419"/>
      <c r="AN209" s="3423"/>
      <c r="AO209" s="3421"/>
      <c r="AP209" s="3422"/>
      <c r="AQ209" s="3424"/>
      <c r="AR209" s="3423"/>
      <c r="AS209" s="3421"/>
      <c r="AT209" s="3423"/>
      <c r="AU209" s="3421"/>
      <c r="AV209" s="3422"/>
      <c r="AW209" s="3421"/>
      <c r="AX209" s="3422"/>
      <c r="AY209" s="3373" t="str">
        <f t="shared" si="261"/>
        <v/>
      </c>
      <c r="CA209" s="3413" t="str">
        <f t="shared" si="257"/>
        <v/>
      </c>
      <c r="CB209" s="418" t="str">
        <f t="shared" si="245"/>
        <v/>
      </c>
      <c r="CC209" s="418" t="str">
        <f t="shared" si="221"/>
        <v/>
      </c>
      <c r="CD209" s="417"/>
      <c r="CE209" s="417"/>
      <c r="CF209" s="417"/>
      <c r="CG209" s="417"/>
      <c r="CH209" s="417"/>
      <c r="CI209" s="418" t="str">
        <f t="shared" si="258"/>
        <v/>
      </c>
      <c r="CJ209" s="3366"/>
      <c r="CK209" s="418" t="str">
        <f t="shared" si="223"/>
        <v/>
      </c>
      <c r="CL209" s="418" t="str">
        <f t="shared" si="224"/>
        <v/>
      </c>
      <c r="CM209" s="418" t="str">
        <f t="shared" si="225"/>
        <v/>
      </c>
      <c r="CN209" s="418" t="str">
        <f t="shared" si="226"/>
        <v/>
      </c>
      <c r="CO209" s="418" t="str">
        <f t="shared" si="227"/>
        <v/>
      </c>
      <c r="CP209" s="418" t="str">
        <f t="shared" si="228"/>
        <v/>
      </c>
      <c r="CQ209" s="418" t="str">
        <f t="shared" si="229"/>
        <v/>
      </c>
      <c r="CR209" s="417"/>
      <c r="CS209" s="417"/>
      <c r="CT209" s="1708" t="str">
        <f t="shared" si="230"/>
        <v/>
      </c>
      <c r="CU209" s="1708" t="str">
        <f t="shared" si="231"/>
        <v/>
      </c>
      <c r="DF209" s="3415">
        <f t="shared" si="232"/>
        <v>0</v>
      </c>
      <c r="DG209" s="3389">
        <f t="shared" si="246"/>
        <v>0</v>
      </c>
      <c r="DH209" s="3389">
        <f t="shared" si="233"/>
        <v>0</v>
      </c>
      <c r="DI209" s="417"/>
      <c r="DJ209" s="417"/>
      <c r="DK209" s="417"/>
      <c r="DL209" s="417"/>
      <c r="DM209" s="417"/>
      <c r="DN209" s="3389">
        <f t="shared" si="234"/>
        <v>0</v>
      </c>
      <c r="DO209" s="3366"/>
      <c r="DP209" s="3389">
        <f t="shared" si="235"/>
        <v>0</v>
      </c>
      <c r="DQ209" s="3389">
        <f t="shared" si="236"/>
        <v>0</v>
      </c>
      <c r="DR209" s="3389">
        <f t="shared" si="237"/>
        <v>0</v>
      </c>
      <c r="DS209" s="3389">
        <f t="shared" si="238"/>
        <v>0</v>
      </c>
      <c r="DT209" s="3389">
        <f t="shared" si="259"/>
        <v>0</v>
      </c>
      <c r="DU209" s="3389">
        <f t="shared" si="240"/>
        <v>0</v>
      </c>
      <c r="DV209" s="3389">
        <f t="shared" si="241"/>
        <v>0</v>
      </c>
      <c r="DW209" s="417"/>
      <c r="DX209" s="417"/>
      <c r="DY209" s="3389">
        <f t="shared" si="242"/>
        <v>0</v>
      </c>
      <c r="DZ209" s="3389">
        <f t="shared" si="243"/>
        <v>0</v>
      </c>
    </row>
    <row r="210" spans="1:130">
      <c r="A210" s="6740" t="s">
        <v>1998</v>
      </c>
      <c r="B210" s="6741"/>
      <c r="C210" s="1773">
        <f t="shared" si="270"/>
        <v>0</v>
      </c>
      <c r="D210" s="2296">
        <f t="shared" si="270"/>
        <v>0</v>
      </c>
      <c r="E210" s="432"/>
      <c r="F210" s="3384"/>
      <c r="G210" s="432"/>
      <c r="H210" s="3384"/>
      <c r="I210" s="432"/>
      <c r="J210" s="3384"/>
      <c r="K210" s="432"/>
      <c r="L210" s="3384"/>
      <c r="M210" s="432"/>
      <c r="N210" s="433"/>
      <c r="O210" s="432"/>
      <c r="P210" s="3384"/>
      <c r="Q210" s="432"/>
      <c r="R210" s="3384"/>
      <c r="S210" s="432"/>
      <c r="T210" s="3384"/>
      <c r="U210" s="432"/>
      <c r="V210" s="3384"/>
      <c r="W210" s="432"/>
      <c r="X210" s="3384"/>
      <c r="Y210" s="432"/>
      <c r="Z210" s="3384"/>
      <c r="AA210" s="432"/>
      <c r="AB210" s="3384"/>
      <c r="AC210" s="432"/>
      <c r="AD210" s="3443"/>
      <c r="AE210" s="432"/>
      <c r="AF210" s="3443"/>
      <c r="AG210" s="432"/>
      <c r="AH210" s="433"/>
      <c r="AI210" s="432"/>
      <c r="AJ210" s="3384"/>
      <c r="AK210" s="3386"/>
      <c r="AL210" s="2235"/>
      <c r="AM210" s="432"/>
      <c r="AN210" s="3425"/>
      <c r="AO210" s="3386"/>
      <c r="AP210" s="2235"/>
      <c r="AQ210" s="3385"/>
      <c r="AR210" s="3425"/>
      <c r="AS210" s="3386"/>
      <c r="AT210" s="3425"/>
      <c r="AU210" s="3386"/>
      <c r="AV210" s="2235"/>
      <c r="AW210" s="3386"/>
      <c r="AX210" s="2235"/>
      <c r="AY210" s="3373" t="str">
        <f t="shared" si="261"/>
        <v/>
      </c>
      <c r="CA210" s="3413" t="str">
        <f t="shared" si="257"/>
        <v/>
      </c>
      <c r="CB210" s="418" t="str">
        <f t="shared" si="245"/>
        <v/>
      </c>
      <c r="CC210" s="418" t="str">
        <f t="shared" si="221"/>
        <v/>
      </c>
      <c r="CD210" s="417"/>
      <c r="CE210" s="417"/>
      <c r="CF210" s="417"/>
      <c r="CG210" s="417"/>
      <c r="CH210" s="417"/>
      <c r="CI210" s="418" t="str">
        <f t="shared" si="258"/>
        <v/>
      </c>
      <c r="CJ210" s="3366"/>
      <c r="CK210" s="418" t="str">
        <f t="shared" si="223"/>
        <v/>
      </c>
      <c r="CL210" s="418" t="str">
        <f t="shared" si="224"/>
        <v/>
      </c>
      <c r="CM210" s="418" t="str">
        <f t="shared" si="225"/>
        <v/>
      </c>
      <c r="CN210" s="418" t="str">
        <f t="shared" si="226"/>
        <v/>
      </c>
      <c r="CO210" s="418" t="str">
        <f t="shared" si="227"/>
        <v/>
      </c>
      <c r="CP210" s="418" t="str">
        <f t="shared" si="228"/>
        <v/>
      </c>
      <c r="CQ210" s="418" t="str">
        <f t="shared" si="229"/>
        <v/>
      </c>
      <c r="CR210" s="417"/>
      <c r="CS210" s="417"/>
      <c r="CT210" s="1708" t="str">
        <f t="shared" si="230"/>
        <v/>
      </c>
      <c r="CU210" s="1708" t="str">
        <f t="shared" si="231"/>
        <v/>
      </c>
      <c r="DF210" s="3415">
        <f t="shared" si="232"/>
        <v>0</v>
      </c>
      <c r="DG210" s="3389">
        <f t="shared" si="246"/>
        <v>0</v>
      </c>
      <c r="DH210" s="3389">
        <f t="shared" si="233"/>
        <v>0</v>
      </c>
      <c r="DI210" s="417"/>
      <c r="DJ210" s="417"/>
      <c r="DK210" s="417"/>
      <c r="DL210" s="417"/>
      <c r="DM210" s="417"/>
      <c r="DN210" s="3389">
        <f t="shared" si="234"/>
        <v>0</v>
      </c>
      <c r="DO210" s="3366"/>
      <c r="DP210" s="3389">
        <f t="shared" si="235"/>
        <v>0</v>
      </c>
      <c r="DQ210" s="3389">
        <f t="shared" si="236"/>
        <v>0</v>
      </c>
      <c r="DR210" s="3389">
        <f t="shared" si="237"/>
        <v>0</v>
      </c>
      <c r="DS210" s="3389">
        <f t="shared" si="238"/>
        <v>0</v>
      </c>
      <c r="DT210" s="3389">
        <f t="shared" si="259"/>
        <v>0</v>
      </c>
      <c r="DU210" s="3389">
        <f t="shared" si="240"/>
        <v>0</v>
      </c>
      <c r="DV210" s="3389">
        <f t="shared" si="241"/>
        <v>0</v>
      </c>
      <c r="DW210" s="417"/>
      <c r="DX210" s="417"/>
      <c r="DY210" s="3389">
        <f t="shared" si="242"/>
        <v>0</v>
      </c>
      <c r="DZ210" s="3389">
        <f t="shared" si="243"/>
        <v>0</v>
      </c>
    </row>
    <row r="211" spans="1:130" ht="18" customHeight="1">
      <c r="A211" s="3446" t="s">
        <v>2000</v>
      </c>
      <c r="B211" s="3446"/>
      <c r="C211" s="3446"/>
      <c r="D211" s="3446"/>
      <c r="E211" s="3446"/>
      <c r="F211" s="3446"/>
      <c r="G211" s="3446"/>
      <c r="H211" s="3446"/>
      <c r="I211" s="3446"/>
      <c r="J211" s="3446"/>
      <c r="K211" s="3446"/>
      <c r="L211" s="3446"/>
      <c r="M211" s="3446"/>
      <c r="N211" s="3446"/>
      <c r="O211" s="3446"/>
      <c r="P211" s="3446"/>
      <c r="Q211" s="3446"/>
      <c r="R211" s="3446"/>
      <c r="S211" s="3446"/>
      <c r="T211" s="3446"/>
      <c r="U211" s="3446"/>
      <c r="V211" s="3446"/>
      <c r="W211" s="3446"/>
      <c r="X211" s="3446"/>
      <c r="Y211" s="3446"/>
      <c r="Z211" s="3446"/>
      <c r="AA211" s="3446"/>
      <c r="AB211" s="3446"/>
      <c r="AC211" s="3446"/>
      <c r="AD211" s="3446"/>
      <c r="AE211" s="3446"/>
      <c r="AF211" s="3446"/>
      <c r="AG211" s="3446"/>
      <c r="AH211" s="3446"/>
      <c r="AI211" s="3446"/>
      <c r="AJ211" s="3446"/>
      <c r="AK211" s="3446"/>
      <c r="AL211" s="3366"/>
      <c r="AM211" s="3366"/>
      <c r="AN211" s="3366"/>
      <c r="AO211" s="3366"/>
      <c r="AP211" s="3366"/>
      <c r="AQ211" s="3366"/>
    </row>
    <row r="212" spans="1:130" ht="23.25" customHeight="1">
      <c r="A212" s="6722" t="s">
        <v>1965</v>
      </c>
      <c r="B212" s="6492" t="s">
        <v>91</v>
      </c>
      <c r="C212" s="6492"/>
      <c r="D212" s="6492" t="s">
        <v>43</v>
      </c>
      <c r="E212" s="6492"/>
      <c r="F212" s="6492"/>
      <c r="G212" s="6492"/>
      <c r="H212" s="6492"/>
      <c r="I212" s="6492"/>
      <c r="J212" s="6492"/>
      <c r="K212" s="6492"/>
      <c r="L212" s="6492"/>
      <c r="M212" s="6492"/>
      <c r="N212" s="6492"/>
      <c r="O212" s="6492"/>
      <c r="P212" s="6492"/>
      <c r="Q212" s="6492"/>
      <c r="R212" s="6492"/>
      <c r="S212" s="6492"/>
      <c r="T212" s="6492"/>
      <c r="U212" s="6492"/>
      <c r="V212" s="6492"/>
      <c r="W212" s="6492"/>
      <c r="X212" s="6492"/>
      <c r="Y212" s="6492"/>
      <c r="Z212" s="6492"/>
      <c r="AA212" s="6492"/>
      <c r="AB212" s="6492"/>
      <c r="AC212" s="6492"/>
      <c r="AD212" s="6492"/>
      <c r="AE212" s="6492"/>
      <c r="AF212" s="6492"/>
      <c r="AG212" s="6492"/>
      <c r="AH212" s="6492"/>
      <c r="AI212" s="6492"/>
      <c r="AJ212" s="6492"/>
      <c r="AK212" s="6725"/>
      <c r="AL212" s="6059" t="s">
        <v>2001</v>
      </c>
      <c r="AM212" s="6737"/>
      <c r="AN212" s="6191" t="s">
        <v>478</v>
      </c>
      <c r="AO212" s="5716"/>
      <c r="AP212" s="6059" t="s">
        <v>50</v>
      </c>
      <c r="AQ212" s="6494" t="s">
        <v>51</v>
      </c>
    </row>
    <row r="213" spans="1:130">
      <c r="A213" s="6723"/>
      <c r="B213" s="6492"/>
      <c r="C213" s="6492"/>
      <c r="D213" s="6492" t="s">
        <v>364</v>
      </c>
      <c r="E213" s="6492"/>
      <c r="F213" s="6492" t="s">
        <v>347</v>
      </c>
      <c r="G213" s="6492"/>
      <c r="H213" s="6492" t="s">
        <v>108</v>
      </c>
      <c r="I213" s="6492"/>
      <c r="J213" s="6492" t="s">
        <v>58</v>
      </c>
      <c r="K213" s="6492"/>
      <c r="L213" s="6492" t="s">
        <v>59</v>
      </c>
      <c r="M213" s="6492"/>
      <c r="N213" s="6492" t="s">
        <v>60</v>
      </c>
      <c r="O213" s="6492"/>
      <c r="P213" s="6492" t="s">
        <v>61</v>
      </c>
      <c r="Q213" s="6492"/>
      <c r="R213" s="6492" t="s">
        <v>62</v>
      </c>
      <c r="S213" s="6492"/>
      <c r="T213" s="6492" t="s">
        <v>63</v>
      </c>
      <c r="U213" s="6492"/>
      <c r="V213" s="6492" t="s">
        <v>64</v>
      </c>
      <c r="W213" s="6492"/>
      <c r="X213" s="6492" t="s">
        <v>65</v>
      </c>
      <c r="Y213" s="6492"/>
      <c r="Z213" s="6492" t="s">
        <v>66</v>
      </c>
      <c r="AA213" s="6492"/>
      <c r="AB213" s="6492" t="s">
        <v>67</v>
      </c>
      <c r="AC213" s="6492"/>
      <c r="AD213" s="6492" t="s">
        <v>68</v>
      </c>
      <c r="AE213" s="6492"/>
      <c r="AF213" s="6492" t="s">
        <v>69</v>
      </c>
      <c r="AG213" s="6492"/>
      <c r="AH213" s="6492" t="s">
        <v>70</v>
      </c>
      <c r="AI213" s="6492"/>
      <c r="AJ213" s="6492" t="s">
        <v>71</v>
      </c>
      <c r="AK213" s="6725"/>
      <c r="AL213" s="6484" t="s">
        <v>72</v>
      </c>
      <c r="AM213" s="6726" t="s">
        <v>73</v>
      </c>
      <c r="AN213" s="6203" t="s">
        <v>483</v>
      </c>
      <c r="AO213" s="6303" t="s">
        <v>484</v>
      </c>
      <c r="AP213" s="6059"/>
      <c r="AQ213" s="6494"/>
    </row>
    <row r="214" spans="1:130">
      <c r="A214" s="6724"/>
      <c r="B214" s="2551" t="s">
        <v>1937</v>
      </c>
      <c r="C214" s="1589" t="s">
        <v>1938</v>
      </c>
      <c r="D214" s="1497" t="s">
        <v>1937</v>
      </c>
      <c r="E214" s="1594" t="s">
        <v>1938</v>
      </c>
      <c r="F214" s="1497" t="s">
        <v>1937</v>
      </c>
      <c r="G214" s="1594" t="s">
        <v>1938</v>
      </c>
      <c r="H214" s="1497" t="s">
        <v>1937</v>
      </c>
      <c r="I214" s="1594" t="s">
        <v>1938</v>
      </c>
      <c r="J214" s="1497" t="s">
        <v>1937</v>
      </c>
      <c r="K214" s="1594" t="s">
        <v>1938</v>
      </c>
      <c r="L214" s="1497" t="s">
        <v>1937</v>
      </c>
      <c r="M214" s="1594" t="s">
        <v>1938</v>
      </c>
      <c r="N214" s="1497" t="s">
        <v>1937</v>
      </c>
      <c r="O214" s="1594" t="s">
        <v>1938</v>
      </c>
      <c r="P214" s="1497" t="s">
        <v>1937</v>
      </c>
      <c r="Q214" s="1594" t="s">
        <v>1938</v>
      </c>
      <c r="R214" s="1497" t="s">
        <v>1937</v>
      </c>
      <c r="S214" s="1594" t="s">
        <v>1938</v>
      </c>
      <c r="T214" s="1497" t="s">
        <v>1937</v>
      </c>
      <c r="U214" s="1594" t="s">
        <v>1938</v>
      </c>
      <c r="V214" s="1497" t="s">
        <v>1937</v>
      </c>
      <c r="W214" s="1594" t="s">
        <v>1938</v>
      </c>
      <c r="X214" s="1497" t="s">
        <v>1937</v>
      </c>
      <c r="Y214" s="1594" t="s">
        <v>1938</v>
      </c>
      <c r="Z214" s="1497" t="s">
        <v>1937</v>
      </c>
      <c r="AA214" s="1594" t="s">
        <v>1938</v>
      </c>
      <c r="AB214" s="1497" t="s">
        <v>1937</v>
      </c>
      <c r="AC214" s="1594" t="s">
        <v>1938</v>
      </c>
      <c r="AD214" s="1497" t="s">
        <v>1937</v>
      </c>
      <c r="AE214" s="1594" t="s">
        <v>1938</v>
      </c>
      <c r="AF214" s="1497" t="s">
        <v>1937</v>
      </c>
      <c r="AG214" s="1594" t="s">
        <v>1938</v>
      </c>
      <c r="AH214" s="1497" t="s">
        <v>1937</v>
      </c>
      <c r="AI214" s="1594" t="s">
        <v>1938</v>
      </c>
      <c r="AJ214" s="1497" t="s">
        <v>1937</v>
      </c>
      <c r="AK214" s="3407" t="s">
        <v>1938</v>
      </c>
      <c r="AL214" s="6484"/>
      <c r="AM214" s="6726"/>
      <c r="AN214" s="6204"/>
      <c r="AO214" s="6222"/>
      <c r="AP214" s="6059"/>
      <c r="AQ214" s="6494"/>
      <c r="DF214" s="3366"/>
    </row>
    <row r="215" spans="1:130">
      <c r="A215" s="3448" t="s">
        <v>476</v>
      </c>
      <c r="B215" s="2393">
        <f>SUM(H215+J215+L215+N215+P215+R215+T215+V215+X215)</f>
        <v>0</v>
      </c>
      <c r="C215" s="1736">
        <f>SUM(I215+K215+M215+O215+Q215+S215+U215+W215+Y215)</f>
        <v>0</v>
      </c>
      <c r="D215" s="3371"/>
      <c r="E215" s="3378"/>
      <c r="F215" s="3377"/>
      <c r="G215" s="3378"/>
      <c r="H215" s="425"/>
      <c r="I215" s="3376"/>
      <c r="J215" s="425"/>
      <c r="K215" s="3376"/>
      <c r="L215" s="425"/>
      <c r="M215" s="3376"/>
      <c r="N215" s="425"/>
      <c r="O215" s="3376"/>
      <c r="P215" s="425"/>
      <c r="Q215" s="3376"/>
      <c r="R215" s="425"/>
      <c r="S215" s="3376"/>
      <c r="T215" s="425"/>
      <c r="U215" s="3376"/>
      <c r="V215" s="425"/>
      <c r="W215" s="3376"/>
      <c r="X215" s="425"/>
      <c r="Y215" s="3376"/>
      <c r="Z215" s="3377"/>
      <c r="AA215" s="3378"/>
      <c r="AB215" s="3377"/>
      <c r="AC215" s="3378"/>
      <c r="AD215" s="3377"/>
      <c r="AE215" s="3378"/>
      <c r="AF215" s="3377"/>
      <c r="AG215" s="3378"/>
      <c r="AH215" s="3377"/>
      <c r="AI215" s="3378"/>
      <c r="AJ215" s="3377"/>
      <c r="AK215" s="3379"/>
      <c r="AL215" s="3371"/>
      <c r="AM215" s="450"/>
      <c r="AN215" s="3428"/>
      <c r="AO215" s="3412"/>
      <c r="AP215" s="423"/>
      <c r="AQ215" s="443"/>
      <c r="AR215" s="3373" t="str">
        <f t="shared" ref="AR215:AR221" si="271">$CA215&amp;CB215&amp;CC215&amp;CD215&amp;CE215&amp;CG215&amp;CF215&amp;CH215&amp;CI215</f>
        <v/>
      </c>
      <c r="CA215" s="3413" t="str">
        <f t="shared" ref="CA215:CA232" si="272">IF(C215&gt;B215," * El Total de Exámenes reactivos NO DEBE SUPERAR los Exámenes Procesados. ","")</f>
        <v/>
      </c>
      <c r="CB215" s="418" t="str">
        <f t="shared" ref="CB215:CB232" si="273">IF(AND(B215&gt;0,AND(AL215+AM215=""))," * No olvide digitar la variable POR SEXO (Procesados). Digite cero si no tiene.",IF(B215&lt;&gt;(AL215+AM215)," * La suma de las variables POR SEXO (Procesados) debe ser igual al Total de procesados.",""))</f>
        <v/>
      </c>
      <c r="CC215" s="418" t="str">
        <f t="shared" ref="CC215:CC232" si="274">IF(AND(B215&gt;0,AND(AN215="",AO215=""))," * No olvide digitar la variable Trans (Masculino o Femenino). Digite cero si no tiene.",IF((AN215+AO215)&gt;B215," *  La suma de exámenes a Trans (Masculino + Femenino) no puede ser mayor que el Total de Procesados .",""))</f>
        <v/>
      </c>
      <c r="CD215" s="418" t="str">
        <f t="shared" ref="CD215:CD232" si="275">IF(AND(B215&gt;0,AP215="")," * No olvide digitar la variable Pueblos originarios. Digite cero si no tiene.",IF(AP215&gt;B215," * La variable Pueblos originarios no puede ser mayor que el Total de Procesados.",""))</f>
        <v/>
      </c>
      <c r="CE215" s="418" t="str">
        <f t="shared" ref="CE215:CE232" si="276">IF(AND(B215&gt;0,AQ215="")," * No olvide digitar la variable Migrantes. Digite cero si no tiene.",IF(AQ215&gt;B215," * La variable Migrantes no puede ser mayor que el Total de Procesados.",""))</f>
        <v/>
      </c>
      <c r="CF215" s="417"/>
      <c r="CG215" s="3366"/>
      <c r="CH215" s="3366"/>
      <c r="CI215" s="3366"/>
      <c r="CJ215" s="3366"/>
      <c r="DF215" s="3375">
        <f t="shared" ref="DF215:DF232" si="277">IF(C215&gt;B215,1,0)</f>
        <v>0</v>
      </c>
      <c r="DG215" s="3375">
        <f t="shared" ref="DG215:DG232" si="278">IF(AND(B215&gt;0,AND(AL215+AM215="")),1,IF(B215&lt;&gt;(AL215+AM215),1,0))</f>
        <v>0</v>
      </c>
      <c r="DH215" s="3375">
        <f t="shared" ref="DH215:DH232" si="279">IF(AND(B215&gt;0,AND(AN215="",AO215="")),1,IF((AN215+AO215)&gt;B215,1,0))</f>
        <v>0</v>
      </c>
      <c r="DI215" s="3375">
        <f t="shared" ref="DI215:DI232" si="280">IF(AND(B215&gt;0,AP215=""),1,IF(AP215&gt;B215,1,0))</f>
        <v>0</v>
      </c>
      <c r="DJ215" s="3375">
        <f t="shared" ref="DJ215:DJ232" si="281">IF(AND(B215&gt;0,AQ215=""),1,IF(AQ215&gt;B215,1,0))</f>
        <v>0</v>
      </c>
      <c r="DK215" s="417"/>
      <c r="DL215" s="417"/>
      <c r="DM215" s="417"/>
      <c r="DN215" s="417"/>
      <c r="DO215" s="417"/>
    </row>
    <row r="216" spans="1:130">
      <c r="A216" s="3448" t="s">
        <v>2002</v>
      </c>
      <c r="B216" s="1737">
        <f>SUM(J216+L216+N216+P216+R216+T216+V216+X216+Z216+AB216+AD216+AF216+AH216+AJ216)</f>
        <v>0</v>
      </c>
      <c r="C216" s="1739">
        <f>SUM(I216+K216+M216+O216+Q216+S216+U216+W216+Y216+AA216+AC216+AE216+AG216+AI216+AK216)</f>
        <v>0</v>
      </c>
      <c r="D216" s="3371"/>
      <c r="E216" s="3378"/>
      <c r="F216" s="3377"/>
      <c r="G216" s="3378"/>
      <c r="H216" s="3377"/>
      <c r="I216" s="3378"/>
      <c r="J216" s="425"/>
      <c r="K216" s="3376"/>
      <c r="L216" s="425"/>
      <c r="M216" s="3376"/>
      <c r="N216" s="425"/>
      <c r="O216" s="3376"/>
      <c r="P216" s="425"/>
      <c r="Q216" s="3376"/>
      <c r="R216" s="425"/>
      <c r="S216" s="3376"/>
      <c r="T216" s="425"/>
      <c r="U216" s="3376"/>
      <c r="V216" s="425"/>
      <c r="W216" s="3376"/>
      <c r="X216" s="425"/>
      <c r="Y216" s="3376"/>
      <c r="Z216" s="425"/>
      <c r="AA216" s="3376"/>
      <c r="AB216" s="425"/>
      <c r="AC216" s="3376"/>
      <c r="AD216" s="425"/>
      <c r="AE216" s="3376"/>
      <c r="AF216" s="425"/>
      <c r="AG216" s="3376"/>
      <c r="AH216" s="425"/>
      <c r="AI216" s="3376"/>
      <c r="AJ216" s="425"/>
      <c r="AK216" s="426"/>
      <c r="AL216" s="423"/>
      <c r="AM216" s="426"/>
      <c r="AN216" s="3372"/>
      <c r="AO216" s="3412"/>
      <c r="AP216" s="423"/>
      <c r="AQ216" s="443"/>
      <c r="AR216" s="3373" t="str">
        <f t="shared" si="271"/>
        <v/>
      </c>
      <c r="CA216" s="3413" t="str">
        <f t="shared" si="272"/>
        <v/>
      </c>
      <c r="CB216" s="418" t="str">
        <f t="shared" si="273"/>
        <v/>
      </c>
      <c r="CC216" s="418" t="str">
        <f t="shared" si="274"/>
        <v/>
      </c>
      <c r="CD216" s="418" t="str">
        <f t="shared" si="275"/>
        <v/>
      </c>
      <c r="CE216" s="418" t="str">
        <f t="shared" si="276"/>
        <v/>
      </c>
      <c r="CF216" s="417"/>
      <c r="CG216" s="3366"/>
      <c r="CH216" s="3366"/>
      <c r="CI216" s="3366"/>
      <c r="DF216" s="3375">
        <f t="shared" si="277"/>
        <v>0</v>
      </c>
      <c r="DG216" s="3375">
        <f t="shared" si="278"/>
        <v>0</v>
      </c>
      <c r="DH216" s="3375">
        <f t="shared" si="279"/>
        <v>0</v>
      </c>
      <c r="DI216" s="3375">
        <f t="shared" si="280"/>
        <v>0</v>
      </c>
      <c r="DJ216" s="3375">
        <f t="shared" si="281"/>
        <v>0</v>
      </c>
      <c r="DK216" s="417"/>
      <c r="DL216" s="417"/>
      <c r="DM216" s="417"/>
      <c r="DN216" s="417"/>
      <c r="DO216" s="417"/>
    </row>
    <row r="217" spans="1:130">
      <c r="A217" s="3448" t="s">
        <v>2003</v>
      </c>
      <c r="B217" s="1737">
        <f t="shared" ref="B217:C232" si="282">SUM(D217+F217+H217+J217+L217+N217+P217+R217+T217+V217+X217+Z217+AB217+AD217+AF217+AH217+AJ217)</f>
        <v>0</v>
      </c>
      <c r="C217" s="1739">
        <f t="shared" si="282"/>
        <v>0</v>
      </c>
      <c r="D217" s="423"/>
      <c r="E217" s="3376"/>
      <c r="F217" s="425"/>
      <c r="G217" s="3376"/>
      <c r="H217" s="425"/>
      <c r="I217" s="3376"/>
      <c r="J217" s="425"/>
      <c r="K217" s="3376"/>
      <c r="L217" s="425"/>
      <c r="M217" s="3376"/>
      <c r="N217" s="425"/>
      <c r="O217" s="3376"/>
      <c r="P217" s="425"/>
      <c r="Q217" s="3376"/>
      <c r="R217" s="425"/>
      <c r="S217" s="3376"/>
      <c r="T217" s="425"/>
      <c r="U217" s="3376"/>
      <c r="V217" s="425"/>
      <c r="W217" s="3376"/>
      <c r="X217" s="425"/>
      <c r="Y217" s="3376"/>
      <c r="Z217" s="425"/>
      <c r="AA217" s="3376"/>
      <c r="AB217" s="425"/>
      <c r="AC217" s="3376"/>
      <c r="AD217" s="425"/>
      <c r="AE217" s="3376"/>
      <c r="AF217" s="425"/>
      <c r="AG217" s="3376"/>
      <c r="AH217" s="425"/>
      <c r="AI217" s="3376"/>
      <c r="AJ217" s="425"/>
      <c r="AK217" s="426"/>
      <c r="AL217" s="423"/>
      <c r="AM217" s="426"/>
      <c r="AN217" s="3372"/>
      <c r="AO217" s="3412"/>
      <c r="AP217" s="423"/>
      <c r="AQ217" s="443"/>
      <c r="AR217" s="3373" t="str">
        <f t="shared" si="271"/>
        <v/>
      </c>
      <c r="CA217" s="3413" t="str">
        <f t="shared" si="272"/>
        <v/>
      </c>
      <c r="CB217" s="418" t="str">
        <f t="shared" si="273"/>
        <v/>
      </c>
      <c r="CC217" s="418" t="str">
        <f t="shared" si="274"/>
        <v/>
      </c>
      <c r="CD217" s="418" t="str">
        <f t="shared" si="275"/>
        <v/>
      </c>
      <c r="CE217" s="418" t="str">
        <f t="shared" si="276"/>
        <v/>
      </c>
      <c r="CF217" s="417"/>
      <c r="CG217" s="3366"/>
      <c r="CH217" s="3366"/>
      <c r="CI217" s="3366"/>
      <c r="DF217" s="3375">
        <f t="shared" si="277"/>
        <v>0</v>
      </c>
      <c r="DG217" s="3375">
        <f t="shared" si="278"/>
        <v>0</v>
      </c>
      <c r="DH217" s="3375">
        <f t="shared" si="279"/>
        <v>0</v>
      </c>
      <c r="DI217" s="3375">
        <f t="shared" si="280"/>
        <v>0</v>
      </c>
      <c r="DJ217" s="3375">
        <f t="shared" si="281"/>
        <v>0</v>
      </c>
      <c r="DK217" s="417"/>
      <c r="DL217" s="417"/>
      <c r="DM217" s="417"/>
      <c r="DN217" s="417"/>
      <c r="DO217" s="417"/>
    </row>
    <row r="218" spans="1:130">
      <c r="A218" s="3448" t="s">
        <v>2004</v>
      </c>
      <c r="B218" s="1737">
        <f t="shared" si="282"/>
        <v>0</v>
      </c>
      <c r="C218" s="1739">
        <f t="shared" ref="C218:C219" si="283">SUM(E218+G218+I218+K218+M218+O218+Q218+S218+U218+W218+Y218+AA218+AC218+AE218+AG218+AI218+AK218)</f>
        <v>0</v>
      </c>
      <c r="D218" s="423"/>
      <c r="E218" s="3376"/>
      <c r="F218" s="425"/>
      <c r="G218" s="3376"/>
      <c r="H218" s="425"/>
      <c r="I218" s="3376"/>
      <c r="J218" s="425"/>
      <c r="K218" s="3376"/>
      <c r="L218" s="425"/>
      <c r="M218" s="3376"/>
      <c r="N218" s="425"/>
      <c r="O218" s="3376"/>
      <c r="P218" s="425"/>
      <c r="Q218" s="3376"/>
      <c r="R218" s="425"/>
      <c r="S218" s="3376"/>
      <c r="T218" s="425"/>
      <c r="U218" s="3376"/>
      <c r="V218" s="425"/>
      <c r="W218" s="3376"/>
      <c r="X218" s="425"/>
      <c r="Y218" s="3376"/>
      <c r="Z218" s="425"/>
      <c r="AA218" s="3376"/>
      <c r="AB218" s="425"/>
      <c r="AC218" s="3376"/>
      <c r="AD218" s="425"/>
      <c r="AE218" s="3376"/>
      <c r="AF218" s="425"/>
      <c r="AG218" s="3376"/>
      <c r="AH218" s="425"/>
      <c r="AI218" s="3376"/>
      <c r="AJ218" s="425"/>
      <c r="AK218" s="426"/>
      <c r="AL218" s="423"/>
      <c r="AM218" s="426"/>
      <c r="AN218" s="3372"/>
      <c r="AO218" s="3412"/>
      <c r="AP218" s="423"/>
      <c r="AQ218" s="443"/>
      <c r="AR218" s="3373" t="str">
        <f t="shared" si="271"/>
        <v/>
      </c>
      <c r="CA218" s="3413" t="str">
        <f t="shared" si="272"/>
        <v/>
      </c>
      <c r="CB218" s="418" t="str">
        <f t="shared" si="273"/>
        <v/>
      </c>
      <c r="CC218" s="418" t="str">
        <f t="shared" si="274"/>
        <v/>
      </c>
      <c r="CD218" s="418" t="str">
        <f t="shared" si="275"/>
        <v/>
      </c>
      <c r="CE218" s="418" t="str">
        <f t="shared" si="276"/>
        <v/>
      </c>
      <c r="CF218" s="417"/>
      <c r="CG218" s="3366"/>
      <c r="CH218" s="3366"/>
      <c r="CI218" s="3366"/>
      <c r="DF218" s="3375">
        <f t="shared" si="277"/>
        <v>0</v>
      </c>
      <c r="DG218" s="3375">
        <f t="shared" si="278"/>
        <v>0</v>
      </c>
      <c r="DH218" s="3375">
        <f t="shared" si="279"/>
        <v>0</v>
      </c>
      <c r="DI218" s="3375">
        <f t="shared" si="280"/>
        <v>0</v>
      </c>
      <c r="DJ218" s="3375">
        <f t="shared" si="281"/>
        <v>0</v>
      </c>
      <c r="DK218" s="417"/>
      <c r="DL218" s="417"/>
      <c r="DM218" s="417"/>
      <c r="DN218" s="417"/>
      <c r="DO218" s="417"/>
    </row>
    <row r="219" spans="1:130">
      <c r="A219" s="1484" t="s">
        <v>2005</v>
      </c>
      <c r="B219" s="1737">
        <f t="shared" si="282"/>
        <v>0</v>
      </c>
      <c r="C219" s="1739">
        <f t="shared" si="283"/>
        <v>0</v>
      </c>
      <c r="D219" s="423"/>
      <c r="E219" s="3376"/>
      <c r="F219" s="425"/>
      <c r="G219" s="3376"/>
      <c r="H219" s="425"/>
      <c r="I219" s="3376"/>
      <c r="J219" s="425"/>
      <c r="K219" s="3376"/>
      <c r="L219" s="425"/>
      <c r="M219" s="3376"/>
      <c r="N219" s="425"/>
      <c r="O219" s="3376"/>
      <c r="P219" s="425"/>
      <c r="Q219" s="3376"/>
      <c r="R219" s="425"/>
      <c r="S219" s="3376"/>
      <c r="T219" s="425"/>
      <c r="U219" s="3376"/>
      <c r="V219" s="425"/>
      <c r="W219" s="3376"/>
      <c r="X219" s="425"/>
      <c r="Y219" s="3376"/>
      <c r="Z219" s="425"/>
      <c r="AA219" s="3376"/>
      <c r="AB219" s="425"/>
      <c r="AC219" s="3376"/>
      <c r="AD219" s="425"/>
      <c r="AE219" s="3376"/>
      <c r="AF219" s="425"/>
      <c r="AG219" s="3376"/>
      <c r="AH219" s="425"/>
      <c r="AI219" s="3376"/>
      <c r="AJ219" s="425"/>
      <c r="AK219" s="426"/>
      <c r="AL219" s="423"/>
      <c r="AM219" s="426"/>
      <c r="AN219" s="3372"/>
      <c r="AO219" s="3412"/>
      <c r="AP219" s="423"/>
      <c r="AQ219" s="443"/>
      <c r="AR219" s="3373" t="str">
        <f t="shared" si="271"/>
        <v/>
      </c>
      <c r="CA219" s="3413" t="str">
        <f t="shared" si="272"/>
        <v/>
      </c>
      <c r="CB219" s="418" t="str">
        <f t="shared" si="273"/>
        <v/>
      </c>
      <c r="CC219" s="418" t="str">
        <f t="shared" si="274"/>
        <v/>
      </c>
      <c r="CD219" s="418" t="str">
        <f t="shared" si="275"/>
        <v/>
      </c>
      <c r="CE219" s="418" t="str">
        <f t="shared" si="276"/>
        <v/>
      </c>
      <c r="CF219" s="417"/>
      <c r="CG219" s="3366"/>
      <c r="CH219" s="3366"/>
      <c r="CI219" s="3366"/>
      <c r="DF219" s="3375">
        <f t="shared" si="277"/>
        <v>0</v>
      </c>
      <c r="DG219" s="3375">
        <f t="shared" si="278"/>
        <v>0</v>
      </c>
      <c r="DH219" s="3375">
        <f t="shared" si="279"/>
        <v>0</v>
      </c>
      <c r="DI219" s="3375">
        <f t="shared" si="280"/>
        <v>0</v>
      </c>
      <c r="DJ219" s="3375">
        <f t="shared" si="281"/>
        <v>0</v>
      </c>
      <c r="DK219" s="417"/>
      <c r="DL219" s="417"/>
      <c r="DM219" s="417"/>
      <c r="DN219" s="417"/>
      <c r="DO219" s="417"/>
    </row>
    <row r="220" spans="1:130">
      <c r="A220" s="3448" t="s">
        <v>1956</v>
      </c>
      <c r="B220" s="1737">
        <f t="shared" si="282"/>
        <v>0</v>
      </c>
      <c r="C220" s="1739">
        <f t="shared" si="282"/>
        <v>0</v>
      </c>
      <c r="D220" s="423"/>
      <c r="E220" s="3376"/>
      <c r="F220" s="425"/>
      <c r="G220" s="3376"/>
      <c r="H220" s="425"/>
      <c r="I220" s="3376"/>
      <c r="J220" s="425"/>
      <c r="K220" s="3376"/>
      <c r="L220" s="425"/>
      <c r="M220" s="3376"/>
      <c r="N220" s="425"/>
      <c r="O220" s="3376"/>
      <c r="P220" s="425"/>
      <c r="Q220" s="3376"/>
      <c r="R220" s="425"/>
      <c r="S220" s="3376"/>
      <c r="T220" s="425"/>
      <c r="U220" s="3376"/>
      <c r="V220" s="425"/>
      <c r="W220" s="3376"/>
      <c r="X220" s="425"/>
      <c r="Y220" s="3376"/>
      <c r="Z220" s="425"/>
      <c r="AA220" s="3376"/>
      <c r="AB220" s="425"/>
      <c r="AC220" s="3376"/>
      <c r="AD220" s="425"/>
      <c r="AE220" s="3376"/>
      <c r="AF220" s="425"/>
      <c r="AG220" s="3376"/>
      <c r="AH220" s="425"/>
      <c r="AI220" s="3376"/>
      <c r="AJ220" s="425"/>
      <c r="AK220" s="426"/>
      <c r="AL220" s="423"/>
      <c r="AM220" s="426"/>
      <c r="AN220" s="3372"/>
      <c r="AO220" s="3412"/>
      <c r="AP220" s="423"/>
      <c r="AQ220" s="443"/>
      <c r="AR220" s="3373" t="str">
        <f t="shared" si="271"/>
        <v/>
      </c>
      <c r="CA220" s="3413" t="str">
        <f t="shared" si="272"/>
        <v/>
      </c>
      <c r="CB220" s="418" t="str">
        <f t="shared" si="273"/>
        <v/>
      </c>
      <c r="CC220" s="418" t="str">
        <f t="shared" si="274"/>
        <v/>
      </c>
      <c r="CD220" s="418" t="str">
        <f t="shared" si="275"/>
        <v/>
      </c>
      <c r="CE220" s="418" t="str">
        <f t="shared" si="276"/>
        <v/>
      </c>
      <c r="CF220" s="417"/>
      <c r="CG220" s="3366"/>
      <c r="CH220" s="3366"/>
      <c r="CI220" s="3366"/>
      <c r="DF220" s="3375">
        <f t="shared" si="277"/>
        <v>0</v>
      </c>
      <c r="DG220" s="3375">
        <f t="shared" si="278"/>
        <v>0</v>
      </c>
      <c r="DH220" s="3375">
        <f t="shared" si="279"/>
        <v>0</v>
      </c>
      <c r="DI220" s="3375">
        <f t="shared" si="280"/>
        <v>0</v>
      </c>
      <c r="DJ220" s="3375">
        <f t="shared" si="281"/>
        <v>0</v>
      </c>
      <c r="DK220" s="417"/>
      <c r="DL220" s="417"/>
      <c r="DM220" s="417"/>
      <c r="DN220" s="417"/>
      <c r="DO220" s="417"/>
    </row>
    <row r="221" spans="1:130">
      <c r="A221" s="1571" t="s">
        <v>619</v>
      </c>
      <c r="B221" s="1755">
        <f t="shared" si="282"/>
        <v>0</v>
      </c>
      <c r="C221" s="1757">
        <f t="shared" si="282"/>
        <v>0</v>
      </c>
      <c r="D221" s="3385"/>
      <c r="E221" s="3384"/>
      <c r="F221" s="432"/>
      <c r="G221" s="3384"/>
      <c r="H221" s="432"/>
      <c r="I221" s="3384"/>
      <c r="J221" s="432"/>
      <c r="K221" s="3384"/>
      <c r="L221" s="432"/>
      <c r="M221" s="3384"/>
      <c r="N221" s="432"/>
      <c r="O221" s="3384"/>
      <c r="P221" s="432"/>
      <c r="Q221" s="3384"/>
      <c r="R221" s="432"/>
      <c r="S221" s="3384"/>
      <c r="T221" s="432"/>
      <c r="U221" s="3384"/>
      <c r="V221" s="432"/>
      <c r="W221" s="3384"/>
      <c r="X221" s="432"/>
      <c r="Y221" s="3384"/>
      <c r="Z221" s="432"/>
      <c r="AA221" s="3384"/>
      <c r="AB221" s="432"/>
      <c r="AC221" s="3384"/>
      <c r="AD221" s="432"/>
      <c r="AE221" s="3384"/>
      <c r="AF221" s="432"/>
      <c r="AG221" s="3384"/>
      <c r="AH221" s="432"/>
      <c r="AI221" s="3384"/>
      <c r="AJ221" s="432"/>
      <c r="AK221" s="445"/>
      <c r="AL221" s="3385"/>
      <c r="AM221" s="445"/>
      <c r="AN221" s="3386"/>
      <c r="AO221" s="3425"/>
      <c r="AP221" s="3385"/>
      <c r="AQ221" s="438"/>
      <c r="AR221" s="3373" t="str">
        <f t="shared" si="271"/>
        <v/>
      </c>
      <c r="CA221" s="3413" t="str">
        <f t="shared" si="272"/>
        <v/>
      </c>
      <c r="CB221" s="418" t="str">
        <f t="shared" si="273"/>
        <v/>
      </c>
      <c r="CC221" s="418" t="str">
        <f t="shared" si="274"/>
        <v/>
      </c>
      <c r="CD221" s="418" t="str">
        <f t="shared" si="275"/>
        <v/>
      </c>
      <c r="CE221" s="418" t="str">
        <f t="shared" si="276"/>
        <v/>
      </c>
      <c r="CF221" s="417"/>
      <c r="CG221" s="3366"/>
      <c r="CH221" s="3366"/>
      <c r="CI221" s="3366"/>
      <c r="DF221" s="3375">
        <f t="shared" si="277"/>
        <v>0</v>
      </c>
      <c r="DG221" s="3375">
        <f t="shared" si="278"/>
        <v>0</v>
      </c>
      <c r="DH221" s="3375">
        <f t="shared" si="279"/>
        <v>0</v>
      </c>
      <c r="DI221" s="3375">
        <f t="shared" si="280"/>
        <v>0</v>
      </c>
      <c r="DJ221" s="3375">
        <f t="shared" si="281"/>
        <v>0</v>
      </c>
      <c r="DK221" s="417"/>
      <c r="DL221" s="417"/>
      <c r="DM221" s="417"/>
      <c r="DN221" s="417"/>
      <c r="DO221" s="417"/>
    </row>
    <row r="222" spans="1:130" s="385" customFormat="1" ht="18" customHeight="1">
      <c r="A222" s="3449" t="s">
        <v>2006</v>
      </c>
      <c r="B222" s="3449"/>
      <c r="C222" s="3449"/>
      <c r="D222" s="3449"/>
      <c r="E222" s="3449"/>
      <c r="F222" s="3449"/>
      <c r="G222" s="3449"/>
      <c r="H222" s="3449"/>
      <c r="I222" s="3449"/>
      <c r="J222" s="3449"/>
      <c r="K222" s="3449"/>
      <c r="L222" s="3449"/>
      <c r="M222" s="3449"/>
      <c r="N222" s="3449"/>
      <c r="O222" s="3449"/>
      <c r="P222" s="3449"/>
      <c r="Q222" s="3449"/>
      <c r="R222" s="3449"/>
      <c r="S222" s="3449"/>
      <c r="T222" s="3449"/>
      <c r="U222" s="3449"/>
      <c r="V222" s="3449"/>
      <c r="W222" s="3449"/>
      <c r="X222" s="3449"/>
      <c r="Y222" s="3449"/>
      <c r="Z222" s="3449"/>
      <c r="AA222" s="3449"/>
      <c r="AB222" s="3449"/>
      <c r="AC222" s="3449"/>
      <c r="AD222" s="3449"/>
      <c r="AE222" s="3449"/>
      <c r="AF222" s="3449"/>
      <c r="AG222" s="3449"/>
      <c r="AH222" s="3449"/>
      <c r="AI222" s="3449"/>
      <c r="AJ222" s="3449"/>
      <c r="AK222" s="3449"/>
      <c r="AL222" s="3449"/>
      <c r="AM222" s="3449"/>
      <c r="AN222" s="512"/>
      <c r="AO222" s="512"/>
      <c r="AP222" s="512"/>
      <c r="AQ222" s="512"/>
    </row>
    <row r="223" spans="1:130">
      <c r="A223" s="6722" t="s">
        <v>1965</v>
      </c>
      <c r="B223" s="6492" t="s">
        <v>91</v>
      </c>
      <c r="C223" s="6492"/>
      <c r="D223" s="6492" t="s">
        <v>43</v>
      </c>
      <c r="E223" s="6492"/>
      <c r="F223" s="6492"/>
      <c r="G223" s="6492"/>
      <c r="H223" s="6492"/>
      <c r="I223" s="6492"/>
      <c r="J223" s="6492"/>
      <c r="K223" s="6492"/>
      <c r="L223" s="6492"/>
      <c r="M223" s="6492"/>
      <c r="N223" s="6492"/>
      <c r="O223" s="6492"/>
      <c r="P223" s="6492"/>
      <c r="Q223" s="6492"/>
      <c r="R223" s="6492"/>
      <c r="S223" s="6492"/>
      <c r="T223" s="6492"/>
      <c r="U223" s="6492"/>
      <c r="V223" s="6492"/>
      <c r="W223" s="6492"/>
      <c r="X223" s="6492"/>
      <c r="Y223" s="6492"/>
      <c r="Z223" s="6492"/>
      <c r="AA223" s="6492"/>
      <c r="AB223" s="6492"/>
      <c r="AC223" s="6492"/>
      <c r="AD223" s="6492"/>
      <c r="AE223" s="6492"/>
      <c r="AF223" s="6492"/>
      <c r="AG223" s="6492"/>
      <c r="AH223" s="6492"/>
      <c r="AI223" s="6492"/>
      <c r="AJ223" s="6492"/>
      <c r="AK223" s="6725"/>
      <c r="AL223" s="6059" t="s">
        <v>1934</v>
      </c>
      <c r="AM223" s="6737"/>
      <c r="AN223" s="6191" t="s">
        <v>478</v>
      </c>
      <c r="AO223" s="5716"/>
      <c r="AP223" s="6059" t="s">
        <v>50</v>
      </c>
      <c r="AQ223" s="6494" t="s">
        <v>51</v>
      </c>
    </row>
    <row r="224" spans="1:130">
      <c r="A224" s="6723"/>
      <c r="B224" s="6492"/>
      <c r="C224" s="6492"/>
      <c r="D224" s="6492" t="s">
        <v>364</v>
      </c>
      <c r="E224" s="6492"/>
      <c r="F224" s="6492" t="s">
        <v>347</v>
      </c>
      <c r="G224" s="6492"/>
      <c r="H224" s="6492" t="s">
        <v>108</v>
      </c>
      <c r="I224" s="6492"/>
      <c r="J224" s="6492" t="s">
        <v>58</v>
      </c>
      <c r="K224" s="6492"/>
      <c r="L224" s="6492" t="s">
        <v>59</v>
      </c>
      <c r="M224" s="6492"/>
      <c r="N224" s="6492" t="s">
        <v>60</v>
      </c>
      <c r="O224" s="6492"/>
      <c r="P224" s="6492" t="s">
        <v>61</v>
      </c>
      <c r="Q224" s="6492"/>
      <c r="R224" s="6492" t="s">
        <v>62</v>
      </c>
      <c r="S224" s="6492"/>
      <c r="T224" s="6492" t="s">
        <v>63</v>
      </c>
      <c r="U224" s="6492"/>
      <c r="V224" s="6492" t="s">
        <v>64</v>
      </c>
      <c r="W224" s="6492"/>
      <c r="X224" s="6492" t="s">
        <v>65</v>
      </c>
      <c r="Y224" s="6492"/>
      <c r="Z224" s="6492" t="s">
        <v>66</v>
      </c>
      <c r="AA224" s="6492"/>
      <c r="AB224" s="6492" t="s">
        <v>67</v>
      </c>
      <c r="AC224" s="6492"/>
      <c r="AD224" s="6492" t="s">
        <v>68</v>
      </c>
      <c r="AE224" s="6492"/>
      <c r="AF224" s="6492" t="s">
        <v>69</v>
      </c>
      <c r="AG224" s="6492"/>
      <c r="AH224" s="6492" t="s">
        <v>70</v>
      </c>
      <c r="AI224" s="6492"/>
      <c r="AJ224" s="6492" t="s">
        <v>71</v>
      </c>
      <c r="AK224" s="6725"/>
      <c r="AL224" s="6484" t="s">
        <v>72</v>
      </c>
      <c r="AM224" s="6726" t="s">
        <v>73</v>
      </c>
      <c r="AN224" s="6203" t="s">
        <v>483</v>
      </c>
      <c r="AO224" s="6303" t="s">
        <v>484</v>
      </c>
      <c r="AP224" s="6059"/>
      <c r="AQ224" s="6494"/>
    </row>
    <row r="225" spans="1:132">
      <c r="A225" s="6724"/>
      <c r="B225" s="2551" t="s">
        <v>1937</v>
      </c>
      <c r="C225" s="1589" t="s">
        <v>1938</v>
      </c>
      <c r="D225" s="1497" t="s">
        <v>1937</v>
      </c>
      <c r="E225" s="1594" t="s">
        <v>1938</v>
      </c>
      <c r="F225" s="1497" t="s">
        <v>1937</v>
      </c>
      <c r="G225" s="1594" t="s">
        <v>1938</v>
      </c>
      <c r="H225" s="1497" t="s">
        <v>1937</v>
      </c>
      <c r="I225" s="1594" t="s">
        <v>1938</v>
      </c>
      <c r="J225" s="1497" t="s">
        <v>1937</v>
      </c>
      <c r="K225" s="1594" t="s">
        <v>1938</v>
      </c>
      <c r="L225" s="1497" t="s">
        <v>1937</v>
      </c>
      <c r="M225" s="1594" t="s">
        <v>1938</v>
      </c>
      <c r="N225" s="1497" t="s">
        <v>1937</v>
      </c>
      <c r="O225" s="1594" t="s">
        <v>1938</v>
      </c>
      <c r="P225" s="1497" t="s">
        <v>1937</v>
      </c>
      <c r="Q225" s="1594" t="s">
        <v>1938</v>
      </c>
      <c r="R225" s="1497" t="s">
        <v>1937</v>
      </c>
      <c r="S225" s="1594" t="s">
        <v>1938</v>
      </c>
      <c r="T225" s="1497" t="s">
        <v>1937</v>
      </c>
      <c r="U225" s="1594" t="s">
        <v>1938</v>
      </c>
      <c r="V225" s="1497" t="s">
        <v>1937</v>
      </c>
      <c r="W225" s="1594" t="s">
        <v>1938</v>
      </c>
      <c r="X225" s="1497" t="s">
        <v>1937</v>
      </c>
      <c r="Y225" s="1594" t="s">
        <v>1938</v>
      </c>
      <c r="Z225" s="1497" t="s">
        <v>1937</v>
      </c>
      <c r="AA225" s="1594" t="s">
        <v>1938</v>
      </c>
      <c r="AB225" s="1497" t="s">
        <v>1937</v>
      </c>
      <c r="AC225" s="1594" t="s">
        <v>1938</v>
      </c>
      <c r="AD225" s="1497" t="s">
        <v>1937</v>
      </c>
      <c r="AE225" s="1594" t="s">
        <v>1938</v>
      </c>
      <c r="AF225" s="1497" t="s">
        <v>1937</v>
      </c>
      <c r="AG225" s="1594" t="s">
        <v>1938</v>
      </c>
      <c r="AH225" s="1497" t="s">
        <v>1937</v>
      </c>
      <c r="AI225" s="1594" t="s">
        <v>1938</v>
      </c>
      <c r="AJ225" s="1497" t="s">
        <v>1937</v>
      </c>
      <c r="AK225" s="3407" t="s">
        <v>1938</v>
      </c>
      <c r="AL225" s="6484"/>
      <c r="AM225" s="6726"/>
      <c r="AN225" s="6204"/>
      <c r="AO225" s="6222"/>
      <c r="AP225" s="6059"/>
      <c r="AQ225" s="6494"/>
    </row>
    <row r="226" spans="1:132">
      <c r="A226" s="3448" t="s">
        <v>476</v>
      </c>
      <c r="B226" s="2393">
        <f t="shared" si="282"/>
        <v>0</v>
      </c>
      <c r="C226" s="1736">
        <f t="shared" ref="C226:C230" si="284">SUM(E226+G226+I226+K226+M226+O226+Q226+S226+U226+W226+Y226+AA226+AC226+AE226+AG226+AI226+AK226)</f>
        <v>0</v>
      </c>
      <c r="D226" s="3371"/>
      <c r="E226" s="3378"/>
      <c r="F226" s="3377"/>
      <c r="G226" s="3378"/>
      <c r="H226" s="425"/>
      <c r="I226" s="3376"/>
      <c r="J226" s="425"/>
      <c r="K226" s="3376"/>
      <c r="L226" s="425"/>
      <c r="M226" s="3376"/>
      <c r="N226" s="425"/>
      <c r="O226" s="3376"/>
      <c r="P226" s="425"/>
      <c r="Q226" s="3376"/>
      <c r="R226" s="425"/>
      <c r="S226" s="3376"/>
      <c r="T226" s="425"/>
      <c r="U226" s="3376"/>
      <c r="V226" s="425"/>
      <c r="W226" s="3376"/>
      <c r="X226" s="425"/>
      <c r="Y226" s="3376"/>
      <c r="Z226" s="3377"/>
      <c r="AA226" s="3378"/>
      <c r="AB226" s="3377"/>
      <c r="AC226" s="3378"/>
      <c r="AD226" s="3377"/>
      <c r="AE226" s="3378"/>
      <c r="AF226" s="3377"/>
      <c r="AG226" s="3378"/>
      <c r="AH226" s="3377"/>
      <c r="AI226" s="3378"/>
      <c r="AJ226" s="3377"/>
      <c r="AK226" s="3379"/>
      <c r="AL226" s="3371"/>
      <c r="AM226" s="450"/>
      <c r="AN226" s="3428"/>
      <c r="AO226" s="3412"/>
      <c r="AP226" s="423"/>
      <c r="AQ226" s="443"/>
      <c r="AR226" s="3373" t="str">
        <f t="shared" ref="AR226:AR232" si="285">$CA226&amp;CB226&amp;CC226&amp;CD226&amp;CE226&amp;CG226&amp;CF226</f>
        <v/>
      </c>
      <c r="CA226" s="3413" t="str">
        <f t="shared" si="272"/>
        <v/>
      </c>
      <c r="CB226" s="418" t="str">
        <f t="shared" si="273"/>
        <v/>
      </c>
      <c r="CC226" s="418" t="str">
        <f t="shared" si="274"/>
        <v/>
      </c>
      <c r="CD226" s="418" t="str">
        <f t="shared" si="275"/>
        <v/>
      </c>
      <c r="CE226" s="418" t="str">
        <f t="shared" si="276"/>
        <v/>
      </c>
      <c r="CF226" s="417"/>
      <c r="CG226" s="3366"/>
      <c r="CH226" s="3366"/>
      <c r="CI226" s="3366"/>
      <c r="CJ226" s="3366"/>
      <c r="DF226" s="3375">
        <f t="shared" si="277"/>
        <v>0</v>
      </c>
      <c r="DG226" s="3375">
        <f t="shared" si="278"/>
        <v>0</v>
      </c>
      <c r="DH226" s="3375">
        <f t="shared" si="279"/>
        <v>0</v>
      </c>
      <c r="DI226" s="3375">
        <f t="shared" si="280"/>
        <v>0</v>
      </c>
      <c r="DJ226" s="3375">
        <f t="shared" si="281"/>
        <v>0</v>
      </c>
      <c r="DK226" s="417"/>
    </row>
    <row r="227" spans="1:132">
      <c r="A227" s="3448" t="s">
        <v>2002</v>
      </c>
      <c r="B227" s="1737">
        <f t="shared" si="282"/>
        <v>0</v>
      </c>
      <c r="C227" s="1739">
        <f t="shared" si="284"/>
        <v>0</v>
      </c>
      <c r="D227" s="3371"/>
      <c r="E227" s="3378"/>
      <c r="F227" s="3377"/>
      <c r="G227" s="3378"/>
      <c r="H227" s="3377"/>
      <c r="I227" s="3378"/>
      <c r="J227" s="425"/>
      <c r="K227" s="3376"/>
      <c r="L227" s="425"/>
      <c r="M227" s="3376"/>
      <c r="N227" s="425"/>
      <c r="O227" s="3376"/>
      <c r="P227" s="425"/>
      <c r="Q227" s="3376"/>
      <c r="R227" s="425"/>
      <c r="S227" s="3376"/>
      <c r="T227" s="425"/>
      <c r="U227" s="3376"/>
      <c r="V227" s="425"/>
      <c r="W227" s="3376"/>
      <c r="X227" s="425"/>
      <c r="Y227" s="3376"/>
      <c r="Z227" s="425"/>
      <c r="AA227" s="3376"/>
      <c r="AB227" s="425"/>
      <c r="AC227" s="3376"/>
      <c r="AD227" s="425"/>
      <c r="AE227" s="3376"/>
      <c r="AF227" s="425"/>
      <c r="AG227" s="3376"/>
      <c r="AH227" s="425"/>
      <c r="AI227" s="3376"/>
      <c r="AJ227" s="425"/>
      <c r="AK227" s="426"/>
      <c r="AL227" s="423"/>
      <c r="AM227" s="426"/>
      <c r="AN227" s="3372"/>
      <c r="AO227" s="3412"/>
      <c r="AP227" s="423"/>
      <c r="AQ227" s="443"/>
      <c r="AR227" s="3373" t="str">
        <f t="shared" si="285"/>
        <v/>
      </c>
      <c r="CA227" s="3413" t="str">
        <f t="shared" si="272"/>
        <v/>
      </c>
      <c r="CB227" s="418" t="str">
        <f t="shared" si="273"/>
        <v/>
      </c>
      <c r="CC227" s="418" t="str">
        <f t="shared" si="274"/>
        <v/>
      </c>
      <c r="CD227" s="418" t="str">
        <f t="shared" si="275"/>
        <v/>
      </c>
      <c r="CE227" s="418" t="str">
        <f t="shared" si="276"/>
        <v/>
      </c>
      <c r="CF227" s="417"/>
      <c r="CG227" s="3366"/>
      <c r="DF227" s="3375">
        <f t="shared" si="277"/>
        <v>0</v>
      </c>
      <c r="DG227" s="3375">
        <f t="shared" si="278"/>
        <v>0</v>
      </c>
      <c r="DH227" s="3375">
        <f t="shared" si="279"/>
        <v>0</v>
      </c>
      <c r="DI227" s="3375">
        <f t="shared" si="280"/>
        <v>0</v>
      </c>
      <c r="DJ227" s="3375">
        <f t="shared" si="281"/>
        <v>0</v>
      </c>
      <c r="DK227" s="417"/>
    </row>
    <row r="228" spans="1:132">
      <c r="A228" s="3448" t="s">
        <v>2003</v>
      </c>
      <c r="B228" s="1737">
        <f t="shared" si="282"/>
        <v>0</v>
      </c>
      <c r="C228" s="1739">
        <f t="shared" si="284"/>
        <v>0</v>
      </c>
      <c r="D228" s="423"/>
      <c r="E228" s="3376"/>
      <c r="F228" s="425"/>
      <c r="G228" s="3376"/>
      <c r="H228" s="425"/>
      <c r="I228" s="3376"/>
      <c r="J228" s="425"/>
      <c r="K228" s="3376"/>
      <c r="L228" s="425"/>
      <c r="M228" s="3376"/>
      <c r="N228" s="425"/>
      <c r="O228" s="3376"/>
      <c r="P228" s="425"/>
      <c r="Q228" s="3376"/>
      <c r="R228" s="425"/>
      <c r="S228" s="3376"/>
      <c r="T228" s="425"/>
      <c r="U228" s="3376"/>
      <c r="V228" s="425"/>
      <c r="W228" s="3376"/>
      <c r="X228" s="425"/>
      <c r="Y228" s="3376"/>
      <c r="Z228" s="425"/>
      <c r="AA228" s="3376"/>
      <c r="AB228" s="425"/>
      <c r="AC228" s="3376"/>
      <c r="AD228" s="425"/>
      <c r="AE228" s="3376"/>
      <c r="AF228" s="425"/>
      <c r="AG228" s="3376"/>
      <c r="AH228" s="425"/>
      <c r="AI228" s="3376"/>
      <c r="AJ228" s="425"/>
      <c r="AK228" s="426"/>
      <c r="AL228" s="423"/>
      <c r="AM228" s="426"/>
      <c r="AN228" s="3372"/>
      <c r="AO228" s="3412"/>
      <c r="AP228" s="423"/>
      <c r="AQ228" s="443"/>
      <c r="AR228" s="3373" t="str">
        <f t="shared" si="285"/>
        <v/>
      </c>
      <c r="CA228" s="3413" t="str">
        <f t="shared" si="272"/>
        <v/>
      </c>
      <c r="CB228" s="418" t="str">
        <f t="shared" si="273"/>
        <v/>
      </c>
      <c r="CC228" s="418" t="str">
        <f t="shared" si="274"/>
        <v/>
      </c>
      <c r="CD228" s="418" t="str">
        <f t="shared" si="275"/>
        <v/>
      </c>
      <c r="CE228" s="418" t="str">
        <f t="shared" si="276"/>
        <v/>
      </c>
      <c r="CF228" s="417"/>
      <c r="CG228" s="3366"/>
      <c r="DF228" s="3375">
        <f t="shared" si="277"/>
        <v>0</v>
      </c>
      <c r="DG228" s="3375">
        <f t="shared" si="278"/>
        <v>0</v>
      </c>
      <c r="DH228" s="3375">
        <f t="shared" si="279"/>
        <v>0</v>
      </c>
      <c r="DI228" s="3375">
        <f t="shared" si="280"/>
        <v>0</v>
      </c>
      <c r="DJ228" s="3375">
        <f t="shared" si="281"/>
        <v>0</v>
      </c>
      <c r="DK228" s="417"/>
    </row>
    <row r="229" spans="1:132">
      <c r="A229" s="3448" t="s">
        <v>2004</v>
      </c>
      <c r="B229" s="1737">
        <f t="shared" si="282"/>
        <v>0</v>
      </c>
      <c r="C229" s="1739">
        <f t="shared" si="284"/>
        <v>0</v>
      </c>
      <c r="D229" s="423"/>
      <c r="E229" s="3376"/>
      <c r="F229" s="425"/>
      <c r="G229" s="3376"/>
      <c r="H229" s="425"/>
      <c r="I229" s="3376"/>
      <c r="J229" s="425"/>
      <c r="K229" s="3376"/>
      <c r="L229" s="425"/>
      <c r="M229" s="3376"/>
      <c r="N229" s="425"/>
      <c r="O229" s="3376"/>
      <c r="P229" s="425"/>
      <c r="Q229" s="3376"/>
      <c r="R229" s="425"/>
      <c r="S229" s="3376"/>
      <c r="T229" s="425"/>
      <c r="U229" s="3376"/>
      <c r="V229" s="425"/>
      <c r="W229" s="3376"/>
      <c r="X229" s="425"/>
      <c r="Y229" s="3376"/>
      <c r="Z229" s="425"/>
      <c r="AA229" s="3376"/>
      <c r="AB229" s="425"/>
      <c r="AC229" s="3376"/>
      <c r="AD229" s="425"/>
      <c r="AE229" s="3376"/>
      <c r="AF229" s="425"/>
      <c r="AG229" s="3376"/>
      <c r="AH229" s="425"/>
      <c r="AI229" s="3376"/>
      <c r="AJ229" s="425"/>
      <c r="AK229" s="426"/>
      <c r="AL229" s="423"/>
      <c r="AM229" s="426"/>
      <c r="AN229" s="3372"/>
      <c r="AO229" s="3412"/>
      <c r="AP229" s="423"/>
      <c r="AQ229" s="443"/>
      <c r="AR229" s="3373" t="str">
        <f t="shared" si="285"/>
        <v/>
      </c>
      <c r="CA229" s="3413" t="str">
        <f t="shared" si="272"/>
        <v/>
      </c>
      <c r="CB229" s="418" t="str">
        <f t="shared" si="273"/>
        <v/>
      </c>
      <c r="CC229" s="418" t="str">
        <f t="shared" si="274"/>
        <v/>
      </c>
      <c r="CD229" s="418" t="str">
        <f t="shared" si="275"/>
        <v/>
      </c>
      <c r="CE229" s="418" t="str">
        <f t="shared" si="276"/>
        <v/>
      </c>
      <c r="CF229" s="417"/>
      <c r="CG229" s="3366"/>
      <c r="DF229" s="3375">
        <f t="shared" si="277"/>
        <v>0</v>
      </c>
      <c r="DG229" s="3375">
        <f t="shared" si="278"/>
        <v>0</v>
      </c>
      <c r="DH229" s="3375">
        <f t="shared" si="279"/>
        <v>0</v>
      </c>
      <c r="DI229" s="3375">
        <f t="shared" si="280"/>
        <v>0</v>
      </c>
      <c r="DJ229" s="3375">
        <f t="shared" si="281"/>
        <v>0</v>
      </c>
      <c r="DK229" s="417"/>
    </row>
    <row r="230" spans="1:132">
      <c r="A230" s="1484" t="s">
        <v>2007</v>
      </c>
      <c r="B230" s="1737">
        <f t="shared" si="282"/>
        <v>0</v>
      </c>
      <c r="C230" s="1739">
        <f t="shared" si="284"/>
        <v>0</v>
      </c>
      <c r="D230" s="423"/>
      <c r="E230" s="3376"/>
      <c r="F230" s="425"/>
      <c r="G230" s="3376"/>
      <c r="H230" s="425"/>
      <c r="I230" s="3376"/>
      <c r="J230" s="425"/>
      <c r="K230" s="3376"/>
      <c r="L230" s="425"/>
      <c r="M230" s="3376"/>
      <c r="N230" s="425"/>
      <c r="O230" s="3376"/>
      <c r="P230" s="425"/>
      <c r="Q230" s="3376"/>
      <c r="R230" s="425"/>
      <c r="S230" s="3376"/>
      <c r="T230" s="425"/>
      <c r="U230" s="3376"/>
      <c r="V230" s="425"/>
      <c r="W230" s="3376"/>
      <c r="X230" s="425"/>
      <c r="Y230" s="3376"/>
      <c r="Z230" s="425"/>
      <c r="AA230" s="3376"/>
      <c r="AB230" s="425"/>
      <c r="AC230" s="3376"/>
      <c r="AD230" s="425"/>
      <c r="AE230" s="3376"/>
      <c r="AF230" s="425"/>
      <c r="AG230" s="3376"/>
      <c r="AH230" s="425"/>
      <c r="AI230" s="3376"/>
      <c r="AJ230" s="425"/>
      <c r="AK230" s="426"/>
      <c r="AL230" s="423"/>
      <c r="AM230" s="426"/>
      <c r="AN230" s="3372"/>
      <c r="AO230" s="3412"/>
      <c r="AP230" s="423"/>
      <c r="AQ230" s="443"/>
      <c r="AR230" s="3373" t="str">
        <f t="shared" si="285"/>
        <v/>
      </c>
      <c r="CA230" s="3413" t="str">
        <f t="shared" si="272"/>
        <v/>
      </c>
      <c r="CB230" s="418" t="str">
        <f t="shared" si="273"/>
        <v/>
      </c>
      <c r="CC230" s="418" t="str">
        <f t="shared" si="274"/>
        <v/>
      </c>
      <c r="CD230" s="418" t="str">
        <f t="shared" si="275"/>
        <v/>
      </c>
      <c r="CE230" s="418" t="str">
        <f t="shared" si="276"/>
        <v/>
      </c>
      <c r="CF230" s="417"/>
      <c r="CG230" s="3366"/>
      <c r="DF230" s="3375">
        <f t="shared" si="277"/>
        <v>0</v>
      </c>
      <c r="DG230" s="3375">
        <f t="shared" si="278"/>
        <v>0</v>
      </c>
      <c r="DH230" s="3375">
        <f t="shared" si="279"/>
        <v>0</v>
      </c>
      <c r="DI230" s="3375">
        <f t="shared" si="280"/>
        <v>0</v>
      </c>
      <c r="DJ230" s="3375">
        <f t="shared" si="281"/>
        <v>0</v>
      </c>
      <c r="DK230" s="417"/>
    </row>
    <row r="231" spans="1:132">
      <c r="A231" s="3448" t="s">
        <v>1956</v>
      </c>
      <c r="B231" s="1737">
        <f t="shared" si="282"/>
        <v>0</v>
      </c>
      <c r="C231" s="1739">
        <f t="shared" si="282"/>
        <v>0</v>
      </c>
      <c r="D231" s="423"/>
      <c r="E231" s="3376"/>
      <c r="F231" s="425"/>
      <c r="G231" s="3376"/>
      <c r="H231" s="425"/>
      <c r="I231" s="3376"/>
      <c r="J231" s="425"/>
      <c r="K231" s="3376"/>
      <c r="L231" s="425"/>
      <c r="M231" s="3376"/>
      <c r="N231" s="425"/>
      <c r="O231" s="3376"/>
      <c r="P231" s="425"/>
      <c r="Q231" s="3376"/>
      <c r="R231" s="425"/>
      <c r="S231" s="3376"/>
      <c r="T231" s="425"/>
      <c r="U231" s="3376"/>
      <c r="V231" s="425"/>
      <c r="W231" s="3376"/>
      <c r="X231" s="425"/>
      <c r="Y231" s="3376"/>
      <c r="Z231" s="425"/>
      <c r="AA231" s="3376"/>
      <c r="AB231" s="425"/>
      <c r="AC231" s="3376"/>
      <c r="AD231" s="425"/>
      <c r="AE231" s="3376"/>
      <c r="AF231" s="425"/>
      <c r="AG231" s="3376"/>
      <c r="AH231" s="425"/>
      <c r="AI231" s="3376"/>
      <c r="AJ231" s="425"/>
      <c r="AK231" s="426"/>
      <c r="AL231" s="423"/>
      <c r="AM231" s="426"/>
      <c r="AN231" s="3372"/>
      <c r="AO231" s="3412"/>
      <c r="AP231" s="423"/>
      <c r="AQ231" s="443"/>
      <c r="AR231" s="3373" t="str">
        <f t="shared" si="285"/>
        <v/>
      </c>
      <c r="CA231" s="3413" t="str">
        <f t="shared" si="272"/>
        <v/>
      </c>
      <c r="CB231" s="418" t="str">
        <f t="shared" si="273"/>
        <v/>
      </c>
      <c r="CC231" s="418" t="str">
        <f t="shared" si="274"/>
        <v/>
      </c>
      <c r="CD231" s="418" t="str">
        <f t="shared" si="275"/>
        <v/>
      </c>
      <c r="CE231" s="418" t="str">
        <f t="shared" si="276"/>
        <v/>
      </c>
      <c r="CF231" s="417"/>
      <c r="CG231" s="3366"/>
      <c r="DF231" s="3375">
        <f t="shared" si="277"/>
        <v>0</v>
      </c>
      <c r="DG231" s="3375">
        <f t="shared" si="278"/>
        <v>0</v>
      </c>
      <c r="DH231" s="3375">
        <f t="shared" si="279"/>
        <v>0</v>
      </c>
      <c r="DI231" s="3375">
        <f t="shared" si="280"/>
        <v>0</v>
      </c>
      <c r="DJ231" s="3375">
        <f t="shared" si="281"/>
        <v>0</v>
      </c>
      <c r="DK231" s="417"/>
    </row>
    <row r="232" spans="1:132">
      <c r="A232" s="1571" t="s">
        <v>619</v>
      </c>
      <c r="B232" s="1755">
        <f t="shared" si="282"/>
        <v>0</v>
      </c>
      <c r="C232" s="1757">
        <f t="shared" si="282"/>
        <v>0</v>
      </c>
      <c r="D232" s="3385"/>
      <c r="E232" s="3384"/>
      <c r="F232" s="432"/>
      <c r="G232" s="3384"/>
      <c r="H232" s="432"/>
      <c r="I232" s="3384"/>
      <c r="J232" s="432"/>
      <c r="K232" s="3384"/>
      <c r="L232" s="432"/>
      <c r="M232" s="3384"/>
      <c r="N232" s="432"/>
      <c r="O232" s="3384"/>
      <c r="P232" s="432"/>
      <c r="Q232" s="3384"/>
      <c r="R232" s="432"/>
      <c r="S232" s="3384"/>
      <c r="T232" s="432"/>
      <c r="U232" s="3384"/>
      <c r="V232" s="432"/>
      <c r="W232" s="3384"/>
      <c r="X232" s="432"/>
      <c r="Y232" s="3384"/>
      <c r="Z232" s="432"/>
      <c r="AA232" s="3384"/>
      <c r="AB232" s="432"/>
      <c r="AC232" s="3384"/>
      <c r="AD232" s="432"/>
      <c r="AE232" s="3384"/>
      <c r="AF232" s="432"/>
      <c r="AG232" s="3384"/>
      <c r="AH232" s="432"/>
      <c r="AI232" s="3384"/>
      <c r="AJ232" s="432"/>
      <c r="AK232" s="445"/>
      <c r="AL232" s="3385"/>
      <c r="AM232" s="445"/>
      <c r="AN232" s="3386"/>
      <c r="AO232" s="3425"/>
      <c r="AP232" s="3385"/>
      <c r="AQ232" s="438"/>
      <c r="AR232" s="3373" t="str">
        <f t="shared" si="285"/>
        <v/>
      </c>
      <c r="CA232" s="3413" t="str">
        <f t="shared" si="272"/>
        <v/>
      </c>
      <c r="CB232" s="418" t="str">
        <f t="shared" si="273"/>
        <v/>
      </c>
      <c r="CC232" s="418" t="str">
        <f t="shared" si="274"/>
        <v/>
      </c>
      <c r="CD232" s="418" t="str">
        <f t="shared" si="275"/>
        <v/>
      </c>
      <c r="CE232" s="418" t="str">
        <f t="shared" si="276"/>
        <v/>
      </c>
      <c r="CF232" s="417"/>
      <c r="CG232" s="3366"/>
      <c r="DF232" s="3375">
        <f t="shared" si="277"/>
        <v>0</v>
      </c>
      <c r="DG232" s="3375">
        <f t="shared" si="278"/>
        <v>0</v>
      </c>
      <c r="DH232" s="3375">
        <f t="shared" si="279"/>
        <v>0</v>
      </c>
      <c r="DI232" s="3375">
        <f t="shared" si="280"/>
        <v>0</v>
      </c>
      <c r="DJ232" s="3375">
        <f t="shared" si="281"/>
        <v>0</v>
      </c>
      <c r="DK232" s="417"/>
    </row>
    <row r="233" spans="1:132" ht="18" customHeight="1">
      <c r="A233" s="3449" t="s">
        <v>2008</v>
      </c>
      <c r="B233" s="3449"/>
      <c r="C233" s="3449"/>
      <c r="D233" s="3449"/>
      <c r="E233" s="3449"/>
      <c r="F233" s="3449"/>
      <c r="G233" s="3449"/>
      <c r="H233" s="3449"/>
      <c r="I233" s="3449"/>
      <c r="J233" s="3449"/>
      <c r="K233" s="3449"/>
      <c r="L233" s="3449"/>
      <c r="M233" s="3449"/>
      <c r="N233" s="3449"/>
      <c r="O233" s="3449"/>
      <c r="P233" s="3449"/>
      <c r="Q233" s="3449"/>
      <c r="R233" s="3449"/>
      <c r="S233" s="3449"/>
      <c r="T233" s="3449"/>
      <c r="U233" s="3449"/>
      <c r="V233" s="3449"/>
      <c r="W233" s="3449"/>
      <c r="X233" s="3449"/>
      <c r="Y233" s="3449"/>
      <c r="Z233" s="3449"/>
      <c r="AA233" s="3449"/>
      <c r="AB233" s="3449"/>
      <c r="AC233" s="3449"/>
      <c r="AD233" s="3449"/>
      <c r="AE233" s="3449"/>
      <c r="AF233" s="3449"/>
      <c r="AG233" s="3449"/>
      <c r="AH233" s="3449"/>
      <c r="AI233" s="3449"/>
      <c r="AJ233" s="3449"/>
      <c r="AK233" s="3366"/>
      <c r="AL233" s="3366"/>
      <c r="AM233" s="3366"/>
      <c r="AN233" s="3366"/>
      <c r="AO233" s="3366"/>
      <c r="AP233" s="3366"/>
      <c r="AQ233" s="3366"/>
      <c r="AR233" s="3366"/>
      <c r="AS233" s="3366"/>
      <c r="AT233" s="3366"/>
      <c r="AU233" s="3366"/>
      <c r="AV233" s="3366"/>
      <c r="AW233" s="3366"/>
      <c r="AX233" s="3366"/>
    </row>
    <row r="234" spans="1:132">
      <c r="A234" s="6730" t="s">
        <v>2009</v>
      </c>
      <c r="B234" s="6731"/>
      <c r="C234" s="6732" t="s">
        <v>91</v>
      </c>
      <c r="D234" s="6731"/>
      <c r="E234" s="6727" t="s">
        <v>43</v>
      </c>
      <c r="F234" s="6370"/>
      <c r="G234" s="6370"/>
      <c r="H234" s="6370"/>
      <c r="I234" s="6370"/>
      <c r="J234" s="6370"/>
      <c r="K234" s="6370"/>
      <c r="L234" s="6370"/>
      <c r="M234" s="6370"/>
      <c r="N234" s="6370"/>
      <c r="O234" s="6370"/>
      <c r="P234" s="6370"/>
      <c r="Q234" s="6370"/>
      <c r="R234" s="6370"/>
      <c r="S234" s="6370"/>
      <c r="T234" s="6370"/>
      <c r="U234" s="6370"/>
      <c r="V234" s="6370"/>
      <c r="W234" s="6370"/>
      <c r="X234" s="6370"/>
      <c r="Y234" s="6370"/>
      <c r="Z234" s="6370"/>
      <c r="AA234" s="6370"/>
      <c r="AB234" s="6370"/>
      <c r="AC234" s="6370"/>
      <c r="AD234" s="6370"/>
      <c r="AE234" s="6370"/>
      <c r="AF234" s="6370"/>
      <c r="AG234" s="6370"/>
      <c r="AH234" s="6370"/>
      <c r="AI234" s="6370"/>
      <c r="AJ234" s="6728"/>
      <c r="AK234" s="6734" t="s">
        <v>1979</v>
      </c>
      <c r="AL234" s="6053"/>
      <c r="AM234" s="6053"/>
      <c r="AN234" s="6606"/>
      <c r="AO234" s="6734" t="s">
        <v>478</v>
      </c>
      <c r="AP234" s="6053"/>
      <c r="AQ234" s="6053"/>
      <c r="AR234" s="6606"/>
      <c r="AS234" s="6316" t="s">
        <v>343</v>
      </c>
      <c r="AT234" s="6735"/>
      <c r="AU234" s="6316" t="s">
        <v>51</v>
      </c>
      <c r="AV234" s="6735"/>
      <c r="AW234" s="6139" t="s">
        <v>1980</v>
      </c>
      <c r="AX234" s="6119"/>
    </row>
    <row r="235" spans="1:132">
      <c r="A235" s="6366"/>
      <c r="B235" s="6367"/>
      <c r="C235" s="6733"/>
      <c r="D235" s="6358"/>
      <c r="E235" s="5710" t="s">
        <v>1981</v>
      </c>
      <c r="F235" s="6106"/>
      <c r="G235" s="5710" t="s">
        <v>1936</v>
      </c>
      <c r="H235" s="6106"/>
      <c r="I235" s="5710" t="s">
        <v>965</v>
      </c>
      <c r="J235" s="6106"/>
      <c r="K235" s="5707" t="s">
        <v>347</v>
      </c>
      <c r="L235" s="5709"/>
      <c r="M235" s="5707" t="s">
        <v>108</v>
      </c>
      <c r="N235" s="5709"/>
      <c r="O235" s="5707" t="s">
        <v>58</v>
      </c>
      <c r="P235" s="5709"/>
      <c r="Q235" s="5707" t="s">
        <v>59</v>
      </c>
      <c r="R235" s="5709"/>
      <c r="S235" s="5707" t="s">
        <v>60</v>
      </c>
      <c r="T235" s="5709"/>
      <c r="U235" s="5707" t="s">
        <v>61</v>
      </c>
      <c r="V235" s="5709"/>
      <c r="W235" s="5708" t="s">
        <v>62</v>
      </c>
      <c r="X235" s="5709"/>
      <c r="Y235" s="5708" t="s">
        <v>63</v>
      </c>
      <c r="Z235" s="5709"/>
      <c r="AA235" s="5708" t="s">
        <v>64</v>
      </c>
      <c r="AB235" s="5709"/>
      <c r="AC235" s="5707" t="s">
        <v>65</v>
      </c>
      <c r="AD235" s="5709"/>
      <c r="AE235" s="5708" t="s">
        <v>66</v>
      </c>
      <c r="AF235" s="5709"/>
      <c r="AG235" s="5708" t="s">
        <v>67</v>
      </c>
      <c r="AH235" s="5709"/>
      <c r="AI235" s="5708" t="s">
        <v>2010</v>
      </c>
      <c r="AJ235" s="6147"/>
      <c r="AK235" s="6729" t="s">
        <v>72</v>
      </c>
      <c r="AL235" s="6059"/>
      <c r="AM235" s="6060" t="s">
        <v>73</v>
      </c>
      <c r="AN235" s="6726"/>
      <c r="AO235" s="6729" t="s">
        <v>483</v>
      </c>
      <c r="AP235" s="6059"/>
      <c r="AQ235" s="6060" t="s">
        <v>484</v>
      </c>
      <c r="AR235" s="6726"/>
      <c r="AS235" s="6317"/>
      <c r="AT235" s="6736"/>
      <c r="AU235" s="6317"/>
      <c r="AV235" s="6736"/>
      <c r="AW235" s="6115"/>
      <c r="AX235" s="6116"/>
    </row>
    <row r="236" spans="1:132" ht="31.5">
      <c r="A236" s="6357"/>
      <c r="B236" s="6358"/>
      <c r="C236" s="1396" t="s">
        <v>1937</v>
      </c>
      <c r="D236" s="1584" t="s">
        <v>1983</v>
      </c>
      <c r="E236" s="1395" t="s">
        <v>1937</v>
      </c>
      <c r="F236" s="1584" t="s">
        <v>1983</v>
      </c>
      <c r="G236" s="1395" t="s">
        <v>1937</v>
      </c>
      <c r="H236" s="1584" t="s">
        <v>1983</v>
      </c>
      <c r="I236" s="1396" t="s">
        <v>1937</v>
      </c>
      <c r="J236" s="1584" t="s">
        <v>1983</v>
      </c>
      <c r="K236" s="1396" t="s">
        <v>1937</v>
      </c>
      <c r="L236" s="1584" t="s">
        <v>1983</v>
      </c>
      <c r="M236" s="1395" t="s">
        <v>1937</v>
      </c>
      <c r="N236" s="1584" t="s">
        <v>1983</v>
      </c>
      <c r="O236" s="1395" t="s">
        <v>1937</v>
      </c>
      <c r="P236" s="1584" t="s">
        <v>1983</v>
      </c>
      <c r="Q236" s="1395" t="s">
        <v>1937</v>
      </c>
      <c r="R236" s="1584" t="s">
        <v>1983</v>
      </c>
      <c r="S236" s="1395" t="s">
        <v>1937</v>
      </c>
      <c r="T236" s="1584" t="s">
        <v>1983</v>
      </c>
      <c r="U236" s="1395" t="s">
        <v>1937</v>
      </c>
      <c r="V236" s="1584" t="s">
        <v>1983</v>
      </c>
      <c r="W236" s="1396" t="s">
        <v>1937</v>
      </c>
      <c r="X236" s="1584" t="s">
        <v>1983</v>
      </c>
      <c r="Y236" s="1396" t="s">
        <v>1937</v>
      </c>
      <c r="Z236" s="1584" t="s">
        <v>1983</v>
      </c>
      <c r="AA236" s="1396" t="s">
        <v>1937</v>
      </c>
      <c r="AB236" s="1584" t="s">
        <v>1983</v>
      </c>
      <c r="AC236" s="1395" t="s">
        <v>1937</v>
      </c>
      <c r="AD236" s="1584" t="s">
        <v>1983</v>
      </c>
      <c r="AE236" s="1396" t="s">
        <v>1937</v>
      </c>
      <c r="AF236" s="1584" t="s">
        <v>1983</v>
      </c>
      <c r="AG236" s="1396" t="s">
        <v>1937</v>
      </c>
      <c r="AH236" s="1584" t="s">
        <v>1983</v>
      </c>
      <c r="AI236" s="1396" t="s">
        <v>1937</v>
      </c>
      <c r="AJ236" s="1584" t="s">
        <v>1983</v>
      </c>
      <c r="AK236" s="1733" t="s">
        <v>1937</v>
      </c>
      <c r="AL236" s="1584" t="s">
        <v>1983</v>
      </c>
      <c r="AM236" s="1396" t="s">
        <v>1937</v>
      </c>
      <c r="AN236" s="1398" t="s">
        <v>1983</v>
      </c>
      <c r="AO236" s="1733" t="s">
        <v>1937</v>
      </c>
      <c r="AP236" s="1584" t="s">
        <v>1983</v>
      </c>
      <c r="AQ236" s="1396" t="s">
        <v>1937</v>
      </c>
      <c r="AR236" s="1398" t="s">
        <v>1983</v>
      </c>
      <c r="AS236" s="1733" t="s">
        <v>1937</v>
      </c>
      <c r="AT236" s="394" t="s">
        <v>1983</v>
      </c>
      <c r="AU236" s="1733" t="s">
        <v>1937</v>
      </c>
      <c r="AV236" s="394" t="s">
        <v>1983</v>
      </c>
      <c r="AW236" s="1396" t="s">
        <v>1937</v>
      </c>
      <c r="AX236" s="1584" t="s">
        <v>1983</v>
      </c>
    </row>
    <row r="237" spans="1:132" ht="15" customHeight="1">
      <c r="A237" s="6127" t="s">
        <v>2011</v>
      </c>
      <c r="B237" s="1422" t="s">
        <v>1984</v>
      </c>
      <c r="C237" s="3453">
        <f t="shared" ref="C237:C238" si="286">+M237+O237+Q237+S237+U237+W237+Y237+AA237+AC237</f>
        <v>0</v>
      </c>
      <c r="D237" s="1736">
        <f t="shared" ref="C237:D239" si="287">+N237+P237+R237+T237+V237+X237+Z237+AB237+AD237</f>
        <v>0</v>
      </c>
      <c r="E237" s="3454"/>
      <c r="F237" s="3455"/>
      <c r="G237" s="3456"/>
      <c r="H237" s="3455"/>
      <c r="I237" s="3456"/>
      <c r="J237" s="3455"/>
      <c r="K237" s="3456"/>
      <c r="L237" s="3455"/>
      <c r="M237" s="423"/>
      <c r="N237" s="2231"/>
      <c r="O237" s="3376"/>
      <c r="P237" s="2231"/>
      <c r="Q237" s="425"/>
      <c r="R237" s="2231"/>
      <c r="S237" s="425"/>
      <c r="T237" s="2231"/>
      <c r="U237" s="425"/>
      <c r="V237" s="2231"/>
      <c r="W237" s="423"/>
      <c r="X237" s="2231"/>
      <c r="Y237" s="423"/>
      <c r="Z237" s="2231"/>
      <c r="AA237" s="423"/>
      <c r="AB237" s="2231"/>
      <c r="AC237" s="425"/>
      <c r="AD237" s="2231"/>
      <c r="AE237" s="3371"/>
      <c r="AF237" s="3103"/>
      <c r="AG237" s="3371"/>
      <c r="AH237" s="3103"/>
      <c r="AI237" s="3371"/>
      <c r="AJ237" s="3457"/>
      <c r="AK237" s="3433"/>
      <c r="AL237" s="3103"/>
      <c r="AM237" s="423"/>
      <c r="AN237" s="3412"/>
      <c r="AO237" s="3372"/>
      <c r="AP237" s="2231"/>
      <c r="AQ237" s="423"/>
      <c r="AR237" s="3412"/>
      <c r="AS237" s="3372"/>
      <c r="AT237" s="3412"/>
      <c r="AU237" s="3372"/>
      <c r="AV237" s="3412"/>
      <c r="AW237" s="423"/>
      <c r="AX237" s="2231"/>
      <c r="AY237" s="3373" t="str">
        <f t="shared" ref="AY237:AY239" si="288">$CA237&amp;$CC237&amp;CD237&amp;CE237&amp;CF237&amp;CG237&amp;CH237&amp;CI237&amp;CJ237&amp;CK237&amp;CL237&amp;CM237&amp;CN237&amp;CO237&amp;CP237&amp;CQ237&amp;CR237&amp;CS237&amp;CT237&amp;CU237&amp;CV237&amp;CW237</f>
        <v/>
      </c>
      <c r="CA237" s="3413" t="str">
        <f t="shared" ref="CA237:CA259" si="289">IF(D237&gt;C237," * El Total de Exámenes Confirmados Positivos por ISP NO DEBE SUPERAR los Exámenes Procesados. ","")</f>
        <v/>
      </c>
      <c r="CB237" s="3414"/>
      <c r="CC237" s="418" t="str">
        <f t="shared" ref="CC237:CC259" si="290">IF(AN237&gt;AM237," * El número de Exámenes por Sexo Mujeres Confirmados positivos por ISP NO PUEDE Superar al número de Procesados. ","")</f>
        <v/>
      </c>
      <c r="CD237" s="417"/>
      <c r="CE237" s="417"/>
      <c r="CF237" s="417"/>
      <c r="CG237" s="417"/>
      <c r="CH237" s="417"/>
      <c r="CI237" s="418" t="str">
        <f t="shared" si="258"/>
        <v/>
      </c>
      <c r="CJ237" s="3366"/>
      <c r="CK237" s="418" t="str">
        <f t="shared" ref="CK237:CK259" si="291">IF((AM237+AK237)&lt;&gt;C237," * El N° de exámenes Procesados por SEXO (Hombres + Mujeres)no puede ser distinto al Total de exámenes procesados","")</f>
        <v/>
      </c>
      <c r="CL237" s="418" t="str">
        <f t="shared" ref="CL237:CL259" si="292">IF((AN237+AL237)&lt;&gt;D237," * El N° de exámenes Confirmados positivos por ISP por Sexo (Hombres+Mujeres) no puede ser distinto al N° Total de exámenes Confirmados positivos por ISP ","")</f>
        <v/>
      </c>
      <c r="CM237" s="418" t="str">
        <f t="shared" ref="CM237:CM259" si="293">IF(AND(C237&gt;0,AS237="")," * No olvide digitar los examanes de Pueblos Originarios Procesados. Digite Cero si no tiene.",IF(AS237&gt;C237," * Los exámenes de Pueblos originarios Procesados no pueden ser mayor que el Total de exámenes procesados.",""))</f>
        <v/>
      </c>
      <c r="CN237" s="418" t="str">
        <f t="shared" ref="CN237:CN259" si="294">IF(AND(C237&gt;0,AU237="")," * No olvide digitar los exámenes Procesados de Migrantes. Digite Cero si no tiene.",IF(AU237&gt;C237," * Los exámenes procesados de Migrantes no pueden ser mayor que el Total de exámenes procesados.",""))</f>
        <v/>
      </c>
      <c r="CO237" s="418" t="str">
        <f t="shared" ref="CO237:CO259" si="295">IF(AND(D237&gt;0,AND(AP237="",AR237=""))," * No olvide digitar los exámenes Confirmados positivos por ISP de Trans (Masculino y Femenino). Digite Cero si no tiene.",IF((AP237+AR237)&gt;D237," * Los exámenes confirmados positivos por ISP de Trans (Masculino y Femenino) no pueden ser mayor que el Total de exámenes Confirmados positivos por ISP.",""))</f>
        <v/>
      </c>
      <c r="CP237" s="418" t="str">
        <f t="shared" ref="CP237:CP259" si="296">IF(AND(D237&gt;0,AT237="")," * No olvide digitar los exámenes Confirmados positivos por ISP de Pueblos Originarios. Digite Cero si no tiene.",IF(AT237&gt;D237," * Los exámenes Confirmados positivos por ISP de Pueblos originarios no pueden ser mayor que el Total de exámenes Procesados por ISP.",""))</f>
        <v/>
      </c>
      <c r="CQ237" s="418" t="str">
        <f t="shared" ref="CQ237:CQ259" si="297">IF(AND(D237&gt;0,AV237="")," * No olvide digitar los exámenes Confirmados positivos por ISP de Migrantes. Digite Cero si no tiene.",IF(AV237&gt;D237," * Los exámenes Confirmados positivos por ISP de Migrantes no pueden ser mayor que el Total de exámenes Procesados por ISP.",""))</f>
        <v/>
      </c>
      <c r="CR237" s="417"/>
      <c r="CS237" s="417"/>
      <c r="CT237" s="1708" t="str">
        <f t="shared" ref="CT237:CT259" si="298">IF(AND((M237+O237)&gt;0,AW237=""),"*No olvide digitar los Exámenes Procesados de 14-18 años. Digite cero si no tiene.",IF(AW237&gt;(M237+O237),"* El Total de Procesados de 14-18 años NO DEBE ser mayor al Total de Procesados registrados en los grupos de edad 10 a 14 + 15 a 19 años. ",""))</f>
        <v/>
      </c>
      <c r="CU237" s="1708" t="str">
        <f t="shared" ref="CU237:CU259" si="299">IF(AND((N237+P237)&gt;0,AX237=""),"*No olvide digitar los Exámenes Confirmados Positivos por ISP de 14-18 años. Digite cero si no tiene.",IF(AX237&gt;(N237+P237),"* El Total de Confirmados de 14-18 años NO DEBE ser mayor al Total de Confirmados Positivos por ISP registrados en los grupos de edad 10 a 14 + 15 a 19 años. ",""))</f>
        <v/>
      </c>
      <c r="DF237" s="3415">
        <f t="shared" ref="DF237:DF259" si="300">IF(D237&gt;C237,1,0)</f>
        <v>0</v>
      </c>
      <c r="DG237" s="3414"/>
      <c r="DH237" s="3389">
        <f t="shared" ref="DH237:DH259" si="301">IF(AN237&gt;AM237,1,0)</f>
        <v>0</v>
      </c>
      <c r="DI237" s="417"/>
      <c r="DJ237" s="417"/>
      <c r="DK237" s="417"/>
      <c r="DL237" s="417"/>
      <c r="DM237" s="417"/>
      <c r="DN237" s="3389">
        <f t="shared" ref="DN237:DN259" si="302">IF(AND(C237&gt;0,AND(AO237="",AQ237="")),1,IF((AO237+AQ237)&gt;C237,1,0))</f>
        <v>0</v>
      </c>
      <c r="DO237" s="3366"/>
      <c r="DP237" s="3389">
        <f t="shared" ref="DP237:DP259" si="303">IF((AM237+AK237)&lt;&gt;C237,1,0)</f>
        <v>0</v>
      </c>
      <c r="DQ237" s="3389">
        <f t="shared" ref="DQ237:DQ259" si="304">IF((AN237+AL237)&lt;&gt;D237,1,0)</f>
        <v>0</v>
      </c>
      <c r="DR237" s="3389">
        <f t="shared" ref="DR237:DR259" si="305">IF(AND(C237&gt;0,AS237=""),1,IF(AS237&gt;C237,1,0))</f>
        <v>0</v>
      </c>
      <c r="DS237" s="3389">
        <f t="shared" ref="DS237:DS259" si="306">IF(AND(C237&gt;0,AU237=""),1,IF(AU237&gt;C237,1,0))</f>
        <v>0</v>
      </c>
      <c r="DT237" s="3389">
        <f t="shared" si="259"/>
        <v>0</v>
      </c>
      <c r="DU237" s="3389">
        <f t="shared" ref="DU237:DU259" si="307">IF(AND(D237&gt;0,AT237=""),1,IF(AT237&gt;D237,1,0))</f>
        <v>0</v>
      </c>
      <c r="DV237" s="3389">
        <f t="shared" ref="DV237:DV259" si="308">IF(AND(D237&gt;0,AV237=""),1,IF(AV237&gt;D237,1,0))</f>
        <v>0</v>
      </c>
      <c r="DW237" s="417"/>
      <c r="DX237" s="417"/>
      <c r="DY237" s="3389">
        <f t="shared" ref="DY237:DY259" si="309">IF(AND((M237+O237)&gt;0,AW237=""),1,IF(AW237&gt;(M237+O237),1,0))</f>
        <v>0</v>
      </c>
      <c r="DZ237" s="3389">
        <f t="shared" ref="DZ237:DZ259" si="310">IF(AND((N237+P237)&gt;0,AX237=""),1,IF(AX237&gt;(N237+P237),1,0))</f>
        <v>0</v>
      </c>
      <c r="EA237" s="3416">
        <f t="shared" ref="EA237:EA259" si="311">IF(AND((M237+O237)&gt;0,AW237=""),1,0)</f>
        <v>0</v>
      </c>
      <c r="EB237" s="3416">
        <f t="shared" ref="EB237:EB259" si="312">IF(AND((N237+P237)&gt;0,AX237=""),1,0)</f>
        <v>0</v>
      </c>
    </row>
    <row r="238" spans="1:132" ht="15" customHeight="1">
      <c r="A238" s="6128"/>
      <c r="B238" s="1512" t="s">
        <v>1985</v>
      </c>
      <c r="C238" s="3202">
        <f t="shared" si="286"/>
        <v>0</v>
      </c>
      <c r="D238" s="1739">
        <f t="shared" si="287"/>
        <v>0</v>
      </c>
      <c r="E238" s="3458"/>
      <c r="F238" s="3459"/>
      <c r="G238" s="3460"/>
      <c r="H238" s="3459"/>
      <c r="I238" s="3460"/>
      <c r="J238" s="3459"/>
      <c r="K238" s="3460"/>
      <c r="L238" s="3459"/>
      <c r="M238" s="423"/>
      <c r="N238" s="2231"/>
      <c r="O238" s="3376"/>
      <c r="P238" s="2231"/>
      <c r="Q238" s="425"/>
      <c r="R238" s="2231"/>
      <c r="S238" s="425"/>
      <c r="T238" s="2231"/>
      <c r="U238" s="425"/>
      <c r="V238" s="2231"/>
      <c r="W238" s="423"/>
      <c r="X238" s="2231"/>
      <c r="Y238" s="423"/>
      <c r="Z238" s="2231"/>
      <c r="AA238" s="423"/>
      <c r="AB238" s="2231"/>
      <c r="AC238" s="425"/>
      <c r="AD238" s="2231"/>
      <c r="AE238" s="3371"/>
      <c r="AF238" s="3103"/>
      <c r="AG238" s="3371"/>
      <c r="AH238" s="3103"/>
      <c r="AI238" s="3371"/>
      <c r="AJ238" s="3457"/>
      <c r="AK238" s="3433"/>
      <c r="AL238" s="3103"/>
      <c r="AM238" s="423"/>
      <c r="AN238" s="3412"/>
      <c r="AO238" s="3372"/>
      <c r="AP238" s="2231"/>
      <c r="AQ238" s="423"/>
      <c r="AR238" s="3412"/>
      <c r="AS238" s="3372"/>
      <c r="AT238" s="3412"/>
      <c r="AU238" s="3372"/>
      <c r="AV238" s="3412"/>
      <c r="AW238" s="423"/>
      <c r="AX238" s="2231"/>
      <c r="AY238" s="3373" t="str">
        <f t="shared" si="288"/>
        <v/>
      </c>
      <c r="CA238" s="3413" t="str">
        <f t="shared" si="289"/>
        <v/>
      </c>
      <c r="CB238" s="3414"/>
      <c r="CC238" s="418" t="str">
        <f t="shared" si="290"/>
        <v/>
      </c>
      <c r="CD238" s="417"/>
      <c r="CE238" s="417"/>
      <c r="CF238" s="417"/>
      <c r="CG238" s="417"/>
      <c r="CH238" s="417"/>
      <c r="CI238" s="418" t="str">
        <f t="shared" si="258"/>
        <v/>
      </c>
      <c r="CJ238" s="3366"/>
      <c r="CK238" s="418" t="str">
        <f t="shared" si="291"/>
        <v/>
      </c>
      <c r="CL238" s="418" t="str">
        <f t="shared" si="292"/>
        <v/>
      </c>
      <c r="CM238" s="418" t="str">
        <f t="shared" si="293"/>
        <v/>
      </c>
      <c r="CN238" s="418" t="str">
        <f t="shared" si="294"/>
        <v/>
      </c>
      <c r="CO238" s="418" t="str">
        <f t="shared" si="295"/>
        <v/>
      </c>
      <c r="CP238" s="418" t="str">
        <f t="shared" si="296"/>
        <v/>
      </c>
      <c r="CQ238" s="418" t="str">
        <f t="shared" si="297"/>
        <v/>
      </c>
      <c r="CR238" s="417"/>
      <c r="CS238" s="417"/>
      <c r="CT238" s="1708" t="str">
        <f t="shared" si="298"/>
        <v/>
      </c>
      <c r="CU238" s="1708" t="str">
        <f t="shared" si="299"/>
        <v/>
      </c>
      <c r="DF238" s="3415">
        <f t="shared" si="300"/>
        <v>0</v>
      </c>
      <c r="DG238" s="3414"/>
      <c r="DH238" s="3389">
        <f t="shared" si="301"/>
        <v>0</v>
      </c>
      <c r="DI238" s="417"/>
      <c r="DJ238" s="417"/>
      <c r="DK238" s="417"/>
      <c r="DL238" s="417"/>
      <c r="DM238" s="417"/>
      <c r="DN238" s="3389">
        <f t="shared" si="302"/>
        <v>0</v>
      </c>
      <c r="DO238" s="3366"/>
      <c r="DP238" s="3389">
        <f t="shared" si="303"/>
        <v>0</v>
      </c>
      <c r="DQ238" s="3389">
        <f t="shared" si="304"/>
        <v>0</v>
      </c>
      <c r="DR238" s="3389">
        <f t="shared" si="305"/>
        <v>0</v>
      </c>
      <c r="DS238" s="3389">
        <f t="shared" si="306"/>
        <v>0</v>
      </c>
      <c r="DT238" s="3389">
        <f t="shared" si="259"/>
        <v>0</v>
      </c>
      <c r="DU238" s="3389">
        <f t="shared" si="307"/>
        <v>0</v>
      </c>
      <c r="DV238" s="3389">
        <f t="shared" si="308"/>
        <v>0</v>
      </c>
      <c r="DW238" s="417"/>
      <c r="DX238" s="417"/>
      <c r="DY238" s="3389">
        <f t="shared" si="309"/>
        <v>0</v>
      </c>
      <c r="DZ238" s="3389">
        <f t="shared" si="310"/>
        <v>0</v>
      </c>
      <c r="EA238" s="3416">
        <f t="shared" si="311"/>
        <v>0</v>
      </c>
      <c r="EB238" s="3416">
        <f t="shared" si="312"/>
        <v>0</v>
      </c>
    </row>
    <row r="239" spans="1:132" ht="15" customHeight="1">
      <c r="A239" s="6128"/>
      <c r="B239" s="1691" t="s">
        <v>2012</v>
      </c>
      <c r="C239" s="3202">
        <f t="shared" si="287"/>
        <v>0</v>
      </c>
      <c r="D239" s="1739">
        <f t="shared" si="287"/>
        <v>0</v>
      </c>
      <c r="E239" s="3458"/>
      <c r="F239" s="3459"/>
      <c r="G239" s="3460"/>
      <c r="H239" s="3459"/>
      <c r="I239" s="3460"/>
      <c r="J239" s="3459"/>
      <c r="K239" s="3460"/>
      <c r="L239" s="3459"/>
      <c r="M239" s="3461"/>
      <c r="N239" s="3462"/>
      <c r="O239" s="3376"/>
      <c r="P239" s="2231"/>
      <c r="Q239" s="425"/>
      <c r="R239" s="2231"/>
      <c r="S239" s="425"/>
      <c r="T239" s="2231"/>
      <c r="U239" s="425"/>
      <c r="V239" s="2231"/>
      <c r="W239" s="423"/>
      <c r="X239" s="2231"/>
      <c r="Y239" s="423"/>
      <c r="Z239" s="2231"/>
      <c r="AA239" s="423"/>
      <c r="AB239" s="2231"/>
      <c r="AC239" s="425"/>
      <c r="AD239" s="2231"/>
      <c r="AE239" s="3371"/>
      <c r="AF239" s="3103"/>
      <c r="AG239" s="3371"/>
      <c r="AH239" s="3103"/>
      <c r="AI239" s="3371"/>
      <c r="AJ239" s="3457"/>
      <c r="AK239" s="3433"/>
      <c r="AL239" s="3103"/>
      <c r="AM239" s="423"/>
      <c r="AN239" s="3412"/>
      <c r="AO239" s="3372"/>
      <c r="AP239" s="2231"/>
      <c r="AQ239" s="423"/>
      <c r="AR239" s="3412"/>
      <c r="AS239" s="3372"/>
      <c r="AT239" s="3412"/>
      <c r="AU239" s="3372"/>
      <c r="AV239" s="3412"/>
      <c r="AW239" s="423"/>
      <c r="AX239" s="2231"/>
      <c r="AY239" s="3373" t="str">
        <f t="shared" si="288"/>
        <v/>
      </c>
      <c r="CA239" s="3413" t="str">
        <f t="shared" si="289"/>
        <v/>
      </c>
      <c r="CB239" s="3414"/>
      <c r="CC239" s="418" t="str">
        <f t="shared" si="290"/>
        <v/>
      </c>
      <c r="CD239" s="417"/>
      <c r="CE239" s="417"/>
      <c r="CF239" s="417"/>
      <c r="CG239" s="417"/>
      <c r="CH239" s="417"/>
      <c r="CI239" s="418" t="str">
        <f t="shared" si="258"/>
        <v/>
      </c>
      <c r="CJ239" s="3366"/>
      <c r="CK239" s="418" t="str">
        <f t="shared" si="291"/>
        <v/>
      </c>
      <c r="CL239" s="418" t="str">
        <f t="shared" si="292"/>
        <v/>
      </c>
      <c r="CM239" s="418" t="str">
        <f t="shared" si="293"/>
        <v/>
      </c>
      <c r="CN239" s="418" t="str">
        <f t="shared" si="294"/>
        <v/>
      </c>
      <c r="CO239" s="418" t="str">
        <f t="shared" si="295"/>
        <v/>
      </c>
      <c r="CP239" s="418" t="str">
        <f t="shared" si="296"/>
        <v/>
      </c>
      <c r="CQ239" s="418" t="str">
        <f t="shared" si="297"/>
        <v/>
      </c>
      <c r="CR239" s="417"/>
      <c r="CS239" s="417"/>
      <c r="CT239" s="1708" t="str">
        <f t="shared" si="298"/>
        <v/>
      </c>
      <c r="CU239" s="1708" t="str">
        <f t="shared" si="299"/>
        <v/>
      </c>
      <c r="DF239" s="3415">
        <f t="shared" si="300"/>
        <v>0</v>
      </c>
      <c r="DG239" s="3414"/>
      <c r="DH239" s="3389">
        <f t="shared" si="301"/>
        <v>0</v>
      </c>
      <c r="DI239" s="417"/>
      <c r="DJ239" s="417"/>
      <c r="DK239" s="417"/>
      <c r="DL239" s="417"/>
      <c r="DM239" s="417"/>
      <c r="DN239" s="3389">
        <f t="shared" si="302"/>
        <v>0</v>
      </c>
      <c r="DO239" s="3366"/>
      <c r="DP239" s="3389">
        <f t="shared" si="303"/>
        <v>0</v>
      </c>
      <c r="DQ239" s="3389">
        <f t="shared" si="304"/>
        <v>0</v>
      </c>
      <c r="DR239" s="3389">
        <f t="shared" si="305"/>
        <v>0</v>
      </c>
      <c r="DS239" s="3389">
        <f t="shared" si="306"/>
        <v>0</v>
      </c>
      <c r="DT239" s="3389">
        <f t="shared" si="259"/>
        <v>0</v>
      </c>
      <c r="DU239" s="3389">
        <f t="shared" si="307"/>
        <v>0</v>
      </c>
      <c r="DV239" s="3389">
        <f t="shared" si="308"/>
        <v>0</v>
      </c>
      <c r="DW239" s="417"/>
      <c r="DX239" s="417"/>
      <c r="DY239" s="3389">
        <f t="shared" si="309"/>
        <v>0</v>
      </c>
      <c r="DZ239" s="3389">
        <f t="shared" si="310"/>
        <v>0</v>
      </c>
      <c r="EA239" s="3416">
        <f t="shared" si="311"/>
        <v>0</v>
      </c>
      <c r="EB239" s="3416">
        <f t="shared" si="312"/>
        <v>0</v>
      </c>
    </row>
    <row r="240" spans="1:132" ht="15" customHeight="1">
      <c r="A240" s="6128"/>
      <c r="B240" s="1691" t="s">
        <v>1949</v>
      </c>
      <c r="C240" s="3202">
        <f>+O240+Q240+S240+U240+W240+Y240+AA240+AC240+AE240+AG240+AI240</f>
        <v>0</v>
      </c>
      <c r="D240" s="1739">
        <f>+P240+R240+T240+V240+X240+Z240+AB240+AD240+AF240+AH240+AJ240</f>
        <v>0</v>
      </c>
      <c r="E240" s="3458"/>
      <c r="F240" s="3459"/>
      <c r="G240" s="3460"/>
      <c r="H240" s="3459"/>
      <c r="I240" s="3460"/>
      <c r="J240" s="3459"/>
      <c r="K240" s="3460"/>
      <c r="L240" s="3459"/>
      <c r="M240" s="3463"/>
      <c r="N240" s="3464"/>
      <c r="O240" s="423"/>
      <c r="P240" s="2231"/>
      <c r="Q240" s="425"/>
      <c r="R240" s="2231"/>
      <c r="S240" s="425"/>
      <c r="T240" s="2231"/>
      <c r="U240" s="425"/>
      <c r="V240" s="2231"/>
      <c r="W240" s="423"/>
      <c r="X240" s="2231"/>
      <c r="Y240" s="423"/>
      <c r="Z240" s="2231"/>
      <c r="AA240" s="423"/>
      <c r="AB240" s="2231"/>
      <c r="AC240" s="425"/>
      <c r="AD240" s="2231"/>
      <c r="AE240" s="423"/>
      <c r="AF240" s="2231"/>
      <c r="AG240" s="423"/>
      <c r="AH240" s="2231"/>
      <c r="AI240" s="423"/>
      <c r="AJ240" s="3412"/>
      <c r="AK240" s="3372"/>
      <c r="AL240" s="2231"/>
      <c r="AM240" s="423"/>
      <c r="AN240" s="3412"/>
      <c r="AO240" s="3372"/>
      <c r="AP240" s="2231"/>
      <c r="AQ240" s="423"/>
      <c r="AR240" s="3412"/>
      <c r="AS240" s="3372"/>
      <c r="AT240" s="3412"/>
      <c r="AU240" s="3372"/>
      <c r="AV240" s="3412"/>
      <c r="AW240" s="423"/>
      <c r="AX240" s="2231"/>
      <c r="AY240" s="3373" t="str">
        <f t="shared" ref="AY240:AY259" si="313">$CA240&amp;CB240&amp;$CC240&amp;CD240&amp;CE240&amp;CF240&amp;CG240&amp;CH240&amp;CI240&amp;CJ240&amp;CK240&amp;CL240&amp;CM240&amp;CN240&amp;CO240&amp;CP240&amp;CQ240&amp;CR240&amp;CS240&amp;CT240&amp;CU240&amp;CV240&amp;CW240</f>
        <v/>
      </c>
      <c r="CA240" s="3413" t="str">
        <f t="shared" si="289"/>
        <v/>
      </c>
      <c r="CB240" s="418" t="str">
        <f t="shared" ref="CB240:CB259" si="314">IF(AL240&gt;AK240," * El número de Exámenes por Sexo Hombres Confirmados positivos por ISP NO PUEDE Superar al número de Procesados. ","")</f>
        <v/>
      </c>
      <c r="CC240" s="418" t="str">
        <f t="shared" si="290"/>
        <v/>
      </c>
      <c r="CD240" s="417"/>
      <c r="CE240" s="417"/>
      <c r="CF240" s="417"/>
      <c r="CG240" s="417"/>
      <c r="CH240" s="417"/>
      <c r="CI240" s="418" t="str">
        <f t="shared" si="258"/>
        <v/>
      </c>
      <c r="CJ240" s="3366"/>
      <c r="CK240" s="418" t="str">
        <f t="shared" si="291"/>
        <v/>
      </c>
      <c r="CL240" s="418" t="str">
        <f t="shared" si="292"/>
        <v/>
      </c>
      <c r="CM240" s="418" t="str">
        <f t="shared" si="293"/>
        <v/>
      </c>
      <c r="CN240" s="418" t="str">
        <f t="shared" si="294"/>
        <v/>
      </c>
      <c r="CO240" s="418" t="str">
        <f t="shared" si="295"/>
        <v/>
      </c>
      <c r="CP240" s="418" t="str">
        <f t="shared" si="296"/>
        <v/>
      </c>
      <c r="CQ240" s="418" t="str">
        <f t="shared" si="297"/>
        <v/>
      </c>
      <c r="CR240" s="417"/>
      <c r="CS240" s="417"/>
      <c r="CT240" s="1708" t="str">
        <f t="shared" si="298"/>
        <v/>
      </c>
      <c r="CU240" s="1708" t="str">
        <f t="shared" si="299"/>
        <v/>
      </c>
      <c r="DF240" s="3415">
        <f t="shared" si="300"/>
        <v>0</v>
      </c>
      <c r="DG240" s="3389">
        <f t="shared" ref="DG240:DG259" si="315">IF(AL240&gt;AK240,1,0)</f>
        <v>0</v>
      </c>
      <c r="DH240" s="3389">
        <f t="shared" si="301"/>
        <v>0</v>
      </c>
      <c r="DI240" s="417"/>
      <c r="DJ240" s="417"/>
      <c r="DK240" s="417"/>
      <c r="DL240" s="417"/>
      <c r="DM240" s="417"/>
      <c r="DN240" s="3389">
        <f t="shared" si="302"/>
        <v>0</v>
      </c>
      <c r="DO240" s="3366"/>
      <c r="DP240" s="3389">
        <f t="shared" si="303"/>
        <v>0</v>
      </c>
      <c r="DQ240" s="3389">
        <f t="shared" si="304"/>
        <v>0</v>
      </c>
      <c r="DR240" s="3389">
        <f t="shared" si="305"/>
        <v>0</v>
      </c>
      <c r="DS240" s="3389">
        <f t="shared" si="306"/>
        <v>0</v>
      </c>
      <c r="DT240" s="3389">
        <f t="shared" si="259"/>
        <v>0</v>
      </c>
      <c r="DU240" s="3389">
        <f t="shared" si="307"/>
        <v>0</v>
      </c>
      <c r="DV240" s="3389">
        <f t="shared" si="308"/>
        <v>0</v>
      </c>
      <c r="DW240" s="417"/>
      <c r="DX240" s="417"/>
      <c r="DY240" s="3389">
        <f t="shared" si="309"/>
        <v>0</v>
      </c>
      <c r="DZ240" s="3389">
        <f t="shared" si="310"/>
        <v>0</v>
      </c>
      <c r="EA240" s="3416">
        <f t="shared" si="311"/>
        <v>0</v>
      </c>
      <c r="EB240" s="3416">
        <f t="shared" si="312"/>
        <v>0</v>
      </c>
    </row>
    <row r="241" spans="1:132" ht="15" customHeight="1">
      <c r="A241" s="6128"/>
      <c r="B241" s="1512" t="s">
        <v>1987</v>
      </c>
      <c r="C241" s="3202">
        <f>+E241+G241+I241+K241+M241+O241+Q241+S241+U241+W241+Y241+AA241+AC241+AE241+AG241+AI241</f>
        <v>0</v>
      </c>
      <c r="D241" s="3465">
        <f>+F241+H241+J241+L241+N241+P241+R241+T241+V241+X241+Z241+AB241+AD241+AF241+AH241+AJ241</f>
        <v>0</v>
      </c>
      <c r="E241" s="411"/>
      <c r="F241" s="2261"/>
      <c r="G241" s="411"/>
      <c r="H241" s="2261"/>
      <c r="I241" s="411"/>
      <c r="J241" s="2261"/>
      <c r="K241" s="411"/>
      <c r="L241" s="2261"/>
      <c r="M241" s="411"/>
      <c r="N241" s="2261"/>
      <c r="O241" s="3376"/>
      <c r="P241" s="2231"/>
      <c r="Q241" s="425"/>
      <c r="R241" s="2231"/>
      <c r="S241" s="425"/>
      <c r="T241" s="2231"/>
      <c r="U241" s="425"/>
      <c r="V241" s="2231"/>
      <c r="W241" s="423"/>
      <c r="X241" s="2231"/>
      <c r="Y241" s="423"/>
      <c r="Z241" s="2231"/>
      <c r="AA241" s="423"/>
      <c r="AB241" s="2231"/>
      <c r="AC241" s="425"/>
      <c r="AD241" s="2231"/>
      <c r="AE241" s="423"/>
      <c r="AF241" s="2231"/>
      <c r="AG241" s="423"/>
      <c r="AH241" s="2231"/>
      <c r="AI241" s="423"/>
      <c r="AJ241" s="3412"/>
      <c r="AK241" s="3372"/>
      <c r="AL241" s="2231"/>
      <c r="AM241" s="423"/>
      <c r="AN241" s="3412"/>
      <c r="AO241" s="3372"/>
      <c r="AP241" s="2231"/>
      <c r="AQ241" s="423"/>
      <c r="AR241" s="3412"/>
      <c r="AS241" s="3372"/>
      <c r="AT241" s="3412"/>
      <c r="AU241" s="3372"/>
      <c r="AV241" s="3412"/>
      <c r="AW241" s="423"/>
      <c r="AX241" s="2231"/>
      <c r="AY241" s="3373" t="str">
        <f t="shared" si="313"/>
        <v/>
      </c>
      <c r="CA241" s="3413" t="str">
        <f t="shared" si="289"/>
        <v/>
      </c>
      <c r="CB241" s="418" t="str">
        <f t="shared" si="314"/>
        <v/>
      </c>
      <c r="CC241" s="418" t="str">
        <f t="shared" si="290"/>
        <v/>
      </c>
      <c r="CD241" s="417"/>
      <c r="CE241" s="417"/>
      <c r="CF241" s="417"/>
      <c r="CG241" s="417"/>
      <c r="CH241" s="417"/>
      <c r="CI241" s="418" t="str">
        <f t="shared" si="258"/>
        <v/>
      </c>
      <c r="CJ241" s="3366"/>
      <c r="CK241" s="418" t="str">
        <f t="shared" si="291"/>
        <v/>
      </c>
      <c r="CL241" s="418" t="str">
        <f t="shared" si="292"/>
        <v/>
      </c>
      <c r="CM241" s="418" t="str">
        <f t="shared" si="293"/>
        <v/>
      </c>
      <c r="CN241" s="418" t="str">
        <f t="shared" si="294"/>
        <v/>
      </c>
      <c r="CO241" s="418" t="str">
        <f t="shared" si="295"/>
        <v/>
      </c>
      <c r="CP241" s="418" t="str">
        <f t="shared" si="296"/>
        <v/>
      </c>
      <c r="CQ241" s="418" t="str">
        <f t="shared" si="297"/>
        <v/>
      </c>
      <c r="CR241" s="417"/>
      <c r="CS241" s="417"/>
      <c r="CT241" s="1708" t="str">
        <f t="shared" si="298"/>
        <v/>
      </c>
      <c r="CU241" s="1708" t="str">
        <f t="shared" si="299"/>
        <v/>
      </c>
      <c r="DF241" s="3415">
        <f t="shared" si="300"/>
        <v>0</v>
      </c>
      <c r="DG241" s="3389">
        <f t="shared" si="315"/>
        <v>0</v>
      </c>
      <c r="DH241" s="3389">
        <f t="shared" si="301"/>
        <v>0</v>
      </c>
      <c r="DI241" s="417"/>
      <c r="DJ241" s="417"/>
      <c r="DK241" s="417"/>
      <c r="DL241" s="417"/>
      <c r="DM241" s="417"/>
      <c r="DN241" s="3389">
        <f t="shared" si="302"/>
        <v>0</v>
      </c>
      <c r="DO241" s="3366"/>
      <c r="DP241" s="3389">
        <f t="shared" si="303"/>
        <v>0</v>
      </c>
      <c r="DQ241" s="3389">
        <f t="shared" si="304"/>
        <v>0</v>
      </c>
      <c r="DR241" s="3389">
        <f t="shared" si="305"/>
        <v>0</v>
      </c>
      <c r="DS241" s="3389">
        <f t="shared" si="306"/>
        <v>0</v>
      </c>
      <c r="DT241" s="3389">
        <f t="shared" si="259"/>
        <v>0</v>
      </c>
      <c r="DU241" s="3389">
        <f t="shared" si="307"/>
        <v>0</v>
      </c>
      <c r="DV241" s="3389">
        <f t="shared" si="308"/>
        <v>0</v>
      </c>
      <c r="DW241" s="417"/>
      <c r="DX241" s="417"/>
      <c r="DY241" s="3389">
        <f t="shared" si="309"/>
        <v>0</v>
      </c>
      <c r="DZ241" s="3389">
        <f t="shared" si="310"/>
        <v>0</v>
      </c>
      <c r="EA241" s="3416">
        <f t="shared" si="311"/>
        <v>0</v>
      </c>
      <c r="EB241" s="3416">
        <f t="shared" si="312"/>
        <v>0</v>
      </c>
    </row>
    <row r="242" spans="1:132" ht="24" customHeight="1">
      <c r="A242" s="6128"/>
      <c r="B242" s="3466" t="s">
        <v>1988</v>
      </c>
      <c r="C242" s="1992">
        <f>+M242+O242+Q242+S242+U242+W242+Y242+AA242+AC242+AE242+AG242+AI242</f>
        <v>0</v>
      </c>
      <c r="D242" s="1739">
        <f>+N242+P242+R242+T242+V242+X242+Z242+AB242+AD242+AF242+AH242+AJ242</f>
        <v>0</v>
      </c>
      <c r="E242" s="3458"/>
      <c r="F242" s="3459"/>
      <c r="G242" s="3460"/>
      <c r="H242" s="3459"/>
      <c r="I242" s="3460"/>
      <c r="J242" s="3459"/>
      <c r="K242" s="3460"/>
      <c r="L242" s="3459"/>
      <c r="M242" s="425"/>
      <c r="N242" s="2231"/>
      <c r="O242" s="423"/>
      <c r="P242" s="2231"/>
      <c r="Q242" s="425"/>
      <c r="R242" s="2231"/>
      <c r="S242" s="425"/>
      <c r="T242" s="2231"/>
      <c r="U242" s="425"/>
      <c r="V242" s="2231"/>
      <c r="W242" s="423"/>
      <c r="X242" s="2231"/>
      <c r="Y242" s="423"/>
      <c r="Z242" s="2231"/>
      <c r="AA242" s="423"/>
      <c r="AB242" s="2231"/>
      <c r="AC242" s="425"/>
      <c r="AD242" s="2231"/>
      <c r="AE242" s="423"/>
      <c r="AF242" s="2231"/>
      <c r="AG242" s="423"/>
      <c r="AH242" s="2231"/>
      <c r="AI242" s="423"/>
      <c r="AJ242" s="3412"/>
      <c r="AK242" s="3372"/>
      <c r="AL242" s="2231"/>
      <c r="AM242" s="423"/>
      <c r="AN242" s="3412"/>
      <c r="AO242" s="3372"/>
      <c r="AP242" s="2231"/>
      <c r="AQ242" s="423"/>
      <c r="AR242" s="3412"/>
      <c r="AS242" s="3372"/>
      <c r="AT242" s="3412"/>
      <c r="AU242" s="3372"/>
      <c r="AV242" s="3412"/>
      <c r="AW242" s="423"/>
      <c r="AX242" s="2231"/>
      <c r="AY242" s="3373" t="str">
        <f t="shared" si="313"/>
        <v/>
      </c>
      <c r="CA242" s="3413" t="str">
        <f t="shared" si="289"/>
        <v/>
      </c>
      <c r="CB242" s="418" t="str">
        <f t="shared" si="314"/>
        <v/>
      </c>
      <c r="CC242" s="418" t="str">
        <f t="shared" si="290"/>
        <v/>
      </c>
      <c r="CD242" s="417"/>
      <c r="CE242" s="417"/>
      <c r="CF242" s="417"/>
      <c r="CG242" s="417"/>
      <c r="CH242" s="417"/>
      <c r="CI242" s="418" t="str">
        <f t="shared" si="258"/>
        <v/>
      </c>
      <c r="CJ242" s="3366"/>
      <c r="CK242" s="418" t="str">
        <f t="shared" si="291"/>
        <v/>
      </c>
      <c r="CL242" s="418" t="str">
        <f t="shared" si="292"/>
        <v/>
      </c>
      <c r="CM242" s="418" t="str">
        <f t="shared" si="293"/>
        <v/>
      </c>
      <c r="CN242" s="418" t="str">
        <f t="shared" si="294"/>
        <v/>
      </c>
      <c r="CO242" s="418" t="str">
        <f t="shared" si="295"/>
        <v/>
      </c>
      <c r="CP242" s="418" t="str">
        <f t="shared" si="296"/>
        <v/>
      </c>
      <c r="CQ242" s="418" t="str">
        <f t="shared" si="297"/>
        <v/>
      </c>
      <c r="CR242" s="417"/>
      <c r="CS242" s="417"/>
      <c r="CT242" s="1708" t="str">
        <f t="shared" si="298"/>
        <v/>
      </c>
      <c r="CU242" s="1708" t="str">
        <f t="shared" si="299"/>
        <v/>
      </c>
      <c r="DF242" s="3415">
        <f t="shared" si="300"/>
        <v>0</v>
      </c>
      <c r="DG242" s="3389">
        <f t="shared" si="315"/>
        <v>0</v>
      </c>
      <c r="DH242" s="3389">
        <f t="shared" si="301"/>
        <v>0</v>
      </c>
      <c r="DI242" s="417"/>
      <c r="DJ242" s="417"/>
      <c r="DK242" s="417"/>
      <c r="DL242" s="417"/>
      <c r="DM242" s="417"/>
      <c r="DN242" s="3389">
        <f t="shared" si="302"/>
        <v>0</v>
      </c>
      <c r="DO242" s="3366"/>
      <c r="DP242" s="3389">
        <f t="shared" si="303"/>
        <v>0</v>
      </c>
      <c r="DQ242" s="3389">
        <f t="shared" si="304"/>
        <v>0</v>
      </c>
      <c r="DR242" s="3389">
        <f t="shared" si="305"/>
        <v>0</v>
      </c>
      <c r="DS242" s="3389">
        <f t="shared" si="306"/>
        <v>0</v>
      </c>
      <c r="DT242" s="3389">
        <f t="shared" si="259"/>
        <v>0</v>
      </c>
      <c r="DU242" s="3389">
        <f t="shared" si="307"/>
        <v>0</v>
      </c>
      <c r="DV242" s="3389">
        <f t="shared" si="308"/>
        <v>0</v>
      </c>
      <c r="DW242" s="417"/>
      <c r="DX242" s="417"/>
      <c r="DY242" s="3389">
        <f t="shared" si="309"/>
        <v>0</v>
      </c>
      <c r="DZ242" s="3389">
        <f t="shared" si="310"/>
        <v>0</v>
      </c>
      <c r="EA242" s="3416">
        <f t="shared" si="311"/>
        <v>0</v>
      </c>
      <c r="EB242" s="3416">
        <f t="shared" si="312"/>
        <v>0</v>
      </c>
    </row>
    <row r="243" spans="1:132" ht="15" customHeight="1">
      <c r="A243" s="6128"/>
      <c r="B243" s="1512" t="s">
        <v>2013</v>
      </c>
      <c r="C243" s="3202">
        <f>+O243+Q243+S243+U243+W243+Y243+AA243+AC243+AE243+AG243+AI243</f>
        <v>0</v>
      </c>
      <c r="D243" s="1739">
        <f>+P243+R243+T243+V243+X243+Z243+AB243+AD243+AF243+AH243+AJ243</f>
        <v>0</v>
      </c>
      <c r="E243" s="3458"/>
      <c r="F243" s="3459"/>
      <c r="G243" s="3460"/>
      <c r="H243" s="3459"/>
      <c r="I243" s="3460"/>
      <c r="J243" s="3459"/>
      <c r="K243" s="3460"/>
      <c r="L243" s="3459"/>
      <c r="M243" s="3467"/>
      <c r="N243" s="3468"/>
      <c r="O243" s="423"/>
      <c r="P243" s="2231"/>
      <c r="Q243" s="425"/>
      <c r="R243" s="2231"/>
      <c r="S243" s="425"/>
      <c r="T243" s="2231"/>
      <c r="U243" s="425"/>
      <c r="V243" s="2231"/>
      <c r="W243" s="423"/>
      <c r="X243" s="2231"/>
      <c r="Y243" s="423"/>
      <c r="Z243" s="2231"/>
      <c r="AA243" s="423"/>
      <c r="AB243" s="2231"/>
      <c r="AC243" s="425"/>
      <c r="AD243" s="2231"/>
      <c r="AE243" s="423"/>
      <c r="AF243" s="2231"/>
      <c r="AG243" s="423"/>
      <c r="AH243" s="2231"/>
      <c r="AI243" s="423"/>
      <c r="AJ243" s="3412"/>
      <c r="AK243" s="3372"/>
      <c r="AL243" s="2231"/>
      <c r="AM243" s="423"/>
      <c r="AN243" s="3412"/>
      <c r="AO243" s="3372"/>
      <c r="AP243" s="2231"/>
      <c r="AQ243" s="423"/>
      <c r="AR243" s="3412"/>
      <c r="AS243" s="3372"/>
      <c r="AT243" s="3412"/>
      <c r="AU243" s="3372"/>
      <c r="AV243" s="3412"/>
      <c r="AW243" s="423"/>
      <c r="AX243" s="2231"/>
      <c r="AY243" s="3373" t="str">
        <f t="shared" si="313"/>
        <v/>
      </c>
      <c r="CA243" s="3413" t="str">
        <f t="shared" si="289"/>
        <v/>
      </c>
      <c r="CB243" s="418" t="str">
        <f t="shared" si="314"/>
        <v/>
      </c>
      <c r="CC243" s="418" t="str">
        <f t="shared" si="290"/>
        <v/>
      </c>
      <c r="CD243" s="417"/>
      <c r="CE243" s="417"/>
      <c r="CF243" s="417"/>
      <c r="CG243" s="417"/>
      <c r="CH243" s="417"/>
      <c r="CI243" s="418" t="str">
        <f t="shared" si="258"/>
        <v/>
      </c>
      <c r="CJ243" s="3366"/>
      <c r="CK243" s="418" t="str">
        <f t="shared" si="291"/>
        <v/>
      </c>
      <c r="CL243" s="418" t="str">
        <f t="shared" si="292"/>
        <v/>
      </c>
      <c r="CM243" s="418" t="str">
        <f t="shared" si="293"/>
        <v/>
      </c>
      <c r="CN243" s="418" t="str">
        <f t="shared" si="294"/>
        <v/>
      </c>
      <c r="CO243" s="418" t="str">
        <f t="shared" si="295"/>
        <v/>
      </c>
      <c r="CP243" s="418" t="str">
        <f t="shared" si="296"/>
        <v/>
      </c>
      <c r="CQ243" s="418" t="str">
        <f t="shared" si="297"/>
        <v/>
      </c>
      <c r="CR243" s="417"/>
      <c r="CS243" s="417"/>
      <c r="CT243" s="1708" t="str">
        <f t="shared" si="298"/>
        <v/>
      </c>
      <c r="CU243" s="1708" t="str">
        <f t="shared" si="299"/>
        <v/>
      </c>
      <c r="DF243" s="3415">
        <f t="shared" si="300"/>
        <v>0</v>
      </c>
      <c r="DG243" s="3389">
        <f t="shared" si="315"/>
        <v>0</v>
      </c>
      <c r="DH243" s="3389">
        <f t="shared" si="301"/>
        <v>0</v>
      </c>
      <c r="DI243" s="417"/>
      <c r="DJ243" s="417"/>
      <c r="DK243" s="417"/>
      <c r="DL243" s="417"/>
      <c r="DM243" s="417"/>
      <c r="DN243" s="3389">
        <f t="shared" si="302"/>
        <v>0</v>
      </c>
      <c r="DO243" s="3366"/>
      <c r="DP243" s="3389">
        <f t="shared" si="303"/>
        <v>0</v>
      </c>
      <c r="DQ243" s="3389">
        <f t="shared" si="304"/>
        <v>0</v>
      </c>
      <c r="DR243" s="3389">
        <f t="shared" si="305"/>
        <v>0</v>
      </c>
      <c r="DS243" s="3389">
        <f t="shared" si="306"/>
        <v>0</v>
      </c>
      <c r="DT243" s="3389">
        <f t="shared" si="259"/>
        <v>0</v>
      </c>
      <c r="DU243" s="3389">
        <f t="shared" si="307"/>
        <v>0</v>
      </c>
      <c r="DV243" s="3389">
        <f t="shared" si="308"/>
        <v>0</v>
      </c>
      <c r="DW243" s="417"/>
      <c r="DX243" s="417"/>
      <c r="DY243" s="3389">
        <f t="shared" si="309"/>
        <v>0</v>
      </c>
      <c r="DZ243" s="3389">
        <f t="shared" si="310"/>
        <v>0</v>
      </c>
      <c r="EA243" s="3416">
        <f t="shared" si="311"/>
        <v>0</v>
      </c>
      <c r="EB243" s="3416">
        <f t="shared" si="312"/>
        <v>0</v>
      </c>
    </row>
    <row r="244" spans="1:132" ht="24" customHeight="1">
      <c r="A244" s="6128"/>
      <c r="B244" s="1691" t="s">
        <v>1989</v>
      </c>
      <c r="C244" s="3469">
        <f>+E244+G244+I244+K244+M244+O244+Q244+S244+U244+W244+Y244+AA244+AC244+AE244+AG244+AI244</f>
        <v>0</v>
      </c>
      <c r="D244" s="3465">
        <f>+F244+H244+J244+L244+N244+P244+R244+T244+V244+X244+Z244+AB244+AD244+AF244+AH244+AJ244</f>
        <v>0</v>
      </c>
      <c r="E244" s="411"/>
      <c r="F244" s="2261"/>
      <c r="G244" s="411"/>
      <c r="H244" s="2261"/>
      <c r="I244" s="411"/>
      <c r="J244" s="2261"/>
      <c r="K244" s="411"/>
      <c r="L244" s="2261"/>
      <c r="M244" s="425"/>
      <c r="N244" s="2231"/>
      <c r="O244" s="423"/>
      <c r="P244" s="2231"/>
      <c r="Q244" s="425"/>
      <c r="R244" s="2231"/>
      <c r="S244" s="425"/>
      <c r="T244" s="2231"/>
      <c r="U244" s="425"/>
      <c r="V244" s="2231"/>
      <c r="W244" s="423"/>
      <c r="X244" s="2231"/>
      <c r="Y244" s="423"/>
      <c r="Z244" s="2231"/>
      <c r="AA244" s="423"/>
      <c r="AB244" s="2231"/>
      <c r="AC244" s="425"/>
      <c r="AD244" s="2231"/>
      <c r="AE244" s="423"/>
      <c r="AF244" s="2231"/>
      <c r="AG244" s="423"/>
      <c r="AH244" s="2231"/>
      <c r="AI244" s="423"/>
      <c r="AJ244" s="3412"/>
      <c r="AK244" s="3372"/>
      <c r="AL244" s="2231"/>
      <c r="AM244" s="423"/>
      <c r="AN244" s="3412"/>
      <c r="AO244" s="3372"/>
      <c r="AP244" s="2231"/>
      <c r="AQ244" s="423"/>
      <c r="AR244" s="3412"/>
      <c r="AS244" s="3372"/>
      <c r="AT244" s="3412"/>
      <c r="AU244" s="3372"/>
      <c r="AV244" s="3412"/>
      <c r="AW244" s="423"/>
      <c r="AX244" s="2231"/>
      <c r="AY244" s="3373" t="str">
        <f t="shared" si="313"/>
        <v/>
      </c>
      <c r="CA244" s="3413" t="str">
        <f t="shared" si="289"/>
        <v/>
      </c>
      <c r="CB244" s="418" t="str">
        <f t="shared" si="314"/>
        <v/>
      </c>
      <c r="CC244" s="418" t="str">
        <f t="shared" si="290"/>
        <v/>
      </c>
      <c r="CD244" s="417"/>
      <c r="CE244" s="417"/>
      <c r="CF244" s="417"/>
      <c r="CG244" s="417"/>
      <c r="CH244" s="417"/>
      <c r="CI244" s="418" t="str">
        <f t="shared" si="258"/>
        <v/>
      </c>
      <c r="CJ244" s="3366"/>
      <c r="CK244" s="418" t="str">
        <f t="shared" si="291"/>
        <v/>
      </c>
      <c r="CL244" s="418" t="str">
        <f t="shared" si="292"/>
        <v/>
      </c>
      <c r="CM244" s="418" t="str">
        <f t="shared" si="293"/>
        <v/>
      </c>
      <c r="CN244" s="418" t="str">
        <f t="shared" si="294"/>
        <v/>
      </c>
      <c r="CO244" s="418" t="str">
        <f t="shared" si="295"/>
        <v/>
      </c>
      <c r="CP244" s="418" t="str">
        <f t="shared" si="296"/>
        <v/>
      </c>
      <c r="CQ244" s="418" t="str">
        <f t="shared" si="297"/>
        <v/>
      </c>
      <c r="CR244" s="417"/>
      <c r="CS244" s="417"/>
      <c r="CT244" s="1708" t="str">
        <f t="shared" si="298"/>
        <v/>
      </c>
      <c r="CU244" s="1708" t="str">
        <f t="shared" si="299"/>
        <v/>
      </c>
      <c r="DF244" s="3415">
        <f t="shared" si="300"/>
        <v>0</v>
      </c>
      <c r="DG244" s="3389">
        <f t="shared" si="315"/>
        <v>0</v>
      </c>
      <c r="DH244" s="3389">
        <f t="shared" si="301"/>
        <v>0</v>
      </c>
      <c r="DI244" s="417"/>
      <c r="DJ244" s="417"/>
      <c r="DK244" s="417"/>
      <c r="DL244" s="417"/>
      <c r="DM244" s="417"/>
      <c r="DN244" s="3389">
        <f t="shared" si="302"/>
        <v>0</v>
      </c>
      <c r="DO244" s="3366"/>
      <c r="DP244" s="3389">
        <f t="shared" si="303"/>
        <v>0</v>
      </c>
      <c r="DQ244" s="3389">
        <f t="shared" si="304"/>
        <v>0</v>
      </c>
      <c r="DR244" s="3389">
        <f t="shared" si="305"/>
        <v>0</v>
      </c>
      <c r="DS244" s="3389">
        <f t="shared" si="306"/>
        <v>0</v>
      </c>
      <c r="DT244" s="3389">
        <f t="shared" si="259"/>
        <v>0</v>
      </c>
      <c r="DU244" s="3389">
        <f t="shared" si="307"/>
        <v>0</v>
      </c>
      <c r="DV244" s="3389">
        <f t="shared" si="308"/>
        <v>0</v>
      </c>
      <c r="DW244" s="417"/>
      <c r="DX244" s="417"/>
      <c r="DY244" s="3389">
        <f t="shared" si="309"/>
        <v>0</v>
      </c>
      <c r="DZ244" s="3389">
        <f t="shared" si="310"/>
        <v>0</v>
      </c>
      <c r="EA244" s="3416">
        <f t="shared" si="311"/>
        <v>0</v>
      </c>
      <c r="EB244" s="3416">
        <f t="shared" si="312"/>
        <v>0</v>
      </c>
    </row>
    <row r="245" spans="1:132" ht="15" customHeight="1">
      <c r="A245" s="6128"/>
      <c r="B245" s="1691" t="s">
        <v>1954</v>
      </c>
      <c r="C245" s="3202">
        <f t="shared" ref="C245:C246" si="316">+M245+O245+Q245+S245+U245+W245+Y245+AA245+AC245+AE245+AG245+AI245</f>
        <v>0</v>
      </c>
      <c r="D245" s="3465">
        <f t="shared" ref="D245:D246" si="317">+N245+P245+R245+T245+V245+X245+Z245+AB245+AD245+AF245+AH245+AJ245</f>
        <v>0</v>
      </c>
      <c r="E245" s="3458"/>
      <c r="F245" s="3459"/>
      <c r="G245" s="3460"/>
      <c r="H245" s="3459"/>
      <c r="I245" s="3460"/>
      <c r="J245" s="3459"/>
      <c r="K245" s="3460"/>
      <c r="L245" s="3459"/>
      <c r="M245" s="423"/>
      <c r="N245" s="2231"/>
      <c r="O245" s="3376"/>
      <c r="P245" s="2231"/>
      <c r="Q245" s="425"/>
      <c r="R245" s="2231"/>
      <c r="S245" s="425"/>
      <c r="T245" s="2231"/>
      <c r="U245" s="425"/>
      <c r="V245" s="2231"/>
      <c r="W245" s="423"/>
      <c r="X245" s="2231"/>
      <c r="Y245" s="423"/>
      <c r="Z245" s="2231"/>
      <c r="AA245" s="423"/>
      <c r="AB245" s="2231"/>
      <c r="AC245" s="425"/>
      <c r="AD245" s="2231"/>
      <c r="AE245" s="423"/>
      <c r="AF245" s="2231"/>
      <c r="AG245" s="423"/>
      <c r="AH245" s="2231"/>
      <c r="AI245" s="423"/>
      <c r="AJ245" s="3412"/>
      <c r="AK245" s="3372"/>
      <c r="AL245" s="2231"/>
      <c r="AM245" s="423"/>
      <c r="AN245" s="3412"/>
      <c r="AO245" s="3372"/>
      <c r="AP245" s="2231"/>
      <c r="AQ245" s="423"/>
      <c r="AR245" s="3412"/>
      <c r="AS245" s="3372"/>
      <c r="AT245" s="3412"/>
      <c r="AU245" s="3372"/>
      <c r="AV245" s="3412"/>
      <c r="AW245" s="423"/>
      <c r="AX245" s="2231"/>
      <c r="AY245" s="3373" t="str">
        <f t="shared" si="313"/>
        <v/>
      </c>
      <c r="CA245" s="3413" t="str">
        <f t="shared" si="289"/>
        <v/>
      </c>
      <c r="CB245" s="418" t="str">
        <f t="shared" si="314"/>
        <v/>
      </c>
      <c r="CC245" s="418" t="str">
        <f t="shared" si="290"/>
        <v/>
      </c>
      <c r="CD245" s="417"/>
      <c r="CE245" s="417"/>
      <c r="CF245" s="417"/>
      <c r="CG245" s="417"/>
      <c r="CH245" s="417"/>
      <c r="CI245" s="418" t="str">
        <f t="shared" si="258"/>
        <v/>
      </c>
      <c r="CJ245" s="3366"/>
      <c r="CK245" s="418" t="str">
        <f t="shared" si="291"/>
        <v/>
      </c>
      <c r="CL245" s="418" t="str">
        <f t="shared" si="292"/>
        <v/>
      </c>
      <c r="CM245" s="418" t="str">
        <f t="shared" si="293"/>
        <v/>
      </c>
      <c r="CN245" s="418" t="str">
        <f t="shared" si="294"/>
        <v/>
      </c>
      <c r="CO245" s="418" t="str">
        <f t="shared" si="295"/>
        <v/>
      </c>
      <c r="CP245" s="418" t="str">
        <f t="shared" si="296"/>
        <v/>
      </c>
      <c r="CQ245" s="418" t="str">
        <f t="shared" si="297"/>
        <v/>
      </c>
      <c r="CR245" s="417"/>
      <c r="CS245" s="417"/>
      <c r="CT245" s="1708" t="str">
        <f t="shared" si="298"/>
        <v/>
      </c>
      <c r="CU245" s="1708" t="str">
        <f t="shared" si="299"/>
        <v/>
      </c>
      <c r="DF245" s="3415">
        <f t="shared" si="300"/>
        <v>0</v>
      </c>
      <c r="DG245" s="3389">
        <f t="shared" si="315"/>
        <v>0</v>
      </c>
      <c r="DH245" s="3389">
        <f t="shared" si="301"/>
        <v>0</v>
      </c>
      <c r="DI245" s="417"/>
      <c r="DJ245" s="417"/>
      <c r="DK245" s="417"/>
      <c r="DL245" s="417"/>
      <c r="DM245" s="417"/>
      <c r="DN245" s="3389">
        <f t="shared" si="302"/>
        <v>0</v>
      </c>
      <c r="DO245" s="3366"/>
      <c r="DP245" s="3389">
        <f t="shared" si="303"/>
        <v>0</v>
      </c>
      <c r="DQ245" s="3389">
        <f t="shared" si="304"/>
        <v>0</v>
      </c>
      <c r="DR245" s="3389">
        <f t="shared" si="305"/>
        <v>0</v>
      </c>
      <c r="DS245" s="3389">
        <f t="shared" si="306"/>
        <v>0</v>
      </c>
      <c r="DT245" s="3389">
        <f t="shared" si="259"/>
        <v>0</v>
      </c>
      <c r="DU245" s="3389">
        <f t="shared" si="307"/>
        <v>0</v>
      </c>
      <c r="DV245" s="3389">
        <f t="shared" si="308"/>
        <v>0</v>
      </c>
      <c r="DW245" s="417"/>
      <c r="DX245" s="417"/>
      <c r="DY245" s="3389">
        <f t="shared" si="309"/>
        <v>0</v>
      </c>
      <c r="DZ245" s="3389">
        <f t="shared" si="310"/>
        <v>0</v>
      </c>
      <c r="EA245" s="3416">
        <f t="shared" si="311"/>
        <v>0</v>
      </c>
      <c r="EB245" s="3416">
        <f t="shared" si="312"/>
        <v>0</v>
      </c>
    </row>
    <row r="246" spans="1:132" ht="15" customHeight="1">
      <c r="A246" s="6128"/>
      <c r="B246" s="1512" t="s">
        <v>1990</v>
      </c>
      <c r="C246" s="3202">
        <f t="shared" si="316"/>
        <v>0</v>
      </c>
      <c r="D246" s="3465">
        <f t="shared" si="317"/>
        <v>0</v>
      </c>
      <c r="E246" s="3458"/>
      <c r="F246" s="3459"/>
      <c r="G246" s="3460"/>
      <c r="H246" s="3459"/>
      <c r="I246" s="3460"/>
      <c r="J246" s="3459"/>
      <c r="K246" s="3460"/>
      <c r="L246" s="3459"/>
      <c r="M246" s="423"/>
      <c r="N246" s="2231"/>
      <c r="O246" s="423"/>
      <c r="P246" s="2231"/>
      <c r="Q246" s="425"/>
      <c r="R246" s="2231"/>
      <c r="S246" s="425"/>
      <c r="T246" s="2231"/>
      <c r="U246" s="425"/>
      <c r="V246" s="2231"/>
      <c r="W246" s="423"/>
      <c r="X246" s="2231"/>
      <c r="Y246" s="423"/>
      <c r="Z246" s="2231"/>
      <c r="AA246" s="423"/>
      <c r="AB246" s="2231"/>
      <c r="AC246" s="425"/>
      <c r="AD246" s="2231"/>
      <c r="AE246" s="423"/>
      <c r="AF246" s="2231"/>
      <c r="AG246" s="423"/>
      <c r="AH246" s="2231"/>
      <c r="AI246" s="423"/>
      <c r="AJ246" s="3412"/>
      <c r="AK246" s="3372"/>
      <c r="AL246" s="2231"/>
      <c r="AM246" s="423"/>
      <c r="AN246" s="3412"/>
      <c r="AO246" s="3372"/>
      <c r="AP246" s="2231"/>
      <c r="AQ246" s="423"/>
      <c r="AR246" s="3412"/>
      <c r="AS246" s="3372"/>
      <c r="AT246" s="3412"/>
      <c r="AU246" s="3372"/>
      <c r="AV246" s="3412"/>
      <c r="AW246" s="423"/>
      <c r="AX246" s="2231"/>
      <c r="AY246" s="3373" t="str">
        <f t="shared" si="313"/>
        <v/>
      </c>
      <c r="CA246" s="3413" t="str">
        <f t="shared" si="289"/>
        <v/>
      </c>
      <c r="CB246" s="418" t="str">
        <f t="shared" si="314"/>
        <v/>
      </c>
      <c r="CC246" s="418" t="str">
        <f t="shared" si="290"/>
        <v/>
      </c>
      <c r="CD246" s="417"/>
      <c r="CE246" s="417"/>
      <c r="CF246" s="417"/>
      <c r="CG246" s="417"/>
      <c r="CH246" s="417"/>
      <c r="CI246" s="418" t="str">
        <f t="shared" si="258"/>
        <v/>
      </c>
      <c r="CJ246" s="3366"/>
      <c r="CK246" s="418" t="str">
        <f t="shared" si="291"/>
        <v/>
      </c>
      <c r="CL246" s="418" t="str">
        <f t="shared" si="292"/>
        <v/>
      </c>
      <c r="CM246" s="418" t="str">
        <f t="shared" si="293"/>
        <v/>
      </c>
      <c r="CN246" s="418" t="str">
        <f t="shared" si="294"/>
        <v/>
      </c>
      <c r="CO246" s="418" t="str">
        <f t="shared" si="295"/>
        <v/>
      </c>
      <c r="CP246" s="418" t="str">
        <f t="shared" si="296"/>
        <v/>
      </c>
      <c r="CQ246" s="418" t="str">
        <f t="shared" si="297"/>
        <v/>
      </c>
      <c r="CR246" s="417"/>
      <c r="CS246" s="417"/>
      <c r="CT246" s="1708" t="str">
        <f t="shared" si="298"/>
        <v/>
      </c>
      <c r="CU246" s="1708" t="str">
        <f t="shared" si="299"/>
        <v/>
      </c>
      <c r="DF246" s="3415">
        <f t="shared" si="300"/>
        <v>0</v>
      </c>
      <c r="DG246" s="3389">
        <f t="shared" si="315"/>
        <v>0</v>
      </c>
      <c r="DH246" s="3389">
        <f t="shared" si="301"/>
        <v>0</v>
      </c>
      <c r="DI246" s="417"/>
      <c r="DJ246" s="417"/>
      <c r="DK246" s="417"/>
      <c r="DL246" s="417"/>
      <c r="DM246" s="417"/>
      <c r="DN246" s="3389">
        <f t="shared" si="302"/>
        <v>0</v>
      </c>
      <c r="DO246" s="3366"/>
      <c r="DP246" s="3389">
        <f t="shared" si="303"/>
        <v>0</v>
      </c>
      <c r="DQ246" s="3389">
        <f t="shared" si="304"/>
        <v>0</v>
      </c>
      <c r="DR246" s="3389">
        <f t="shared" si="305"/>
        <v>0</v>
      </c>
      <c r="DS246" s="3389">
        <f t="shared" si="306"/>
        <v>0</v>
      </c>
      <c r="DT246" s="3389">
        <f t="shared" si="259"/>
        <v>0</v>
      </c>
      <c r="DU246" s="3389">
        <f t="shared" si="307"/>
        <v>0</v>
      </c>
      <c r="DV246" s="3389">
        <f t="shared" si="308"/>
        <v>0</v>
      </c>
      <c r="DW246" s="417"/>
      <c r="DX246" s="417"/>
      <c r="DY246" s="3389">
        <f t="shared" si="309"/>
        <v>0</v>
      </c>
      <c r="DZ246" s="3389">
        <f t="shared" si="310"/>
        <v>0</v>
      </c>
      <c r="EA246" s="3416">
        <f t="shared" si="311"/>
        <v>0</v>
      </c>
      <c r="EB246" s="3416">
        <f t="shared" si="312"/>
        <v>0</v>
      </c>
    </row>
    <row r="247" spans="1:132" ht="15" customHeight="1">
      <c r="A247" s="6128"/>
      <c r="B247" s="1512" t="s">
        <v>1956</v>
      </c>
      <c r="C247" s="3202">
        <f>+E247+G247+I247+K247+M247+O247+Q247+S247+U247+W247+Y247+AA247+AC247+AE247+AG247+AI247</f>
        <v>0</v>
      </c>
      <c r="D247" s="3465">
        <f>+F247+H247+J247+L247+N247+P247+R247+T247+V247+X247+Z247+AB247+AD247+AF247+AH247+AJ247</f>
        <v>0</v>
      </c>
      <c r="E247" s="411"/>
      <c r="F247" s="2261"/>
      <c r="G247" s="411"/>
      <c r="H247" s="2261"/>
      <c r="I247" s="411"/>
      <c r="J247" s="2261"/>
      <c r="K247" s="411"/>
      <c r="L247" s="2261"/>
      <c r="M247" s="423"/>
      <c r="N247" s="2231"/>
      <c r="O247" s="423"/>
      <c r="P247" s="2231"/>
      <c r="Q247" s="425"/>
      <c r="R247" s="2231"/>
      <c r="S247" s="425"/>
      <c r="T247" s="2231"/>
      <c r="U247" s="425"/>
      <c r="V247" s="2231"/>
      <c r="W247" s="423"/>
      <c r="X247" s="2231"/>
      <c r="Y247" s="423"/>
      <c r="Z247" s="2231"/>
      <c r="AA247" s="423"/>
      <c r="AB247" s="2231"/>
      <c r="AC247" s="425"/>
      <c r="AD247" s="2231"/>
      <c r="AE247" s="423"/>
      <c r="AF247" s="2231"/>
      <c r="AG247" s="423"/>
      <c r="AH247" s="2231"/>
      <c r="AI247" s="423"/>
      <c r="AJ247" s="3412"/>
      <c r="AK247" s="3372"/>
      <c r="AL247" s="2231"/>
      <c r="AM247" s="423"/>
      <c r="AN247" s="3412"/>
      <c r="AO247" s="3372"/>
      <c r="AP247" s="2231"/>
      <c r="AQ247" s="423"/>
      <c r="AR247" s="3412"/>
      <c r="AS247" s="3372"/>
      <c r="AT247" s="3412"/>
      <c r="AU247" s="3372"/>
      <c r="AV247" s="3412"/>
      <c r="AW247" s="423"/>
      <c r="AX247" s="2231"/>
      <c r="AY247" s="3373" t="str">
        <f t="shared" si="313"/>
        <v/>
      </c>
      <c r="CA247" s="3413" t="str">
        <f t="shared" si="289"/>
        <v/>
      </c>
      <c r="CB247" s="418" t="str">
        <f t="shared" si="314"/>
        <v/>
      </c>
      <c r="CC247" s="418" t="str">
        <f t="shared" si="290"/>
        <v/>
      </c>
      <c r="CD247" s="417"/>
      <c r="CE247" s="417"/>
      <c r="CF247" s="417"/>
      <c r="CG247" s="417"/>
      <c r="CH247" s="417"/>
      <c r="CI247" s="418" t="str">
        <f t="shared" si="258"/>
        <v/>
      </c>
      <c r="CJ247" s="3366"/>
      <c r="CK247" s="418" t="str">
        <f t="shared" si="291"/>
        <v/>
      </c>
      <c r="CL247" s="418" t="str">
        <f t="shared" si="292"/>
        <v/>
      </c>
      <c r="CM247" s="418" t="str">
        <f t="shared" si="293"/>
        <v/>
      </c>
      <c r="CN247" s="418" t="str">
        <f t="shared" si="294"/>
        <v/>
      </c>
      <c r="CO247" s="418" t="str">
        <f t="shared" si="295"/>
        <v/>
      </c>
      <c r="CP247" s="418" t="str">
        <f t="shared" si="296"/>
        <v/>
      </c>
      <c r="CQ247" s="418" t="str">
        <f t="shared" si="297"/>
        <v/>
      </c>
      <c r="CR247" s="417"/>
      <c r="CS247" s="417"/>
      <c r="CT247" s="1708" t="str">
        <f t="shared" si="298"/>
        <v/>
      </c>
      <c r="CU247" s="1708" t="str">
        <f t="shared" si="299"/>
        <v/>
      </c>
      <c r="DF247" s="3415">
        <f t="shared" si="300"/>
        <v>0</v>
      </c>
      <c r="DG247" s="3389">
        <f t="shared" si="315"/>
        <v>0</v>
      </c>
      <c r="DH247" s="3389">
        <f t="shared" si="301"/>
        <v>0</v>
      </c>
      <c r="DI247" s="417"/>
      <c r="DJ247" s="417"/>
      <c r="DK247" s="417"/>
      <c r="DL247" s="417"/>
      <c r="DM247" s="417"/>
      <c r="DN247" s="3389">
        <f t="shared" si="302"/>
        <v>0</v>
      </c>
      <c r="DO247" s="3366"/>
      <c r="DP247" s="3389">
        <f t="shared" si="303"/>
        <v>0</v>
      </c>
      <c r="DQ247" s="3389">
        <f t="shared" si="304"/>
        <v>0</v>
      </c>
      <c r="DR247" s="3389">
        <f t="shared" si="305"/>
        <v>0</v>
      </c>
      <c r="DS247" s="3389">
        <f t="shared" si="306"/>
        <v>0</v>
      </c>
      <c r="DT247" s="3389">
        <f t="shared" si="259"/>
        <v>0</v>
      </c>
      <c r="DU247" s="3389">
        <f t="shared" si="307"/>
        <v>0</v>
      </c>
      <c r="DV247" s="3389">
        <f t="shared" si="308"/>
        <v>0</v>
      </c>
      <c r="DW247" s="417"/>
      <c r="DX247" s="417"/>
      <c r="DY247" s="3389">
        <f t="shared" si="309"/>
        <v>0</v>
      </c>
      <c r="DZ247" s="3389">
        <f t="shared" si="310"/>
        <v>0</v>
      </c>
      <c r="EA247" s="3416">
        <f t="shared" si="311"/>
        <v>0</v>
      </c>
      <c r="EB247" s="3416">
        <f t="shared" si="312"/>
        <v>0</v>
      </c>
    </row>
    <row r="248" spans="1:132" ht="15" customHeight="1">
      <c r="A248" s="6128"/>
      <c r="B248" s="1512" t="s">
        <v>1991</v>
      </c>
      <c r="C248" s="3202">
        <f>+O248+Q248+S248+U248+W248+Y248+AA248+AC248+AE248+AG248+AI248</f>
        <v>0</v>
      </c>
      <c r="D248" s="1739">
        <f>+P248+R248+T248+V248+X248+Z248+AB248+AD248+AF248+AH248+AJ248</f>
        <v>0</v>
      </c>
      <c r="E248" s="3458"/>
      <c r="F248" s="3459"/>
      <c r="G248" s="3460"/>
      <c r="H248" s="3459"/>
      <c r="I248" s="3460"/>
      <c r="J248" s="3459"/>
      <c r="K248" s="3460"/>
      <c r="L248" s="3459"/>
      <c r="M248" s="3460"/>
      <c r="N248" s="3459"/>
      <c r="O248" s="423"/>
      <c r="P248" s="2231"/>
      <c r="Q248" s="425"/>
      <c r="R248" s="2231"/>
      <c r="S248" s="425"/>
      <c r="T248" s="2231"/>
      <c r="U248" s="425"/>
      <c r="V248" s="2231"/>
      <c r="W248" s="423"/>
      <c r="X248" s="2231"/>
      <c r="Y248" s="423"/>
      <c r="Z248" s="2231"/>
      <c r="AA248" s="423"/>
      <c r="AB248" s="2231"/>
      <c r="AC248" s="425"/>
      <c r="AD248" s="2231"/>
      <c r="AE248" s="423"/>
      <c r="AF248" s="2231"/>
      <c r="AG248" s="423"/>
      <c r="AH248" s="2231"/>
      <c r="AI248" s="423"/>
      <c r="AJ248" s="3412"/>
      <c r="AK248" s="3372"/>
      <c r="AL248" s="2231"/>
      <c r="AM248" s="423"/>
      <c r="AN248" s="3412"/>
      <c r="AO248" s="3372"/>
      <c r="AP248" s="2231"/>
      <c r="AQ248" s="423"/>
      <c r="AR248" s="3412"/>
      <c r="AS248" s="3372"/>
      <c r="AT248" s="3412"/>
      <c r="AU248" s="3372"/>
      <c r="AV248" s="3412"/>
      <c r="AW248" s="423"/>
      <c r="AX248" s="2231"/>
      <c r="AY248" s="3373" t="str">
        <f t="shared" si="313"/>
        <v/>
      </c>
      <c r="CA248" s="3413" t="str">
        <f t="shared" si="289"/>
        <v/>
      </c>
      <c r="CB248" s="418" t="str">
        <f t="shared" si="314"/>
        <v/>
      </c>
      <c r="CC248" s="418" t="str">
        <f t="shared" si="290"/>
        <v/>
      </c>
      <c r="CD248" s="417"/>
      <c r="CE248" s="417"/>
      <c r="CF248" s="417"/>
      <c r="CG248" s="417"/>
      <c r="CH248" s="417"/>
      <c r="CI248" s="418" t="str">
        <f t="shared" si="258"/>
        <v/>
      </c>
      <c r="CJ248" s="3366"/>
      <c r="CK248" s="418" t="str">
        <f t="shared" si="291"/>
        <v/>
      </c>
      <c r="CL248" s="418" t="str">
        <f t="shared" si="292"/>
        <v/>
      </c>
      <c r="CM248" s="418" t="str">
        <f t="shared" si="293"/>
        <v/>
      </c>
      <c r="CN248" s="418" t="str">
        <f t="shared" si="294"/>
        <v/>
      </c>
      <c r="CO248" s="418" t="str">
        <f t="shared" si="295"/>
        <v/>
      </c>
      <c r="CP248" s="418" t="str">
        <f t="shared" si="296"/>
        <v/>
      </c>
      <c r="CQ248" s="418" t="str">
        <f t="shared" si="297"/>
        <v/>
      </c>
      <c r="CR248" s="417"/>
      <c r="CS248" s="417"/>
      <c r="CT248" s="1708" t="str">
        <f t="shared" si="298"/>
        <v/>
      </c>
      <c r="CU248" s="1708" t="str">
        <f t="shared" si="299"/>
        <v/>
      </c>
      <c r="DF248" s="3415">
        <f t="shared" si="300"/>
        <v>0</v>
      </c>
      <c r="DG248" s="3389">
        <f t="shared" si="315"/>
        <v>0</v>
      </c>
      <c r="DH248" s="3389">
        <f t="shared" si="301"/>
        <v>0</v>
      </c>
      <c r="DI248" s="417"/>
      <c r="DJ248" s="417"/>
      <c r="DK248" s="417"/>
      <c r="DL248" s="417"/>
      <c r="DM248" s="417"/>
      <c r="DN248" s="3389">
        <f t="shared" si="302"/>
        <v>0</v>
      </c>
      <c r="DO248" s="3366"/>
      <c r="DP248" s="3389">
        <f t="shared" si="303"/>
        <v>0</v>
      </c>
      <c r="DQ248" s="3389">
        <f t="shared" si="304"/>
        <v>0</v>
      </c>
      <c r="DR248" s="3389">
        <f t="shared" si="305"/>
        <v>0</v>
      </c>
      <c r="DS248" s="3389">
        <f t="shared" si="306"/>
        <v>0</v>
      </c>
      <c r="DT248" s="3389">
        <f t="shared" si="259"/>
        <v>0</v>
      </c>
      <c r="DU248" s="3389">
        <f t="shared" si="307"/>
        <v>0</v>
      </c>
      <c r="DV248" s="3389">
        <f t="shared" si="308"/>
        <v>0</v>
      </c>
      <c r="DW248" s="417"/>
      <c r="DX248" s="417"/>
      <c r="DY248" s="3389">
        <f t="shared" si="309"/>
        <v>0</v>
      </c>
      <c r="DZ248" s="3389">
        <f t="shared" si="310"/>
        <v>0</v>
      </c>
      <c r="EA248" s="3416">
        <f t="shared" si="311"/>
        <v>0</v>
      </c>
      <c r="EB248" s="3416">
        <f t="shared" si="312"/>
        <v>0</v>
      </c>
    </row>
    <row r="249" spans="1:132" ht="15" customHeight="1">
      <c r="A249" s="6128"/>
      <c r="B249" s="1691" t="s">
        <v>1992</v>
      </c>
      <c r="C249" s="3202">
        <f>+M249+O249+Q249+S249+U249+W249+Y249+AA249+AC249+AE249+AG249+AI249</f>
        <v>0</v>
      </c>
      <c r="D249" s="1739">
        <f>+N249+P249+R249+T249+V249+X249+Z249+AB249+AD249+AF249+AH249+AJ249</f>
        <v>0</v>
      </c>
      <c r="E249" s="3458"/>
      <c r="F249" s="3470"/>
      <c r="G249" s="3460"/>
      <c r="H249" s="3459"/>
      <c r="I249" s="3460"/>
      <c r="J249" s="3459"/>
      <c r="K249" s="3460"/>
      <c r="L249" s="3459"/>
      <c r="M249" s="425"/>
      <c r="N249" s="2231"/>
      <c r="O249" s="423"/>
      <c r="P249" s="2231"/>
      <c r="Q249" s="425"/>
      <c r="R249" s="2231"/>
      <c r="S249" s="425"/>
      <c r="T249" s="2231"/>
      <c r="U249" s="425"/>
      <c r="V249" s="2231"/>
      <c r="W249" s="423"/>
      <c r="X249" s="2231"/>
      <c r="Y249" s="423"/>
      <c r="Z249" s="2231"/>
      <c r="AA249" s="423"/>
      <c r="AB249" s="2231"/>
      <c r="AC249" s="425"/>
      <c r="AD249" s="2231"/>
      <c r="AE249" s="423"/>
      <c r="AF249" s="2231"/>
      <c r="AG249" s="423"/>
      <c r="AH249" s="2231"/>
      <c r="AI249" s="423"/>
      <c r="AJ249" s="3412"/>
      <c r="AK249" s="3372"/>
      <c r="AL249" s="2231"/>
      <c r="AM249" s="423"/>
      <c r="AN249" s="3412"/>
      <c r="AO249" s="3372"/>
      <c r="AP249" s="2231"/>
      <c r="AQ249" s="423"/>
      <c r="AR249" s="3412"/>
      <c r="AS249" s="3372"/>
      <c r="AT249" s="3412"/>
      <c r="AU249" s="3372"/>
      <c r="AV249" s="3412"/>
      <c r="AW249" s="423"/>
      <c r="AX249" s="2231"/>
      <c r="AY249" s="3373" t="str">
        <f t="shared" si="313"/>
        <v/>
      </c>
      <c r="CA249" s="3413" t="str">
        <f t="shared" si="289"/>
        <v/>
      </c>
      <c r="CB249" s="418" t="str">
        <f t="shared" si="314"/>
        <v/>
      </c>
      <c r="CC249" s="418" t="str">
        <f t="shared" si="290"/>
        <v/>
      </c>
      <c r="CD249" s="417"/>
      <c r="CE249" s="417"/>
      <c r="CF249" s="417"/>
      <c r="CG249" s="417"/>
      <c r="CH249" s="417"/>
      <c r="CI249" s="418" t="str">
        <f t="shared" si="258"/>
        <v/>
      </c>
      <c r="CJ249" s="3366"/>
      <c r="CK249" s="418" t="str">
        <f t="shared" si="291"/>
        <v/>
      </c>
      <c r="CL249" s="418" t="str">
        <f t="shared" si="292"/>
        <v/>
      </c>
      <c r="CM249" s="418" t="str">
        <f t="shared" si="293"/>
        <v/>
      </c>
      <c r="CN249" s="418" t="str">
        <f t="shared" si="294"/>
        <v/>
      </c>
      <c r="CO249" s="418" t="str">
        <f t="shared" si="295"/>
        <v/>
      </c>
      <c r="CP249" s="418" t="str">
        <f t="shared" si="296"/>
        <v/>
      </c>
      <c r="CQ249" s="418" t="str">
        <f t="shared" si="297"/>
        <v/>
      </c>
      <c r="CR249" s="417"/>
      <c r="CS249" s="417"/>
      <c r="CT249" s="1708" t="str">
        <f t="shared" si="298"/>
        <v/>
      </c>
      <c r="CU249" s="1708" t="str">
        <f t="shared" si="299"/>
        <v/>
      </c>
      <c r="DF249" s="3415">
        <f t="shared" si="300"/>
        <v>0</v>
      </c>
      <c r="DG249" s="3389">
        <f t="shared" si="315"/>
        <v>0</v>
      </c>
      <c r="DH249" s="3389">
        <f t="shared" si="301"/>
        <v>0</v>
      </c>
      <c r="DI249" s="417"/>
      <c r="DJ249" s="417"/>
      <c r="DK249" s="417"/>
      <c r="DL249" s="417"/>
      <c r="DM249" s="417"/>
      <c r="DN249" s="3389">
        <f t="shared" si="302"/>
        <v>0</v>
      </c>
      <c r="DO249" s="3366"/>
      <c r="DP249" s="3389">
        <f t="shared" si="303"/>
        <v>0</v>
      </c>
      <c r="DQ249" s="3389">
        <f t="shared" si="304"/>
        <v>0</v>
      </c>
      <c r="DR249" s="3389">
        <f t="shared" si="305"/>
        <v>0</v>
      </c>
      <c r="DS249" s="3389">
        <f t="shared" si="306"/>
        <v>0</v>
      </c>
      <c r="DT249" s="3389">
        <f t="shared" si="259"/>
        <v>0</v>
      </c>
      <c r="DU249" s="3389">
        <f t="shared" si="307"/>
        <v>0</v>
      </c>
      <c r="DV249" s="3389">
        <f t="shared" si="308"/>
        <v>0</v>
      </c>
      <c r="DW249" s="417"/>
      <c r="DX249" s="417"/>
      <c r="DY249" s="3389">
        <f t="shared" si="309"/>
        <v>0</v>
      </c>
      <c r="DZ249" s="3389">
        <f t="shared" si="310"/>
        <v>0</v>
      </c>
      <c r="EA249" s="3416">
        <f t="shared" si="311"/>
        <v>0</v>
      </c>
      <c r="EB249" s="3416">
        <f t="shared" si="312"/>
        <v>0</v>
      </c>
    </row>
    <row r="250" spans="1:132" ht="23.25" customHeight="1">
      <c r="A250" s="6128"/>
      <c r="B250" s="1691" t="s">
        <v>1993</v>
      </c>
      <c r="C250" s="3202">
        <f>+O250+Q250+S250+U250+W250+Y250+AA250+AC250+AE250+AG250+AI250</f>
        <v>0</v>
      </c>
      <c r="D250" s="1739">
        <f>+P250+R250+T250+V250+X250+Z250+AB250+AD250+AF250+AH250+AJ250</f>
        <v>0</v>
      </c>
      <c r="E250" s="3458"/>
      <c r="F250" s="3459"/>
      <c r="G250" s="3460"/>
      <c r="H250" s="3470"/>
      <c r="I250" s="3460"/>
      <c r="J250" s="3459"/>
      <c r="K250" s="3460"/>
      <c r="L250" s="3459"/>
      <c r="M250" s="3467"/>
      <c r="N250" s="3468"/>
      <c r="O250" s="423"/>
      <c r="P250" s="2231"/>
      <c r="Q250" s="425"/>
      <c r="R250" s="2231"/>
      <c r="S250" s="425"/>
      <c r="T250" s="2231"/>
      <c r="U250" s="425"/>
      <c r="V250" s="2231"/>
      <c r="W250" s="423"/>
      <c r="X250" s="2231"/>
      <c r="Y250" s="423"/>
      <c r="Z250" s="2231"/>
      <c r="AA250" s="423"/>
      <c r="AB250" s="2231"/>
      <c r="AC250" s="425"/>
      <c r="AD250" s="2231"/>
      <c r="AE250" s="423"/>
      <c r="AF250" s="2231"/>
      <c r="AG250" s="423"/>
      <c r="AH250" s="2231"/>
      <c r="AI250" s="423"/>
      <c r="AJ250" s="3412"/>
      <c r="AK250" s="3372"/>
      <c r="AL250" s="2231"/>
      <c r="AM250" s="423"/>
      <c r="AN250" s="3412"/>
      <c r="AO250" s="3372"/>
      <c r="AP250" s="2231"/>
      <c r="AQ250" s="423"/>
      <c r="AR250" s="3412"/>
      <c r="AS250" s="3372"/>
      <c r="AT250" s="3412"/>
      <c r="AU250" s="3372"/>
      <c r="AV250" s="3412"/>
      <c r="AW250" s="423"/>
      <c r="AX250" s="2231"/>
      <c r="AY250" s="3373" t="str">
        <f t="shared" si="313"/>
        <v/>
      </c>
      <c r="CA250" s="3413" t="str">
        <f t="shared" si="289"/>
        <v/>
      </c>
      <c r="CB250" s="418" t="str">
        <f t="shared" si="314"/>
        <v/>
      </c>
      <c r="CC250" s="418" t="str">
        <f t="shared" si="290"/>
        <v/>
      </c>
      <c r="CD250" s="417"/>
      <c r="CE250" s="417"/>
      <c r="CF250" s="417"/>
      <c r="CG250" s="417"/>
      <c r="CH250" s="417"/>
      <c r="CI250" s="418" t="str">
        <f t="shared" si="258"/>
        <v/>
      </c>
      <c r="CJ250" s="3366"/>
      <c r="CK250" s="418" t="str">
        <f t="shared" si="291"/>
        <v/>
      </c>
      <c r="CL250" s="418" t="str">
        <f t="shared" si="292"/>
        <v/>
      </c>
      <c r="CM250" s="418" t="str">
        <f t="shared" si="293"/>
        <v/>
      </c>
      <c r="CN250" s="418" t="str">
        <f t="shared" si="294"/>
        <v/>
      </c>
      <c r="CO250" s="418" t="str">
        <f t="shared" si="295"/>
        <v/>
      </c>
      <c r="CP250" s="418" t="str">
        <f t="shared" si="296"/>
        <v/>
      </c>
      <c r="CQ250" s="418" t="str">
        <f t="shared" si="297"/>
        <v/>
      </c>
      <c r="CR250" s="417"/>
      <c r="CS250" s="417"/>
      <c r="CT250" s="1708" t="str">
        <f t="shared" si="298"/>
        <v/>
      </c>
      <c r="CU250" s="1708" t="str">
        <f t="shared" si="299"/>
        <v/>
      </c>
      <c r="DF250" s="3415">
        <f t="shared" si="300"/>
        <v>0</v>
      </c>
      <c r="DG250" s="3389">
        <f t="shared" si="315"/>
        <v>0</v>
      </c>
      <c r="DH250" s="3389">
        <f t="shared" si="301"/>
        <v>0</v>
      </c>
      <c r="DI250" s="417"/>
      <c r="DJ250" s="417"/>
      <c r="DK250" s="417"/>
      <c r="DL250" s="417"/>
      <c r="DM250" s="417"/>
      <c r="DN250" s="3389">
        <f t="shared" si="302"/>
        <v>0</v>
      </c>
      <c r="DO250" s="3366"/>
      <c r="DP250" s="3389">
        <f t="shared" si="303"/>
        <v>0</v>
      </c>
      <c r="DQ250" s="3389">
        <f t="shared" si="304"/>
        <v>0</v>
      </c>
      <c r="DR250" s="3389">
        <f t="shared" si="305"/>
        <v>0</v>
      </c>
      <c r="DS250" s="3389">
        <f t="shared" si="306"/>
        <v>0</v>
      </c>
      <c r="DT250" s="3389">
        <f t="shared" si="259"/>
        <v>0</v>
      </c>
      <c r="DU250" s="3389">
        <f t="shared" si="307"/>
        <v>0</v>
      </c>
      <c r="DV250" s="3389">
        <f t="shared" si="308"/>
        <v>0</v>
      </c>
      <c r="DW250" s="417"/>
      <c r="DX250" s="417"/>
      <c r="DY250" s="3389">
        <f t="shared" si="309"/>
        <v>0</v>
      </c>
      <c r="DZ250" s="3389">
        <f t="shared" si="310"/>
        <v>0</v>
      </c>
      <c r="EA250" s="3416">
        <f t="shared" si="311"/>
        <v>0</v>
      </c>
      <c r="EB250" s="3416">
        <f t="shared" si="312"/>
        <v>0</v>
      </c>
    </row>
    <row r="251" spans="1:132" ht="23.25" customHeight="1">
      <c r="A251" s="6128"/>
      <c r="B251" s="1691" t="s">
        <v>1994</v>
      </c>
      <c r="C251" s="3202">
        <f>+M251+O251+Q251+S251+U251+W251+Y251+AA251+AC251+AE251+AG251+AI251</f>
        <v>0</v>
      </c>
      <c r="D251" s="3465">
        <f t="shared" ref="C251:D255" si="318">+N251+P251+R251+T251+V251+X251+Z251+AB251+AD251+AF251+AH251+AJ251</f>
        <v>0</v>
      </c>
      <c r="E251" s="3458"/>
      <c r="F251" s="3459"/>
      <c r="G251" s="3460"/>
      <c r="H251" s="3459"/>
      <c r="I251" s="3460"/>
      <c r="J251" s="3470"/>
      <c r="K251" s="3460"/>
      <c r="L251" s="3459"/>
      <c r="M251" s="411"/>
      <c r="N251" s="412"/>
      <c r="O251" s="423"/>
      <c r="P251" s="424"/>
      <c r="Q251" s="425"/>
      <c r="R251" s="424"/>
      <c r="S251" s="425"/>
      <c r="T251" s="424"/>
      <c r="U251" s="425"/>
      <c r="V251" s="424"/>
      <c r="W251" s="423"/>
      <c r="X251" s="424"/>
      <c r="Y251" s="423"/>
      <c r="Z251" s="424"/>
      <c r="AA251" s="423"/>
      <c r="AB251" s="424"/>
      <c r="AC251" s="425"/>
      <c r="AD251" s="424"/>
      <c r="AE251" s="423"/>
      <c r="AF251" s="424"/>
      <c r="AG251" s="423"/>
      <c r="AH251" s="424"/>
      <c r="AI251" s="423"/>
      <c r="AJ251" s="426"/>
      <c r="AK251" s="3372"/>
      <c r="AL251" s="424"/>
      <c r="AM251" s="423"/>
      <c r="AN251" s="426"/>
      <c r="AO251" s="3372"/>
      <c r="AP251" s="424"/>
      <c r="AQ251" s="423"/>
      <c r="AR251" s="426"/>
      <c r="AS251" s="3372"/>
      <c r="AT251" s="3412"/>
      <c r="AU251" s="3372"/>
      <c r="AV251" s="3412"/>
      <c r="AW251" s="423"/>
      <c r="AX251" s="424"/>
      <c r="AY251" s="3373" t="str">
        <f t="shared" si="313"/>
        <v/>
      </c>
      <c r="CA251" s="3413" t="str">
        <f t="shared" si="289"/>
        <v/>
      </c>
      <c r="CB251" s="418" t="str">
        <f t="shared" si="314"/>
        <v/>
      </c>
      <c r="CC251" s="418" t="str">
        <f t="shared" si="290"/>
        <v/>
      </c>
      <c r="CD251" s="417"/>
      <c r="CE251" s="417"/>
      <c r="CF251" s="417"/>
      <c r="CG251" s="417"/>
      <c r="CH251" s="417"/>
      <c r="CI251" s="418" t="str">
        <f t="shared" si="258"/>
        <v/>
      </c>
      <c r="CJ251" s="3366"/>
      <c r="CK251" s="418" t="str">
        <f t="shared" si="291"/>
        <v/>
      </c>
      <c r="CL251" s="418" t="str">
        <f t="shared" si="292"/>
        <v/>
      </c>
      <c r="CM251" s="418" t="str">
        <f t="shared" si="293"/>
        <v/>
      </c>
      <c r="CN251" s="418" t="str">
        <f t="shared" si="294"/>
        <v/>
      </c>
      <c r="CO251" s="418" t="str">
        <f t="shared" si="295"/>
        <v/>
      </c>
      <c r="CP251" s="418" t="str">
        <f t="shared" si="296"/>
        <v/>
      </c>
      <c r="CQ251" s="418" t="str">
        <f t="shared" si="297"/>
        <v/>
      </c>
      <c r="CR251" s="417"/>
      <c r="CS251" s="417"/>
      <c r="CT251" s="1708" t="str">
        <f t="shared" si="298"/>
        <v/>
      </c>
      <c r="CU251" s="1708" t="str">
        <f t="shared" si="299"/>
        <v/>
      </c>
      <c r="DF251" s="3415">
        <f t="shared" si="300"/>
        <v>0</v>
      </c>
      <c r="DG251" s="3389">
        <f t="shared" si="315"/>
        <v>0</v>
      </c>
      <c r="DH251" s="3389">
        <f t="shared" si="301"/>
        <v>0</v>
      </c>
      <c r="DI251" s="417"/>
      <c r="DJ251" s="417"/>
      <c r="DK251" s="417"/>
      <c r="DL251" s="417"/>
      <c r="DM251" s="417"/>
      <c r="DN251" s="3389">
        <f t="shared" si="302"/>
        <v>0</v>
      </c>
      <c r="DO251" s="3366"/>
      <c r="DP251" s="3389">
        <f t="shared" si="303"/>
        <v>0</v>
      </c>
      <c r="DQ251" s="3389">
        <f t="shared" si="304"/>
        <v>0</v>
      </c>
      <c r="DR251" s="3389">
        <f t="shared" si="305"/>
        <v>0</v>
      </c>
      <c r="DS251" s="3389">
        <f t="shared" si="306"/>
        <v>0</v>
      </c>
      <c r="DT251" s="3389">
        <f t="shared" si="259"/>
        <v>0</v>
      </c>
      <c r="DU251" s="3389">
        <f t="shared" si="307"/>
        <v>0</v>
      </c>
      <c r="DV251" s="3389">
        <f t="shared" si="308"/>
        <v>0</v>
      </c>
      <c r="DW251" s="417"/>
      <c r="DX251" s="417"/>
      <c r="DY251" s="3389">
        <f t="shared" si="309"/>
        <v>0</v>
      </c>
      <c r="DZ251" s="3389">
        <f t="shared" si="310"/>
        <v>0</v>
      </c>
      <c r="EA251" s="3416">
        <f t="shared" si="311"/>
        <v>0</v>
      </c>
      <c r="EB251" s="3416">
        <f t="shared" si="312"/>
        <v>0</v>
      </c>
    </row>
    <row r="252" spans="1:132" ht="15" customHeight="1">
      <c r="A252" s="6128"/>
      <c r="B252" s="1691" t="s">
        <v>2014</v>
      </c>
      <c r="C252" s="3202">
        <f t="shared" si="318"/>
        <v>0</v>
      </c>
      <c r="D252" s="3465">
        <f t="shared" si="318"/>
        <v>0</v>
      </c>
      <c r="E252" s="3458"/>
      <c r="F252" s="3459"/>
      <c r="G252" s="3460"/>
      <c r="H252" s="3459"/>
      <c r="I252" s="3460"/>
      <c r="J252" s="3459"/>
      <c r="K252" s="3460"/>
      <c r="L252" s="3459"/>
      <c r="M252" s="423"/>
      <c r="N252" s="424"/>
      <c r="O252" s="423"/>
      <c r="P252" s="424"/>
      <c r="Q252" s="425"/>
      <c r="R252" s="424"/>
      <c r="S252" s="425"/>
      <c r="T252" s="424"/>
      <c r="U252" s="425"/>
      <c r="V252" s="424"/>
      <c r="W252" s="423"/>
      <c r="X252" s="424"/>
      <c r="Y252" s="423"/>
      <c r="Z252" s="424"/>
      <c r="AA252" s="423"/>
      <c r="AB252" s="424"/>
      <c r="AC252" s="425"/>
      <c r="AD252" s="424"/>
      <c r="AE252" s="423"/>
      <c r="AF252" s="424"/>
      <c r="AG252" s="423"/>
      <c r="AH252" s="424"/>
      <c r="AI252" s="423"/>
      <c r="AJ252" s="426"/>
      <c r="AK252" s="3372"/>
      <c r="AL252" s="424"/>
      <c r="AM252" s="423"/>
      <c r="AN252" s="426"/>
      <c r="AO252" s="3372"/>
      <c r="AP252" s="424"/>
      <c r="AQ252" s="423"/>
      <c r="AR252" s="426"/>
      <c r="AS252" s="3372"/>
      <c r="AT252" s="3412"/>
      <c r="AU252" s="3372"/>
      <c r="AV252" s="3412"/>
      <c r="AW252" s="423"/>
      <c r="AX252" s="424"/>
      <c r="AY252" s="3373" t="str">
        <f t="shared" si="313"/>
        <v/>
      </c>
      <c r="CA252" s="3413" t="str">
        <f t="shared" si="289"/>
        <v/>
      </c>
      <c r="CB252" s="418" t="str">
        <f t="shared" si="314"/>
        <v/>
      </c>
      <c r="CC252" s="418" t="str">
        <f t="shared" si="290"/>
        <v/>
      </c>
      <c r="CD252" s="417"/>
      <c r="CE252" s="417"/>
      <c r="CF252" s="417"/>
      <c r="CG252" s="417"/>
      <c r="CH252" s="417"/>
      <c r="CI252" s="418" t="str">
        <f t="shared" ref="CI252:CI259" si="319">IF(AND(C252&gt;0,AND(AO252="",AQ252=""))," * No olvide digitar los exámenes procesados Trans (Masculino y femenino) Digite Cero si no tiene.",IF((AO252+AQ252)&gt;C252," * Los exámenes procesados en Trans (Masculino y femenino) no pueden ser mayor que el Total de exámenes procesados.",""))</f>
        <v/>
      </c>
      <c r="CJ252" s="3366"/>
      <c r="CK252" s="418" t="str">
        <f t="shared" si="291"/>
        <v/>
      </c>
      <c r="CL252" s="418" t="str">
        <f t="shared" si="292"/>
        <v/>
      </c>
      <c r="CM252" s="418" t="str">
        <f t="shared" si="293"/>
        <v/>
      </c>
      <c r="CN252" s="418" t="str">
        <f t="shared" si="294"/>
        <v/>
      </c>
      <c r="CO252" s="418" t="str">
        <f t="shared" si="295"/>
        <v/>
      </c>
      <c r="CP252" s="418" t="str">
        <f t="shared" si="296"/>
        <v/>
      </c>
      <c r="CQ252" s="418" t="str">
        <f t="shared" si="297"/>
        <v/>
      </c>
      <c r="CR252" s="417"/>
      <c r="CS252" s="417"/>
      <c r="CT252" s="1708" t="str">
        <f t="shared" si="298"/>
        <v/>
      </c>
      <c r="CU252" s="1708" t="str">
        <f t="shared" si="299"/>
        <v/>
      </c>
      <c r="DF252" s="3415">
        <f t="shared" si="300"/>
        <v>0</v>
      </c>
      <c r="DG252" s="3389">
        <f t="shared" si="315"/>
        <v>0</v>
      </c>
      <c r="DH252" s="3389">
        <f t="shared" si="301"/>
        <v>0</v>
      </c>
      <c r="DI252" s="417"/>
      <c r="DJ252" s="417"/>
      <c r="DK252" s="417"/>
      <c r="DL252" s="417"/>
      <c r="DM252" s="417"/>
      <c r="DN252" s="3389">
        <f t="shared" si="302"/>
        <v>0</v>
      </c>
      <c r="DO252" s="3366"/>
      <c r="DP252" s="3389">
        <f t="shared" si="303"/>
        <v>0</v>
      </c>
      <c r="DQ252" s="3389">
        <f t="shared" si="304"/>
        <v>0</v>
      </c>
      <c r="DR252" s="3389">
        <f t="shared" si="305"/>
        <v>0</v>
      </c>
      <c r="DS252" s="3389">
        <f t="shared" si="306"/>
        <v>0</v>
      </c>
      <c r="DT252" s="3389">
        <f t="shared" ref="DT252:DT259" si="320">IF(AND(D252&gt;0,OR(AP252="",AR252="")),1,IF((AP252+AR252)&gt;D252,1,0))</f>
        <v>0</v>
      </c>
      <c r="DU252" s="3389">
        <f t="shared" si="307"/>
        <v>0</v>
      </c>
      <c r="DV252" s="3389">
        <f t="shared" si="308"/>
        <v>0</v>
      </c>
      <c r="DW252" s="417"/>
      <c r="DX252" s="417"/>
      <c r="DY252" s="3389">
        <f t="shared" si="309"/>
        <v>0</v>
      </c>
      <c r="DZ252" s="3389">
        <f t="shared" si="310"/>
        <v>0</v>
      </c>
      <c r="EA252" s="3416">
        <f t="shared" si="311"/>
        <v>0</v>
      </c>
      <c r="EB252" s="3416">
        <f t="shared" si="312"/>
        <v>0</v>
      </c>
    </row>
    <row r="253" spans="1:132" ht="15" customHeight="1">
      <c r="A253" s="6128"/>
      <c r="B253" s="1691" t="s">
        <v>2015</v>
      </c>
      <c r="C253" s="3469">
        <f t="shared" si="318"/>
        <v>0</v>
      </c>
      <c r="D253" s="3465">
        <f t="shared" si="318"/>
        <v>0</v>
      </c>
      <c r="E253" s="3458"/>
      <c r="F253" s="3459"/>
      <c r="G253" s="3460"/>
      <c r="H253" s="3459"/>
      <c r="I253" s="3460"/>
      <c r="J253" s="3459"/>
      <c r="K253" s="3460"/>
      <c r="L253" s="3459"/>
      <c r="M253" s="423"/>
      <c r="N253" s="424"/>
      <c r="O253" s="423"/>
      <c r="P253" s="424"/>
      <c r="Q253" s="425"/>
      <c r="R253" s="424"/>
      <c r="S253" s="425"/>
      <c r="T253" s="424"/>
      <c r="U253" s="425"/>
      <c r="V253" s="424"/>
      <c r="W253" s="423"/>
      <c r="X253" s="424"/>
      <c r="Y253" s="423"/>
      <c r="Z253" s="424"/>
      <c r="AA253" s="423"/>
      <c r="AB253" s="424"/>
      <c r="AC253" s="425"/>
      <c r="AD253" s="424"/>
      <c r="AE253" s="423"/>
      <c r="AF253" s="424"/>
      <c r="AG253" s="423"/>
      <c r="AH253" s="424"/>
      <c r="AI253" s="423"/>
      <c r="AJ253" s="426"/>
      <c r="AK253" s="3372"/>
      <c r="AL253" s="424"/>
      <c r="AM253" s="423"/>
      <c r="AN253" s="426"/>
      <c r="AO253" s="3372"/>
      <c r="AP253" s="424"/>
      <c r="AQ253" s="423"/>
      <c r="AR253" s="426"/>
      <c r="AS253" s="3372"/>
      <c r="AT253" s="3412"/>
      <c r="AU253" s="3372"/>
      <c r="AV253" s="3412"/>
      <c r="AW253" s="423"/>
      <c r="AX253" s="424"/>
      <c r="AY253" s="3373" t="str">
        <f t="shared" si="313"/>
        <v/>
      </c>
      <c r="CA253" s="3413" t="str">
        <f t="shared" si="289"/>
        <v/>
      </c>
      <c r="CB253" s="418" t="str">
        <f t="shared" si="314"/>
        <v/>
      </c>
      <c r="CC253" s="418" t="str">
        <f t="shared" si="290"/>
        <v/>
      </c>
      <c r="CD253" s="417"/>
      <c r="CE253" s="417"/>
      <c r="CF253" s="417"/>
      <c r="CG253" s="417"/>
      <c r="CH253" s="417"/>
      <c r="CI253" s="418" t="str">
        <f t="shared" si="319"/>
        <v/>
      </c>
      <c r="CJ253" s="3366"/>
      <c r="CK253" s="418" t="str">
        <f t="shared" si="291"/>
        <v/>
      </c>
      <c r="CL253" s="418" t="str">
        <f t="shared" si="292"/>
        <v/>
      </c>
      <c r="CM253" s="418" t="str">
        <f t="shared" si="293"/>
        <v/>
      </c>
      <c r="CN253" s="418" t="str">
        <f t="shared" si="294"/>
        <v/>
      </c>
      <c r="CO253" s="418" t="str">
        <f t="shared" si="295"/>
        <v/>
      </c>
      <c r="CP253" s="418" t="str">
        <f t="shared" si="296"/>
        <v/>
      </c>
      <c r="CQ253" s="418" t="str">
        <f t="shared" si="297"/>
        <v/>
      </c>
      <c r="CR253" s="417"/>
      <c r="CS253" s="417"/>
      <c r="CT253" s="1708" t="str">
        <f t="shared" si="298"/>
        <v/>
      </c>
      <c r="CU253" s="1708" t="str">
        <f t="shared" si="299"/>
        <v/>
      </c>
      <c r="DF253" s="3415">
        <f t="shared" si="300"/>
        <v>0</v>
      </c>
      <c r="DG253" s="3389">
        <f t="shared" si="315"/>
        <v>0</v>
      </c>
      <c r="DH253" s="3389">
        <f t="shared" si="301"/>
        <v>0</v>
      </c>
      <c r="DI253" s="417"/>
      <c r="DJ253" s="417"/>
      <c r="DK253" s="417"/>
      <c r="DL253" s="417"/>
      <c r="DM253" s="417"/>
      <c r="DN253" s="3389">
        <f t="shared" si="302"/>
        <v>0</v>
      </c>
      <c r="DO253" s="3366"/>
      <c r="DP253" s="3389">
        <f t="shared" si="303"/>
        <v>0</v>
      </c>
      <c r="DQ253" s="3389">
        <f t="shared" si="304"/>
        <v>0</v>
      </c>
      <c r="DR253" s="3389">
        <f t="shared" si="305"/>
        <v>0</v>
      </c>
      <c r="DS253" s="3389">
        <f t="shared" si="306"/>
        <v>0</v>
      </c>
      <c r="DT253" s="3389">
        <f t="shared" si="320"/>
        <v>0</v>
      </c>
      <c r="DU253" s="3389">
        <f t="shared" si="307"/>
        <v>0</v>
      </c>
      <c r="DV253" s="3389">
        <f t="shared" si="308"/>
        <v>0</v>
      </c>
      <c r="DW253" s="417"/>
      <c r="DX253" s="417"/>
      <c r="DY253" s="3389">
        <f t="shared" si="309"/>
        <v>0</v>
      </c>
      <c r="DZ253" s="3389">
        <f t="shared" si="310"/>
        <v>0</v>
      </c>
      <c r="EA253" s="3416">
        <f t="shared" si="311"/>
        <v>0</v>
      </c>
      <c r="EB253" s="3416">
        <f t="shared" si="312"/>
        <v>0</v>
      </c>
    </row>
    <row r="254" spans="1:132" ht="15" customHeight="1">
      <c r="A254" s="6128"/>
      <c r="B254" s="1512" t="s">
        <v>1997</v>
      </c>
      <c r="C254" s="3202">
        <f t="shared" si="318"/>
        <v>0</v>
      </c>
      <c r="D254" s="3465">
        <f t="shared" si="318"/>
        <v>0</v>
      </c>
      <c r="E254" s="3458"/>
      <c r="F254" s="3459"/>
      <c r="G254" s="3460"/>
      <c r="H254" s="3459"/>
      <c r="I254" s="3460"/>
      <c r="J254" s="3459"/>
      <c r="K254" s="3460"/>
      <c r="L254" s="3470"/>
      <c r="M254" s="423"/>
      <c r="N254" s="424"/>
      <c r="O254" s="423"/>
      <c r="P254" s="424"/>
      <c r="Q254" s="425"/>
      <c r="R254" s="424"/>
      <c r="S254" s="425"/>
      <c r="T254" s="424"/>
      <c r="U254" s="425"/>
      <c r="V254" s="424"/>
      <c r="W254" s="423"/>
      <c r="X254" s="424"/>
      <c r="Y254" s="423"/>
      <c r="Z254" s="424"/>
      <c r="AA254" s="423"/>
      <c r="AB254" s="424"/>
      <c r="AC254" s="425"/>
      <c r="AD254" s="424"/>
      <c r="AE254" s="423"/>
      <c r="AF254" s="424"/>
      <c r="AG254" s="423"/>
      <c r="AH254" s="424"/>
      <c r="AI254" s="423"/>
      <c r="AJ254" s="426"/>
      <c r="AK254" s="3372"/>
      <c r="AL254" s="424"/>
      <c r="AM254" s="423"/>
      <c r="AN254" s="426"/>
      <c r="AO254" s="3372"/>
      <c r="AP254" s="424"/>
      <c r="AQ254" s="423"/>
      <c r="AR254" s="426"/>
      <c r="AS254" s="3372"/>
      <c r="AT254" s="3412"/>
      <c r="AU254" s="3372"/>
      <c r="AV254" s="3412"/>
      <c r="AW254" s="423"/>
      <c r="AX254" s="424"/>
      <c r="AY254" s="3373" t="str">
        <f t="shared" si="313"/>
        <v/>
      </c>
      <c r="CA254" s="3413" t="str">
        <f t="shared" si="289"/>
        <v/>
      </c>
      <c r="CB254" s="418" t="str">
        <f t="shared" si="314"/>
        <v/>
      </c>
      <c r="CC254" s="418" t="str">
        <f t="shared" si="290"/>
        <v/>
      </c>
      <c r="CD254" s="417"/>
      <c r="CE254" s="417"/>
      <c r="CF254" s="417"/>
      <c r="CG254" s="417"/>
      <c r="CH254" s="417"/>
      <c r="CI254" s="418" t="str">
        <f t="shared" si="319"/>
        <v/>
      </c>
      <c r="CJ254" s="3366"/>
      <c r="CK254" s="418" t="str">
        <f t="shared" si="291"/>
        <v/>
      </c>
      <c r="CL254" s="418" t="str">
        <f t="shared" si="292"/>
        <v/>
      </c>
      <c r="CM254" s="418" t="str">
        <f t="shared" si="293"/>
        <v/>
      </c>
      <c r="CN254" s="418" t="str">
        <f t="shared" si="294"/>
        <v/>
      </c>
      <c r="CO254" s="418" t="str">
        <f t="shared" si="295"/>
        <v/>
      </c>
      <c r="CP254" s="418" t="str">
        <f t="shared" si="296"/>
        <v/>
      </c>
      <c r="CQ254" s="418" t="str">
        <f t="shared" si="297"/>
        <v/>
      </c>
      <c r="CR254" s="417"/>
      <c r="CS254" s="417"/>
      <c r="CT254" s="1708" t="str">
        <f t="shared" si="298"/>
        <v/>
      </c>
      <c r="CU254" s="1708" t="str">
        <f t="shared" si="299"/>
        <v/>
      </c>
      <c r="DF254" s="3415">
        <f t="shared" si="300"/>
        <v>0</v>
      </c>
      <c r="DG254" s="3389">
        <f t="shared" si="315"/>
        <v>0</v>
      </c>
      <c r="DH254" s="3389">
        <f t="shared" si="301"/>
        <v>0</v>
      </c>
      <c r="DI254" s="417"/>
      <c r="DJ254" s="417"/>
      <c r="DK254" s="417"/>
      <c r="DL254" s="417"/>
      <c r="DM254" s="417"/>
      <c r="DN254" s="3389">
        <f t="shared" si="302"/>
        <v>0</v>
      </c>
      <c r="DO254" s="3366"/>
      <c r="DP254" s="3389">
        <f t="shared" si="303"/>
        <v>0</v>
      </c>
      <c r="DQ254" s="3389">
        <f t="shared" si="304"/>
        <v>0</v>
      </c>
      <c r="DR254" s="3389">
        <f t="shared" si="305"/>
        <v>0</v>
      </c>
      <c r="DS254" s="3389">
        <f t="shared" si="306"/>
        <v>0</v>
      </c>
      <c r="DT254" s="3389">
        <f t="shared" si="320"/>
        <v>0</v>
      </c>
      <c r="DU254" s="3389">
        <f t="shared" si="307"/>
        <v>0</v>
      </c>
      <c r="DV254" s="3389">
        <f t="shared" si="308"/>
        <v>0</v>
      </c>
      <c r="DW254" s="417"/>
      <c r="DX254" s="417"/>
      <c r="DY254" s="3389">
        <f t="shared" si="309"/>
        <v>0</v>
      </c>
      <c r="DZ254" s="3389">
        <f t="shared" si="310"/>
        <v>0</v>
      </c>
      <c r="EA254" s="3416">
        <f t="shared" si="311"/>
        <v>0</v>
      </c>
      <c r="EB254" s="3416">
        <f t="shared" si="312"/>
        <v>0</v>
      </c>
    </row>
    <row r="255" spans="1:132" ht="15" customHeight="1">
      <c r="A255" s="6129"/>
      <c r="B255" s="1506" t="s">
        <v>1998</v>
      </c>
      <c r="C255" s="3471">
        <f t="shared" si="318"/>
        <v>0</v>
      </c>
      <c r="D255" s="1775">
        <f t="shared" si="318"/>
        <v>0</v>
      </c>
      <c r="E255" s="3472"/>
      <c r="F255" s="3473"/>
      <c r="G255" s="3474"/>
      <c r="H255" s="3473"/>
      <c r="I255" s="3474"/>
      <c r="J255" s="3473"/>
      <c r="K255" s="3474"/>
      <c r="L255" s="3473"/>
      <c r="M255" s="3385"/>
      <c r="N255" s="433"/>
      <c r="O255" s="3385"/>
      <c r="P255" s="433"/>
      <c r="Q255" s="432"/>
      <c r="R255" s="433"/>
      <c r="S255" s="432"/>
      <c r="T255" s="433"/>
      <c r="U255" s="432"/>
      <c r="V255" s="433"/>
      <c r="W255" s="3385"/>
      <c r="X255" s="433"/>
      <c r="Y255" s="3385"/>
      <c r="Z255" s="433"/>
      <c r="AA255" s="3385"/>
      <c r="AB255" s="433"/>
      <c r="AC255" s="432"/>
      <c r="AD255" s="433"/>
      <c r="AE255" s="3385"/>
      <c r="AF255" s="433"/>
      <c r="AG255" s="3385"/>
      <c r="AH255" s="433"/>
      <c r="AI255" s="3385"/>
      <c r="AJ255" s="445"/>
      <c r="AK255" s="3386"/>
      <c r="AL255" s="433"/>
      <c r="AM255" s="3385"/>
      <c r="AN255" s="445"/>
      <c r="AO255" s="3386"/>
      <c r="AP255" s="433"/>
      <c r="AQ255" s="3385"/>
      <c r="AR255" s="445"/>
      <c r="AS255" s="3386"/>
      <c r="AT255" s="3425"/>
      <c r="AU255" s="3386"/>
      <c r="AV255" s="3425"/>
      <c r="AW255" s="3385"/>
      <c r="AX255" s="433"/>
      <c r="AY255" s="3373" t="str">
        <f t="shared" si="313"/>
        <v/>
      </c>
      <c r="CA255" s="3413" t="str">
        <f t="shared" si="289"/>
        <v/>
      </c>
      <c r="CB255" s="418" t="str">
        <f t="shared" si="314"/>
        <v/>
      </c>
      <c r="CC255" s="418" t="str">
        <f t="shared" si="290"/>
        <v/>
      </c>
      <c r="CD255" s="417"/>
      <c r="CE255" s="417"/>
      <c r="CF255" s="417"/>
      <c r="CG255" s="417"/>
      <c r="CH255" s="417"/>
      <c r="CI255" s="418" t="str">
        <f t="shared" si="319"/>
        <v/>
      </c>
      <c r="CJ255" s="3366"/>
      <c r="CK255" s="418" t="str">
        <f t="shared" si="291"/>
        <v/>
      </c>
      <c r="CL255" s="418" t="str">
        <f t="shared" si="292"/>
        <v/>
      </c>
      <c r="CM255" s="418" t="str">
        <f t="shared" si="293"/>
        <v/>
      </c>
      <c r="CN255" s="418" t="str">
        <f t="shared" si="294"/>
        <v/>
      </c>
      <c r="CO255" s="418" t="str">
        <f t="shared" si="295"/>
        <v/>
      </c>
      <c r="CP255" s="418" t="str">
        <f t="shared" si="296"/>
        <v/>
      </c>
      <c r="CQ255" s="418" t="str">
        <f t="shared" si="297"/>
        <v/>
      </c>
      <c r="CR255" s="417"/>
      <c r="CS255" s="417"/>
      <c r="CT255" s="1708" t="str">
        <f t="shared" si="298"/>
        <v/>
      </c>
      <c r="CU255" s="1708" t="str">
        <f t="shared" si="299"/>
        <v/>
      </c>
      <c r="DF255" s="3415">
        <f t="shared" si="300"/>
        <v>0</v>
      </c>
      <c r="DG255" s="3389">
        <f t="shared" si="315"/>
        <v>0</v>
      </c>
      <c r="DH255" s="3389">
        <f t="shared" si="301"/>
        <v>0</v>
      </c>
      <c r="DI255" s="417"/>
      <c r="DJ255" s="417"/>
      <c r="DK255" s="417"/>
      <c r="DL255" s="417"/>
      <c r="DM255" s="417"/>
      <c r="DN255" s="3389">
        <f t="shared" si="302"/>
        <v>0</v>
      </c>
      <c r="DO255" s="3366"/>
      <c r="DP255" s="3389">
        <f t="shared" si="303"/>
        <v>0</v>
      </c>
      <c r="DQ255" s="3389">
        <f t="shared" si="304"/>
        <v>0</v>
      </c>
      <c r="DR255" s="3389">
        <f t="shared" si="305"/>
        <v>0</v>
      </c>
      <c r="DS255" s="3389">
        <f t="shared" si="306"/>
        <v>0</v>
      </c>
      <c r="DT255" s="3389">
        <f t="shared" si="320"/>
        <v>0</v>
      </c>
      <c r="DU255" s="3389">
        <f t="shared" si="307"/>
        <v>0</v>
      </c>
      <c r="DV255" s="3389">
        <f t="shared" si="308"/>
        <v>0</v>
      </c>
      <c r="DW255" s="417"/>
      <c r="DX255" s="417"/>
      <c r="DY255" s="3389">
        <f t="shared" si="309"/>
        <v>0</v>
      </c>
      <c r="DZ255" s="3389">
        <f t="shared" si="310"/>
        <v>0</v>
      </c>
      <c r="EA255" s="3416">
        <f t="shared" si="311"/>
        <v>0</v>
      </c>
      <c r="EB255" s="3416">
        <f t="shared" si="312"/>
        <v>0</v>
      </c>
    </row>
    <row r="256" spans="1:132" ht="15" customHeight="1">
      <c r="A256" s="6127" t="s">
        <v>2016</v>
      </c>
      <c r="B256" s="1540" t="s">
        <v>2017</v>
      </c>
      <c r="C256" s="3475">
        <f t="shared" ref="C256:D259" si="321">+E256+G256+I256+K256+M256+O256+Q256+S256+U256+W256+Y256+AA256+AC256+AE256+AG256+AI256</f>
        <v>0</v>
      </c>
      <c r="D256" s="3476">
        <f t="shared" si="321"/>
        <v>0</v>
      </c>
      <c r="E256" s="411"/>
      <c r="F256" s="412"/>
      <c r="G256" s="411"/>
      <c r="H256" s="412"/>
      <c r="I256" s="411"/>
      <c r="J256" s="412"/>
      <c r="K256" s="411"/>
      <c r="L256" s="412"/>
      <c r="M256" s="411"/>
      <c r="N256" s="412"/>
      <c r="O256" s="411"/>
      <c r="P256" s="412"/>
      <c r="Q256" s="413"/>
      <c r="R256" s="412"/>
      <c r="S256" s="413"/>
      <c r="T256" s="412"/>
      <c r="U256" s="413"/>
      <c r="V256" s="412"/>
      <c r="W256" s="411"/>
      <c r="X256" s="412"/>
      <c r="Y256" s="411"/>
      <c r="Z256" s="412"/>
      <c r="AA256" s="411"/>
      <c r="AB256" s="412"/>
      <c r="AC256" s="413"/>
      <c r="AD256" s="412"/>
      <c r="AE256" s="411"/>
      <c r="AF256" s="412"/>
      <c r="AG256" s="411"/>
      <c r="AH256" s="412"/>
      <c r="AI256" s="411"/>
      <c r="AJ256" s="414"/>
      <c r="AK256" s="3430"/>
      <c r="AL256" s="412"/>
      <c r="AM256" s="411"/>
      <c r="AN256" s="414"/>
      <c r="AO256" s="3430"/>
      <c r="AP256" s="412"/>
      <c r="AQ256" s="411"/>
      <c r="AR256" s="414"/>
      <c r="AS256" s="3430"/>
      <c r="AT256" s="3411"/>
      <c r="AU256" s="3430"/>
      <c r="AV256" s="3411"/>
      <c r="AW256" s="411"/>
      <c r="AX256" s="412"/>
      <c r="AY256" s="3373" t="str">
        <f t="shared" si="313"/>
        <v/>
      </c>
      <c r="CA256" s="3413" t="str">
        <f t="shared" si="289"/>
        <v/>
      </c>
      <c r="CB256" s="418" t="str">
        <f t="shared" si="314"/>
        <v/>
      </c>
      <c r="CC256" s="418" t="str">
        <f t="shared" si="290"/>
        <v/>
      </c>
      <c r="CD256" s="417"/>
      <c r="CE256" s="417"/>
      <c r="CF256" s="417"/>
      <c r="CG256" s="417"/>
      <c r="CH256" s="417"/>
      <c r="CI256" s="418" t="str">
        <f t="shared" si="319"/>
        <v/>
      </c>
      <c r="CJ256" s="3366"/>
      <c r="CK256" s="418" t="str">
        <f t="shared" si="291"/>
        <v/>
      </c>
      <c r="CL256" s="418" t="str">
        <f t="shared" si="292"/>
        <v/>
      </c>
      <c r="CM256" s="418" t="str">
        <f t="shared" si="293"/>
        <v/>
      </c>
      <c r="CN256" s="418" t="str">
        <f t="shared" si="294"/>
        <v/>
      </c>
      <c r="CO256" s="418" t="str">
        <f t="shared" si="295"/>
        <v/>
      </c>
      <c r="CP256" s="418" t="str">
        <f t="shared" si="296"/>
        <v/>
      </c>
      <c r="CQ256" s="418" t="str">
        <f t="shared" si="297"/>
        <v/>
      </c>
      <c r="CR256" s="417"/>
      <c r="CS256" s="417"/>
      <c r="CT256" s="1708" t="str">
        <f t="shared" si="298"/>
        <v/>
      </c>
      <c r="CU256" s="1708" t="str">
        <f t="shared" si="299"/>
        <v/>
      </c>
      <c r="DF256" s="3415">
        <f t="shared" si="300"/>
        <v>0</v>
      </c>
      <c r="DG256" s="3389">
        <f t="shared" si="315"/>
        <v>0</v>
      </c>
      <c r="DH256" s="3389">
        <f t="shared" si="301"/>
        <v>0</v>
      </c>
      <c r="DI256" s="417"/>
      <c r="DJ256" s="417"/>
      <c r="DK256" s="417"/>
      <c r="DL256" s="417"/>
      <c r="DM256" s="417"/>
      <c r="DN256" s="3389">
        <f t="shared" si="302"/>
        <v>0</v>
      </c>
      <c r="DO256" s="3366"/>
      <c r="DP256" s="3389">
        <f t="shared" si="303"/>
        <v>0</v>
      </c>
      <c r="DQ256" s="3389">
        <f t="shared" si="304"/>
        <v>0</v>
      </c>
      <c r="DR256" s="3389">
        <f t="shared" si="305"/>
        <v>0</v>
      </c>
      <c r="DS256" s="3389">
        <f t="shared" si="306"/>
        <v>0</v>
      </c>
      <c r="DT256" s="3389">
        <f t="shared" si="320"/>
        <v>0</v>
      </c>
      <c r="DU256" s="3389">
        <f t="shared" si="307"/>
        <v>0</v>
      </c>
      <c r="DV256" s="3389">
        <f t="shared" si="308"/>
        <v>0</v>
      </c>
      <c r="DW256" s="417"/>
      <c r="DX256" s="417"/>
      <c r="DY256" s="3389">
        <f t="shared" si="309"/>
        <v>0</v>
      </c>
      <c r="DZ256" s="3389">
        <f t="shared" si="310"/>
        <v>0</v>
      </c>
      <c r="EA256" s="3416">
        <f t="shared" si="311"/>
        <v>0</v>
      </c>
      <c r="EB256" s="3416">
        <f t="shared" si="312"/>
        <v>0</v>
      </c>
    </row>
    <row r="257" spans="1:132" ht="15" customHeight="1">
      <c r="A257" s="6128"/>
      <c r="B257" s="1512" t="s">
        <v>2018</v>
      </c>
      <c r="C257" s="3469">
        <f t="shared" si="321"/>
        <v>0</v>
      </c>
      <c r="D257" s="3465">
        <f t="shared" si="321"/>
        <v>0</v>
      </c>
      <c r="E257" s="423"/>
      <c r="F257" s="424"/>
      <c r="G257" s="423"/>
      <c r="H257" s="424"/>
      <c r="I257" s="423"/>
      <c r="J257" s="424"/>
      <c r="K257" s="423"/>
      <c r="L257" s="424"/>
      <c r="M257" s="423"/>
      <c r="N257" s="424"/>
      <c r="O257" s="423"/>
      <c r="P257" s="424"/>
      <c r="Q257" s="425"/>
      <c r="R257" s="424"/>
      <c r="S257" s="425"/>
      <c r="T257" s="424"/>
      <c r="U257" s="425"/>
      <c r="V257" s="424"/>
      <c r="W257" s="423"/>
      <c r="X257" s="424"/>
      <c r="Y257" s="423"/>
      <c r="Z257" s="424"/>
      <c r="AA257" s="423"/>
      <c r="AB257" s="424"/>
      <c r="AC257" s="425"/>
      <c r="AD257" s="424"/>
      <c r="AE257" s="423"/>
      <c r="AF257" s="424"/>
      <c r="AG257" s="423"/>
      <c r="AH257" s="424"/>
      <c r="AI257" s="423"/>
      <c r="AJ257" s="426"/>
      <c r="AK257" s="3372"/>
      <c r="AL257" s="424"/>
      <c r="AM257" s="423"/>
      <c r="AN257" s="426"/>
      <c r="AO257" s="3372"/>
      <c r="AP257" s="424"/>
      <c r="AQ257" s="423"/>
      <c r="AR257" s="426"/>
      <c r="AS257" s="3372"/>
      <c r="AT257" s="3412"/>
      <c r="AU257" s="3372"/>
      <c r="AV257" s="3412"/>
      <c r="AW257" s="423"/>
      <c r="AX257" s="424"/>
      <c r="AY257" s="3373" t="str">
        <f t="shared" si="313"/>
        <v/>
      </c>
      <c r="CA257" s="3413" t="str">
        <f t="shared" si="289"/>
        <v/>
      </c>
      <c r="CB257" s="418" t="str">
        <f t="shared" si="314"/>
        <v/>
      </c>
      <c r="CC257" s="418" t="str">
        <f t="shared" si="290"/>
        <v/>
      </c>
      <c r="CD257" s="417"/>
      <c r="CE257" s="417"/>
      <c r="CF257" s="417"/>
      <c r="CG257" s="417"/>
      <c r="CH257" s="417"/>
      <c r="CI257" s="418" t="str">
        <f t="shared" si="319"/>
        <v/>
      </c>
      <c r="CJ257" s="3366"/>
      <c r="CK257" s="418" t="str">
        <f t="shared" si="291"/>
        <v/>
      </c>
      <c r="CL257" s="418" t="str">
        <f t="shared" si="292"/>
        <v/>
      </c>
      <c r="CM257" s="418" t="str">
        <f t="shared" si="293"/>
        <v/>
      </c>
      <c r="CN257" s="418" t="str">
        <f t="shared" si="294"/>
        <v/>
      </c>
      <c r="CO257" s="418" t="str">
        <f t="shared" si="295"/>
        <v/>
      </c>
      <c r="CP257" s="418" t="str">
        <f t="shared" si="296"/>
        <v/>
      </c>
      <c r="CQ257" s="418" t="str">
        <f t="shared" si="297"/>
        <v/>
      </c>
      <c r="CR257" s="417"/>
      <c r="CS257" s="417"/>
      <c r="CT257" s="1708" t="str">
        <f t="shared" si="298"/>
        <v/>
      </c>
      <c r="CU257" s="1708" t="str">
        <f t="shared" si="299"/>
        <v/>
      </c>
      <c r="DF257" s="3415">
        <f t="shared" si="300"/>
        <v>0</v>
      </c>
      <c r="DG257" s="3389">
        <f t="shared" si="315"/>
        <v>0</v>
      </c>
      <c r="DH257" s="3389">
        <f t="shared" si="301"/>
        <v>0</v>
      </c>
      <c r="DI257" s="417"/>
      <c r="DJ257" s="417"/>
      <c r="DK257" s="417"/>
      <c r="DL257" s="417"/>
      <c r="DM257" s="417"/>
      <c r="DN257" s="3389">
        <f t="shared" si="302"/>
        <v>0</v>
      </c>
      <c r="DO257" s="3366"/>
      <c r="DP257" s="3389">
        <f t="shared" si="303"/>
        <v>0</v>
      </c>
      <c r="DQ257" s="3389">
        <f t="shared" si="304"/>
        <v>0</v>
      </c>
      <c r="DR257" s="3389">
        <f t="shared" si="305"/>
        <v>0</v>
      </c>
      <c r="DS257" s="3389">
        <f t="shared" si="306"/>
        <v>0</v>
      </c>
      <c r="DT257" s="3389">
        <f t="shared" si="320"/>
        <v>0</v>
      </c>
      <c r="DU257" s="3389">
        <f t="shared" si="307"/>
        <v>0</v>
      </c>
      <c r="DV257" s="3389">
        <f t="shared" si="308"/>
        <v>0</v>
      </c>
      <c r="DW257" s="417"/>
      <c r="DX257" s="417"/>
      <c r="DY257" s="3389">
        <f t="shared" si="309"/>
        <v>0</v>
      </c>
      <c r="DZ257" s="3389">
        <f t="shared" si="310"/>
        <v>0</v>
      </c>
      <c r="EA257" s="3416">
        <f t="shared" si="311"/>
        <v>0</v>
      </c>
      <c r="EB257" s="3416">
        <f t="shared" si="312"/>
        <v>0</v>
      </c>
    </row>
    <row r="258" spans="1:132" ht="15" customHeight="1">
      <c r="A258" s="6128"/>
      <c r="B258" s="1512" t="s">
        <v>2019</v>
      </c>
      <c r="C258" s="3469">
        <f t="shared" si="321"/>
        <v>0</v>
      </c>
      <c r="D258" s="3465">
        <f t="shared" si="321"/>
        <v>0</v>
      </c>
      <c r="E258" s="423"/>
      <c r="F258" s="424"/>
      <c r="G258" s="423"/>
      <c r="H258" s="424"/>
      <c r="I258" s="423"/>
      <c r="J258" s="424"/>
      <c r="K258" s="423"/>
      <c r="L258" s="424"/>
      <c r="M258" s="423"/>
      <c r="N258" s="424"/>
      <c r="O258" s="423"/>
      <c r="P258" s="424"/>
      <c r="Q258" s="425"/>
      <c r="R258" s="424"/>
      <c r="S258" s="425"/>
      <c r="T258" s="424"/>
      <c r="U258" s="425"/>
      <c r="V258" s="424"/>
      <c r="W258" s="423"/>
      <c r="X258" s="424"/>
      <c r="Y258" s="423"/>
      <c r="Z258" s="424"/>
      <c r="AA258" s="423"/>
      <c r="AB258" s="424"/>
      <c r="AC258" s="425"/>
      <c r="AD258" s="424"/>
      <c r="AE258" s="423"/>
      <c r="AF258" s="424"/>
      <c r="AG258" s="423"/>
      <c r="AH258" s="424"/>
      <c r="AI258" s="423"/>
      <c r="AJ258" s="426"/>
      <c r="AK258" s="3372"/>
      <c r="AL258" s="424"/>
      <c r="AM258" s="423"/>
      <c r="AN258" s="426"/>
      <c r="AO258" s="3372"/>
      <c r="AP258" s="424"/>
      <c r="AQ258" s="423"/>
      <c r="AR258" s="426"/>
      <c r="AS258" s="3372"/>
      <c r="AT258" s="3412"/>
      <c r="AU258" s="3372"/>
      <c r="AV258" s="3412"/>
      <c r="AW258" s="423"/>
      <c r="AX258" s="424"/>
      <c r="AY258" s="3373" t="str">
        <f t="shared" si="313"/>
        <v/>
      </c>
      <c r="CA258" s="3413" t="str">
        <f t="shared" si="289"/>
        <v/>
      </c>
      <c r="CB258" s="418" t="str">
        <f t="shared" si="314"/>
        <v/>
      </c>
      <c r="CC258" s="418" t="str">
        <f t="shared" si="290"/>
        <v/>
      </c>
      <c r="CD258" s="417"/>
      <c r="CE258" s="417"/>
      <c r="CF258" s="417"/>
      <c r="CG258" s="417"/>
      <c r="CH258" s="417"/>
      <c r="CI258" s="418" t="str">
        <f t="shared" si="319"/>
        <v/>
      </c>
      <c r="CJ258" s="3366"/>
      <c r="CK258" s="418" t="str">
        <f t="shared" si="291"/>
        <v/>
      </c>
      <c r="CL258" s="418" t="str">
        <f t="shared" si="292"/>
        <v/>
      </c>
      <c r="CM258" s="418" t="str">
        <f t="shared" si="293"/>
        <v/>
      </c>
      <c r="CN258" s="418" t="str">
        <f t="shared" si="294"/>
        <v/>
      </c>
      <c r="CO258" s="418" t="str">
        <f t="shared" si="295"/>
        <v/>
      </c>
      <c r="CP258" s="418" t="str">
        <f t="shared" si="296"/>
        <v/>
      </c>
      <c r="CQ258" s="418" t="str">
        <f t="shared" si="297"/>
        <v/>
      </c>
      <c r="CR258" s="417"/>
      <c r="CS258" s="417"/>
      <c r="CT258" s="1708" t="str">
        <f t="shared" si="298"/>
        <v/>
      </c>
      <c r="CU258" s="1708" t="str">
        <f t="shared" si="299"/>
        <v/>
      </c>
      <c r="DF258" s="3415">
        <f t="shared" si="300"/>
        <v>0</v>
      </c>
      <c r="DG258" s="3389">
        <f t="shared" si="315"/>
        <v>0</v>
      </c>
      <c r="DH258" s="3389">
        <f t="shared" si="301"/>
        <v>0</v>
      </c>
      <c r="DI258" s="417"/>
      <c r="DJ258" s="417"/>
      <c r="DK258" s="417"/>
      <c r="DL258" s="417"/>
      <c r="DM258" s="417"/>
      <c r="DN258" s="3389">
        <f t="shared" si="302"/>
        <v>0</v>
      </c>
      <c r="DO258" s="3366"/>
      <c r="DP258" s="3389">
        <f t="shared" si="303"/>
        <v>0</v>
      </c>
      <c r="DQ258" s="3389">
        <f t="shared" si="304"/>
        <v>0</v>
      </c>
      <c r="DR258" s="3389">
        <f t="shared" si="305"/>
        <v>0</v>
      </c>
      <c r="DS258" s="3389">
        <f t="shared" si="306"/>
        <v>0</v>
      </c>
      <c r="DT258" s="3389">
        <f t="shared" si="320"/>
        <v>0</v>
      </c>
      <c r="DU258" s="3389">
        <f t="shared" si="307"/>
        <v>0</v>
      </c>
      <c r="DV258" s="3389">
        <f t="shared" si="308"/>
        <v>0</v>
      </c>
      <c r="DW258" s="417"/>
      <c r="DX258" s="417"/>
      <c r="DY258" s="3389">
        <f t="shared" si="309"/>
        <v>0</v>
      </c>
      <c r="DZ258" s="3389">
        <f t="shared" si="310"/>
        <v>0</v>
      </c>
      <c r="EA258" s="3416">
        <f t="shared" si="311"/>
        <v>0</v>
      </c>
      <c r="EB258" s="3416">
        <f t="shared" si="312"/>
        <v>0</v>
      </c>
    </row>
    <row r="259" spans="1:132" ht="15" customHeight="1">
      <c r="A259" s="6129"/>
      <c r="B259" s="3477" t="s">
        <v>2020</v>
      </c>
      <c r="C259" s="3478">
        <f t="shared" si="321"/>
        <v>0</v>
      </c>
      <c r="D259" s="3479">
        <f t="shared" si="321"/>
        <v>0</v>
      </c>
      <c r="E259" s="3385"/>
      <c r="F259" s="433"/>
      <c r="G259" s="3385"/>
      <c r="H259" s="433"/>
      <c r="I259" s="3385"/>
      <c r="J259" s="433"/>
      <c r="K259" s="3385"/>
      <c r="L259" s="433"/>
      <c r="M259" s="3385"/>
      <c r="N259" s="433"/>
      <c r="O259" s="3385"/>
      <c r="P259" s="433"/>
      <c r="Q259" s="432"/>
      <c r="R259" s="433"/>
      <c r="S259" s="432"/>
      <c r="T259" s="433"/>
      <c r="U259" s="432"/>
      <c r="V259" s="433"/>
      <c r="W259" s="3385"/>
      <c r="X259" s="433"/>
      <c r="Y259" s="3385"/>
      <c r="Z259" s="433"/>
      <c r="AA259" s="3385"/>
      <c r="AB259" s="433"/>
      <c r="AC259" s="432"/>
      <c r="AD259" s="433"/>
      <c r="AE259" s="3385"/>
      <c r="AF259" s="433"/>
      <c r="AG259" s="3385"/>
      <c r="AH259" s="433"/>
      <c r="AI259" s="3385"/>
      <c r="AJ259" s="445"/>
      <c r="AK259" s="3386"/>
      <c r="AL259" s="433"/>
      <c r="AM259" s="3385"/>
      <c r="AN259" s="445"/>
      <c r="AO259" s="3386"/>
      <c r="AP259" s="433"/>
      <c r="AQ259" s="3385"/>
      <c r="AR259" s="445"/>
      <c r="AS259" s="3386"/>
      <c r="AT259" s="3425"/>
      <c r="AU259" s="3386"/>
      <c r="AV259" s="3425"/>
      <c r="AW259" s="3385"/>
      <c r="AX259" s="433"/>
      <c r="AY259" s="3373" t="str">
        <f t="shared" si="313"/>
        <v/>
      </c>
      <c r="CA259" s="3413" t="str">
        <f t="shared" si="289"/>
        <v/>
      </c>
      <c r="CB259" s="418" t="str">
        <f t="shared" si="314"/>
        <v/>
      </c>
      <c r="CC259" s="418" t="str">
        <f t="shared" si="290"/>
        <v/>
      </c>
      <c r="CD259" s="417"/>
      <c r="CE259" s="417"/>
      <c r="CF259" s="417"/>
      <c r="CG259" s="417"/>
      <c r="CH259" s="417"/>
      <c r="CI259" s="418" t="str">
        <f t="shared" si="319"/>
        <v/>
      </c>
      <c r="CJ259" s="3366"/>
      <c r="CK259" s="418" t="str">
        <f t="shared" si="291"/>
        <v/>
      </c>
      <c r="CL259" s="418" t="str">
        <f t="shared" si="292"/>
        <v/>
      </c>
      <c r="CM259" s="418" t="str">
        <f t="shared" si="293"/>
        <v/>
      </c>
      <c r="CN259" s="418" t="str">
        <f t="shared" si="294"/>
        <v/>
      </c>
      <c r="CO259" s="418" t="str">
        <f t="shared" si="295"/>
        <v/>
      </c>
      <c r="CP259" s="418" t="str">
        <f t="shared" si="296"/>
        <v/>
      </c>
      <c r="CQ259" s="418" t="str">
        <f t="shared" si="297"/>
        <v/>
      </c>
      <c r="CR259" s="417"/>
      <c r="CS259" s="417"/>
      <c r="CT259" s="1708" t="str">
        <f t="shared" si="298"/>
        <v/>
      </c>
      <c r="CU259" s="1708" t="str">
        <f t="shared" si="299"/>
        <v/>
      </c>
      <c r="DF259" s="3415">
        <f t="shared" si="300"/>
        <v>0</v>
      </c>
      <c r="DG259" s="3389">
        <f t="shared" si="315"/>
        <v>0</v>
      </c>
      <c r="DH259" s="3389">
        <f t="shared" si="301"/>
        <v>0</v>
      </c>
      <c r="DI259" s="417"/>
      <c r="DJ259" s="417"/>
      <c r="DK259" s="417"/>
      <c r="DL259" s="417"/>
      <c r="DM259" s="417"/>
      <c r="DN259" s="3389">
        <f t="shared" si="302"/>
        <v>0</v>
      </c>
      <c r="DO259" s="3366"/>
      <c r="DP259" s="3389">
        <f t="shared" si="303"/>
        <v>0</v>
      </c>
      <c r="DQ259" s="3389">
        <f t="shared" si="304"/>
        <v>0</v>
      </c>
      <c r="DR259" s="3389">
        <f t="shared" si="305"/>
        <v>0</v>
      </c>
      <c r="DS259" s="3389">
        <f t="shared" si="306"/>
        <v>0</v>
      </c>
      <c r="DT259" s="3389">
        <f t="shared" si="320"/>
        <v>0</v>
      </c>
      <c r="DU259" s="3389">
        <f t="shared" si="307"/>
        <v>0</v>
      </c>
      <c r="DV259" s="3389">
        <f t="shared" si="308"/>
        <v>0</v>
      </c>
      <c r="DW259" s="417"/>
      <c r="DX259" s="417"/>
      <c r="DY259" s="3389">
        <f t="shared" si="309"/>
        <v>0</v>
      </c>
      <c r="DZ259" s="3389">
        <f t="shared" si="310"/>
        <v>0</v>
      </c>
      <c r="EA259" s="3416">
        <f t="shared" si="311"/>
        <v>0</v>
      </c>
      <c r="EB259" s="3416">
        <f t="shared" si="312"/>
        <v>0</v>
      </c>
    </row>
    <row r="260" spans="1:132" ht="18" customHeight="1">
      <c r="A260" s="5717" t="s">
        <v>2021</v>
      </c>
      <c r="B260" s="5717"/>
      <c r="C260" s="5717"/>
      <c r="D260" s="5717"/>
      <c r="E260" s="5717"/>
      <c r="F260" s="5717"/>
      <c r="G260" s="5717"/>
      <c r="H260" s="5717"/>
      <c r="I260" s="5717"/>
      <c r="J260" s="5717"/>
      <c r="K260" s="5717"/>
      <c r="L260" s="5717"/>
      <c r="M260" s="5717"/>
      <c r="N260" s="5717"/>
      <c r="O260" s="5717"/>
      <c r="P260" s="5717"/>
      <c r="Q260" s="5717"/>
      <c r="R260" s="5717"/>
      <c r="S260" s="5717"/>
      <c r="T260" s="5717"/>
      <c r="U260" s="5717"/>
      <c r="V260" s="5717"/>
      <c r="W260" s="5717"/>
      <c r="X260" s="5717"/>
      <c r="Y260" s="5717"/>
      <c r="Z260" s="5717"/>
      <c r="AA260" s="5717"/>
      <c r="AB260" s="5717"/>
      <c r="AC260" s="3366"/>
      <c r="AD260" s="3366"/>
    </row>
    <row r="261" spans="1:132">
      <c r="A261" s="6722" t="s">
        <v>725</v>
      </c>
      <c r="B261" s="6068" t="s">
        <v>91</v>
      </c>
      <c r="C261" s="6069"/>
      <c r="D261" s="6070"/>
      <c r="E261" s="6727" t="s">
        <v>115</v>
      </c>
      <c r="F261" s="6370"/>
      <c r="G261" s="6370"/>
      <c r="H261" s="6370"/>
      <c r="I261" s="6370"/>
      <c r="J261" s="6370"/>
      <c r="K261" s="6370"/>
      <c r="L261" s="6370"/>
      <c r="M261" s="6370"/>
      <c r="N261" s="6370"/>
      <c r="O261" s="6370"/>
      <c r="P261" s="6370"/>
      <c r="Q261" s="6370"/>
      <c r="R261" s="6370"/>
      <c r="S261" s="6370"/>
      <c r="T261" s="6370"/>
      <c r="U261" s="6370"/>
      <c r="V261" s="6370"/>
      <c r="W261" s="6370"/>
      <c r="X261" s="6370"/>
      <c r="Y261" s="6370"/>
      <c r="Z261" s="6370"/>
      <c r="AA261" s="6370"/>
      <c r="AB261" s="6728"/>
      <c r="AC261" s="6717" t="s">
        <v>50</v>
      </c>
      <c r="AD261" s="6070" t="s">
        <v>51</v>
      </c>
    </row>
    <row r="262" spans="1:132" ht="15" customHeight="1">
      <c r="A262" s="6723"/>
      <c r="B262" s="6071"/>
      <c r="C262" s="6072"/>
      <c r="D262" s="6073"/>
      <c r="E262" s="6049" t="s">
        <v>1236</v>
      </c>
      <c r="F262" s="6059"/>
      <c r="G262" s="6049" t="s">
        <v>59</v>
      </c>
      <c r="H262" s="6059"/>
      <c r="I262" s="6049" t="s">
        <v>60</v>
      </c>
      <c r="J262" s="6059"/>
      <c r="K262" s="6049" t="s">
        <v>61</v>
      </c>
      <c r="L262" s="6059"/>
      <c r="M262" s="6049" t="s">
        <v>62</v>
      </c>
      <c r="N262" s="6059"/>
      <c r="O262" s="6049" t="s">
        <v>63</v>
      </c>
      <c r="P262" s="6059"/>
      <c r="Q262" s="6049" t="s">
        <v>64</v>
      </c>
      <c r="R262" s="6059"/>
      <c r="S262" s="6049" t="s">
        <v>65</v>
      </c>
      <c r="T262" s="6059"/>
      <c r="U262" s="6049" t="s">
        <v>2022</v>
      </c>
      <c r="V262" s="6059"/>
      <c r="W262" s="6049" t="s">
        <v>1650</v>
      </c>
      <c r="X262" s="6059"/>
      <c r="Y262" s="6049" t="s">
        <v>329</v>
      </c>
      <c r="Z262" s="6059"/>
      <c r="AA262" s="6049" t="s">
        <v>765</v>
      </c>
      <c r="AB262" s="6726"/>
      <c r="AC262" s="6718"/>
      <c r="AD262" s="6073"/>
    </row>
    <row r="263" spans="1:132">
      <c r="A263" s="6724"/>
      <c r="B263" s="3480" t="s">
        <v>410</v>
      </c>
      <c r="C263" s="1396" t="s">
        <v>72</v>
      </c>
      <c r="D263" s="393" t="s">
        <v>73</v>
      </c>
      <c r="E263" s="1395" t="s">
        <v>72</v>
      </c>
      <c r="F263" s="393" t="s">
        <v>73</v>
      </c>
      <c r="G263" s="1395" t="s">
        <v>72</v>
      </c>
      <c r="H263" s="393" t="s">
        <v>73</v>
      </c>
      <c r="I263" s="1395" t="s">
        <v>72</v>
      </c>
      <c r="J263" s="393" t="s">
        <v>73</v>
      </c>
      <c r="K263" s="1395" t="s">
        <v>72</v>
      </c>
      <c r="L263" s="393" t="s">
        <v>73</v>
      </c>
      <c r="M263" s="1395" t="s">
        <v>72</v>
      </c>
      <c r="N263" s="393" t="s">
        <v>73</v>
      </c>
      <c r="O263" s="1395" t="s">
        <v>72</v>
      </c>
      <c r="P263" s="393" t="s">
        <v>73</v>
      </c>
      <c r="Q263" s="1395" t="s">
        <v>72</v>
      </c>
      <c r="R263" s="393" t="s">
        <v>73</v>
      </c>
      <c r="S263" s="1395" t="s">
        <v>72</v>
      </c>
      <c r="T263" s="393" t="s">
        <v>73</v>
      </c>
      <c r="U263" s="1395" t="s">
        <v>72</v>
      </c>
      <c r="V263" s="393" t="s">
        <v>73</v>
      </c>
      <c r="W263" s="1395" t="s">
        <v>72</v>
      </c>
      <c r="X263" s="393" t="s">
        <v>73</v>
      </c>
      <c r="Y263" s="1395" t="s">
        <v>72</v>
      </c>
      <c r="Z263" s="393" t="s">
        <v>73</v>
      </c>
      <c r="AA263" s="1395" t="s">
        <v>72</v>
      </c>
      <c r="AB263" s="1398" t="s">
        <v>73</v>
      </c>
      <c r="AC263" s="6719"/>
      <c r="AD263" s="6076"/>
    </row>
    <row r="264" spans="1:132" ht="22.5">
      <c r="A264" s="2540" t="s">
        <v>2023</v>
      </c>
      <c r="B264" s="1988">
        <f t="shared" ref="B264:B272" si="322">SUM(C264:D264)</f>
        <v>0</v>
      </c>
      <c r="C264" s="1980">
        <f t="shared" ref="C264:C265" si="323">+E264+G264+I264+K264+M264+O264+Q264+S264+U264+W264+Y264+AA264</f>
        <v>0</v>
      </c>
      <c r="D264" s="3481">
        <f t="shared" ref="D264:D265" si="324">+F264+H264+J264+L264+N264+P264+R264+T264+V264+X264+Z264+AB264</f>
        <v>0</v>
      </c>
      <c r="E264" s="1440"/>
      <c r="F264" s="1441"/>
      <c r="G264" s="1440"/>
      <c r="H264" s="1441"/>
      <c r="I264" s="1440"/>
      <c r="J264" s="1441"/>
      <c r="K264" s="1440"/>
      <c r="L264" s="1441"/>
      <c r="M264" s="1440"/>
      <c r="N264" s="1441"/>
      <c r="O264" s="1440"/>
      <c r="P264" s="1441"/>
      <c r="Q264" s="1440"/>
      <c r="R264" s="1441"/>
      <c r="S264" s="1440"/>
      <c r="T264" s="1441"/>
      <c r="U264" s="1440"/>
      <c r="V264" s="1441"/>
      <c r="W264" s="1440"/>
      <c r="X264" s="1441"/>
      <c r="Y264" s="1440"/>
      <c r="Z264" s="1441"/>
      <c r="AA264" s="1440"/>
      <c r="AB264" s="1444"/>
      <c r="AC264" s="1651"/>
      <c r="AD264" s="1545"/>
      <c r="AE264" s="417" t="str">
        <f t="shared" ref="AE264:AE265" si="325">$CA264&amp;CB264</f>
        <v/>
      </c>
      <c r="CA264" s="3413" t="str">
        <f t="shared" ref="CA264:CA265" si="326">IF(AND(B264&gt;0,AC264="")," * No olvide digitar la variable Pueblos originarios. Digite Cero si no tiene.",IF(AC264&gt;B264," * La variable Pueblos originarios No puede ser mayor al Total Ambos Sexos.",""))</f>
        <v/>
      </c>
      <c r="CB264" s="3413" t="str">
        <f t="shared" ref="CB264:CB265" si="327">IF(AND(B264&gt;0,AD264="")," * No olvide digitar la variable Migrantes. Digite Cero si no tiene.",IF(AD264&gt;B264," * La variable Migrantes No puede ser mayor al Total Ambos Sexos.",""))</f>
        <v/>
      </c>
      <c r="CC264" s="417"/>
      <c r="CD264" s="417"/>
      <c r="DF264" s="419">
        <f t="shared" ref="DF264:DF265" si="328">IF(AND(B264&gt;0,AC264=""),1,IF(AC264&gt;B264,1,0))</f>
        <v>0</v>
      </c>
      <c r="DG264" s="419">
        <f t="shared" ref="DG264:DG265" si="329">IF(AND(B264&gt;0,AD264=""),1,IF(AD264&gt;B264,1,0))</f>
        <v>0</v>
      </c>
    </row>
    <row r="265" spans="1:132" ht="22.5">
      <c r="A265" s="2546" t="s">
        <v>2024</v>
      </c>
      <c r="B265" s="3482">
        <f t="shared" si="322"/>
        <v>0</v>
      </c>
      <c r="C265" s="3483">
        <f t="shared" si="323"/>
        <v>0</v>
      </c>
      <c r="D265" s="3484">
        <f t="shared" si="324"/>
        <v>0</v>
      </c>
      <c r="E265" s="1455"/>
      <c r="F265" s="1467"/>
      <c r="G265" s="1455"/>
      <c r="H265" s="1467"/>
      <c r="I265" s="1455"/>
      <c r="J265" s="1467"/>
      <c r="K265" s="1455"/>
      <c r="L265" s="1467"/>
      <c r="M265" s="1455"/>
      <c r="N265" s="1467"/>
      <c r="O265" s="1455"/>
      <c r="P265" s="1467"/>
      <c r="Q265" s="1455"/>
      <c r="R265" s="1467"/>
      <c r="S265" s="1455"/>
      <c r="T265" s="1467"/>
      <c r="U265" s="1455"/>
      <c r="V265" s="1467"/>
      <c r="W265" s="1455"/>
      <c r="X265" s="1467"/>
      <c r="Y265" s="1455"/>
      <c r="Z265" s="1467"/>
      <c r="AA265" s="1455"/>
      <c r="AB265" s="1459"/>
      <c r="AC265" s="1661"/>
      <c r="AD265" s="1467"/>
      <c r="AE265" s="417" t="str">
        <f t="shared" si="325"/>
        <v/>
      </c>
      <c r="CA265" s="3413" t="str">
        <f t="shared" si="326"/>
        <v/>
      </c>
      <c r="CB265" s="3413" t="str">
        <f t="shared" si="327"/>
        <v/>
      </c>
      <c r="CC265" s="417"/>
      <c r="CD265" s="417"/>
      <c r="DF265" s="419">
        <f t="shared" si="328"/>
        <v>0</v>
      </c>
      <c r="DG265" s="419">
        <f t="shared" si="329"/>
        <v>0</v>
      </c>
    </row>
    <row r="266" spans="1:132" ht="18" customHeight="1">
      <c r="A266" s="5713" t="s">
        <v>2025</v>
      </c>
      <c r="B266" s="5713"/>
      <c r="C266" s="5713"/>
      <c r="D266" s="5713"/>
      <c r="E266" s="5713"/>
      <c r="F266" s="5713"/>
      <c r="G266" s="5713"/>
      <c r="H266" s="5713"/>
      <c r="I266" s="5713"/>
      <c r="J266" s="5713"/>
      <c r="K266" s="5713"/>
      <c r="L266" s="5713"/>
      <c r="M266" s="5713"/>
      <c r="N266" s="5713"/>
      <c r="O266" s="5713"/>
      <c r="P266" s="5713"/>
      <c r="Q266" s="5713"/>
      <c r="R266" s="5713"/>
      <c r="S266" s="5713"/>
      <c r="T266" s="5713"/>
      <c r="U266" s="5713"/>
      <c r="V266" s="5713"/>
      <c r="W266" s="5713"/>
      <c r="X266" s="5713"/>
      <c r="Y266" s="5713"/>
      <c r="Z266" s="5713"/>
      <c r="AA266" s="5713"/>
      <c r="AB266" s="5713"/>
      <c r="AC266" s="5713"/>
      <c r="AD266" s="5713"/>
      <c r="AE266" s="5713"/>
      <c r="AF266" s="5713"/>
      <c r="AG266" s="5713"/>
      <c r="AH266" s="5713"/>
      <c r="AI266" s="5713"/>
      <c r="AJ266" s="5713"/>
      <c r="AK266" s="3366"/>
      <c r="AL266" s="3366"/>
    </row>
    <row r="267" spans="1:132">
      <c r="A267" s="6722" t="s">
        <v>725</v>
      </c>
      <c r="B267" s="6068" t="s">
        <v>91</v>
      </c>
      <c r="C267" s="6069"/>
      <c r="D267" s="6070"/>
      <c r="E267" s="6492" t="s">
        <v>115</v>
      </c>
      <c r="F267" s="6492"/>
      <c r="G267" s="6492"/>
      <c r="H267" s="6492"/>
      <c r="I267" s="6492"/>
      <c r="J267" s="6492"/>
      <c r="K267" s="6492"/>
      <c r="L267" s="6492"/>
      <c r="M267" s="6492"/>
      <c r="N267" s="6492"/>
      <c r="O267" s="6492"/>
      <c r="P267" s="6492"/>
      <c r="Q267" s="6492"/>
      <c r="R267" s="6492"/>
      <c r="S267" s="6492"/>
      <c r="T267" s="6492"/>
      <c r="U267" s="6492"/>
      <c r="V267" s="6492"/>
      <c r="W267" s="6492"/>
      <c r="X267" s="6492"/>
      <c r="Y267" s="6492"/>
      <c r="Z267" s="6492"/>
      <c r="AA267" s="6492"/>
      <c r="AB267" s="6492"/>
      <c r="AC267" s="6492"/>
      <c r="AD267" s="6492"/>
      <c r="AE267" s="6492"/>
      <c r="AF267" s="6492"/>
      <c r="AG267" s="6492"/>
      <c r="AH267" s="6492"/>
      <c r="AI267" s="6492"/>
      <c r="AJ267" s="6725"/>
      <c r="AK267" s="6717" t="s">
        <v>50</v>
      </c>
      <c r="AL267" s="6070" t="s">
        <v>51</v>
      </c>
    </row>
    <row r="268" spans="1:132" ht="15" customHeight="1">
      <c r="A268" s="6723"/>
      <c r="B268" s="6071"/>
      <c r="C268" s="6072"/>
      <c r="D268" s="6073"/>
      <c r="E268" s="6049" t="s">
        <v>495</v>
      </c>
      <c r="F268" s="6059"/>
      <c r="G268" s="6720" t="s">
        <v>2026</v>
      </c>
      <c r="H268" s="6721"/>
      <c r="I268" s="6720" t="s">
        <v>2027</v>
      </c>
      <c r="J268" s="6721"/>
      <c r="K268" s="6720" t="s">
        <v>324</v>
      </c>
      <c r="L268" s="6721"/>
      <c r="M268" s="6049" t="s">
        <v>58</v>
      </c>
      <c r="N268" s="6059"/>
      <c r="O268" s="6049" t="s">
        <v>59</v>
      </c>
      <c r="P268" s="6059"/>
      <c r="Q268" s="6049" t="s">
        <v>60</v>
      </c>
      <c r="R268" s="6059"/>
      <c r="S268" s="6049" t="s">
        <v>61</v>
      </c>
      <c r="T268" s="6059"/>
      <c r="U268" s="6049" t="s">
        <v>62</v>
      </c>
      <c r="V268" s="6059"/>
      <c r="W268" s="6049" t="s">
        <v>63</v>
      </c>
      <c r="X268" s="6059"/>
      <c r="Y268" s="6049" t="s">
        <v>64</v>
      </c>
      <c r="Z268" s="6059"/>
      <c r="AA268" s="6049" t="s">
        <v>65</v>
      </c>
      <c r="AB268" s="6059"/>
      <c r="AC268" s="6049" t="s">
        <v>2022</v>
      </c>
      <c r="AD268" s="6059"/>
      <c r="AE268" s="6049" t="s">
        <v>1650</v>
      </c>
      <c r="AF268" s="6059"/>
      <c r="AG268" s="6049" t="s">
        <v>329</v>
      </c>
      <c r="AH268" s="6059"/>
      <c r="AI268" s="6049" t="s">
        <v>765</v>
      </c>
      <c r="AJ268" s="6726"/>
      <c r="AK268" s="6718"/>
      <c r="AL268" s="6073"/>
    </row>
    <row r="269" spans="1:132">
      <c r="A269" s="6724"/>
      <c r="B269" s="3480" t="s">
        <v>410</v>
      </c>
      <c r="C269" s="1396" t="s">
        <v>72</v>
      </c>
      <c r="D269" s="393" t="s">
        <v>73</v>
      </c>
      <c r="E269" s="1395" t="s">
        <v>72</v>
      </c>
      <c r="F269" s="393" t="s">
        <v>73</v>
      </c>
      <c r="G269" s="1395" t="s">
        <v>72</v>
      </c>
      <c r="H269" s="393" t="s">
        <v>73</v>
      </c>
      <c r="I269" s="1395" t="s">
        <v>72</v>
      </c>
      <c r="J269" s="393" t="s">
        <v>73</v>
      </c>
      <c r="K269" s="1395" t="s">
        <v>72</v>
      </c>
      <c r="L269" s="393" t="s">
        <v>73</v>
      </c>
      <c r="M269" s="1395" t="s">
        <v>72</v>
      </c>
      <c r="N269" s="393" t="s">
        <v>73</v>
      </c>
      <c r="O269" s="1395" t="s">
        <v>72</v>
      </c>
      <c r="P269" s="393" t="s">
        <v>73</v>
      </c>
      <c r="Q269" s="1395" t="s">
        <v>72</v>
      </c>
      <c r="R269" s="393" t="s">
        <v>73</v>
      </c>
      <c r="S269" s="1395" t="s">
        <v>72</v>
      </c>
      <c r="T269" s="393" t="s">
        <v>73</v>
      </c>
      <c r="U269" s="1395" t="s">
        <v>72</v>
      </c>
      <c r="V269" s="393" t="s">
        <v>73</v>
      </c>
      <c r="W269" s="1395" t="s">
        <v>72</v>
      </c>
      <c r="X269" s="393" t="s">
        <v>73</v>
      </c>
      <c r="Y269" s="1395" t="s">
        <v>72</v>
      </c>
      <c r="Z269" s="393" t="s">
        <v>73</v>
      </c>
      <c r="AA269" s="1395" t="s">
        <v>72</v>
      </c>
      <c r="AB269" s="393" t="s">
        <v>73</v>
      </c>
      <c r="AC269" s="1395" t="s">
        <v>72</v>
      </c>
      <c r="AD269" s="393" t="s">
        <v>73</v>
      </c>
      <c r="AE269" s="1395" t="s">
        <v>72</v>
      </c>
      <c r="AF269" s="393" t="s">
        <v>73</v>
      </c>
      <c r="AG269" s="1395" t="s">
        <v>72</v>
      </c>
      <c r="AH269" s="393" t="s">
        <v>73</v>
      </c>
      <c r="AI269" s="1395" t="s">
        <v>72</v>
      </c>
      <c r="AJ269" s="394" t="s">
        <v>73</v>
      </c>
      <c r="AK269" s="6719"/>
      <c r="AL269" s="6076"/>
    </row>
    <row r="270" spans="1:132" ht="22.5">
      <c r="A270" s="2540" t="s">
        <v>2028</v>
      </c>
      <c r="B270" s="1734">
        <f t="shared" si="322"/>
        <v>0</v>
      </c>
      <c r="C270" s="3485">
        <f>+E270+G270+I270+K270+M270+O270+Q270+S270+U270+W270+Y270+AA270+AC270+AE270+AG270+AI270</f>
        <v>0</v>
      </c>
      <c r="D270" s="3481">
        <f t="shared" ref="C270:D272" si="330">+F270+H270+J270+L270+N270+P270+R270+T270+V270+X270+Z270+AB270+AD270+AF270+AH270+AJ270</f>
        <v>0</v>
      </c>
      <c r="E270" s="1440"/>
      <c r="F270" s="1680"/>
      <c r="G270" s="1440"/>
      <c r="H270" s="1680"/>
      <c r="I270" s="1440"/>
      <c r="J270" s="1680"/>
      <c r="K270" s="1440"/>
      <c r="L270" s="1680"/>
      <c r="M270" s="1440"/>
      <c r="N270" s="1680"/>
      <c r="O270" s="1440"/>
      <c r="P270" s="1680"/>
      <c r="Q270" s="1440"/>
      <c r="R270" s="1680"/>
      <c r="S270" s="1440"/>
      <c r="T270" s="1680"/>
      <c r="U270" s="1440"/>
      <c r="V270" s="1680"/>
      <c r="W270" s="1440"/>
      <c r="X270" s="1680"/>
      <c r="Y270" s="1440"/>
      <c r="Z270" s="1680"/>
      <c r="AA270" s="1440"/>
      <c r="AB270" s="1680"/>
      <c r="AC270" s="1440"/>
      <c r="AD270" s="1680"/>
      <c r="AE270" s="1440"/>
      <c r="AF270" s="1680"/>
      <c r="AG270" s="1440"/>
      <c r="AH270" s="1680"/>
      <c r="AI270" s="1440"/>
      <c r="AJ270" s="1444"/>
      <c r="AK270" s="1651"/>
      <c r="AL270" s="1452"/>
      <c r="CA270" s="3381"/>
      <c r="DF270" s="3380"/>
      <c r="DG270" s="3380"/>
    </row>
    <row r="271" spans="1:132" ht="22.5">
      <c r="A271" s="3486" t="s">
        <v>2029</v>
      </c>
      <c r="B271" s="3487">
        <f t="shared" si="322"/>
        <v>0</v>
      </c>
      <c r="C271" s="3488">
        <f t="shared" si="330"/>
        <v>0</v>
      </c>
      <c r="D271" s="1739">
        <f t="shared" si="330"/>
        <v>0</v>
      </c>
      <c r="E271" s="1440"/>
      <c r="F271" s="1680"/>
      <c r="G271" s="1440"/>
      <c r="H271" s="1680"/>
      <c r="I271" s="1440"/>
      <c r="J271" s="1680"/>
      <c r="K271" s="1440"/>
      <c r="L271" s="1680"/>
      <c r="M271" s="1440"/>
      <c r="N271" s="1680"/>
      <c r="O271" s="1440"/>
      <c r="P271" s="1680"/>
      <c r="Q271" s="1440"/>
      <c r="R271" s="1680"/>
      <c r="S271" s="1440"/>
      <c r="T271" s="1680"/>
      <c r="U271" s="1440"/>
      <c r="V271" s="1680"/>
      <c r="W271" s="1440"/>
      <c r="X271" s="1680"/>
      <c r="Y271" s="1440"/>
      <c r="Z271" s="1680"/>
      <c r="AA271" s="1440"/>
      <c r="AB271" s="1680"/>
      <c r="AC271" s="1440"/>
      <c r="AD271" s="1680"/>
      <c r="AE271" s="1440"/>
      <c r="AF271" s="1680"/>
      <c r="AG271" s="1440"/>
      <c r="AH271" s="1680"/>
      <c r="AI271" s="1440"/>
      <c r="AJ271" s="1444"/>
      <c r="AK271" s="1656"/>
      <c r="AL271" s="1452"/>
      <c r="AM271" s="417" t="str">
        <f t="shared" ref="AM271:AM272" si="331">$CA271&amp;$CB271</f>
        <v/>
      </c>
      <c r="CA271" s="3413" t="str">
        <f t="shared" ref="CA271:CA272" si="332">IF(AND(B271&gt;0,AK271="")," * No olvide digitar la variable pueblos originarios. Digite Cero si no tiene.",IF(AK271&gt;B271," * La variable Pueblos originarios No puede ser mayor al Total Ambos Sexos.",""))</f>
        <v/>
      </c>
      <c r="CB271" s="3413" t="str">
        <f t="shared" ref="CB271:CB272" si="333">IF(AND(B271&gt;0,AL271="")," * No olvide digitar la variable Migrantes. Digite Cero si no tiene.",IF(AL271&gt;B271," * La variable Migrantes No puede ser mayor al Total Ambos Sexos.",""))</f>
        <v/>
      </c>
      <c r="CI271" s="417"/>
      <c r="CJ271" s="417"/>
      <c r="CK271" s="417"/>
      <c r="DF271" s="419">
        <f t="shared" ref="DF271:DF272" si="334">IF(AND(B271&gt;0,AK271=""),1,IF(AK271&gt;B271,1,0))</f>
        <v>0</v>
      </c>
      <c r="DG271" s="419">
        <f t="shared" ref="DG271:DG272" si="335">IF(AND(B271&gt;0,AL271=""),1,IF(AL271&gt;B271,1,0))</f>
        <v>0</v>
      </c>
    </row>
    <row r="272" spans="1:132" ht="22.5">
      <c r="A272" s="3489" t="s">
        <v>2030</v>
      </c>
      <c r="B272" s="3490">
        <f t="shared" si="322"/>
        <v>0</v>
      </c>
      <c r="C272" s="3491">
        <f t="shared" si="330"/>
        <v>0</v>
      </c>
      <c r="D272" s="1757">
        <f t="shared" si="330"/>
        <v>0</v>
      </c>
      <c r="E272" s="1528"/>
      <c r="F272" s="1801"/>
      <c r="G272" s="1528"/>
      <c r="H272" s="1801"/>
      <c r="I272" s="1528"/>
      <c r="J272" s="1801"/>
      <c r="K272" s="1528"/>
      <c r="L272" s="1801"/>
      <c r="M272" s="1528"/>
      <c r="N272" s="1801"/>
      <c r="O272" s="1528"/>
      <c r="P272" s="1801"/>
      <c r="Q272" s="1528"/>
      <c r="R272" s="1801"/>
      <c r="S272" s="1528"/>
      <c r="T272" s="1801"/>
      <c r="U272" s="1528"/>
      <c r="V272" s="1801"/>
      <c r="W272" s="1528"/>
      <c r="X272" s="1801"/>
      <c r="Y272" s="1528"/>
      <c r="Z272" s="1801"/>
      <c r="AA272" s="1528"/>
      <c r="AB272" s="1801"/>
      <c r="AC272" s="1528"/>
      <c r="AD272" s="1801"/>
      <c r="AE272" s="1528"/>
      <c r="AF272" s="1801"/>
      <c r="AG272" s="1528"/>
      <c r="AH272" s="1801"/>
      <c r="AI272" s="1528"/>
      <c r="AJ272" s="1553"/>
      <c r="AK272" s="3492"/>
      <c r="AL272" s="1534"/>
      <c r="AM272" s="417" t="str">
        <f t="shared" si="331"/>
        <v/>
      </c>
      <c r="CA272" s="3413" t="str">
        <f t="shared" si="332"/>
        <v/>
      </c>
      <c r="CB272" s="3413" t="str">
        <f t="shared" si="333"/>
        <v/>
      </c>
      <c r="DF272" s="419">
        <f t="shared" si="334"/>
        <v>0</v>
      </c>
      <c r="DG272" s="419">
        <f t="shared" si="335"/>
        <v>0</v>
      </c>
    </row>
    <row r="311" spans="1:2" hidden="1">
      <c r="A311" s="460">
        <f>SUM(B13:C30,B35:C52,B57:C74,B79:C96,B101:C118,B123:C140,C144:P148,C152:P156,C161:D183,C188:D210,B215:C221,B226:C232,C237:D259,B264:D265,B270:D272)</f>
        <v>0</v>
      </c>
      <c r="B311" s="460">
        <f>SUM(DF13:EC272)</f>
        <v>0</v>
      </c>
    </row>
  </sheetData>
  <sheetProtection algorithmName="SHA-512" hashValue="Y7l/w4nDD3TgDuwFATynYzDzQ75PSQkMYnZoDdZCL0YKdUmiQ75Dd/7c63Wnq2WOXfX0jHZydCBMrLfHXYfyQQ==" saltValue="/FkAxzojoh3HoPbnKZ4O5w==" spinCount="100000" sheet="1" objects="1" scenarios="1"/>
  <mergeCells count="421">
    <mergeCell ref="A6:P6"/>
    <mergeCell ref="A10:A12"/>
    <mergeCell ref="B10:C11"/>
    <mergeCell ref="D10:AQ10"/>
    <mergeCell ref="AR10:AS10"/>
    <mergeCell ref="AT10:AU11"/>
    <mergeCell ref="T11:U11"/>
    <mergeCell ref="V11:W11"/>
    <mergeCell ref="X11:Y11"/>
    <mergeCell ref="Z11:AA11"/>
    <mergeCell ref="AV10:AV12"/>
    <mergeCell ref="AW10:AW12"/>
    <mergeCell ref="D11:E11"/>
    <mergeCell ref="F11:G11"/>
    <mergeCell ref="H11:I11"/>
    <mergeCell ref="J11:K11"/>
    <mergeCell ref="L11:M11"/>
    <mergeCell ref="N11:O11"/>
    <mergeCell ref="P11:Q11"/>
    <mergeCell ref="R11:S11"/>
    <mergeCell ref="AN11:AO11"/>
    <mergeCell ref="AP11:AQ11"/>
    <mergeCell ref="AR11:AR12"/>
    <mergeCell ref="AS11:AS12"/>
    <mergeCell ref="A32:A34"/>
    <mergeCell ref="B32:C33"/>
    <mergeCell ref="D32:AQ32"/>
    <mergeCell ref="AR32:AS32"/>
    <mergeCell ref="R33:S33"/>
    <mergeCell ref="T33:U33"/>
    <mergeCell ref="AB11:AC11"/>
    <mergeCell ref="AD11:AE11"/>
    <mergeCell ref="AF11:AG11"/>
    <mergeCell ref="AH11:AI11"/>
    <mergeCell ref="AJ11:AK11"/>
    <mergeCell ref="AL11:AM11"/>
    <mergeCell ref="AV32:AV34"/>
    <mergeCell ref="AW32:AW34"/>
    <mergeCell ref="D33:E33"/>
    <mergeCell ref="F33:G33"/>
    <mergeCell ref="H33:I33"/>
    <mergeCell ref="J33:K33"/>
    <mergeCell ref="L33:M33"/>
    <mergeCell ref="N33:O33"/>
    <mergeCell ref="P33:Q33"/>
    <mergeCell ref="AS33:AS34"/>
    <mergeCell ref="AH33:AI33"/>
    <mergeCell ref="AJ33:AK33"/>
    <mergeCell ref="AL33:AM33"/>
    <mergeCell ref="AN33:AO33"/>
    <mergeCell ref="AP33:AQ33"/>
    <mergeCell ref="AR33:AR34"/>
    <mergeCell ref="V33:W33"/>
    <mergeCell ref="X33:Y33"/>
    <mergeCell ref="Z33:AA33"/>
    <mergeCell ref="AB33:AC33"/>
    <mergeCell ref="AD33:AE33"/>
    <mergeCell ref="AF33:AG33"/>
    <mergeCell ref="AT32:AU33"/>
    <mergeCell ref="AV54:AV56"/>
    <mergeCell ref="AW54:AW56"/>
    <mergeCell ref="D55:E55"/>
    <mergeCell ref="F55:G55"/>
    <mergeCell ref="H55:I55"/>
    <mergeCell ref="J55:K55"/>
    <mergeCell ref="L55:M55"/>
    <mergeCell ref="N55:O55"/>
    <mergeCell ref="P55:Q55"/>
    <mergeCell ref="R55:S55"/>
    <mergeCell ref="AN55:AO55"/>
    <mergeCell ref="AP55:AQ55"/>
    <mergeCell ref="AR55:AR56"/>
    <mergeCell ref="AS55:AS56"/>
    <mergeCell ref="D54:AQ54"/>
    <mergeCell ref="AR54:AS54"/>
    <mergeCell ref="AT54:AU55"/>
    <mergeCell ref="T55:U55"/>
    <mergeCell ref="V55:W55"/>
    <mergeCell ref="X55:Y55"/>
    <mergeCell ref="Z55:AA55"/>
    <mergeCell ref="A76:A78"/>
    <mergeCell ref="B76:C77"/>
    <mergeCell ref="D76:AQ76"/>
    <mergeCell ref="AR76:AS76"/>
    <mergeCell ref="R77:S77"/>
    <mergeCell ref="T77:U77"/>
    <mergeCell ref="AB55:AC55"/>
    <mergeCell ref="AD55:AE55"/>
    <mergeCell ref="AF55:AG55"/>
    <mergeCell ref="AH55:AI55"/>
    <mergeCell ref="AJ55:AK55"/>
    <mergeCell ref="AL55:AM55"/>
    <mergeCell ref="A54:A56"/>
    <mergeCell ref="B54:C55"/>
    <mergeCell ref="AV76:AV78"/>
    <mergeCell ref="AW76:AW78"/>
    <mergeCell ref="D77:E77"/>
    <mergeCell ref="F77:G77"/>
    <mergeCell ref="H77:I77"/>
    <mergeCell ref="J77:K77"/>
    <mergeCell ref="L77:M77"/>
    <mergeCell ref="N77:O77"/>
    <mergeCell ref="P77:Q77"/>
    <mergeCell ref="AS77:AS78"/>
    <mergeCell ref="AH77:AI77"/>
    <mergeCell ref="AJ77:AK77"/>
    <mergeCell ref="AL77:AM77"/>
    <mergeCell ref="AN77:AO77"/>
    <mergeCell ref="AP77:AQ77"/>
    <mergeCell ref="AR77:AR78"/>
    <mergeCell ref="V77:W77"/>
    <mergeCell ref="X77:Y77"/>
    <mergeCell ref="Z77:AA77"/>
    <mergeCell ref="AB77:AC77"/>
    <mergeCell ref="AD77:AE77"/>
    <mergeCell ref="AF77:AG77"/>
    <mergeCell ref="AT76:AU77"/>
    <mergeCell ref="A98:A100"/>
    <mergeCell ref="B98:C99"/>
    <mergeCell ref="D98:AQ98"/>
    <mergeCell ref="AR98:AS98"/>
    <mergeCell ref="AT98:AU99"/>
    <mergeCell ref="T99:U99"/>
    <mergeCell ref="V99:W99"/>
    <mergeCell ref="X99:Y99"/>
    <mergeCell ref="Z99:AA99"/>
    <mergeCell ref="AB99:AC99"/>
    <mergeCell ref="AD99:AE99"/>
    <mergeCell ref="AF99:AG99"/>
    <mergeCell ref="AH99:AI99"/>
    <mergeCell ref="AJ99:AK99"/>
    <mergeCell ref="AL99:AM99"/>
    <mergeCell ref="AV98:AV100"/>
    <mergeCell ref="AW98:AW100"/>
    <mergeCell ref="D99:E99"/>
    <mergeCell ref="F99:G99"/>
    <mergeCell ref="H99:I99"/>
    <mergeCell ref="J99:K99"/>
    <mergeCell ref="L99:M99"/>
    <mergeCell ref="N99:O99"/>
    <mergeCell ref="P99:Q99"/>
    <mergeCell ref="R99:S99"/>
    <mergeCell ref="AN99:AO99"/>
    <mergeCell ref="AP99:AQ99"/>
    <mergeCell ref="AR99:AR100"/>
    <mergeCell ref="AS99:AS100"/>
    <mergeCell ref="AT120:AU121"/>
    <mergeCell ref="AV120:AV122"/>
    <mergeCell ref="AW120:AW122"/>
    <mergeCell ref="D121:E121"/>
    <mergeCell ref="F121:G121"/>
    <mergeCell ref="H121:I121"/>
    <mergeCell ref="J121:K121"/>
    <mergeCell ref="L121:M121"/>
    <mergeCell ref="N121:O121"/>
    <mergeCell ref="P121:Q121"/>
    <mergeCell ref="AS121:AS122"/>
    <mergeCell ref="AL121:AM121"/>
    <mergeCell ref="AN121:AO121"/>
    <mergeCell ref="AP121:AQ121"/>
    <mergeCell ref="AR121:AR122"/>
    <mergeCell ref="D120:AQ120"/>
    <mergeCell ref="AR120:AS120"/>
    <mergeCell ref="R121:S121"/>
    <mergeCell ref="T121:U121"/>
    <mergeCell ref="A141:P141"/>
    <mergeCell ref="A142:B143"/>
    <mergeCell ref="C142:E142"/>
    <mergeCell ref="F142:H142"/>
    <mergeCell ref="I142:K142"/>
    <mergeCell ref="L142:N142"/>
    <mergeCell ref="O142:P142"/>
    <mergeCell ref="AH121:AI121"/>
    <mergeCell ref="AJ121:AK121"/>
    <mergeCell ref="V121:W121"/>
    <mergeCell ref="X121:Y121"/>
    <mergeCell ref="Z121:AA121"/>
    <mergeCell ref="AB121:AC121"/>
    <mergeCell ref="AD121:AE121"/>
    <mergeCell ref="AF121:AG121"/>
    <mergeCell ref="A120:A122"/>
    <mergeCell ref="B120:C121"/>
    <mergeCell ref="A144:B144"/>
    <mergeCell ref="A145:A147"/>
    <mergeCell ref="A148:B148"/>
    <mergeCell ref="A149:P149"/>
    <mergeCell ref="A150:B151"/>
    <mergeCell ref="C150:E150"/>
    <mergeCell ref="F150:H150"/>
    <mergeCell ref="I150:K150"/>
    <mergeCell ref="L150:N150"/>
    <mergeCell ref="O150:P150"/>
    <mergeCell ref="A152:B152"/>
    <mergeCell ref="A153:A155"/>
    <mergeCell ref="A156:B156"/>
    <mergeCell ref="A157:H157"/>
    <mergeCell ref="A158:B160"/>
    <mergeCell ref="C158:D159"/>
    <mergeCell ref="E158:AJ158"/>
    <mergeCell ref="O159:P159"/>
    <mergeCell ref="Q159:R159"/>
    <mergeCell ref="S159:T159"/>
    <mergeCell ref="AK158:AN158"/>
    <mergeCell ref="AO158:AR158"/>
    <mergeCell ref="AS158:AT159"/>
    <mergeCell ref="AU158:AV159"/>
    <mergeCell ref="AW158:AX159"/>
    <mergeCell ref="E159:F159"/>
    <mergeCell ref="G159:H159"/>
    <mergeCell ref="I159:J159"/>
    <mergeCell ref="K159:L159"/>
    <mergeCell ref="M159:N159"/>
    <mergeCell ref="AM159:AN159"/>
    <mergeCell ref="AO159:AP159"/>
    <mergeCell ref="AQ159:AR159"/>
    <mergeCell ref="U159:V159"/>
    <mergeCell ref="W159:X159"/>
    <mergeCell ref="Y159:Z159"/>
    <mergeCell ref="AA159:AB159"/>
    <mergeCell ref="AC159:AD159"/>
    <mergeCell ref="AE159:AF159"/>
    <mergeCell ref="A161:B161"/>
    <mergeCell ref="A162:B162"/>
    <mergeCell ref="A163:B163"/>
    <mergeCell ref="A164:B164"/>
    <mergeCell ref="A165:B165"/>
    <mergeCell ref="A166:B166"/>
    <mergeCell ref="AG159:AH159"/>
    <mergeCell ref="AI159:AJ159"/>
    <mergeCell ref="AK159:AL159"/>
    <mergeCell ref="A175:B175"/>
    <mergeCell ref="A176:B176"/>
    <mergeCell ref="A177:B177"/>
    <mergeCell ref="A178:B178"/>
    <mergeCell ref="A179:B179"/>
    <mergeCell ref="A180:B180"/>
    <mergeCell ref="A167:B167"/>
    <mergeCell ref="A168:B168"/>
    <mergeCell ref="A169:B169"/>
    <mergeCell ref="A170:A172"/>
    <mergeCell ref="A173:B173"/>
    <mergeCell ref="A174:B174"/>
    <mergeCell ref="A181:B181"/>
    <mergeCell ref="A182:B182"/>
    <mergeCell ref="A183:B183"/>
    <mergeCell ref="A184:H184"/>
    <mergeCell ref="A185:B187"/>
    <mergeCell ref="C185:D186"/>
    <mergeCell ref="E185:AJ185"/>
    <mergeCell ref="O186:P186"/>
    <mergeCell ref="Q186:R186"/>
    <mergeCell ref="S186:T186"/>
    <mergeCell ref="AK185:AN185"/>
    <mergeCell ref="AO185:AR185"/>
    <mergeCell ref="AS185:AT186"/>
    <mergeCell ref="AU185:AV186"/>
    <mergeCell ref="AW185:AX186"/>
    <mergeCell ref="E186:F186"/>
    <mergeCell ref="G186:H186"/>
    <mergeCell ref="I186:J186"/>
    <mergeCell ref="K186:L186"/>
    <mergeCell ref="M186:N186"/>
    <mergeCell ref="AM186:AN186"/>
    <mergeCell ref="AO186:AP186"/>
    <mergeCell ref="AQ186:AR186"/>
    <mergeCell ref="U186:V186"/>
    <mergeCell ref="W186:X186"/>
    <mergeCell ref="Y186:Z186"/>
    <mergeCell ref="AA186:AB186"/>
    <mergeCell ref="AC186:AD186"/>
    <mergeCell ref="AE186:AF186"/>
    <mergeCell ref="A188:B188"/>
    <mergeCell ref="A189:B189"/>
    <mergeCell ref="A190:B190"/>
    <mergeCell ref="A191:B191"/>
    <mergeCell ref="A192:B192"/>
    <mergeCell ref="A193:B193"/>
    <mergeCell ref="AG186:AH186"/>
    <mergeCell ref="AI186:AJ186"/>
    <mergeCell ref="AK186:AL186"/>
    <mergeCell ref="A202:B202"/>
    <mergeCell ref="A203:B203"/>
    <mergeCell ref="A204:B204"/>
    <mergeCell ref="A205:B205"/>
    <mergeCell ref="A206:B206"/>
    <mergeCell ref="A207:B207"/>
    <mergeCell ref="A194:B194"/>
    <mergeCell ref="A195:B195"/>
    <mergeCell ref="A196:B196"/>
    <mergeCell ref="A197:A199"/>
    <mergeCell ref="A200:B200"/>
    <mergeCell ref="A201:B201"/>
    <mergeCell ref="A208:B208"/>
    <mergeCell ref="A209:B209"/>
    <mergeCell ref="A210:B210"/>
    <mergeCell ref="A212:A214"/>
    <mergeCell ref="B212:C213"/>
    <mergeCell ref="D212:AK212"/>
    <mergeCell ref="P213:Q213"/>
    <mergeCell ref="R213:S213"/>
    <mergeCell ref="T213:U213"/>
    <mergeCell ref="V213:W213"/>
    <mergeCell ref="AJ213:AK213"/>
    <mergeCell ref="X213:Y213"/>
    <mergeCell ref="Z213:AA213"/>
    <mergeCell ref="AB213:AC213"/>
    <mergeCell ref="AD213:AE213"/>
    <mergeCell ref="D213:E213"/>
    <mergeCell ref="F213:G213"/>
    <mergeCell ref="H213:I213"/>
    <mergeCell ref="J213:K213"/>
    <mergeCell ref="L213:M213"/>
    <mergeCell ref="N213:O213"/>
    <mergeCell ref="AL212:AM212"/>
    <mergeCell ref="AN212:AO212"/>
    <mergeCell ref="AP212:AP214"/>
    <mergeCell ref="AQ212:AQ214"/>
    <mergeCell ref="AL213:AL214"/>
    <mergeCell ref="AM213:AM214"/>
    <mergeCell ref="AN213:AN214"/>
    <mergeCell ref="AO213:AO214"/>
    <mergeCell ref="AF213:AG213"/>
    <mergeCell ref="AH213:AI213"/>
    <mergeCell ref="A223:A225"/>
    <mergeCell ref="B223:C224"/>
    <mergeCell ref="D223:AK223"/>
    <mergeCell ref="AL223:AM223"/>
    <mergeCell ref="AN223:AO223"/>
    <mergeCell ref="D224:E224"/>
    <mergeCell ref="F224:G224"/>
    <mergeCell ref="H224:I224"/>
    <mergeCell ref="J224:K224"/>
    <mergeCell ref="L224:M224"/>
    <mergeCell ref="N224:O224"/>
    <mergeCell ref="P224:Q224"/>
    <mergeCell ref="R224:S224"/>
    <mergeCell ref="AP223:AP225"/>
    <mergeCell ref="AQ223:AQ225"/>
    <mergeCell ref="AL224:AL225"/>
    <mergeCell ref="AM224:AM225"/>
    <mergeCell ref="AN224:AN225"/>
    <mergeCell ref="T224:U224"/>
    <mergeCell ref="V224:W224"/>
    <mergeCell ref="X224:Y224"/>
    <mergeCell ref="Z224:AA224"/>
    <mergeCell ref="AB224:AC224"/>
    <mergeCell ref="AD224:AE224"/>
    <mergeCell ref="AO224:AO225"/>
    <mergeCell ref="AF224:AG224"/>
    <mergeCell ref="AH224:AI224"/>
    <mergeCell ref="AJ224:AK224"/>
    <mergeCell ref="AS234:AT235"/>
    <mergeCell ref="AU234:AV235"/>
    <mergeCell ref="AW234:AX235"/>
    <mergeCell ref="E235:F235"/>
    <mergeCell ref="G235:H235"/>
    <mergeCell ref="I235:J235"/>
    <mergeCell ref="K235:L235"/>
    <mergeCell ref="M235:N235"/>
    <mergeCell ref="O235:P235"/>
    <mergeCell ref="Q235:R235"/>
    <mergeCell ref="AM235:AN235"/>
    <mergeCell ref="AO235:AP235"/>
    <mergeCell ref="AQ235:AR235"/>
    <mergeCell ref="AO234:AR234"/>
    <mergeCell ref="S235:T235"/>
    <mergeCell ref="U235:V235"/>
    <mergeCell ref="W235:X235"/>
    <mergeCell ref="Y235:Z235"/>
    <mergeCell ref="A237:A255"/>
    <mergeCell ref="A256:A259"/>
    <mergeCell ref="AA235:AB235"/>
    <mergeCell ref="AC235:AD235"/>
    <mergeCell ref="AE235:AF235"/>
    <mergeCell ref="AG235:AH235"/>
    <mergeCell ref="AI235:AJ235"/>
    <mergeCell ref="AK235:AL235"/>
    <mergeCell ref="A234:B236"/>
    <mergeCell ref="C234:D235"/>
    <mergeCell ref="E234:AJ234"/>
    <mergeCell ref="AK234:AN234"/>
    <mergeCell ref="A260:AB260"/>
    <mergeCell ref="A261:A263"/>
    <mergeCell ref="B261:D262"/>
    <mergeCell ref="E261:AB261"/>
    <mergeCell ref="AC261:AC263"/>
    <mergeCell ref="AD261:AD263"/>
    <mergeCell ref="E262:F262"/>
    <mergeCell ref="G262:H262"/>
    <mergeCell ref="I262:J262"/>
    <mergeCell ref="K262:L262"/>
    <mergeCell ref="Y262:Z262"/>
    <mergeCell ref="AA262:AB262"/>
    <mergeCell ref="A266:AJ266"/>
    <mergeCell ref="A267:A269"/>
    <mergeCell ref="B267:D268"/>
    <mergeCell ref="E267:AJ267"/>
    <mergeCell ref="U268:V268"/>
    <mergeCell ref="W268:X268"/>
    <mergeCell ref="Y268:Z268"/>
    <mergeCell ref="AA268:AB268"/>
    <mergeCell ref="M262:N262"/>
    <mergeCell ref="O262:P262"/>
    <mergeCell ref="Q262:R262"/>
    <mergeCell ref="S262:T262"/>
    <mergeCell ref="U262:V262"/>
    <mergeCell ref="W262:X262"/>
    <mergeCell ref="AC268:AD268"/>
    <mergeCell ref="AE268:AF268"/>
    <mergeCell ref="AG268:AH268"/>
    <mergeCell ref="AI268:AJ268"/>
    <mergeCell ref="AK267:AK269"/>
    <mergeCell ref="AL267:AL269"/>
    <mergeCell ref="E268:F268"/>
    <mergeCell ref="G268:H268"/>
    <mergeCell ref="I268:J268"/>
    <mergeCell ref="K268:L268"/>
    <mergeCell ref="M268:N268"/>
    <mergeCell ref="O268:P268"/>
    <mergeCell ref="Q268:R268"/>
    <mergeCell ref="S268:T268"/>
  </mergeCells>
  <dataValidations count="8">
    <dataValidation type="whole" operator="greaterThanOrEqual" allowBlank="1" showInputMessage="1" showErrorMessage="1" sqref="C144:P148 C152:P156 E264:AD265" xr:uid="{005E00C0-0073-4701-A934-00CB00300008}">
      <formula1>0</formula1>
    </dataValidation>
    <dataValidation type="whole" allowBlank="1" showInputMessage="1" showErrorMessage="1" sqref="D13:AW30 E188:AX210 D215:AQ221" xr:uid="{00610044-000C-4361-8847-0089006800A3}">
      <formula1>0</formula1>
      <formula2>9.99999999999999E+38</formula2>
    </dataValidation>
    <dataValidation type="whole" allowBlank="1" showInputMessage="1" showErrorMessage="1" sqref="D35:AW52 D123:AW140" xr:uid="{0077008E-00CA-4221-B815-00C0001F006B}">
      <formula1>0</formula1>
      <formula2>9.99999999999999E+40</formula2>
    </dataValidation>
    <dataValidation type="whole" allowBlank="1" showInputMessage="1" showErrorMessage="1" sqref="D57:AW74" xr:uid="{0084007D-0038-4193-A95A-005B008500CE}">
      <formula1>0</formula1>
      <formula2>9.99999999999999E+39</formula2>
    </dataValidation>
    <dataValidation type="whole" allowBlank="1" showInputMessage="1" showErrorMessage="1" sqref="D101:AW118 E161:AX183 D226:AQ232" xr:uid="{001F00B2-00F5-4FAB-8242-00CB00A000A1}">
      <formula1>0</formula1>
      <formula2>9.99999999999999E+36</formula2>
    </dataValidation>
    <dataValidation type="whole" allowBlank="1" showInputMessage="1" showErrorMessage="1" sqref="D79:AW96" xr:uid="{00160015-0034-4485-9AF2-008500CA009C}">
      <formula1>0</formula1>
      <formula2>9.99999999999999E+44</formula2>
    </dataValidation>
    <dataValidation type="whole" allowBlank="1" showInputMessage="1" showErrorMessage="1" sqref="E237:AX259" xr:uid="{00E70050-003C-4CDC-89FE-0082002E00D9}">
      <formula1>0</formula1>
      <formula2>9.99999999999999E+35</formula2>
    </dataValidation>
    <dataValidation type="whole" allowBlank="1" showInputMessage="1" showErrorMessage="1" sqref="E270:AL272" xr:uid="{00480052-00E9-4493-80F0-00BD004F0059}">
      <formula1>0</formula1>
      <formula2>9.99999999999999E+41</formula2>
    </dataValidation>
  </dataValidations>
  <pageMargins left="0.7" right="0.7" top="0.75" bottom="0.75" header="0.3" footer="0.3"/>
  <pageSetup paperSize="9" orientation="portrait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Hoja12"/>
  <dimension ref="A1:CH150"/>
  <sheetViews>
    <sheetView showGridLines="0" workbookViewId="0"/>
  </sheetViews>
  <sheetFormatPr baseColWidth="10" defaultColWidth="11.42578125" defaultRowHeight="15"/>
  <cols>
    <col min="1" max="1" width="60.140625" customWidth="1"/>
    <col min="2" max="2" width="12" customWidth="1"/>
    <col min="3" max="3" width="12.7109375" customWidth="1"/>
    <col min="78" max="78" width="11.42578125" customWidth="1"/>
    <col min="79" max="86" width="11.42578125" hidden="1" customWidth="1"/>
    <col min="87" max="95" width="11.42578125" customWidth="1"/>
  </cols>
  <sheetData>
    <row r="1" spans="1:86">
      <c r="A1" s="378" t="s">
        <v>37</v>
      </c>
    </row>
    <row r="2" spans="1:86">
      <c r="A2" s="378" t="str">
        <f>CONCATENATE("COMUNA: ",NOMBRE!B2, " (",NOMBRE!C2,NOMBRE!D2,NOMBRE!E2,NOMBRE!F2,NOMBRE!G2,")")</f>
        <v>COMUNA: MAIPU (13119)</v>
      </c>
    </row>
    <row r="3" spans="1:86">
      <c r="A3" s="378" t="str">
        <f>CONCATENATE("ESTABLECIMIENTO/ESTRATEGIA: ", NOMBRE!B3, " (",NOMBRE!C3,NOMBRE!D3,NOMBRE!E3,NOMBRE!F3,NOMBRE!G3,NOMBRE!H3,")")</f>
        <v>ESTABLECIMIENTO/ESTRATEGIA: CESFAM DR. CARLOS GODOY (111380)</v>
      </c>
    </row>
    <row r="4" spans="1:86">
      <c r="A4" s="378" t="str">
        <f>CONCATENATE("MES: ",NOMBRE!B6, " (",NOMBRE!C6,NOMBRE!D6,")")</f>
        <v>MES: MARZO (03)</v>
      </c>
    </row>
    <row r="5" spans="1:86">
      <c r="A5" s="378" t="str">
        <f>CONCATENATE("AÑO: ",NOMBRE!B7)</f>
        <v>AÑO: 2026</v>
      </c>
    </row>
    <row r="6" spans="1:86" ht="18" customHeight="1">
      <c r="A6" s="5704" t="s">
        <v>2031</v>
      </c>
      <c r="B6" s="5704"/>
      <c r="C6" s="5704"/>
      <c r="D6" s="5704"/>
      <c r="E6" s="5704"/>
      <c r="F6" s="5704"/>
      <c r="G6" s="5704"/>
      <c r="H6" s="5704"/>
      <c r="I6" s="5704"/>
      <c r="J6" s="5704"/>
      <c r="K6" s="5704"/>
      <c r="L6" s="5704"/>
      <c r="M6" s="5704"/>
    </row>
    <row r="8" spans="1:86" ht="18" customHeight="1">
      <c r="A8" s="6770" t="s">
        <v>2032</v>
      </c>
      <c r="B8" s="6770"/>
      <c r="C8" s="6770"/>
      <c r="D8" s="6770"/>
      <c r="E8" s="6770"/>
      <c r="F8" s="6770"/>
      <c r="G8" s="6770"/>
      <c r="H8" s="6770"/>
      <c r="I8" s="6770"/>
      <c r="J8" s="6770"/>
      <c r="K8" s="6770"/>
      <c r="L8" s="3493"/>
      <c r="M8" s="3493"/>
    </row>
    <row r="9" spans="1:86">
      <c r="A9" s="6766"/>
      <c r="B9" s="6722" t="s">
        <v>91</v>
      </c>
      <c r="C9" s="6727" t="s">
        <v>2033</v>
      </c>
      <c r="D9" s="6370"/>
      <c r="E9" s="6370"/>
      <c r="F9" s="6370"/>
      <c r="G9" s="6370"/>
      <c r="H9" s="6370"/>
      <c r="I9" s="6370"/>
      <c r="J9" s="6370"/>
      <c r="K9" s="6728"/>
      <c r="L9" s="6768" t="s">
        <v>50</v>
      </c>
      <c r="M9" s="6766" t="s">
        <v>51</v>
      </c>
    </row>
    <row r="10" spans="1:86">
      <c r="A10" s="6767"/>
      <c r="B10" s="6724"/>
      <c r="C10" s="2470" t="s">
        <v>108</v>
      </c>
      <c r="D10" s="2471" t="s">
        <v>58</v>
      </c>
      <c r="E10" s="2471" t="s">
        <v>59</v>
      </c>
      <c r="F10" s="2471" t="s">
        <v>60</v>
      </c>
      <c r="G10" s="2471" t="s">
        <v>61</v>
      </c>
      <c r="H10" s="2471" t="s">
        <v>62</v>
      </c>
      <c r="I10" s="2471" t="s">
        <v>63</v>
      </c>
      <c r="J10" s="2471" t="s">
        <v>64</v>
      </c>
      <c r="K10" s="3451" t="s">
        <v>65</v>
      </c>
      <c r="L10" s="6769"/>
      <c r="M10" s="6767"/>
    </row>
    <row r="11" spans="1:86" ht="18" customHeight="1">
      <c r="A11" s="3496" t="s">
        <v>2034</v>
      </c>
      <c r="B11" s="3497"/>
      <c r="C11" s="3498"/>
      <c r="D11" s="3498"/>
      <c r="E11" s="3498"/>
      <c r="F11" s="3498"/>
      <c r="G11" s="3498"/>
      <c r="H11" s="3498"/>
      <c r="I11" s="3498"/>
      <c r="J11" s="3498"/>
      <c r="K11" s="3499"/>
      <c r="L11" s="3500"/>
      <c r="M11" s="3501"/>
    </row>
    <row r="12" spans="1:86" ht="22.5">
      <c r="A12" s="3502" t="s">
        <v>2035</v>
      </c>
      <c r="B12" s="1989">
        <f t="shared" ref="B12:B73" si="0">SUM(C12:K12)</f>
        <v>0</v>
      </c>
      <c r="C12" s="448"/>
      <c r="D12" s="3398"/>
      <c r="E12" s="3398"/>
      <c r="F12" s="3398"/>
      <c r="G12" s="3398"/>
      <c r="H12" s="3398"/>
      <c r="I12" s="3398"/>
      <c r="J12" s="3398"/>
      <c r="K12" s="3429"/>
      <c r="L12" s="451"/>
      <c r="M12" s="452"/>
      <c r="N12" s="417" t="str">
        <f t="shared" ref="N12:N47" si="1">$CA12&amp;CB12</f>
        <v/>
      </c>
      <c r="CA12" s="3413" t="str">
        <f t="shared" ref="CA12:CA19" si="2">IF(AND(B12&gt;0,L12="")," * No olvide digitar la variable Pueblos Originarios. Digite cero si no tiene.",IF(L12&gt;B12, " * La variable Pueblos Originarios no puede ser mayor al Total.",""))</f>
        <v/>
      </c>
      <c r="CB12" s="3413" t="str">
        <f t="shared" ref="CB12:CB19" si="3">IF(AND(B12&gt;0,M12="")," * No olvide digitar la variable Migrantes. Digite cero si no tiene.",IF(M12&gt;B12, " * La variable Migrantes no puede ser mayor al Total.",""))</f>
        <v/>
      </c>
      <c r="CC12" s="417"/>
      <c r="CD12" s="417"/>
      <c r="CG12" s="419">
        <f t="shared" ref="CG12:CG19" si="4">IF(AND(B12&gt;0,L12=""),1,IF(L12&gt;B12,1,0))</f>
        <v>0</v>
      </c>
      <c r="CH12" s="419">
        <f t="shared" ref="CH12:CH19" si="5">IF(AND(B12&gt;0,M12=""),1,IF(M12&gt;B12,1,0))</f>
        <v>0</v>
      </c>
    </row>
    <row r="13" spans="1:86">
      <c r="A13" s="3503" t="s">
        <v>2036</v>
      </c>
      <c r="B13" s="1757">
        <f t="shared" si="0"/>
        <v>0</v>
      </c>
      <c r="C13" s="435"/>
      <c r="D13" s="3399"/>
      <c r="E13" s="3399"/>
      <c r="F13" s="3399"/>
      <c r="G13" s="3399"/>
      <c r="H13" s="3399"/>
      <c r="I13" s="3399"/>
      <c r="J13" s="3399"/>
      <c r="K13" s="3504"/>
      <c r="L13" s="454"/>
      <c r="M13" s="459"/>
      <c r="N13" s="417" t="str">
        <f t="shared" si="1"/>
        <v/>
      </c>
      <c r="CA13" s="3413" t="str">
        <f t="shared" si="2"/>
        <v/>
      </c>
      <c r="CB13" s="3413" t="str">
        <f t="shared" si="3"/>
        <v/>
      </c>
      <c r="CG13" s="419">
        <f t="shared" si="4"/>
        <v>0</v>
      </c>
      <c r="CH13" s="419">
        <f t="shared" si="5"/>
        <v>0</v>
      </c>
    </row>
    <row r="14" spans="1:86" ht="18" customHeight="1">
      <c r="A14" s="3505" t="s">
        <v>2037</v>
      </c>
      <c r="B14" s="3506"/>
      <c r="C14" s="3157"/>
      <c r="D14" s="3157"/>
      <c r="E14" s="3157"/>
      <c r="F14" s="3157"/>
      <c r="G14" s="3157"/>
      <c r="H14" s="3157"/>
      <c r="I14" s="3157"/>
      <c r="J14" s="3157"/>
      <c r="K14" s="3507"/>
      <c r="L14" s="3508"/>
      <c r="M14" s="3127"/>
      <c r="N14" s="417" t="str">
        <f t="shared" si="1"/>
        <v/>
      </c>
      <c r="CA14" s="3366"/>
    </row>
    <row r="15" spans="1:86" ht="22.5">
      <c r="A15" s="3502" t="s">
        <v>2038</v>
      </c>
      <c r="B15" s="1736">
        <f t="shared" si="0"/>
        <v>0</v>
      </c>
      <c r="C15" s="448"/>
      <c r="D15" s="3398"/>
      <c r="E15" s="3398"/>
      <c r="F15" s="3398"/>
      <c r="G15" s="3398"/>
      <c r="H15" s="3398"/>
      <c r="I15" s="3398"/>
      <c r="J15" s="3398"/>
      <c r="K15" s="3429"/>
      <c r="L15" s="451"/>
      <c r="M15" s="452"/>
      <c r="N15" s="417" t="str">
        <f t="shared" si="1"/>
        <v/>
      </c>
      <c r="CA15" s="3413" t="str">
        <f t="shared" si="2"/>
        <v/>
      </c>
      <c r="CB15" s="3413" t="str">
        <f t="shared" si="3"/>
        <v/>
      </c>
      <c r="CG15" s="419">
        <f t="shared" si="4"/>
        <v>0</v>
      </c>
      <c r="CH15" s="419">
        <f t="shared" si="5"/>
        <v>0</v>
      </c>
    </row>
    <row r="16" spans="1:86" ht="22.5">
      <c r="A16" s="3503" t="s">
        <v>2039</v>
      </c>
      <c r="B16" s="1757">
        <f t="shared" si="0"/>
        <v>0</v>
      </c>
      <c r="C16" s="435"/>
      <c r="D16" s="3399"/>
      <c r="E16" s="3399"/>
      <c r="F16" s="3399"/>
      <c r="G16" s="3399"/>
      <c r="H16" s="3399"/>
      <c r="I16" s="3399"/>
      <c r="J16" s="3399"/>
      <c r="K16" s="3504"/>
      <c r="L16" s="454"/>
      <c r="M16" s="459"/>
      <c r="N16" s="417" t="str">
        <f t="shared" si="1"/>
        <v/>
      </c>
      <c r="CA16" s="3413" t="str">
        <f t="shared" si="2"/>
        <v/>
      </c>
      <c r="CB16" s="3413" t="str">
        <f t="shared" si="3"/>
        <v/>
      </c>
      <c r="CG16" s="419">
        <f t="shared" si="4"/>
        <v>0</v>
      </c>
      <c r="CH16" s="419">
        <f t="shared" si="5"/>
        <v>0</v>
      </c>
    </row>
    <row r="17" spans="1:86" ht="18" customHeight="1">
      <c r="A17" s="3509" t="s">
        <v>2040</v>
      </c>
      <c r="B17" s="3506"/>
      <c r="C17" s="3157"/>
      <c r="D17" s="3157"/>
      <c r="E17" s="3157"/>
      <c r="F17" s="3157"/>
      <c r="G17" s="3157"/>
      <c r="H17" s="3157"/>
      <c r="I17" s="3157"/>
      <c r="J17" s="3157"/>
      <c r="K17" s="3507"/>
      <c r="L17" s="3508"/>
      <c r="M17" s="3127"/>
      <c r="N17" s="417" t="str">
        <f t="shared" si="1"/>
        <v/>
      </c>
      <c r="CA17" s="3366"/>
    </row>
    <row r="18" spans="1:86" ht="22.5">
      <c r="A18" s="2494" t="s">
        <v>2041</v>
      </c>
      <c r="B18" s="1753">
        <f t="shared" si="0"/>
        <v>0</v>
      </c>
      <c r="C18" s="413"/>
      <c r="D18" s="3370"/>
      <c r="E18" s="3370"/>
      <c r="F18" s="3370"/>
      <c r="G18" s="3370"/>
      <c r="H18" s="3370"/>
      <c r="I18" s="3370"/>
      <c r="J18" s="3370"/>
      <c r="K18" s="3411"/>
      <c r="L18" s="415"/>
      <c r="M18" s="416"/>
      <c r="N18" s="417" t="str">
        <f t="shared" si="1"/>
        <v/>
      </c>
      <c r="CA18" s="3413" t="str">
        <f t="shared" si="2"/>
        <v/>
      </c>
      <c r="CB18" s="3413" t="str">
        <f t="shared" si="3"/>
        <v/>
      </c>
      <c r="CG18" s="419">
        <f t="shared" si="4"/>
        <v>0</v>
      </c>
      <c r="CH18" s="419">
        <f t="shared" si="5"/>
        <v>0</v>
      </c>
    </row>
    <row r="19" spans="1:86">
      <c r="A19" s="3503" t="s">
        <v>2042</v>
      </c>
      <c r="B19" s="1757">
        <f t="shared" si="0"/>
        <v>0</v>
      </c>
      <c r="C19" s="435"/>
      <c r="D19" s="3399"/>
      <c r="E19" s="3399"/>
      <c r="F19" s="3399"/>
      <c r="G19" s="3399"/>
      <c r="H19" s="3399"/>
      <c r="I19" s="3399"/>
      <c r="J19" s="3399"/>
      <c r="K19" s="3504"/>
      <c r="L19" s="454"/>
      <c r="M19" s="459"/>
      <c r="N19" s="417" t="str">
        <f t="shared" si="1"/>
        <v/>
      </c>
      <c r="CA19" s="3413" t="str">
        <f t="shared" si="2"/>
        <v/>
      </c>
      <c r="CB19" s="3413" t="str">
        <f t="shared" si="3"/>
        <v/>
      </c>
      <c r="CG19" s="419">
        <f t="shared" si="4"/>
        <v>0</v>
      </c>
      <c r="CH19" s="419">
        <f t="shared" si="5"/>
        <v>0</v>
      </c>
    </row>
    <row r="20" spans="1:86" ht="18" customHeight="1">
      <c r="A20" s="6771" t="s">
        <v>2043</v>
      </c>
      <c r="B20" s="6771"/>
      <c r="C20" s="6771"/>
      <c r="D20" s="6771"/>
      <c r="CA20" s="3366"/>
    </row>
    <row r="21" spans="1:86" ht="21">
      <c r="A21" s="3510"/>
      <c r="B21" s="3447" t="s">
        <v>91</v>
      </c>
      <c r="C21" s="3406" t="s">
        <v>50</v>
      </c>
      <c r="D21" s="2290" t="s">
        <v>51</v>
      </c>
      <c r="CA21" s="3366"/>
    </row>
    <row r="22" spans="1:86" ht="33">
      <c r="A22" s="2494" t="s">
        <v>2044</v>
      </c>
      <c r="B22" s="3511"/>
      <c r="C22" s="451"/>
      <c r="D22" s="452"/>
      <c r="E22" s="3373" t="str">
        <f t="shared" ref="E22:E59" si="6">CA22&amp;CB22</f>
        <v/>
      </c>
      <c r="CA22" s="3413" t="str">
        <f t="shared" ref="CA22:CA23" si="7">IF(AND(B22&gt;0,C22="")," * No olvide digitar la variable Pueblos Originarios. Digite cero si no tiene.",IF(C22&gt;B22, " * La variable Pueblos Originarios no puede ser mayor al Total.",""))</f>
        <v/>
      </c>
      <c r="CB22" s="3413" t="str">
        <f t="shared" ref="CB22:CB23" si="8">IF(AND(B22&gt;0,D22="")," * No olvide digitar la variable Migrantes. Digite cero si no tiene.",IF(D22&gt;B22, " * La variable Migrantes no puede ser mayor al Total.",""))</f>
        <v/>
      </c>
      <c r="CG22" s="3375">
        <f t="shared" ref="CG22:CG23" si="9">IF(AND(B22&gt;0,C22=""),1,IF(C22&gt;B22,1,0))</f>
        <v>0</v>
      </c>
      <c r="CH22" s="3375">
        <f t="shared" ref="CH22:CH23" si="10">IF(AND(B22&gt;0,D22=""),1,IF(D22&gt;B22,1,0))</f>
        <v>0</v>
      </c>
    </row>
    <row r="23" spans="1:86" ht="22.5">
      <c r="A23" s="2525" t="s">
        <v>2045</v>
      </c>
      <c r="B23" s="3512"/>
      <c r="C23" s="454"/>
      <c r="D23" s="459"/>
      <c r="E23" s="3373" t="str">
        <f t="shared" si="6"/>
        <v/>
      </c>
      <c r="CA23" s="3413" t="str">
        <f t="shared" si="7"/>
        <v/>
      </c>
      <c r="CB23" s="3413" t="str">
        <f t="shared" si="8"/>
        <v/>
      </c>
      <c r="CG23" s="3375">
        <f t="shared" si="9"/>
        <v>0</v>
      </c>
      <c r="CH23" s="3375">
        <f t="shared" si="10"/>
        <v>0</v>
      </c>
    </row>
    <row r="24" spans="1:86" ht="18" customHeight="1">
      <c r="A24" s="6772" t="s">
        <v>2046</v>
      </c>
      <c r="B24" s="6772"/>
      <c r="C24" s="6772"/>
      <c r="D24" s="6772"/>
      <c r="E24" s="6772"/>
      <c r="F24" s="6772"/>
      <c r="G24" s="6772"/>
      <c r="H24" s="6772"/>
      <c r="I24" s="6772"/>
      <c r="J24" s="6772"/>
      <c r="K24" s="6772"/>
      <c r="CA24" s="3366"/>
    </row>
    <row r="25" spans="1:86">
      <c r="A25" s="6773"/>
      <c r="B25" s="6766" t="s">
        <v>91</v>
      </c>
      <c r="C25" s="6370" t="s">
        <v>2033</v>
      </c>
      <c r="D25" s="6370"/>
      <c r="E25" s="6370"/>
      <c r="F25" s="6370"/>
      <c r="G25" s="6370"/>
      <c r="H25" s="6370"/>
      <c r="I25" s="6370"/>
      <c r="J25" s="6370"/>
      <c r="K25" s="6728"/>
      <c r="L25" s="6070" t="s">
        <v>50</v>
      </c>
      <c r="M25" s="6766" t="s">
        <v>51</v>
      </c>
      <c r="CA25" s="3366"/>
    </row>
    <row r="26" spans="1:86">
      <c r="A26" s="6774"/>
      <c r="B26" s="6767"/>
      <c r="C26" s="3513" t="s">
        <v>108</v>
      </c>
      <c r="D26" s="2471" t="s">
        <v>58</v>
      </c>
      <c r="E26" s="2471" t="s">
        <v>59</v>
      </c>
      <c r="F26" s="2471" t="s">
        <v>60</v>
      </c>
      <c r="G26" s="2471" t="s">
        <v>61</v>
      </c>
      <c r="H26" s="2471" t="s">
        <v>62</v>
      </c>
      <c r="I26" s="2471" t="s">
        <v>63</v>
      </c>
      <c r="J26" s="2471" t="s">
        <v>64</v>
      </c>
      <c r="K26" s="3451" t="s">
        <v>65</v>
      </c>
      <c r="L26" s="6076"/>
      <c r="M26" s="6767"/>
      <c r="CA26" s="3366"/>
    </row>
    <row r="27" spans="1:86" ht="22.5">
      <c r="A27" s="2494" t="s">
        <v>2047</v>
      </c>
      <c r="B27" s="1736">
        <f t="shared" si="0"/>
        <v>0</v>
      </c>
      <c r="C27" s="413"/>
      <c r="D27" s="3370"/>
      <c r="E27" s="3370"/>
      <c r="F27" s="3370"/>
      <c r="G27" s="3370"/>
      <c r="H27" s="3370"/>
      <c r="I27" s="3370"/>
      <c r="J27" s="3370"/>
      <c r="K27" s="3411"/>
      <c r="L27" s="411"/>
      <c r="M27" s="416"/>
      <c r="N27" s="3373" t="str">
        <f t="shared" si="1"/>
        <v/>
      </c>
      <c r="CA27" s="3413" t="str">
        <f t="shared" ref="CA27:CA32" si="11">IF(AND(B27&gt;0,L27="")," No olvide digitar la variable Pueblos Originarios. Digite cero si no tiene.",IF(L27&gt;B27," * La variable Pueblos Originarios no puede ser mayor al Total.",""))</f>
        <v/>
      </c>
      <c r="CB27" s="3413" t="str">
        <f t="shared" ref="CB27:CB32" si="12">IF(AND(B27&gt;0,M27="")," No olvide digitar la variable Migrantes. Digite cero si no tiene.",IF(M27&gt;B27," * La variable Migrantes no puede ser mayor al Total.",""))</f>
        <v/>
      </c>
      <c r="CG27" s="3375">
        <f t="shared" ref="CG27:CG32" si="13">IF(AND(B27&gt;0,L27=""),1,IF(L27&gt;B27,1,0))</f>
        <v>0</v>
      </c>
      <c r="CH27" s="3375">
        <f t="shared" ref="CH27:CH32" si="14">IF(AND(B27&gt;0,M27=""),1,IF(M27&gt;B27,1,0))</f>
        <v>0</v>
      </c>
    </row>
    <row r="28" spans="1:86">
      <c r="A28" s="2494" t="s">
        <v>2048</v>
      </c>
      <c r="B28" s="1739">
        <f t="shared" si="0"/>
        <v>0</v>
      </c>
      <c r="C28" s="413"/>
      <c r="D28" s="3370"/>
      <c r="E28" s="3370"/>
      <c r="F28" s="3370"/>
      <c r="G28" s="3370"/>
      <c r="H28" s="3370"/>
      <c r="I28" s="3370"/>
      <c r="J28" s="3370"/>
      <c r="K28" s="3411"/>
      <c r="L28" s="411"/>
      <c r="M28" s="416"/>
      <c r="N28" s="3373" t="str">
        <f t="shared" si="1"/>
        <v/>
      </c>
      <c r="CA28" s="3413" t="str">
        <f t="shared" si="11"/>
        <v/>
      </c>
      <c r="CB28" s="3413" t="str">
        <f t="shared" si="12"/>
        <v/>
      </c>
      <c r="CG28" s="3375">
        <f t="shared" si="13"/>
        <v>0</v>
      </c>
      <c r="CH28" s="3375">
        <f t="shared" si="14"/>
        <v>0</v>
      </c>
    </row>
    <row r="29" spans="1:86" ht="22.5">
      <c r="A29" s="2494" t="s">
        <v>2049</v>
      </c>
      <c r="B29" s="1739">
        <f t="shared" si="0"/>
        <v>0</v>
      </c>
      <c r="C29" s="413"/>
      <c r="D29" s="3370"/>
      <c r="E29" s="3370"/>
      <c r="F29" s="3370"/>
      <c r="G29" s="3370"/>
      <c r="H29" s="3370"/>
      <c r="I29" s="3370"/>
      <c r="J29" s="3370"/>
      <c r="K29" s="3411"/>
      <c r="L29" s="411"/>
      <c r="M29" s="416"/>
      <c r="N29" s="3373" t="str">
        <f t="shared" si="1"/>
        <v/>
      </c>
      <c r="CA29" s="3413" t="str">
        <f t="shared" si="11"/>
        <v/>
      </c>
      <c r="CB29" s="3413" t="str">
        <f t="shared" si="12"/>
        <v/>
      </c>
      <c r="CG29" s="3375">
        <f t="shared" si="13"/>
        <v>0</v>
      </c>
      <c r="CH29" s="3375">
        <f t="shared" si="14"/>
        <v>0</v>
      </c>
    </row>
    <row r="30" spans="1:86" ht="22.5">
      <c r="A30" s="2494" t="s">
        <v>2050</v>
      </c>
      <c r="B30" s="1739">
        <f t="shared" si="0"/>
        <v>0</v>
      </c>
      <c r="C30" s="413"/>
      <c r="D30" s="3370"/>
      <c r="E30" s="3370"/>
      <c r="F30" s="3370"/>
      <c r="G30" s="3370"/>
      <c r="H30" s="3370"/>
      <c r="I30" s="3370"/>
      <c r="J30" s="3370"/>
      <c r="K30" s="3411"/>
      <c r="L30" s="411"/>
      <c r="M30" s="416"/>
      <c r="N30" s="3373" t="str">
        <f t="shared" si="1"/>
        <v/>
      </c>
      <c r="CA30" s="3413" t="str">
        <f t="shared" si="11"/>
        <v/>
      </c>
      <c r="CB30" s="3413" t="str">
        <f t="shared" si="12"/>
        <v/>
      </c>
      <c r="CG30" s="3375">
        <f t="shared" si="13"/>
        <v>0</v>
      </c>
      <c r="CH30" s="3375">
        <f t="shared" si="14"/>
        <v>0</v>
      </c>
    </row>
    <row r="31" spans="1:86" ht="22.5">
      <c r="A31" s="2494" t="s">
        <v>2051</v>
      </c>
      <c r="B31" s="1739">
        <f t="shared" si="0"/>
        <v>0</v>
      </c>
      <c r="C31" s="413"/>
      <c r="D31" s="3370"/>
      <c r="E31" s="3370"/>
      <c r="F31" s="3370"/>
      <c r="G31" s="3370"/>
      <c r="H31" s="3370"/>
      <c r="I31" s="3370"/>
      <c r="J31" s="3370"/>
      <c r="K31" s="3411"/>
      <c r="L31" s="411"/>
      <c r="M31" s="416"/>
      <c r="N31" s="3373" t="str">
        <f t="shared" si="1"/>
        <v/>
      </c>
      <c r="CA31" s="3413" t="str">
        <f t="shared" si="11"/>
        <v/>
      </c>
      <c r="CB31" s="3413" t="str">
        <f t="shared" si="12"/>
        <v/>
      </c>
      <c r="CG31" s="3375">
        <f t="shared" si="13"/>
        <v>0</v>
      </c>
      <c r="CH31" s="3375">
        <f t="shared" si="14"/>
        <v>0</v>
      </c>
    </row>
    <row r="32" spans="1:86">
      <c r="A32" s="3503" t="s">
        <v>2052</v>
      </c>
      <c r="B32" s="1757">
        <f t="shared" si="0"/>
        <v>0</v>
      </c>
      <c r="C32" s="432"/>
      <c r="D32" s="3384"/>
      <c r="E32" s="3384"/>
      <c r="F32" s="3384"/>
      <c r="G32" s="3384"/>
      <c r="H32" s="3384"/>
      <c r="I32" s="3384"/>
      <c r="J32" s="3384"/>
      <c r="K32" s="3425"/>
      <c r="L32" s="3385"/>
      <c r="M32" s="438"/>
      <c r="N32" s="3373" t="str">
        <f t="shared" si="1"/>
        <v/>
      </c>
      <c r="CA32" s="3413" t="str">
        <f t="shared" si="11"/>
        <v/>
      </c>
      <c r="CB32" s="3413" t="str">
        <f t="shared" si="12"/>
        <v/>
      </c>
      <c r="CG32" s="3375">
        <f t="shared" si="13"/>
        <v>0</v>
      </c>
      <c r="CH32" s="3375">
        <f t="shared" si="14"/>
        <v>0</v>
      </c>
    </row>
    <row r="33" spans="1:86" ht="18" customHeight="1">
      <c r="A33" s="6771" t="s">
        <v>2053</v>
      </c>
      <c r="B33" s="6771"/>
      <c r="C33" s="6771"/>
      <c r="D33" s="6771"/>
      <c r="CA33" s="3366"/>
    </row>
    <row r="34" spans="1:86" ht="21">
      <c r="A34" s="3514"/>
      <c r="B34" s="3447" t="s">
        <v>91</v>
      </c>
      <c r="C34" s="1576" t="s">
        <v>50</v>
      </c>
      <c r="D34" s="1594" t="s">
        <v>51</v>
      </c>
      <c r="CA34" s="3366"/>
    </row>
    <row r="35" spans="1:86" ht="22.5">
      <c r="A35" s="2494" t="s">
        <v>2054</v>
      </c>
      <c r="B35" s="3515"/>
      <c r="C35" s="411"/>
      <c r="D35" s="412"/>
      <c r="E35" s="3373" t="str">
        <f t="shared" si="6"/>
        <v/>
      </c>
      <c r="CA35" s="3413" t="str">
        <f t="shared" ref="CA35:CA36" si="15">IF(AND(B35&gt;0,C35="")," No olvide digitar la variable Pueblos Originarios. Digite cero si no tiene.",IF(C35&gt;B35," * La variable Pueblos Originarios no puede ser mayor al Total.",""))</f>
        <v/>
      </c>
      <c r="CB35" s="3413" t="str">
        <f t="shared" ref="CB35:CB36" si="16">IF(AND(B35&gt;0,D35="")," No olvide digitar la variable Migrantes. Digite cero si no tiene.",IF(D35&gt;B35," * La variable Migrantes no puede ser mayor al Total.",""))</f>
        <v/>
      </c>
      <c r="CG35" s="3375">
        <f t="shared" ref="CG35:CG36" si="17">IF(AND(B35&gt;0,C35=""),1,IF(C35&gt;B35,1,0))</f>
        <v>0</v>
      </c>
      <c r="CH35" s="3375">
        <f t="shared" ref="CH35:CH36" si="18">IF(AND(B35&gt;0,D35=""),1,IF(D35&gt;B35,1,0))</f>
        <v>0</v>
      </c>
    </row>
    <row r="36" spans="1:86">
      <c r="A36" s="2525" t="s">
        <v>2055</v>
      </c>
      <c r="B36" s="3516"/>
      <c r="C36" s="3385"/>
      <c r="D36" s="433"/>
      <c r="E36" s="3373" t="str">
        <f t="shared" si="6"/>
        <v/>
      </c>
      <c r="CA36" s="3413" t="str">
        <f t="shared" si="15"/>
        <v/>
      </c>
      <c r="CB36" s="3413" t="str">
        <f t="shared" si="16"/>
        <v/>
      </c>
      <c r="CG36" s="3375">
        <f t="shared" si="17"/>
        <v>0</v>
      </c>
      <c r="CH36" s="3375">
        <f t="shared" si="18"/>
        <v>0</v>
      </c>
    </row>
    <row r="37" spans="1:86" ht="18" customHeight="1">
      <c r="A37" s="6772" t="s">
        <v>2056</v>
      </c>
      <c r="B37" s="6772"/>
      <c r="C37" s="6772"/>
      <c r="D37" s="6772"/>
      <c r="E37" s="6772"/>
      <c r="F37" s="6772"/>
      <c r="G37" s="6772"/>
      <c r="H37" s="6772"/>
      <c r="I37" s="6772"/>
      <c r="J37" s="6772"/>
      <c r="K37" s="6772"/>
      <c r="CA37" s="3366"/>
      <c r="CB37" s="3366"/>
    </row>
    <row r="38" spans="1:86">
      <c r="A38" s="6775"/>
      <c r="B38" s="6777" t="s">
        <v>91</v>
      </c>
      <c r="C38" s="6727" t="s">
        <v>2033</v>
      </c>
      <c r="D38" s="6370"/>
      <c r="E38" s="6370"/>
      <c r="F38" s="6370"/>
      <c r="G38" s="6370"/>
      <c r="H38" s="6370"/>
      <c r="I38" s="6370"/>
      <c r="J38" s="6370"/>
      <c r="K38" s="6728"/>
      <c r="L38" s="6768" t="s">
        <v>50</v>
      </c>
      <c r="M38" s="6766" t="s">
        <v>51</v>
      </c>
      <c r="CA38" s="3366"/>
    </row>
    <row r="39" spans="1:86">
      <c r="A39" s="6776"/>
      <c r="B39" s="6778"/>
      <c r="C39" s="2470" t="s">
        <v>108</v>
      </c>
      <c r="D39" s="2471" t="s">
        <v>58</v>
      </c>
      <c r="E39" s="2471" t="s">
        <v>59</v>
      </c>
      <c r="F39" s="2471" t="s">
        <v>60</v>
      </c>
      <c r="G39" s="2471" t="s">
        <v>61</v>
      </c>
      <c r="H39" s="2471" t="s">
        <v>62</v>
      </c>
      <c r="I39" s="2471" t="s">
        <v>63</v>
      </c>
      <c r="J39" s="2471" t="s">
        <v>64</v>
      </c>
      <c r="K39" s="3451" t="s">
        <v>65</v>
      </c>
      <c r="L39" s="6769"/>
      <c r="M39" s="6767"/>
      <c r="CA39" s="3366"/>
    </row>
    <row r="40" spans="1:86" ht="22.5">
      <c r="A40" s="2494" t="s">
        <v>2057</v>
      </c>
      <c r="B40" s="3517">
        <f t="shared" si="0"/>
        <v>0</v>
      </c>
      <c r="C40" s="423"/>
      <c r="D40" s="411"/>
      <c r="E40" s="411"/>
      <c r="F40" s="411"/>
      <c r="G40" s="411"/>
      <c r="H40" s="411"/>
      <c r="I40" s="411"/>
      <c r="J40" s="411"/>
      <c r="K40" s="3411"/>
      <c r="L40" s="415"/>
      <c r="M40" s="416"/>
      <c r="N40" s="3373" t="str">
        <f t="shared" si="1"/>
        <v/>
      </c>
      <c r="CA40" s="3413" t="str">
        <f t="shared" ref="CA40:CA47" si="19">IF(AND(B40&gt;0,L40="")," No olvide digitar la variable Pueblos Originarios. Digite cero si no tiene.",IF(L40&gt;B40," * La variable Pueblos Originarios no puede ser mayor al Total.",""))</f>
        <v/>
      </c>
      <c r="CB40" s="3413" t="str">
        <f t="shared" ref="CB40:CB47" si="20">IF(AND(B40&gt;0,M40="")," No olvide digitar la variable Migrantes. Digite cero si no tiene.",IF(M40&gt;B40," * La variable Migrantes no puede ser mayor al Total.",""))</f>
        <v/>
      </c>
      <c r="CG40" s="3375">
        <f t="shared" ref="CG40:CG47" si="21">IF(AND(B40&gt;0,L40=""),1,IF(L40&gt;B40,1,0))</f>
        <v>0</v>
      </c>
      <c r="CH40" s="3375">
        <f t="shared" ref="CH40:CH47" si="22">IF(AND(B40&gt;0,M40=""),1,IF(M40&gt;B40,1,0))</f>
        <v>0</v>
      </c>
    </row>
    <row r="41" spans="1:86" ht="22.5">
      <c r="A41" s="2494" t="s">
        <v>2058</v>
      </c>
      <c r="B41" s="3517">
        <f t="shared" si="0"/>
        <v>0</v>
      </c>
      <c r="C41" s="423"/>
      <c r="D41" s="411"/>
      <c r="E41" s="411"/>
      <c r="F41" s="411"/>
      <c r="G41" s="411"/>
      <c r="H41" s="411"/>
      <c r="I41" s="411"/>
      <c r="J41" s="411"/>
      <c r="K41" s="3411"/>
      <c r="L41" s="415"/>
      <c r="M41" s="416"/>
      <c r="N41" s="3373" t="str">
        <f t="shared" si="1"/>
        <v/>
      </c>
      <c r="CA41" s="3413" t="str">
        <f t="shared" si="19"/>
        <v/>
      </c>
      <c r="CB41" s="3413" t="str">
        <f t="shared" si="20"/>
        <v/>
      </c>
      <c r="CG41" s="3375">
        <f t="shared" si="21"/>
        <v>0</v>
      </c>
      <c r="CH41" s="3375">
        <f t="shared" si="22"/>
        <v>0</v>
      </c>
    </row>
    <row r="42" spans="1:86" ht="22.5">
      <c r="A42" s="2494" t="s">
        <v>2059</v>
      </c>
      <c r="B42" s="3517">
        <f t="shared" si="0"/>
        <v>0</v>
      </c>
      <c r="C42" s="423"/>
      <c r="D42" s="411"/>
      <c r="E42" s="411"/>
      <c r="F42" s="411"/>
      <c r="G42" s="411"/>
      <c r="H42" s="411"/>
      <c r="I42" s="411"/>
      <c r="J42" s="411"/>
      <c r="K42" s="3411"/>
      <c r="L42" s="415"/>
      <c r="M42" s="416"/>
      <c r="N42" s="3373" t="str">
        <f t="shared" si="1"/>
        <v/>
      </c>
      <c r="CA42" s="3413" t="str">
        <f t="shared" si="19"/>
        <v/>
      </c>
      <c r="CB42" s="3413" t="str">
        <f t="shared" si="20"/>
        <v/>
      </c>
      <c r="CG42" s="3375">
        <f t="shared" si="21"/>
        <v>0</v>
      </c>
      <c r="CH42" s="3375">
        <f t="shared" si="22"/>
        <v>0</v>
      </c>
    </row>
    <row r="43" spans="1:86">
      <c r="A43" s="3503" t="s">
        <v>2060</v>
      </c>
      <c r="B43" s="3518">
        <f t="shared" si="0"/>
        <v>0</v>
      </c>
      <c r="C43" s="3385"/>
      <c r="D43" s="3519"/>
      <c r="E43" s="3519"/>
      <c r="F43" s="3519"/>
      <c r="G43" s="3519"/>
      <c r="H43" s="3519"/>
      <c r="I43" s="3519"/>
      <c r="J43" s="3519"/>
      <c r="K43" s="3504"/>
      <c r="L43" s="454"/>
      <c r="M43" s="459"/>
      <c r="N43" s="3373" t="str">
        <f t="shared" si="1"/>
        <v/>
      </c>
      <c r="CA43" s="3413" t="str">
        <f t="shared" si="19"/>
        <v/>
      </c>
      <c r="CB43" s="3413" t="str">
        <f t="shared" si="20"/>
        <v/>
      </c>
      <c r="CG43" s="3375">
        <f t="shared" si="21"/>
        <v>0</v>
      </c>
      <c r="CH43" s="3375">
        <f t="shared" si="22"/>
        <v>0</v>
      </c>
    </row>
    <row r="44" spans="1:86" ht="22.5">
      <c r="A44" s="2494" t="s">
        <v>2061</v>
      </c>
      <c r="B44" s="3520">
        <f t="shared" si="0"/>
        <v>0</v>
      </c>
      <c r="C44" s="411"/>
      <c r="D44" s="411"/>
      <c r="E44" s="411"/>
      <c r="F44" s="411"/>
      <c r="G44" s="411"/>
      <c r="H44" s="411"/>
      <c r="I44" s="411"/>
      <c r="J44" s="411"/>
      <c r="K44" s="3411"/>
      <c r="L44" s="415"/>
      <c r="M44" s="416"/>
      <c r="N44" s="3373" t="str">
        <f t="shared" si="1"/>
        <v/>
      </c>
      <c r="CA44" s="3413" t="str">
        <f t="shared" si="19"/>
        <v/>
      </c>
      <c r="CB44" s="3413" t="str">
        <f t="shared" si="20"/>
        <v/>
      </c>
      <c r="CG44" s="3375">
        <f t="shared" si="21"/>
        <v>0</v>
      </c>
      <c r="CH44" s="3375">
        <f t="shared" si="22"/>
        <v>0</v>
      </c>
    </row>
    <row r="45" spans="1:86" ht="22.5">
      <c r="A45" s="2494" t="s">
        <v>2062</v>
      </c>
      <c r="B45" s="3517">
        <f t="shared" si="0"/>
        <v>0</v>
      </c>
      <c r="C45" s="423"/>
      <c r="D45" s="411"/>
      <c r="E45" s="411"/>
      <c r="F45" s="411"/>
      <c r="G45" s="411"/>
      <c r="H45" s="411"/>
      <c r="I45" s="411"/>
      <c r="J45" s="411"/>
      <c r="K45" s="3411"/>
      <c r="L45" s="415"/>
      <c r="M45" s="416"/>
      <c r="N45" s="3373" t="str">
        <f t="shared" si="1"/>
        <v/>
      </c>
      <c r="CA45" s="3413" t="str">
        <f t="shared" si="19"/>
        <v/>
      </c>
      <c r="CB45" s="3413" t="str">
        <f t="shared" si="20"/>
        <v/>
      </c>
      <c r="CG45" s="3375">
        <f t="shared" si="21"/>
        <v>0</v>
      </c>
      <c r="CH45" s="3375">
        <f t="shared" si="22"/>
        <v>0</v>
      </c>
    </row>
    <row r="46" spans="1:86" ht="22.5">
      <c r="A46" s="2494" t="s">
        <v>2063</v>
      </c>
      <c r="B46" s="3517">
        <f t="shared" si="0"/>
        <v>0</v>
      </c>
      <c r="C46" s="423"/>
      <c r="D46" s="411"/>
      <c r="E46" s="411"/>
      <c r="F46" s="411"/>
      <c r="G46" s="411"/>
      <c r="H46" s="411"/>
      <c r="I46" s="411"/>
      <c r="J46" s="411"/>
      <c r="K46" s="3411"/>
      <c r="L46" s="415"/>
      <c r="M46" s="416"/>
      <c r="N46" s="3373" t="str">
        <f t="shared" si="1"/>
        <v/>
      </c>
      <c r="CA46" s="3413" t="str">
        <f t="shared" si="19"/>
        <v/>
      </c>
      <c r="CB46" s="3413" t="str">
        <f t="shared" si="20"/>
        <v/>
      </c>
      <c r="CG46" s="3375">
        <f t="shared" si="21"/>
        <v>0</v>
      </c>
      <c r="CH46" s="3375">
        <f t="shared" si="22"/>
        <v>0</v>
      </c>
    </row>
    <row r="47" spans="1:86" ht="22.5">
      <c r="A47" s="2525" t="s">
        <v>2064</v>
      </c>
      <c r="B47" s="3518">
        <f t="shared" si="0"/>
        <v>0</v>
      </c>
      <c r="C47" s="3385"/>
      <c r="D47" s="3385"/>
      <c r="E47" s="3385"/>
      <c r="F47" s="3385"/>
      <c r="G47" s="3385"/>
      <c r="H47" s="3385"/>
      <c r="I47" s="3385"/>
      <c r="J47" s="3385"/>
      <c r="K47" s="3425"/>
      <c r="L47" s="437"/>
      <c r="M47" s="438"/>
      <c r="N47" s="3373" t="str">
        <f t="shared" si="1"/>
        <v/>
      </c>
      <c r="CA47" s="3413" t="str">
        <f t="shared" si="19"/>
        <v/>
      </c>
      <c r="CB47" s="3413" t="str">
        <f t="shared" si="20"/>
        <v/>
      </c>
      <c r="CG47" s="3375">
        <f t="shared" si="21"/>
        <v>0</v>
      </c>
      <c r="CH47" s="3375">
        <f t="shared" si="22"/>
        <v>0</v>
      </c>
    </row>
    <row r="48" spans="1:86" ht="18" customHeight="1">
      <c r="A48" s="6779" t="s">
        <v>2065</v>
      </c>
      <c r="B48" s="6779"/>
      <c r="C48" s="6779"/>
      <c r="D48" s="6779"/>
      <c r="E48" s="6779"/>
      <c r="F48" s="6779"/>
      <c r="G48" s="6779"/>
      <c r="H48" s="6779"/>
      <c r="I48" s="6779"/>
      <c r="J48" s="6779"/>
      <c r="K48" s="6779"/>
      <c r="CA48" s="3366"/>
    </row>
    <row r="49" spans="1:86" ht="21">
      <c r="A49" s="2290"/>
      <c r="B49" s="3447" t="s">
        <v>91</v>
      </c>
      <c r="C49" s="3406" t="s">
        <v>50</v>
      </c>
      <c r="D49" s="2290" t="s">
        <v>51</v>
      </c>
      <c r="CA49" s="3366"/>
    </row>
    <row r="50" spans="1:86" ht="22.5">
      <c r="A50" s="2494" t="s">
        <v>2066</v>
      </c>
      <c r="B50" s="3412"/>
      <c r="C50" s="2249"/>
      <c r="D50" s="443"/>
      <c r="E50" s="3373" t="str">
        <f t="shared" si="6"/>
        <v/>
      </c>
      <c r="CA50" s="3413" t="str">
        <f t="shared" ref="CA50:CA59" si="23">IF(AND(B50&gt;0,C50="")," No olvide digitar la variable Pueblos Originarios. Digite cero si no tiene.",IF(C50&gt;B50," * La variable Pueblos Originarios no puede ser mayor al Total.",""))</f>
        <v/>
      </c>
      <c r="CB50" s="3413" t="str">
        <f t="shared" ref="CB50:CB59" si="24">IF(AND(B50&gt;0,D50="")," No olvide digitar la variable Migrantes. Digite cero si no tiene.",IF(D50&gt;B50," * La variable Migrantes no puede ser mayor al Total.",""))</f>
        <v/>
      </c>
      <c r="CG50" s="3375">
        <f t="shared" ref="CG50:CG59" si="25">IF(AND(B50&gt;0,C50=""),1,IF(C50&gt;B50,1,0))</f>
        <v>0</v>
      </c>
      <c r="CH50" s="3375">
        <f t="shared" ref="CH50:CH59" si="26">IF(AND(B50&gt;0,D50=""),1,IF(D50&gt;B50,1,0))</f>
        <v>0</v>
      </c>
    </row>
    <row r="51" spans="1:86">
      <c r="A51" s="2494" t="s">
        <v>2067</v>
      </c>
      <c r="B51" s="3412"/>
      <c r="C51" s="2249"/>
      <c r="D51" s="443"/>
      <c r="E51" s="3373" t="str">
        <f t="shared" si="6"/>
        <v/>
      </c>
      <c r="CA51" s="3413" t="str">
        <f t="shared" si="23"/>
        <v/>
      </c>
      <c r="CB51" s="3413" t="str">
        <f t="shared" si="24"/>
        <v/>
      </c>
      <c r="CG51" s="3375">
        <f t="shared" si="25"/>
        <v>0</v>
      </c>
      <c r="CH51" s="3375">
        <f t="shared" si="26"/>
        <v>0</v>
      </c>
    </row>
    <row r="52" spans="1:86" ht="33">
      <c r="A52" s="2494" t="s">
        <v>2068</v>
      </c>
      <c r="B52" s="3412"/>
      <c r="C52" s="2249"/>
      <c r="D52" s="443"/>
      <c r="E52" s="3373" t="str">
        <f t="shared" si="6"/>
        <v/>
      </c>
      <c r="CA52" s="3413" t="str">
        <f t="shared" si="23"/>
        <v/>
      </c>
      <c r="CB52" s="3413" t="str">
        <f t="shared" si="24"/>
        <v/>
      </c>
      <c r="CG52" s="3375">
        <f t="shared" si="25"/>
        <v>0</v>
      </c>
      <c r="CH52" s="3375">
        <f t="shared" si="26"/>
        <v>0</v>
      </c>
    </row>
    <row r="53" spans="1:86" ht="22.5">
      <c r="A53" s="2525" t="s">
        <v>2069</v>
      </c>
      <c r="B53" s="3425"/>
      <c r="C53" s="3387"/>
      <c r="D53" s="438"/>
      <c r="E53" s="3373" t="str">
        <f t="shared" si="6"/>
        <v/>
      </c>
      <c r="CA53" s="3413" t="str">
        <f t="shared" si="23"/>
        <v/>
      </c>
      <c r="CB53" s="3413" t="str">
        <f t="shared" si="24"/>
        <v/>
      </c>
      <c r="CG53" s="3375">
        <f t="shared" si="25"/>
        <v>0</v>
      </c>
      <c r="CH53" s="3375">
        <f t="shared" si="26"/>
        <v>0</v>
      </c>
    </row>
    <row r="54" spans="1:86" ht="18" customHeight="1">
      <c r="A54" s="6771" t="s">
        <v>2070</v>
      </c>
      <c r="B54" s="6771"/>
      <c r="C54" s="6771"/>
      <c r="D54" s="6771"/>
      <c r="CA54" s="3366"/>
    </row>
    <row r="55" spans="1:86" ht="21">
      <c r="A55" s="3521"/>
      <c r="B55" s="3447" t="s">
        <v>91</v>
      </c>
      <c r="C55" s="3406" t="s">
        <v>50</v>
      </c>
      <c r="D55" s="2290" t="s">
        <v>51</v>
      </c>
      <c r="CA55" s="3366"/>
    </row>
    <row r="56" spans="1:86" ht="22.5">
      <c r="A56" s="2494" t="s">
        <v>2071</v>
      </c>
      <c r="B56" s="3412"/>
      <c r="C56" s="2249"/>
      <c r="D56" s="443"/>
      <c r="E56" s="3373" t="str">
        <f t="shared" si="6"/>
        <v/>
      </c>
      <c r="CA56" s="3413" t="str">
        <f t="shared" si="23"/>
        <v/>
      </c>
      <c r="CB56" s="3413" t="str">
        <f t="shared" si="24"/>
        <v/>
      </c>
      <c r="CG56" s="3375">
        <f t="shared" si="25"/>
        <v>0</v>
      </c>
      <c r="CH56" s="3375">
        <f t="shared" si="26"/>
        <v>0</v>
      </c>
    </row>
    <row r="57" spans="1:86">
      <c r="A57" s="2494" t="s">
        <v>2067</v>
      </c>
      <c r="B57" s="3412"/>
      <c r="C57" s="2249"/>
      <c r="D57" s="443"/>
      <c r="E57" s="3373" t="str">
        <f t="shared" si="6"/>
        <v/>
      </c>
      <c r="CA57" s="3413" t="str">
        <f t="shared" si="23"/>
        <v/>
      </c>
      <c r="CB57" s="3413" t="str">
        <f t="shared" si="24"/>
        <v/>
      </c>
      <c r="CG57" s="3375">
        <f t="shared" si="25"/>
        <v>0</v>
      </c>
      <c r="CH57" s="3375">
        <f t="shared" si="26"/>
        <v>0</v>
      </c>
    </row>
    <row r="58" spans="1:86" ht="33">
      <c r="A58" s="2494" t="s">
        <v>2072</v>
      </c>
      <c r="B58" s="3412"/>
      <c r="C58" s="2249"/>
      <c r="D58" s="443"/>
      <c r="E58" s="3373" t="str">
        <f t="shared" si="6"/>
        <v/>
      </c>
      <c r="CA58" s="3413" t="str">
        <f t="shared" si="23"/>
        <v/>
      </c>
      <c r="CB58" s="3413" t="str">
        <f t="shared" si="24"/>
        <v/>
      </c>
      <c r="CG58" s="3375">
        <f t="shared" si="25"/>
        <v>0</v>
      </c>
      <c r="CH58" s="3375">
        <f t="shared" si="26"/>
        <v>0</v>
      </c>
    </row>
    <row r="59" spans="1:86" ht="22.5">
      <c r="A59" s="3503" t="s">
        <v>2073</v>
      </c>
      <c r="B59" s="3516"/>
      <c r="C59" s="437"/>
      <c r="D59" s="438"/>
      <c r="E59" s="3373" t="str">
        <f t="shared" si="6"/>
        <v/>
      </c>
      <c r="CA59" s="3413" t="str">
        <f t="shared" si="23"/>
        <v/>
      </c>
      <c r="CB59" s="3413" t="str">
        <f t="shared" si="24"/>
        <v/>
      </c>
      <c r="CG59" s="3375">
        <f t="shared" si="25"/>
        <v>0</v>
      </c>
      <c r="CH59" s="3375">
        <f t="shared" si="26"/>
        <v>0</v>
      </c>
    </row>
    <row r="60" spans="1:86" ht="18" customHeight="1">
      <c r="A60" s="6772" t="s">
        <v>2074</v>
      </c>
      <c r="B60" s="6772"/>
      <c r="C60" s="6772"/>
      <c r="D60" s="6772"/>
      <c r="E60" s="6772"/>
      <c r="F60" s="6772"/>
      <c r="G60" s="6772"/>
      <c r="H60" s="6772"/>
      <c r="I60" s="6772"/>
      <c r="J60" s="6772"/>
      <c r="K60" s="6772"/>
      <c r="L60" s="385"/>
      <c r="M60" s="385"/>
      <c r="CA60" s="3366"/>
    </row>
    <row r="61" spans="1:86">
      <c r="A61" s="6766"/>
      <c r="B61" s="6722" t="s">
        <v>91</v>
      </c>
      <c r="C61" s="6370" t="s">
        <v>2033</v>
      </c>
      <c r="D61" s="6370"/>
      <c r="E61" s="6370"/>
      <c r="F61" s="6370"/>
      <c r="G61" s="6370"/>
      <c r="H61" s="6370"/>
      <c r="I61" s="6370"/>
      <c r="J61" s="6370"/>
      <c r="K61" s="6728"/>
      <c r="L61" s="6069" t="s">
        <v>50</v>
      </c>
      <c r="M61" s="6766" t="s">
        <v>51</v>
      </c>
      <c r="CA61" s="3366"/>
    </row>
    <row r="62" spans="1:86">
      <c r="A62" s="6767"/>
      <c r="B62" s="6724"/>
      <c r="C62" s="3513" t="s">
        <v>108</v>
      </c>
      <c r="D62" s="2471" t="s">
        <v>58</v>
      </c>
      <c r="E62" s="2471" t="s">
        <v>59</v>
      </c>
      <c r="F62" s="2471" t="s">
        <v>60</v>
      </c>
      <c r="G62" s="2471" t="s">
        <v>61</v>
      </c>
      <c r="H62" s="2471" t="s">
        <v>62</v>
      </c>
      <c r="I62" s="2471" t="s">
        <v>63</v>
      </c>
      <c r="J62" s="2471" t="s">
        <v>64</v>
      </c>
      <c r="K62" s="3522" t="s">
        <v>65</v>
      </c>
      <c r="L62" s="6075"/>
      <c r="M62" s="6767"/>
      <c r="CA62" s="3366"/>
    </row>
    <row r="63" spans="1:86" ht="21">
      <c r="A63" s="3523" t="s">
        <v>2075</v>
      </c>
      <c r="B63" s="3524"/>
      <c r="C63" s="3525"/>
      <c r="D63" s="3525"/>
      <c r="E63" s="3525"/>
      <c r="F63" s="3525"/>
      <c r="G63" s="3525"/>
      <c r="H63" s="3525"/>
      <c r="I63" s="3525"/>
      <c r="J63" s="3525"/>
      <c r="K63" s="3526"/>
      <c r="L63" s="3527"/>
      <c r="M63" s="3501"/>
      <c r="CA63" s="3366"/>
    </row>
    <row r="64" spans="1:86">
      <c r="A64" s="3502" t="s">
        <v>2076</v>
      </c>
      <c r="B64" s="2275">
        <f t="shared" si="0"/>
        <v>0</v>
      </c>
      <c r="C64" s="2307"/>
      <c r="D64" s="2307"/>
      <c r="E64" s="2307"/>
      <c r="F64" s="2307"/>
      <c r="G64" s="2307"/>
      <c r="H64" s="2307"/>
      <c r="I64" s="2307"/>
      <c r="J64" s="2307"/>
      <c r="K64" s="450"/>
      <c r="L64" s="3528"/>
      <c r="M64" s="452"/>
      <c r="N64" s="3373" t="str">
        <f t="shared" ref="N64:N88" si="27">$CA64&amp;$CB64</f>
        <v/>
      </c>
      <c r="CA64" s="3413" t="str">
        <f t="shared" ref="CA64:CA88" si="28">IF(AND(B64&gt;0,L64="")," No olvide digitar la variable Pueblos Originarios. Digite cero si no tiene.",IF(L64&gt;B64," * La variable Pueblos Originarios no puede ser mayor al Total.",""))</f>
        <v/>
      </c>
      <c r="CB64" s="3413" t="str">
        <f t="shared" ref="CB64:CB88" si="29">IF(AND(B64&gt;0,M64="")," No olvide digitar la variable Migrantes. Digite cero si no tiene.",IF(M64&gt;B64," * La variable Migrantes no puede ser mayor al Total.",""))</f>
        <v/>
      </c>
      <c r="CG64" s="3375">
        <f t="shared" ref="CG64:CG88" si="30">IF(AND(B64&gt;0,L64=""),1,IF(L64&gt;B64,1,0))</f>
        <v>0</v>
      </c>
      <c r="CH64" s="3375">
        <f t="shared" ref="CH64:CH88" si="31">IF(AND(B64&gt;0,M64=""),1,IF(M64&gt;B64,1,0))</f>
        <v>0</v>
      </c>
    </row>
    <row r="65" spans="1:86">
      <c r="A65" s="2525" t="s">
        <v>2077</v>
      </c>
      <c r="B65" s="3529">
        <f t="shared" si="0"/>
        <v>0</v>
      </c>
      <c r="C65" s="3385"/>
      <c r="D65" s="3385"/>
      <c r="E65" s="3385"/>
      <c r="F65" s="3385"/>
      <c r="G65" s="3385"/>
      <c r="H65" s="3385"/>
      <c r="I65" s="3385"/>
      <c r="J65" s="3385"/>
      <c r="K65" s="445"/>
      <c r="L65" s="3387"/>
      <c r="M65" s="438"/>
      <c r="N65" s="3373" t="str">
        <f t="shared" si="27"/>
        <v/>
      </c>
      <c r="CA65" s="3413" t="str">
        <f t="shared" si="28"/>
        <v/>
      </c>
      <c r="CB65" s="3413" t="str">
        <f t="shared" si="29"/>
        <v/>
      </c>
      <c r="CG65" s="3375">
        <f t="shared" si="30"/>
        <v>0</v>
      </c>
      <c r="CH65" s="3375">
        <f t="shared" si="31"/>
        <v>0</v>
      </c>
    </row>
    <row r="66" spans="1:86" ht="21">
      <c r="A66" s="3530" t="s">
        <v>2078</v>
      </c>
      <c r="B66" s="3531"/>
      <c r="C66" s="3532"/>
      <c r="D66" s="3533"/>
      <c r="E66" s="3532"/>
      <c r="F66" s="3533"/>
      <c r="G66" s="3532"/>
      <c r="H66" s="3533"/>
      <c r="I66" s="3532"/>
      <c r="J66" s="3533"/>
      <c r="K66" s="3534"/>
      <c r="L66" s="3535"/>
      <c r="M66" s="3536"/>
      <c r="CA66" s="3366"/>
    </row>
    <row r="67" spans="1:86">
      <c r="A67" s="3502" t="s">
        <v>2079</v>
      </c>
      <c r="B67" s="2275">
        <f t="shared" si="0"/>
        <v>0</v>
      </c>
      <c r="C67" s="2307"/>
      <c r="D67" s="2307"/>
      <c r="E67" s="2307"/>
      <c r="F67" s="2307"/>
      <c r="G67" s="2307"/>
      <c r="H67" s="2307"/>
      <c r="I67" s="2307"/>
      <c r="J67" s="2307"/>
      <c r="K67" s="450"/>
      <c r="L67" s="3528"/>
      <c r="M67" s="452"/>
      <c r="N67" s="3373" t="str">
        <f t="shared" si="27"/>
        <v/>
      </c>
      <c r="CA67" s="3413" t="str">
        <f t="shared" si="28"/>
        <v/>
      </c>
      <c r="CB67" s="3413" t="str">
        <f t="shared" si="29"/>
        <v/>
      </c>
      <c r="CG67" s="3375">
        <f t="shared" si="30"/>
        <v>0</v>
      </c>
      <c r="CH67" s="3375">
        <f t="shared" si="31"/>
        <v>0</v>
      </c>
    </row>
    <row r="68" spans="1:86">
      <c r="A68" s="2525" t="s">
        <v>2080</v>
      </c>
      <c r="B68" s="3529">
        <f t="shared" si="0"/>
        <v>0</v>
      </c>
      <c r="C68" s="3385"/>
      <c r="D68" s="3385"/>
      <c r="E68" s="3385"/>
      <c r="F68" s="3385"/>
      <c r="G68" s="3385"/>
      <c r="H68" s="3385"/>
      <c r="I68" s="3385"/>
      <c r="J68" s="3385"/>
      <c r="K68" s="445"/>
      <c r="L68" s="2253"/>
      <c r="M68" s="459"/>
      <c r="N68" s="3373" t="str">
        <f t="shared" si="27"/>
        <v/>
      </c>
      <c r="CA68" s="3413" t="str">
        <f t="shared" si="28"/>
        <v/>
      </c>
      <c r="CB68" s="3413" t="str">
        <f t="shared" si="29"/>
        <v/>
      </c>
      <c r="CG68" s="3375">
        <f t="shared" si="30"/>
        <v>0</v>
      </c>
      <c r="CH68" s="3375">
        <f t="shared" si="31"/>
        <v>0</v>
      </c>
    </row>
    <row r="69" spans="1:86" ht="21">
      <c r="A69" s="3530" t="s">
        <v>2081</v>
      </c>
      <c r="B69" s="3531"/>
      <c r="C69" s="3532"/>
      <c r="D69" s="3533"/>
      <c r="E69" s="3532"/>
      <c r="F69" s="3533"/>
      <c r="G69" s="3532"/>
      <c r="H69" s="3533"/>
      <c r="I69" s="3532"/>
      <c r="J69" s="3533"/>
      <c r="K69" s="3534"/>
      <c r="L69" s="3537"/>
      <c r="M69" s="3536"/>
      <c r="CA69" s="3366"/>
    </row>
    <row r="70" spans="1:86">
      <c r="A70" s="3502" t="s">
        <v>2082</v>
      </c>
      <c r="B70" s="2275">
        <f t="shared" si="0"/>
        <v>0</v>
      </c>
      <c r="C70" s="2307"/>
      <c r="D70" s="2307"/>
      <c r="E70" s="2307"/>
      <c r="F70" s="2307"/>
      <c r="G70" s="2307"/>
      <c r="H70" s="2307"/>
      <c r="I70" s="2307"/>
      <c r="J70" s="2307"/>
      <c r="K70" s="450"/>
      <c r="L70" s="3528"/>
      <c r="M70" s="452"/>
      <c r="N70" s="3373" t="str">
        <f t="shared" si="27"/>
        <v/>
      </c>
      <c r="CA70" s="3413" t="str">
        <f t="shared" si="28"/>
        <v/>
      </c>
      <c r="CB70" s="3413" t="str">
        <f t="shared" si="29"/>
        <v/>
      </c>
      <c r="CG70" s="3375">
        <f t="shared" si="30"/>
        <v>0</v>
      </c>
      <c r="CH70" s="3375">
        <f t="shared" si="31"/>
        <v>0</v>
      </c>
    </row>
    <row r="71" spans="1:86">
      <c r="A71" s="2525" t="s">
        <v>2083</v>
      </c>
      <c r="B71" s="3529">
        <f t="shared" si="0"/>
        <v>0</v>
      </c>
      <c r="C71" s="3385"/>
      <c r="D71" s="3385"/>
      <c r="E71" s="3385"/>
      <c r="F71" s="3385"/>
      <c r="G71" s="3385"/>
      <c r="H71" s="3385"/>
      <c r="I71" s="3385"/>
      <c r="J71" s="3385"/>
      <c r="K71" s="445"/>
      <c r="L71" s="3387"/>
      <c r="M71" s="438"/>
      <c r="N71" s="3373" t="str">
        <f t="shared" si="27"/>
        <v/>
      </c>
      <c r="CA71" s="3413" t="str">
        <f t="shared" si="28"/>
        <v/>
      </c>
      <c r="CB71" s="3413" t="str">
        <f t="shared" si="29"/>
        <v/>
      </c>
      <c r="CG71" s="3375">
        <f t="shared" si="30"/>
        <v>0</v>
      </c>
      <c r="CH71" s="3375">
        <f t="shared" si="31"/>
        <v>0</v>
      </c>
    </row>
    <row r="72" spans="1:86" ht="21">
      <c r="A72" s="3530" t="s">
        <v>2084</v>
      </c>
      <c r="B72" s="3531"/>
      <c r="C72" s="3532"/>
      <c r="D72" s="3535"/>
      <c r="E72" s="3532"/>
      <c r="F72" s="3535"/>
      <c r="G72" s="3532"/>
      <c r="H72" s="3535"/>
      <c r="I72" s="3532"/>
      <c r="J72" s="3535"/>
      <c r="K72" s="3534"/>
      <c r="L72" s="3535"/>
      <c r="M72" s="3536"/>
      <c r="CA72" s="3366"/>
    </row>
    <row r="73" spans="1:86">
      <c r="A73" s="3503" t="s">
        <v>2085</v>
      </c>
      <c r="B73" s="3538">
        <f t="shared" si="0"/>
        <v>0</v>
      </c>
      <c r="C73" s="3519"/>
      <c r="D73" s="3519"/>
      <c r="E73" s="3519"/>
      <c r="F73" s="3519"/>
      <c r="G73" s="3519"/>
      <c r="H73" s="3519"/>
      <c r="I73" s="3519"/>
      <c r="J73" s="3519"/>
      <c r="K73" s="436"/>
      <c r="L73" s="2253"/>
      <c r="M73" s="459"/>
      <c r="N73" s="3373" t="str">
        <f t="shared" si="27"/>
        <v/>
      </c>
      <c r="CA73" s="3413" t="str">
        <f t="shared" si="28"/>
        <v/>
      </c>
      <c r="CB73" s="3413" t="str">
        <f t="shared" si="29"/>
        <v/>
      </c>
      <c r="CG73" s="3375">
        <f t="shared" si="30"/>
        <v>0</v>
      </c>
      <c r="CH73" s="3375">
        <f t="shared" si="31"/>
        <v>0</v>
      </c>
    </row>
    <row r="74" spans="1:86" ht="18" customHeight="1">
      <c r="A74" s="6771" t="s">
        <v>2086</v>
      </c>
      <c r="B74" s="6771"/>
      <c r="C74" s="6771"/>
      <c r="D74" s="6771"/>
      <c r="E74" s="6771"/>
      <c r="F74" s="6771"/>
      <c r="G74" s="6771"/>
      <c r="H74" s="6771"/>
      <c r="I74" s="6771"/>
      <c r="J74" s="6771"/>
      <c r="K74" s="6771"/>
      <c r="CA74" s="3366"/>
    </row>
    <row r="75" spans="1:86">
      <c r="A75" s="6766"/>
      <c r="B75" s="6722" t="s">
        <v>91</v>
      </c>
      <c r="C75" s="6370" t="s">
        <v>43</v>
      </c>
      <c r="D75" s="6370"/>
      <c r="E75" s="6370"/>
      <c r="F75" s="6370"/>
      <c r="G75" s="6370"/>
      <c r="H75" s="6370"/>
      <c r="I75" s="6370"/>
      <c r="J75" s="6370"/>
      <c r="K75" s="6728"/>
      <c r="L75" s="6069" t="s">
        <v>50</v>
      </c>
      <c r="M75" s="6766" t="s">
        <v>51</v>
      </c>
      <c r="CA75" s="3366"/>
    </row>
    <row r="76" spans="1:86">
      <c r="A76" s="6767"/>
      <c r="B76" s="6724"/>
      <c r="C76" s="3513" t="s">
        <v>108</v>
      </c>
      <c r="D76" s="2471" t="s">
        <v>58</v>
      </c>
      <c r="E76" s="2471" t="s">
        <v>59</v>
      </c>
      <c r="F76" s="2471" t="s">
        <v>60</v>
      </c>
      <c r="G76" s="2471" t="s">
        <v>61</v>
      </c>
      <c r="H76" s="2471" t="s">
        <v>62</v>
      </c>
      <c r="I76" s="2471" t="s">
        <v>63</v>
      </c>
      <c r="J76" s="2471" t="s">
        <v>64</v>
      </c>
      <c r="K76" s="3522" t="s">
        <v>65</v>
      </c>
      <c r="L76" s="6075"/>
      <c r="M76" s="6767"/>
      <c r="CA76" s="3366"/>
    </row>
    <row r="77" spans="1:86" ht="22.5" customHeight="1">
      <c r="A77" s="3539" t="s">
        <v>2087</v>
      </c>
      <c r="B77" s="3540"/>
      <c r="C77" s="3525"/>
      <c r="D77" s="3525"/>
      <c r="E77" s="3525"/>
      <c r="F77" s="3525"/>
      <c r="G77" s="3525"/>
      <c r="H77" s="3525"/>
      <c r="I77" s="3525"/>
      <c r="J77" s="3525"/>
      <c r="K77" s="3541"/>
      <c r="L77" s="3527"/>
      <c r="M77" s="3501"/>
      <c r="CA77" s="3366"/>
    </row>
    <row r="78" spans="1:86">
      <c r="A78" s="2494" t="s">
        <v>2088</v>
      </c>
      <c r="B78" s="3542">
        <f t="shared" ref="B78:B88" si="32">SUM(C78:K78)</f>
        <v>0</v>
      </c>
      <c r="C78" s="411"/>
      <c r="D78" s="411"/>
      <c r="E78" s="411"/>
      <c r="F78" s="411"/>
      <c r="G78" s="411"/>
      <c r="H78" s="411"/>
      <c r="I78" s="411"/>
      <c r="J78" s="411"/>
      <c r="K78" s="414"/>
      <c r="L78" s="3543"/>
      <c r="M78" s="416"/>
      <c r="N78" s="3373" t="str">
        <f t="shared" si="27"/>
        <v/>
      </c>
      <c r="CA78" s="3413" t="str">
        <f t="shared" si="28"/>
        <v/>
      </c>
      <c r="CB78" s="3413" t="str">
        <f t="shared" si="29"/>
        <v/>
      </c>
      <c r="CG78" s="3375">
        <f t="shared" si="30"/>
        <v>0</v>
      </c>
      <c r="CH78" s="3375">
        <f t="shared" si="31"/>
        <v>0</v>
      </c>
    </row>
    <row r="79" spans="1:86">
      <c r="A79" s="2494" t="s">
        <v>2089</v>
      </c>
      <c r="B79" s="3542">
        <f t="shared" si="32"/>
        <v>0</v>
      </c>
      <c r="C79" s="411"/>
      <c r="D79" s="411"/>
      <c r="E79" s="411"/>
      <c r="F79" s="411"/>
      <c r="G79" s="411"/>
      <c r="H79" s="411"/>
      <c r="I79" s="411"/>
      <c r="J79" s="411"/>
      <c r="K79" s="414"/>
      <c r="L79" s="3543"/>
      <c r="M79" s="416"/>
      <c r="N79" s="3373" t="str">
        <f t="shared" si="27"/>
        <v/>
      </c>
      <c r="CA79" s="3413" t="str">
        <f t="shared" si="28"/>
        <v/>
      </c>
      <c r="CB79" s="3413" t="str">
        <f t="shared" si="29"/>
        <v/>
      </c>
      <c r="CG79" s="3375">
        <f t="shared" si="30"/>
        <v>0</v>
      </c>
      <c r="CH79" s="3375">
        <f t="shared" si="31"/>
        <v>0</v>
      </c>
    </row>
    <row r="80" spans="1:86" ht="21">
      <c r="A80" s="3544" t="s">
        <v>2090</v>
      </c>
      <c r="B80" s="3545">
        <f t="shared" si="32"/>
        <v>0</v>
      </c>
      <c r="C80" s="3385"/>
      <c r="D80" s="3385"/>
      <c r="E80" s="3385"/>
      <c r="F80" s="3385"/>
      <c r="G80" s="3385"/>
      <c r="H80" s="3385"/>
      <c r="I80" s="3385"/>
      <c r="J80" s="3385"/>
      <c r="K80" s="445"/>
      <c r="L80" s="3387"/>
      <c r="M80" s="438"/>
      <c r="N80" s="3373" t="str">
        <f t="shared" si="27"/>
        <v/>
      </c>
      <c r="CA80" s="3413" t="str">
        <f t="shared" si="28"/>
        <v/>
      </c>
      <c r="CB80" s="3413" t="str">
        <f t="shared" si="29"/>
        <v/>
      </c>
      <c r="CG80" s="3375">
        <f t="shared" si="30"/>
        <v>0</v>
      </c>
      <c r="CH80" s="3375">
        <f t="shared" si="31"/>
        <v>0</v>
      </c>
    </row>
    <row r="81" spans="1:86" ht="21" customHeight="1">
      <c r="A81" s="3530" t="s">
        <v>2091</v>
      </c>
      <c r="B81" s="3546"/>
      <c r="C81" s="3535"/>
      <c r="D81" s="3535"/>
      <c r="E81" s="3535"/>
      <c r="F81" s="3535"/>
      <c r="G81" s="3535"/>
      <c r="H81" s="3535"/>
      <c r="I81" s="3535"/>
      <c r="J81" s="3535"/>
      <c r="K81" s="3547"/>
      <c r="L81" s="3535"/>
      <c r="M81" s="3536"/>
      <c r="CA81" s="3366"/>
    </row>
    <row r="82" spans="1:86">
      <c r="A82" s="2494" t="s">
        <v>2088</v>
      </c>
      <c r="B82" s="3542">
        <f t="shared" si="32"/>
        <v>0</v>
      </c>
      <c r="C82" s="411"/>
      <c r="D82" s="411"/>
      <c r="E82" s="411"/>
      <c r="F82" s="411"/>
      <c r="G82" s="411"/>
      <c r="H82" s="411"/>
      <c r="I82" s="411"/>
      <c r="J82" s="411"/>
      <c r="K82" s="414"/>
      <c r="L82" s="3543"/>
      <c r="M82" s="416"/>
      <c r="N82" s="3373" t="str">
        <f t="shared" si="27"/>
        <v/>
      </c>
      <c r="CA82" s="3413" t="str">
        <f t="shared" si="28"/>
        <v/>
      </c>
      <c r="CB82" s="3413" t="str">
        <f t="shared" si="29"/>
        <v/>
      </c>
      <c r="CG82" s="3375">
        <f t="shared" si="30"/>
        <v>0</v>
      </c>
      <c r="CH82" s="3375">
        <f t="shared" si="31"/>
        <v>0</v>
      </c>
    </row>
    <row r="83" spans="1:86">
      <c r="A83" s="2494" t="s">
        <v>2089</v>
      </c>
      <c r="B83" s="3542">
        <f t="shared" si="32"/>
        <v>0</v>
      </c>
      <c r="C83" s="411"/>
      <c r="D83" s="411"/>
      <c r="E83" s="411"/>
      <c r="F83" s="411"/>
      <c r="G83" s="411"/>
      <c r="H83" s="411"/>
      <c r="I83" s="411"/>
      <c r="J83" s="411"/>
      <c r="K83" s="414"/>
      <c r="L83" s="3543"/>
      <c r="M83" s="416"/>
      <c r="N83" s="3373" t="str">
        <f t="shared" si="27"/>
        <v/>
      </c>
      <c r="CA83" s="3413" t="str">
        <f t="shared" si="28"/>
        <v/>
      </c>
      <c r="CB83" s="3413" t="str">
        <f t="shared" si="29"/>
        <v/>
      </c>
      <c r="CG83" s="3375">
        <f t="shared" si="30"/>
        <v>0</v>
      </c>
      <c r="CH83" s="3375">
        <f t="shared" si="31"/>
        <v>0</v>
      </c>
    </row>
    <row r="84" spans="1:86" ht="21">
      <c r="A84" s="3544" t="s">
        <v>2090</v>
      </c>
      <c r="B84" s="3545">
        <f t="shared" si="32"/>
        <v>0</v>
      </c>
      <c r="C84" s="3385"/>
      <c r="D84" s="3385"/>
      <c r="E84" s="3385"/>
      <c r="F84" s="3385"/>
      <c r="G84" s="3385"/>
      <c r="H84" s="3385"/>
      <c r="I84" s="3385"/>
      <c r="J84" s="3385"/>
      <c r="K84" s="445"/>
      <c r="L84" s="3387"/>
      <c r="M84" s="438"/>
      <c r="N84" s="3373" t="str">
        <f t="shared" si="27"/>
        <v/>
      </c>
      <c r="CA84" s="3413" t="str">
        <f t="shared" si="28"/>
        <v/>
      </c>
      <c r="CB84" s="3413" t="str">
        <f t="shared" si="29"/>
        <v/>
      </c>
      <c r="CG84" s="3375">
        <f t="shared" si="30"/>
        <v>0</v>
      </c>
      <c r="CH84" s="3375">
        <f t="shared" si="31"/>
        <v>0</v>
      </c>
    </row>
    <row r="85" spans="1:86" ht="21" customHeight="1">
      <c r="A85" s="3530" t="s">
        <v>2092</v>
      </c>
      <c r="B85" s="3546"/>
      <c r="C85" s="3535"/>
      <c r="D85" s="3535"/>
      <c r="E85" s="3535"/>
      <c r="F85" s="3535"/>
      <c r="G85" s="3535"/>
      <c r="H85" s="3535"/>
      <c r="I85" s="3535"/>
      <c r="J85" s="3535"/>
      <c r="K85" s="3547"/>
      <c r="L85" s="3535"/>
      <c r="M85" s="3536"/>
      <c r="CA85" s="3366"/>
    </row>
    <row r="86" spans="1:86">
      <c r="A86" s="2494" t="s">
        <v>2088</v>
      </c>
      <c r="B86" s="3542">
        <f t="shared" si="32"/>
        <v>0</v>
      </c>
      <c r="C86" s="411"/>
      <c r="D86" s="411"/>
      <c r="E86" s="411"/>
      <c r="F86" s="411"/>
      <c r="G86" s="411"/>
      <c r="H86" s="411"/>
      <c r="I86" s="411"/>
      <c r="J86" s="411"/>
      <c r="K86" s="414"/>
      <c r="L86" s="3543"/>
      <c r="M86" s="416"/>
      <c r="N86" s="3373" t="str">
        <f t="shared" si="27"/>
        <v/>
      </c>
      <c r="CA86" s="3413" t="str">
        <f t="shared" si="28"/>
        <v/>
      </c>
      <c r="CB86" s="3413" t="str">
        <f t="shared" si="29"/>
        <v/>
      </c>
      <c r="CG86" s="3375">
        <f t="shared" si="30"/>
        <v>0</v>
      </c>
      <c r="CH86" s="3375">
        <f t="shared" si="31"/>
        <v>0</v>
      </c>
    </row>
    <row r="87" spans="1:86">
      <c r="A87" s="2494" t="s">
        <v>2089</v>
      </c>
      <c r="B87" s="3542">
        <f t="shared" si="32"/>
        <v>0</v>
      </c>
      <c r="C87" s="411"/>
      <c r="D87" s="411"/>
      <c r="E87" s="411"/>
      <c r="F87" s="411"/>
      <c r="G87" s="411"/>
      <c r="H87" s="411"/>
      <c r="I87" s="411"/>
      <c r="J87" s="411"/>
      <c r="K87" s="414"/>
      <c r="L87" s="3543"/>
      <c r="M87" s="416"/>
      <c r="N87" s="3373" t="str">
        <f t="shared" si="27"/>
        <v/>
      </c>
      <c r="CA87" s="3413" t="str">
        <f t="shared" si="28"/>
        <v/>
      </c>
      <c r="CB87" s="3413" t="str">
        <f t="shared" si="29"/>
        <v/>
      </c>
      <c r="CG87" s="3375">
        <f t="shared" si="30"/>
        <v>0</v>
      </c>
      <c r="CH87" s="3375">
        <f t="shared" si="31"/>
        <v>0</v>
      </c>
    </row>
    <row r="88" spans="1:86" ht="21">
      <c r="A88" s="3544" t="s">
        <v>2093</v>
      </c>
      <c r="B88" s="3545">
        <f t="shared" si="32"/>
        <v>0</v>
      </c>
      <c r="C88" s="3385"/>
      <c r="D88" s="3385"/>
      <c r="E88" s="3385"/>
      <c r="F88" s="3385"/>
      <c r="G88" s="3385"/>
      <c r="H88" s="3385"/>
      <c r="I88" s="3385"/>
      <c r="J88" s="3385"/>
      <c r="K88" s="445"/>
      <c r="L88" s="2253"/>
      <c r="M88" s="459"/>
      <c r="N88" s="3373" t="str">
        <f t="shared" si="27"/>
        <v/>
      </c>
      <c r="CA88" s="3413" t="str">
        <f t="shared" si="28"/>
        <v/>
      </c>
      <c r="CB88" s="3413" t="str">
        <f t="shared" si="29"/>
        <v/>
      </c>
      <c r="CG88" s="3375">
        <f t="shared" si="30"/>
        <v>0</v>
      </c>
      <c r="CH88" s="3375">
        <f t="shared" si="31"/>
        <v>0</v>
      </c>
    </row>
    <row r="89" spans="1:86" ht="18" customHeight="1">
      <c r="A89" s="6779" t="s">
        <v>2094</v>
      </c>
      <c r="B89" s="6779"/>
      <c r="C89" s="6779"/>
      <c r="D89" s="6779"/>
      <c r="E89" s="6779"/>
      <c r="F89" s="6779"/>
      <c r="G89" s="6779"/>
      <c r="H89" s="6779"/>
      <c r="I89" s="6779"/>
      <c r="J89" s="6779"/>
      <c r="K89" s="6779"/>
      <c r="CA89" s="3366"/>
    </row>
    <row r="90" spans="1:86" ht="21">
      <c r="A90" s="2290"/>
      <c r="B90" s="3447" t="s">
        <v>91</v>
      </c>
      <c r="C90" s="1595" t="s">
        <v>50</v>
      </c>
      <c r="D90" s="2290" t="s">
        <v>51</v>
      </c>
      <c r="CA90" s="3366"/>
    </row>
    <row r="91" spans="1:86" ht="22.5">
      <c r="A91" s="3502" t="s">
        <v>2095</v>
      </c>
      <c r="B91" s="3515"/>
      <c r="C91" s="3543"/>
      <c r="D91" s="416"/>
      <c r="E91" s="3373" t="str">
        <f t="shared" ref="E91:E96" si="33">CA91&amp;CB91</f>
        <v/>
      </c>
      <c r="CA91" s="3413" t="str">
        <f t="shared" ref="CA91:CA96" si="34">IF(AND(B91&gt;0,C91="")," No olvide digitar la variable Pueblos Originarios. Digite cero si no tiene.",IF(C91&gt;B91," * La variable Pueblos Originarios no puede ser mayor al Total.",""))</f>
        <v/>
      </c>
      <c r="CB91" s="3413" t="str">
        <f t="shared" ref="CB91:CB96" si="35">IF(AND(B91&gt;0,D91="")," No olvide digitar la variable Migrantes. Digite cero si no tiene.",IF(D91&gt;B91," * La variable Migrantes no puede ser mayor al Total.",""))</f>
        <v/>
      </c>
      <c r="CG91" s="3375">
        <f t="shared" ref="CG91:CG96" si="36">IF(AND(B91&gt;0,C91=""),1,IF(C91&gt;B91,1,0))</f>
        <v>0</v>
      </c>
      <c r="CH91" s="3375">
        <f t="shared" ref="CH91:CH96" si="37">IF(AND(B91&gt;0,D91=""),1,IF(D91&gt;B91,1,0))</f>
        <v>0</v>
      </c>
    </row>
    <row r="92" spans="1:86" ht="21">
      <c r="A92" s="3544" t="s">
        <v>2096</v>
      </c>
      <c r="B92" s="3516"/>
      <c r="C92" s="3387"/>
      <c r="D92" s="438"/>
      <c r="E92" s="3373" t="str">
        <f t="shared" si="33"/>
        <v/>
      </c>
      <c r="CA92" s="3413" t="str">
        <f t="shared" si="34"/>
        <v/>
      </c>
      <c r="CB92" s="3413" t="str">
        <f t="shared" si="35"/>
        <v/>
      </c>
      <c r="CG92" s="3375">
        <f t="shared" si="36"/>
        <v>0</v>
      </c>
      <c r="CH92" s="3375">
        <f t="shared" si="37"/>
        <v>0</v>
      </c>
    </row>
    <row r="93" spans="1:86" ht="18" customHeight="1">
      <c r="A93" s="6771" t="s">
        <v>2097</v>
      </c>
      <c r="B93" s="6771"/>
      <c r="C93" s="6771"/>
      <c r="D93" s="6771"/>
      <c r="CA93" s="3366"/>
    </row>
    <row r="94" spans="1:86" ht="21">
      <c r="A94" s="2290"/>
      <c r="B94" s="3447" t="s">
        <v>91</v>
      </c>
      <c r="C94" s="1595" t="s">
        <v>50</v>
      </c>
      <c r="D94" s="2290" t="s">
        <v>51</v>
      </c>
      <c r="CA94" s="3366"/>
    </row>
    <row r="95" spans="1:86" ht="17.25" customHeight="1">
      <c r="A95" s="2494" t="s">
        <v>2098</v>
      </c>
      <c r="B95" s="3515"/>
      <c r="C95" s="3543"/>
      <c r="D95" s="416"/>
      <c r="E95" s="3373" t="str">
        <f t="shared" si="33"/>
        <v/>
      </c>
      <c r="CA95" s="3413" t="str">
        <f t="shared" si="34"/>
        <v/>
      </c>
      <c r="CB95" s="3413" t="str">
        <f t="shared" si="35"/>
        <v/>
      </c>
      <c r="CG95" s="3375">
        <f t="shared" si="36"/>
        <v>0</v>
      </c>
      <c r="CH95" s="3375">
        <f t="shared" si="37"/>
        <v>0</v>
      </c>
    </row>
    <row r="96" spans="1:86" ht="22.5">
      <c r="A96" s="2525" t="s">
        <v>2099</v>
      </c>
      <c r="B96" s="3516"/>
      <c r="C96" s="3387"/>
      <c r="D96" s="438"/>
      <c r="E96" s="3373" t="str">
        <f t="shared" si="33"/>
        <v/>
      </c>
      <c r="CA96" s="3413" t="str">
        <f t="shared" si="34"/>
        <v/>
      </c>
      <c r="CB96" s="3413" t="str">
        <f t="shared" si="35"/>
        <v/>
      </c>
      <c r="CG96" s="3375">
        <f t="shared" si="36"/>
        <v>0</v>
      </c>
      <c r="CH96" s="3375">
        <f t="shared" si="37"/>
        <v>0</v>
      </c>
    </row>
    <row r="97" spans="1:86">
      <c r="A97" s="6765" t="s">
        <v>2100</v>
      </c>
      <c r="B97" s="6765"/>
      <c r="C97" s="6765"/>
      <c r="D97" s="6765"/>
      <c r="E97" s="6765"/>
      <c r="F97" s="6765"/>
      <c r="G97" s="6765"/>
      <c r="H97" s="6765"/>
      <c r="I97" s="6765"/>
      <c r="J97" s="6765"/>
      <c r="K97" s="6765"/>
      <c r="L97" s="6765"/>
      <c r="M97" s="6765"/>
      <c r="N97" s="6765"/>
      <c r="O97" s="6765"/>
      <c r="P97" s="6765"/>
      <c r="Q97" s="6765"/>
      <c r="R97" s="6765"/>
      <c r="S97" s="3366"/>
      <c r="T97" s="3366"/>
    </row>
    <row r="98" spans="1:86">
      <c r="A98" s="6766" t="s">
        <v>725</v>
      </c>
      <c r="B98" s="6766" t="s">
        <v>91</v>
      </c>
      <c r="C98" s="6494" t="s">
        <v>2101</v>
      </c>
      <c r="D98" s="6494"/>
      <c r="E98" s="6494"/>
      <c r="F98" s="6494"/>
      <c r="G98" s="6494"/>
      <c r="H98" s="6494"/>
      <c r="I98" s="6494"/>
      <c r="J98" s="6494"/>
      <c r="K98" s="6494"/>
      <c r="L98" s="6737"/>
      <c r="M98" s="6768" t="s">
        <v>50</v>
      </c>
      <c r="N98" s="6766" t="s">
        <v>51</v>
      </c>
    </row>
    <row r="99" spans="1:86" ht="21">
      <c r="A99" s="6767"/>
      <c r="B99" s="6767"/>
      <c r="C99" s="1497" t="s">
        <v>108</v>
      </c>
      <c r="D99" s="1498" t="s">
        <v>58</v>
      </c>
      <c r="E99" s="1498" t="s">
        <v>59</v>
      </c>
      <c r="F99" s="1498" t="s">
        <v>60</v>
      </c>
      <c r="G99" s="1498" t="s">
        <v>61</v>
      </c>
      <c r="H99" s="1498" t="s">
        <v>62</v>
      </c>
      <c r="I99" s="1498" t="s">
        <v>63</v>
      </c>
      <c r="J99" s="1498" t="s">
        <v>64</v>
      </c>
      <c r="K99" s="1498" t="s">
        <v>65</v>
      </c>
      <c r="L99" s="3407" t="s">
        <v>732</v>
      </c>
      <c r="M99" s="6769"/>
      <c r="N99" s="6767"/>
    </row>
    <row r="100" spans="1:86">
      <c r="A100" s="3548" t="s">
        <v>2102</v>
      </c>
      <c r="B100" s="2152">
        <f t="shared" ref="B100:B105" si="38">SUM(C100:L100)</f>
        <v>0</v>
      </c>
      <c r="C100" s="1480"/>
      <c r="D100" s="1541"/>
      <c r="E100" s="1541"/>
      <c r="F100" s="1541"/>
      <c r="G100" s="1541"/>
      <c r="H100" s="1541"/>
      <c r="I100" s="1541"/>
      <c r="J100" s="1541"/>
      <c r="K100" s="1541"/>
      <c r="L100" s="1725"/>
      <c r="M100" s="1445"/>
      <c r="N100" s="1483"/>
      <c r="O100" s="417" t="s">
        <v>2103</v>
      </c>
      <c r="CA100" s="3413" t="str">
        <f t="shared" ref="CA100:CA105" si="39">IF(AND($B100&gt;0,M100="")," No olvide digitar la variable Pueblos Originarios. Digite cero si no tiene.",IF(M100&gt;$B100," * La variable Pueblos Originarios no puede ser mayor al Total.",""))</f>
        <v/>
      </c>
      <c r="CB100" s="3413" t="str">
        <f t="shared" ref="CB100:CB105" si="40">IF(AND($B100&gt;0,N100="")," No olvide digitar la variable Migrantes. Digite cero si no tiene.",IF(N100&gt;$B100," * La variable Migrantes no puede ser mayor al Total.",""))</f>
        <v/>
      </c>
      <c r="CG100" s="3375">
        <f t="shared" ref="CG100:CG105" si="41">IF(AND(B100&gt;0,M100=""),1,IF(M100&gt;B100,1,0))</f>
        <v>0</v>
      </c>
      <c r="CH100" s="3375">
        <f t="shared" ref="CH100:CH105" si="42">IF(AND(B100&gt;0,N100=""),1,IF(N100&gt;B100,1,0))</f>
        <v>0</v>
      </c>
    </row>
    <row r="101" spans="1:86">
      <c r="A101" s="3549" t="s">
        <v>2104</v>
      </c>
      <c r="B101" s="3550">
        <f t="shared" si="38"/>
        <v>0</v>
      </c>
      <c r="C101" s="1440"/>
      <c r="D101" s="1442"/>
      <c r="E101" s="1442"/>
      <c r="F101" s="1442"/>
      <c r="G101" s="1442"/>
      <c r="H101" s="1442"/>
      <c r="I101" s="1442"/>
      <c r="J101" s="1442"/>
      <c r="K101" s="1442"/>
      <c r="L101" s="1655"/>
      <c r="M101" s="1445"/>
      <c r="N101" s="1446"/>
      <c r="O101" s="417" t="s">
        <v>2103</v>
      </c>
      <c r="CA101" s="3413" t="str">
        <f t="shared" si="39"/>
        <v/>
      </c>
      <c r="CB101" s="3413" t="str">
        <f t="shared" si="40"/>
        <v/>
      </c>
      <c r="CG101" s="3375">
        <f t="shared" si="41"/>
        <v>0</v>
      </c>
      <c r="CH101" s="3375">
        <f t="shared" si="42"/>
        <v>0</v>
      </c>
    </row>
    <row r="102" spans="1:86">
      <c r="A102" s="3549" t="s">
        <v>2105</v>
      </c>
      <c r="B102" s="3551">
        <f t="shared" si="38"/>
        <v>0</v>
      </c>
      <c r="C102" s="1440"/>
      <c r="D102" s="1442"/>
      <c r="E102" s="1442"/>
      <c r="F102" s="1442"/>
      <c r="G102" s="1442"/>
      <c r="H102" s="1442"/>
      <c r="I102" s="1442"/>
      <c r="J102" s="1442"/>
      <c r="K102" s="1442"/>
      <c r="L102" s="1655"/>
      <c r="M102" s="1445"/>
      <c r="N102" s="1446"/>
      <c r="O102" s="417" t="s">
        <v>2103</v>
      </c>
      <c r="CA102" s="3413" t="str">
        <f t="shared" si="39"/>
        <v/>
      </c>
      <c r="CB102" s="3413" t="str">
        <f t="shared" si="40"/>
        <v/>
      </c>
      <c r="CG102" s="3375">
        <f t="shared" si="41"/>
        <v>0</v>
      </c>
      <c r="CH102" s="3375">
        <f t="shared" si="42"/>
        <v>0</v>
      </c>
    </row>
    <row r="103" spans="1:86" ht="21">
      <c r="A103" s="3549" t="s">
        <v>2106</v>
      </c>
      <c r="B103" s="3551">
        <f t="shared" si="38"/>
        <v>0</v>
      </c>
      <c r="C103" s="1440"/>
      <c r="D103" s="1442"/>
      <c r="E103" s="1442"/>
      <c r="F103" s="1442"/>
      <c r="G103" s="1442"/>
      <c r="H103" s="1442"/>
      <c r="I103" s="1442"/>
      <c r="J103" s="1442"/>
      <c r="K103" s="1442"/>
      <c r="L103" s="1655"/>
      <c r="M103" s="1445"/>
      <c r="N103" s="1446"/>
      <c r="O103" s="417" t="s">
        <v>2103</v>
      </c>
      <c r="CA103" s="3413" t="str">
        <f t="shared" si="39"/>
        <v/>
      </c>
      <c r="CB103" s="3413" t="str">
        <f t="shared" si="40"/>
        <v/>
      </c>
      <c r="CG103" s="3375">
        <f t="shared" si="41"/>
        <v>0</v>
      </c>
      <c r="CH103" s="3375">
        <f t="shared" si="42"/>
        <v>0</v>
      </c>
    </row>
    <row r="104" spans="1:86">
      <c r="A104" s="3549" t="s">
        <v>2107</v>
      </c>
      <c r="B104" s="3551">
        <f t="shared" si="38"/>
        <v>0</v>
      </c>
      <c r="C104" s="1485"/>
      <c r="D104" s="1712"/>
      <c r="E104" s="1712"/>
      <c r="F104" s="1712"/>
      <c r="G104" s="1712"/>
      <c r="H104" s="1712"/>
      <c r="I104" s="1712"/>
      <c r="J104" s="1712"/>
      <c r="K104" s="1712"/>
      <c r="L104" s="1710"/>
      <c r="M104" s="1693"/>
      <c r="N104" s="1488"/>
      <c r="O104" s="417"/>
      <c r="CA104" s="3413" t="str">
        <f t="shared" si="39"/>
        <v/>
      </c>
      <c r="CB104" s="3413" t="str">
        <f t="shared" si="40"/>
        <v/>
      </c>
      <c r="CG104" s="3375">
        <f t="shared" si="41"/>
        <v>0</v>
      </c>
      <c r="CH104" s="3375">
        <f t="shared" si="42"/>
        <v>0</v>
      </c>
    </row>
    <row r="105" spans="1:86">
      <c r="A105" s="3552" t="s">
        <v>2108</v>
      </c>
      <c r="B105" s="3553">
        <f t="shared" si="38"/>
        <v>0</v>
      </c>
      <c r="C105" s="1455"/>
      <c r="D105" s="1457"/>
      <c r="E105" s="1457"/>
      <c r="F105" s="1457"/>
      <c r="G105" s="1457"/>
      <c r="H105" s="1457"/>
      <c r="I105" s="1457"/>
      <c r="J105" s="1457"/>
      <c r="K105" s="1457"/>
      <c r="L105" s="1660"/>
      <c r="M105" s="1460"/>
      <c r="N105" s="1461"/>
      <c r="O105" s="417" t="s">
        <v>2103</v>
      </c>
      <c r="CA105" s="3413" t="str">
        <f t="shared" si="39"/>
        <v/>
      </c>
      <c r="CB105" s="3413" t="str">
        <f t="shared" si="40"/>
        <v/>
      </c>
      <c r="CG105" s="3375">
        <f t="shared" si="41"/>
        <v>0</v>
      </c>
      <c r="CH105" s="3375">
        <f t="shared" si="42"/>
        <v>0</v>
      </c>
    </row>
    <row r="106" spans="1:86">
      <c r="A106" s="5717" t="s">
        <v>2109</v>
      </c>
      <c r="B106" s="5717"/>
      <c r="C106" s="5717"/>
      <c r="D106" s="5717"/>
      <c r="E106" s="5717"/>
      <c r="F106" s="5717"/>
      <c r="G106" s="5717"/>
      <c r="H106" s="5717"/>
      <c r="I106" s="5717"/>
      <c r="J106" s="5717"/>
      <c r="K106" s="5717"/>
      <c r="L106" s="5717"/>
      <c r="M106" s="5717"/>
      <c r="N106" s="5717"/>
      <c r="O106" s="5713"/>
      <c r="P106" s="5713"/>
      <c r="Q106" s="5713"/>
      <c r="R106" s="5713"/>
      <c r="S106" s="512"/>
      <c r="T106" s="512"/>
      <c r="U106" s="385"/>
      <c r="V106" s="385"/>
      <c r="W106" s="385"/>
      <c r="X106" s="385"/>
      <c r="Y106" s="385"/>
      <c r="Z106" s="385"/>
      <c r="AA106" s="385"/>
      <c r="AB106" s="385"/>
      <c r="AC106" s="385"/>
      <c r="AD106" s="385"/>
      <c r="AE106" s="385"/>
      <c r="AF106" s="385"/>
      <c r="AG106" s="385"/>
      <c r="AH106" s="385"/>
      <c r="AI106" s="385"/>
      <c r="AJ106" s="385"/>
    </row>
    <row r="107" spans="1:86">
      <c r="A107" s="6766" t="s">
        <v>2110</v>
      </c>
      <c r="B107" s="6766" t="s">
        <v>91</v>
      </c>
      <c r="C107" s="6727" t="s">
        <v>43</v>
      </c>
      <c r="D107" s="6370"/>
      <c r="E107" s="6370"/>
      <c r="F107" s="6370"/>
      <c r="G107" s="6370"/>
      <c r="H107" s="6370"/>
      <c r="I107" s="6370"/>
      <c r="J107" s="6370"/>
      <c r="K107" s="6370"/>
      <c r="L107" s="6370"/>
      <c r="M107" s="6370"/>
      <c r="N107" s="6370"/>
      <c r="O107" s="6370"/>
      <c r="P107" s="6370"/>
      <c r="Q107" s="6370"/>
      <c r="R107" s="6728"/>
      <c r="S107" s="6768" t="s">
        <v>50</v>
      </c>
      <c r="T107" s="6766" t="s">
        <v>51</v>
      </c>
    </row>
    <row r="108" spans="1:86" ht="21">
      <c r="A108" s="6767"/>
      <c r="B108" s="6767"/>
      <c r="C108" s="1497" t="s">
        <v>94</v>
      </c>
      <c r="D108" s="1498" t="s">
        <v>95</v>
      </c>
      <c r="E108" s="1498" t="s">
        <v>96</v>
      </c>
      <c r="F108" s="1498" t="s">
        <v>97</v>
      </c>
      <c r="G108" s="1498" t="s">
        <v>98</v>
      </c>
      <c r="H108" s="1498" t="s">
        <v>2111</v>
      </c>
      <c r="I108" s="1498" t="s">
        <v>100</v>
      </c>
      <c r="J108" s="1498" t="s">
        <v>2112</v>
      </c>
      <c r="K108" s="1498" t="s">
        <v>2113</v>
      </c>
      <c r="L108" s="1498" t="s">
        <v>2114</v>
      </c>
      <c r="M108" s="1498" t="s">
        <v>2115</v>
      </c>
      <c r="N108" s="1498" t="s">
        <v>2116</v>
      </c>
      <c r="O108" s="1498" t="s">
        <v>425</v>
      </c>
      <c r="P108" s="3554" t="s">
        <v>2117</v>
      </c>
      <c r="Q108" s="3554" t="s">
        <v>2118</v>
      </c>
      <c r="R108" s="2472" t="s">
        <v>2119</v>
      </c>
      <c r="S108" s="6769"/>
      <c r="T108" s="6767"/>
    </row>
    <row r="109" spans="1:86">
      <c r="A109" s="3548" t="s">
        <v>2120</v>
      </c>
      <c r="B109" s="2152">
        <f t="shared" ref="B109:B113" si="43">SUM(C109:R109)</f>
        <v>0</v>
      </c>
      <c r="C109" s="1424"/>
      <c r="D109" s="1426"/>
      <c r="E109" s="1426"/>
      <c r="F109" s="1426"/>
      <c r="G109" s="1426"/>
      <c r="H109" s="1426"/>
      <c r="I109" s="1426"/>
      <c r="J109" s="1426"/>
      <c r="K109" s="1426"/>
      <c r="L109" s="1426"/>
      <c r="M109" s="1426"/>
      <c r="N109" s="1426"/>
      <c r="O109" s="1426"/>
      <c r="P109" s="1426"/>
      <c r="Q109" s="1426"/>
      <c r="R109" s="1650"/>
      <c r="S109" s="1429"/>
      <c r="T109" s="1430"/>
      <c r="U109" s="417" t="s">
        <v>2103</v>
      </c>
      <c r="CA109" s="3413" t="str">
        <f t="shared" ref="CA109:CA113" si="44">IF(AND($B109&gt;0,S109="")," No olvide digitar la variable Pueblos Originarios. Digite cero si no tiene.",IF(S109&gt;$B109," * La variable Pueblos Originarios no puede ser mayor al Total.",""))</f>
        <v/>
      </c>
      <c r="CB109" s="3413" t="str">
        <f t="shared" ref="CB109:CB113" si="45">IF(AND($B109&gt;0,T109="")," No olvide digitar la variable Migrantes. Digite cero si no tiene.",IF(T109&gt;$B109," * La variable Migrantes no puede ser mayor al Total.",""))</f>
        <v/>
      </c>
      <c r="CG109" s="3375">
        <f t="shared" ref="CG109:CG113" si="46">IF(AND(B109&gt;0,S109=""),1,IF(S109&gt;B109,1,0))</f>
        <v>0</v>
      </c>
      <c r="CH109" s="3375">
        <f t="shared" ref="CH109:CH113" si="47">IF(AND(B109&gt;0,T109=""),1,IF(T109&gt;B109,1,0))</f>
        <v>0</v>
      </c>
    </row>
    <row r="110" spans="1:86" ht="21">
      <c r="A110" s="3549" t="s">
        <v>2121</v>
      </c>
      <c r="B110" s="3555">
        <f t="shared" si="43"/>
        <v>0</v>
      </c>
      <c r="C110" s="1440"/>
      <c r="D110" s="1442"/>
      <c r="E110" s="1442"/>
      <c r="F110" s="1442"/>
      <c r="G110" s="1442"/>
      <c r="H110" s="1442"/>
      <c r="I110" s="1442"/>
      <c r="J110" s="1442"/>
      <c r="K110" s="1442"/>
      <c r="L110" s="1442"/>
      <c r="M110" s="1442"/>
      <c r="N110" s="1442"/>
      <c r="O110" s="1442"/>
      <c r="P110" s="1442"/>
      <c r="Q110" s="1442"/>
      <c r="R110" s="1655"/>
      <c r="S110" s="1445"/>
      <c r="T110" s="1446"/>
      <c r="U110" s="417" t="s">
        <v>2103</v>
      </c>
      <c r="CA110" s="3413" t="str">
        <f t="shared" si="44"/>
        <v/>
      </c>
      <c r="CB110" s="3413" t="str">
        <f t="shared" si="45"/>
        <v/>
      </c>
      <c r="CG110" s="3375">
        <f t="shared" si="46"/>
        <v>0</v>
      </c>
      <c r="CH110" s="3375">
        <f t="shared" si="47"/>
        <v>0</v>
      </c>
    </row>
    <row r="111" spans="1:86" ht="22.5">
      <c r="A111" s="3486" t="s">
        <v>2122</v>
      </c>
      <c r="B111" s="3550">
        <f t="shared" si="43"/>
        <v>0</v>
      </c>
      <c r="C111" s="1440"/>
      <c r="D111" s="1442"/>
      <c r="E111" s="1442"/>
      <c r="F111" s="1442"/>
      <c r="G111" s="1442"/>
      <c r="H111" s="1442"/>
      <c r="I111" s="1442"/>
      <c r="J111" s="1442"/>
      <c r="K111" s="1442"/>
      <c r="L111" s="1442"/>
      <c r="M111" s="1442"/>
      <c r="N111" s="1442"/>
      <c r="O111" s="1442"/>
      <c r="P111" s="1442"/>
      <c r="Q111" s="1442"/>
      <c r="R111" s="1655"/>
      <c r="S111" s="1445"/>
      <c r="T111" s="1446"/>
      <c r="U111" s="417" t="s">
        <v>2103</v>
      </c>
      <c r="CA111" s="3413" t="str">
        <f t="shared" si="44"/>
        <v/>
      </c>
      <c r="CB111" s="3413" t="str">
        <f t="shared" si="45"/>
        <v/>
      </c>
      <c r="CG111" s="3375">
        <f t="shared" si="46"/>
        <v>0</v>
      </c>
      <c r="CH111" s="3375">
        <f t="shared" si="47"/>
        <v>0</v>
      </c>
    </row>
    <row r="112" spans="1:86" ht="22.5">
      <c r="A112" s="2508" t="s">
        <v>2123</v>
      </c>
      <c r="B112" s="3551">
        <f t="shared" si="43"/>
        <v>0</v>
      </c>
      <c r="C112" s="1440"/>
      <c r="D112" s="1442"/>
      <c r="E112" s="1442"/>
      <c r="F112" s="1442"/>
      <c r="G112" s="1442"/>
      <c r="H112" s="1442"/>
      <c r="I112" s="1442"/>
      <c r="J112" s="1442"/>
      <c r="K112" s="1442"/>
      <c r="L112" s="1442"/>
      <c r="M112" s="1442"/>
      <c r="N112" s="1442"/>
      <c r="O112" s="1442"/>
      <c r="P112" s="1442"/>
      <c r="Q112" s="1442"/>
      <c r="R112" s="1655"/>
      <c r="S112" s="1445"/>
      <c r="T112" s="1446"/>
      <c r="U112" s="417" t="s">
        <v>2103</v>
      </c>
      <c r="CA112" s="3413" t="str">
        <f t="shared" si="44"/>
        <v/>
      </c>
      <c r="CB112" s="3413" t="str">
        <f t="shared" si="45"/>
        <v/>
      </c>
      <c r="CG112" s="3375">
        <f t="shared" si="46"/>
        <v>0</v>
      </c>
      <c r="CH112" s="3375">
        <f t="shared" si="47"/>
        <v>0</v>
      </c>
    </row>
    <row r="113" spans="1:86" ht="22.5">
      <c r="A113" s="3503" t="s">
        <v>2124</v>
      </c>
      <c r="B113" s="3556">
        <f t="shared" si="43"/>
        <v>0</v>
      </c>
      <c r="C113" s="1528"/>
      <c r="D113" s="1529"/>
      <c r="E113" s="1529"/>
      <c r="F113" s="1529"/>
      <c r="G113" s="1529"/>
      <c r="H113" s="1529"/>
      <c r="I113" s="1529"/>
      <c r="J113" s="1529"/>
      <c r="K113" s="1529"/>
      <c r="L113" s="1529"/>
      <c r="M113" s="1529"/>
      <c r="N113" s="1529"/>
      <c r="O113" s="1529"/>
      <c r="P113" s="1529"/>
      <c r="Q113" s="1529"/>
      <c r="R113" s="1721"/>
      <c r="S113" s="1532"/>
      <c r="T113" s="1533"/>
      <c r="U113" s="417" t="s">
        <v>2103</v>
      </c>
      <c r="CA113" s="3413" t="str">
        <f t="shared" si="44"/>
        <v/>
      </c>
      <c r="CB113" s="3413" t="str">
        <f t="shared" si="45"/>
        <v/>
      </c>
      <c r="CG113" s="3375">
        <f t="shared" si="46"/>
        <v>0</v>
      </c>
      <c r="CH113" s="3375">
        <f t="shared" si="47"/>
        <v>0</v>
      </c>
    </row>
    <row r="114" spans="1:86">
      <c r="A114" s="5713" t="s">
        <v>2125</v>
      </c>
      <c r="B114" s="5713"/>
      <c r="C114" s="5713"/>
      <c r="D114" s="5713"/>
      <c r="E114" s="5713"/>
      <c r="F114" s="5713"/>
      <c r="G114" s="5713"/>
      <c r="H114" s="5713"/>
      <c r="I114" s="5713"/>
      <c r="J114" s="5713"/>
      <c r="K114" s="5713"/>
      <c r="L114" s="5713"/>
      <c r="M114" s="5713"/>
      <c r="N114" s="5713"/>
      <c r="O114" s="5713"/>
      <c r="P114" s="5713"/>
      <c r="Q114" s="5713"/>
      <c r="R114" s="5713"/>
      <c r="S114" s="5713"/>
      <c r="T114" s="5713"/>
      <c r="U114" s="5713"/>
      <c r="V114" s="5713"/>
      <c r="W114" s="5713"/>
      <c r="X114" s="5713"/>
      <c r="Y114" s="5713"/>
      <c r="Z114" s="5713"/>
      <c r="AA114" s="5713"/>
      <c r="AB114" s="5713"/>
      <c r="AC114" s="5713"/>
      <c r="AD114" s="5713"/>
      <c r="AE114" s="5713"/>
      <c r="AF114" s="5713"/>
      <c r="AG114" s="5713"/>
      <c r="AH114" s="5713"/>
      <c r="AI114" s="5713"/>
      <c r="AJ114" s="5713"/>
    </row>
    <row r="115" spans="1:86">
      <c r="A115" s="6722" t="s">
        <v>725</v>
      </c>
      <c r="B115" s="6068" t="s">
        <v>91</v>
      </c>
      <c r="C115" s="6069"/>
      <c r="D115" s="6070"/>
      <c r="E115" s="6727" t="s">
        <v>115</v>
      </c>
      <c r="F115" s="6370"/>
      <c r="G115" s="6370"/>
      <c r="H115" s="6370"/>
      <c r="I115" s="6370"/>
      <c r="J115" s="6370"/>
      <c r="K115" s="6370"/>
      <c r="L115" s="6370"/>
      <c r="M115" s="6370"/>
      <c r="N115" s="6370"/>
      <c r="O115" s="6370"/>
      <c r="P115" s="6370"/>
      <c r="Q115" s="6370"/>
      <c r="R115" s="6370"/>
      <c r="S115" s="6370"/>
      <c r="T115" s="6370"/>
      <c r="U115" s="6370"/>
      <c r="V115" s="6370"/>
      <c r="W115" s="6370"/>
      <c r="X115" s="6370"/>
      <c r="Y115" s="6370"/>
      <c r="Z115" s="6370"/>
      <c r="AA115" s="6370"/>
      <c r="AB115" s="6370"/>
      <c r="AC115" s="6370"/>
      <c r="AD115" s="6370"/>
      <c r="AE115" s="6370"/>
      <c r="AF115" s="6370"/>
      <c r="AG115" s="6370"/>
      <c r="AH115" s="6370"/>
      <c r="AI115" s="6370"/>
      <c r="AJ115" s="6371"/>
    </row>
    <row r="116" spans="1:86">
      <c r="A116" s="6723"/>
      <c r="B116" s="6187" t="s">
        <v>410</v>
      </c>
      <c r="C116" s="6133" t="s">
        <v>72</v>
      </c>
      <c r="D116" s="6119" t="s">
        <v>73</v>
      </c>
      <c r="E116" s="6049" t="s">
        <v>495</v>
      </c>
      <c r="F116" s="6059"/>
      <c r="G116" s="6720" t="s">
        <v>2026</v>
      </c>
      <c r="H116" s="6721"/>
      <c r="I116" s="6720" t="s">
        <v>2027</v>
      </c>
      <c r="J116" s="6721"/>
      <c r="K116" s="6720" t="s">
        <v>324</v>
      </c>
      <c r="L116" s="6721"/>
      <c r="M116" s="6049" t="s">
        <v>58</v>
      </c>
      <c r="N116" s="6059"/>
      <c r="O116" s="6049" t="s">
        <v>59</v>
      </c>
      <c r="P116" s="6059"/>
      <c r="Q116" s="6049" t="s">
        <v>60</v>
      </c>
      <c r="R116" s="6059"/>
      <c r="S116" s="6049" t="s">
        <v>61</v>
      </c>
      <c r="T116" s="6059"/>
      <c r="U116" s="6049" t="s">
        <v>62</v>
      </c>
      <c r="V116" s="6059"/>
      <c r="W116" s="6049" t="s">
        <v>63</v>
      </c>
      <c r="X116" s="6059"/>
      <c r="Y116" s="6049" t="s">
        <v>64</v>
      </c>
      <c r="Z116" s="6059"/>
      <c r="AA116" s="6049" t="s">
        <v>65</v>
      </c>
      <c r="AB116" s="6059"/>
      <c r="AC116" s="6049" t="s">
        <v>2022</v>
      </c>
      <c r="AD116" s="6059"/>
      <c r="AE116" s="6049" t="s">
        <v>1650</v>
      </c>
      <c r="AF116" s="6059"/>
      <c r="AG116" s="6049" t="s">
        <v>329</v>
      </c>
      <c r="AH116" s="6059"/>
      <c r="AI116" s="6049" t="s">
        <v>765</v>
      </c>
      <c r="AJ116" s="6059"/>
    </row>
    <row r="117" spans="1:86">
      <c r="A117" s="6724"/>
      <c r="B117" s="6188"/>
      <c r="C117" s="6134"/>
      <c r="D117" s="6116"/>
      <c r="E117" s="1395" t="s">
        <v>72</v>
      </c>
      <c r="F117" s="393" t="s">
        <v>73</v>
      </c>
      <c r="G117" s="1395" t="s">
        <v>72</v>
      </c>
      <c r="H117" s="1495" t="s">
        <v>73</v>
      </c>
      <c r="I117" s="1395" t="s">
        <v>72</v>
      </c>
      <c r="J117" s="393" t="s">
        <v>73</v>
      </c>
      <c r="K117" s="1395" t="s">
        <v>72</v>
      </c>
      <c r="L117" s="393" t="s">
        <v>73</v>
      </c>
      <c r="M117" s="391" t="s">
        <v>72</v>
      </c>
      <c r="N117" s="393" t="s">
        <v>73</v>
      </c>
      <c r="O117" s="1395" t="s">
        <v>72</v>
      </c>
      <c r="P117" s="393" t="s">
        <v>73</v>
      </c>
      <c r="Q117" s="1395" t="s">
        <v>72</v>
      </c>
      <c r="R117" s="393" t="s">
        <v>73</v>
      </c>
      <c r="S117" s="1395" t="s">
        <v>72</v>
      </c>
      <c r="T117" s="393" t="s">
        <v>73</v>
      </c>
      <c r="U117" s="1395" t="s">
        <v>72</v>
      </c>
      <c r="V117" s="393" t="s">
        <v>73</v>
      </c>
      <c r="W117" s="1395" t="s">
        <v>72</v>
      </c>
      <c r="X117" s="393" t="s">
        <v>73</v>
      </c>
      <c r="Y117" s="1395" t="s">
        <v>72</v>
      </c>
      <c r="Z117" s="393" t="s">
        <v>73</v>
      </c>
      <c r="AA117" s="1395" t="s">
        <v>72</v>
      </c>
      <c r="AB117" s="393" t="s">
        <v>73</v>
      </c>
      <c r="AC117" s="1395" t="s">
        <v>72</v>
      </c>
      <c r="AD117" s="393" t="s">
        <v>73</v>
      </c>
      <c r="AE117" s="1395" t="s">
        <v>72</v>
      </c>
      <c r="AF117" s="393" t="s">
        <v>73</v>
      </c>
      <c r="AG117" s="1395" t="s">
        <v>72</v>
      </c>
      <c r="AH117" s="393" t="s">
        <v>73</v>
      </c>
      <c r="AI117" s="1395" t="s">
        <v>72</v>
      </c>
      <c r="AJ117" s="393" t="s">
        <v>73</v>
      </c>
    </row>
    <row r="118" spans="1:86" ht="22.5">
      <c r="A118" s="3502" t="s">
        <v>2126</v>
      </c>
      <c r="B118" s="1988">
        <f t="shared" ref="B118:B123" si="48">SUM(C118:D118)</f>
        <v>0</v>
      </c>
      <c r="C118" s="1980">
        <f t="shared" ref="C118:D123" si="49">+E118+G118+I118+K118+M118+O118+Q118+S118+U118+W118+Y118+AA118+AC118+AE118+AG118+AI118</f>
        <v>0</v>
      </c>
      <c r="D118" s="1736">
        <f>+F118+H118+J118+L118+N118+P118+R118+T118+V118+X118+Z118+AB118+AD118+AF118+AH118+AJ118</f>
        <v>0</v>
      </c>
      <c r="E118" s="448"/>
      <c r="F118" s="2231"/>
      <c r="G118" s="448"/>
      <c r="H118" s="2231"/>
      <c r="I118" s="448"/>
      <c r="J118" s="2231"/>
      <c r="K118" s="448"/>
      <c r="L118" s="2231"/>
      <c r="M118" s="448"/>
      <c r="N118" s="2231"/>
      <c r="O118" s="448"/>
      <c r="P118" s="2231"/>
      <c r="Q118" s="448"/>
      <c r="R118" s="2231"/>
      <c r="S118" s="448"/>
      <c r="T118" s="2231"/>
      <c r="U118" s="448"/>
      <c r="V118" s="2231"/>
      <c r="W118" s="448"/>
      <c r="X118" s="2231"/>
      <c r="Y118" s="448"/>
      <c r="Z118" s="2231"/>
      <c r="AA118" s="448"/>
      <c r="AB118" s="2231"/>
      <c r="AC118" s="425"/>
      <c r="AD118" s="2231"/>
      <c r="AE118" s="425"/>
      <c r="AF118" s="2231"/>
      <c r="AG118" s="425"/>
      <c r="AH118" s="2231"/>
      <c r="AI118" s="425"/>
      <c r="AJ118" s="2231"/>
    </row>
    <row r="119" spans="1:86" ht="22.5">
      <c r="A119" s="3486" t="s">
        <v>2127</v>
      </c>
      <c r="B119" s="3487">
        <f t="shared" si="48"/>
        <v>0</v>
      </c>
      <c r="C119" s="3488">
        <f t="shared" si="49"/>
        <v>0</v>
      </c>
      <c r="D119" s="3465">
        <f t="shared" si="49"/>
        <v>0</v>
      </c>
      <c r="E119" s="425"/>
      <c r="F119" s="2231"/>
      <c r="G119" s="425"/>
      <c r="H119" s="2231"/>
      <c r="I119" s="425"/>
      <c r="J119" s="2231"/>
      <c r="K119" s="425"/>
      <c r="L119" s="2231"/>
      <c r="M119" s="425"/>
      <c r="N119" s="2231"/>
      <c r="O119" s="425"/>
      <c r="P119" s="2231"/>
      <c r="Q119" s="425"/>
      <c r="R119" s="2231"/>
      <c r="S119" s="425"/>
      <c r="T119" s="2231"/>
      <c r="U119" s="425"/>
      <c r="V119" s="2231"/>
      <c r="W119" s="425"/>
      <c r="X119" s="2231"/>
      <c r="Y119" s="425"/>
      <c r="Z119" s="2231"/>
      <c r="AA119" s="425"/>
      <c r="AB119" s="2231"/>
      <c r="AC119" s="425"/>
      <c r="AD119" s="2231"/>
      <c r="AE119" s="425"/>
      <c r="AF119" s="2231"/>
      <c r="AG119" s="425"/>
      <c r="AH119" s="2231"/>
      <c r="AI119" s="425"/>
      <c r="AJ119" s="2231"/>
    </row>
    <row r="120" spans="1:86" ht="22.5">
      <c r="A120" s="3486" t="s">
        <v>2128</v>
      </c>
      <c r="B120" s="3487">
        <f t="shared" si="48"/>
        <v>0</v>
      </c>
      <c r="C120" s="3488">
        <f t="shared" si="49"/>
        <v>0</v>
      </c>
      <c r="D120" s="1739">
        <f t="shared" si="49"/>
        <v>0</v>
      </c>
      <c r="E120" s="425"/>
      <c r="F120" s="2231"/>
      <c r="G120" s="425"/>
      <c r="H120" s="2231"/>
      <c r="I120" s="425"/>
      <c r="J120" s="2231"/>
      <c r="K120" s="425"/>
      <c r="L120" s="2231"/>
      <c r="M120" s="425"/>
      <c r="N120" s="2231"/>
      <c r="O120" s="425"/>
      <c r="P120" s="2231"/>
      <c r="Q120" s="425"/>
      <c r="R120" s="2231"/>
      <c r="S120" s="425"/>
      <c r="T120" s="2231"/>
      <c r="U120" s="425"/>
      <c r="V120" s="2231"/>
      <c r="W120" s="425"/>
      <c r="X120" s="2231"/>
      <c r="Y120" s="425"/>
      <c r="Z120" s="2231"/>
      <c r="AA120" s="425"/>
      <c r="AB120" s="2231"/>
      <c r="AC120" s="425"/>
      <c r="AD120" s="2231"/>
      <c r="AE120" s="425"/>
      <c r="AF120" s="2231"/>
      <c r="AG120" s="425"/>
      <c r="AH120" s="2231"/>
      <c r="AI120" s="425"/>
      <c r="AJ120" s="2231"/>
    </row>
    <row r="121" spans="1:86" ht="22.5">
      <c r="A121" s="3486" t="s">
        <v>2129</v>
      </c>
      <c r="B121" s="3557">
        <f t="shared" si="48"/>
        <v>0</v>
      </c>
      <c r="C121" s="3558">
        <f t="shared" si="49"/>
        <v>0</v>
      </c>
      <c r="D121" s="3476">
        <f t="shared" si="49"/>
        <v>0</v>
      </c>
      <c r="E121" s="413"/>
      <c r="F121" s="2261"/>
      <c r="G121" s="413"/>
      <c r="H121" s="2261"/>
      <c r="I121" s="413"/>
      <c r="J121" s="2261"/>
      <c r="K121" s="413"/>
      <c r="L121" s="2261"/>
      <c r="M121" s="413"/>
      <c r="N121" s="2261"/>
      <c r="O121" s="413"/>
      <c r="P121" s="2261"/>
      <c r="Q121" s="413"/>
      <c r="R121" s="2261"/>
      <c r="S121" s="413"/>
      <c r="T121" s="2261"/>
      <c r="U121" s="413"/>
      <c r="V121" s="2261"/>
      <c r="W121" s="413"/>
      <c r="X121" s="2261"/>
      <c r="Y121" s="413"/>
      <c r="Z121" s="2261"/>
      <c r="AA121" s="413"/>
      <c r="AB121" s="2261"/>
      <c r="AC121" s="413"/>
      <c r="AD121" s="2261"/>
      <c r="AE121" s="413"/>
      <c r="AF121" s="2261"/>
      <c r="AG121" s="413"/>
      <c r="AH121" s="2261"/>
      <c r="AI121" s="413"/>
      <c r="AJ121" s="2261"/>
    </row>
    <row r="122" spans="1:86" ht="22.5">
      <c r="A122" s="3486" t="s">
        <v>2130</v>
      </c>
      <c r="B122" s="3487">
        <f t="shared" si="48"/>
        <v>0</v>
      </c>
      <c r="C122" s="3488">
        <f t="shared" si="49"/>
        <v>0</v>
      </c>
      <c r="D122" s="3465">
        <f t="shared" si="49"/>
        <v>0</v>
      </c>
      <c r="E122" s="425"/>
      <c r="F122" s="2231"/>
      <c r="G122" s="425"/>
      <c r="H122" s="2231"/>
      <c r="I122" s="425"/>
      <c r="J122" s="2231"/>
      <c r="K122" s="425"/>
      <c r="L122" s="2231"/>
      <c r="M122" s="425"/>
      <c r="N122" s="2231"/>
      <c r="O122" s="425"/>
      <c r="P122" s="2231"/>
      <c r="Q122" s="425"/>
      <c r="R122" s="2231"/>
      <c r="S122" s="425"/>
      <c r="T122" s="2231"/>
      <c r="U122" s="425"/>
      <c r="V122" s="2231"/>
      <c r="W122" s="425"/>
      <c r="X122" s="2231"/>
      <c r="Y122" s="425"/>
      <c r="Z122" s="2231"/>
      <c r="AA122" s="425"/>
      <c r="AB122" s="2231"/>
      <c r="AC122" s="425"/>
      <c r="AD122" s="2231"/>
      <c r="AE122" s="425"/>
      <c r="AF122" s="2231"/>
      <c r="AG122" s="425"/>
      <c r="AH122" s="2231"/>
      <c r="AI122" s="425"/>
      <c r="AJ122" s="2231"/>
    </row>
    <row r="123" spans="1:86" ht="22.5">
      <c r="A123" s="2546" t="s">
        <v>2131</v>
      </c>
      <c r="B123" s="3482">
        <f t="shared" si="48"/>
        <v>0</v>
      </c>
      <c r="C123" s="3483">
        <f t="shared" si="49"/>
        <v>0</v>
      </c>
      <c r="D123" s="3479">
        <f t="shared" si="49"/>
        <v>0</v>
      </c>
      <c r="E123" s="432"/>
      <c r="F123" s="2235"/>
      <c r="G123" s="432"/>
      <c r="H123" s="2235"/>
      <c r="I123" s="432"/>
      <c r="J123" s="2235"/>
      <c r="K123" s="432"/>
      <c r="L123" s="2235"/>
      <c r="M123" s="432"/>
      <c r="N123" s="2235"/>
      <c r="O123" s="432"/>
      <c r="P123" s="2235"/>
      <c r="Q123" s="432"/>
      <c r="R123" s="2235"/>
      <c r="S123" s="432"/>
      <c r="T123" s="2235"/>
      <c r="U123" s="432"/>
      <c r="V123" s="2235"/>
      <c r="W123" s="432"/>
      <c r="X123" s="2235"/>
      <c r="Y123" s="432"/>
      <c r="Z123" s="2235"/>
      <c r="AA123" s="432"/>
      <c r="AB123" s="2235"/>
      <c r="AC123" s="432"/>
      <c r="AD123" s="2235"/>
      <c r="AE123" s="432"/>
      <c r="AF123" s="2235"/>
      <c r="AG123" s="432"/>
      <c r="AH123" s="2235"/>
      <c r="AI123" s="432"/>
      <c r="AJ123" s="2235"/>
    </row>
    <row r="150" spans="1:2" hidden="1">
      <c r="A150" s="3559">
        <f>SUM(B12:B13,B15:B16,B18:B19,B22:B23,B27:B32,B35:B36,B40:B47,B50:B53,B56:B59,B64:B65,B67:B68,B70:B71,B73,B78:B80,B82:B84,B86:B88,B91:B92,B95:B96,B100:B105,B109:B113,B118:B123)</f>
        <v>0</v>
      </c>
      <c r="B150" s="3560">
        <f>SUM(CG12:CH113)</f>
        <v>0</v>
      </c>
    </row>
  </sheetData>
  <sheetProtection algorithmName="SHA-512" hashValue="6QQ6byfrBHWlwrimo6oAeGxAOgfqFZfj6PdJ0CtSeP3Xd69YVuq8aA8TRvX+vgSQ40i2aRsV3aVcusjUufeZLQ==" saltValue="lvN+ErJrywjelH6F7lNGjA==" spinCount="100000" sheet="1" objects="1" scenarios="1"/>
  <mergeCells count="72">
    <mergeCell ref="A89:K89"/>
    <mergeCell ref="A93:D93"/>
    <mergeCell ref="L61:L62"/>
    <mergeCell ref="M61:M62"/>
    <mergeCell ref="A74:K74"/>
    <mergeCell ref="A75:A76"/>
    <mergeCell ref="B75:B76"/>
    <mergeCell ref="C75:K75"/>
    <mergeCell ref="L75:L76"/>
    <mergeCell ref="M75:M76"/>
    <mergeCell ref="A48:K48"/>
    <mergeCell ref="A54:D54"/>
    <mergeCell ref="A60:K60"/>
    <mergeCell ref="A61:A62"/>
    <mergeCell ref="B61:B62"/>
    <mergeCell ref="C61:K61"/>
    <mergeCell ref="M25:M26"/>
    <mergeCell ref="A33:D33"/>
    <mergeCell ref="A37:K37"/>
    <mergeCell ref="A38:A39"/>
    <mergeCell ref="B38:B39"/>
    <mergeCell ref="C38:K38"/>
    <mergeCell ref="L38:L39"/>
    <mergeCell ref="M38:M39"/>
    <mergeCell ref="L25:L26"/>
    <mergeCell ref="A20:D20"/>
    <mergeCell ref="A24:K24"/>
    <mergeCell ref="A25:A26"/>
    <mergeCell ref="B25:B26"/>
    <mergeCell ref="C25:K25"/>
    <mergeCell ref="A6:M6"/>
    <mergeCell ref="A8:K8"/>
    <mergeCell ref="A9:A10"/>
    <mergeCell ref="B9:B10"/>
    <mergeCell ref="C9:K9"/>
    <mergeCell ref="L9:L10"/>
    <mergeCell ref="M9:M10"/>
    <mergeCell ref="A97:R97"/>
    <mergeCell ref="A114:AJ114"/>
    <mergeCell ref="A98:A99"/>
    <mergeCell ref="B98:B99"/>
    <mergeCell ref="C98:L98"/>
    <mergeCell ref="M98:M99"/>
    <mergeCell ref="N98:N99"/>
    <mergeCell ref="A106:R106"/>
    <mergeCell ref="A107:A108"/>
    <mergeCell ref="B107:B108"/>
    <mergeCell ref="C107:R107"/>
    <mergeCell ref="S107:S108"/>
    <mergeCell ref="T107:T108"/>
    <mergeCell ref="A115:A117"/>
    <mergeCell ref="B115:D115"/>
    <mergeCell ref="E115:AJ115"/>
    <mergeCell ref="B116:B117"/>
    <mergeCell ref="C116:C117"/>
    <mergeCell ref="D116:D117"/>
    <mergeCell ref="E116:F116"/>
    <mergeCell ref="G116:H116"/>
    <mergeCell ref="I116:J116"/>
    <mergeCell ref="K116:L116"/>
    <mergeCell ref="AI116:AJ116"/>
    <mergeCell ref="M116:N116"/>
    <mergeCell ref="O116:P116"/>
    <mergeCell ref="Q116:R116"/>
    <mergeCell ref="S116:T116"/>
    <mergeCell ref="U116:V116"/>
    <mergeCell ref="AG116:AH116"/>
    <mergeCell ref="W116:X116"/>
    <mergeCell ref="Y116:Z116"/>
    <mergeCell ref="AA116:AB116"/>
    <mergeCell ref="AC116:AD116"/>
    <mergeCell ref="AE116:AF116"/>
  </mergeCells>
  <dataValidations count="7">
    <dataValidation type="whole" operator="greaterThanOrEqual" allowBlank="1" showInputMessage="1" showErrorMessage="1" sqref="B91:D92 B12:M13 B15:M16 B18:M19 B22:D23 C27:M32 B35:D36 C40:M47 B50:D53 C70:M71 B56:D59 C67:M68 C64:M65 C73:M73 B95:D96" xr:uid="{00A100CE-0029-4130-B8C7-00B90081007F}">
      <formula1>0</formula1>
    </dataValidation>
    <dataValidation type="whole" operator="equal" allowBlank="1" showInputMessage="1" showErrorMessage="1" sqref="B11:M11 B14:M14 B17:M17 B63:M63 B66:M66 B69:M69 B72:M72 B77:M77 B81:M81 B85:M85" xr:uid="{008D00BA-0080-4C5C-AE76-00F8006E0093}">
      <formula1>0</formula1>
    </dataValidation>
    <dataValidation type="whole" allowBlank="1" showInputMessage="1" showErrorMessage="1" sqref="C78:M80 C109:T113" xr:uid="{005C00D1-0084-4E65-AF61-008500930040}">
      <formula1>0</formula1>
      <formula2>9.99999999999999E+36</formula2>
    </dataValidation>
    <dataValidation type="whole" allowBlank="1" showInputMessage="1" showErrorMessage="1" sqref="C82:M84" xr:uid="{00940011-0062-48BC-B5E4-006C00C00017}">
      <formula1>0</formula1>
      <formula2>9.99999999999999E+35</formula2>
    </dataValidation>
    <dataValidation type="whole" allowBlank="1" showInputMessage="1" showErrorMessage="1" sqref="C86:M88" xr:uid="{006B003D-0057-4077-95CC-003C009B000A}">
      <formula1>0</formula1>
      <formula2>9.99999999999999E+39</formula2>
    </dataValidation>
    <dataValidation type="whole" allowBlank="1" showInputMessage="1" showErrorMessage="1" sqref="C100:N105" xr:uid="{004E005C-0037-48D0-B8DB-008B001D00F1}">
      <formula1>0</formula1>
      <formula2>9.99999999999999E+37</formula2>
    </dataValidation>
    <dataValidation type="whole" allowBlank="1" showInputMessage="1" showErrorMessage="1" sqref="E118:AJ123" xr:uid="{005E0038-00EA-4DA4-AB49-007200140009}">
      <formula1>0</formula1>
      <formula2>9.99999999999999E+41</formula2>
    </dataValidation>
  </dataValidations>
  <pageMargins left="0.7" right="0.7" top="0.75" bottom="0.75" header="0.3" footer="0.3"/>
  <pageSetup paperSize="9" orientation="portrait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Hoja13"/>
  <dimension ref="A1:DG204"/>
  <sheetViews>
    <sheetView showGridLines="0" topLeftCell="B174" workbookViewId="0"/>
  </sheetViews>
  <sheetFormatPr baseColWidth="10" defaultColWidth="11.42578125" defaultRowHeight="15"/>
  <cols>
    <col min="1" max="1" width="43.140625" customWidth="1"/>
    <col min="2" max="2" width="31.7109375" customWidth="1"/>
    <col min="3" max="3" width="18.85546875" bestFit="1" customWidth="1"/>
    <col min="4" max="4" width="17.140625" bestFit="1" customWidth="1"/>
    <col min="5" max="5" width="14" bestFit="1" customWidth="1"/>
    <col min="6" max="6" width="14.5703125" bestFit="1" customWidth="1"/>
    <col min="7" max="7" width="11.5703125" bestFit="1" customWidth="1"/>
    <col min="8" max="8" width="14" bestFit="1" customWidth="1"/>
    <col min="9" max="9" width="13.28515625" customWidth="1"/>
    <col min="10" max="10" width="15.42578125" customWidth="1"/>
    <col min="11" max="11" width="17" customWidth="1"/>
    <col min="12" max="12" width="14.85546875" customWidth="1"/>
    <col min="14" max="14" width="13.5703125" customWidth="1"/>
    <col min="38" max="38" width="13.7109375" customWidth="1"/>
    <col min="40" max="40" width="12.7109375" customWidth="1"/>
    <col min="41" max="41" width="13" customWidth="1"/>
    <col min="42" max="42" width="13.140625" customWidth="1"/>
    <col min="44" max="44" width="12.42578125" customWidth="1"/>
    <col min="75" max="76" width="11.7109375" customWidth="1"/>
    <col min="77" max="78" width="11.42578125" customWidth="1"/>
    <col min="79" max="99" width="11.42578125" hidden="1" customWidth="1"/>
    <col min="100" max="105" width="11.42578125" customWidth="1"/>
  </cols>
  <sheetData>
    <row r="1" spans="1:104">
      <c r="A1" s="378" t="s">
        <v>37</v>
      </c>
    </row>
    <row r="2" spans="1:104">
      <c r="A2" s="378" t="str">
        <f>CONCATENATE("COMUNA: ",NOMBRE!B2, " (",NOMBRE!C2,NOMBRE!D2,NOMBRE!E2,NOMBRE!F2,NOMBRE!G2,")")</f>
        <v>COMUNA: MAIPU (13119)</v>
      </c>
    </row>
    <row r="3" spans="1:104">
      <c r="A3" s="378" t="str">
        <f>CONCATENATE("ESTABLECIMIENTO/ESTRATEGIA: ", NOMBRE!B3, " (",NOMBRE!C3,NOMBRE!D3,NOMBRE!E3,NOMBRE!F3,NOMBRE!G3,NOMBRE!H3,")")</f>
        <v>ESTABLECIMIENTO/ESTRATEGIA: CESFAM DR. CARLOS GODOY (111380)</v>
      </c>
    </row>
    <row r="4" spans="1:104">
      <c r="A4" s="378" t="str">
        <f>CONCATENATE("MES: ",NOMBRE!B6, " (",NOMBRE!C6,NOMBRE!D6,")")</f>
        <v>MES: MARZO (03)</v>
      </c>
    </row>
    <row r="5" spans="1:104">
      <c r="A5" s="378" t="str">
        <f>CONCATENATE("AÑO: ",NOMBRE!B7)</f>
        <v>AÑO: 2026</v>
      </c>
    </row>
    <row r="6" spans="1:104" s="461" customFormat="1" ht="18" customHeight="1">
      <c r="A6" s="5704" t="s">
        <v>2132</v>
      </c>
      <c r="B6" s="5704"/>
      <c r="C6" s="5704"/>
      <c r="D6" s="5704"/>
      <c r="E6" s="5704"/>
      <c r="F6" s="5704"/>
      <c r="G6" s="5704"/>
      <c r="H6" s="5704"/>
      <c r="I6" s="5704"/>
      <c r="J6" s="5704"/>
      <c r="K6" s="5704"/>
      <c r="L6" s="5704"/>
      <c r="M6" s="5704"/>
      <c r="N6" s="5704"/>
      <c r="O6" s="5704"/>
      <c r="P6" s="5704"/>
      <c r="Q6" s="5704"/>
      <c r="R6" s="5704"/>
      <c r="S6" s="5704"/>
      <c r="T6" s="5704"/>
      <c r="BX6" s="3561"/>
      <c r="BY6" s="3561"/>
      <c r="BZ6" s="3561"/>
      <c r="CA6" s="3365"/>
      <c r="CB6" s="3365"/>
      <c r="CC6" s="3365"/>
      <c r="CD6" s="3365"/>
      <c r="CE6" s="3365"/>
      <c r="CF6" s="3365"/>
      <c r="CG6" s="3365"/>
      <c r="CH6" s="3365"/>
      <c r="CI6" s="3365"/>
      <c r="CJ6" s="3365"/>
      <c r="CK6" s="3365"/>
      <c r="CL6" s="3365"/>
      <c r="CM6" s="3365"/>
      <c r="CN6" s="3365"/>
      <c r="CO6" s="3365"/>
      <c r="CP6" s="3365"/>
      <c r="CQ6" s="3365"/>
      <c r="CR6" s="3365"/>
      <c r="CS6" s="3365"/>
      <c r="CT6" s="3365"/>
      <c r="CU6" s="3365"/>
      <c r="CV6" s="3365"/>
      <c r="CW6" s="3365"/>
      <c r="CX6" s="3365"/>
      <c r="CY6" s="3365"/>
      <c r="CZ6" s="3365"/>
    </row>
    <row r="8" spans="1:104" ht="18" customHeight="1">
      <c r="A8" s="6784" t="s">
        <v>2133</v>
      </c>
      <c r="B8" s="6784"/>
      <c r="C8" s="6784"/>
      <c r="D8" s="6784"/>
      <c r="E8" s="6784"/>
      <c r="F8" s="6784"/>
      <c r="G8" s="6784"/>
      <c r="H8" s="6784"/>
      <c r="I8" s="6784"/>
      <c r="J8" s="6784"/>
      <c r="K8" s="6784"/>
      <c r="L8" s="6784"/>
      <c r="M8" s="6784"/>
      <c r="N8" s="6784"/>
      <c r="O8" s="6784"/>
      <c r="P8" s="6784"/>
      <c r="Q8" s="6784"/>
      <c r="R8" s="6784"/>
      <c r="S8" s="6784"/>
      <c r="T8" s="6784"/>
      <c r="U8" s="6784"/>
      <c r="V8" s="6784"/>
      <c r="W8" s="6784"/>
      <c r="X8" s="6784"/>
      <c r="Y8" s="6784"/>
      <c r="Z8" s="6784"/>
      <c r="AA8" s="6784"/>
      <c r="AB8" s="6784"/>
      <c r="AC8" s="6784"/>
      <c r="AD8" s="6784"/>
      <c r="AE8" s="6784"/>
      <c r="AF8" s="6784"/>
      <c r="AG8" s="6784"/>
      <c r="AH8" s="6784"/>
      <c r="AI8" s="6784"/>
      <c r="AJ8" s="6784"/>
      <c r="AK8" s="6784"/>
      <c r="AL8" s="6784"/>
      <c r="AM8" s="6784"/>
    </row>
    <row r="9" spans="1:104" ht="18" customHeight="1">
      <c r="A9" s="5713" t="s">
        <v>2134</v>
      </c>
      <c r="B9" s="5713"/>
      <c r="C9" s="5713"/>
      <c r="D9" s="5713"/>
      <c r="E9" s="5713"/>
      <c r="F9" s="5713"/>
      <c r="G9" s="5713"/>
      <c r="H9" s="5713"/>
      <c r="I9" s="5713"/>
      <c r="J9" s="5713"/>
      <c r="K9" s="5713"/>
      <c r="L9" s="5713"/>
      <c r="M9" s="5713"/>
      <c r="N9" s="5713"/>
      <c r="O9" s="5713"/>
      <c r="P9" s="5713"/>
      <c r="Q9" s="5713"/>
      <c r="R9" s="5713"/>
      <c r="S9" s="5713"/>
      <c r="T9" s="5713"/>
      <c r="U9" s="5713"/>
      <c r="V9" s="5713"/>
      <c r="W9" s="5713"/>
      <c r="X9" s="5713"/>
      <c r="Y9" s="5713"/>
      <c r="Z9" s="5713"/>
      <c r="AA9" s="5713"/>
      <c r="AB9" s="5713"/>
      <c r="AC9" s="5713"/>
      <c r="AD9" s="5713"/>
      <c r="AE9" s="5713"/>
      <c r="AF9" s="5713"/>
      <c r="AG9" s="5713"/>
      <c r="AH9" s="5713"/>
      <c r="AI9" s="5713"/>
      <c r="AJ9" s="5713"/>
      <c r="AK9" s="5713"/>
      <c r="AL9" s="5713"/>
      <c r="AM9" s="5713"/>
    </row>
    <row r="10" spans="1:104" ht="18" customHeight="1">
      <c r="A10" s="6578" t="s">
        <v>2135</v>
      </c>
      <c r="B10" s="6298" t="s">
        <v>41</v>
      </c>
      <c r="C10" s="6140" t="s">
        <v>323</v>
      </c>
      <c r="D10" s="6139"/>
      <c r="E10" s="6119"/>
      <c r="F10" s="6152" t="s">
        <v>115</v>
      </c>
      <c r="G10" s="6153"/>
      <c r="H10" s="6153"/>
      <c r="I10" s="6153"/>
      <c r="J10" s="6153"/>
      <c r="K10" s="6153"/>
      <c r="L10" s="6153"/>
      <c r="M10" s="6153"/>
      <c r="N10" s="6153"/>
      <c r="O10" s="6153"/>
      <c r="P10" s="6153"/>
      <c r="Q10" s="6153"/>
      <c r="R10" s="6153"/>
      <c r="S10" s="6153"/>
      <c r="T10" s="6153"/>
      <c r="U10" s="6153"/>
      <c r="V10" s="6153"/>
      <c r="W10" s="6153"/>
      <c r="X10" s="6153"/>
      <c r="Y10" s="6153"/>
      <c r="Z10" s="6153"/>
      <c r="AA10" s="6153"/>
      <c r="AB10" s="6153"/>
      <c r="AC10" s="6153"/>
      <c r="AD10" s="6153"/>
      <c r="AE10" s="6153"/>
      <c r="AF10" s="6153"/>
      <c r="AG10" s="6153"/>
      <c r="AH10" s="6153"/>
      <c r="AI10" s="6153"/>
      <c r="AJ10" s="6153"/>
      <c r="AK10" s="6153"/>
      <c r="AL10" s="6153"/>
      <c r="AM10" s="6388"/>
      <c r="AN10" s="6762" t="s">
        <v>2136</v>
      </c>
      <c r="AO10" s="6139" t="s">
        <v>478</v>
      </c>
      <c r="AP10" s="6119"/>
      <c r="AQ10" s="6140" t="s">
        <v>50</v>
      </c>
      <c r="AR10" s="5718" t="s">
        <v>51</v>
      </c>
      <c r="AS10" s="6140" t="s">
        <v>1980</v>
      </c>
      <c r="AT10" s="6140" t="s">
        <v>514</v>
      </c>
      <c r="AU10" s="5718" t="s">
        <v>49</v>
      </c>
    </row>
    <row r="11" spans="1:104" ht="18" customHeight="1">
      <c r="A11" s="6578"/>
      <c r="B11" s="6299"/>
      <c r="C11" s="6114"/>
      <c r="D11" s="6115"/>
      <c r="E11" s="6116"/>
      <c r="F11" s="6137" t="s">
        <v>364</v>
      </c>
      <c r="G11" s="6137"/>
      <c r="H11" s="5710" t="s">
        <v>347</v>
      </c>
      <c r="I11" s="5712"/>
      <c r="J11" s="5710" t="s">
        <v>108</v>
      </c>
      <c r="K11" s="5712"/>
      <c r="L11" s="5710" t="s">
        <v>2137</v>
      </c>
      <c r="M11" s="5712"/>
      <c r="N11" s="5710" t="s">
        <v>326</v>
      </c>
      <c r="O11" s="5712"/>
      <c r="P11" s="5710" t="s">
        <v>1003</v>
      </c>
      <c r="Q11" s="5712"/>
      <c r="R11" s="5710" t="s">
        <v>656</v>
      </c>
      <c r="S11" s="5712"/>
      <c r="T11" s="5710" t="s">
        <v>2138</v>
      </c>
      <c r="U11" s="5712"/>
      <c r="V11" s="5710" t="s">
        <v>657</v>
      </c>
      <c r="W11" s="5712"/>
      <c r="X11" s="5710" t="s">
        <v>2139</v>
      </c>
      <c r="Y11" s="5712"/>
      <c r="Z11" s="5710" t="s">
        <v>2140</v>
      </c>
      <c r="AA11" s="5712"/>
      <c r="AB11" s="5710" t="s">
        <v>2022</v>
      </c>
      <c r="AC11" s="5712"/>
      <c r="AD11" s="5710" t="s">
        <v>1650</v>
      </c>
      <c r="AE11" s="5712"/>
      <c r="AF11" s="5710" t="s">
        <v>329</v>
      </c>
      <c r="AG11" s="5712"/>
      <c r="AH11" s="5710" t="s">
        <v>2141</v>
      </c>
      <c r="AI11" s="5712"/>
      <c r="AJ11" s="5710" t="s">
        <v>2142</v>
      </c>
      <c r="AK11" s="5712"/>
      <c r="AL11" s="5707" t="s">
        <v>71</v>
      </c>
      <c r="AM11" s="6147"/>
      <c r="AN11" s="6763"/>
      <c r="AO11" s="6115"/>
      <c r="AP11" s="6116"/>
      <c r="AQ11" s="6141"/>
      <c r="AR11" s="6110"/>
      <c r="AS11" s="6141"/>
      <c r="AT11" s="6141"/>
      <c r="AU11" s="6110"/>
    </row>
    <row r="12" spans="1:104" ht="35.25" customHeight="1">
      <c r="A12" s="6578"/>
      <c r="B12" s="6300"/>
      <c r="C12" s="1395" t="s">
        <v>93</v>
      </c>
      <c r="D12" s="1396" t="s">
        <v>72</v>
      </c>
      <c r="E12" s="393" t="s">
        <v>73</v>
      </c>
      <c r="F12" s="1395" t="s">
        <v>72</v>
      </c>
      <c r="G12" s="393" t="s">
        <v>73</v>
      </c>
      <c r="H12" s="1395" t="s">
        <v>72</v>
      </c>
      <c r="I12" s="393" t="s">
        <v>73</v>
      </c>
      <c r="J12" s="1395" t="s">
        <v>72</v>
      </c>
      <c r="K12" s="393" t="s">
        <v>73</v>
      </c>
      <c r="L12" s="1395" t="s">
        <v>72</v>
      </c>
      <c r="M12" s="393" t="s">
        <v>73</v>
      </c>
      <c r="N12" s="1395" t="s">
        <v>72</v>
      </c>
      <c r="O12" s="393" t="s">
        <v>73</v>
      </c>
      <c r="P12" s="1395" t="s">
        <v>72</v>
      </c>
      <c r="Q12" s="393" t="s">
        <v>73</v>
      </c>
      <c r="R12" s="1395" t="s">
        <v>72</v>
      </c>
      <c r="S12" s="393" t="s">
        <v>73</v>
      </c>
      <c r="T12" s="1395" t="s">
        <v>72</v>
      </c>
      <c r="U12" s="393" t="s">
        <v>73</v>
      </c>
      <c r="V12" s="1395" t="s">
        <v>72</v>
      </c>
      <c r="W12" s="393" t="s">
        <v>73</v>
      </c>
      <c r="X12" s="1395" t="s">
        <v>72</v>
      </c>
      <c r="Y12" s="393" t="s">
        <v>73</v>
      </c>
      <c r="Z12" s="1395" t="s">
        <v>72</v>
      </c>
      <c r="AA12" s="393" t="s">
        <v>73</v>
      </c>
      <c r="AB12" s="1395" t="s">
        <v>72</v>
      </c>
      <c r="AC12" s="393" t="s">
        <v>73</v>
      </c>
      <c r="AD12" s="1395" t="s">
        <v>72</v>
      </c>
      <c r="AE12" s="393" t="s">
        <v>73</v>
      </c>
      <c r="AF12" s="1395" t="s">
        <v>72</v>
      </c>
      <c r="AG12" s="393" t="s">
        <v>73</v>
      </c>
      <c r="AH12" s="1395" t="s">
        <v>72</v>
      </c>
      <c r="AI12" s="393" t="s">
        <v>73</v>
      </c>
      <c r="AJ12" s="1395" t="s">
        <v>72</v>
      </c>
      <c r="AK12" s="393" t="s">
        <v>73</v>
      </c>
      <c r="AL12" s="1395" t="s">
        <v>72</v>
      </c>
      <c r="AM12" s="393" t="s">
        <v>73</v>
      </c>
      <c r="AN12" s="6764"/>
      <c r="AO12" s="1647" t="s">
        <v>483</v>
      </c>
      <c r="AP12" s="1391" t="s">
        <v>1621</v>
      </c>
      <c r="AQ12" s="6114"/>
      <c r="AR12" s="5719"/>
      <c r="AS12" s="6114"/>
      <c r="AT12" s="6114"/>
      <c r="AU12" s="5719"/>
    </row>
    <row r="13" spans="1:104">
      <c r="A13" s="6127" t="s">
        <v>2143</v>
      </c>
      <c r="B13" s="1502" t="s">
        <v>78</v>
      </c>
      <c r="C13" s="2393">
        <f t="shared" ref="C13:C76" si="0">SUM(D13+E13)</f>
        <v>0</v>
      </c>
      <c r="D13" s="3453">
        <f t="shared" ref="D13:E34" si="1">+F13+H13+J13+L13+N13+P13+R13+T13+V13+X13+Z13+AB13+AD13+AF13+AH13+AJ13+AL13</f>
        <v>0</v>
      </c>
      <c r="E13" s="3562">
        <f t="shared" ref="E13:E14" si="2">+G13+I13+K13+M13+O13+Q13+S13+U13+W13+Y13+AA13+AC13+AE13+AG13+AI13+AK13+AM13</f>
        <v>0</v>
      </c>
      <c r="F13" s="3394"/>
      <c r="G13" s="3563"/>
      <c r="H13" s="3394"/>
      <c r="I13" s="3563"/>
      <c r="J13" s="3394"/>
      <c r="K13" s="3397"/>
      <c r="L13" s="3394"/>
      <c r="M13" s="3397"/>
      <c r="N13" s="3394"/>
      <c r="O13" s="3397"/>
      <c r="P13" s="3394"/>
      <c r="Q13" s="3397"/>
      <c r="R13" s="3394"/>
      <c r="S13" s="3397"/>
      <c r="T13" s="3394"/>
      <c r="U13" s="3397"/>
      <c r="V13" s="3394"/>
      <c r="W13" s="3397"/>
      <c r="X13" s="3394"/>
      <c r="Y13" s="3397"/>
      <c r="Z13" s="3394"/>
      <c r="AA13" s="3397"/>
      <c r="AB13" s="3394"/>
      <c r="AC13" s="3397"/>
      <c r="AD13" s="3394"/>
      <c r="AE13" s="3397"/>
      <c r="AF13" s="3394"/>
      <c r="AG13" s="3397"/>
      <c r="AH13" s="3394"/>
      <c r="AI13" s="3397"/>
      <c r="AJ13" s="3394"/>
      <c r="AK13" s="3397"/>
      <c r="AL13" s="3564"/>
      <c r="AM13" s="3565"/>
      <c r="AN13" s="3391"/>
      <c r="AO13" s="3566"/>
      <c r="AP13" s="2229"/>
      <c r="AQ13" s="2246"/>
      <c r="AR13" s="452"/>
      <c r="AS13" s="3567"/>
      <c r="AT13" s="3568"/>
      <c r="AU13" s="443"/>
      <c r="AV13" s="3373" t="str">
        <f t="shared" ref="AV13:AV56" si="3">$CA13&amp;$CB13&amp;CC13&amp;CD13&amp;CE13&amp;CG13&amp;CH13</f>
        <v/>
      </c>
      <c r="CA13" s="418" t="str">
        <f t="shared" ref="CA13:CA76" si="4">IF(AND($C13&lt;&gt;0,AN13=""),"* No olvide ingresar la columna Espacios Amigables /adolescentes (Digite CERO si no tiene). ",IF(AN13&gt;$C13,"* El Número de Espacios Amigables no puede superar el Total. ",""))</f>
        <v/>
      </c>
      <c r="CB13" s="418" t="str">
        <f t="shared" ref="CB13:CB76" si="5">IF(AND(E13&gt;0,OR(AO13="")),"No olvide digitar los campos *TRANS Masculino (Digite CERO si no tiene).",IF(AO13&gt;E13,"* El Número de TRANS Masculino no puede superar el Total Mujeres. ",""))</f>
        <v/>
      </c>
      <c r="CC13" s="418" t="str">
        <f t="shared" ref="CC13:CC73" si="6">IF(AND(D13&gt;0,OR(AP13="")),"No olvide digitar los campos *TRANS Femenino (Digite CERO si no tiene).",IF(AP13&gt;$D13,"* El Número de TRANS Femenino no puede superar el Total Hombres. ",""))</f>
        <v/>
      </c>
      <c r="CD13" s="418" t="str">
        <f t="shared" ref="CD13:CD76" si="7">IF(AND($C13&lt;&gt;0,AQ13=""),"* No olvide ingresar la columna Pueblos Originarios (Digite CERO si no tiene).  ",IF(AQ13&gt;$C13,"* El Número de Pueblos Originarios no puede superar el Total. ",""))</f>
        <v/>
      </c>
      <c r="CE13" s="418" t="str">
        <f t="shared" ref="CE13:CE76" si="8">IF(AND($C13&lt;&gt;0,AR13=""),"* No olvide ingresar la columna Migrantes (Digite CERO si no tiene).  ",IF(AR13&gt;$C13,"* El Número de Migrantes no puede superar el Total. ",""))</f>
        <v/>
      </c>
      <c r="CF13" s="3374"/>
      <c r="CG13" s="418" t="str">
        <f t="shared" ref="CG13:CG76" si="9">IF(AND($C13&lt;&gt;0,AT13=""),"* No olvide ingresar la variable "&amp;AT$10&amp;". Digite Cero si no tiene.",IF(AT13&gt;$C13,"* La variable "&amp;AT$10&amp;"no puede superar el Total Ambos Sexos. ",""))</f>
        <v/>
      </c>
      <c r="CH13" s="418" t="str">
        <f t="shared" ref="CH13:CH76" si="10">IF(AND($C13&lt;&gt;0,AU13=""),"* No olvide ingresar la variable "&amp;AU$10&amp;". Digite Cero si no tiene. ",IF(AU13&gt;$C13,"* La variable "&amp;AU$10&amp;" no puede superar el Total Ambos Sexos. ",""))</f>
        <v/>
      </c>
      <c r="CI13" s="417"/>
      <c r="CJ13" s="419">
        <f t="shared" ref="CJ13:CJ76" si="11">IF(AND($C13&lt;&gt;0,AN13=""),1,IF(AN13&gt;$C13,1,0))</f>
        <v>0</v>
      </c>
      <c r="CK13" s="419">
        <f t="shared" ref="CK13:CK76" si="12">IF(AND(E13&gt;0,OR(AO13="")),1,IF(AO13&gt;E13,1,0))</f>
        <v>0</v>
      </c>
      <c r="CL13" s="419">
        <f t="shared" ref="CL13:CL73" si="13">IF(AND(D13&gt;0,OR(AP13="")),1,IF(AP13&gt;D13,1,0))</f>
        <v>0</v>
      </c>
      <c r="CM13" s="419">
        <f t="shared" ref="CM13:CN76" si="14">IF(AND($C13&lt;&gt;0,AQ13=""),1,IF(AQ13&gt;$C13,1,0))</f>
        <v>0</v>
      </c>
      <c r="CN13" s="419">
        <f>IF(AND($C13&lt;&gt;0,AR13=""),1,IF(AR13&gt;$C13,1,0))</f>
        <v>0</v>
      </c>
      <c r="CO13" s="3380"/>
      <c r="CP13" s="419">
        <f t="shared" ref="CP13:CQ76" si="15">IF(AND($C13&lt;&gt;0,AT13=""),1,IF(AT13&gt;$C13,1,0))</f>
        <v>0</v>
      </c>
      <c r="CQ13" s="419">
        <f>IF(AND($C13&lt;&gt;0,AU13=""),1,IF(AU13&gt;$C13,1,0))</f>
        <v>0</v>
      </c>
      <c r="CR13" s="417"/>
      <c r="CS13" s="417"/>
      <c r="CT13" s="417"/>
      <c r="CU13" s="417"/>
    </row>
    <row r="14" spans="1:104">
      <c r="A14" s="6128"/>
      <c r="B14" s="1947" t="s">
        <v>112</v>
      </c>
      <c r="C14" s="1737">
        <f t="shared" si="0"/>
        <v>0</v>
      </c>
      <c r="D14" s="3202">
        <f t="shared" si="1"/>
        <v>0</v>
      </c>
      <c r="E14" s="3569">
        <f t="shared" si="2"/>
        <v>0</v>
      </c>
      <c r="F14" s="425"/>
      <c r="G14" s="2231"/>
      <c r="H14" s="425"/>
      <c r="I14" s="2231"/>
      <c r="J14" s="425"/>
      <c r="K14" s="424"/>
      <c r="L14" s="425"/>
      <c r="M14" s="424"/>
      <c r="N14" s="425"/>
      <c r="O14" s="424"/>
      <c r="P14" s="425"/>
      <c r="Q14" s="424"/>
      <c r="R14" s="425"/>
      <c r="S14" s="424"/>
      <c r="T14" s="425"/>
      <c r="U14" s="424"/>
      <c r="V14" s="425"/>
      <c r="W14" s="424"/>
      <c r="X14" s="425"/>
      <c r="Y14" s="424"/>
      <c r="Z14" s="425"/>
      <c r="AA14" s="424"/>
      <c r="AB14" s="425"/>
      <c r="AC14" s="424"/>
      <c r="AD14" s="425"/>
      <c r="AE14" s="424"/>
      <c r="AF14" s="425"/>
      <c r="AG14" s="424"/>
      <c r="AH14" s="425"/>
      <c r="AI14" s="424"/>
      <c r="AJ14" s="425"/>
      <c r="AK14" s="424"/>
      <c r="AL14" s="3568"/>
      <c r="AM14" s="426"/>
      <c r="AN14" s="3392"/>
      <c r="AO14" s="423"/>
      <c r="AP14" s="2231"/>
      <c r="AQ14" s="3568"/>
      <c r="AR14" s="443"/>
      <c r="AS14" s="3570"/>
      <c r="AT14" s="3568"/>
      <c r="AU14" s="443"/>
      <c r="AV14" s="3373" t="str">
        <f t="shared" si="3"/>
        <v/>
      </c>
      <c r="CA14" s="418" t="str">
        <f t="shared" si="4"/>
        <v/>
      </c>
      <c r="CB14" s="418" t="str">
        <f t="shared" si="5"/>
        <v/>
      </c>
      <c r="CC14" s="418" t="str">
        <f t="shared" si="6"/>
        <v/>
      </c>
      <c r="CD14" s="418" t="str">
        <f t="shared" si="7"/>
        <v/>
      </c>
      <c r="CE14" s="418" t="str">
        <f t="shared" si="8"/>
        <v/>
      </c>
      <c r="CF14" s="3374"/>
      <c r="CG14" s="418" t="str">
        <f t="shared" si="9"/>
        <v/>
      </c>
      <c r="CH14" s="418" t="str">
        <f t="shared" si="10"/>
        <v/>
      </c>
      <c r="CI14" s="417"/>
      <c r="CJ14" s="419">
        <f t="shared" si="11"/>
        <v>0</v>
      </c>
      <c r="CK14" s="419">
        <f t="shared" si="12"/>
        <v>0</v>
      </c>
      <c r="CL14" s="419">
        <f t="shared" si="13"/>
        <v>0</v>
      </c>
      <c r="CM14" s="419">
        <f t="shared" si="14"/>
        <v>0</v>
      </c>
      <c r="CN14" s="419">
        <f t="shared" si="14"/>
        <v>0</v>
      </c>
      <c r="CO14" s="3380"/>
      <c r="CP14" s="419">
        <f t="shared" si="15"/>
        <v>0</v>
      </c>
      <c r="CQ14" s="419">
        <f t="shared" si="15"/>
        <v>0</v>
      </c>
    </row>
    <row r="15" spans="1:104">
      <c r="A15" s="6128"/>
      <c r="B15" s="1947" t="s">
        <v>79</v>
      </c>
      <c r="C15" s="1737">
        <f t="shared" si="0"/>
        <v>0</v>
      </c>
      <c r="D15" s="3202">
        <f t="shared" si="1"/>
        <v>0</v>
      </c>
      <c r="E15" s="3569">
        <f t="shared" si="1"/>
        <v>0</v>
      </c>
      <c r="F15" s="425"/>
      <c r="G15" s="2231"/>
      <c r="H15" s="425"/>
      <c r="I15" s="2231"/>
      <c r="J15" s="425"/>
      <c r="K15" s="424"/>
      <c r="L15" s="425"/>
      <c r="M15" s="424"/>
      <c r="N15" s="425"/>
      <c r="O15" s="424"/>
      <c r="P15" s="425"/>
      <c r="Q15" s="424"/>
      <c r="R15" s="425"/>
      <c r="S15" s="424"/>
      <c r="T15" s="425"/>
      <c r="U15" s="424"/>
      <c r="V15" s="425"/>
      <c r="W15" s="424"/>
      <c r="X15" s="425"/>
      <c r="Y15" s="424"/>
      <c r="Z15" s="425"/>
      <c r="AA15" s="424"/>
      <c r="AB15" s="425"/>
      <c r="AC15" s="424"/>
      <c r="AD15" s="425"/>
      <c r="AE15" s="424"/>
      <c r="AF15" s="425"/>
      <c r="AG15" s="424"/>
      <c r="AH15" s="425"/>
      <c r="AI15" s="424"/>
      <c r="AJ15" s="425"/>
      <c r="AK15" s="424"/>
      <c r="AL15" s="3568"/>
      <c r="AM15" s="426"/>
      <c r="AN15" s="3392"/>
      <c r="AO15" s="423"/>
      <c r="AP15" s="2231"/>
      <c r="AQ15" s="3568"/>
      <c r="AR15" s="443"/>
      <c r="AS15" s="3570"/>
      <c r="AT15" s="3568"/>
      <c r="AU15" s="443"/>
      <c r="AV15" s="3373" t="str">
        <f t="shared" si="3"/>
        <v/>
      </c>
      <c r="CA15" s="418" t="str">
        <f t="shared" si="4"/>
        <v/>
      </c>
      <c r="CB15" s="418" t="str">
        <f t="shared" si="5"/>
        <v/>
      </c>
      <c r="CC15" s="418" t="str">
        <f t="shared" si="6"/>
        <v/>
      </c>
      <c r="CD15" s="418" t="str">
        <f t="shared" si="7"/>
        <v/>
      </c>
      <c r="CE15" s="418" t="str">
        <f t="shared" si="8"/>
        <v/>
      </c>
      <c r="CF15" s="3374"/>
      <c r="CG15" s="418" t="str">
        <f t="shared" si="9"/>
        <v/>
      </c>
      <c r="CH15" s="418" t="str">
        <f t="shared" si="10"/>
        <v/>
      </c>
      <c r="CI15" s="417"/>
      <c r="CJ15" s="419">
        <f t="shared" si="11"/>
        <v>0</v>
      </c>
      <c r="CK15" s="419">
        <f t="shared" si="12"/>
        <v>0</v>
      </c>
      <c r="CL15" s="419">
        <f t="shared" si="13"/>
        <v>0</v>
      </c>
      <c r="CM15" s="419">
        <f t="shared" si="14"/>
        <v>0</v>
      </c>
      <c r="CN15" s="419">
        <f t="shared" si="14"/>
        <v>0</v>
      </c>
      <c r="CO15" s="3380"/>
      <c r="CP15" s="419">
        <f t="shared" si="15"/>
        <v>0</v>
      </c>
      <c r="CQ15" s="419">
        <f t="shared" si="15"/>
        <v>0</v>
      </c>
    </row>
    <row r="16" spans="1:104">
      <c r="A16" s="6128"/>
      <c r="B16" s="1947" t="s">
        <v>119</v>
      </c>
      <c r="C16" s="1737">
        <f t="shared" si="0"/>
        <v>0</v>
      </c>
      <c r="D16" s="3202">
        <f t="shared" si="1"/>
        <v>0</v>
      </c>
      <c r="E16" s="3569">
        <f t="shared" si="1"/>
        <v>0</v>
      </c>
      <c r="F16" s="425"/>
      <c r="G16" s="2231"/>
      <c r="H16" s="425"/>
      <c r="I16" s="2231"/>
      <c r="J16" s="425"/>
      <c r="K16" s="424"/>
      <c r="L16" s="425"/>
      <c r="M16" s="424"/>
      <c r="N16" s="425"/>
      <c r="O16" s="424"/>
      <c r="P16" s="425"/>
      <c r="Q16" s="424"/>
      <c r="R16" s="425"/>
      <c r="S16" s="424"/>
      <c r="T16" s="425"/>
      <c r="U16" s="424"/>
      <c r="V16" s="425"/>
      <c r="W16" s="424"/>
      <c r="X16" s="425"/>
      <c r="Y16" s="424"/>
      <c r="Z16" s="425"/>
      <c r="AA16" s="424"/>
      <c r="AB16" s="425"/>
      <c r="AC16" s="424"/>
      <c r="AD16" s="425"/>
      <c r="AE16" s="424"/>
      <c r="AF16" s="425"/>
      <c r="AG16" s="424"/>
      <c r="AH16" s="425"/>
      <c r="AI16" s="424"/>
      <c r="AJ16" s="425"/>
      <c r="AK16" s="424"/>
      <c r="AL16" s="3568"/>
      <c r="AM16" s="426"/>
      <c r="AN16" s="3392"/>
      <c r="AO16" s="423"/>
      <c r="AP16" s="2231"/>
      <c r="AQ16" s="3568"/>
      <c r="AR16" s="443"/>
      <c r="AS16" s="3570"/>
      <c r="AT16" s="3568"/>
      <c r="AU16" s="443"/>
      <c r="AV16" s="3373" t="str">
        <f t="shared" si="3"/>
        <v/>
      </c>
      <c r="CA16" s="418" t="str">
        <f t="shared" si="4"/>
        <v/>
      </c>
      <c r="CB16" s="418" t="str">
        <f t="shared" si="5"/>
        <v/>
      </c>
      <c r="CC16" s="418" t="str">
        <f t="shared" si="6"/>
        <v/>
      </c>
      <c r="CD16" s="418" t="str">
        <f t="shared" si="7"/>
        <v/>
      </c>
      <c r="CE16" s="418" t="str">
        <f t="shared" si="8"/>
        <v/>
      </c>
      <c r="CF16" s="3374"/>
      <c r="CG16" s="418" t="str">
        <f t="shared" si="9"/>
        <v/>
      </c>
      <c r="CH16" s="418" t="str">
        <f t="shared" si="10"/>
        <v/>
      </c>
      <c r="CI16" s="417"/>
      <c r="CJ16" s="419">
        <f t="shared" si="11"/>
        <v>0</v>
      </c>
      <c r="CK16" s="419">
        <f t="shared" si="12"/>
        <v>0</v>
      </c>
      <c r="CL16" s="419">
        <f t="shared" si="13"/>
        <v>0</v>
      </c>
      <c r="CM16" s="419">
        <f t="shared" si="14"/>
        <v>0</v>
      </c>
      <c r="CN16" s="419">
        <f t="shared" si="14"/>
        <v>0</v>
      </c>
      <c r="CO16" s="3380"/>
      <c r="CP16" s="419">
        <f t="shared" si="15"/>
        <v>0</v>
      </c>
      <c r="CQ16" s="419">
        <f t="shared" si="15"/>
        <v>0</v>
      </c>
    </row>
    <row r="17" spans="1:99">
      <c r="A17" s="6128"/>
      <c r="B17" s="1947" t="s">
        <v>1066</v>
      </c>
      <c r="C17" s="1737">
        <f t="shared" si="0"/>
        <v>0</v>
      </c>
      <c r="D17" s="3202">
        <f t="shared" si="1"/>
        <v>0</v>
      </c>
      <c r="E17" s="3569">
        <f t="shared" si="1"/>
        <v>0</v>
      </c>
      <c r="F17" s="425"/>
      <c r="G17" s="2231"/>
      <c r="H17" s="425"/>
      <c r="I17" s="2231"/>
      <c r="J17" s="425"/>
      <c r="K17" s="424"/>
      <c r="L17" s="425"/>
      <c r="M17" s="424"/>
      <c r="N17" s="425"/>
      <c r="O17" s="424"/>
      <c r="P17" s="425"/>
      <c r="Q17" s="424"/>
      <c r="R17" s="425"/>
      <c r="S17" s="424"/>
      <c r="T17" s="425"/>
      <c r="U17" s="424"/>
      <c r="V17" s="425"/>
      <c r="W17" s="424"/>
      <c r="X17" s="425"/>
      <c r="Y17" s="424"/>
      <c r="Z17" s="425"/>
      <c r="AA17" s="424"/>
      <c r="AB17" s="425"/>
      <c r="AC17" s="424"/>
      <c r="AD17" s="425"/>
      <c r="AE17" s="424"/>
      <c r="AF17" s="425"/>
      <c r="AG17" s="424"/>
      <c r="AH17" s="425"/>
      <c r="AI17" s="424"/>
      <c r="AJ17" s="425"/>
      <c r="AK17" s="424"/>
      <c r="AL17" s="3568"/>
      <c r="AM17" s="426"/>
      <c r="AN17" s="3392"/>
      <c r="AO17" s="423"/>
      <c r="AP17" s="2231"/>
      <c r="AQ17" s="3568"/>
      <c r="AR17" s="443"/>
      <c r="AS17" s="3570"/>
      <c r="AT17" s="3568"/>
      <c r="AU17" s="443"/>
      <c r="AV17" s="3373" t="str">
        <f t="shared" si="3"/>
        <v/>
      </c>
      <c r="CA17" s="418" t="str">
        <f t="shared" si="4"/>
        <v/>
      </c>
      <c r="CB17" s="418" t="str">
        <f t="shared" si="5"/>
        <v/>
      </c>
      <c r="CC17" s="418" t="str">
        <f t="shared" si="6"/>
        <v/>
      </c>
      <c r="CD17" s="418" t="str">
        <f t="shared" si="7"/>
        <v/>
      </c>
      <c r="CE17" s="418" t="str">
        <f t="shared" si="8"/>
        <v/>
      </c>
      <c r="CF17" s="3374"/>
      <c r="CG17" s="418" t="str">
        <f t="shared" si="9"/>
        <v/>
      </c>
      <c r="CH17" s="418" t="str">
        <f t="shared" si="10"/>
        <v/>
      </c>
      <c r="CI17" s="417"/>
      <c r="CJ17" s="419">
        <f t="shared" si="11"/>
        <v>0</v>
      </c>
      <c r="CK17" s="419">
        <f t="shared" si="12"/>
        <v>0</v>
      </c>
      <c r="CL17" s="419">
        <f t="shared" si="13"/>
        <v>0</v>
      </c>
      <c r="CM17" s="419">
        <f t="shared" si="14"/>
        <v>0</v>
      </c>
      <c r="CN17" s="419">
        <f t="shared" si="14"/>
        <v>0</v>
      </c>
      <c r="CO17" s="3380"/>
      <c r="CP17" s="419">
        <f t="shared" si="15"/>
        <v>0</v>
      </c>
      <c r="CQ17" s="419">
        <f t="shared" si="15"/>
        <v>0</v>
      </c>
    </row>
    <row r="18" spans="1:99">
      <c r="A18" s="6128"/>
      <c r="B18" s="1947" t="s">
        <v>1065</v>
      </c>
      <c r="C18" s="1737">
        <f t="shared" si="0"/>
        <v>0</v>
      </c>
      <c r="D18" s="3202">
        <f t="shared" si="1"/>
        <v>0</v>
      </c>
      <c r="E18" s="3569">
        <f t="shared" si="1"/>
        <v>0</v>
      </c>
      <c r="F18" s="425"/>
      <c r="G18" s="2231"/>
      <c r="H18" s="425"/>
      <c r="I18" s="2231"/>
      <c r="J18" s="425"/>
      <c r="K18" s="424"/>
      <c r="L18" s="425"/>
      <c r="M18" s="424"/>
      <c r="N18" s="425"/>
      <c r="O18" s="424"/>
      <c r="P18" s="425"/>
      <c r="Q18" s="424"/>
      <c r="R18" s="425"/>
      <c r="S18" s="424"/>
      <c r="T18" s="425"/>
      <c r="U18" s="424"/>
      <c r="V18" s="425"/>
      <c r="W18" s="424"/>
      <c r="X18" s="425"/>
      <c r="Y18" s="424"/>
      <c r="Z18" s="425"/>
      <c r="AA18" s="424"/>
      <c r="AB18" s="425"/>
      <c r="AC18" s="424"/>
      <c r="AD18" s="425"/>
      <c r="AE18" s="424"/>
      <c r="AF18" s="425"/>
      <c r="AG18" s="424"/>
      <c r="AH18" s="425"/>
      <c r="AI18" s="424"/>
      <c r="AJ18" s="425"/>
      <c r="AK18" s="424"/>
      <c r="AL18" s="3568"/>
      <c r="AM18" s="426"/>
      <c r="AN18" s="3392"/>
      <c r="AO18" s="423"/>
      <c r="AP18" s="2231"/>
      <c r="AQ18" s="3568"/>
      <c r="AR18" s="443"/>
      <c r="AS18" s="3570"/>
      <c r="AT18" s="3568"/>
      <c r="AU18" s="443"/>
      <c r="AV18" s="3373" t="str">
        <f t="shared" si="3"/>
        <v/>
      </c>
      <c r="CA18" s="418" t="str">
        <f t="shared" si="4"/>
        <v/>
      </c>
      <c r="CB18" s="418" t="str">
        <f t="shared" si="5"/>
        <v/>
      </c>
      <c r="CC18" s="418" t="str">
        <f t="shared" si="6"/>
        <v/>
      </c>
      <c r="CD18" s="418" t="str">
        <f t="shared" si="7"/>
        <v/>
      </c>
      <c r="CE18" s="418" t="str">
        <f t="shared" si="8"/>
        <v/>
      </c>
      <c r="CF18" s="3374"/>
      <c r="CG18" s="418" t="str">
        <f t="shared" si="9"/>
        <v/>
      </c>
      <c r="CH18" s="418" t="str">
        <f t="shared" si="10"/>
        <v/>
      </c>
      <c r="CI18" s="417"/>
      <c r="CJ18" s="419">
        <f t="shared" si="11"/>
        <v>0</v>
      </c>
      <c r="CK18" s="419">
        <f t="shared" si="12"/>
        <v>0</v>
      </c>
      <c r="CL18" s="419">
        <f t="shared" si="13"/>
        <v>0</v>
      </c>
      <c r="CM18" s="419">
        <f t="shared" si="14"/>
        <v>0</v>
      </c>
      <c r="CN18" s="419">
        <f t="shared" si="14"/>
        <v>0</v>
      </c>
      <c r="CO18" s="3380"/>
      <c r="CP18" s="419">
        <f t="shared" si="15"/>
        <v>0</v>
      </c>
      <c r="CQ18" s="419">
        <f t="shared" si="15"/>
        <v>0</v>
      </c>
    </row>
    <row r="19" spans="1:99">
      <c r="A19" s="6128"/>
      <c r="B19" s="1947" t="s">
        <v>1471</v>
      </c>
      <c r="C19" s="1737">
        <f t="shared" si="0"/>
        <v>0</v>
      </c>
      <c r="D19" s="3202">
        <f t="shared" si="1"/>
        <v>0</v>
      </c>
      <c r="E19" s="3569">
        <f t="shared" si="1"/>
        <v>0</v>
      </c>
      <c r="F19" s="425"/>
      <c r="G19" s="2231"/>
      <c r="H19" s="425"/>
      <c r="I19" s="2231"/>
      <c r="J19" s="425"/>
      <c r="K19" s="424"/>
      <c r="L19" s="425"/>
      <c r="M19" s="424"/>
      <c r="N19" s="425"/>
      <c r="O19" s="424"/>
      <c r="P19" s="425"/>
      <c r="Q19" s="424"/>
      <c r="R19" s="425"/>
      <c r="S19" s="424"/>
      <c r="T19" s="425"/>
      <c r="U19" s="424"/>
      <c r="V19" s="425"/>
      <c r="W19" s="424"/>
      <c r="X19" s="425"/>
      <c r="Y19" s="424"/>
      <c r="Z19" s="425"/>
      <c r="AA19" s="424"/>
      <c r="AB19" s="425"/>
      <c r="AC19" s="424"/>
      <c r="AD19" s="425"/>
      <c r="AE19" s="424"/>
      <c r="AF19" s="425"/>
      <c r="AG19" s="424"/>
      <c r="AH19" s="425"/>
      <c r="AI19" s="424"/>
      <c r="AJ19" s="425"/>
      <c r="AK19" s="424"/>
      <c r="AL19" s="3568"/>
      <c r="AM19" s="426"/>
      <c r="AN19" s="3392"/>
      <c r="AO19" s="423"/>
      <c r="AP19" s="2231"/>
      <c r="AQ19" s="3568"/>
      <c r="AR19" s="443"/>
      <c r="AS19" s="3570"/>
      <c r="AT19" s="3568"/>
      <c r="AU19" s="443"/>
      <c r="AV19" s="3373" t="str">
        <f t="shared" si="3"/>
        <v/>
      </c>
      <c r="CA19" s="418" t="str">
        <f t="shared" si="4"/>
        <v/>
      </c>
      <c r="CB19" s="418" t="str">
        <f t="shared" si="5"/>
        <v/>
      </c>
      <c r="CC19" s="418" t="str">
        <f t="shared" si="6"/>
        <v/>
      </c>
      <c r="CD19" s="418" t="str">
        <f t="shared" si="7"/>
        <v/>
      </c>
      <c r="CE19" s="418" t="str">
        <f t="shared" si="8"/>
        <v/>
      </c>
      <c r="CF19" s="3374"/>
      <c r="CG19" s="418" t="str">
        <f t="shared" si="9"/>
        <v/>
      </c>
      <c r="CH19" s="418" t="str">
        <f t="shared" si="10"/>
        <v/>
      </c>
      <c r="CI19" s="417"/>
      <c r="CJ19" s="419">
        <f t="shared" si="11"/>
        <v>0</v>
      </c>
      <c r="CK19" s="419">
        <f t="shared" si="12"/>
        <v>0</v>
      </c>
      <c r="CL19" s="419">
        <f t="shared" si="13"/>
        <v>0</v>
      </c>
      <c r="CM19" s="419">
        <f t="shared" si="14"/>
        <v>0</v>
      </c>
      <c r="CN19" s="419">
        <f t="shared" si="14"/>
        <v>0</v>
      </c>
      <c r="CO19" s="3380"/>
      <c r="CP19" s="419">
        <f t="shared" si="15"/>
        <v>0</v>
      </c>
      <c r="CQ19" s="419">
        <f t="shared" si="15"/>
        <v>0</v>
      </c>
    </row>
    <row r="20" spans="1:99">
      <c r="A20" s="6128"/>
      <c r="B20" s="1437" t="s">
        <v>2144</v>
      </c>
      <c r="C20" s="1991">
        <f t="shared" si="0"/>
        <v>0</v>
      </c>
      <c r="D20" s="1992">
        <f t="shared" si="1"/>
        <v>0</v>
      </c>
      <c r="E20" s="3571">
        <f t="shared" si="1"/>
        <v>0</v>
      </c>
      <c r="F20" s="3419"/>
      <c r="G20" s="3422"/>
      <c r="H20" s="3419"/>
      <c r="I20" s="3422"/>
      <c r="J20" s="3419"/>
      <c r="K20" s="3441"/>
      <c r="L20" s="3419"/>
      <c r="M20" s="3441"/>
      <c r="N20" s="3419"/>
      <c r="O20" s="3441"/>
      <c r="P20" s="3419"/>
      <c r="Q20" s="3441"/>
      <c r="R20" s="3419"/>
      <c r="S20" s="3441"/>
      <c r="T20" s="3419"/>
      <c r="U20" s="3441"/>
      <c r="V20" s="3419"/>
      <c r="W20" s="3441"/>
      <c r="X20" s="3419"/>
      <c r="Y20" s="3441"/>
      <c r="Z20" s="3419"/>
      <c r="AA20" s="3441"/>
      <c r="AB20" s="3419"/>
      <c r="AC20" s="3441"/>
      <c r="AD20" s="3419"/>
      <c r="AE20" s="3441"/>
      <c r="AF20" s="3419"/>
      <c r="AG20" s="3441"/>
      <c r="AH20" s="3419"/>
      <c r="AI20" s="3441"/>
      <c r="AJ20" s="3419"/>
      <c r="AK20" s="3441"/>
      <c r="AL20" s="3572"/>
      <c r="AM20" s="3573"/>
      <c r="AN20" s="3392"/>
      <c r="AO20" s="3424"/>
      <c r="AP20" s="2231"/>
      <c r="AQ20" s="3568"/>
      <c r="AR20" s="443"/>
      <c r="AS20" s="3570"/>
      <c r="AT20" s="3568"/>
      <c r="AU20" s="443"/>
      <c r="AV20" s="3373" t="str">
        <f t="shared" si="3"/>
        <v/>
      </c>
      <c r="CA20" s="418" t="str">
        <f t="shared" si="4"/>
        <v/>
      </c>
      <c r="CB20" s="418" t="str">
        <f t="shared" si="5"/>
        <v/>
      </c>
      <c r="CC20" s="418" t="str">
        <f t="shared" si="6"/>
        <v/>
      </c>
      <c r="CD20" s="418" t="str">
        <f t="shared" si="7"/>
        <v/>
      </c>
      <c r="CE20" s="418" t="str">
        <f t="shared" si="8"/>
        <v/>
      </c>
      <c r="CF20" s="3374"/>
      <c r="CG20" s="418" t="str">
        <f t="shared" si="9"/>
        <v/>
      </c>
      <c r="CH20" s="418" t="str">
        <f t="shared" si="10"/>
        <v/>
      </c>
      <c r="CI20" s="417"/>
      <c r="CJ20" s="419">
        <f t="shared" si="11"/>
        <v>0</v>
      </c>
      <c r="CK20" s="419">
        <f t="shared" si="12"/>
        <v>0</v>
      </c>
      <c r="CL20" s="419">
        <f t="shared" si="13"/>
        <v>0</v>
      </c>
      <c r="CM20" s="419">
        <f t="shared" si="14"/>
        <v>0</v>
      </c>
      <c r="CN20" s="419">
        <f t="shared" si="14"/>
        <v>0</v>
      </c>
      <c r="CO20" s="3380"/>
      <c r="CP20" s="419">
        <f t="shared" si="15"/>
        <v>0</v>
      </c>
      <c r="CQ20" s="419">
        <f t="shared" si="15"/>
        <v>0</v>
      </c>
    </row>
    <row r="21" spans="1:99">
      <c r="A21" s="6128"/>
      <c r="B21" s="1947" t="s">
        <v>2145</v>
      </c>
      <c r="C21" s="1737">
        <f t="shared" si="0"/>
        <v>0</v>
      </c>
      <c r="D21" s="3202">
        <f t="shared" si="1"/>
        <v>0</v>
      </c>
      <c r="E21" s="3569">
        <f t="shared" si="1"/>
        <v>0</v>
      </c>
      <c r="F21" s="425"/>
      <c r="G21" s="2231"/>
      <c r="H21" s="425"/>
      <c r="I21" s="2231"/>
      <c r="J21" s="425"/>
      <c r="K21" s="424"/>
      <c r="L21" s="425"/>
      <c r="M21" s="424"/>
      <c r="N21" s="425"/>
      <c r="O21" s="424"/>
      <c r="P21" s="425"/>
      <c r="Q21" s="424"/>
      <c r="R21" s="425"/>
      <c r="S21" s="424"/>
      <c r="T21" s="425"/>
      <c r="U21" s="424"/>
      <c r="V21" s="425"/>
      <c r="W21" s="424"/>
      <c r="X21" s="425"/>
      <c r="Y21" s="424"/>
      <c r="Z21" s="425"/>
      <c r="AA21" s="424"/>
      <c r="AB21" s="425"/>
      <c r="AC21" s="424"/>
      <c r="AD21" s="425"/>
      <c r="AE21" s="424"/>
      <c r="AF21" s="425"/>
      <c r="AG21" s="424"/>
      <c r="AH21" s="425"/>
      <c r="AI21" s="424"/>
      <c r="AJ21" s="425"/>
      <c r="AK21" s="424"/>
      <c r="AL21" s="3568"/>
      <c r="AM21" s="426"/>
      <c r="AN21" s="3392"/>
      <c r="AO21" s="423"/>
      <c r="AP21" s="2231"/>
      <c r="AQ21" s="3568"/>
      <c r="AR21" s="443"/>
      <c r="AS21" s="3570"/>
      <c r="AT21" s="3568"/>
      <c r="AU21" s="443"/>
      <c r="AV21" s="3373" t="str">
        <f t="shared" si="3"/>
        <v/>
      </c>
      <c r="CA21" s="418" t="str">
        <f t="shared" si="4"/>
        <v/>
      </c>
      <c r="CB21" s="418" t="str">
        <f t="shared" si="5"/>
        <v/>
      </c>
      <c r="CC21" s="418" t="str">
        <f t="shared" si="6"/>
        <v/>
      </c>
      <c r="CD21" s="418" t="str">
        <f t="shared" si="7"/>
        <v/>
      </c>
      <c r="CE21" s="418" t="str">
        <f t="shared" si="8"/>
        <v/>
      </c>
      <c r="CF21" s="3374"/>
      <c r="CG21" s="418" t="str">
        <f t="shared" si="9"/>
        <v/>
      </c>
      <c r="CH21" s="418" t="str">
        <f t="shared" si="10"/>
        <v/>
      </c>
      <c r="CI21" s="417"/>
      <c r="CJ21" s="419">
        <f t="shared" si="11"/>
        <v>0</v>
      </c>
      <c r="CK21" s="419">
        <f t="shared" si="12"/>
        <v>0</v>
      </c>
      <c r="CL21" s="419">
        <f t="shared" si="13"/>
        <v>0</v>
      </c>
      <c r="CM21" s="419">
        <f t="shared" si="14"/>
        <v>0</v>
      </c>
      <c r="CN21" s="419">
        <f t="shared" si="14"/>
        <v>0</v>
      </c>
      <c r="CO21" s="3380"/>
      <c r="CP21" s="419">
        <f t="shared" si="15"/>
        <v>0</v>
      </c>
      <c r="CQ21" s="419">
        <f t="shared" si="15"/>
        <v>0</v>
      </c>
    </row>
    <row r="22" spans="1:99">
      <c r="A22" s="6128"/>
      <c r="B22" s="441" t="s">
        <v>2146</v>
      </c>
      <c r="C22" s="1737">
        <f t="shared" si="0"/>
        <v>0</v>
      </c>
      <c r="D22" s="3574">
        <f t="shared" si="1"/>
        <v>0</v>
      </c>
      <c r="E22" s="3575">
        <f t="shared" si="1"/>
        <v>0</v>
      </c>
      <c r="F22" s="425"/>
      <c r="G22" s="2231"/>
      <c r="H22" s="425"/>
      <c r="I22" s="2231"/>
      <c r="J22" s="425"/>
      <c r="K22" s="424"/>
      <c r="L22" s="425"/>
      <c r="M22" s="424"/>
      <c r="N22" s="425"/>
      <c r="O22" s="424"/>
      <c r="P22" s="425"/>
      <c r="Q22" s="424"/>
      <c r="R22" s="425"/>
      <c r="S22" s="424"/>
      <c r="T22" s="425"/>
      <c r="U22" s="424"/>
      <c r="V22" s="425"/>
      <c r="W22" s="424"/>
      <c r="X22" s="425"/>
      <c r="Y22" s="424"/>
      <c r="Z22" s="425"/>
      <c r="AA22" s="424"/>
      <c r="AB22" s="425"/>
      <c r="AC22" s="424"/>
      <c r="AD22" s="425"/>
      <c r="AE22" s="424"/>
      <c r="AF22" s="425"/>
      <c r="AG22" s="424"/>
      <c r="AH22" s="425"/>
      <c r="AI22" s="424"/>
      <c r="AJ22" s="425"/>
      <c r="AK22" s="424"/>
      <c r="AL22" s="3576"/>
      <c r="AM22" s="426"/>
      <c r="AN22" s="3392"/>
      <c r="AO22" s="423"/>
      <c r="AP22" s="2231"/>
      <c r="AQ22" s="3568"/>
      <c r="AR22" s="443"/>
      <c r="AS22" s="3570"/>
      <c r="AT22" s="3568"/>
      <c r="AU22" s="443"/>
      <c r="AV22" s="3373" t="str">
        <f t="shared" si="3"/>
        <v/>
      </c>
      <c r="CA22" s="418" t="str">
        <f t="shared" si="4"/>
        <v/>
      </c>
      <c r="CB22" s="418" t="str">
        <f t="shared" si="5"/>
        <v/>
      </c>
      <c r="CC22" s="418" t="str">
        <f t="shared" si="6"/>
        <v/>
      </c>
      <c r="CD22" s="418" t="str">
        <f t="shared" si="7"/>
        <v/>
      </c>
      <c r="CE22" s="418" t="str">
        <f t="shared" si="8"/>
        <v/>
      </c>
      <c r="CF22" s="3374"/>
      <c r="CG22" s="418" t="str">
        <f t="shared" si="9"/>
        <v/>
      </c>
      <c r="CH22" s="418" t="str">
        <f t="shared" si="10"/>
        <v/>
      </c>
      <c r="CI22" s="417"/>
      <c r="CJ22" s="419">
        <f t="shared" si="11"/>
        <v>0</v>
      </c>
      <c r="CK22" s="419">
        <f t="shared" si="12"/>
        <v>0</v>
      </c>
      <c r="CL22" s="419">
        <f t="shared" si="13"/>
        <v>0</v>
      </c>
      <c r="CM22" s="419">
        <f t="shared" si="14"/>
        <v>0</v>
      </c>
      <c r="CN22" s="419">
        <f t="shared" si="14"/>
        <v>0</v>
      </c>
      <c r="CO22" s="3380"/>
      <c r="CP22" s="419">
        <f t="shared" si="15"/>
        <v>0</v>
      </c>
      <c r="CQ22" s="419">
        <f t="shared" si="15"/>
        <v>0</v>
      </c>
    </row>
    <row r="23" spans="1:99">
      <c r="A23" s="6129"/>
      <c r="B23" s="1505" t="s">
        <v>113</v>
      </c>
      <c r="C23" s="1773">
        <f t="shared" si="0"/>
        <v>0</v>
      </c>
      <c r="D23" s="3471">
        <f t="shared" si="1"/>
        <v>0</v>
      </c>
      <c r="E23" s="3577">
        <f t="shared" si="1"/>
        <v>0</v>
      </c>
      <c r="F23" s="435"/>
      <c r="G23" s="2252"/>
      <c r="H23" s="435"/>
      <c r="I23" s="2252"/>
      <c r="J23" s="435"/>
      <c r="K23" s="434"/>
      <c r="L23" s="435"/>
      <c r="M23" s="434"/>
      <c r="N23" s="435"/>
      <c r="O23" s="434"/>
      <c r="P23" s="435"/>
      <c r="Q23" s="434"/>
      <c r="R23" s="435"/>
      <c r="S23" s="434"/>
      <c r="T23" s="435"/>
      <c r="U23" s="434"/>
      <c r="V23" s="435"/>
      <c r="W23" s="434"/>
      <c r="X23" s="435"/>
      <c r="Y23" s="434"/>
      <c r="Z23" s="435"/>
      <c r="AA23" s="434"/>
      <c r="AB23" s="435"/>
      <c r="AC23" s="434"/>
      <c r="AD23" s="435"/>
      <c r="AE23" s="434"/>
      <c r="AF23" s="435"/>
      <c r="AG23" s="434"/>
      <c r="AH23" s="435"/>
      <c r="AI23" s="434"/>
      <c r="AJ23" s="435"/>
      <c r="AK23" s="434"/>
      <c r="AL23" s="432"/>
      <c r="AM23" s="436"/>
      <c r="AN23" s="3393"/>
      <c r="AO23" s="3519"/>
      <c r="AP23" s="2235"/>
      <c r="AQ23" s="3578"/>
      <c r="AR23" s="438"/>
      <c r="AS23" s="3579"/>
      <c r="AT23" s="3578"/>
      <c r="AU23" s="438"/>
      <c r="AV23" s="3373" t="str">
        <f t="shared" si="3"/>
        <v/>
      </c>
      <c r="CA23" s="418" t="str">
        <f t="shared" si="4"/>
        <v/>
      </c>
      <c r="CB23" s="418" t="str">
        <f t="shared" si="5"/>
        <v/>
      </c>
      <c r="CC23" s="418" t="str">
        <f t="shared" si="6"/>
        <v/>
      </c>
      <c r="CD23" s="418" t="str">
        <f t="shared" si="7"/>
        <v/>
      </c>
      <c r="CE23" s="418" t="str">
        <f t="shared" si="8"/>
        <v/>
      </c>
      <c r="CF23" s="3374"/>
      <c r="CG23" s="418" t="str">
        <f t="shared" si="9"/>
        <v/>
      </c>
      <c r="CH23" s="418" t="str">
        <f t="shared" si="10"/>
        <v/>
      </c>
      <c r="CI23" s="417"/>
      <c r="CJ23" s="419">
        <f t="shared" si="11"/>
        <v>0</v>
      </c>
      <c r="CK23" s="419">
        <f t="shared" si="12"/>
        <v>0</v>
      </c>
      <c r="CL23" s="419">
        <f t="shared" si="13"/>
        <v>0</v>
      </c>
      <c r="CM23" s="419">
        <f t="shared" si="14"/>
        <v>0</v>
      </c>
      <c r="CN23" s="419">
        <f t="shared" si="14"/>
        <v>0</v>
      </c>
      <c r="CO23" s="3380"/>
      <c r="CP23" s="419">
        <f t="shared" si="15"/>
        <v>0</v>
      </c>
      <c r="CQ23" s="419">
        <f t="shared" si="15"/>
        <v>0</v>
      </c>
    </row>
    <row r="24" spans="1:99">
      <c r="A24" s="6127" t="s">
        <v>2147</v>
      </c>
      <c r="B24" s="1502" t="s">
        <v>78</v>
      </c>
      <c r="C24" s="2393">
        <f t="shared" si="0"/>
        <v>0</v>
      </c>
      <c r="D24" s="3453">
        <f t="shared" si="1"/>
        <v>0</v>
      </c>
      <c r="E24" s="3562">
        <f t="shared" ref="E24:E25" si="16">+G24+I24+K24+M24+O24+Q24+S24+U24+W24+Y24+AA24+AC24+AE24+AG24+AI24+AK24+AM24</f>
        <v>0</v>
      </c>
      <c r="F24" s="3394"/>
      <c r="G24" s="3563"/>
      <c r="H24" s="3394"/>
      <c r="I24" s="3563"/>
      <c r="J24" s="3394"/>
      <c r="K24" s="3397"/>
      <c r="L24" s="3394"/>
      <c r="M24" s="3397"/>
      <c r="N24" s="3394"/>
      <c r="O24" s="3397"/>
      <c r="P24" s="3394"/>
      <c r="Q24" s="3397"/>
      <c r="R24" s="3394"/>
      <c r="S24" s="3397"/>
      <c r="T24" s="3394"/>
      <c r="U24" s="3397"/>
      <c r="V24" s="3394"/>
      <c r="W24" s="3397"/>
      <c r="X24" s="3394"/>
      <c r="Y24" s="3397"/>
      <c r="Z24" s="3394"/>
      <c r="AA24" s="3397"/>
      <c r="AB24" s="3394"/>
      <c r="AC24" s="3397"/>
      <c r="AD24" s="3394"/>
      <c r="AE24" s="3397"/>
      <c r="AF24" s="3394"/>
      <c r="AG24" s="3397"/>
      <c r="AH24" s="3394"/>
      <c r="AI24" s="3397"/>
      <c r="AJ24" s="3394"/>
      <c r="AK24" s="3397"/>
      <c r="AL24" s="3564"/>
      <c r="AM24" s="3565"/>
      <c r="AN24" s="3391"/>
      <c r="AO24" s="3566"/>
      <c r="AP24" s="2229"/>
      <c r="AQ24" s="2246"/>
      <c r="AR24" s="452"/>
      <c r="AS24" s="3567"/>
      <c r="AT24" s="3568"/>
      <c r="AU24" s="443"/>
      <c r="AV24" s="3373" t="str">
        <f t="shared" si="3"/>
        <v/>
      </c>
      <c r="CA24" s="418" t="str">
        <f t="shared" si="4"/>
        <v/>
      </c>
      <c r="CB24" s="418" t="str">
        <f t="shared" si="5"/>
        <v/>
      </c>
      <c r="CC24" s="418" t="str">
        <f t="shared" si="6"/>
        <v/>
      </c>
      <c r="CD24" s="418" t="str">
        <f t="shared" si="7"/>
        <v/>
      </c>
      <c r="CE24" s="418" t="str">
        <f t="shared" si="8"/>
        <v/>
      </c>
      <c r="CF24" s="3374"/>
      <c r="CG24" s="418" t="str">
        <f t="shared" si="9"/>
        <v/>
      </c>
      <c r="CH24" s="418" t="str">
        <f t="shared" si="10"/>
        <v/>
      </c>
      <c r="CI24" s="417"/>
      <c r="CJ24" s="419">
        <f t="shared" si="11"/>
        <v>0</v>
      </c>
      <c r="CK24" s="419">
        <f t="shared" si="12"/>
        <v>0</v>
      </c>
      <c r="CL24" s="419">
        <f t="shared" si="13"/>
        <v>0</v>
      </c>
      <c r="CM24" s="419">
        <f t="shared" si="14"/>
        <v>0</v>
      </c>
      <c r="CN24" s="419">
        <f>IF(AND($C24&lt;&gt;0,AR24=""),1,IF(AR24&gt;$C24,1,0))</f>
        <v>0</v>
      </c>
      <c r="CO24" s="3380"/>
      <c r="CP24" s="419">
        <f t="shared" si="15"/>
        <v>0</v>
      </c>
      <c r="CQ24" s="419">
        <f>IF(AND($C24&lt;&gt;0,AU24=""),1,IF(AU24&gt;$C24,1,0))</f>
        <v>0</v>
      </c>
      <c r="CR24" s="417"/>
      <c r="CS24" s="417"/>
      <c r="CT24" s="417"/>
      <c r="CU24" s="417"/>
    </row>
    <row r="25" spans="1:99">
      <c r="A25" s="6128"/>
      <c r="B25" s="1947" t="s">
        <v>112</v>
      </c>
      <c r="C25" s="1737">
        <f t="shared" si="0"/>
        <v>0</v>
      </c>
      <c r="D25" s="3202">
        <f t="shared" si="1"/>
        <v>0</v>
      </c>
      <c r="E25" s="3569">
        <f t="shared" si="16"/>
        <v>0</v>
      </c>
      <c r="F25" s="425"/>
      <c r="G25" s="2231"/>
      <c r="H25" s="425"/>
      <c r="I25" s="2231"/>
      <c r="J25" s="425"/>
      <c r="K25" s="424"/>
      <c r="L25" s="425"/>
      <c r="M25" s="424"/>
      <c r="N25" s="425"/>
      <c r="O25" s="424"/>
      <c r="P25" s="425"/>
      <c r="Q25" s="424"/>
      <c r="R25" s="425"/>
      <c r="S25" s="424"/>
      <c r="T25" s="425"/>
      <c r="U25" s="424"/>
      <c r="V25" s="425"/>
      <c r="W25" s="424"/>
      <c r="X25" s="425"/>
      <c r="Y25" s="424"/>
      <c r="Z25" s="425"/>
      <c r="AA25" s="424"/>
      <c r="AB25" s="425"/>
      <c r="AC25" s="424"/>
      <c r="AD25" s="425"/>
      <c r="AE25" s="424"/>
      <c r="AF25" s="425"/>
      <c r="AG25" s="424"/>
      <c r="AH25" s="425"/>
      <c r="AI25" s="424"/>
      <c r="AJ25" s="425"/>
      <c r="AK25" s="424"/>
      <c r="AL25" s="3568"/>
      <c r="AM25" s="426"/>
      <c r="AN25" s="3392"/>
      <c r="AO25" s="423"/>
      <c r="AP25" s="2231"/>
      <c r="AQ25" s="3568"/>
      <c r="AR25" s="443"/>
      <c r="AS25" s="3570"/>
      <c r="AT25" s="3568"/>
      <c r="AU25" s="443"/>
      <c r="AV25" s="3373" t="str">
        <f t="shared" si="3"/>
        <v/>
      </c>
      <c r="CA25" s="418" t="str">
        <f t="shared" si="4"/>
        <v/>
      </c>
      <c r="CB25" s="418" t="str">
        <f t="shared" si="5"/>
        <v/>
      </c>
      <c r="CC25" s="418" t="str">
        <f t="shared" si="6"/>
        <v/>
      </c>
      <c r="CD25" s="418" t="str">
        <f t="shared" si="7"/>
        <v/>
      </c>
      <c r="CE25" s="418" t="str">
        <f t="shared" si="8"/>
        <v/>
      </c>
      <c r="CF25" s="3374"/>
      <c r="CG25" s="418" t="str">
        <f t="shared" si="9"/>
        <v/>
      </c>
      <c r="CH25" s="418" t="str">
        <f t="shared" si="10"/>
        <v/>
      </c>
      <c r="CI25" s="417"/>
      <c r="CJ25" s="419">
        <f t="shared" si="11"/>
        <v>0</v>
      </c>
      <c r="CK25" s="419">
        <f t="shared" si="12"/>
        <v>0</v>
      </c>
      <c r="CL25" s="419">
        <f t="shared" si="13"/>
        <v>0</v>
      </c>
      <c r="CM25" s="419">
        <f t="shared" si="14"/>
        <v>0</v>
      </c>
      <c r="CN25" s="419">
        <f t="shared" si="14"/>
        <v>0</v>
      </c>
      <c r="CO25" s="3380"/>
      <c r="CP25" s="419">
        <f t="shared" si="15"/>
        <v>0</v>
      </c>
      <c r="CQ25" s="419">
        <f t="shared" si="15"/>
        <v>0</v>
      </c>
    </row>
    <row r="26" spans="1:99">
      <c r="A26" s="6128"/>
      <c r="B26" s="1947" t="s">
        <v>79</v>
      </c>
      <c r="C26" s="1737">
        <f t="shared" si="0"/>
        <v>0</v>
      </c>
      <c r="D26" s="3202">
        <f t="shared" si="1"/>
        <v>0</v>
      </c>
      <c r="E26" s="3569">
        <f t="shared" si="1"/>
        <v>0</v>
      </c>
      <c r="F26" s="425"/>
      <c r="G26" s="2231"/>
      <c r="H26" s="425"/>
      <c r="I26" s="2231"/>
      <c r="J26" s="425"/>
      <c r="K26" s="424"/>
      <c r="L26" s="425"/>
      <c r="M26" s="424"/>
      <c r="N26" s="425"/>
      <c r="O26" s="424"/>
      <c r="P26" s="425"/>
      <c r="Q26" s="424"/>
      <c r="R26" s="425"/>
      <c r="S26" s="424"/>
      <c r="T26" s="425"/>
      <c r="U26" s="424"/>
      <c r="V26" s="425"/>
      <c r="W26" s="424"/>
      <c r="X26" s="425"/>
      <c r="Y26" s="424"/>
      <c r="Z26" s="425"/>
      <c r="AA26" s="424"/>
      <c r="AB26" s="425"/>
      <c r="AC26" s="424"/>
      <c r="AD26" s="425"/>
      <c r="AE26" s="424"/>
      <c r="AF26" s="425"/>
      <c r="AG26" s="424"/>
      <c r="AH26" s="425"/>
      <c r="AI26" s="424"/>
      <c r="AJ26" s="425"/>
      <c r="AK26" s="424"/>
      <c r="AL26" s="3568"/>
      <c r="AM26" s="426"/>
      <c r="AN26" s="3392"/>
      <c r="AO26" s="423"/>
      <c r="AP26" s="2231"/>
      <c r="AQ26" s="3568"/>
      <c r="AR26" s="443"/>
      <c r="AS26" s="3570"/>
      <c r="AT26" s="3568"/>
      <c r="AU26" s="443"/>
      <c r="AV26" s="3373" t="str">
        <f t="shared" si="3"/>
        <v/>
      </c>
      <c r="CA26" s="418" t="str">
        <f t="shared" si="4"/>
        <v/>
      </c>
      <c r="CB26" s="418" t="str">
        <f t="shared" si="5"/>
        <v/>
      </c>
      <c r="CC26" s="418" t="str">
        <f t="shared" si="6"/>
        <v/>
      </c>
      <c r="CD26" s="418" t="str">
        <f t="shared" si="7"/>
        <v/>
      </c>
      <c r="CE26" s="418" t="str">
        <f t="shared" si="8"/>
        <v/>
      </c>
      <c r="CF26" s="3374"/>
      <c r="CG26" s="418" t="str">
        <f t="shared" si="9"/>
        <v/>
      </c>
      <c r="CH26" s="418" t="str">
        <f t="shared" si="10"/>
        <v/>
      </c>
      <c r="CI26" s="417"/>
      <c r="CJ26" s="419">
        <f t="shared" si="11"/>
        <v>0</v>
      </c>
      <c r="CK26" s="419">
        <f t="shared" si="12"/>
        <v>0</v>
      </c>
      <c r="CL26" s="419">
        <f t="shared" si="13"/>
        <v>0</v>
      </c>
      <c r="CM26" s="419">
        <f t="shared" si="14"/>
        <v>0</v>
      </c>
      <c r="CN26" s="419">
        <f t="shared" si="14"/>
        <v>0</v>
      </c>
      <c r="CO26" s="3380"/>
      <c r="CP26" s="419">
        <f t="shared" si="15"/>
        <v>0</v>
      </c>
      <c r="CQ26" s="419">
        <f t="shared" si="15"/>
        <v>0</v>
      </c>
    </row>
    <row r="27" spans="1:99">
      <c r="A27" s="6128"/>
      <c r="B27" s="1947" t="s">
        <v>119</v>
      </c>
      <c r="C27" s="1737">
        <f t="shared" si="0"/>
        <v>0</v>
      </c>
      <c r="D27" s="3202">
        <f t="shared" si="1"/>
        <v>0</v>
      </c>
      <c r="E27" s="3569">
        <f t="shared" si="1"/>
        <v>0</v>
      </c>
      <c r="F27" s="425"/>
      <c r="G27" s="2231"/>
      <c r="H27" s="425"/>
      <c r="I27" s="2231"/>
      <c r="J27" s="425"/>
      <c r="K27" s="424"/>
      <c r="L27" s="425"/>
      <c r="M27" s="424"/>
      <c r="N27" s="425"/>
      <c r="O27" s="424"/>
      <c r="P27" s="425"/>
      <c r="Q27" s="424"/>
      <c r="R27" s="425"/>
      <c r="S27" s="424"/>
      <c r="T27" s="425"/>
      <c r="U27" s="424"/>
      <c r="V27" s="425"/>
      <c r="W27" s="424"/>
      <c r="X27" s="425"/>
      <c r="Y27" s="424"/>
      <c r="Z27" s="425"/>
      <c r="AA27" s="424"/>
      <c r="AB27" s="425"/>
      <c r="AC27" s="424"/>
      <c r="AD27" s="425"/>
      <c r="AE27" s="424"/>
      <c r="AF27" s="425"/>
      <c r="AG27" s="424"/>
      <c r="AH27" s="425"/>
      <c r="AI27" s="424"/>
      <c r="AJ27" s="425"/>
      <c r="AK27" s="424"/>
      <c r="AL27" s="3568"/>
      <c r="AM27" s="426"/>
      <c r="AN27" s="3392"/>
      <c r="AO27" s="423"/>
      <c r="AP27" s="2231"/>
      <c r="AQ27" s="3568"/>
      <c r="AR27" s="443"/>
      <c r="AS27" s="3570"/>
      <c r="AT27" s="3568"/>
      <c r="AU27" s="443"/>
      <c r="AV27" s="3373" t="str">
        <f t="shared" si="3"/>
        <v/>
      </c>
      <c r="CA27" s="418" t="str">
        <f t="shared" si="4"/>
        <v/>
      </c>
      <c r="CB27" s="418" t="str">
        <f t="shared" si="5"/>
        <v/>
      </c>
      <c r="CC27" s="418" t="str">
        <f t="shared" si="6"/>
        <v/>
      </c>
      <c r="CD27" s="418" t="str">
        <f t="shared" si="7"/>
        <v/>
      </c>
      <c r="CE27" s="418" t="str">
        <f t="shared" si="8"/>
        <v/>
      </c>
      <c r="CF27" s="3374"/>
      <c r="CG27" s="418" t="str">
        <f t="shared" si="9"/>
        <v/>
      </c>
      <c r="CH27" s="418" t="str">
        <f t="shared" si="10"/>
        <v/>
      </c>
      <c r="CI27" s="417"/>
      <c r="CJ27" s="419">
        <f t="shared" si="11"/>
        <v>0</v>
      </c>
      <c r="CK27" s="419">
        <f t="shared" si="12"/>
        <v>0</v>
      </c>
      <c r="CL27" s="419">
        <f t="shared" si="13"/>
        <v>0</v>
      </c>
      <c r="CM27" s="419">
        <f t="shared" si="14"/>
        <v>0</v>
      </c>
      <c r="CN27" s="419">
        <f t="shared" si="14"/>
        <v>0</v>
      </c>
      <c r="CO27" s="3380"/>
      <c r="CP27" s="419">
        <f t="shared" si="15"/>
        <v>0</v>
      </c>
      <c r="CQ27" s="419">
        <f t="shared" si="15"/>
        <v>0</v>
      </c>
    </row>
    <row r="28" spans="1:99">
      <c r="A28" s="6128"/>
      <c r="B28" s="1947" t="s">
        <v>1066</v>
      </c>
      <c r="C28" s="1737">
        <f t="shared" si="0"/>
        <v>0</v>
      </c>
      <c r="D28" s="3202">
        <f t="shared" si="1"/>
        <v>0</v>
      </c>
      <c r="E28" s="3569">
        <f t="shared" si="1"/>
        <v>0</v>
      </c>
      <c r="F28" s="425"/>
      <c r="G28" s="2231"/>
      <c r="H28" s="425"/>
      <c r="I28" s="2231"/>
      <c r="J28" s="425"/>
      <c r="K28" s="424"/>
      <c r="L28" s="425"/>
      <c r="M28" s="424"/>
      <c r="N28" s="425"/>
      <c r="O28" s="424"/>
      <c r="P28" s="425"/>
      <c r="Q28" s="424"/>
      <c r="R28" s="425"/>
      <c r="S28" s="424"/>
      <c r="T28" s="425"/>
      <c r="U28" s="424"/>
      <c r="V28" s="425"/>
      <c r="W28" s="424"/>
      <c r="X28" s="425"/>
      <c r="Y28" s="424"/>
      <c r="Z28" s="425"/>
      <c r="AA28" s="424"/>
      <c r="AB28" s="425"/>
      <c r="AC28" s="424"/>
      <c r="AD28" s="425"/>
      <c r="AE28" s="424"/>
      <c r="AF28" s="425"/>
      <c r="AG28" s="424"/>
      <c r="AH28" s="425"/>
      <c r="AI28" s="424"/>
      <c r="AJ28" s="425"/>
      <c r="AK28" s="424"/>
      <c r="AL28" s="3568"/>
      <c r="AM28" s="426"/>
      <c r="AN28" s="3392"/>
      <c r="AO28" s="423"/>
      <c r="AP28" s="2231"/>
      <c r="AQ28" s="3568"/>
      <c r="AR28" s="443"/>
      <c r="AS28" s="3570"/>
      <c r="AT28" s="3568"/>
      <c r="AU28" s="443"/>
      <c r="AV28" s="3373" t="str">
        <f t="shared" si="3"/>
        <v/>
      </c>
      <c r="CA28" s="418" t="str">
        <f t="shared" si="4"/>
        <v/>
      </c>
      <c r="CB28" s="418" t="str">
        <f t="shared" si="5"/>
        <v/>
      </c>
      <c r="CC28" s="418" t="str">
        <f t="shared" si="6"/>
        <v/>
      </c>
      <c r="CD28" s="418" t="str">
        <f t="shared" si="7"/>
        <v/>
      </c>
      <c r="CE28" s="418" t="str">
        <f t="shared" si="8"/>
        <v/>
      </c>
      <c r="CF28" s="3374"/>
      <c r="CG28" s="418" t="str">
        <f t="shared" si="9"/>
        <v/>
      </c>
      <c r="CH28" s="418" t="str">
        <f t="shared" si="10"/>
        <v/>
      </c>
      <c r="CI28" s="417"/>
      <c r="CJ28" s="419">
        <f t="shared" si="11"/>
        <v>0</v>
      </c>
      <c r="CK28" s="419">
        <f t="shared" si="12"/>
        <v>0</v>
      </c>
      <c r="CL28" s="419">
        <f t="shared" si="13"/>
        <v>0</v>
      </c>
      <c r="CM28" s="419">
        <f t="shared" si="14"/>
        <v>0</v>
      </c>
      <c r="CN28" s="419">
        <f t="shared" si="14"/>
        <v>0</v>
      </c>
      <c r="CO28" s="3380"/>
      <c r="CP28" s="419">
        <f t="shared" si="15"/>
        <v>0</v>
      </c>
      <c r="CQ28" s="419">
        <f t="shared" si="15"/>
        <v>0</v>
      </c>
    </row>
    <row r="29" spans="1:99">
      <c r="A29" s="6128"/>
      <c r="B29" s="1947" t="s">
        <v>1065</v>
      </c>
      <c r="C29" s="1737">
        <f t="shared" si="0"/>
        <v>0</v>
      </c>
      <c r="D29" s="3202">
        <f t="shared" si="1"/>
        <v>0</v>
      </c>
      <c r="E29" s="3569">
        <f t="shared" si="1"/>
        <v>0</v>
      </c>
      <c r="F29" s="425"/>
      <c r="G29" s="2231"/>
      <c r="H29" s="425"/>
      <c r="I29" s="2231"/>
      <c r="J29" s="425"/>
      <c r="K29" s="424"/>
      <c r="L29" s="425"/>
      <c r="M29" s="424"/>
      <c r="N29" s="425"/>
      <c r="O29" s="424"/>
      <c r="P29" s="425"/>
      <c r="Q29" s="424"/>
      <c r="R29" s="425"/>
      <c r="S29" s="424"/>
      <c r="T29" s="425"/>
      <c r="U29" s="424"/>
      <c r="V29" s="425"/>
      <c r="W29" s="424"/>
      <c r="X29" s="425"/>
      <c r="Y29" s="424"/>
      <c r="Z29" s="425"/>
      <c r="AA29" s="424"/>
      <c r="AB29" s="425"/>
      <c r="AC29" s="424"/>
      <c r="AD29" s="425"/>
      <c r="AE29" s="424"/>
      <c r="AF29" s="425"/>
      <c r="AG29" s="424"/>
      <c r="AH29" s="425"/>
      <c r="AI29" s="424"/>
      <c r="AJ29" s="425"/>
      <c r="AK29" s="424"/>
      <c r="AL29" s="3568"/>
      <c r="AM29" s="426"/>
      <c r="AN29" s="3392"/>
      <c r="AO29" s="423"/>
      <c r="AP29" s="2231"/>
      <c r="AQ29" s="3568"/>
      <c r="AR29" s="443"/>
      <c r="AS29" s="3570"/>
      <c r="AT29" s="3568"/>
      <c r="AU29" s="443"/>
      <c r="AV29" s="3373" t="str">
        <f t="shared" si="3"/>
        <v/>
      </c>
      <c r="CA29" s="418" t="str">
        <f t="shared" si="4"/>
        <v/>
      </c>
      <c r="CB29" s="418" t="str">
        <f t="shared" si="5"/>
        <v/>
      </c>
      <c r="CC29" s="418" t="str">
        <f t="shared" si="6"/>
        <v/>
      </c>
      <c r="CD29" s="418" t="str">
        <f t="shared" si="7"/>
        <v/>
      </c>
      <c r="CE29" s="418" t="str">
        <f t="shared" si="8"/>
        <v/>
      </c>
      <c r="CF29" s="3374"/>
      <c r="CG29" s="418" t="str">
        <f t="shared" si="9"/>
        <v/>
      </c>
      <c r="CH29" s="418" t="str">
        <f t="shared" si="10"/>
        <v/>
      </c>
      <c r="CI29" s="417"/>
      <c r="CJ29" s="419">
        <f t="shared" si="11"/>
        <v>0</v>
      </c>
      <c r="CK29" s="419">
        <f t="shared" si="12"/>
        <v>0</v>
      </c>
      <c r="CL29" s="419">
        <f t="shared" si="13"/>
        <v>0</v>
      </c>
      <c r="CM29" s="419">
        <f t="shared" si="14"/>
        <v>0</v>
      </c>
      <c r="CN29" s="419">
        <f t="shared" si="14"/>
        <v>0</v>
      </c>
      <c r="CO29" s="3380"/>
      <c r="CP29" s="419">
        <f t="shared" si="15"/>
        <v>0</v>
      </c>
      <c r="CQ29" s="419">
        <f t="shared" si="15"/>
        <v>0</v>
      </c>
    </row>
    <row r="30" spans="1:99">
      <c r="A30" s="6128"/>
      <c r="B30" s="1947" t="s">
        <v>1471</v>
      </c>
      <c r="C30" s="1737">
        <f t="shared" si="0"/>
        <v>0</v>
      </c>
      <c r="D30" s="3202">
        <f t="shared" si="1"/>
        <v>0</v>
      </c>
      <c r="E30" s="3569">
        <f t="shared" si="1"/>
        <v>0</v>
      </c>
      <c r="F30" s="425"/>
      <c r="G30" s="2231"/>
      <c r="H30" s="425"/>
      <c r="I30" s="2231"/>
      <c r="J30" s="425"/>
      <c r="K30" s="424"/>
      <c r="L30" s="425"/>
      <c r="M30" s="424"/>
      <c r="N30" s="425"/>
      <c r="O30" s="424"/>
      <c r="P30" s="425"/>
      <c r="Q30" s="424"/>
      <c r="R30" s="425"/>
      <c r="S30" s="424"/>
      <c r="T30" s="425"/>
      <c r="U30" s="424"/>
      <c r="V30" s="425"/>
      <c r="W30" s="424"/>
      <c r="X30" s="425"/>
      <c r="Y30" s="424"/>
      <c r="Z30" s="425"/>
      <c r="AA30" s="424"/>
      <c r="AB30" s="425"/>
      <c r="AC30" s="424"/>
      <c r="AD30" s="425"/>
      <c r="AE30" s="424"/>
      <c r="AF30" s="425"/>
      <c r="AG30" s="424"/>
      <c r="AH30" s="425"/>
      <c r="AI30" s="424"/>
      <c r="AJ30" s="425"/>
      <c r="AK30" s="424"/>
      <c r="AL30" s="3568"/>
      <c r="AM30" s="426"/>
      <c r="AN30" s="3392"/>
      <c r="AO30" s="423"/>
      <c r="AP30" s="2231"/>
      <c r="AQ30" s="3568"/>
      <c r="AR30" s="443"/>
      <c r="AS30" s="3570"/>
      <c r="AT30" s="3568"/>
      <c r="AU30" s="443"/>
      <c r="AV30" s="3373" t="str">
        <f t="shared" si="3"/>
        <v/>
      </c>
      <c r="CA30" s="418" t="str">
        <f t="shared" si="4"/>
        <v/>
      </c>
      <c r="CB30" s="418" t="str">
        <f t="shared" si="5"/>
        <v/>
      </c>
      <c r="CC30" s="418" t="str">
        <f t="shared" si="6"/>
        <v/>
      </c>
      <c r="CD30" s="418" t="str">
        <f t="shared" si="7"/>
        <v/>
      </c>
      <c r="CE30" s="418" t="str">
        <f t="shared" si="8"/>
        <v/>
      </c>
      <c r="CF30" s="3374"/>
      <c r="CG30" s="418" t="str">
        <f t="shared" si="9"/>
        <v/>
      </c>
      <c r="CH30" s="418" t="str">
        <f t="shared" si="10"/>
        <v/>
      </c>
      <c r="CI30" s="417"/>
      <c r="CJ30" s="419">
        <f t="shared" si="11"/>
        <v>0</v>
      </c>
      <c r="CK30" s="419">
        <f t="shared" si="12"/>
        <v>0</v>
      </c>
      <c r="CL30" s="419">
        <f t="shared" si="13"/>
        <v>0</v>
      </c>
      <c r="CM30" s="419">
        <f t="shared" si="14"/>
        <v>0</v>
      </c>
      <c r="CN30" s="419">
        <f t="shared" si="14"/>
        <v>0</v>
      </c>
      <c r="CO30" s="3380"/>
      <c r="CP30" s="419">
        <f t="shared" si="15"/>
        <v>0</v>
      </c>
      <c r="CQ30" s="419">
        <f t="shared" si="15"/>
        <v>0</v>
      </c>
    </row>
    <row r="31" spans="1:99">
      <c r="A31" s="6128"/>
      <c r="B31" s="1437" t="s">
        <v>2144</v>
      </c>
      <c r="C31" s="1991">
        <f t="shared" si="0"/>
        <v>0</v>
      </c>
      <c r="D31" s="1992">
        <f t="shared" si="1"/>
        <v>0</v>
      </c>
      <c r="E31" s="3571">
        <f t="shared" si="1"/>
        <v>0</v>
      </c>
      <c r="F31" s="3419"/>
      <c r="G31" s="3422"/>
      <c r="H31" s="3419"/>
      <c r="I31" s="3422"/>
      <c r="J31" s="3419"/>
      <c r="K31" s="3441"/>
      <c r="L31" s="3419"/>
      <c r="M31" s="3441"/>
      <c r="N31" s="3419"/>
      <c r="O31" s="3441"/>
      <c r="P31" s="3419"/>
      <c r="Q31" s="3441"/>
      <c r="R31" s="3419"/>
      <c r="S31" s="3441"/>
      <c r="T31" s="3419"/>
      <c r="U31" s="3441"/>
      <c r="V31" s="3419"/>
      <c r="W31" s="3441"/>
      <c r="X31" s="3419"/>
      <c r="Y31" s="3441"/>
      <c r="Z31" s="3419"/>
      <c r="AA31" s="3441"/>
      <c r="AB31" s="3419"/>
      <c r="AC31" s="3441"/>
      <c r="AD31" s="3419"/>
      <c r="AE31" s="3441"/>
      <c r="AF31" s="3419"/>
      <c r="AG31" s="3441"/>
      <c r="AH31" s="3419"/>
      <c r="AI31" s="3441"/>
      <c r="AJ31" s="3419"/>
      <c r="AK31" s="3441"/>
      <c r="AL31" s="3572"/>
      <c r="AM31" s="3573"/>
      <c r="AN31" s="3392"/>
      <c r="AO31" s="3424"/>
      <c r="AP31" s="2231"/>
      <c r="AQ31" s="3568"/>
      <c r="AR31" s="443"/>
      <c r="AS31" s="3570"/>
      <c r="AT31" s="3568"/>
      <c r="AU31" s="443"/>
      <c r="AV31" s="3373" t="str">
        <f t="shared" si="3"/>
        <v/>
      </c>
      <c r="CA31" s="418" t="str">
        <f t="shared" si="4"/>
        <v/>
      </c>
      <c r="CB31" s="418" t="str">
        <f t="shared" si="5"/>
        <v/>
      </c>
      <c r="CC31" s="418" t="str">
        <f t="shared" si="6"/>
        <v/>
      </c>
      <c r="CD31" s="418" t="str">
        <f t="shared" si="7"/>
        <v/>
      </c>
      <c r="CE31" s="418" t="str">
        <f t="shared" si="8"/>
        <v/>
      </c>
      <c r="CF31" s="3374"/>
      <c r="CG31" s="418" t="str">
        <f t="shared" si="9"/>
        <v/>
      </c>
      <c r="CH31" s="418" t="str">
        <f t="shared" si="10"/>
        <v/>
      </c>
      <c r="CI31" s="417"/>
      <c r="CJ31" s="419">
        <f t="shared" si="11"/>
        <v>0</v>
      </c>
      <c r="CK31" s="419">
        <f t="shared" si="12"/>
        <v>0</v>
      </c>
      <c r="CL31" s="419">
        <f t="shared" si="13"/>
        <v>0</v>
      </c>
      <c r="CM31" s="419">
        <f t="shared" si="14"/>
        <v>0</v>
      </c>
      <c r="CN31" s="419">
        <f t="shared" si="14"/>
        <v>0</v>
      </c>
      <c r="CO31" s="3380"/>
      <c r="CP31" s="419">
        <f t="shared" si="15"/>
        <v>0</v>
      </c>
      <c r="CQ31" s="419">
        <f t="shared" si="15"/>
        <v>0</v>
      </c>
    </row>
    <row r="32" spans="1:99">
      <c r="A32" s="6128"/>
      <c r="B32" s="1947" t="s">
        <v>2145</v>
      </c>
      <c r="C32" s="1737">
        <f t="shared" si="0"/>
        <v>0</v>
      </c>
      <c r="D32" s="3202">
        <f t="shared" si="1"/>
        <v>0</v>
      </c>
      <c r="E32" s="3569">
        <f t="shared" si="1"/>
        <v>0</v>
      </c>
      <c r="F32" s="425"/>
      <c r="G32" s="2231"/>
      <c r="H32" s="425"/>
      <c r="I32" s="2231"/>
      <c r="J32" s="425"/>
      <c r="K32" s="424"/>
      <c r="L32" s="425"/>
      <c r="M32" s="424"/>
      <c r="N32" s="425"/>
      <c r="O32" s="424"/>
      <c r="P32" s="425"/>
      <c r="Q32" s="424"/>
      <c r="R32" s="425"/>
      <c r="S32" s="424"/>
      <c r="T32" s="425"/>
      <c r="U32" s="424"/>
      <c r="V32" s="425"/>
      <c r="W32" s="424"/>
      <c r="X32" s="425"/>
      <c r="Y32" s="424"/>
      <c r="Z32" s="425"/>
      <c r="AA32" s="424"/>
      <c r="AB32" s="425"/>
      <c r="AC32" s="424"/>
      <c r="AD32" s="425"/>
      <c r="AE32" s="424"/>
      <c r="AF32" s="425"/>
      <c r="AG32" s="424"/>
      <c r="AH32" s="425"/>
      <c r="AI32" s="424"/>
      <c r="AJ32" s="425"/>
      <c r="AK32" s="424"/>
      <c r="AL32" s="3568"/>
      <c r="AM32" s="426"/>
      <c r="AN32" s="3392"/>
      <c r="AO32" s="423"/>
      <c r="AP32" s="2231"/>
      <c r="AQ32" s="3568"/>
      <c r="AR32" s="443"/>
      <c r="AS32" s="3570"/>
      <c r="AT32" s="3568"/>
      <c r="AU32" s="443"/>
      <c r="AV32" s="3373" t="str">
        <f t="shared" si="3"/>
        <v/>
      </c>
      <c r="CA32" s="418" t="str">
        <f t="shared" si="4"/>
        <v/>
      </c>
      <c r="CB32" s="418" t="str">
        <f t="shared" si="5"/>
        <v/>
      </c>
      <c r="CC32" s="418" t="str">
        <f t="shared" si="6"/>
        <v/>
      </c>
      <c r="CD32" s="418" t="str">
        <f t="shared" si="7"/>
        <v/>
      </c>
      <c r="CE32" s="418" t="str">
        <f t="shared" si="8"/>
        <v/>
      </c>
      <c r="CF32" s="3374"/>
      <c r="CG32" s="418" t="str">
        <f t="shared" si="9"/>
        <v/>
      </c>
      <c r="CH32" s="418" t="str">
        <f t="shared" si="10"/>
        <v/>
      </c>
      <c r="CI32" s="417"/>
      <c r="CJ32" s="419">
        <f t="shared" si="11"/>
        <v>0</v>
      </c>
      <c r="CK32" s="419">
        <f t="shared" si="12"/>
        <v>0</v>
      </c>
      <c r="CL32" s="419">
        <f t="shared" si="13"/>
        <v>0</v>
      </c>
      <c r="CM32" s="419">
        <f t="shared" si="14"/>
        <v>0</v>
      </c>
      <c r="CN32" s="419">
        <f t="shared" si="14"/>
        <v>0</v>
      </c>
      <c r="CO32" s="3380"/>
      <c r="CP32" s="419">
        <f t="shared" si="15"/>
        <v>0</v>
      </c>
      <c r="CQ32" s="419">
        <f t="shared" si="15"/>
        <v>0</v>
      </c>
    </row>
    <row r="33" spans="1:95">
      <c r="A33" s="6128"/>
      <c r="B33" s="441" t="s">
        <v>2146</v>
      </c>
      <c r="C33" s="1737">
        <f t="shared" si="0"/>
        <v>0</v>
      </c>
      <c r="D33" s="3574">
        <f t="shared" si="1"/>
        <v>0</v>
      </c>
      <c r="E33" s="3575">
        <f t="shared" si="1"/>
        <v>0</v>
      </c>
      <c r="F33" s="425"/>
      <c r="G33" s="2231"/>
      <c r="H33" s="425"/>
      <c r="I33" s="2231"/>
      <c r="J33" s="425"/>
      <c r="K33" s="424"/>
      <c r="L33" s="425"/>
      <c r="M33" s="424"/>
      <c r="N33" s="425"/>
      <c r="O33" s="424"/>
      <c r="P33" s="425"/>
      <c r="Q33" s="424"/>
      <c r="R33" s="425"/>
      <c r="S33" s="424"/>
      <c r="T33" s="425"/>
      <c r="U33" s="424"/>
      <c r="V33" s="425"/>
      <c r="W33" s="424"/>
      <c r="X33" s="425"/>
      <c r="Y33" s="424"/>
      <c r="Z33" s="425"/>
      <c r="AA33" s="424"/>
      <c r="AB33" s="425"/>
      <c r="AC33" s="424"/>
      <c r="AD33" s="425"/>
      <c r="AE33" s="424"/>
      <c r="AF33" s="425"/>
      <c r="AG33" s="424"/>
      <c r="AH33" s="425"/>
      <c r="AI33" s="424"/>
      <c r="AJ33" s="425"/>
      <c r="AK33" s="424"/>
      <c r="AL33" s="3576"/>
      <c r="AM33" s="426"/>
      <c r="AN33" s="3392"/>
      <c r="AO33" s="423"/>
      <c r="AP33" s="2231"/>
      <c r="AQ33" s="3568"/>
      <c r="AR33" s="443"/>
      <c r="AS33" s="3570"/>
      <c r="AT33" s="3568"/>
      <c r="AU33" s="443"/>
      <c r="AV33" s="3373" t="str">
        <f t="shared" si="3"/>
        <v/>
      </c>
      <c r="CA33" s="418" t="str">
        <f t="shared" si="4"/>
        <v/>
      </c>
      <c r="CB33" s="418" t="str">
        <f t="shared" si="5"/>
        <v/>
      </c>
      <c r="CC33" s="418" t="str">
        <f t="shared" si="6"/>
        <v/>
      </c>
      <c r="CD33" s="418" t="str">
        <f t="shared" si="7"/>
        <v/>
      </c>
      <c r="CE33" s="418" t="str">
        <f t="shared" si="8"/>
        <v/>
      </c>
      <c r="CF33" s="3374"/>
      <c r="CG33" s="418" t="str">
        <f t="shared" si="9"/>
        <v/>
      </c>
      <c r="CH33" s="418" t="str">
        <f t="shared" si="10"/>
        <v/>
      </c>
      <c r="CI33" s="417"/>
      <c r="CJ33" s="419">
        <f t="shared" si="11"/>
        <v>0</v>
      </c>
      <c r="CK33" s="419">
        <f t="shared" si="12"/>
        <v>0</v>
      </c>
      <c r="CL33" s="419">
        <f t="shared" si="13"/>
        <v>0</v>
      </c>
      <c r="CM33" s="419">
        <f t="shared" si="14"/>
        <v>0</v>
      </c>
      <c r="CN33" s="419">
        <f t="shared" si="14"/>
        <v>0</v>
      </c>
      <c r="CO33" s="3380"/>
      <c r="CP33" s="419">
        <f t="shared" si="15"/>
        <v>0</v>
      </c>
      <c r="CQ33" s="419">
        <f t="shared" si="15"/>
        <v>0</v>
      </c>
    </row>
    <row r="34" spans="1:95">
      <c r="A34" s="6129"/>
      <c r="B34" s="1505" t="s">
        <v>113</v>
      </c>
      <c r="C34" s="1773">
        <f t="shared" si="0"/>
        <v>0</v>
      </c>
      <c r="D34" s="3471">
        <f t="shared" si="1"/>
        <v>0</v>
      </c>
      <c r="E34" s="3577">
        <f t="shared" si="1"/>
        <v>0</v>
      </c>
      <c r="F34" s="435"/>
      <c r="G34" s="2252"/>
      <c r="H34" s="435"/>
      <c r="I34" s="2252"/>
      <c r="J34" s="435"/>
      <c r="K34" s="434"/>
      <c r="L34" s="435"/>
      <c r="M34" s="434"/>
      <c r="N34" s="435"/>
      <c r="O34" s="434"/>
      <c r="P34" s="435"/>
      <c r="Q34" s="434"/>
      <c r="R34" s="435"/>
      <c r="S34" s="434"/>
      <c r="T34" s="435"/>
      <c r="U34" s="434"/>
      <c r="V34" s="435"/>
      <c r="W34" s="434"/>
      <c r="X34" s="435"/>
      <c r="Y34" s="434"/>
      <c r="Z34" s="435"/>
      <c r="AA34" s="434"/>
      <c r="AB34" s="435"/>
      <c r="AC34" s="434"/>
      <c r="AD34" s="435"/>
      <c r="AE34" s="434"/>
      <c r="AF34" s="435"/>
      <c r="AG34" s="434"/>
      <c r="AH34" s="435"/>
      <c r="AI34" s="434"/>
      <c r="AJ34" s="435"/>
      <c r="AK34" s="434"/>
      <c r="AL34" s="432"/>
      <c r="AM34" s="436"/>
      <c r="AN34" s="3393"/>
      <c r="AO34" s="3519"/>
      <c r="AP34" s="2235"/>
      <c r="AQ34" s="3578"/>
      <c r="AR34" s="438"/>
      <c r="AS34" s="3579"/>
      <c r="AT34" s="3578"/>
      <c r="AU34" s="438"/>
      <c r="AV34" s="3373" t="str">
        <f t="shared" si="3"/>
        <v/>
      </c>
      <c r="CA34" s="418" t="str">
        <f t="shared" si="4"/>
        <v/>
      </c>
      <c r="CB34" s="418" t="str">
        <f t="shared" si="5"/>
        <v/>
      </c>
      <c r="CC34" s="418" t="str">
        <f t="shared" si="6"/>
        <v/>
      </c>
      <c r="CD34" s="418" t="str">
        <f t="shared" si="7"/>
        <v/>
      </c>
      <c r="CE34" s="418" t="str">
        <f t="shared" si="8"/>
        <v/>
      </c>
      <c r="CF34" s="3374"/>
      <c r="CG34" s="418" t="str">
        <f t="shared" si="9"/>
        <v/>
      </c>
      <c r="CH34" s="418" t="str">
        <f t="shared" si="10"/>
        <v/>
      </c>
      <c r="CI34" s="417"/>
      <c r="CJ34" s="419">
        <f t="shared" si="11"/>
        <v>0</v>
      </c>
      <c r="CK34" s="419">
        <f t="shared" si="12"/>
        <v>0</v>
      </c>
      <c r="CL34" s="419">
        <f t="shared" si="13"/>
        <v>0</v>
      </c>
      <c r="CM34" s="419">
        <f t="shared" si="14"/>
        <v>0</v>
      </c>
      <c r="CN34" s="419">
        <f t="shared" si="14"/>
        <v>0</v>
      </c>
      <c r="CO34" s="3380"/>
      <c r="CP34" s="419">
        <f t="shared" si="15"/>
        <v>0</v>
      </c>
      <c r="CQ34" s="419">
        <f t="shared" si="15"/>
        <v>0</v>
      </c>
    </row>
    <row r="35" spans="1:95">
      <c r="A35" s="6127" t="s">
        <v>220</v>
      </c>
      <c r="B35" s="1502" t="s">
        <v>78</v>
      </c>
      <c r="C35" s="2393">
        <f t="shared" si="0"/>
        <v>0</v>
      </c>
      <c r="D35" s="3453">
        <f t="shared" ref="D35:E56" si="17">SUM(H35+J35+L35+N35+P35+R35+T35+V35+X35+Z35+AB35+AD35+AF35+AH35+AJ35+AL35)</f>
        <v>0</v>
      </c>
      <c r="E35" s="3562">
        <f>SUM(I35+K35+M35+O35+Q35+S35+U35+W35+Y35+AA35+AC35+AE35+AG35+AI35+AK35+AM35)</f>
        <v>0</v>
      </c>
      <c r="F35" s="3426"/>
      <c r="G35" s="3580"/>
      <c r="H35" s="3394"/>
      <c r="I35" s="3563"/>
      <c r="J35" s="3394"/>
      <c r="K35" s="3397"/>
      <c r="L35" s="3394"/>
      <c r="M35" s="3397"/>
      <c r="N35" s="3394"/>
      <c r="O35" s="3397"/>
      <c r="P35" s="3394"/>
      <c r="Q35" s="3397"/>
      <c r="R35" s="3394"/>
      <c r="S35" s="3397"/>
      <c r="T35" s="3394"/>
      <c r="U35" s="3397"/>
      <c r="V35" s="3394"/>
      <c r="W35" s="3397"/>
      <c r="X35" s="3394"/>
      <c r="Y35" s="3397"/>
      <c r="Z35" s="3394"/>
      <c r="AA35" s="3397"/>
      <c r="AB35" s="3394"/>
      <c r="AC35" s="3397"/>
      <c r="AD35" s="3394"/>
      <c r="AE35" s="3397"/>
      <c r="AF35" s="3394"/>
      <c r="AG35" s="3397"/>
      <c r="AH35" s="3394"/>
      <c r="AI35" s="3397"/>
      <c r="AJ35" s="3394"/>
      <c r="AK35" s="3397"/>
      <c r="AL35" s="3564"/>
      <c r="AM35" s="3565"/>
      <c r="AN35" s="3581"/>
      <c r="AO35" s="3566"/>
      <c r="AP35" s="2229"/>
      <c r="AQ35" s="2246"/>
      <c r="AR35" s="452"/>
      <c r="AS35" s="3567"/>
      <c r="AT35" s="3582"/>
      <c r="AU35" s="416"/>
      <c r="AV35" s="3373" t="str">
        <f t="shared" si="3"/>
        <v/>
      </c>
      <c r="CA35" s="418" t="str">
        <f t="shared" si="4"/>
        <v/>
      </c>
      <c r="CB35" s="418" t="str">
        <f t="shared" si="5"/>
        <v/>
      </c>
      <c r="CC35" s="418" t="str">
        <f t="shared" si="6"/>
        <v/>
      </c>
      <c r="CD35" s="418" t="str">
        <f t="shared" si="7"/>
        <v/>
      </c>
      <c r="CE35" s="418" t="str">
        <f t="shared" si="8"/>
        <v/>
      </c>
      <c r="CF35" s="3374"/>
      <c r="CG35" s="418" t="str">
        <f t="shared" si="9"/>
        <v/>
      </c>
      <c r="CH35" s="418" t="str">
        <f t="shared" si="10"/>
        <v/>
      </c>
      <c r="CI35" s="417"/>
      <c r="CJ35" s="419">
        <f t="shared" si="11"/>
        <v>0</v>
      </c>
      <c r="CK35" s="419">
        <f t="shared" si="12"/>
        <v>0</v>
      </c>
      <c r="CL35" s="419">
        <f t="shared" si="13"/>
        <v>0</v>
      </c>
      <c r="CM35" s="419">
        <f t="shared" si="14"/>
        <v>0</v>
      </c>
      <c r="CN35" s="419">
        <f t="shared" si="14"/>
        <v>0</v>
      </c>
      <c r="CO35" s="3380"/>
      <c r="CP35" s="419">
        <f t="shared" si="15"/>
        <v>0</v>
      </c>
      <c r="CQ35" s="419">
        <f t="shared" si="15"/>
        <v>0</v>
      </c>
    </row>
    <row r="36" spans="1:95">
      <c r="A36" s="6128"/>
      <c r="B36" s="1947" t="s">
        <v>1469</v>
      </c>
      <c r="C36" s="1737">
        <f t="shared" si="0"/>
        <v>0</v>
      </c>
      <c r="D36" s="3202">
        <f t="shared" si="17"/>
        <v>0</v>
      </c>
      <c r="E36" s="3569">
        <f t="shared" si="17"/>
        <v>0</v>
      </c>
      <c r="F36" s="3583"/>
      <c r="G36" s="3584"/>
      <c r="H36" s="425"/>
      <c r="I36" s="2231"/>
      <c r="J36" s="425"/>
      <c r="K36" s="424"/>
      <c r="L36" s="425"/>
      <c r="M36" s="424"/>
      <c r="N36" s="425"/>
      <c r="O36" s="424"/>
      <c r="P36" s="425"/>
      <c r="Q36" s="424"/>
      <c r="R36" s="425"/>
      <c r="S36" s="424"/>
      <c r="T36" s="425"/>
      <c r="U36" s="424"/>
      <c r="V36" s="425"/>
      <c r="W36" s="424"/>
      <c r="X36" s="425"/>
      <c r="Y36" s="424"/>
      <c r="Z36" s="425"/>
      <c r="AA36" s="424"/>
      <c r="AB36" s="425"/>
      <c r="AC36" s="424"/>
      <c r="AD36" s="425"/>
      <c r="AE36" s="424"/>
      <c r="AF36" s="425"/>
      <c r="AG36" s="424"/>
      <c r="AH36" s="425"/>
      <c r="AI36" s="424"/>
      <c r="AJ36" s="425"/>
      <c r="AK36" s="424"/>
      <c r="AL36" s="3568"/>
      <c r="AM36" s="426"/>
      <c r="AN36" s="3392"/>
      <c r="AO36" s="423"/>
      <c r="AP36" s="2231"/>
      <c r="AQ36" s="3568"/>
      <c r="AR36" s="443"/>
      <c r="AS36" s="3570"/>
      <c r="AT36" s="3568"/>
      <c r="AU36" s="443"/>
      <c r="AV36" s="3373" t="str">
        <f t="shared" si="3"/>
        <v/>
      </c>
      <c r="CA36" s="418" t="str">
        <f t="shared" si="4"/>
        <v/>
      </c>
      <c r="CB36" s="418" t="str">
        <f t="shared" si="5"/>
        <v/>
      </c>
      <c r="CC36" s="418" t="str">
        <f t="shared" si="6"/>
        <v/>
      </c>
      <c r="CD36" s="418" t="str">
        <f t="shared" si="7"/>
        <v/>
      </c>
      <c r="CE36" s="418" t="str">
        <f t="shared" si="8"/>
        <v/>
      </c>
      <c r="CF36" s="3374"/>
      <c r="CG36" s="418" t="str">
        <f t="shared" si="9"/>
        <v/>
      </c>
      <c r="CH36" s="418" t="str">
        <f t="shared" si="10"/>
        <v/>
      </c>
      <c r="CI36" s="417"/>
      <c r="CJ36" s="419">
        <f t="shared" si="11"/>
        <v>0</v>
      </c>
      <c r="CK36" s="419">
        <f t="shared" si="12"/>
        <v>0</v>
      </c>
      <c r="CL36" s="419">
        <f t="shared" si="13"/>
        <v>0</v>
      </c>
      <c r="CM36" s="419">
        <f t="shared" si="14"/>
        <v>0</v>
      </c>
      <c r="CN36" s="419">
        <f t="shared" si="14"/>
        <v>0</v>
      </c>
      <c r="CO36" s="3380"/>
      <c r="CP36" s="419">
        <f t="shared" si="15"/>
        <v>0</v>
      </c>
      <c r="CQ36" s="419">
        <f t="shared" si="15"/>
        <v>0</v>
      </c>
    </row>
    <row r="37" spans="1:95">
      <c r="A37" s="6128"/>
      <c r="B37" s="1947" t="s">
        <v>79</v>
      </c>
      <c r="C37" s="1737">
        <f t="shared" si="0"/>
        <v>0</v>
      </c>
      <c r="D37" s="3202">
        <f t="shared" si="17"/>
        <v>0</v>
      </c>
      <c r="E37" s="3569">
        <f t="shared" si="17"/>
        <v>0</v>
      </c>
      <c r="F37" s="3583"/>
      <c r="G37" s="3584"/>
      <c r="H37" s="425"/>
      <c r="I37" s="2231"/>
      <c r="J37" s="425"/>
      <c r="K37" s="424"/>
      <c r="L37" s="425"/>
      <c r="M37" s="424"/>
      <c r="N37" s="425"/>
      <c r="O37" s="424"/>
      <c r="P37" s="425"/>
      <c r="Q37" s="424"/>
      <c r="R37" s="425"/>
      <c r="S37" s="424"/>
      <c r="T37" s="425"/>
      <c r="U37" s="424"/>
      <c r="V37" s="425"/>
      <c r="W37" s="424"/>
      <c r="X37" s="425"/>
      <c r="Y37" s="424"/>
      <c r="Z37" s="425"/>
      <c r="AA37" s="424"/>
      <c r="AB37" s="425"/>
      <c r="AC37" s="424"/>
      <c r="AD37" s="425"/>
      <c r="AE37" s="424"/>
      <c r="AF37" s="425"/>
      <c r="AG37" s="424"/>
      <c r="AH37" s="425"/>
      <c r="AI37" s="424"/>
      <c r="AJ37" s="425"/>
      <c r="AK37" s="424"/>
      <c r="AL37" s="3568"/>
      <c r="AM37" s="426"/>
      <c r="AN37" s="3392"/>
      <c r="AO37" s="423"/>
      <c r="AP37" s="2231"/>
      <c r="AQ37" s="3568"/>
      <c r="AR37" s="443"/>
      <c r="AS37" s="3570"/>
      <c r="AT37" s="3568"/>
      <c r="AU37" s="443"/>
      <c r="AV37" s="3373" t="str">
        <f t="shared" si="3"/>
        <v/>
      </c>
      <c r="CA37" s="418" t="str">
        <f t="shared" si="4"/>
        <v/>
      </c>
      <c r="CB37" s="418" t="str">
        <f t="shared" si="5"/>
        <v/>
      </c>
      <c r="CC37" s="418" t="str">
        <f t="shared" si="6"/>
        <v/>
      </c>
      <c r="CD37" s="418" t="str">
        <f t="shared" si="7"/>
        <v/>
      </c>
      <c r="CE37" s="418" t="str">
        <f t="shared" si="8"/>
        <v/>
      </c>
      <c r="CF37" s="3374"/>
      <c r="CG37" s="418" t="str">
        <f t="shared" si="9"/>
        <v/>
      </c>
      <c r="CH37" s="418" t="str">
        <f t="shared" si="10"/>
        <v/>
      </c>
      <c r="CI37" s="417"/>
      <c r="CJ37" s="419">
        <f t="shared" si="11"/>
        <v>0</v>
      </c>
      <c r="CK37" s="419">
        <f t="shared" si="12"/>
        <v>0</v>
      </c>
      <c r="CL37" s="419">
        <f t="shared" si="13"/>
        <v>0</v>
      </c>
      <c r="CM37" s="419">
        <f t="shared" si="14"/>
        <v>0</v>
      </c>
      <c r="CN37" s="419">
        <f t="shared" si="14"/>
        <v>0</v>
      </c>
      <c r="CO37" s="3380"/>
      <c r="CP37" s="419">
        <f t="shared" si="15"/>
        <v>0</v>
      </c>
      <c r="CQ37" s="419">
        <f t="shared" si="15"/>
        <v>0</v>
      </c>
    </row>
    <row r="38" spans="1:95">
      <c r="A38" s="6128"/>
      <c r="B38" s="1947" t="s">
        <v>119</v>
      </c>
      <c r="C38" s="1737">
        <f t="shared" si="0"/>
        <v>0</v>
      </c>
      <c r="D38" s="3202">
        <f t="shared" si="17"/>
        <v>0</v>
      </c>
      <c r="E38" s="3569">
        <f t="shared" si="17"/>
        <v>0</v>
      </c>
      <c r="F38" s="3583"/>
      <c r="G38" s="3584"/>
      <c r="H38" s="425"/>
      <c r="I38" s="2231"/>
      <c r="J38" s="425"/>
      <c r="K38" s="424"/>
      <c r="L38" s="425"/>
      <c r="M38" s="424"/>
      <c r="N38" s="425"/>
      <c r="O38" s="424"/>
      <c r="P38" s="425"/>
      <c r="Q38" s="424"/>
      <c r="R38" s="425"/>
      <c r="S38" s="424"/>
      <c r="T38" s="425"/>
      <c r="U38" s="424"/>
      <c r="V38" s="425"/>
      <c r="W38" s="424"/>
      <c r="X38" s="425"/>
      <c r="Y38" s="424"/>
      <c r="Z38" s="425"/>
      <c r="AA38" s="424"/>
      <c r="AB38" s="425"/>
      <c r="AC38" s="424"/>
      <c r="AD38" s="425"/>
      <c r="AE38" s="424"/>
      <c r="AF38" s="425"/>
      <c r="AG38" s="424"/>
      <c r="AH38" s="425"/>
      <c r="AI38" s="424"/>
      <c r="AJ38" s="425"/>
      <c r="AK38" s="424"/>
      <c r="AL38" s="3568"/>
      <c r="AM38" s="426"/>
      <c r="AN38" s="3392"/>
      <c r="AO38" s="423"/>
      <c r="AP38" s="2231"/>
      <c r="AQ38" s="3568"/>
      <c r="AR38" s="443"/>
      <c r="AS38" s="3570"/>
      <c r="AT38" s="3568"/>
      <c r="AU38" s="443"/>
      <c r="AV38" s="3373" t="str">
        <f t="shared" si="3"/>
        <v/>
      </c>
      <c r="CA38" s="418" t="str">
        <f t="shared" si="4"/>
        <v/>
      </c>
      <c r="CB38" s="418" t="str">
        <f t="shared" si="5"/>
        <v/>
      </c>
      <c r="CC38" s="418" t="str">
        <f t="shared" si="6"/>
        <v/>
      </c>
      <c r="CD38" s="418" t="str">
        <f t="shared" si="7"/>
        <v/>
      </c>
      <c r="CE38" s="418" t="str">
        <f t="shared" si="8"/>
        <v/>
      </c>
      <c r="CF38" s="3374"/>
      <c r="CG38" s="418" t="str">
        <f t="shared" si="9"/>
        <v/>
      </c>
      <c r="CH38" s="418" t="str">
        <f t="shared" si="10"/>
        <v/>
      </c>
      <c r="CI38" s="417"/>
      <c r="CJ38" s="419">
        <f t="shared" si="11"/>
        <v>0</v>
      </c>
      <c r="CK38" s="419">
        <f t="shared" si="12"/>
        <v>0</v>
      </c>
      <c r="CL38" s="419">
        <f t="shared" si="13"/>
        <v>0</v>
      </c>
      <c r="CM38" s="419">
        <f t="shared" si="14"/>
        <v>0</v>
      </c>
      <c r="CN38" s="419">
        <f t="shared" si="14"/>
        <v>0</v>
      </c>
      <c r="CO38" s="3380"/>
      <c r="CP38" s="419">
        <f t="shared" si="15"/>
        <v>0</v>
      </c>
      <c r="CQ38" s="419">
        <f t="shared" si="15"/>
        <v>0</v>
      </c>
    </row>
    <row r="39" spans="1:95">
      <c r="A39" s="6128"/>
      <c r="B39" s="1947" t="s">
        <v>2148</v>
      </c>
      <c r="C39" s="1737">
        <f t="shared" si="0"/>
        <v>0</v>
      </c>
      <c r="D39" s="3202">
        <f t="shared" si="17"/>
        <v>0</v>
      </c>
      <c r="E39" s="3569">
        <f t="shared" si="17"/>
        <v>0</v>
      </c>
      <c r="F39" s="3583"/>
      <c r="G39" s="3584"/>
      <c r="H39" s="425"/>
      <c r="I39" s="2231"/>
      <c r="J39" s="425"/>
      <c r="K39" s="424"/>
      <c r="L39" s="425"/>
      <c r="M39" s="424"/>
      <c r="N39" s="425"/>
      <c r="O39" s="424"/>
      <c r="P39" s="425"/>
      <c r="Q39" s="424"/>
      <c r="R39" s="425"/>
      <c r="S39" s="424"/>
      <c r="T39" s="425"/>
      <c r="U39" s="424"/>
      <c r="V39" s="425"/>
      <c r="W39" s="424"/>
      <c r="X39" s="425"/>
      <c r="Y39" s="424"/>
      <c r="Z39" s="425"/>
      <c r="AA39" s="424"/>
      <c r="AB39" s="425"/>
      <c r="AC39" s="424"/>
      <c r="AD39" s="425"/>
      <c r="AE39" s="424"/>
      <c r="AF39" s="425"/>
      <c r="AG39" s="424"/>
      <c r="AH39" s="425"/>
      <c r="AI39" s="424"/>
      <c r="AJ39" s="425"/>
      <c r="AK39" s="424"/>
      <c r="AL39" s="3568"/>
      <c r="AM39" s="426"/>
      <c r="AN39" s="3392"/>
      <c r="AO39" s="423"/>
      <c r="AP39" s="2231"/>
      <c r="AQ39" s="3568"/>
      <c r="AR39" s="443"/>
      <c r="AS39" s="3570"/>
      <c r="AT39" s="3568"/>
      <c r="AU39" s="443"/>
      <c r="AV39" s="3373" t="str">
        <f t="shared" si="3"/>
        <v/>
      </c>
      <c r="CA39" s="418" t="str">
        <f t="shared" si="4"/>
        <v/>
      </c>
      <c r="CB39" s="418" t="str">
        <f t="shared" si="5"/>
        <v/>
      </c>
      <c r="CC39" s="418" t="str">
        <f t="shared" si="6"/>
        <v/>
      </c>
      <c r="CD39" s="418" t="str">
        <f t="shared" si="7"/>
        <v/>
      </c>
      <c r="CE39" s="418" t="str">
        <f t="shared" si="8"/>
        <v/>
      </c>
      <c r="CF39" s="3374"/>
      <c r="CG39" s="418" t="str">
        <f t="shared" si="9"/>
        <v/>
      </c>
      <c r="CH39" s="418" t="str">
        <f t="shared" si="10"/>
        <v/>
      </c>
      <c r="CI39" s="417"/>
      <c r="CJ39" s="419">
        <f t="shared" si="11"/>
        <v>0</v>
      </c>
      <c r="CK39" s="419">
        <f t="shared" si="12"/>
        <v>0</v>
      </c>
      <c r="CL39" s="419">
        <f t="shared" si="13"/>
        <v>0</v>
      </c>
      <c r="CM39" s="419">
        <f t="shared" si="14"/>
        <v>0</v>
      </c>
      <c r="CN39" s="419">
        <f t="shared" si="14"/>
        <v>0</v>
      </c>
      <c r="CO39" s="3380"/>
      <c r="CP39" s="419">
        <f t="shared" si="15"/>
        <v>0</v>
      </c>
      <c r="CQ39" s="419">
        <f t="shared" si="15"/>
        <v>0</v>
      </c>
    </row>
    <row r="40" spans="1:95">
      <c r="A40" s="6128"/>
      <c r="B40" s="1947" t="s">
        <v>2149</v>
      </c>
      <c r="C40" s="1737">
        <f t="shared" si="0"/>
        <v>0</v>
      </c>
      <c r="D40" s="3202">
        <f t="shared" si="17"/>
        <v>0</v>
      </c>
      <c r="E40" s="3569">
        <f t="shared" si="17"/>
        <v>0</v>
      </c>
      <c r="F40" s="3583"/>
      <c r="G40" s="3584"/>
      <c r="H40" s="425"/>
      <c r="I40" s="2231"/>
      <c r="J40" s="425"/>
      <c r="K40" s="424"/>
      <c r="L40" s="425"/>
      <c r="M40" s="424"/>
      <c r="N40" s="425"/>
      <c r="O40" s="424"/>
      <c r="P40" s="425"/>
      <c r="Q40" s="424"/>
      <c r="R40" s="425"/>
      <c r="S40" s="424"/>
      <c r="T40" s="425"/>
      <c r="U40" s="424"/>
      <c r="V40" s="425"/>
      <c r="W40" s="424"/>
      <c r="X40" s="425"/>
      <c r="Y40" s="424"/>
      <c r="Z40" s="425"/>
      <c r="AA40" s="424"/>
      <c r="AB40" s="425"/>
      <c r="AC40" s="424"/>
      <c r="AD40" s="425"/>
      <c r="AE40" s="424"/>
      <c r="AF40" s="425"/>
      <c r="AG40" s="424"/>
      <c r="AH40" s="425"/>
      <c r="AI40" s="424"/>
      <c r="AJ40" s="425"/>
      <c r="AK40" s="424"/>
      <c r="AL40" s="3568"/>
      <c r="AM40" s="426"/>
      <c r="AN40" s="3392"/>
      <c r="AO40" s="423"/>
      <c r="AP40" s="2231"/>
      <c r="AQ40" s="3568"/>
      <c r="AR40" s="443"/>
      <c r="AS40" s="3570"/>
      <c r="AT40" s="3568"/>
      <c r="AU40" s="443"/>
      <c r="AV40" s="3373" t="str">
        <f t="shared" si="3"/>
        <v/>
      </c>
      <c r="CA40" s="418" t="str">
        <f t="shared" si="4"/>
        <v/>
      </c>
      <c r="CB40" s="418" t="str">
        <f t="shared" si="5"/>
        <v/>
      </c>
      <c r="CC40" s="418" t="str">
        <f t="shared" si="6"/>
        <v/>
      </c>
      <c r="CD40" s="418" t="str">
        <f t="shared" si="7"/>
        <v/>
      </c>
      <c r="CE40" s="418" t="str">
        <f t="shared" si="8"/>
        <v/>
      </c>
      <c r="CF40" s="3374"/>
      <c r="CG40" s="418" t="str">
        <f t="shared" si="9"/>
        <v/>
      </c>
      <c r="CH40" s="418" t="str">
        <f t="shared" si="10"/>
        <v/>
      </c>
      <c r="CI40" s="417"/>
      <c r="CJ40" s="419">
        <f t="shared" si="11"/>
        <v>0</v>
      </c>
      <c r="CK40" s="419">
        <f t="shared" si="12"/>
        <v>0</v>
      </c>
      <c r="CL40" s="419">
        <f t="shared" si="13"/>
        <v>0</v>
      </c>
      <c r="CM40" s="419">
        <f t="shared" si="14"/>
        <v>0</v>
      </c>
      <c r="CN40" s="419">
        <f t="shared" si="14"/>
        <v>0</v>
      </c>
      <c r="CO40" s="3380"/>
      <c r="CP40" s="419">
        <f t="shared" si="15"/>
        <v>0</v>
      </c>
      <c r="CQ40" s="419">
        <f t="shared" si="15"/>
        <v>0</v>
      </c>
    </row>
    <row r="41" spans="1:95">
      <c r="A41" s="6128"/>
      <c r="B41" s="1947" t="s">
        <v>1471</v>
      </c>
      <c r="C41" s="1737">
        <f t="shared" si="0"/>
        <v>0</v>
      </c>
      <c r="D41" s="3202">
        <f t="shared" si="17"/>
        <v>0</v>
      </c>
      <c r="E41" s="3569">
        <f t="shared" si="17"/>
        <v>0</v>
      </c>
      <c r="F41" s="3583"/>
      <c r="G41" s="3584"/>
      <c r="H41" s="425"/>
      <c r="I41" s="2231"/>
      <c r="J41" s="425"/>
      <c r="K41" s="424"/>
      <c r="L41" s="425"/>
      <c r="M41" s="424"/>
      <c r="N41" s="425"/>
      <c r="O41" s="424"/>
      <c r="P41" s="425"/>
      <c r="Q41" s="424"/>
      <c r="R41" s="425"/>
      <c r="S41" s="424"/>
      <c r="T41" s="425"/>
      <c r="U41" s="424"/>
      <c r="V41" s="425"/>
      <c r="W41" s="424"/>
      <c r="X41" s="425"/>
      <c r="Y41" s="424"/>
      <c r="Z41" s="425"/>
      <c r="AA41" s="424"/>
      <c r="AB41" s="425"/>
      <c r="AC41" s="424"/>
      <c r="AD41" s="425"/>
      <c r="AE41" s="424"/>
      <c r="AF41" s="425"/>
      <c r="AG41" s="424"/>
      <c r="AH41" s="425"/>
      <c r="AI41" s="424"/>
      <c r="AJ41" s="425"/>
      <c r="AK41" s="424"/>
      <c r="AL41" s="3568"/>
      <c r="AM41" s="426"/>
      <c r="AN41" s="3392"/>
      <c r="AO41" s="423"/>
      <c r="AP41" s="2231"/>
      <c r="AQ41" s="3568"/>
      <c r="AR41" s="443"/>
      <c r="AS41" s="3570"/>
      <c r="AT41" s="3568"/>
      <c r="AU41" s="443"/>
      <c r="AV41" s="3373" t="str">
        <f t="shared" si="3"/>
        <v/>
      </c>
      <c r="CA41" s="418" t="str">
        <f t="shared" si="4"/>
        <v/>
      </c>
      <c r="CB41" s="418" t="str">
        <f t="shared" si="5"/>
        <v/>
      </c>
      <c r="CC41" s="418" t="str">
        <f t="shared" si="6"/>
        <v/>
      </c>
      <c r="CD41" s="418" t="str">
        <f t="shared" si="7"/>
        <v/>
      </c>
      <c r="CE41" s="418" t="str">
        <f t="shared" si="8"/>
        <v/>
      </c>
      <c r="CF41" s="3374"/>
      <c r="CG41" s="418" t="str">
        <f t="shared" si="9"/>
        <v/>
      </c>
      <c r="CH41" s="418" t="str">
        <f t="shared" si="10"/>
        <v/>
      </c>
      <c r="CI41" s="417"/>
      <c r="CJ41" s="419">
        <f t="shared" si="11"/>
        <v>0</v>
      </c>
      <c r="CK41" s="419">
        <f t="shared" si="12"/>
        <v>0</v>
      </c>
      <c r="CL41" s="419">
        <f t="shared" si="13"/>
        <v>0</v>
      </c>
      <c r="CM41" s="419">
        <f t="shared" si="14"/>
        <v>0</v>
      </c>
      <c r="CN41" s="419">
        <f t="shared" si="14"/>
        <v>0</v>
      </c>
      <c r="CO41" s="3380"/>
      <c r="CP41" s="419">
        <f t="shared" si="15"/>
        <v>0</v>
      </c>
      <c r="CQ41" s="419">
        <f t="shared" si="15"/>
        <v>0</v>
      </c>
    </row>
    <row r="42" spans="1:95">
      <c r="A42" s="6128"/>
      <c r="B42" s="1437" t="s">
        <v>2144</v>
      </c>
      <c r="C42" s="1991">
        <f t="shared" si="0"/>
        <v>0</v>
      </c>
      <c r="D42" s="1992">
        <f t="shared" si="17"/>
        <v>0</v>
      </c>
      <c r="E42" s="3571">
        <f t="shared" si="17"/>
        <v>0</v>
      </c>
      <c r="F42" s="3583"/>
      <c r="G42" s="3584"/>
      <c r="H42" s="3419"/>
      <c r="I42" s="3422"/>
      <c r="J42" s="3419"/>
      <c r="K42" s="3441"/>
      <c r="L42" s="3419"/>
      <c r="M42" s="3441"/>
      <c r="N42" s="3419"/>
      <c r="O42" s="3441"/>
      <c r="P42" s="3419"/>
      <c r="Q42" s="3441"/>
      <c r="R42" s="3419"/>
      <c r="S42" s="3441"/>
      <c r="T42" s="3419"/>
      <c r="U42" s="3441"/>
      <c r="V42" s="3419"/>
      <c r="W42" s="3441"/>
      <c r="X42" s="3419"/>
      <c r="Y42" s="3441"/>
      <c r="Z42" s="3419"/>
      <c r="AA42" s="3441"/>
      <c r="AB42" s="3419"/>
      <c r="AC42" s="3441"/>
      <c r="AD42" s="3419"/>
      <c r="AE42" s="3441"/>
      <c r="AF42" s="3419"/>
      <c r="AG42" s="3441"/>
      <c r="AH42" s="3419"/>
      <c r="AI42" s="3441"/>
      <c r="AJ42" s="3419"/>
      <c r="AK42" s="3441"/>
      <c r="AL42" s="3572"/>
      <c r="AM42" s="3573"/>
      <c r="AN42" s="3392"/>
      <c r="AO42" s="3424"/>
      <c r="AP42" s="2231"/>
      <c r="AQ42" s="3568"/>
      <c r="AR42" s="443"/>
      <c r="AS42" s="3570"/>
      <c r="AT42" s="3568"/>
      <c r="AU42" s="443"/>
      <c r="AV42" s="3373" t="str">
        <f t="shared" si="3"/>
        <v/>
      </c>
      <c r="CA42" s="418" t="str">
        <f t="shared" si="4"/>
        <v/>
      </c>
      <c r="CB42" s="418" t="str">
        <f t="shared" si="5"/>
        <v/>
      </c>
      <c r="CC42" s="418" t="str">
        <f t="shared" si="6"/>
        <v/>
      </c>
      <c r="CD42" s="418" t="str">
        <f t="shared" si="7"/>
        <v/>
      </c>
      <c r="CE42" s="418" t="str">
        <f t="shared" si="8"/>
        <v/>
      </c>
      <c r="CF42" s="3374"/>
      <c r="CG42" s="418" t="str">
        <f t="shared" si="9"/>
        <v/>
      </c>
      <c r="CH42" s="418" t="str">
        <f t="shared" si="10"/>
        <v/>
      </c>
      <c r="CI42" s="417"/>
      <c r="CJ42" s="419">
        <f t="shared" si="11"/>
        <v>0</v>
      </c>
      <c r="CK42" s="419">
        <f t="shared" si="12"/>
        <v>0</v>
      </c>
      <c r="CL42" s="419">
        <f t="shared" si="13"/>
        <v>0</v>
      </c>
      <c r="CM42" s="419">
        <f t="shared" si="14"/>
        <v>0</v>
      </c>
      <c r="CN42" s="419">
        <f t="shared" si="14"/>
        <v>0</v>
      </c>
      <c r="CO42" s="3380"/>
      <c r="CP42" s="419">
        <f t="shared" si="15"/>
        <v>0</v>
      </c>
      <c r="CQ42" s="419">
        <f t="shared" si="15"/>
        <v>0</v>
      </c>
    </row>
    <row r="43" spans="1:95">
      <c r="A43" s="6128"/>
      <c r="B43" s="1947" t="s">
        <v>2145</v>
      </c>
      <c r="C43" s="1737">
        <f t="shared" si="0"/>
        <v>0</v>
      </c>
      <c r="D43" s="3202">
        <f t="shared" si="17"/>
        <v>0</v>
      </c>
      <c r="E43" s="3569">
        <f t="shared" si="17"/>
        <v>0</v>
      </c>
      <c r="F43" s="3583"/>
      <c r="G43" s="2382"/>
      <c r="H43" s="425"/>
      <c r="I43" s="2231"/>
      <c r="J43" s="425"/>
      <c r="K43" s="424"/>
      <c r="L43" s="425"/>
      <c r="M43" s="424"/>
      <c r="N43" s="425"/>
      <c r="O43" s="424"/>
      <c r="P43" s="425"/>
      <c r="Q43" s="424"/>
      <c r="R43" s="425"/>
      <c r="S43" s="424"/>
      <c r="T43" s="425"/>
      <c r="U43" s="424"/>
      <c r="V43" s="425"/>
      <c r="W43" s="424"/>
      <c r="X43" s="425"/>
      <c r="Y43" s="424"/>
      <c r="Z43" s="425"/>
      <c r="AA43" s="424"/>
      <c r="AB43" s="425"/>
      <c r="AC43" s="424"/>
      <c r="AD43" s="425"/>
      <c r="AE43" s="424"/>
      <c r="AF43" s="425"/>
      <c r="AG43" s="424"/>
      <c r="AH43" s="425"/>
      <c r="AI43" s="424"/>
      <c r="AJ43" s="425"/>
      <c r="AK43" s="424"/>
      <c r="AL43" s="3568"/>
      <c r="AM43" s="426"/>
      <c r="AN43" s="3392"/>
      <c r="AO43" s="423"/>
      <c r="AP43" s="2231"/>
      <c r="AQ43" s="3568"/>
      <c r="AR43" s="443"/>
      <c r="AS43" s="3570"/>
      <c r="AT43" s="3568"/>
      <c r="AU43" s="443"/>
      <c r="AV43" s="3373" t="str">
        <f t="shared" si="3"/>
        <v/>
      </c>
      <c r="CA43" s="418" t="str">
        <f t="shared" si="4"/>
        <v/>
      </c>
      <c r="CB43" s="418" t="str">
        <f t="shared" si="5"/>
        <v/>
      </c>
      <c r="CC43" s="418" t="str">
        <f t="shared" si="6"/>
        <v/>
      </c>
      <c r="CD43" s="418" t="str">
        <f t="shared" si="7"/>
        <v/>
      </c>
      <c r="CE43" s="418" t="str">
        <f t="shared" si="8"/>
        <v/>
      </c>
      <c r="CF43" s="3374"/>
      <c r="CG43" s="418" t="str">
        <f t="shared" si="9"/>
        <v/>
      </c>
      <c r="CH43" s="418" t="str">
        <f t="shared" si="10"/>
        <v/>
      </c>
      <c r="CI43" s="417"/>
      <c r="CJ43" s="419">
        <f t="shared" si="11"/>
        <v>0</v>
      </c>
      <c r="CK43" s="419">
        <f t="shared" si="12"/>
        <v>0</v>
      </c>
      <c r="CL43" s="419">
        <f t="shared" si="13"/>
        <v>0</v>
      </c>
      <c r="CM43" s="419">
        <f t="shared" si="14"/>
        <v>0</v>
      </c>
      <c r="CN43" s="419">
        <f t="shared" si="14"/>
        <v>0</v>
      </c>
      <c r="CO43" s="3380"/>
      <c r="CP43" s="419">
        <f t="shared" si="15"/>
        <v>0</v>
      </c>
      <c r="CQ43" s="419">
        <f t="shared" si="15"/>
        <v>0</v>
      </c>
    </row>
    <row r="44" spans="1:95">
      <c r="A44" s="6128"/>
      <c r="B44" s="441" t="s">
        <v>2146</v>
      </c>
      <c r="C44" s="1737">
        <f t="shared" si="0"/>
        <v>0</v>
      </c>
      <c r="D44" s="3202">
        <f t="shared" si="17"/>
        <v>0</v>
      </c>
      <c r="E44" s="3575">
        <f t="shared" si="17"/>
        <v>0</v>
      </c>
      <c r="F44" s="3583"/>
      <c r="G44" s="3369"/>
      <c r="H44" s="413"/>
      <c r="I44" s="2261"/>
      <c r="J44" s="413"/>
      <c r="K44" s="412"/>
      <c r="L44" s="413"/>
      <c r="M44" s="412"/>
      <c r="N44" s="413"/>
      <c r="O44" s="412"/>
      <c r="P44" s="413"/>
      <c r="Q44" s="412"/>
      <c r="R44" s="425"/>
      <c r="S44" s="424"/>
      <c r="T44" s="425"/>
      <c r="U44" s="424"/>
      <c r="V44" s="425"/>
      <c r="W44" s="424"/>
      <c r="X44" s="425"/>
      <c r="Y44" s="424"/>
      <c r="Z44" s="425"/>
      <c r="AA44" s="424"/>
      <c r="AB44" s="425"/>
      <c r="AC44" s="424"/>
      <c r="AD44" s="425"/>
      <c r="AE44" s="424"/>
      <c r="AF44" s="425"/>
      <c r="AG44" s="424"/>
      <c r="AH44" s="425"/>
      <c r="AI44" s="424"/>
      <c r="AJ44" s="425"/>
      <c r="AK44" s="424"/>
      <c r="AL44" s="3568"/>
      <c r="AM44" s="426"/>
      <c r="AN44" s="3392"/>
      <c r="AO44" s="423"/>
      <c r="AP44" s="2231"/>
      <c r="AQ44" s="3568"/>
      <c r="AR44" s="443"/>
      <c r="AS44" s="3570"/>
      <c r="AT44" s="3568"/>
      <c r="AU44" s="443"/>
      <c r="AV44" s="3373" t="str">
        <f t="shared" si="3"/>
        <v/>
      </c>
      <c r="CA44" s="418" t="str">
        <f t="shared" si="4"/>
        <v/>
      </c>
      <c r="CB44" s="418" t="str">
        <f t="shared" si="5"/>
        <v/>
      </c>
      <c r="CC44" s="418" t="str">
        <f t="shared" si="6"/>
        <v/>
      </c>
      <c r="CD44" s="418" t="str">
        <f t="shared" si="7"/>
        <v/>
      </c>
      <c r="CE44" s="418" t="str">
        <f t="shared" si="8"/>
        <v/>
      </c>
      <c r="CF44" s="3374"/>
      <c r="CG44" s="418" t="str">
        <f t="shared" si="9"/>
        <v/>
      </c>
      <c r="CH44" s="418" t="str">
        <f t="shared" si="10"/>
        <v/>
      </c>
      <c r="CI44" s="417"/>
      <c r="CJ44" s="419">
        <f t="shared" si="11"/>
        <v>0</v>
      </c>
      <c r="CK44" s="419">
        <f t="shared" si="12"/>
        <v>0</v>
      </c>
      <c r="CL44" s="419">
        <f t="shared" si="13"/>
        <v>0</v>
      </c>
      <c r="CM44" s="419">
        <f t="shared" si="14"/>
        <v>0</v>
      </c>
      <c r="CN44" s="419">
        <f t="shared" si="14"/>
        <v>0</v>
      </c>
      <c r="CO44" s="3380"/>
      <c r="CP44" s="419">
        <f t="shared" si="15"/>
        <v>0</v>
      </c>
      <c r="CQ44" s="419">
        <f t="shared" si="15"/>
        <v>0</v>
      </c>
    </row>
    <row r="45" spans="1:95">
      <c r="A45" s="6129"/>
      <c r="B45" s="1505" t="s">
        <v>113</v>
      </c>
      <c r="C45" s="1773">
        <f t="shared" si="0"/>
        <v>0</v>
      </c>
      <c r="D45" s="3471">
        <f t="shared" si="17"/>
        <v>0</v>
      </c>
      <c r="E45" s="3577">
        <f t="shared" si="17"/>
        <v>0</v>
      </c>
      <c r="F45" s="2384"/>
      <c r="G45" s="3585"/>
      <c r="H45" s="435"/>
      <c r="I45" s="2252"/>
      <c r="J45" s="435"/>
      <c r="K45" s="434"/>
      <c r="L45" s="435"/>
      <c r="M45" s="434"/>
      <c r="N45" s="435"/>
      <c r="O45" s="434"/>
      <c r="P45" s="435"/>
      <c r="Q45" s="434"/>
      <c r="R45" s="435"/>
      <c r="S45" s="434"/>
      <c r="T45" s="435"/>
      <c r="U45" s="434"/>
      <c r="V45" s="435"/>
      <c r="W45" s="434"/>
      <c r="X45" s="435"/>
      <c r="Y45" s="434"/>
      <c r="Z45" s="435"/>
      <c r="AA45" s="434"/>
      <c r="AB45" s="435"/>
      <c r="AC45" s="434"/>
      <c r="AD45" s="435"/>
      <c r="AE45" s="434"/>
      <c r="AF45" s="435"/>
      <c r="AG45" s="434"/>
      <c r="AH45" s="435"/>
      <c r="AI45" s="434"/>
      <c r="AJ45" s="435"/>
      <c r="AK45" s="434"/>
      <c r="AL45" s="3586"/>
      <c r="AM45" s="436"/>
      <c r="AN45" s="3393"/>
      <c r="AO45" s="3519"/>
      <c r="AP45" s="2235"/>
      <c r="AQ45" s="3578"/>
      <c r="AR45" s="438"/>
      <c r="AS45" s="3579"/>
      <c r="AT45" s="3578"/>
      <c r="AU45" s="438"/>
      <c r="AV45" s="3373" t="str">
        <f t="shared" si="3"/>
        <v/>
      </c>
      <c r="CA45" s="418" t="str">
        <f t="shared" si="4"/>
        <v/>
      </c>
      <c r="CB45" s="418" t="str">
        <f t="shared" si="5"/>
        <v/>
      </c>
      <c r="CC45" s="418" t="str">
        <f t="shared" si="6"/>
        <v/>
      </c>
      <c r="CD45" s="418" t="str">
        <f t="shared" si="7"/>
        <v/>
      </c>
      <c r="CE45" s="418" t="str">
        <f t="shared" si="8"/>
        <v/>
      </c>
      <c r="CF45" s="3374"/>
      <c r="CG45" s="418" t="str">
        <f t="shared" si="9"/>
        <v/>
      </c>
      <c r="CH45" s="418" t="str">
        <f t="shared" si="10"/>
        <v/>
      </c>
      <c r="CI45" s="417"/>
      <c r="CJ45" s="419">
        <f t="shared" si="11"/>
        <v>0</v>
      </c>
      <c r="CK45" s="419">
        <f t="shared" si="12"/>
        <v>0</v>
      </c>
      <c r="CL45" s="419">
        <f t="shared" si="13"/>
        <v>0</v>
      </c>
      <c r="CM45" s="419">
        <f t="shared" si="14"/>
        <v>0</v>
      </c>
      <c r="CN45" s="419">
        <f t="shared" si="14"/>
        <v>0</v>
      </c>
      <c r="CO45" s="3380"/>
      <c r="CP45" s="419">
        <f t="shared" si="15"/>
        <v>0</v>
      </c>
      <c r="CQ45" s="419">
        <f t="shared" si="15"/>
        <v>0</v>
      </c>
    </row>
    <row r="46" spans="1:95">
      <c r="A46" s="6127" t="s">
        <v>2150</v>
      </c>
      <c r="B46" s="1502" t="s">
        <v>78</v>
      </c>
      <c r="C46" s="2393">
        <f t="shared" si="0"/>
        <v>0</v>
      </c>
      <c r="D46" s="3453">
        <f t="shared" si="17"/>
        <v>0</v>
      </c>
      <c r="E46" s="3562">
        <f t="shared" si="17"/>
        <v>0</v>
      </c>
      <c r="F46" s="3426"/>
      <c r="G46" s="3580"/>
      <c r="H46" s="3394"/>
      <c r="I46" s="3563"/>
      <c r="J46" s="3394"/>
      <c r="K46" s="3397"/>
      <c r="L46" s="3394"/>
      <c r="M46" s="3397"/>
      <c r="N46" s="3394"/>
      <c r="O46" s="3397"/>
      <c r="P46" s="3394"/>
      <c r="Q46" s="3397"/>
      <c r="R46" s="3394"/>
      <c r="S46" s="3397"/>
      <c r="T46" s="3394"/>
      <c r="U46" s="3397"/>
      <c r="V46" s="3394"/>
      <c r="W46" s="3397"/>
      <c r="X46" s="3394"/>
      <c r="Y46" s="3397"/>
      <c r="Z46" s="3394"/>
      <c r="AA46" s="3397"/>
      <c r="AB46" s="3394"/>
      <c r="AC46" s="3397"/>
      <c r="AD46" s="3394"/>
      <c r="AE46" s="3397"/>
      <c r="AF46" s="3394"/>
      <c r="AG46" s="3397"/>
      <c r="AH46" s="3394"/>
      <c r="AI46" s="3397"/>
      <c r="AJ46" s="3394"/>
      <c r="AK46" s="3397"/>
      <c r="AL46" s="3564"/>
      <c r="AM46" s="3565"/>
      <c r="AN46" s="3581"/>
      <c r="AO46" s="3566"/>
      <c r="AP46" s="2229"/>
      <c r="AQ46" s="3582"/>
      <c r="AR46" s="416"/>
      <c r="AS46" s="3587"/>
      <c r="AT46" s="3582"/>
      <c r="AU46" s="416"/>
      <c r="AV46" s="3373" t="str">
        <f t="shared" si="3"/>
        <v/>
      </c>
      <c r="CA46" s="418" t="str">
        <f t="shared" si="4"/>
        <v/>
      </c>
      <c r="CB46" s="418" t="str">
        <f t="shared" si="5"/>
        <v/>
      </c>
      <c r="CC46" s="418" t="str">
        <f t="shared" si="6"/>
        <v/>
      </c>
      <c r="CD46" s="418" t="str">
        <f t="shared" si="7"/>
        <v/>
      </c>
      <c r="CE46" s="418" t="str">
        <f t="shared" si="8"/>
        <v/>
      </c>
      <c r="CF46" s="3374"/>
      <c r="CG46" s="418" t="str">
        <f t="shared" si="9"/>
        <v/>
      </c>
      <c r="CH46" s="418" t="str">
        <f t="shared" si="10"/>
        <v/>
      </c>
      <c r="CI46" s="417"/>
      <c r="CJ46" s="419">
        <f t="shared" si="11"/>
        <v>0</v>
      </c>
      <c r="CK46" s="419">
        <f t="shared" si="12"/>
        <v>0</v>
      </c>
      <c r="CL46" s="419">
        <f t="shared" si="13"/>
        <v>0</v>
      </c>
      <c r="CM46" s="419">
        <f t="shared" si="14"/>
        <v>0</v>
      </c>
      <c r="CN46" s="419">
        <f t="shared" si="14"/>
        <v>0</v>
      </c>
      <c r="CO46" s="3380"/>
      <c r="CP46" s="419">
        <f t="shared" si="15"/>
        <v>0</v>
      </c>
      <c r="CQ46" s="419">
        <f t="shared" si="15"/>
        <v>0</v>
      </c>
    </row>
    <row r="47" spans="1:95">
      <c r="A47" s="6128"/>
      <c r="B47" s="1947" t="s">
        <v>112</v>
      </c>
      <c r="C47" s="1737">
        <f t="shared" si="0"/>
        <v>0</v>
      </c>
      <c r="D47" s="3202">
        <f t="shared" si="17"/>
        <v>0</v>
      </c>
      <c r="E47" s="3569">
        <f t="shared" si="17"/>
        <v>0</v>
      </c>
      <c r="F47" s="3583"/>
      <c r="G47" s="3584"/>
      <c r="H47" s="425"/>
      <c r="I47" s="2231"/>
      <c r="J47" s="425"/>
      <c r="K47" s="424"/>
      <c r="L47" s="425"/>
      <c r="M47" s="424"/>
      <c r="N47" s="425"/>
      <c r="O47" s="424"/>
      <c r="P47" s="425"/>
      <c r="Q47" s="424"/>
      <c r="R47" s="425"/>
      <c r="S47" s="424"/>
      <c r="T47" s="425"/>
      <c r="U47" s="424"/>
      <c r="V47" s="425"/>
      <c r="W47" s="424"/>
      <c r="X47" s="425"/>
      <c r="Y47" s="424"/>
      <c r="Z47" s="425"/>
      <c r="AA47" s="424"/>
      <c r="AB47" s="425"/>
      <c r="AC47" s="424"/>
      <c r="AD47" s="425"/>
      <c r="AE47" s="424"/>
      <c r="AF47" s="425"/>
      <c r="AG47" s="424"/>
      <c r="AH47" s="425"/>
      <c r="AI47" s="424"/>
      <c r="AJ47" s="425"/>
      <c r="AK47" s="424"/>
      <c r="AL47" s="3568"/>
      <c r="AM47" s="426"/>
      <c r="AN47" s="3392"/>
      <c r="AO47" s="423"/>
      <c r="AP47" s="2231"/>
      <c r="AQ47" s="3568"/>
      <c r="AR47" s="443"/>
      <c r="AS47" s="3570"/>
      <c r="AT47" s="3568"/>
      <c r="AU47" s="443"/>
      <c r="AV47" s="3373" t="str">
        <f t="shared" si="3"/>
        <v/>
      </c>
      <c r="CA47" s="418" t="str">
        <f t="shared" si="4"/>
        <v/>
      </c>
      <c r="CB47" s="418" t="str">
        <f t="shared" si="5"/>
        <v/>
      </c>
      <c r="CC47" s="418" t="str">
        <f t="shared" si="6"/>
        <v/>
      </c>
      <c r="CD47" s="418" t="str">
        <f t="shared" si="7"/>
        <v/>
      </c>
      <c r="CE47" s="418" t="str">
        <f t="shared" si="8"/>
        <v/>
      </c>
      <c r="CF47" s="3374"/>
      <c r="CG47" s="418" t="str">
        <f t="shared" si="9"/>
        <v/>
      </c>
      <c r="CH47" s="418" t="str">
        <f t="shared" si="10"/>
        <v/>
      </c>
      <c r="CI47" s="417"/>
      <c r="CJ47" s="419">
        <f t="shared" si="11"/>
        <v>0</v>
      </c>
      <c r="CK47" s="419">
        <f t="shared" si="12"/>
        <v>0</v>
      </c>
      <c r="CL47" s="419">
        <f t="shared" si="13"/>
        <v>0</v>
      </c>
      <c r="CM47" s="419">
        <f t="shared" si="14"/>
        <v>0</v>
      </c>
      <c r="CN47" s="419">
        <f t="shared" si="14"/>
        <v>0</v>
      </c>
      <c r="CO47" s="3380"/>
      <c r="CP47" s="419">
        <f t="shared" si="15"/>
        <v>0</v>
      </c>
      <c r="CQ47" s="419">
        <f t="shared" si="15"/>
        <v>0</v>
      </c>
    </row>
    <row r="48" spans="1:95">
      <c r="A48" s="6128"/>
      <c r="B48" s="1947" t="s">
        <v>79</v>
      </c>
      <c r="C48" s="1737">
        <f t="shared" si="0"/>
        <v>0</v>
      </c>
      <c r="D48" s="3202">
        <f t="shared" si="17"/>
        <v>0</v>
      </c>
      <c r="E48" s="3569">
        <f t="shared" si="17"/>
        <v>0</v>
      </c>
      <c r="F48" s="3583"/>
      <c r="G48" s="3584"/>
      <c r="H48" s="425"/>
      <c r="I48" s="2231"/>
      <c r="J48" s="425"/>
      <c r="K48" s="424"/>
      <c r="L48" s="425"/>
      <c r="M48" s="424"/>
      <c r="N48" s="425"/>
      <c r="O48" s="424"/>
      <c r="P48" s="425"/>
      <c r="Q48" s="424"/>
      <c r="R48" s="425"/>
      <c r="S48" s="424"/>
      <c r="T48" s="425"/>
      <c r="U48" s="424"/>
      <c r="V48" s="425"/>
      <c r="W48" s="424"/>
      <c r="X48" s="425"/>
      <c r="Y48" s="424"/>
      <c r="Z48" s="425"/>
      <c r="AA48" s="424"/>
      <c r="AB48" s="425"/>
      <c r="AC48" s="424"/>
      <c r="AD48" s="425"/>
      <c r="AE48" s="424"/>
      <c r="AF48" s="425"/>
      <c r="AG48" s="424"/>
      <c r="AH48" s="425"/>
      <c r="AI48" s="424"/>
      <c r="AJ48" s="425"/>
      <c r="AK48" s="424"/>
      <c r="AL48" s="3568"/>
      <c r="AM48" s="426"/>
      <c r="AN48" s="3392"/>
      <c r="AO48" s="423"/>
      <c r="AP48" s="2231"/>
      <c r="AQ48" s="3568"/>
      <c r="AR48" s="443"/>
      <c r="AS48" s="3570"/>
      <c r="AT48" s="3568"/>
      <c r="AU48" s="443"/>
      <c r="AV48" s="3373" t="str">
        <f t="shared" si="3"/>
        <v/>
      </c>
      <c r="CA48" s="418" t="str">
        <f t="shared" si="4"/>
        <v/>
      </c>
      <c r="CB48" s="418" t="str">
        <f t="shared" si="5"/>
        <v/>
      </c>
      <c r="CC48" s="418" t="str">
        <f t="shared" si="6"/>
        <v/>
      </c>
      <c r="CD48" s="418" t="str">
        <f t="shared" si="7"/>
        <v/>
      </c>
      <c r="CE48" s="418" t="str">
        <f t="shared" si="8"/>
        <v/>
      </c>
      <c r="CF48" s="3374"/>
      <c r="CG48" s="418" t="str">
        <f t="shared" si="9"/>
        <v/>
      </c>
      <c r="CH48" s="418" t="str">
        <f t="shared" si="10"/>
        <v/>
      </c>
      <c r="CI48" s="417"/>
      <c r="CJ48" s="419">
        <f t="shared" si="11"/>
        <v>0</v>
      </c>
      <c r="CK48" s="419">
        <f t="shared" si="12"/>
        <v>0</v>
      </c>
      <c r="CL48" s="419">
        <f t="shared" si="13"/>
        <v>0</v>
      </c>
      <c r="CM48" s="419">
        <f t="shared" si="14"/>
        <v>0</v>
      </c>
      <c r="CN48" s="419">
        <f t="shared" si="14"/>
        <v>0</v>
      </c>
      <c r="CO48" s="3380"/>
      <c r="CP48" s="419">
        <f t="shared" si="15"/>
        <v>0</v>
      </c>
      <c r="CQ48" s="419">
        <f t="shared" si="15"/>
        <v>0</v>
      </c>
    </row>
    <row r="49" spans="1:95">
      <c r="A49" s="6128"/>
      <c r="B49" s="1947" t="s">
        <v>119</v>
      </c>
      <c r="C49" s="1737">
        <f t="shared" si="0"/>
        <v>0</v>
      </c>
      <c r="D49" s="3202">
        <f t="shared" si="17"/>
        <v>0</v>
      </c>
      <c r="E49" s="3569">
        <f t="shared" si="17"/>
        <v>0</v>
      </c>
      <c r="F49" s="3583"/>
      <c r="G49" s="3584"/>
      <c r="H49" s="425"/>
      <c r="I49" s="2231"/>
      <c r="J49" s="425"/>
      <c r="K49" s="424"/>
      <c r="L49" s="425"/>
      <c r="M49" s="424"/>
      <c r="N49" s="425"/>
      <c r="O49" s="424"/>
      <c r="P49" s="425"/>
      <c r="Q49" s="424"/>
      <c r="R49" s="425"/>
      <c r="S49" s="424"/>
      <c r="T49" s="425"/>
      <c r="U49" s="424"/>
      <c r="V49" s="425"/>
      <c r="W49" s="424"/>
      <c r="X49" s="425"/>
      <c r="Y49" s="424"/>
      <c r="Z49" s="425"/>
      <c r="AA49" s="424"/>
      <c r="AB49" s="425"/>
      <c r="AC49" s="424"/>
      <c r="AD49" s="425"/>
      <c r="AE49" s="424"/>
      <c r="AF49" s="425"/>
      <c r="AG49" s="424"/>
      <c r="AH49" s="425"/>
      <c r="AI49" s="424"/>
      <c r="AJ49" s="425"/>
      <c r="AK49" s="424"/>
      <c r="AL49" s="3568"/>
      <c r="AM49" s="426"/>
      <c r="AN49" s="3392"/>
      <c r="AO49" s="423"/>
      <c r="AP49" s="2231"/>
      <c r="AQ49" s="3568"/>
      <c r="AR49" s="443"/>
      <c r="AS49" s="3570"/>
      <c r="AT49" s="3568"/>
      <c r="AU49" s="443"/>
      <c r="AV49" s="3373" t="str">
        <f t="shared" si="3"/>
        <v/>
      </c>
      <c r="CA49" s="418" t="str">
        <f t="shared" si="4"/>
        <v/>
      </c>
      <c r="CB49" s="418" t="str">
        <f t="shared" si="5"/>
        <v/>
      </c>
      <c r="CC49" s="418" t="str">
        <f t="shared" si="6"/>
        <v/>
      </c>
      <c r="CD49" s="418" t="str">
        <f t="shared" si="7"/>
        <v/>
      </c>
      <c r="CE49" s="418" t="str">
        <f t="shared" si="8"/>
        <v/>
      </c>
      <c r="CF49" s="3374"/>
      <c r="CG49" s="418" t="str">
        <f t="shared" si="9"/>
        <v/>
      </c>
      <c r="CH49" s="418" t="str">
        <f t="shared" si="10"/>
        <v/>
      </c>
      <c r="CI49" s="417"/>
      <c r="CJ49" s="419">
        <f t="shared" si="11"/>
        <v>0</v>
      </c>
      <c r="CK49" s="419">
        <f t="shared" si="12"/>
        <v>0</v>
      </c>
      <c r="CL49" s="419">
        <f t="shared" si="13"/>
        <v>0</v>
      </c>
      <c r="CM49" s="419">
        <f t="shared" si="14"/>
        <v>0</v>
      </c>
      <c r="CN49" s="419">
        <f t="shared" si="14"/>
        <v>0</v>
      </c>
      <c r="CO49" s="3380"/>
      <c r="CP49" s="419">
        <f t="shared" si="15"/>
        <v>0</v>
      </c>
      <c r="CQ49" s="419">
        <f t="shared" si="15"/>
        <v>0</v>
      </c>
    </row>
    <row r="50" spans="1:95">
      <c r="A50" s="6128"/>
      <c r="B50" s="1947" t="s">
        <v>2148</v>
      </c>
      <c r="C50" s="1737">
        <f t="shared" si="0"/>
        <v>0</v>
      </c>
      <c r="D50" s="3202">
        <f t="shared" si="17"/>
        <v>0</v>
      </c>
      <c r="E50" s="3569">
        <f t="shared" si="17"/>
        <v>0</v>
      </c>
      <c r="F50" s="3583"/>
      <c r="G50" s="3584"/>
      <c r="H50" s="425"/>
      <c r="I50" s="2231"/>
      <c r="J50" s="425"/>
      <c r="K50" s="424"/>
      <c r="L50" s="425"/>
      <c r="M50" s="424"/>
      <c r="N50" s="425"/>
      <c r="O50" s="424"/>
      <c r="P50" s="425"/>
      <c r="Q50" s="424"/>
      <c r="R50" s="425"/>
      <c r="S50" s="424"/>
      <c r="T50" s="425"/>
      <c r="U50" s="424"/>
      <c r="V50" s="425"/>
      <c r="W50" s="424"/>
      <c r="X50" s="425"/>
      <c r="Y50" s="424"/>
      <c r="Z50" s="425"/>
      <c r="AA50" s="424"/>
      <c r="AB50" s="425"/>
      <c r="AC50" s="424"/>
      <c r="AD50" s="425"/>
      <c r="AE50" s="424"/>
      <c r="AF50" s="425"/>
      <c r="AG50" s="424"/>
      <c r="AH50" s="425"/>
      <c r="AI50" s="424"/>
      <c r="AJ50" s="425"/>
      <c r="AK50" s="424"/>
      <c r="AL50" s="3568"/>
      <c r="AM50" s="426"/>
      <c r="AN50" s="3392"/>
      <c r="AO50" s="423"/>
      <c r="AP50" s="2231"/>
      <c r="AQ50" s="3568"/>
      <c r="AR50" s="443"/>
      <c r="AS50" s="3570"/>
      <c r="AT50" s="3568"/>
      <c r="AU50" s="443"/>
      <c r="AV50" s="3373" t="str">
        <f t="shared" si="3"/>
        <v/>
      </c>
      <c r="CA50" s="418" t="str">
        <f t="shared" si="4"/>
        <v/>
      </c>
      <c r="CB50" s="418" t="str">
        <f t="shared" si="5"/>
        <v/>
      </c>
      <c r="CC50" s="418" t="str">
        <f t="shared" si="6"/>
        <v/>
      </c>
      <c r="CD50" s="418" t="str">
        <f t="shared" si="7"/>
        <v/>
      </c>
      <c r="CE50" s="418" t="str">
        <f t="shared" si="8"/>
        <v/>
      </c>
      <c r="CF50" s="3374"/>
      <c r="CG50" s="418" t="str">
        <f t="shared" si="9"/>
        <v/>
      </c>
      <c r="CH50" s="418" t="str">
        <f t="shared" si="10"/>
        <v/>
      </c>
      <c r="CI50" s="417"/>
      <c r="CJ50" s="419">
        <f t="shared" si="11"/>
        <v>0</v>
      </c>
      <c r="CK50" s="419">
        <f t="shared" si="12"/>
        <v>0</v>
      </c>
      <c r="CL50" s="419">
        <f t="shared" si="13"/>
        <v>0</v>
      </c>
      <c r="CM50" s="419">
        <f t="shared" si="14"/>
        <v>0</v>
      </c>
      <c r="CN50" s="419">
        <f t="shared" si="14"/>
        <v>0</v>
      </c>
      <c r="CO50" s="3380"/>
      <c r="CP50" s="419">
        <f t="shared" si="15"/>
        <v>0</v>
      </c>
      <c r="CQ50" s="419">
        <f t="shared" si="15"/>
        <v>0</v>
      </c>
    </row>
    <row r="51" spans="1:95">
      <c r="A51" s="6128"/>
      <c r="B51" s="1947" t="s">
        <v>1065</v>
      </c>
      <c r="C51" s="1737">
        <f t="shared" si="0"/>
        <v>0</v>
      </c>
      <c r="D51" s="3202">
        <f t="shared" si="17"/>
        <v>0</v>
      </c>
      <c r="E51" s="3569">
        <f t="shared" si="17"/>
        <v>0</v>
      </c>
      <c r="F51" s="3583"/>
      <c r="G51" s="3584"/>
      <c r="H51" s="425"/>
      <c r="I51" s="2231"/>
      <c r="J51" s="425"/>
      <c r="K51" s="424"/>
      <c r="L51" s="425"/>
      <c r="M51" s="424"/>
      <c r="N51" s="425"/>
      <c r="O51" s="424"/>
      <c r="P51" s="425"/>
      <c r="Q51" s="424"/>
      <c r="R51" s="425"/>
      <c r="S51" s="424"/>
      <c r="T51" s="425"/>
      <c r="U51" s="424"/>
      <c r="V51" s="425"/>
      <c r="W51" s="424"/>
      <c r="X51" s="425"/>
      <c r="Y51" s="424"/>
      <c r="Z51" s="425"/>
      <c r="AA51" s="424"/>
      <c r="AB51" s="425"/>
      <c r="AC51" s="424"/>
      <c r="AD51" s="425"/>
      <c r="AE51" s="424"/>
      <c r="AF51" s="425"/>
      <c r="AG51" s="424"/>
      <c r="AH51" s="425"/>
      <c r="AI51" s="424"/>
      <c r="AJ51" s="425"/>
      <c r="AK51" s="424"/>
      <c r="AL51" s="3568"/>
      <c r="AM51" s="426"/>
      <c r="AN51" s="3392"/>
      <c r="AO51" s="423"/>
      <c r="AP51" s="2231"/>
      <c r="AQ51" s="3568"/>
      <c r="AR51" s="443"/>
      <c r="AS51" s="3570"/>
      <c r="AT51" s="3568"/>
      <c r="AU51" s="443"/>
      <c r="AV51" s="3373" t="str">
        <f t="shared" si="3"/>
        <v/>
      </c>
      <c r="CA51" s="418" t="str">
        <f t="shared" si="4"/>
        <v/>
      </c>
      <c r="CB51" s="418" t="str">
        <f t="shared" si="5"/>
        <v/>
      </c>
      <c r="CC51" s="418" t="str">
        <f t="shared" si="6"/>
        <v/>
      </c>
      <c r="CD51" s="418" t="str">
        <f t="shared" si="7"/>
        <v/>
      </c>
      <c r="CE51" s="418" t="str">
        <f t="shared" si="8"/>
        <v/>
      </c>
      <c r="CF51" s="3374"/>
      <c r="CG51" s="418" t="str">
        <f t="shared" si="9"/>
        <v/>
      </c>
      <c r="CH51" s="418" t="str">
        <f t="shared" si="10"/>
        <v/>
      </c>
      <c r="CI51" s="417"/>
      <c r="CJ51" s="419">
        <f t="shared" si="11"/>
        <v>0</v>
      </c>
      <c r="CK51" s="419">
        <f t="shared" si="12"/>
        <v>0</v>
      </c>
      <c r="CL51" s="419">
        <f t="shared" si="13"/>
        <v>0</v>
      </c>
      <c r="CM51" s="419">
        <f t="shared" si="14"/>
        <v>0</v>
      </c>
      <c r="CN51" s="419">
        <f t="shared" si="14"/>
        <v>0</v>
      </c>
      <c r="CO51" s="3380"/>
      <c r="CP51" s="419">
        <f t="shared" si="15"/>
        <v>0</v>
      </c>
      <c r="CQ51" s="419">
        <f t="shared" si="15"/>
        <v>0</v>
      </c>
    </row>
    <row r="52" spans="1:95">
      <c r="A52" s="6128"/>
      <c r="B52" s="1947" t="s">
        <v>1471</v>
      </c>
      <c r="C52" s="1737">
        <f t="shared" si="0"/>
        <v>0</v>
      </c>
      <c r="D52" s="3202">
        <f t="shared" si="17"/>
        <v>0</v>
      </c>
      <c r="E52" s="3569">
        <f t="shared" si="17"/>
        <v>0</v>
      </c>
      <c r="F52" s="3583"/>
      <c r="G52" s="3584"/>
      <c r="H52" s="425"/>
      <c r="I52" s="2231"/>
      <c r="J52" s="425"/>
      <c r="K52" s="424"/>
      <c r="L52" s="425"/>
      <c r="M52" s="424"/>
      <c r="N52" s="425"/>
      <c r="O52" s="424"/>
      <c r="P52" s="425"/>
      <c r="Q52" s="424"/>
      <c r="R52" s="425"/>
      <c r="S52" s="424"/>
      <c r="T52" s="425"/>
      <c r="U52" s="424"/>
      <c r="V52" s="425"/>
      <c r="W52" s="424"/>
      <c r="X52" s="425"/>
      <c r="Y52" s="424"/>
      <c r="Z52" s="425"/>
      <c r="AA52" s="424"/>
      <c r="AB52" s="425"/>
      <c r="AC52" s="424"/>
      <c r="AD52" s="425"/>
      <c r="AE52" s="424"/>
      <c r="AF52" s="425"/>
      <c r="AG52" s="424"/>
      <c r="AH52" s="425"/>
      <c r="AI52" s="424"/>
      <c r="AJ52" s="425"/>
      <c r="AK52" s="424"/>
      <c r="AL52" s="3568"/>
      <c r="AM52" s="426"/>
      <c r="AN52" s="3392"/>
      <c r="AO52" s="423"/>
      <c r="AP52" s="2231"/>
      <c r="AQ52" s="3568"/>
      <c r="AR52" s="443"/>
      <c r="AS52" s="3570"/>
      <c r="AT52" s="3568"/>
      <c r="AU52" s="443"/>
      <c r="AV52" s="3373" t="str">
        <f t="shared" si="3"/>
        <v/>
      </c>
      <c r="CA52" s="418" t="str">
        <f t="shared" si="4"/>
        <v/>
      </c>
      <c r="CB52" s="418" t="str">
        <f t="shared" si="5"/>
        <v/>
      </c>
      <c r="CC52" s="418" t="str">
        <f t="shared" si="6"/>
        <v/>
      </c>
      <c r="CD52" s="418" t="str">
        <f t="shared" si="7"/>
        <v/>
      </c>
      <c r="CE52" s="418" t="str">
        <f t="shared" si="8"/>
        <v/>
      </c>
      <c r="CF52" s="3374"/>
      <c r="CG52" s="418" t="str">
        <f t="shared" si="9"/>
        <v/>
      </c>
      <c r="CH52" s="418" t="str">
        <f t="shared" si="10"/>
        <v/>
      </c>
      <c r="CI52" s="417"/>
      <c r="CJ52" s="419">
        <f t="shared" si="11"/>
        <v>0</v>
      </c>
      <c r="CK52" s="419">
        <f t="shared" si="12"/>
        <v>0</v>
      </c>
      <c r="CL52" s="419">
        <f t="shared" si="13"/>
        <v>0</v>
      </c>
      <c r="CM52" s="419">
        <f t="shared" si="14"/>
        <v>0</v>
      </c>
      <c r="CN52" s="419">
        <f t="shared" si="14"/>
        <v>0</v>
      </c>
      <c r="CO52" s="3380"/>
      <c r="CP52" s="419">
        <f t="shared" si="15"/>
        <v>0</v>
      </c>
      <c r="CQ52" s="419">
        <f t="shared" si="15"/>
        <v>0</v>
      </c>
    </row>
    <row r="53" spans="1:95">
      <c r="A53" s="6128"/>
      <c r="B53" s="1437" t="s">
        <v>2144</v>
      </c>
      <c r="C53" s="1991">
        <f t="shared" si="0"/>
        <v>0</v>
      </c>
      <c r="D53" s="1992">
        <f t="shared" si="17"/>
        <v>0</v>
      </c>
      <c r="E53" s="3571">
        <f t="shared" si="17"/>
        <v>0</v>
      </c>
      <c r="F53" s="3583"/>
      <c r="G53" s="3584"/>
      <c r="H53" s="3419"/>
      <c r="I53" s="3422"/>
      <c r="J53" s="3419"/>
      <c r="K53" s="3441"/>
      <c r="L53" s="3419"/>
      <c r="M53" s="3441"/>
      <c r="N53" s="3419"/>
      <c r="O53" s="3441"/>
      <c r="P53" s="3419"/>
      <c r="Q53" s="3441"/>
      <c r="R53" s="3419"/>
      <c r="S53" s="3441"/>
      <c r="T53" s="3419"/>
      <c r="U53" s="3441"/>
      <c r="V53" s="3419"/>
      <c r="W53" s="3441"/>
      <c r="X53" s="3419"/>
      <c r="Y53" s="3441"/>
      <c r="Z53" s="3419"/>
      <c r="AA53" s="3441"/>
      <c r="AB53" s="3419"/>
      <c r="AC53" s="3441"/>
      <c r="AD53" s="3419"/>
      <c r="AE53" s="3441"/>
      <c r="AF53" s="3419"/>
      <c r="AG53" s="3441"/>
      <c r="AH53" s="3419"/>
      <c r="AI53" s="3441"/>
      <c r="AJ53" s="3419"/>
      <c r="AK53" s="3441"/>
      <c r="AL53" s="3572"/>
      <c r="AM53" s="3573"/>
      <c r="AN53" s="3392"/>
      <c r="AO53" s="3424"/>
      <c r="AP53" s="2231"/>
      <c r="AQ53" s="3568"/>
      <c r="AR53" s="443"/>
      <c r="AS53" s="3570"/>
      <c r="AT53" s="3568"/>
      <c r="AU53" s="443"/>
      <c r="AV53" s="3373" t="str">
        <f t="shared" si="3"/>
        <v/>
      </c>
      <c r="CA53" s="418" t="str">
        <f t="shared" si="4"/>
        <v/>
      </c>
      <c r="CB53" s="418" t="str">
        <f t="shared" si="5"/>
        <v/>
      </c>
      <c r="CC53" s="418" t="str">
        <f t="shared" si="6"/>
        <v/>
      </c>
      <c r="CD53" s="418" t="str">
        <f t="shared" si="7"/>
        <v/>
      </c>
      <c r="CE53" s="418" t="str">
        <f t="shared" si="8"/>
        <v/>
      </c>
      <c r="CF53" s="3374"/>
      <c r="CG53" s="418" t="str">
        <f t="shared" si="9"/>
        <v/>
      </c>
      <c r="CH53" s="418" t="str">
        <f t="shared" si="10"/>
        <v/>
      </c>
      <c r="CI53" s="417"/>
      <c r="CJ53" s="419">
        <f t="shared" si="11"/>
        <v>0</v>
      </c>
      <c r="CK53" s="419">
        <f t="shared" si="12"/>
        <v>0</v>
      </c>
      <c r="CL53" s="419">
        <f t="shared" si="13"/>
        <v>0</v>
      </c>
      <c r="CM53" s="419">
        <f t="shared" si="14"/>
        <v>0</v>
      </c>
      <c r="CN53" s="419">
        <f t="shared" si="14"/>
        <v>0</v>
      </c>
      <c r="CO53" s="3380"/>
      <c r="CP53" s="419">
        <f t="shared" si="15"/>
        <v>0</v>
      </c>
      <c r="CQ53" s="419">
        <f t="shared" si="15"/>
        <v>0</v>
      </c>
    </row>
    <row r="54" spans="1:95">
      <c r="A54" s="6128"/>
      <c r="B54" s="1947" t="s">
        <v>2145</v>
      </c>
      <c r="C54" s="1737">
        <f t="shared" si="0"/>
        <v>0</v>
      </c>
      <c r="D54" s="3202">
        <f t="shared" si="17"/>
        <v>0</v>
      </c>
      <c r="E54" s="3569">
        <f t="shared" si="17"/>
        <v>0</v>
      </c>
      <c r="F54" s="3583"/>
      <c r="G54" s="2382"/>
      <c r="H54" s="425"/>
      <c r="I54" s="2231"/>
      <c r="J54" s="425"/>
      <c r="K54" s="424"/>
      <c r="L54" s="425"/>
      <c r="M54" s="424"/>
      <c r="N54" s="425"/>
      <c r="O54" s="424"/>
      <c r="P54" s="425"/>
      <c r="Q54" s="424"/>
      <c r="R54" s="425"/>
      <c r="S54" s="424"/>
      <c r="T54" s="425"/>
      <c r="U54" s="424"/>
      <c r="V54" s="425"/>
      <c r="W54" s="424"/>
      <c r="X54" s="425"/>
      <c r="Y54" s="424"/>
      <c r="Z54" s="425"/>
      <c r="AA54" s="424"/>
      <c r="AB54" s="425"/>
      <c r="AC54" s="424"/>
      <c r="AD54" s="425"/>
      <c r="AE54" s="424"/>
      <c r="AF54" s="425"/>
      <c r="AG54" s="424"/>
      <c r="AH54" s="425"/>
      <c r="AI54" s="424"/>
      <c r="AJ54" s="425"/>
      <c r="AK54" s="424"/>
      <c r="AL54" s="3568"/>
      <c r="AM54" s="426"/>
      <c r="AN54" s="3392"/>
      <c r="AO54" s="423"/>
      <c r="AP54" s="2231"/>
      <c r="AQ54" s="3568"/>
      <c r="AR54" s="443"/>
      <c r="AS54" s="3570"/>
      <c r="AT54" s="3568"/>
      <c r="AU54" s="443"/>
      <c r="AV54" s="3373" t="str">
        <f t="shared" si="3"/>
        <v/>
      </c>
      <c r="CA54" s="418" t="str">
        <f t="shared" si="4"/>
        <v/>
      </c>
      <c r="CB54" s="418" t="str">
        <f t="shared" si="5"/>
        <v/>
      </c>
      <c r="CC54" s="418" t="str">
        <f t="shared" si="6"/>
        <v/>
      </c>
      <c r="CD54" s="418" t="str">
        <f t="shared" si="7"/>
        <v/>
      </c>
      <c r="CE54" s="418" t="str">
        <f t="shared" si="8"/>
        <v/>
      </c>
      <c r="CF54" s="3374"/>
      <c r="CG54" s="418" t="str">
        <f t="shared" si="9"/>
        <v/>
      </c>
      <c r="CH54" s="418" t="str">
        <f t="shared" si="10"/>
        <v/>
      </c>
      <c r="CI54" s="417"/>
      <c r="CJ54" s="419">
        <f t="shared" si="11"/>
        <v>0</v>
      </c>
      <c r="CK54" s="419">
        <f t="shared" si="12"/>
        <v>0</v>
      </c>
      <c r="CL54" s="419">
        <f t="shared" si="13"/>
        <v>0</v>
      </c>
      <c r="CM54" s="419">
        <f t="shared" si="14"/>
        <v>0</v>
      </c>
      <c r="CN54" s="419">
        <f t="shared" si="14"/>
        <v>0</v>
      </c>
      <c r="CO54" s="3380"/>
      <c r="CP54" s="419">
        <f t="shared" si="15"/>
        <v>0</v>
      </c>
      <c r="CQ54" s="419">
        <f t="shared" si="15"/>
        <v>0</v>
      </c>
    </row>
    <row r="55" spans="1:95">
      <c r="A55" s="6128"/>
      <c r="B55" s="441" t="s">
        <v>2146</v>
      </c>
      <c r="C55" s="1737">
        <f t="shared" si="0"/>
        <v>0</v>
      </c>
      <c r="D55" s="3202">
        <f t="shared" si="17"/>
        <v>0</v>
      </c>
      <c r="E55" s="3575">
        <f t="shared" si="17"/>
        <v>0</v>
      </c>
      <c r="F55" s="3583"/>
      <c r="G55" s="3369"/>
      <c r="H55" s="425"/>
      <c r="I55" s="2231"/>
      <c r="J55" s="425"/>
      <c r="K55" s="424"/>
      <c r="L55" s="425"/>
      <c r="M55" s="424"/>
      <c r="N55" s="425"/>
      <c r="O55" s="424"/>
      <c r="P55" s="425"/>
      <c r="Q55" s="424"/>
      <c r="R55" s="425"/>
      <c r="S55" s="424"/>
      <c r="T55" s="425"/>
      <c r="U55" s="424"/>
      <c r="V55" s="425"/>
      <c r="W55" s="424"/>
      <c r="X55" s="425"/>
      <c r="Y55" s="424"/>
      <c r="Z55" s="425"/>
      <c r="AA55" s="424"/>
      <c r="AB55" s="425"/>
      <c r="AC55" s="424"/>
      <c r="AD55" s="425"/>
      <c r="AE55" s="424"/>
      <c r="AF55" s="425"/>
      <c r="AG55" s="3588"/>
      <c r="AH55" s="425"/>
      <c r="AI55" s="424"/>
      <c r="AJ55" s="425"/>
      <c r="AK55" s="424"/>
      <c r="AL55" s="3568"/>
      <c r="AM55" s="426"/>
      <c r="AN55" s="3392"/>
      <c r="AO55" s="423"/>
      <c r="AP55" s="2231"/>
      <c r="AQ55" s="3568"/>
      <c r="AR55" s="443"/>
      <c r="AS55" s="3570"/>
      <c r="AT55" s="3568"/>
      <c r="AU55" s="443"/>
      <c r="AV55" s="3373" t="str">
        <f t="shared" si="3"/>
        <v/>
      </c>
      <c r="CA55" s="418" t="str">
        <f t="shared" si="4"/>
        <v/>
      </c>
      <c r="CB55" s="418" t="str">
        <f t="shared" si="5"/>
        <v/>
      </c>
      <c r="CC55" s="418" t="str">
        <f t="shared" si="6"/>
        <v/>
      </c>
      <c r="CD55" s="418" t="str">
        <f t="shared" si="7"/>
        <v/>
      </c>
      <c r="CE55" s="418" t="str">
        <f t="shared" si="8"/>
        <v/>
      </c>
      <c r="CF55" s="3374"/>
      <c r="CG55" s="418" t="str">
        <f t="shared" si="9"/>
        <v/>
      </c>
      <c r="CH55" s="418" t="str">
        <f t="shared" si="10"/>
        <v/>
      </c>
      <c r="CI55" s="417"/>
      <c r="CJ55" s="419">
        <f t="shared" si="11"/>
        <v>0</v>
      </c>
      <c r="CK55" s="419">
        <f t="shared" si="12"/>
        <v>0</v>
      </c>
      <c r="CL55" s="419">
        <f t="shared" si="13"/>
        <v>0</v>
      </c>
      <c r="CM55" s="419">
        <f t="shared" si="14"/>
        <v>0</v>
      </c>
      <c r="CN55" s="419">
        <f t="shared" si="14"/>
        <v>0</v>
      </c>
      <c r="CO55" s="3380"/>
      <c r="CP55" s="419">
        <f t="shared" si="15"/>
        <v>0</v>
      </c>
      <c r="CQ55" s="419">
        <f t="shared" si="15"/>
        <v>0</v>
      </c>
    </row>
    <row r="56" spans="1:95">
      <c r="A56" s="6129"/>
      <c r="B56" s="1505" t="s">
        <v>113</v>
      </c>
      <c r="C56" s="1773">
        <f t="shared" si="0"/>
        <v>0</v>
      </c>
      <c r="D56" s="3471">
        <f t="shared" si="17"/>
        <v>0</v>
      </c>
      <c r="E56" s="3577">
        <f t="shared" si="17"/>
        <v>0</v>
      </c>
      <c r="F56" s="2384"/>
      <c r="G56" s="3585"/>
      <c r="H56" s="435"/>
      <c r="I56" s="2252"/>
      <c r="J56" s="435"/>
      <c r="K56" s="434"/>
      <c r="L56" s="435"/>
      <c r="M56" s="434"/>
      <c r="N56" s="435"/>
      <c r="O56" s="434"/>
      <c r="P56" s="435"/>
      <c r="Q56" s="434"/>
      <c r="R56" s="435"/>
      <c r="S56" s="434"/>
      <c r="T56" s="435"/>
      <c r="U56" s="434"/>
      <c r="V56" s="435"/>
      <c r="W56" s="434"/>
      <c r="X56" s="435"/>
      <c r="Y56" s="434"/>
      <c r="Z56" s="435"/>
      <c r="AA56" s="434"/>
      <c r="AB56" s="435"/>
      <c r="AC56" s="434"/>
      <c r="AD56" s="435"/>
      <c r="AE56" s="434"/>
      <c r="AF56" s="435"/>
      <c r="AG56" s="434"/>
      <c r="AH56" s="435"/>
      <c r="AI56" s="434"/>
      <c r="AJ56" s="435"/>
      <c r="AK56" s="434"/>
      <c r="AL56" s="3586"/>
      <c r="AM56" s="436"/>
      <c r="AN56" s="3393"/>
      <c r="AO56" s="3519"/>
      <c r="AP56" s="2235"/>
      <c r="AQ56" s="3578"/>
      <c r="AR56" s="438"/>
      <c r="AS56" s="3570"/>
      <c r="AT56" s="3568"/>
      <c r="AU56" s="443"/>
      <c r="AV56" s="3373" t="str">
        <f t="shared" si="3"/>
        <v/>
      </c>
      <c r="CA56" s="418" t="str">
        <f t="shared" si="4"/>
        <v/>
      </c>
      <c r="CB56" s="418" t="str">
        <f t="shared" si="5"/>
        <v/>
      </c>
      <c r="CC56" s="418" t="str">
        <f t="shared" si="6"/>
        <v/>
      </c>
      <c r="CD56" s="418" t="str">
        <f t="shared" si="7"/>
        <v/>
      </c>
      <c r="CE56" s="418" t="str">
        <f t="shared" si="8"/>
        <v/>
      </c>
      <c r="CF56" s="3374"/>
      <c r="CG56" s="418" t="str">
        <f t="shared" si="9"/>
        <v/>
      </c>
      <c r="CH56" s="418" t="str">
        <f t="shared" si="10"/>
        <v/>
      </c>
      <c r="CI56" s="417"/>
      <c r="CJ56" s="419">
        <f t="shared" si="11"/>
        <v>0</v>
      </c>
      <c r="CK56" s="419">
        <f t="shared" si="12"/>
        <v>0</v>
      </c>
      <c r="CL56" s="419">
        <f t="shared" si="13"/>
        <v>0</v>
      </c>
      <c r="CM56" s="419">
        <f t="shared" si="14"/>
        <v>0</v>
      </c>
      <c r="CN56" s="419">
        <f t="shared" si="14"/>
        <v>0</v>
      </c>
      <c r="CO56" s="3380"/>
      <c r="CP56" s="419">
        <f t="shared" si="15"/>
        <v>0</v>
      </c>
      <c r="CQ56" s="419">
        <f t="shared" si="15"/>
        <v>0</v>
      </c>
    </row>
    <row r="57" spans="1:95">
      <c r="A57" s="6127" t="s">
        <v>2151</v>
      </c>
      <c r="B57" s="1502" t="s">
        <v>78</v>
      </c>
      <c r="C57" s="2393">
        <f t="shared" si="0"/>
        <v>0</v>
      </c>
      <c r="D57" s="3453">
        <f t="shared" ref="D57:E62" si="18">SUM(J57+L57+N57+P57+R57+T57+V57+X57+Z57+AB57+AD57+AF57+AH57+AJ57+AL57)</f>
        <v>0</v>
      </c>
      <c r="E57" s="3562">
        <f t="shared" ref="E57:E59" si="19">SUM(K57+M57+O57+Q57+S57+U57+W57+Y57+AA57+AC57+AE57+AG57+AI57+AK57+AM57)</f>
        <v>0</v>
      </c>
      <c r="F57" s="3426"/>
      <c r="G57" s="3580"/>
      <c r="H57" s="3426"/>
      <c r="I57" s="3580"/>
      <c r="J57" s="3394"/>
      <c r="K57" s="3397"/>
      <c r="L57" s="3394"/>
      <c r="M57" s="3397"/>
      <c r="N57" s="3394"/>
      <c r="O57" s="3397"/>
      <c r="P57" s="3394"/>
      <c r="Q57" s="3397"/>
      <c r="R57" s="3394"/>
      <c r="S57" s="3397"/>
      <c r="T57" s="3394"/>
      <c r="U57" s="3397"/>
      <c r="V57" s="3394"/>
      <c r="W57" s="3397"/>
      <c r="X57" s="3394"/>
      <c r="Y57" s="3397"/>
      <c r="Z57" s="3394"/>
      <c r="AA57" s="3397"/>
      <c r="AB57" s="3394"/>
      <c r="AC57" s="3397"/>
      <c r="AD57" s="3394"/>
      <c r="AE57" s="3397"/>
      <c r="AF57" s="3394"/>
      <c r="AG57" s="3397"/>
      <c r="AH57" s="3394"/>
      <c r="AI57" s="3397"/>
      <c r="AJ57" s="3394"/>
      <c r="AK57" s="3397"/>
      <c r="AL57" s="3564"/>
      <c r="AM57" s="3565"/>
      <c r="AN57" s="3581"/>
      <c r="AO57" s="3566"/>
      <c r="AP57" s="3563"/>
      <c r="AQ57" s="3564"/>
      <c r="AR57" s="3589"/>
      <c r="AS57" s="3564"/>
      <c r="AT57" s="3564"/>
      <c r="AU57" s="3589"/>
      <c r="AV57" s="3373" t="str">
        <f t="shared" ref="AV57:AV89" si="20">$CA57&amp;$CB57&amp;CC57&amp;CD57&amp;CE57&amp;CF57&amp;CG57&amp;CH57</f>
        <v/>
      </c>
      <c r="CA57" s="418" t="str">
        <f t="shared" si="4"/>
        <v/>
      </c>
      <c r="CB57" s="418" t="str">
        <f t="shared" si="5"/>
        <v/>
      </c>
      <c r="CC57" s="418" t="str">
        <f t="shared" si="6"/>
        <v/>
      </c>
      <c r="CD57" s="418" t="str">
        <f t="shared" si="7"/>
        <v/>
      </c>
      <c r="CE57" s="418" t="str">
        <f t="shared" si="8"/>
        <v/>
      </c>
      <c r="CF57" s="3590" t="str">
        <f t="shared" ref="CF57:CF89" si="21">IF(AND(SUM(J57:M57)&gt;0,AS57=""),"* No olvide digitar la variable 14-18 años. Si no tiene digite Cero.",IF(AS57&gt;SUM(J57:M57),"* La variable 14-18 años no puede ser mayor al total por grupo edad de 10 a 19 años. ",""))</f>
        <v/>
      </c>
      <c r="CG57" s="418" t="str">
        <f t="shared" si="9"/>
        <v/>
      </c>
      <c r="CH57" s="418" t="str">
        <f t="shared" si="10"/>
        <v/>
      </c>
      <c r="CI57" s="417"/>
      <c r="CJ57" s="419">
        <f t="shared" si="11"/>
        <v>0</v>
      </c>
      <c r="CK57" s="419">
        <f t="shared" si="12"/>
        <v>0</v>
      </c>
      <c r="CL57" s="419">
        <f t="shared" si="13"/>
        <v>0</v>
      </c>
      <c r="CM57" s="419">
        <f t="shared" si="14"/>
        <v>0</v>
      </c>
      <c r="CN57" s="419">
        <f t="shared" si="14"/>
        <v>0</v>
      </c>
      <c r="CO57" s="3375">
        <f t="shared" ref="CO57:CO89" si="22">IF(AND(SUM(J57:M57)&gt;0,AS57=""),1,IF(AS57&gt;SUM(J57:M57),1,0))</f>
        <v>0</v>
      </c>
      <c r="CP57" s="419">
        <f t="shared" si="15"/>
        <v>0</v>
      </c>
      <c r="CQ57" s="419">
        <f t="shared" si="15"/>
        <v>0</v>
      </c>
    </row>
    <row r="58" spans="1:95">
      <c r="A58" s="6128"/>
      <c r="B58" s="1947" t="s">
        <v>112</v>
      </c>
      <c r="C58" s="1737">
        <f t="shared" si="0"/>
        <v>0</v>
      </c>
      <c r="D58" s="3202">
        <f t="shared" si="18"/>
        <v>0</v>
      </c>
      <c r="E58" s="3569">
        <f t="shared" si="19"/>
        <v>0</v>
      </c>
      <c r="F58" s="3583"/>
      <c r="G58" s="3584"/>
      <c r="H58" s="3583"/>
      <c r="I58" s="3584"/>
      <c r="J58" s="425"/>
      <c r="K58" s="424"/>
      <c r="L58" s="425"/>
      <c r="M58" s="424"/>
      <c r="N58" s="425"/>
      <c r="O58" s="424"/>
      <c r="P58" s="425"/>
      <c r="Q58" s="424"/>
      <c r="R58" s="425"/>
      <c r="S58" s="424"/>
      <c r="T58" s="425"/>
      <c r="U58" s="424"/>
      <c r="V58" s="425"/>
      <c r="W58" s="424"/>
      <c r="X58" s="425"/>
      <c r="Y58" s="424"/>
      <c r="Z58" s="425"/>
      <c r="AA58" s="424"/>
      <c r="AB58" s="425"/>
      <c r="AC58" s="424"/>
      <c r="AD58" s="425"/>
      <c r="AE58" s="424"/>
      <c r="AF58" s="425"/>
      <c r="AG58" s="424"/>
      <c r="AH58" s="425"/>
      <c r="AI58" s="424"/>
      <c r="AJ58" s="425"/>
      <c r="AK58" s="424"/>
      <c r="AL58" s="3568"/>
      <c r="AM58" s="426"/>
      <c r="AN58" s="3392"/>
      <c r="AO58" s="423"/>
      <c r="AP58" s="2231"/>
      <c r="AQ58" s="3568"/>
      <c r="AR58" s="443"/>
      <c r="AS58" s="3568"/>
      <c r="AT58" s="3568"/>
      <c r="AU58" s="443"/>
      <c r="AV58" s="3373" t="str">
        <f t="shared" si="20"/>
        <v/>
      </c>
      <c r="CA58" s="418" t="str">
        <f t="shared" si="4"/>
        <v/>
      </c>
      <c r="CB58" s="418" t="str">
        <f t="shared" si="5"/>
        <v/>
      </c>
      <c r="CC58" s="418" t="str">
        <f t="shared" si="6"/>
        <v/>
      </c>
      <c r="CD58" s="418" t="str">
        <f t="shared" si="7"/>
        <v/>
      </c>
      <c r="CE58" s="418" t="str">
        <f t="shared" si="8"/>
        <v/>
      </c>
      <c r="CF58" s="3590" t="str">
        <f t="shared" si="21"/>
        <v/>
      </c>
      <c r="CG58" s="418" t="str">
        <f t="shared" si="9"/>
        <v/>
      </c>
      <c r="CH58" s="418" t="str">
        <f t="shared" si="10"/>
        <v/>
      </c>
      <c r="CI58" s="417"/>
      <c r="CJ58" s="419">
        <f t="shared" si="11"/>
        <v>0</v>
      </c>
      <c r="CK58" s="419">
        <f t="shared" si="12"/>
        <v>0</v>
      </c>
      <c r="CL58" s="419">
        <f t="shared" si="13"/>
        <v>0</v>
      </c>
      <c r="CM58" s="419">
        <f t="shared" si="14"/>
        <v>0</v>
      </c>
      <c r="CN58" s="419">
        <f t="shared" si="14"/>
        <v>0</v>
      </c>
      <c r="CO58" s="3375">
        <f t="shared" si="22"/>
        <v>0</v>
      </c>
      <c r="CP58" s="419">
        <f t="shared" si="15"/>
        <v>0</v>
      </c>
      <c r="CQ58" s="419">
        <f t="shared" si="15"/>
        <v>0</v>
      </c>
    </row>
    <row r="59" spans="1:95">
      <c r="A59" s="6128"/>
      <c r="B59" s="1947" t="s">
        <v>79</v>
      </c>
      <c r="C59" s="1737">
        <f t="shared" si="0"/>
        <v>0</v>
      </c>
      <c r="D59" s="3202">
        <f t="shared" si="18"/>
        <v>0</v>
      </c>
      <c r="E59" s="3569">
        <f t="shared" si="19"/>
        <v>0</v>
      </c>
      <c r="F59" s="3583"/>
      <c r="G59" s="3584"/>
      <c r="H59" s="3583"/>
      <c r="I59" s="3584"/>
      <c r="J59" s="425"/>
      <c r="K59" s="424"/>
      <c r="L59" s="425"/>
      <c r="M59" s="424"/>
      <c r="N59" s="425"/>
      <c r="O59" s="424"/>
      <c r="P59" s="425"/>
      <c r="Q59" s="424"/>
      <c r="R59" s="425"/>
      <c r="S59" s="424"/>
      <c r="T59" s="425"/>
      <c r="U59" s="424"/>
      <c r="V59" s="425"/>
      <c r="W59" s="424"/>
      <c r="X59" s="425"/>
      <c r="Y59" s="424"/>
      <c r="Z59" s="425"/>
      <c r="AA59" s="424"/>
      <c r="AB59" s="425"/>
      <c r="AC59" s="424"/>
      <c r="AD59" s="425"/>
      <c r="AE59" s="424"/>
      <c r="AF59" s="425"/>
      <c r="AG59" s="424"/>
      <c r="AH59" s="425"/>
      <c r="AI59" s="424"/>
      <c r="AJ59" s="425"/>
      <c r="AK59" s="424"/>
      <c r="AL59" s="3568"/>
      <c r="AM59" s="426"/>
      <c r="AN59" s="3392"/>
      <c r="AO59" s="423"/>
      <c r="AP59" s="2231"/>
      <c r="AQ59" s="3568"/>
      <c r="AR59" s="443"/>
      <c r="AS59" s="3568"/>
      <c r="AT59" s="3568"/>
      <c r="AU59" s="443"/>
      <c r="AV59" s="3373" t="str">
        <f t="shared" si="20"/>
        <v/>
      </c>
      <c r="CA59" s="418" t="str">
        <f t="shared" si="4"/>
        <v/>
      </c>
      <c r="CB59" s="418" t="str">
        <f t="shared" si="5"/>
        <v/>
      </c>
      <c r="CC59" s="418" t="str">
        <f t="shared" si="6"/>
        <v/>
      </c>
      <c r="CD59" s="418" t="str">
        <f t="shared" si="7"/>
        <v/>
      </c>
      <c r="CE59" s="418" t="str">
        <f t="shared" si="8"/>
        <v/>
      </c>
      <c r="CF59" s="3590" t="str">
        <f t="shared" si="21"/>
        <v/>
      </c>
      <c r="CG59" s="418" t="str">
        <f t="shared" si="9"/>
        <v/>
      </c>
      <c r="CH59" s="418" t="str">
        <f t="shared" si="10"/>
        <v/>
      </c>
      <c r="CI59" s="417"/>
      <c r="CJ59" s="419">
        <f t="shared" si="11"/>
        <v>0</v>
      </c>
      <c r="CK59" s="419">
        <f t="shared" si="12"/>
        <v>0</v>
      </c>
      <c r="CL59" s="419">
        <f t="shared" si="13"/>
        <v>0</v>
      </c>
      <c r="CM59" s="419">
        <f t="shared" si="14"/>
        <v>0</v>
      </c>
      <c r="CN59" s="419">
        <f t="shared" si="14"/>
        <v>0</v>
      </c>
      <c r="CO59" s="3375">
        <f t="shared" si="22"/>
        <v>0</v>
      </c>
      <c r="CP59" s="419">
        <f t="shared" si="15"/>
        <v>0</v>
      </c>
      <c r="CQ59" s="419">
        <f t="shared" si="15"/>
        <v>0</v>
      </c>
    </row>
    <row r="60" spans="1:95">
      <c r="A60" s="6128"/>
      <c r="B60" s="1947" t="s">
        <v>1065</v>
      </c>
      <c r="C60" s="1737">
        <f t="shared" si="0"/>
        <v>0</v>
      </c>
      <c r="D60" s="3202">
        <f t="shared" si="18"/>
        <v>0</v>
      </c>
      <c r="E60" s="3569">
        <f t="shared" si="18"/>
        <v>0</v>
      </c>
      <c r="F60" s="3583"/>
      <c r="G60" s="3584"/>
      <c r="H60" s="3583"/>
      <c r="I60" s="3584"/>
      <c r="J60" s="425"/>
      <c r="K60" s="424"/>
      <c r="L60" s="425"/>
      <c r="M60" s="424"/>
      <c r="N60" s="425"/>
      <c r="O60" s="424"/>
      <c r="P60" s="425"/>
      <c r="Q60" s="424"/>
      <c r="R60" s="425"/>
      <c r="S60" s="424"/>
      <c r="T60" s="425"/>
      <c r="U60" s="424"/>
      <c r="V60" s="425"/>
      <c r="W60" s="424"/>
      <c r="X60" s="425"/>
      <c r="Y60" s="424"/>
      <c r="Z60" s="425"/>
      <c r="AA60" s="424"/>
      <c r="AB60" s="425"/>
      <c r="AC60" s="424"/>
      <c r="AD60" s="425"/>
      <c r="AE60" s="424"/>
      <c r="AF60" s="425"/>
      <c r="AG60" s="424"/>
      <c r="AH60" s="425"/>
      <c r="AI60" s="424"/>
      <c r="AJ60" s="425"/>
      <c r="AK60" s="424"/>
      <c r="AL60" s="3568"/>
      <c r="AM60" s="426"/>
      <c r="AN60" s="3392"/>
      <c r="AO60" s="423"/>
      <c r="AP60" s="2231"/>
      <c r="AQ60" s="3568"/>
      <c r="AR60" s="443"/>
      <c r="AS60" s="3568"/>
      <c r="AT60" s="3568"/>
      <c r="AU60" s="443"/>
      <c r="AV60" s="3373" t="str">
        <f t="shared" si="20"/>
        <v/>
      </c>
      <c r="CA60" s="418" t="str">
        <f t="shared" si="4"/>
        <v/>
      </c>
      <c r="CB60" s="418" t="str">
        <f t="shared" si="5"/>
        <v/>
      </c>
      <c r="CC60" s="418" t="str">
        <f t="shared" si="6"/>
        <v/>
      </c>
      <c r="CD60" s="418" t="str">
        <f t="shared" si="7"/>
        <v/>
      </c>
      <c r="CE60" s="418" t="str">
        <f t="shared" si="8"/>
        <v/>
      </c>
      <c r="CF60" s="3590" t="str">
        <f t="shared" si="21"/>
        <v/>
      </c>
      <c r="CG60" s="418" t="str">
        <f t="shared" si="9"/>
        <v/>
      </c>
      <c r="CH60" s="418" t="str">
        <f t="shared" si="10"/>
        <v/>
      </c>
      <c r="CI60" s="417"/>
      <c r="CJ60" s="419">
        <f t="shared" si="11"/>
        <v>0</v>
      </c>
      <c r="CK60" s="419">
        <f t="shared" si="12"/>
        <v>0</v>
      </c>
      <c r="CL60" s="419">
        <f t="shared" si="13"/>
        <v>0</v>
      </c>
      <c r="CM60" s="419">
        <f t="shared" si="14"/>
        <v>0</v>
      </c>
      <c r="CN60" s="419">
        <f t="shared" si="14"/>
        <v>0</v>
      </c>
      <c r="CO60" s="3375">
        <f t="shared" si="22"/>
        <v>0</v>
      </c>
      <c r="CP60" s="419">
        <f t="shared" si="15"/>
        <v>0</v>
      </c>
      <c r="CQ60" s="419">
        <f t="shared" si="15"/>
        <v>0</v>
      </c>
    </row>
    <row r="61" spans="1:95">
      <c r="A61" s="6128"/>
      <c r="B61" s="1512" t="s">
        <v>2146</v>
      </c>
      <c r="C61" s="3591">
        <f t="shared" si="0"/>
        <v>0</v>
      </c>
      <c r="D61" s="3202">
        <f t="shared" si="18"/>
        <v>0</v>
      </c>
      <c r="E61" s="3575">
        <f>SUM(K61+M61+O61+Q61+S61+U61+W61+Y61+AA61+AC61+AE61+AG61+AI61+AK61+AM61)</f>
        <v>0</v>
      </c>
      <c r="F61" s="3583"/>
      <c r="G61" s="3584"/>
      <c r="H61" s="3583"/>
      <c r="I61" s="3584"/>
      <c r="J61" s="3419"/>
      <c r="K61" s="3441"/>
      <c r="L61" s="3419"/>
      <c r="M61" s="3441"/>
      <c r="N61" s="3419"/>
      <c r="O61" s="3441"/>
      <c r="P61" s="3419"/>
      <c r="Q61" s="3441"/>
      <c r="R61" s="3419"/>
      <c r="S61" s="3441"/>
      <c r="T61" s="3419"/>
      <c r="U61" s="3441"/>
      <c r="V61" s="3419"/>
      <c r="W61" s="3441"/>
      <c r="X61" s="3419"/>
      <c r="Y61" s="3441"/>
      <c r="Z61" s="3419"/>
      <c r="AA61" s="3441"/>
      <c r="AB61" s="3419"/>
      <c r="AC61" s="3441"/>
      <c r="AD61" s="3419"/>
      <c r="AE61" s="3441"/>
      <c r="AF61" s="3419"/>
      <c r="AG61" s="3441"/>
      <c r="AH61" s="3419"/>
      <c r="AI61" s="3441"/>
      <c r="AJ61" s="3419"/>
      <c r="AK61" s="3441"/>
      <c r="AL61" s="3572"/>
      <c r="AM61" s="3573"/>
      <c r="AN61" s="3392"/>
      <c r="AO61" s="3424"/>
      <c r="AP61" s="3422"/>
      <c r="AQ61" s="3572"/>
      <c r="AR61" s="3592"/>
      <c r="AS61" s="3572"/>
      <c r="AT61" s="3572"/>
      <c r="AU61" s="3592"/>
      <c r="AV61" s="3373" t="str">
        <f t="shared" si="20"/>
        <v/>
      </c>
      <c r="CA61" s="418" t="str">
        <f t="shared" si="4"/>
        <v/>
      </c>
      <c r="CB61" s="418" t="str">
        <f t="shared" si="5"/>
        <v/>
      </c>
      <c r="CC61" s="418" t="str">
        <f t="shared" si="6"/>
        <v/>
      </c>
      <c r="CD61" s="418" t="str">
        <f t="shared" si="7"/>
        <v/>
      </c>
      <c r="CE61" s="418" t="str">
        <f t="shared" si="8"/>
        <v/>
      </c>
      <c r="CF61" s="3590" t="str">
        <f t="shared" si="21"/>
        <v/>
      </c>
      <c r="CG61" s="418" t="str">
        <f t="shared" si="9"/>
        <v/>
      </c>
      <c r="CH61" s="418" t="str">
        <f t="shared" si="10"/>
        <v/>
      </c>
      <c r="CI61" s="417"/>
      <c r="CJ61" s="419">
        <f t="shared" si="11"/>
        <v>0</v>
      </c>
      <c r="CK61" s="419">
        <f t="shared" si="12"/>
        <v>0</v>
      </c>
      <c r="CL61" s="419">
        <f t="shared" si="13"/>
        <v>0</v>
      </c>
      <c r="CM61" s="419">
        <f t="shared" si="14"/>
        <v>0</v>
      </c>
      <c r="CN61" s="419">
        <f t="shared" si="14"/>
        <v>0</v>
      </c>
      <c r="CO61" s="3375">
        <f t="shared" si="22"/>
        <v>0</v>
      </c>
      <c r="CP61" s="419">
        <f t="shared" si="15"/>
        <v>0</v>
      </c>
      <c r="CQ61" s="419">
        <f t="shared" si="15"/>
        <v>0</v>
      </c>
    </row>
    <row r="62" spans="1:95">
      <c r="A62" s="6129"/>
      <c r="B62" s="1505" t="s">
        <v>2145</v>
      </c>
      <c r="C62" s="1773">
        <f t="shared" si="0"/>
        <v>0</v>
      </c>
      <c r="D62" s="3471">
        <f t="shared" si="18"/>
        <v>0</v>
      </c>
      <c r="E62" s="3577">
        <f t="shared" si="18"/>
        <v>0</v>
      </c>
      <c r="F62" s="2384"/>
      <c r="G62" s="3593"/>
      <c r="H62" s="2384"/>
      <c r="I62" s="3593"/>
      <c r="J62" s="432"/>
      <c r="K62" s="433"/>
      <c r="L62" s="432"/>
      <c r="M62" s="433"/>
      <c r="N62" s="432"/>
      <c r="O62" s="433"/>
      <c r="P62" s="432"/>
      <c r="Q62" s="433"/>
      <c r="R62" s="432"/>
      <c r="S62" s="433"/>
      <c r="T62" s="432"/>
      <c r="U62" s="433"/>
      <c r="V62" s="432"/>
      <c r="W62" s="433"/>
      <c r="X62" s="432"/>
      <c r="Y62" s="433"/>
      <c r="Z62" s="432"/>
      <c r="AA62" s="433"/>
      <c r="AB62" s="432"/>
      <c r="AC62" s="433"/>
      <c r="AD62" s="432"/>
      <c r="AE62" s="433"/>
      <c r="AF62" s="432"/>
      <c r="AG62" s="433"/>
      <c r="AH62" s="432"/>
      <c r="AI62" s="433"/>
      <c r="AJ62" s="432"/>
      <c r="AK62" s="433"/>
      <c r="AL62" s="3578"/>
      <c r="AM62" s="445"/>
      <c r="AN62" s="3393"/>
      <c r="AO62" s="3385"/>
      <c r="AP62" s="2235"/>
      <c r="AQ62" s="3578"/>
      <c r="AR62" s="438"/>
      <c r="AS62" s="3578"/>
      <c r="AT62" s="3578"/>
      <c r="AU62" s="438"/>
      <c r="AV62" s="3373" t="str">
        <f t="shared" si="20"/>
        <v/>
      </c>
      <c r="CA62" s="418" t="str">
        <f t="shared" si="4"/>
        <v/>
      </c>
      <c r="CB62" s="418" t="str">
        <f t="shared" si="5"/>
        <v/>
      </c>
      <c r="CC62" s="418" t="str">
        <f t="shared" si="6"/>
        <v/>
      </c>
      <c r="CD62" s="418" t="str">
        <f t="shared" si="7"/>
        <v/>
      </c>
      <c r="CE62" s="418" t="str">
        <f t="shared" si="8"/>
        <v/>
      </c>
      <c r="CF62" s="3590" t="str">
        <f t="shared" si="21"/>
        <v/>
      </c>
      <c r="CG62" s="418" t="str">
        <f t="shared" si="9"/>
        <v/>
      </c>
      <c r="CH62" s="418" t="str">
        <f t="shared" si="10"/>
        <v/>
      </c>
      <c r="CI62" s="417"/>
      <c r="CJ62" s="419">
        <f t="shared" si="11"/>
        <v>0</v>
      </c>
      <c r="CK62" s="419">
        <f t="shared" si="12"/>
        <v>0</v>
      </c>
      <c r="CL62" s="419">
        <f t="shared" si="13"/>
        <v>0</v>
      </c>
      <c r="CM62" s="419">
        <f t="shared" si="14"/>
        <v>0</v>
      </c>
      <c r="CN62" s="419">
        <f t="shared" si="14"/>
        <v>0</v>
      </c>
      <c r="CO62" s="3375">
        <f t="shared" si="22"/>
        <v>0</v>
      </c>
      <c r="CP62" s="419">
        <f t="shared" si="15"/>
        <v>0</v>
      </c>
      <c r="CQ62" s="419">
        <f t="shared" si="15"/>
        <v>0</v>
      </c>
    </row>
    <row r="63" spans="1:95">
      <c r="A63" s="6127" t="s">
        <v>2152</v>
      </c>
      <c r="B63" s="1502" t="s">
        <v>78</v>
      </c>
      <c r="C63" s="2393">
        <f t="shared" si="0"/>
        <v>0</v>
      </c>
      <c r="D63" s="3453">
        <f t="shared" ref="D63:E66" si="23">SUM(J63+L63+N63+P63+R63+T63+V63+X63+Z63+AB63)</f>
        <v>0</v>
      </c>
      <c r="E63" s="3562">
        <f t="shared" si="23"/>
        <v>0</v>
      </c>
      <c r="F63" s="3426"/>
      <c r="G63" s="3580"/>
      <c r="H63" s="3426"/>
      <c r="I63" s="3580"/>
      <c r="J63" s="3394"/>
      <c r="K63" s="3397"/>
      <c r="L63" s="3394"/>
      <c r="M63" s="3397"/>
      <c r="N63" s="3394"/>
      <c r="O63" s="3397"/>
      <c r="P63" s="3394"/>
      <c r="Q63" s="3397"/>
      <c r="R63" s="3394"/>
      <c r="S63" s="3397"/>
      <c r="T63" s="3394"/>
      <c r="U63" s="3397"/>
      <c r="V63" s="3394"/>
      <c r="W63" s="3397"/>
      <c r="X63" s="3394"/>
      <c r="Y63" s="3397"/>
      <c r="Z63" s="3394"/>
      <c r="AA63" s="3397"/>
      <c r="AB63" s="425"/>
      <c r="AC63" s="424"/>
      <c r="AD63" s="3377"/>
      <c r="AE63" s="3382"/>
      <c r="AF63" s="2375"/>
      <c r="AG63" s="2376"/>
      <c r="AH63" s="2375"/>
      <c r="AI63" s="2376"/>
      <c r="AJ63" s="2375"/>
      <c r="AK63" s="2376"/>
      <c r="AL63" s="3594"/>
      <c r="AM63" s="3408"/>
      <c r="AN63" s="3581"/>
      <c r="AO63" s="2307"/>
      <c r="AP63" s="2229"/>
      <c r="AQ63" s="2246"/>
      <c r="AR63" s="452"/>
      <c r="AS63" s="2246"/>
      <c r="AT63" s="2246"/>
      <c r="AU63" s="452"/>
      <c r="AV63" s="3373" t="str">
        <f t="shared" si="20"/>
        <v/>
      </c>
      <c r="CA63" s="418" t="str">
        <f t="shared" si="4"/>
        <v/>
      </c>
      <c r="CB63" s="418" t="str">
        <f t="shared" si="5"/>
        <v/>
      </c>
      <c r="CC63" s="418" t="str">
        <f t="shared" si="6"/>
        <v/>
      </c>
      <c r="CD63" s="418" t="str">
        <f t="shared" si="7"/>
        <v/>
      </c>
      <c r="CE63" s="418" t="str">
        <f t="shared" si="8"/>
        <v/>
      </c>
      <c r="CF63" s="3590" t="str">
        <f t="shared" si="21"/>
        <v/>
      </c>
      <c r="CG63" s="418" t="str">
        <f t="shared" si="9"/>
        <v/>
      </c>
      <c r="CH63" s="418" t="str">
        <f t="shared" si="10"/>
        <v/>
      </c>
      <c r="CI63" s="417"/>
      <c r="CJ63" s="419">
        <f t="shared" si="11"/>
        <v>0</v>
      </c>
      <c r="CK63" s="419">
        <f t="shared" si="12"/>
        <v>0</v>
      </c>
      <c r="CL63" s="419">
        <f t="shared" si="13"/>
        <v>0</v>
      </c>
      <c r="CM63" s="419">
        <f t="shared" si="14"/>
        <v>0</v>
      </c>
      <c r="CN63" s="419">
        <f t="shared" si="14"/>
        <v>0</v>
      </c>
      <c r="CO63" s="3375">
        <f t="shared" si="22"/>
        <v>0</v>
      </c>
      <c r="CP63" s="419">
        <f t="shared" si="15"/>
        <v>0</v>
      </c>
      <c r="CQ63" s="419">
        <f t="shared" si="15"/>
        <v>0</v>
      </c>
    </row>
    <row r="64" spans="1:95">
      <c r="A64" s="6128"/>
      <c r="B64" s="1947" t="s">
        <v>79</v>
      </c>
      <c r="C64" s="1737">
        <f t="shared" si="0"/>
        <v>0</v>
      </c>
      <c r="D64" s="3202">
        <f t="shared" si="23"/>
        <v>0</v>
      </c>
      <c r="E64" s="3569">
        <f t="shared" si="23"/>
        <v>0</v>
      </c>
      <c r="F64" s="3583"/>
      <c r="G64" s="3584"/>
      <c r="H64" s="3583"/>
      <c r="I64" s="3584"/>
      <c r="J64" s="425"/>
      <c r="K64" s="424"/>
      <c r="L64" s="425"/>
      <c r="M64" s="424"/>
      <c r="N64" s="425"/>
      <c r="O64" s="424"/>
      <c r="P64" s="425"/>
      <c r="Q64" s="424"/>
      <c r="R64" s="425"/>
      <c r="S64" s="424"/>
      <c r="T64" s="425"/>
      <c r="U64" s="424"/>
      <c r="V64" s="425"/>
      <c r="W64" s="424"/>
      <c r="X64" s="425"/>
      <c r="Y64" s="424"/>
      <c r="Z64" s="425"/>
      <c r="AA64" s="424"/>
      <c r="AB64" s="425"/>
      <c r="AC64" s="424"/>
      <c r="AD64" s="3377"/>
      <c r="AE64" s="3382"/>
      <c r="AF64" s="2381"/>
      <c r="AG64" s="2382"/>
      <c r="AH64" s="2381"/>
      <c r="AI64" s="2382"/>
      <c r="AJ64" s="2381"/>
      <c r="AK64" s="2382"/>
      <c r="AL64" s="3595"/>
      <c r="AM64" s="2882"/>
      <c r="AN64" s="3392"/>
      <c r="AO64" s="423"/>
      <c r="AP64" s="2231"/>
      <c r="AQ64" s="3568"/>
      <c r="AR64" s="443"/>
      <c r="AS64" s="3568"/>
      <c r="AT64" s="3568"/>
      <c r="AU64" s="443"/>
      <c r="AV64" s="3373" t="str">
        <f t="shared" si="20"/>
        <v/>
      </c>
      <c r="CA64" s="418" t="str">
        <f t="shared" si="4"/>
        <v/>
      </c>
      <c r="CB64" s="418" t="str">
        <f t="shared" si="5"/>
        <v/>
      </c>
      <c r="CC64" s="418" t="str">
        <f t="shared" si="6"/>
        <v/>
      </c>
      <c r="CD64" s="418" t="str">
        <f t="shared" si="7"/>
        <v/>
      </c>
      <c r="CE64" s="418" t="str">
        <f t="shared" si="8"/>
        <v/>
      </c>
      <c r="CF64" s="3590" t="str">
        <f t="shared" si="21"/>
        <v/>
      </c>
      <c r="CG64" s="418" t="str">
        <f t="shared" si="9"/>
        <v/>
      </c>
      <c r="CH64" s="418" t="str">
        <f t="shared" si="10"/>
        <v/>
      </c>
      <c r="CI64" s="417"/>
      <c r="CJ64" s="419">
        <f t="shared" si="11"/>
        <v>0</v>
      </c>
      <c r="CK64" s="419">
        <f t="shared" si="12"/>
        <v>0</v>
      </c>
      <c r="CL64" s="419">
        <f t="shared" si="13"/>
        <v>0</v>
      </c>
      <c r="CM64" s="419">
        <f t="shared" si="14"/>
        <v>0</v>
      </c>
      <c r="CN64" s="419">
        <f t="shared" si="14"/>
        <v>0</v>
      </c>
      <c r="CO64" s="3375">
        <f t="shared" si="22"/>
        <v>0</v>
      </c>
      <c r="CP64" s="419">
        <f t="shared" si="15"/>
        <v>0</v>
      </c>
      <c r="CQ64" s="419">
        <f t="shared" si="15"/>
        <v>0</v>
      </c>
    </row>
    <row r="65" spans="1:95">
      <c r="A65" s="6128"/>
      <c r="B65" s="441" t="s">
        <v>2146</v>
      </c>
      <c r="C65" s="1737">
        <f t="shared" si="0"/>
        <v>0</v>
      </c>
      <c r="D65" s="3202">
        <f t="shared" si="23"/>
        <v>0</v>
      </c>
      <c r="E65" s="3575">
        <f t="shared" si="23"/>
        <v>0</v>
      </c>
      <c r="F65" s="3583"/>
      <c r="G65" s="3584"/>
      <c r="H65" s="3583"/>
      <c r="I65" s="3584"/>
      <c r="J65" s="3419"/>
      <c r="K65" s="3441"/>
      <c r="L65" s="3419"/>
      <c r="M65" s="3441"/>
      <c r="N65" s="3419"/>
      <c r="O65" s="3441"/>
      <c r="P65" s="3419"/>
      <c r="Q65" s="3441"/>
      <c r="R65" s="3419"/>
      <c r="S65" s="3441"/>
      <c r="T65" s="3419"/>
      <c r="U65" s="3441"/>
      <c r="V65" s="3419"/>
      <c r="W65" s="3441"/>
      <c r="X65" s="3419"/>
      <c r="Y65" s="3441"/>
      <c r="Z65" s="3419"/>
      <c r="AA65" s="3441"/>
      <c r="AB65" s="425"/>
      <c r="AC65" s="424"/>
      <c r="AD65" s="3377"/>
      <c r="AE65" s="3382"/>
      <c r="AF65" s="3583"/>
      <c r="AG65" s="3596"/>
      <c r="AH65" s="3583"/>
      <c r="AI65" s="3596"/>
      <c r="AJ65" s="3583"/>
      <c r="AK65" s="3596"/>
      <c r="AL65" s="3597"/>
      <c r="AM65" s="3598"/>
      <c r="AN65" s="3392"/>
      <c r="AO65" s="3424"/>
      <c r="AP65" s="3422"/>
      <c r="AQ65" s="3572"/>
      <c r="AR65" s="3592"/>
      <c r="AS65" s="3572"/>
      <c r="AT65" s="3572"/>
      <c r="AU65" s="3592"/>
      <c r="AV65" s="3373" t="str">
        <f t="shared" si="20"/>
        <v/>
      </c>
      <c r="CA65" s="418" t="str">
        <f t="shared" si="4"/>
        <v/>
      </c>
      <c r="CB65" s="418" t="str">
        <f t="shared" si="5"/>
        <v/>
      </c>
      <c r="CC65" s="418" t="str">
        <f t="shared" si="6"/>
        <v/>
      </c>
      <c r="CD65" s="418" t="str">
        <f t="shared" si="7"/>
        <v/>
      </c>
      <c r="CE65" s="418" t="str">
        <f t="shared" si="8"/>
        <v/>
      </c>
      <c r="CF65" s="3590" t="str">
        <f t="shared" si="21"/>
        <v/>
      </c>
      <c r="CG65" s="418" t="str">
        <f t="shared" si="9"/>
        <v/>
      </c>
      <c r="CH65" s="418" t="str">
        <f t="shared" si="10"/>
        <v/>
      </c>
      <c r="CI65" s="417"/>
      <c r="CJ65" s="419">
        <f t="shared" si="11"/>
        <v>0</v>
      </c>
      <c r="CK65" s="419">
        <f t="shared" si="12"/>
        <v>0</v>
      </c>
      <c r="CL65" s="419">
        <f t="shared" si="13"/>
        <v>0</v>
      </c>
      <c r="CM65" s="419">
        <f t="shared" si="14"/>
        <v>0</v>
      </c>
      <c r="CN65" s="419">
        <f t="shared" si="14"/>
        <v>0</v>
      </c>
      <c r="CO65" s="3375">
        <f t="shared" si="22"/>
        <v>0</v>
      </c>
      <c r="CP65" s="419">
        <f t="shared" si="15"/>
        <v>0</v>
      </c>
      <c r="CQ65" s="419">
        <f t="shared" si="15"/>
        <v>0</v>
      </c>
    </row>
    <row r="66" spans="1:95">
      <c r="A66" s="6129"/>
      <c r="B66" s="1505" t="s">
        <v>2145</v>
      </c>
      <c r="C66" s="1773">
        <f t="shared" si="0"/>
        <v>0</v>
      </c>
      <c r="D66" s="3471">
        <f t="shared" si="23"/>
        <v>0</v>
      </c>
      <c r="E66" s="3577">
        <f t="shared" si="23"/>
        <v>0</v>
      </c>
      <c r="F66" s="2384"/>
      <c r="G66" s="3593"/>
      <c r="H66" s="2384"/>
      <c r="I66" s="3593"/>
      <c r="J66" s="432"/>
      <c r="K66" s="433"/>
      <c r="L66" s="432"/>
      <c r="M66" s="433"/>
      <c r="N66" s="432"/>
      <c r="O66" s="433"/>
      <c r="P66" s="432"/>
      <c r="Q66" s="433"/>
      <c r="R66" s="432"/>
      <c r="S66" s="433"/>
      <c r="T66" s="432"/>
      <c r="U66" s="433"/>
      <c r="V66" s="432"/>
      <c r="W66" s="433"/>
      <c r="X66" s="432"/>
      <c r="Y66" s="433"/>
      <c r="Z66" s="432"/>
      <c r="AA66" s="433"/>
      <c r="AB66" s="425"/>
      <c r="AC66" s="424"/>
      <c r="AD66" s="3377"/>
      <c r="AE66" s="3382"/>
      <c r="AF66" s="2384"/>
      <c r="AG66" s="2385"/>
      <c r="AH66" s="2384"/>
      <c r="AI66" s="2385"/>
      <c r="AJ66" s="2384"/>
      <c r="AK66" s="2385"/>
      <c r="AL66" s="3599"/>
      <c r="AM66" s="3435"/>
      <c r="AN66" s="3393"/>
      <c r="AO66" s="3385"/>
      <c r="AP66" s="2235"/>
      <c r="AQ66" s="3578"/>
      <c r="AR66" s="438"/>
      <c r="AS66" s="3578"/>
      <c r="AT66" s="3578"/>
      <c r="AU66" s="438"/>
      <c r="AV66" s="3373" t="str">
        <f t="shared" si="20"/>
        <v/>
      </c>
      <c r="CA66" s="418" t="str">
        <f t="shared" si="4"/>
        <v/>
      </c>
      <c r="CB66" s="418" t="str">
        <f t="shared" si="5"/>
        <v/>
      </c>
      <c r="CC66" s="418" t="str">
        <f t="shared" si="6"/>
        <v/>
      </c>
      <c r="CD66" s="418" t="str">
        <f t="shared" si="7"/>
        <v/>
      </c>
      <c r="CE66" s="418" t="str">
        <f t="shared" si="8"/>
        <v/>
      </c>
      <c r="CF66" s="3590" t="str">
        <f t="shared" si="21"/>
        <v/>
      </c>
      <c r="CG66" s="418" t="str">
        <f t="shared" si="9"/>
        <v/>
      </c>
      <c r="CH66" s="418" t="str">
        <f t="shared" si="10"/>
        <v/>
      </c>
      <c r="CI66" s="417"/>
      <c r="CJ66" s="419">
        <f t="shared" si="11"/>
        <v>0</v>
      </c>
      <c r="CK66" s="419">
        <f t="shared" si="12"/>
        <v>0</v>
      </c>
      <c r="CL66" s="419">
        <f t="shared" si="13"/>
        <v>0</v>
      </c>
      <c r="CM66" s="419">
        <f t="shared" si="14"/>
        <v>0</v>
      </c>
      <c r="CN66" s="419">
        <f t="shared" si="14"/>
        <v>0</v>
      </c>
      <c r="CO66" s="3375">
        <f t="shared" si="22"/>
        <v>0</v>
      </c>
      <c r="CP66" s="419">
        <f t="shared" si="15"/>
        <v>0</v>
      </c>
      <c r="CQ66" s="419">
        <f t="shared" si="15"/>
        <v>0</v>
      </c>
    </row>
    <row r="67" spans="1:95">
      <c r="A67" s="6127" t="s">
        <v>2153</v>
      </c>
      <c r="B67" s="1502" t="s">
        <v>78</v>
      </c>
      <c r="C67" s="2393">
        <f t="shared" si="0"/>
        <v>0</v>
      </c>
      <c r="D67" s="3453">
        <f t="shared" ref="D67:E73" si="24">SUM(J67+L67+N67+P67+R67+T67+V67+X67+Z67+AB67+AD67+AF67+AH67+AJ67+AL67)</f>
        <v>0</v>
      </c>
      <c r="E67" s="3562">
        <f>SUM(K67+M67+O67+Q67+S67+U67+W67+Y67+AA67+AC67+AE67+AG67+AI67+AK67+AM67)</f>
        <v>0</v>
      </c>
      <c r="F67" s="3426"/>
      <c r="G67" s="3580"/>
      <c r="H67" s="3426"/>
      <c r="I67" s="3580"/>
      <c r="J67" s="3394"/>
      <c r="K67" s="3397"/>
      <c r="L67" s="3394"/>
      <c r="M67" s="3397"/>
      <c r="N67" s="3394"/>
      <c r="O67" s="3397"/>
      <c r="P67" s="3394"/>
      <c r="Q67" s="3397"/>
      <c r="R67" s="3394"/>
      <c r="S67" s="3397"/>
      <c r="T67" s="3394"/>
      <c r="U67" s="3397"/>
      <c r="V67" s="3394"/>
      <c r="W67" s="3397"/>
      <c r="X67" s="3394"/>
      <c r="Y67" s="3397"/>
      <c r="Z67" s="3394"/>
      <c r="AA67" s="3397"/>
      <c r="AB67" s="3394"/>
      <c r="AC67" s="3397"/>
      <c r="AD67" s="3394"/>
      <c r="AE67" s="3397"/>
      <c r="AF67" s="3394"/>
      <c r="AG67" s="3397"/>
      <c r="AH67" s="3394"/>
      <c r="AI67" s="3397"/>
      <c r="AJ67" s="3394"/>
      <c r="AK67" s="3397"/>
      <c r="AL67" s="3564"/>
      <c r="AM67" s="3565"/>
      <c r="AN67" s="3581"/>
      <c r="AO67" s="2307"/>
      <c r="AP67" s="2229"/>
      <c r="AQ67" s="2246"/>
      <c r="AR67" s="452"/>
      <c r="AS67" s="2246"/>
      <c r="AT67" s="2246"/>
      <c r="AU67" s="452"/>
      <c r="AV67" s="3373" t="str">
        <f t="shared" si="20"/>
        <v/>
      </c>
      <c r="CA67" s="418" t="str">
        <f t="shared" si="4"/>
        <v/>
      </c>
      <c r="CB67" s="418" t="str">
        <f t="shared" si="5"/>
        <v/>
      </c>
      <c r="CC67" s="418" t="str">
        <f t="shared" si="6"/>
        <v/>
      </c>
      <c r="CD67" s="418" t="str">
        <f t="shared" si="7"/>
        <v/>
      </c>
      <c r="CE67" s="418" t="str">
        <f t="shared" si="8"/>
        <v/>
      </c>
      <c r="CF67" s="3590" t="str">
        <f t="shared" si="21"/>
        <v/>
      </c>
      <c r="CG67" s="418" t="str">
        <f t="shared" si="9"/>
        <v/>
      </c>
      <c r="CH67" s="418" t="str">
        <f t="shared" si="10"/>
        <v/>
      </c>
      <c r="CI67" s="417"/>
      <c r="CJ67" s="419">
        <f t="shared" si="11"/>
        <v>0</v>
      </c>
      <c r="CK67" s="419">
        <f t="shared" si="12"/>
        <v>0</v>
      </c>
      <c r="CL67" s="419">
        <f t="shared" si="13"/>
        <v>0</v>
      </c>
      <c r="CM67" s="419">
        <f t="shared" si="14"/>
        <v>0</v>
      </c>
      <c r="CN67" s="419">
        <f t="shared" si="14"/>
        <v>0</v>
      </c>
      <c r="CO67" s="3375">
        <f t="shared" si="22"/>
        <v>0</v>
      </c>
      <c r="CP67" s="419">
        <f t="shared" si="15"/>
        <v>0</v>
      </c>
      <c r="CQ67" s="419">
        <f t="shared" si="15"/>
        <v>0</v>
      </c>
    </row>
    <row r="68" spans="1:95">
      <c r="A68" s="6128"/>
      <c r="B68" s="1947" t="s">
        <v>1469</v>
      </c>
      <c r="C68" s="1737">
        <f t="shared" si="0"/>
        <v>0</v>
      </c>
      <c r="D68" s="3202">
        <f t="shared" si="24"/>
        <v>0</v>
      </c>
      <c r="E68" s="3569">
        <f t="shared" si="24"/>
        <v>0</v>
      </c>
      <c r="F68" s="3583"/>
      <c r="G68" s="3584"/>
      <c r="H68" s="3583"/>
      <c r="I68" s="3584"/>
      <c r="J68" s="425"/>
      <c r="K68" s="424"/>
      <c r="L68" s="425"/>
      <c r="M68" s="424"/>
      <c r="N68" s="425"/>
      <c r="O68" s="424"/>
      <c r="P68" s="425"/>
      <c r="Q68" s="424"/>
      <c r="R68" s="425"/>
      <c r="S68" s="424"/>
      <c r="T68" s="425"/>
      <c r="U68" s="424"/>
      <c r="V68" s="425"/>
      <c r="W68" s="424"/>
      <c r="X68" s="425"/>
      <c r="Y68" s="424"/>
      <c r="Z68" s="425"/>
      <c r="AA68" s="424"/>
      <c r="AB68" s="425"/>
      <c r="AC68" s="424"/>
      <c r="AD68" s="425"/>
      <c r="AE68" s="424"/>
      <c r="AF68" s="425"/>
      <c r="AG68" s="424"/>
      <c r="AH68" s="425"/>
      <c r="AI68" s="424"/>
      <c r="AJ68" s="425"/>
      <c r="AK68" s="424"/>
      <c r="AL68" s="3568"/>
      <c r="AM68" s="426"/>
      <c r="AN68" s="3392"/>
      <c r="AO68" s="3600"/>
      <c r="AP68" s="3396"/>
      <c r="AQ68" s="3576"/>
      <c r="AR68" s="3601"/>
      <c r="AS68" s="3576"/>
      <c r="AT68" s="3576"/>
      <c r="AU68" s="3601"/>
      <c r="AV68" s="3373" t="str">
        <f t="shared" si="20"/>
        <v/>
      </c>
      <c r="CA68" s="418" t="str">
        <f t="shared" si="4"/>
        <v/>
      </c>
      <c r="CB68" s="418" t="str">
        <f t="shared" si="5"/>
        <v/>
      </c>
      <c r="CC68" s="418" t="str">
        <f t="shared" si="6"/>
        <v/>
      </c>
      <c r="CD68" s="418" t="str">
        <f t="shared" si="7"/>
        <v/>
      </c>
      <c r="CE68" s="418" t="str">
        <f t="shared" si="8"/>
        <v/>
      </c>
      <c r="CF68" s="3590" t="str">
        <f t="shared" si="21"/>
        <v/>
      </c>
      <c r="CG68" s="418" t="str">
        <f t="shared" si="9"/>
        <v/>
      </c>
      <c r="CH68" s="418" t="str">
        <f t="shared" si="10"/>
        <v/>
      </c>
      <c r="CI68" s="417"/>
      <c r="CJ68" s="419">
        <f t="shared" si="11"/>
        <v>0</v>
      </c>
      <c r="CK68" s="419">
        <f t="shared" si="12"/>
        <v>0</v>
      </c>
      <c r="CL68" s="419">
        <f t="shared" si="13"/>
        <v>0</v>
      </c>
      <c r="CM68" s="419">
        <f t="shared" si="14"/>
        <v>0</v>
      </c>
      <c r="CN68" s="419">
        <f t="shared" si="14"/>
        <v>0</v>
      </c>
      <c r="CO68" s="3375">
        <f t="shared" si="22"/>
        <v>0</v>
      </c>
      <c r="CP68" s="419">
        <f t="shared" si="15"/>
        <v>0</v>
      </c>
      <c r="CQ68" s="419">
        <f t="shared" si="15"/>
        <v>0</v>
      </c>
    </row>
    <row r="69" spans="1:95">
      <c r="A69" s="6128"/>
      <c r="B69" s="1947" t="s">
        <v>79</v>
      </c>
      <c r="C69" s="1737">
        <f t="shared" si="0"/>
        <v>0</v>
      </c>
      <c r="D69" s="3202">
        <f t="shared" si="24"/>
        <v>0</v>
      </c>
      <c r="E69" s="3569">
        <f t="shared" si="24"/>
        <v>0</v>
      </c>
      <c r="F69" s="3583"/>
      <c r="G69" s="3584"/>
      <c r="H69" s="3583"/>
      <c r="I69" s="3584"/>
      <c r="J69" s="425"/>
      <c r="K69" s="424"/>
      <c r="L69" s="425"/>
      <c r="M69" s="424"/>
      <c r="N69" s="425"/>
      <c r="O69" s="424"/>
      <c r="P69" s="425"/>
      <c r="Q69" s="424"/>
      <c r="R69" s="425"/>
      <c r="S69" s="424"/>
      <c r="T69" s="425"/>
      <c r="U69" s="424"/>
      <c r="V69" s="425"/>
      <c r="W69" s="424"/>
      <c r="X69" s="425"/>
      <c r="Y69" s="424"/>
      <c r="Z69" s="425"/>
      <c r="AA69" s="424"/>
      <c r="AB69" s="425"/>
      <c r="AC69" s="424"/>
      <c r="AD69" s="425"/>
      <c r="AE69" s="424"/>
      <c r="AF69" s="425"/>
      <c r="AG69" s="424"/>
      <c r="AH69" s="425"/>
      <c r="AI69" s="424"/>
      <c r="AJ69" s="425"/>
      <c r="AK69" s="424"/>
      <c r="AL69" s="3568"/>
      <c r="AM69" s="426"/>
      <c r="AN69" s="3392"/>
      <c r="AO69" s="423"/>
      <c r="AP69" s="2231"/>
      <c r="AQ69" s="3568"/>
      <c r="AR69" s="443"/>
      <c r="AS69" s="3568"/>
      <c r="AT69" s="3568"/>
      <c r="AU69" s="443"/>
      <c r="AV69" s="3373" t="str">
        <f t="shared" si="20"/>
        <v/>
      </c>
      <c r="CA69" s="418" t="str">
        <f t="shared" si="4"/>
        <v/>
      </c>
      <c r="CB69" s="418" t="str">
        <f t="shared" si="5"/>
        <v/>
      </c>
      <c r="CC69" s="418" t="str">
        <f t="shared" si="6"/>
        <v/>
      </c>
      <c r="CD69" s="418" t="str">
        <f t="shared" si="7"/>
        <v/>
      </c>
      <c r="CE69" s="418" t="str">
        <f t="shared" si="8"/>
        <v/>
      </c>
      <c r="CF69" s="3590" t="str">
        <f t="shared" si="21"/>
        <v/>
      </c>
      <c r="CG69" s="418" t="str">
        <f t="shared" si="9"/>
        <v/>
      </c>
      <c r="CH69" s="418" t="str">
        <f t="shared" si="10"/>
        <v/>
      </c>
      <c r="CI69" s="417"/>
      <c r="CJ69" s="419">
        <f t="shared" si="11"/>
        <v>0</v>
      </c>
      <c r="CK69" s="419">
        <f t="shared" si="12"/>
        <v>0</v>
      </c>
      <c r="CL69" s="419">
        <f t="shared" si="13"/>
        <v>0</v>
      </c>
      <c r="CM69" s="419">
        <f t="shared" si="14"/>
        <v>0</v>
      </c>
      <c r="CN69" s="419">
        <f t="shared" si="14"/>
        <v>0</v>
      </c>
      <c r="CO69" s="3375">
        <f t="shared" si="22"/>
        <v>0</v>
      </c>
      <c r="CP69" s="419">
        <f t="shared" si="15"/>
        <v>0</v>
      </c>
      <c r="CQ69" s="419">
        <f t="shared" si="15"/>
        <v>0</v>
      </c>
    </row>
    <row r="70" spans="1:95">
      <c r="A70" s="6128"/>
      <c r="B70" s="1947" t="s">
        <v>2148</v>
      </c>
      <c r="C70" s="1737">
        <f t="shared" si="0"/>
        <v>0</v>
      </c>
      <c r="D70" s="3202">
        <f t="shared" si="24"/>
        <v>0</v>
      </c>
      <c r="E70" s="3569">
        <f t="shared" si="24"/>
        <v>0</v>
      </c>
      <c r="F70" s="3583"/>
      <c r="G70" s="3584"/>
      <c r="H70" s="3583"/>
      <c r="I70" s="3584"/>
      <c r="J70" s="425"/>
      <c r="K70" s="424"/>
      <c r="L70" s="425"/>
      <c r="M70" s="424"/>
      <c r="N70" s="425"/>
      <c r="O70" s="424"/>
      <c r="P70" s="425"/>
      <c r="Q70" s="424"/>
      <c r="R70" s="425"/>
      <c r="S70" s="424"/>
      <c r="T70" s="425"/>
      <c r="U70" s="424"/>
      <c r="V70" s="425"/>
      <c r="W70" s="424"/>
      <c r="X70" s="425"/>
      <c r="Y70" s="424"/>
      <c r="Z70" s="425"/>
      <c r="AA70" s="424"/>
      <c r="AB70" s="425"/>
      <c r="AC70" s="424"/>
      <c r="AD70" s="425"/>
      <c r="AE70" s="424"/>
      <c r="AF70" s="425"/>
      <c r="AG70" s="424"/>
      <c r="AH70" s="425"/>
      <c r="AI70" s="424"/>
      <c r="AJ70" s="425"/>
      <c r="AK70" s="424"/>
      <c r="AL70" s="3568"/>
      <c r="AM70" s="426"/>
      <c r="AN70" s="3392"/>
      <c r="AO70" s="423"/>
      <c r="AP70" s="2231"/>
      <c r="AQ70" s="3568"/>
      <c r="AR70" s="443"/>
      <c r="AS70" s="3568"/>
      <c r="AT70" s="3568"/>
      <c r="AU70" s="443"/>
      <c r="AV70" s="3373" t="str">
        <f t="shared" si="20"/>
        <v/>
      </c>
      <c r="CA70" s="418" t="str">
        <f t="shared" si="4"/>
        <v/>
      </c>
      <c r="CB70" s="418" t="str">
        <f t="shared" si="5"/>
        <v/>
      </c>
      <c r="CC70" s="418" t="str">
        <f t="shared" si="6"/>
        <v/>
      </c>
      <c r="CD70" s="418" t="str">
        <f t="shared" si="7"/>
        <v/>
      </c>
      <c r="CE70" s="418" t="str">
        <f t="shared" si="8"/>
        <v/>
      </c>
      <c r="CF70" s="3590" t="str">
        <f t="shared" si="21"/>
        <v/>
      </c>
      <c r="CG70" s="418" t="str">
        <f t="shared" si="9"/>
        <v/>
      </c>
      <c r="CH70" s="418" t="str">
        <f t="shared" si="10"/>
        <v/>
      </c>
      <c r="CI70" s="417"/>
      <c r="CJ70" s="419">
        <f t="shared" si="11"/>
        <v>0</v>
      </c>
      <c r="CK70" s="419">
        <f t="shared" si="12"/>
        <v>0</v>
      </c>
      <c r="CL70" s="419">
        <f t="shared" si="13"/>
        <v>0</v>
      </c>
      <c r="CM70" s="419">
        <f t="shared" si="14"/>
        <v>0</v>
      </c>
      <c r="CN70" s="419">
        <f t="shared" si="14"/>
        <v>0</v>
      </c>
      <c r="CO70" s="3375">
        <f t="shared" si="22"/>
        <v>0</v>
      </c>
      <c r="CP70" s="419">
        <f t="shared" si="15"/>
        <v>0</v>
      </c>
      <c r="CQ70" s="419">
        <f t="shared" si="15"/>
        <v>0</v>
      </c>
    </row>
    <row r="71" spans="1:95">
      <c r="A71" s="6128"/>
      <c r="B71" s="1947" t="s">
        <v>2154</v>
      </c>
      <c r="C71" s="1737">
        <f t="shared" si="0"/>
        <v>0</v>
      </c>
      <c r="D71" s="3202">
        <f t="shared" si="24"/>
        <v>0</v>
      </c>
      <c r="E71" s="3569">
        <f t="shared" si="24"/>
        <v>0</v>
      </c>
      <c r="F71" s="3583"/>
      <c r="G71" s="3584"/>
      <c r="H71" s="3583"/>
      <c r="I71" s="3584"/>
      <c r="J71" s="425"/>
      <c r="K71" s="424"/>
      <c r="L71" s="425"/>
      <c r="M71" s="424"/>
      <c r="N71" s="425"/>
      <c r="O71" s="424"/>
      <c r="P71" s="425"/>
      <c r="Q71" s="424"/>
      <c r="R71" s="425"/>
      <c r="S71" s="424"/>
      <c r="T71" s="425"/>
      <c r="U71" s="424"/>
      <c r="V71" s="425"/>
      <c r="W71" s="424"/>
      <c r="X71" s="425"/>
      <c r="Y71" s="424"/>
      <c r="Z71" s="425"/>
      <c r="AA71" s="424"/>
      <c r="AB71" s="425"/>
      <c r="AC71" s="424"/>
      <c r="AD71" s="425"/>
      <c r="AE71" s="424"/>
      <c r="AF71" s="425"/>
      <c r="AG71" s="424"/>
      <c r="AH71" s="425"/>
      <c r="AI71" s="424"/>
      <c r="AJ71" s="425"/>
      <c r="AK71" s="424"/>
      <c r="AL71" s="3568"/>
      <c r="AM71" s="426"/>
      <c r="AN71" s="3392"/>
      <c r="AO71" s="423"/>
      <c r="AP71" s="2231"/>
      <c r="AQ71" s="3568"/>
      <c r="AR71" s="443"/>
      <c r="AS71" s="3568"/>
      <c r="AT71" s="3568"/>
      <c r="AU71" s="443"/>
      <c r="AV71" s="3373" t="str">
        <f t="shared" si="20"/>
        <v/>
      </c>
      <c r="CA71" s="418" t="str">
        <f t="shared" si="4"/>
        <v/>
      </c>
      <c r="CB71" s="418" t="str">
        <f t="shared" si="5"/>
        <v/>
      </c>
      <c r="CC71" s="418" t="str">
        <f t="shared" si="6"/>
        <v/>
      </c>
      <c r="CD71" s="418" t="str">
        <f t="shared" si="7"/>
        <v/>
      </c>
      <c r="CE71" s="418" t="str">
        <f t="shared" si="8"/>
        <v/>
      </c>
      <c r="CF71" s="3590" t="str">
        <f t="shared" si="21"/>
        <v/>
      </c>
      <c r="CG71" s="418" t="str">
        <f t="shared" si="9"/>
        <v/>
      </c>
      <c r="CH71" s="418" t="str">
        <f t="shared" si="10"/>
        <v/>
      </c>
      <c r="CI71" s="417"/>
      <c r="CJ71" s="419">
        <f t="shared" si="11"/>
        <v>0</v>
      </c>
      <c r="CK71" s="419">
        <f t="shared" si="12"/>
        <v>0</v>
      </c>
      <c r="CL71" s="419">
        <f t="shared" si="13"/>
        <v>0</v>
      </c>
      <c r="CM71" s="419">
        <f t="shared" si="14"/>
        <v>0</v>
      </c>
      <c r="CN71" s="419">
        <f t="shared" si="14"/>
        <v>0</v>
      </c>
      <c r="CO71" s="3375">
        <f t="shared" si="22"/>
        <v>0</v>
      </c>
      <c r="CP71" s="419">
        <f t="shared" si="15"/>
        <v>0</v>
      </c>
      <c r="CQ71" s="419">
        <f t="shared" si="15"/>
        <v>0</v>
      </c>
    </row>
    <row r="72" spans="1:95">
      <c r="A72" s="6128"/>
      <c r="B72" s="1512" t="s">
        <v>2146</v>
      </c>
      <c r="C72" s="3591">
        <f t="shared" si="0"/>
        <v>0</v>
      </c>
      <c r="D72" s="3202">
        <f t="shared" si="24"/>
        <v>0</v>
      </c>
      <c r="E72" s="3575">
        <f t="shared" si="24"/>
        <v>0</v>
      </c>
      <c r="F72" s="3583"/>
      <c r="G72" s="3584"/>
      <c r="H72" s="3583"/>
      <c r="I72" s="3584"/>
      <c r="J72" s="3419"/>
      <c r="K72" s="3441"/>
      <c r="L72" s="3419"/>
      <c r="M72" s="3441"/>
      <c r="N72" s="3419"/>
      <c r="O72" s="3441"/>
      <c r="P72" s="3419"/>
      <c r="Q72" s="3441"/>
      <c r="R72" s="3419"/>
      <c r="S72" s="3441"/>
      <c r="T72" s="3419"/>
      <c r="U72" s="3441"/>
      <c r="V72" s="3419"/>
      <c r="W72" s="3441"/>
      <c r="X72" s="3419"/>
      <c r="Y72" s="3441"/>
      <c r="Z72" s="3419"/>
      <c r="AA72" s="3441"/>
      <c r="AB72" s="3419"/>
      <c r="AC72" s="3441"/>
      <c r="AD72" s="3419"/>
      <c r="AE72" s="3441"/>
      <c r="AF72" s="3419"/>
      <c r="AG72" s="3441"/>
      <c r="AH72" s="3419"/>
      <c r="AI72" s="3441"/>
      <c r="AJ72" s="3419"/>
      <c r="AK72" s="3441"/>
      <c r="AL72" s="3572"/>
      <c r="AM72" s="3573"/>
      <c r="AN72" s="3392"/>
      <c r="AO72" s="3424"/>
      <c r="AP72" s="3422"/>
      <c r="AQ72" s="3572"/>
      <c r="AR72" s="3592"/>
      <c r="AS72" s="3572"/>
      <c r="AT72" s="3572"/>
      <c r="AU72" s="3592"/>
      <c r="AV72" s="3373" t="str">
        <f t="shared" si="20"/>
        <v/>
      </c>
      <c r="CA72" s="418" t="str">
        <f t="shared" si="4"/>
        <v/>
      </c>
      <c r="CB72" s="418" t="str">
        <f t="shared" si="5"/>
        <v/>
      </c>
      <c r="CC72" s="418" t="str">
        <f t="shared" si="6"/>
        <v/>
      </c>
      <c r="CD72" s="418" t="str">
        <f t="shared" si="7"/>
        <v/>
      </c>
      <c r="CE72" s="418" t="str">
        <f t="shared" si="8"/>
        <v/>
      </c>
      <c r="CF72" s="3590" t="str">
        <f t="shared" si="21"/>
        <v/>
      </c>
      <c r="CG72" s="418" t="str">
        <f t="shared" si="9"/>
        <v/>
      </c>
      <c r="CH72" s="418" t="str">
        <f t="shared" si="10"/>
        <v/>
      </c>
      <c r="CI72" s="417"/>
      <c r="CJ72" s="419">
        <f t="shared" si="11"/>
        <v>0</v>
      </c>
      <c r="CK72" s="419">
        <f t="shared" si="12"/>
        <v>0</v>
      </c>
      <c r="CL72" s="419">
        <f t="shared" si="13"/>
        <v>0</v>
      </c>
      <c r="CM72" s="419">
        <f t="shared" si="14"/>
        <v>0</v>
      </c>
      <c r="CN72" s="419">
        <f t="shared" si="14"/>
        <v>0</v>
      </c>
      <c r="CO72" s="3375">
        <f t="shared" si="22"/>
        <v>0</v>
      </c>
      <c r="CP72" s="419">
        <f t="shared" si="15"/>
        <v>0</v>
      </c>
      <c r="CQ72" s="419">
        <f t="shared" si="15"/>
        <v>0</v>
      </c>
    </row>
    <row r="73" spans="1:95">
      <c r="A73" s="6129"/>
      <c r="B73" s="1505" t="s">
        <v>2145</v>
      </c>
      <c r="C73" s="1773">
        <f t="shared" si="0"/>
        <v>0</v>
      </c>
      <c r="D73" s="3471">
        <f t="shared" si="24"/>
        <v>0</v>
      </c>
      <c r="E73" s="3577">
        <f t="shared" si="24"/>
        <v>0</v>
      </c>
      <c r="F73" s="2384"/>
      <c r="G73" s="3593"/>
      <c r="H73" s="2384"/>
      <c r="I73" s="3593"/>
      <c r="J73" s="432"/>
      <c r="K73" s="433"/>
      <c r="L73" s="432"/>
      <c r="M73" s="433"/>
      <c r="N73" s="432"/>
      <c r="O73" s="433"/>
      <c r="P73" s="432"/>
      <c r="Q73" s="433"/>
      <c r="R73" s="432"/>
      <c r="S73" s="433"/>
      <c r="T73" s="432"/>
      <c r="U73" s="433"/>
      <c r="V73" s="432"/>
      <c r="W73" s="433"/>
      <c r="X73" s="432"/>
      <c r="Y73" s="433"/>
      <c r="Z73" s="432"/>
      <c r="AA73" s="433"/>
      <c r="AB73" s="432"/>
      <c r="AC73" s="433"/>
      <c r="AD73" s="432"/>
      <c r="AE73" s="433"/>
      <c r="AF73" s="432"/>
      <c r="AG73" s="433"/>
      <c r="AH73" s="432"/>
      <c r="AI73" s="433"/>
      <c r="AJ73" s="432"/>
      <c r="AK73" s="433"/>
      <c r="AL73" s="3578"/>
      <c r="AM73" s="445"/>
      <c r="AN73" s="3393"/>
      <c r="AO73" s="3385"/>
      <c r="AP73" s="2235"/>
      <c r="AQ73" s="3578"/>
      <c r="AR73" s="438"/>
      <c r="AS73" s="3578"/>
      <c r="AT73" s="3578"/>
      <c r="AU73" s="438"/>
      <c r="AV73" s="3373" t="str">
        <f t="shared" si="20"/>
        <v/>
      </c>
      <c r="CA73" s="418" t="str">
        <f t="shared" si="4"/>
        <v/>
      </c>
      <c r="CB73" s="418" t="str">
        <f t="shared" si="5"/>
        <v/>
      </c>
      <c r="CC73" s="418" t="str">
        <f t="shared" si="6"/>
        <v/>
      </c>
      <c r="CD73" s="418" t="str">
        <f t="shared" si="7"/>
        <v/>
      </c>
      <c r="CE73" s="418" t="str">
        <f t="shared" si="8"/>
        <v/>
      </c>
      <c r="CF73" s="3590" t="str">
        <f t="shared" si="21"/>
        <v/>
      </c>
      <c r="CG73" s="418" t="str">
        <f t="shared" si="9"/>
        <v/>
      </c>
      <c r="CH73" s="418" t="str">
        <f t="shared" si="10"/>
        <v/>
      </c>
      <c r="CI73" s="417"/>
      <c r="CJ73" s="419">
        <f t="shared" si="11"/>
        <v>0</v>
      </c>
      <c r="CK73" s="419">
        <f t="shared" si="12"/>
        <v>0</v>
      </c>
      <c r="CL73" s="419">
        <f t="shared" si="13"/>
        <v>0</v>
      </c>
      <c r="CM73" s="419">
        <f t="shared" si="14"/>
        <v>0</v>
      </c>
      <c r="CN73" s="419">
        <f t="shared" si="14"/>
        <v>0</v>
      </c>
      <c r="CO73" s="3375">
        <f t="shared" si="22"/>
        <v>0</v>
      </c>
      <c r="CP73" s="419">
        <f t="shared" si="15"/>
        <v>0</v>
      </c>
      <c r="CQ73" s="419">
        <f t="shared" si="15"/>
        <v>0</v>
      </c>
    </row>
    <row r="74" spans="1:95">
      <c r="A74" s="6127" t="s">
        <v>2155</v>
      </c>
      <c r="B74" s="1502" t="s">
        <v>2156</v>
      </c>
      <c r="C74" s="2393">
        <f t="shared" si="0"/>
        <v>0</v>
      </c>
      <c r="D74" s="3602"/>
      <c r="E74" s="3562">
        <f t="shared" ref="E74:E78" si="25">SUM(K74+M74+O74+Q74+S74+U74+W74+Y74+AA74+AC74)</f>
        <v>0</v>
      </c>
      <c r="F74" s="3426"/>
      <c r="G74" s="3580"/>
      <c r="H74" s="3426"/>
      <c r="I74" s="3580"/>
      <c r="J74" s="3426"/>
      <c r="K74" s="3397"/>
      <c r="L74" s="3426"/>
      <c r="M74" s="3397"/>
      <c r="N74" s="3426"/>
      <c r="O74" s="3397"/>
      <c r="P74" s="3426"/>
      <c r="Q74" s="3397"/>
      <c r="R74" s="3426"/>
      <c r="S74" s="3397"/>
      <c r="T74" s="3426"/>
      <c r="U74" s="3397"/>
      <c r="V74" s="3426"/>
      <c r="W74" s="3397"/>
      <c r="X74" s="3426"/>
      <c r="Y74" s="3397"/>
      <c r="Z74" s="3426"/>
      <c r="AA74" s="3397"/>
      <c r="AB74" s="3426"/>
      <c r="AC74" s="3441"/>
      <c r="AD74" s="3603"/>
      <c r="AE74" s="3604"/>
      <c r="AF74" s="2375"/>
      <c r="AG74" s="2376"/>
      <c r="AH74" s="2375"/>
      <c r="AI74" s="2376"/>
      <c r="AJ74" s="2375"/>
      <c r="AK74" s="2376"/>
      <c r="AL74" s="3594"/>
      <c r="AM74" s="3408"/>
      <c r="AN74" s="3581"/>
      <c r="AO74" s="2307"/>
      <c r="AP74" s="2229"/>
      <c r="AQ74" s="2246"/>
      <c r="AR74" s="452"/>
      <c r="AS74" s="2246"/>
      <c r="AT74" s="2246"/>
      <c r="AU74" s="452"/>
      <c r="AV74" s="3373" t="str">
        <f t="shared" si="20"/>
        <v/>
      </c>
      <c r="CA74" s="418" t="str">
        <f t="shared" si="4"/>
        <v/>
      </c>
      <c r="CB74" s="418" t="str">
        <f t="shared" si="5"/>
        <v/>
      </c>
      <c r="CC74" s="3605"/>
      <c r="CD74" s="418" t="str">
        <f t="shared" si="7"/>
        <v/>
      </c>
      <c r="CE74" s="418" t="str">
        <f t="shared" si="8"/>
        <v/>
      </c>
      <c r="CF74" s="3590" t="str">
        <f t="shared" si="21"/>
        <v/>
      </c>
      <c r="CG74" s="418" t="str">
        <f t="shared" si="9"/>
        <v/>
      </c>
      <c r="CH74" s="418" t="str">
        <f t="shared" si="10"/>
        <v/>
      </c>
      <c r="CI74" s="417"/>
      <c r="CJ74" s="419">
        <f t="shared" si="11"/>
        <v>0</v>
      </c>
      <c r="CK74" s="419">
        <f t="shared" si="12"/>
        <v>0</v>
      </c>
      <c r="CL74" s="1972"/>
      <c r="CM74" s="419">
        <f t="shared" si="14"/>
        <v>0</v>
      </c>
      <c r="CN74" s="419">
        <f t="shared" si="14"/>
        <v>0</v>
      </c>
      <c r="CO74" s="3375">
        <f t="shared" si="22"/>
        <v>0</v>
      </c>
      <c r="CP74" s="419">
        <f t="shared" si="15"/>
        <v>0</v>
      </c>
      <c r="CQ74" s="419">
        <f t="shared" si="15"/>
        <v>0</v>
      </c>
    </row>
    <row r="75" spans="1:95">
      <c r="A75" s="6128"/>
      <c r="B75" s="1947" t="s">
        <v>2157</v>
      </c>
      <c r="C75" s="1740">
        <f t="shared" si="0"/>
        <v>0</v>
      </c>
      <c r="D75" s="3606"/>
      <c r="E75" s="3575">
        <f t="shared" si="25"/>
        <v>0</v>
      </c>
      <c r="F75" s="3583"/>
      <c r="G75" s="3584"/>
      <c r="H75" s="3583"/>
      <c r="I75" s="3584"/>
      <c r="J75" s="3583"/>
      <c r="K75" s="424"/>
      <c r="L75" s="3583"/>
      <c r="M75" s="424"/>
      <c r="N75" s="3583"/>
      <c r="O75" s="424"/>
      <c r="P75" s="3583"/>
      <c r="Q75" s="424"/>
      <c r="R75" s="3583"/>
      <c r="S75" s="424"/>
      <c r="T75" s="3583"/>
      <c r="U75" s="424"/>
      <c r="V75" s="3583"/>
      <c r="W75" s="424"/>
      <c r="X75" s="3583"/>
      <c r="Y75" s="424"/>
      <c r="Z75" s="3583"/>
      <c r="AA75" s="424"/>
      <c r="AB75" s="3583"/>
      <c r="AC75" s="3441"/>
      <c r="AD75" s="3603"/>
      <c r="AE75" s="3604"/>
      <c r="AF75" s="2381"/>
      <c r="AG75" s="2382"/>
      <c r="AH75" s="2381"/>
      <c r="AI75" s="2382"/>
      <c r="AJ75" s="2381"/>
      <c r="AK75" s="2382"/>
      <c r="AL75" s="3595"/>
      <c r="AM75" s="2882"/>
      <c r="AN75" s="3392"/>
      <c r="AO75" s="423"/>
      <c r="AP75" s="2231"/>
      <c r="AQ75" s="3568"/>
      <c r="AR75" s="443"/>
      <c r="AS75" s="3568"/>
      <c r="AT75" s="3568"/>
      <c r="AU75" s="443"/>
      <c r="AV75" s="3373" t="str">
        <f t="shared" si="20"/>
        <v/>
      </c>
      <c r="CA75" s="418" t="str">
        <f t="shared" si="4"/>
        <v/>
      </c>
      <c r="CB75" s="418" t="str">
        <f t="shared" si="5"/>
        <v/>
      </c>
      <c r="CC75" s="3605"/>
      <c r="CD75" s="418" t="str">
        <f t="shared" si="7"/>
        <v/>
      </c>
      <c r="CE75" s="418" t="str">
        <f t="shared" si="8"/>
        <v/>
      </c>
      <c r="CF75" s="3590" t="str">
        <f t="shared" si="21"/>
        <v/>
      </c>
      <c r="CG75" s="418" t="str">
        <f t="shared" si="9"/>
        <v/>
      </c>
      <c r="CH75" s="418" t="str">
        <f t="shared" si="10"/>
        <v/>
      </c>
      <c r="CI75" s="417"/>
      <c r="CJ75" s="419">
        <f t="shared" si="11"/>
        <v>0</v>
      </c>
      <c r="CK75" s="419">
        <f t="shared" si="12"/>
        <v>0</v>
      </c>
      <c r="CL75" s="1972"/>
      <c r="CM75" s="419">
        <f t="shared" si="14"/>
        <v>0</v>
      </c>
      <c r="CN75" s="419">
        <f t="shared" si="14"/>
        <v>0</v>
      </c>
      <c r="CO75" s="3375">
        <f t="shared" si="22"/>
        <v>0</v>
      </c>
      <c r="CP75" s="419">
        <f t="shared" si="15"/>
        <v>0</v>
      </c>
      <c r="CQ75" s="419">
        <f t="shared" si="15"/>
        <v>0</v>
      </c>
    </row>
    <row r="76" spans="1:95">
      <c r="A76" s="6128"/>
      <c r="B76" s="3607" t="s">
        <v>2158</v>
      </c>
      <c r="C76" s="1740">
        <f t="shared" si="0"/>
        <v>0</v>
      </c>
      <c r="D76" s="2880"/>
      <c r="E76" s="3575">
        <f t="shared" si="25"/>
        <v>0</v>
      </c>
      <c r="F76" s="2381"/>
      <c r="G76" s="2861"/>
      <c r="H76" s="2381"/>
      <c r="I76" s="2861"/>
      <c r="J76" s="2381"/>
      <c r="K76" s="424"/>
      <c r="L76" s="2381"/>
      <c r="M76" s="424"/>
      <c r="N76" s="2381"/>
      <c r="O76" s="424"/>
      <c r="P76" s="2381"/>
      <c r="Q76" s="424"/>
      <c r="R76" s="2381"/>
      <c r="S76" s="424"/>
      <c r="T76" s="2381"/>
      <c r="U76" s="424"/>
      <c r="V76" s="2381"/>
      <c r="W76" s="424"/>
      <c r="X76" s="2381"/>
      <c r="Y76" s="424"/>
      <c r="Z76" s="2381"/>
      <c r="AA76" s="424"/>
      <c r="AB76" s="2381"/>
      <c r="AC76" s="3441"/>
      <c r="AD76" s="3603"/>
      <c r="AE76" s="3604"/>
      <c r="AF76" s="2381"/>
      <c r="AG76" s="2382"/>
      <c r="AH76" s="2381"/>
      <c r="AI76" s="2382"/>
      <c r="AJ76" s="2381"/>
      <c r="AK76" s="2382"/>
      <c r="AL76" s="3595"/>
      <c r="AM76" s="2882"/>
      <c r="AN76" s="3392"/>
      <c r="AO76" s="3424"/>
      <c r="AP76" s="3422"/>
      <c r="AQ76" s="3572"/>
      <c r="AR76" s="3592"/>
      <c r="AS76" s="3572"/>
      <c r="AT76" s="3572"/>
      <c r="AU76" s="3592"/>
      <c r="AV76" s="3373" t="str">
        <f t="shared" si="20"/>
        <v/>
      </c>
      <c r="CA76" s="418" t="str">
        <f t="shared" si="4"/>
        <v/>
      </c>
      <c r="CB76" s="418" t="str">
        <f t="shared" si="5"/>
        <v/>
      </c>
      <c r="CC76" s="3605"/>
      <c r="CD76" s="418" t="str">
        <f t="shared" si="7"/>
        <v/>
      </c>
      <c r="CE76" s="418" t="str">
        <f t="shared" si="8"/>
        <v/>
      </c>
      <c r="CF76" s="3590" t="str">
        <f t="shared" si="21"/>
        <v/>
      </c>
      <c r="CG76" s="418" t="str">
        <f t="shared" si="9"/>
        <v/>
      </c>
      <c r="CH76" s="418" t="str">
        <f t="shared" si="10"/>
        <v/>
      </c>
      <c r="CI76" s="417"/>
      <c r="CJ76" s="419">
        <f t="shared" si="11"/>
        <v>0</v>
      </c>
      <c r="CK76" s="419">
        <f t="shared" si="12"/>
        <v>0</v>
      </c>
      <c r="CL76" s="1972"/>
      <c r="CM76" s="419">
        <f t="shared" si="14"/>
        <v>0</v>
      </c>
      <c r="CN76" s="419">
        <f t="shared" si="14"/>
        <v>0</v>
      </c>
      <c r="CO76" s="3375">
        <f t="shared" si="22"/>
        <v>0</v>
      </c>
      <c r="CP76" s="419">
        <f t="shared" si="15"/>
        <v>0</v>
      </c>
      <c r="CQ76" s="419">
        <f t="shared" si="15"/>
        <v>0</v>
      </c>
    </row>
    <row r="77" spans="1:95">
      <c r="A77" s="6128"/>
      <c r="B77" s="1512" t="s">
        <v>2159</v>
      </c>
      <c r="C77" s="1737">
        <f t="shared" ref="C77:C105" si="26">SUM(D77+E77)</f>
        <v>0</v>
      </c>
      <c r="D77" s="3606"/>
      <c r="E77" s="3575">
        <f t="shared" si="25"/>
        <v>0</v>
      </c>
      <c r="F77" s="3583"/>
      <c r="G77" s="3584"/>
      <c r="H77" s="3583"/>
      <c r="I77" s="3584"/>
      <c r="J77" s="3583"/>
      <c r="K77" s="3441"/>
      <c r="L77" s="3583"/>
      <c r="M77" s="3441"/>
      <c r="N77" s="3583"/>
      <c r="O77" s="3441"/>
      <c r="P77" s="3583"/>
      <c r="Q77" s="3441"/>
      <c r="R77" s="3583"/>
      <c r="S77" s="3441"/>
      <c r="T77" s="3583"/>
      <c r="U77" s="3441"/>
      <c r="V77" s="3583"/>
      <c r="W77" s="3441"/>
      <c r="X77" s="3583"/>
      <c r="Y77" s="3441"/>
      <c r="Z77" s="3583"/>
      <c r="AA77" s="3441"/>
      <c r="AB77" s="3583"/>
      <c r="AC77" s="3441"/>
      <c r="AD77" s="3603"/>
      <c r="AE77" s="3604"/>
      <c r="AF77" s="2381"/>
      <c r="AG77" s="2382"/>
      <c r="AH77" s="2381"/>
      <c r="AI77" s="2382"/>
      <c r="AJ77" s="2381"/>
      <c r="AK77" s="2382"/>
      <c r="AL77" s="3595"/>
      <c r="AM77" s="2882"/>
      <c r="AN77" s="3392"/>
      <c r="AO77" s="3424"/>
      <c r="AP77" s="3422"/>
      <c r="AQ77" s="3572"/>
      <c r="AR77" s="3592"/>
      <c r="AS77" s="3572"/>
      <c r="AT77" s="3572"/>
      <c r="AU77" s="3592"/>
      <c r="AV77" s="3373" t="str">
        <f t="shared" si="20"/>
        <v/>
      </c>
      <c r="CA77" s="418" t="str">
        <f t="shared" ref="CA77:CA89" si="27">IF(AND($C77&lt;&gt;0,AN77=""),"* No olvide ingresar la columna Espacios Amigables /adolescentes (Digite CERO si no tiene). ",IF(AN77&gt;$C77,"* El Número de Espacios Amigables no puede superar el Total. ",""))</f>
        <v/>
      </c>
      <c r="CB77" s="418" t="str">
        <f t="shared" ref="CB77:CB89" si="28">IF(AND(E77&gt;0,OR(AO77="")),"No olvide digitar los campos *TRANS Masculino (Digite CERO si no tiene).",IF(AO77&gt;E77,"* El Número de TRANS Masculino no puede superar el Total Mujeres. ",""))</f>
        <v/>
      </c>
      <c r="CC77" s="3605"/>
      <c r="CD77" s="418" t="str">
        <f t="shared" ref="CD77:CD89" si="29">IF(AND($C77&lt;&gt;0,AQ77=""),"* No olvide ingresar la columna Pueblos Originarios (Digite CERO si no tiene).  ",IF(AQ77&gt;$C77,"* El Número de Pueblos Originarios no puede superar el Total. ",""))</f>
        <v/>
      </c>
      <c r="CE77" s="418" t="str">
        <f t="shared" ref="CE77:CE89" si="30">IF(AND($C77&lt;&gt;0,AR77=""),"* No olvide ingresar la columna Migrantes (Digite CERO si no tiene).  ",IF(AR77&gt;$C77,"* El Número de Migrantes no puede superar el Total. ",""))</f>
        <v/>
      </c>
      <c r="CF77" s="3590" t="str">
        <f t="shared" si="21"/>
        <v/>
      </c>
      <c r="CG77" s="418" t="str">
        <f t="shared" ref="CG77:CG89" si="31">IF(AND($C77&lt;&gt;0,AT77=""),"* No olvide ingresar la variable "&amp;AT$10&amp;". Digite Cero si no tiene.",IF(AT77&gt;$C77,"* La variable "&amp;AT$10&amp;"no puede superar el Total Ambos Sexos. ",""))</f>
        <v/>
      </c>
      <c r="CH77" s="418" t="str">
        <f t="shared" ref="CH77:CH89" si="32">IF(AND($C77&lt;&gt;0,AU77=""),"* No olvide ingresar la variable "&amp;AU$10&amp;". Digite Cero si no tiene. ",IF(AU77&gt;$C77,"* La variable "&amp;AU$10&amp;" no puede superar el Total Ambos Sexos. ",""))</f>
        <v/>
      </c>
      <c r="CI77" s="417"/>
      <c r="CJ77" s="419">
        <f t="shared" ref="CJ77:CJ89" si="33">IF(AND($C77&lt;&gt;0,AN77=""),1,IF(AN77&gt;$C77,1,0))</f>
        <v>0</v>
      </c>
      <c r="CK77" s="419">
        <f t="shared" ref="CK77:CK89" si="34">IF(AND(E77&gt;0,OR(AO77="")),1,IF(AO77&gt;E77,1,0))</f>
        <v>0</v>
      </c>
      <c r="CL77" s="1972"/>
      <c r="CM77" s="419">
        <f t="shared" ref="CM77:CN94" si="35">IF(AND($C77&lt;&gt;0,AQ77=""),1,IF(AQ77&gt;$C77,1,0))</f>
        <v>0</v>
      </c>
      <c r="CN77" s="419">
        <f t="shared" si="35"/>
        <v>0</v>
      </c>
      <c r="CO77" s="3375">
        <f t="shared" si="22"/>
        <v>0</v>
      </c>
      <c r="CP77" s="419">
        <f t="shared" ref="CP77:CQ89" si="36">IF(AND($C77&lt;&gt;0,AT77=""),1,IF(AT77&gt;$C77,1,0))</f>
        <v>0</v>
      </c>
      <c r="CQ77" s="419">
        <f t="shared" si="36"/>
        <v>0</v>
      </c>
    </row>
    <row r="78" spans="1:95">
      <c r="A78" s="6129"/>
      <c r="B78" s="1527" t="s">
        <v>2146</v>
      </c>
      <c r="C78" s="1755">
        <f t="shared" si="26"/>
        <v>0</v>
      </c>
      <c r="D78" s="3608"/>
      <c r="E78" s="3577">
        <f t="shared" si="25"/>
        <v>0</v>
      </c>
      <c r="F78" s="2384"/>
      <c r="G78" s="3593"/>
      <c r="H78" s="2384"/>
      <c r="I78" s="3593"/>
      <c r="J78" s="2384"/>
      <c r="K78" s="433"/>
      <c r="L78" s="2384"/>
      <c r="M78" s="433"/>
      <c r="N78" s="2384"/>
      <c r="O78" s="433"/>
      <c r="P78" s="2384"/>
      <c r="Q78" s="433"/>
      <c r="R78" s="2384"/>
      <c r="S78" s="433"/>
      <c r="T78" s="2384"/>
      <c r="U78" s="433"/>
      <c r="V78" s="2384"/>
      <c r="W78" s="433"/>
      <c r="X78" s="2384"/>
      <c r="Y78" s="433"/>
      <c r="Z78" s="2384"/>
      <c r="AA78" s="433"/>
      <c r="AB78" s="2384"/>
      <c r="AC78" s="433"/>
      <c r="AD78" s="3609"/>
      <c r="AE78" s="3610"/>
      <c r="AF78" s="2384"/>
      <c r="AG78" s="2385"/>
      <c r="AH78" s="2384"/>
      <c r="AI78" s="2385"/>
      <c r="AJ78" s="2384"/>
      <c r="AK78" s="2385"/>
      <c r="AL78" s="3599"/>
      <c r="AM78" s="3435"/>
      <c r="AN78" s="3393"/>
      <c r="AO78" s="3385"/>
      <c r="AP78" s="2235"/>
      <c r="AQ78" s="3578"/>
      <c r="AR78" s="438"/>
      <c r="AS78" s="3578"/>
      <c r="AT78" s="3578"/>
      <c r="AU78" s="438"/>
      <c r="AV78" s="3373" t="str">
        <f t="shared" si="20"/>
        <v/>
      </c>
      <c r="CA78" s="418" t="str">
        <f t="shared" si="27"/>
        <v/>
      </c>
      <c r="CB78" s="418" t="str">
        <f t="shared" si="28"/>
        <v/>
      </c>
      <c r="CC78" s="3605"/>
      <c r="CD78" s="418" t="str">
        <f t="shared" si="29"/>
        <v/>
      </c>
      <c r="CE78" s="418" t="str">
        <f t="shared" si="30"/>
        <v/>
      </c>
      <c r="CF78" s="3590" t="str">
        <f t="shared" si="21"/>
        <v/>
      </c>
      <c r="CG78" s="418" t="str">
        <f t="shared" si="31"/>
        <v/>
      </c>
      <c r="CH78" s="418" t="str">
        <f t="shared" si="32"/>
        <v/>
      </c>
      <c r="CI78" s="417"/>
      <c r="CJ78" s="419">
        <f t="shared" si="33"/>
        <v>0</v>
      </c>
      <c r="CK78" s="419">
        <f t="shared" si="34"/>
        <v>0</v>
      </c>
      <c r="CL78" s="1972"/>
      <c r="CM78" s="419">
        <f t="shared" si="35"/>
        <v>0</v>
      </c>
      <c r="CN78" s="419">
        <f t="shared" si="35"/>
        <v>0</v>
      </c>
      <c r="CO78" s="3375">
        <f t="shared" si="22"/>
        <v>0</v>
      </c>
      <c r="CP78" s="419">
        <f t="shared" si="36"/>
        <v>0</v>
      </c>
      <c r="CQ78" s="419">
        <f t="shared" si="36"/>
        <v>0</v>
      </c>
    </row>
    <row r="79" spans="1:95">
      <c r="A79" s="6128" t="s">
        <v>2160</v>
      </c>
      <c r="B79" s="1502" t="s">
        <v>78</v>
      </c>
      <c r="C79" s="447">
        <f t="shared" si="26"/>
        <v>0</v>
      </c>
      <c r="D79" s="2333">
        <f t="shared" ref="D79:E89" si="37">+F79+H79+J79+L79+N79+P79+R79+T79+V79+X79+Z79+AB79+AD79+AF79+AH79+AJ79+AL79</f>
        <v>0</v>
      </c>
      <c r="E79" s="2845">
        <f>+G79+I79+K79+M79+O79+Q79+S79+U79+W79+Y79+AA79+AC79+AE79+AG79+AI79+AK79+AM79</f>
        <v>0</v>
      </c>
      <c r="F79" s="1480"/>
      <c r="G79" s="1545"/>
      <c r="H79" s="1480"/>
      <c r="I79" s="1545"/>
      <c r="J79" s="1480"/>
      <c r="K79" s="1545"/>
      <c r="L79" s="1480"/>
      <c r="M79" s="1545"/>
      <c r="N79" s="1480"/>
      <c r="O79" s="1545"/>
      <c r="P79" s="1480"/>
      <c r="Q79" s="1545"/>
      <c r="R79" s="1480"/>
      <c r="S79" s="1545"/>
      <c r="T79" s="1480"/>
      <c r="U79" s="1545"/>
      <c r="V79" s="1480"/>
      <c r="W79" s="1545"/>
      <c r="X79" s="1480"/>
      <c r="Y79" s="1545"/>
      <c r="Z79" s="1480"/>
      <c r="AA79" s="1545"/>
      <c r="AB79" s="1480"/>
      <c r="AC79" s="1545"/>
      <c r="AD79" s="1480"/>
      <c r="AE79" s="1545"/>
      <c r="AF79" s="1480"/>
      <c r="AG79" s="1545"/>
      <c r="AH79" s="1480"/>
      <c r="AI79" s="1545"/>
      <c r="AJ79" s="1480"/>
      <c r="AK79" s="1545"/>
      <c r="AL79" s="1480"/>
      <c r="AM79" s="1545"/>
      <c r="AN79" s="3392"/>
      <c r="AO79" s="3424"/>
      <c r="AP79" s="3422"/>
      <c r="AQ79" s="3572"/>
      <c r="AR79" s="3592"/>
      <c r="AS79" s="3572"/>
      <c r="AT79" s="3572"/>
      <c r="AU79" s="3592"/>
      <c r="AV79" s="3373" t="str">
        <f t="shared" si="20"/>
        <v/>
      </c>
      <c r="CA79" s="418" t="str">
        <f t="shared" si="27"/>
        <v/>
      </c>
      <c r="CB79" s="418" t="str">
        <f t="shared" si="28"/>
        <v/>
      </c>
      <c r="CC79" s="418" t="str">
        <f t="shared" ref="CC79:CC89" si="38">IF(AND(D79&gt;0,OR(AP79="")),"No olvide digitar los campos *TRANS Femenino (Digite CERO si no tiene).",IF(AP79&gt;$D79,"* El Número de TRANS Femenino no puede superar el Total Hombres. ",""))</f>
        <v/>
      </c>
      <c r="CD79" s="418" t="str">
        <f t="shared" si="29"/>
        <v/>
      </c>
      <c r="CE79" s="418" t="str">
        <f t="shared" si="30"/>
        <v/>
      </c>
      <c r="CF79" s="3590" t="str">
        <f t="shared" si="21"/>
        <v/>
      </c>
      <c r="CG79" s="418" t="str">
        <f t="shared" si="31"/>
        <v/>
      </c>
      <c r="CH79" s="418" t="str">
        <f t="shared" si="32"/>
        <v/>
      </c>
      <c r="CI79" s="417"/>
      <c r="CJ79" s="419">
        <f t="shared" si="33"/>
        <v>0</v>
      </c>
      <c r="CK79" s="419">
        <f t="shared" si="34"/>
        <v>0</v>
      </c>
      <c r="CL79" s="419">
        <f t="shared" ref="CL79:CL89" si="39">IF(AND(D79&gt;0,OR(AP79="")),1,IF(AP79&gt;D79,1,0))</f>
        <v>0</v>
      </c>
      <c r="CM79" s="419">
        <f t="shared" si="35"/>
        <v>0</v>
      </c>
      <c r="CN79" s="419">
        <f t="shared" si="35"/>
        <v>0</v>
      </c>
      <c r="CO79" s="3375">
        <f t="shared" si="22"/>
        <v>0</v>
      </c>
      <c r="CP79" s="419">
        <f t="shared" si="36"/>
        <v>0</v>
      </c>
      <c r="CQ79" s="419">
        <f t="shared" si="36"/>
        <v>0</v>
      </c>
    </row>
    <row r="80" spans="1:95">
      <c r="A80" s="6128"/>
      <c r="B80" s="1947" t="s">
        <v>112</v>
      </c>
      <c r="C80" s="408">
        <f t="shared" si="26"/>
        <v>0</v>
      </c>
      <c r="D80" s="421">
        <f t="shared" si="37"/>
        <v>0</v>
      </c>
      <c r="E80" s="2844">
        <f t="shared" si="37"/>
        <v>0</v>
      </c>
      <c r="F80" s="1440"/>
      <c r="G80" s="1452"/>
      <c r="H80" s="1440"/>
      <c r="I80" s="1452"/>
      <c r="J80" s="1440"/>
      <c r="K80" s="1452"/>
      <c r="L80" s="1440"/>
      <c r="M80" s="1452"/>
      <c r="N80" s="1440"/>
      <c r="O80" s="1452"/>
      <c r="P80" s="1440"/>
      <c r="Q80" s="1452"/>
      <c r="R80" s="1440"/>
      <c r="S80" s="1452"/>
      <c r="T80" s="1440"/>
      <c r="U80" s="1452"/>
      <c r="V80" s="1440"/>
      <c r="W80" s="1452"/>
      <c r="X80" s="1440"/>
      <c r="Y80" s="1452"/>
      <c r="Z80" s="1440"/>
      <c r="AA80" s="1452"/>
      <c r="AB80" s="1440"/>
      <c r="AC80" s="1452"/>
      <c r="AD80" s="1440"/>
      <c r="AE80" s="1452"/>
      <c r="AF80" s="1440"/>
      <c r="AG80" s="1452"/>
      <c r="AH80" s="1440"/>
      <c r="AI80" s="1452"/>
      <c r="AJ80" s="1440"/>
      <c r="AK80" s="1452"/>
      <c r="AL80" s="1440"/>
      <c r="AM80" s="1452"/>
      <c r="AN80" s="3392"/>
      <c r="AO80" s="3424"/>
      <c r="AP80" s="3422"/>
      <c r="AQ80" s="3572"/>
      <c r="AR80" s="3592"/>
      <c r="AS80" s="3572"/>
      <c r="AT80" s="3572"/>
      <c r="AU80" s="3592"/>
      <c r="AV80" s="3373" t="str">
        <f t="shared" si="20"/>
        <v/>
      </c>
      <c r="CA80" s="418" t="str">
        <f t="shared" si="27"/>
        <v/>
      </c>
      <c r="CB80" s="418" t="str">
        <f t="shared" si="28"/>
        <v/>
      </c>
      <c r="CC80" s="418" t="str">
        <f t="shared" si="38"/>
        <v/>
      </c>
      <c r="CD80" s="418" t="str">
        <f t="shared" si="29"/>
        <v/>
      </c>
      <c r="CE80" s="418" t="str">
        <f t="shared" si="30"/>
        <v/>
      </c>
      <c r="CF80" s="3590" t="str">
        <f t="shared" si="21"/>
        <v/>
      </c>
      <c r="CG80" s="418" t="str">
        <f t="shared" si="31"/>
        <v/>
      </c>
      <c r="CH80" s="418" t="str">
        <f t="shared" si="32"/>
        <v/>
      </c>
      <c r="CI80" s="417"/>
      <c r="CJ80" s="419">
        <f t="shared" si="33"/>
        <v>0</v>
      </c>
      <c r="CK80" s="419">
        <f t="shared" si="34"/>
        <v>0</v>
      </c>
      <c r="CL80" s="419">
        <f t="shared" si="39"/>
        <v>0</v>
      </c>
      <c r="CM80" s="419">
        <f t="shared" si="35"/>
        <v>0</v>
      </c>
      <c r="CN80" s="419">
        <f t="shared" si="35"/>
        <v>0</v>
      </c>
      <c r="CO80" s="3375">
        <f t="shared" si="22"/>
        <v>0</v>
      </c>
      <c r="CP80" s="419">
        <f t="shared" si="36"/>
        <v>0</v>
      </c>
      <c r="CQ80" s="419">
        <f t="shared" si="36"/>
        <v>0</v>
      </c>
    </row>
    <row r="81" spans="1:95">
      <c r="A81" s="6128"/>
      <c r="B81" s="1947" t="s">
        <v>79</v>
      </c>
      <c r="C81" s="408">
        <f t="shared" si="26"/>
        <v>0</v>
      </c>
      <c r="D81" s="421">
        <f t="shared" si="37"/>
        <v>0</v>
      </c>
      <c r="E81" s="2844">
        <f t="shared" si="37"/>
        <v>0</v>
      </c>
      <c r="F81" s="1440"/>
      <c r="G81" s="1452"/>
      <c r="H81" s="1440"/>
      <c r="I81" s="1452"/>
      <c r="J81" s="1440"/>
      <c r="K81" s="1452"/>
      <c r="L81" s="1440"/>
      <c r="M81" s="1452"/>
      <c r="N81" s="1440"/>
      <c r="O81" s="1452"/>
      <c r="P81" s="1440"/>
      <c r="Q81" s="1452"/>
      <c r="R81" s="1440"/>
      <c r="S81" s="1452"/>
      <c r="T81" s="1440"/>
      <c r="U81" s="1452"/>
      <c r="V81" s="1440"/>
      <c r="W81" s="1452"/>
      <c r="X81" s="1440"/>
      <c r="Y81" s="1452"/>
      <c r="Z81" s="1440"/>
      <c r="AA81" s="1452"/>
      <c r="AB81" s="1440"/>
      <c r="AC81" s="1452"/>
      <c r="AD81" s="1440"/>
      <c r="AE81" s="1452"/>
      <c r="AF81" s="1440"/>
      <c r="AG81" s="1452"/>
      <c r="AH81" s="1440"/>
      <c r="AI81" s="1452"/>
      <c r="AJ81" s="1440"/>
      <c r="AK81" s="1452"/>
      <c r="AL81" s="1440"/>
      <c r="AM81" s="1452"/>
      <c r="AN81" s="3392"/>
      <c r="AO81" s="3424"/>
      <c r="AP81" s="3422"/>
      <c r="AQ81" s="3572"/>
      <c r="AR81" s="3592"/>
      <c r="AS81" s="3572"/>
      <c r="AT81" s="3572"/>
      <c r="AU81" s="3592"/>
      <c r="AV81" s="3373" t="str">
        <f t="shared" si="20"/>
        <v/>
      </c>
      <c r="CA81" s="418" t="str">
        <f t="shared" si="27"/>
        <v/>
      </c>
      <c r="CB81" s="418" t="str">
        <f t="shared" si="28"/>
        <v/>
      </c>
      <c r="CC81" s="418" t="str">
        <f t="shared" si="38"/>
        <v/>
      </c>
      <c r="CD81" s="418" t="str">
        <f t="shared" si="29"/>
        <v/>
      </c>
      <c r="CE81" s="418" t="str">
        <f t="shared" si="30"/>
        <v/>
      </c>
      <c r="CF81" s="3590" t="str">
        <f t="shared" si="21"/>
        <v/>
      </c>
      <c r="CG81" s="418" t="str">
        <f t="shared" si="31"/>
        <v/>
      </c>
      <c r="CH81" s="418" t="str">
        <f t="shared" si="32"/>
        <v/>
      </c>
      <c r="CI81" s="417"/>
      <c r="CJ81" s="419">
        <f t="shared" si="33"/>
        <v>0</v>
      </c>
      <c r="CK81" s="419">
        <f t="shared" si="34"/>
        <v>0</v>
      </c>
      <c r="CL81" s="419">
        <f t="shared" si="39"/>
        <v>0</v>
      </c>
      <c r="CM81" s="419">
        <f t="shared" si="35"/>
        <v>0</v>
      </c>
      <c r="CN81" s="419">
        <f t="shared" si="35"/>
        <v>0</v>
      </c>
      <c r="CO81" s="3375">
        <f t="shared" si="22"/>
        <v>0</v>
      </c>
      <c r="CP81" s="419">
        <f t="shared" si="36"/>
        <v>0</v>
      </c>
      <c r="CQ81" s="419">
        <f t="shared" si="36"/>
        <v>0</v>
      </c>
    </row>
    <row r="82" spans="1:95">
      <c r="A82" s="6128"/>
      <c r="B82" s="1947" t="s">
        <v>119</v>
      </c>
      <c r="C82" s="408">
        <f t="shared" si="26"/>
        <v>0</v>
      </c>
      <c r="D82" s="421">
        <f t="shared" si="37"/>
        <v>0</v>
      </c>
      <c r="E82" s="2844">
        <f t="shared" si="37"/>
        <v>0</v>
      </c>
      <c r="F82" s="1440"/>
      <c r="G82" s="1452"/>
      <c r="H82" s="1440"/>
      <c r="I82" s="1452"/>
      <c r="J82" s="1440"/>
      <c r="K82" s="1452"/>
      <c r="L82" s="1440"/>
      <c r="M82" s="1452"/>
      <c r="N82" s="1440"/>
      <c r="O82" s="1452"/>
      <c r="P82" s="1440"/>
      <c r="Q82" s="1452"/>
      <c r="R82" s="1440"/>
      <c r="S82" s="1452"/>
      <c r="T82" s="1440"/>
      <c r="U82" s="1452"/>
      <c r="V82" s="1440"/>
      <c r="W82" s="1452"/>
      <c r="X82" s="1440"/>
      <c r="Y82" s="1452"/>
      <c r="Z82" s="1440"/>
      <c r="AA82" s="1452"/>
      <c r="AB82" s="1440"/>
      <c r="AC82" s="1452"/>
      <c r="AD82" s="1440"/>
      <c r="AE82" s="1452"/>
      <c r="AF82" s="1440"/>
      <c r="AG82" s="1452"/>
      <c r="AH82" s="1440"/>
      <c r="AI82" s="1452"/>
      <c r="AJ82" s="1440"/>
      <c r="AK82" s="1452"/>
      <c r="AL82" s="1440"/>
      <c r="AM82" s="1452"/>
      <c r="AN82" s="3392"/>
      <c r="AO82" s="3424"/>
      <c r="AP82" s="3422"/>
      <c r="AQ82" s="3572"/>
      <c r="AR82" s="3592"/>
      <c r="AS82" s="3572"/>
      <c r="AT82" s="3572"/>
      <c r="AU82" s="3592"/>
      <c r="AV82" s="3373" t="str">
        <f t="shared" si="20"/>
        <v/>
      </c>
      <c r="CA82" s="418" t="str">
        <f t="shared" si="27"/>
        <v/>
      </c>
      <c r="CB82" s="418" t="str">
        <f t="shared" si="28"/>
        <v/>
      </c>
      <c r="CC82" s="418" t="str">
        <f t="shared" si="38"/>
        <v/>
      </c>
      <c r="CD82" s="418" t="str">
        <f t="shared" si="29"/>
        <v/>
      </c>
      <c r="CE82" s="418" t="str">
        <f t="shared" si="30"/>
        <v/>
      </c>
      <c r="CF82" s="3590" t="str">
        <f t="shared" si="21"/>
        <v/>
      </c>
      <c r="CG82" s="418" t="str">
        <f t="shared" si="31"/>
        <v/>
      </c>
      <c r="CH82" s="418" t="str">
        <f t="shared" si="32"/>
        <v/>
      </c>
      <c r="CI82" s="417"/>
      <c r="CJ82" s="419">
        <f t="shared" si="33"/>
        <v>0</v>
      </c>
      <c r="CK82" s="419">
        <f t="shared" si="34"/>
        <v>0</v>
      </c>
      <c r="CL82" s="419">
        <f t="shared" si="39"/>
        <v>0</v>
      </c>
      <c r="CM82" s="419">
        <f t="shared" si="35"/>
        <v>0</v>
      </c>
      <c r="CN82" s="419">
        <f t="shared" ref="CN82:CN84" si="40">IF(AND($C82&lt;&gt;0,AR82=""),1,IF(AR82&gt;$C82,1,0))</f>
        <v>0</v>
      </c>
      <c r="CO82" s="3375">
        <f t="shared" si="22"/>
        <v>0</v>
      </c>
      <c r="CP82" s="419">
        <f t="shared" si="36"/>
        <v>0</v>
      </c>
      <c r="CQ82" s="419">
        <f t="shared" ref="CQ82:CQ84" si="41">IF(AND($C82&lt;&gt;0,AU82=""),1,IF(AU82&gt;$C82,1,0))</f>
        <v>0</v>
      </c>
    </row>
    <row r="83" spans="1:95">
      <c r="A83" s="6128"/>
      <c r="B83" s="1947" t="s">
        <v>1066</v>
      </c>
      <c r="C83" s="408">
        <f t="shared" si="26"/>
        <v>0</v>
      </c>
      <c r="D83" s="421">
        <f t="shared" si="37"/>
        <v>0</v>
      </c>
      <c r="E83" s="2844">
        <f t="shared" si="37"/>
        <v>0</v>
      </c>
      <c r="F83" s="1440"/>
      <c r="G83" s="1452"/>
      <c r="H83" s="1440"/>
      <c r="I83" s="1452"/>
      <c r="J83" s="1440"/>
      <c r="K83" s="1452"/>
      <c r="L83" s="1440"/>
      <c r="M83" s="1452"/>
      <c r="N83" s="1440"/>
      <c r="O83" s="1452"/>
      <c r="P83" s="1440"/>
      <c r="Q83" s="1452"/>
      <c r="R83" s="1440"/>
      <c r="S83" s="1452"/>
      <c r="T83" s="1440"/>
      <c r="U83" s="1452"/>
      <c r="V83" s="1440"/>
      <c r="W83" s="1452"/>
      <c r="X83" s="1440"/>
      <c r="Y83" s="1452"/>
      <c r="Z83" s="1440"/>
      <c r="AA83" s="1452"/>
      <c r="AB83" s="1440"/>
      <c r="AC83" s="1452"/>
      <c r="AD83" s="1440"/>
      <c r="AE83" s="1452"/>
      <c r="AF83" s="1440"/>
      <c r="AG83" s="1452"/>
      <c r="AH83" s="1440"/>
      <c r="AI83" s="1452"/>
      <c r="AJ83" s="1440"/>
      <c r="AK83" s="1452"/>
      <c r="AL83" s="1440"/>
      <c r="AM83" s="1452"/>
      <c r="AN83" s="3392"/>
      <c r="AO83" s="3424"/>
      <c r="AP83" s="3422"/>
      <c r="AQ83" s="3572"/>
      <c r="AR83" s="3592"/>
      <c r="AS83" s="3572"/>
      <c r="AT83" s="3572"/>
      <c r="AU83" s="3592"/>
      <c r="AV83" s="3373" t="str">
        <f t="shared" si="20"/>
        <v/>
      </c>
      <c r="CA83" s="418" t="str">
        <f t="shared" si="27"/>
        <v/>
      </c>
      <c r="CB83" s="418" t="str">
        <f t="shared" si="28"/>
        <v/>
      </c>
      <c r="CC83" s="418" t="str">
        <f t="shared" si="38"/>
        <v/>
      </c>
      <c r="CD83" s="418" t="str">
        <f t="shared" si="29"/>
        <v/>
      </c>
      <c r="CE83" s="418" t="str">
        <f t="shared" si="30"/>
        <v/>
      </c>
      <c r="CF83" s="3590" t="str">
        <f t="shared" si="21"/>
        <v/>
      </c>
      <c r="CG83" s="418" t="str">
        <f t="shared" si="31"/>
        <v/>
      </c>
      <c r="CH83" s="418" t="str">
        <f t="shared" si="32"/>
        <v/>
      </c>
      <c r="CI83" s="417"/>
      <c r="CJ83" s="419">
        <f t="shared" si="33"/>
        <v>0</v>
      </c>
      <c r="CK83" s="419">
        <f t="shared" si="34"/>
        <v>0</v>
      </c>
      <c r="CL83" s="419">
        <f t="shared" si="39"/>
        <v>0</v>
      </c>
      <c r="CM83" s="419">
        <f t="shared" si="35"/>
        <v>0</v>
      </c>
      <c r="CN83" s="419">
        <f t="shared" si="40"/>
        <v>0</v>
      </c>
      <c r="CO83" s="3375">
        <f t="shared" si="22"/>
        <v>0</v>
      </c>
      <c r="CP83" s="419">
        <f t="shared" si="36"/>
        <v>0</v>
      </c>
      <c r="CQ83" s="419">
        <f t="shared" si="41"/>
        <v>0</v>
      </c>
    </row>
    <row r="84" spans="1:95" ht="14.25" customHeight="1">
      <c r="A84" s="6128"/>
      <c r="B84" s="1947" t="s">
        <v>1065</v>
      </c>
      <c r="C84" s="408">
        <f t="shared" si="26"/>
        <v>0</v>
      </c>
      <c r="D84" s="421">
        <f t="shared" si="37"/>
        <v>0</v>
      </c>
      <c r="E84" s="2844">
        <f t="shared" si="37"/>
        <v>0</v>
      </c>
      <c r="F84" s="1440"/>
      <c r="G84" s="1452"/>
      <c r="H84" s="1440"/>
      <c r="I84" s="1452"/>
      <c r="J84" s="1440"/>
      <c r="K84" s="1452"/>
      <c r="L84" s="1440"/>
      <c r="M84" s="1452"/>
      <c r="N84" s="1440"/>
      <c r="O84" s="1452"/>
      <c r="P84" s="1440"/>
      <c r="Q84" s="1452"/>
      <c r="R84" s="1440"/>
      <c r="S84" s="1452"/>
      <c r="T84" s="1440"/>
      <c r="U84" s="1452"/>
      <c r="V84" s="1440"/>
      <c r="W84" s="1452"/>
      <c r="X84" s="1440"/>
      <c r="Y84" s="1452"/>
      <c r="Z84" s="1440"/>
      <c r="AA84" s="1452"/>
      <c r="AB84" s="1440"/>
      <c r="AC84" s="1452"/>
      <c r="AD84" s="1440"/>
      <c r="AE84" s="1452"/>
      <c r="AF84" s="1440"/>
      <c r="AG84" s="1452"/>
      <c r="AH84" s="1440"/>
      <c r="AI84" s="1452"/>
      <c r="AJ84" s="1440"/>
      <c r="AK84" s="1452"/>
      <c r="AL84" s="1440"/>
      <c r="AM84" s="1452"/>
      <c r="AN84" s="3392"/>
      <c r="AO84" s="3424"/>
      <c r="AP84" s="3422"/>
      <c r="AQ84" s="3572"/>
      <c r="AR84" s="3592"/>
      <c r="AS84" s="3572"/>
      <c r="AT84" s="3572"/>
      <c r="AU84" s="3592"/>
      <c r="AV84" s="3373" t="str">
        <f t="shared" si="20"/>
        <v/>
      </c>
      <c r="CA84" s="418" t="str">
        <f t="shared" si="27"/>
        <v/>
      </c>
      <c r="CB84" s="418" t="str">
        <f t="shared" si="28"/>
        <v/>
      </c>
      <c r="CC84" s="418" t="str">
        <f t="shared" si="38"/>
        <v/>
      </c>
      <c r="CD84" s="418" t="str">
        <f t="shared" si="29"/>
        <v/>
      </c>
      <c r="CE84" s="418" t="str">
        <f t="shared" si="30"/>
        <v/>
      </c>
      <c r="CF84" s="3590" t="str">
        <f t="shared" si="21"/>
        <v/>
      </c>
      <c r="CG84" s="418" t="str">
        <f t="shared" si="31"/>
        <v/>
      </c>
      <c r="CH84" s="418" t="str">
        <f t="shared" si="32"/>
        <v/>
      </c>
      <c r="CI84" s="417"/>
      <c r="CJ84" s="419">
        <f t="shared" si="33"/>
        <v>0</v>
      </c>
      <c r="CK84" s="419">
        <f t="shared" si="34"/>
        <v>0</v>
      </c>
      <c r="CL84" s="419">
        <f t="shared" si="39"/>
        <v>0</v>
      </c>
      <c r="CM84" s="419">
        <f t="shared" si="35"/>
        <v>0</v>
      </c>
      <c r="CN84" s="419">
        <f t="shared" si="40"/>
        <v>0</v>
      </c>
      <c r="CO84" s="3375">
        <f t="shared" si="22"/>
        <v>0</v>
      </c>
      <c r="CP84" s="419">
        <f t="shared" si="36"/>
        <v>0</v>
      </c>
      <c r="CQ84" s="419">
        <f t="shared" si="41"/>
        <v>0</v>
      </c>
    </row>
    <row r="85" spans="1:95">
      <c r="A85" s="6128"/>
      <c r="B85" s="1947" t="s">
        <v>1471</v>
      </c>
      <c r="C85" s="408">
        <f t="shared" si="26"/>
        <v>0</v>
      </c>
      <c r="D85" s="421">
        <f t="shared" si="37"/>
        <v>0</v>
      </c>
      <c r="E85" s="2844">
        <f t="shared" si="37"/>
        <v>0</v>
      </c>
      <c r="F85" s="1440"/>
      <c r="G85" s="1452"/>
      <c r="H85" s="1440"/>
      <c r="I85" s="1452"/>
      <c r="J85" s="1440"/>
      <c r="K85" s="1452"/>
      <c r="L85" s="1440"/>
      <c r="M85" s="1452"/>
      <c r="N85" s="1440"/>
      <c r="O85" s="1452"/>
      <c r="P85" s="1440"/>
      <c r="Q85" s="1452"/>
      <c r="R85" s="1440"/>
      <c r="S85" s="1452"/>
      <c r="T85" s="1440"/>
      <c r="U85" s="1452"/>
      <c r="V85" s="1440"/>
      <c r="W85" s="1452"/>
      <c r="X85" s="1440"/>
      <c r="Y85" s="1452"/>
      <c r="Z85" s="1440"/>
      <c r="AA85" s="1452"/>
      <c r="AB85" s="1440"/>
      <c r="AC85" s="1452"/>
      <c r="AD85" s="1440"/>
      <c r="AE85" s="1452"/>
      <c r="AF85" s="1440"/>
      <c r="AG85" s="1452"/>
      <c r="AH85" s="1440"/>
      <c r="AI85" s="1452"/>
      <c r="AJ85" s="1440"/>
      <c r="AK85" s="1452"/>
      <c r="AL85" s="1440"/>
      <c r="AM85" s="1452"/>
      <c r="AN85" s="3392"/>
      <c r="AO85" s="3424"/>
      <c r="AP85" s="3422"/>
      <c r="AQ85" s="3572"/>
      <c r="AR85" s="3592"/>
      <c r="AS85" s="3572"/>
      <c r="AT85" s="3572"/>
      <c r="AU85" s="3592"/>
      <c r="AV85" s="3373" t="str">
        <f t="shared" si="20"/>
        <v/>
      </c>
      <c r="CA85" s="418" t="str">
        <f t="shared" si="27"/>
        <v/>
      </c>
      <c r="CB85" s="418" t="str">
        <f t="shared" si="28"/>
        <v/>
      </c>
      <c r="CC85" s="418" t="str">
        <f t="shared" si="38"/>
        <v/>
      </c>
      <c r="CD85" s="418" t="str">
        <f t="shared" si="29"/>
        <v/>
      </c>
      <c r="CE85" s="418" t="str">
        <f t="shared" si="30"/>
        <v/>
      </c>
      <c r="CF85" s="3590" t="str">
        <f t="shared" si="21"/>
        <v/>
      </c>
      <c r="CG85" s="418" t="str">
        <f t="shared" si="31"/>
        <v/>
      </c>
      <c r="CH85" s="418" t="str">
        <f t="shared" si="32"/>
        <v/>
      </c>
      <c r="CI85" s="417"/>
      <c r="CJ85" s="419">
        <f t="shared" si="33"/>
        <v>0</v>
      </c>
      <c r="CK85" s="419">
        <f t="shared" si="34"/>
        <v>0</v>
      </c>
      <c r="CL85" s="419">
        <f t="shared" si="39"/>
        <v>0</v>
      </c>
      <c r="CM85" s="419">
        <f t="shared" si="35"/>
        <v>0</v>
      </c>
      <c r="CN85" s="419">
        <f t="shared" si="35"/>
        <v>0</v>
      </c>
      <c r="CO85" s="3375">
        <f t="shared" si="22"/>
        <v>0</v>
      </c>
      <c r="CP85" s="419">
        <f t="shared" si="36"/>
        <v>0</v>
      </c>
      <c r="CQ85" s="419">
        <f t="shared" si="36"/>
        <v>0</v>
      </c>
    </row>
    <row r="86" spans="1:95">
      <c r="A86" s="6128"/>
      <c r="B86" s="1437" t="s">
        <v>2144</v>
      </c>
      <c r="C86" s="408">
        <f t="shared" si="26"/>
        <v>0</v>
      </c>
      <c r="D86" s="421">
        <f t="shared" si="37"/>
        <v>0</v>
      </c>
      <c r="E86" s="2844">
        <f t="shared" si="37"/>
        <v>0</v>
      </c>
      <c r="F86" s="1440"/>
      <c r="G86" s="1452"/>
      <c r="H86" s="1440"/>
      <c r="I86" s="1452"/>
      <c r="J86" s="1440"/>
      <c r="K86" s="1452"/>
      <c r="L86" s="1440"/>
      <c r="M86" s="1452"/>
      <c r="N86" s="1440"/>
      <c r="O86" s="1452"/>
      <c r="P86" s="1440"/>
      <c r="Q86" s="1452"/>
      <c r="R86" s="1440"/>
      <c r="S86" s="1452"/>
      <c r="T86" s="1440"/>
      <c r="U86" s="1452"/>
      <c r="V86" s="1440"/>
      <c r="W86" s="1452"/>
      <c r="X86" s="1440"/>
      <c r="Y86" s="1452"/>
      <c r="Z86" s="1440"/>
      <c r="AA86" s="1452"/>
      <c r="AB86" s="1440"/>
      <c r="AC86" s="1452"/>
      <c r="AD86" s="1440"/>
      <c r="AE86" s="1452"/>
      <c r="AF86" s="1440"/>
      <c r="AG86" s="1452"/>
      <c r="AH86" s="1440"/>
      <c r="AI86" s="1452"/>
      <c r="AJ86" s="1440"/>
      <c r="AK86" s="1452"/>
      <c r="AL86" s="1440"/>
      <c r="AM86" s="1452"/>
      <c r="AN86" s="3392"/>
      <c r="AO86" s="3424"/>
      <c r="AP86" s="3422"/>
      <c r="AQ86" s="3572"/>
      <c r="AR86" s="3592"/>
      <c r="AS86" s="3572"/>
      <c r="AT86" s="3572"/>
      <c r="AU86" s="3592"/>
      <c r="AV86" s="3373" t="str">
        <f t="shared" si="20"/>
        <v/>
      </c>
      <c r="CA86" s="418" t="str">
        <f t="shared" si="27"/>
        <v/>
      </c>
      <c r="CB86" s="418" t="str">
        <f t="shared" si="28"/>
        <v/>
      </c>
      <c r="CC86" s="418" t="str">
        <f t="shared" si="38"/>
        <v/>
      </c>
      <c r="CD86" s="418" t="str">
        <f t="shared" si="29"/>
        <v/>
      </c>
      <c r="CE86" s="418" t="str">
        <f t="shared" si="30"/>
        <v/>
      </c>
      <c r="CF86" s="3590" t="str">
        <f t="shared" si="21"/>
        <v/>
      </c>
      <c r="CG86" s="418" t="str">
        <f t="shared" si="31"/>
        <v/>
      </c>
      <c r="CH86" s="418" t="str">
        <f t="shared" si="32"/>
        <v/>
      </c>
      <c r="CI86" s="417"/>
      <c r="CJ86" s="419">
        <f t="shared" si="33"/>
        <v>0</v>
      </c>
      <c r="CK86" s="419">
        <f t="shared" si="34"/>
        <v>0</v>
      </c>
      <c r="CL86" s="419">
        <f t="shared" si="39"/>
        <v>0</v>
      </c>
      <c r="CM86" s="419">
        <f t="shared" si="35"/>
        <v>0</v>
      </c>
      <c r="CN86" s="419">
        <f t="shared" si="35"/>
        <v>0</v>
      </c>
      <c r="CO86" s="3375">
        <f t="shared" si="22"/>
        <v>0</v>
      </c>
      <c r="CP86" s="419">
        <f t="shared" si="36"/>
        <v>0</v>
      </c>
      <c r="CQ86" s="419">
        <f t="shared" si="36"/>
        <v>0</v>
      </c>
    </row>
    <row r="87" spans="1:95">
      <c r="A87" s="6128"/>
      <c r="B87" s="1947" t="s">
        <v>2145</v>
      </c>
      <c r="C87" s="408">
        <f t="shared" si="26"/>
        <v>0</v>
      </c>
      <c r="D87" s="421">
        <f t="shared" si="37"/>
        <v>0</v>
      </c>
      <c r="E87" s="2844">
        <f t="shared" si="37"/>
        <v>0</v>
      </c>
      <c r="F87" s="1440"/>
      <c r="G87" s="1452"/>
      <c r="H87" s="1440"/>
      <c r="I87" s="1452"/>
      <c r="J87" s="1440"/>
      <c r="K87" s="1452"/>
      <c r="L87" s="1440"/>
      <c r="M87" s="1452"/>
      <c r="N87" s="1440"/>
      <c r="O87" s="1452"/>
      <c r="P87" s="1440"/>
      <c r="Q87" s="1452"/>
      <c r="R87" s="1440"/>
      <c r="S87" s="1452"/>
      <c r="T87" s="1440"/>
      <c r="U87" s="1452"/>
      <c r="V87" s="1440"/>
      <c r="W87" s="1452"/>
      <c r="X87" s="1440"/>
      <c r="Y87" s="1452"/>
      <c r="Z87" s="1440"/>
      <c r="AA87" s="1452"/>
      <c r="AB87" s="1440"/>
      <c r="AC87" s="1452"/>
      <c r="AD87" s="1440"/>
      <c r="AE87" s="1452"/>
      <c r="AF87" s="1440"/>
      <c r="AG87" s="1452"/>
      <c r="AH87" s="1440"/>
      <c r="AI87" s="1452"/>
      <c r="AJ87" s="1440"/>
      <c r="AK87" s="1452"/>
      <c r="AL87" s="1440"/>
      <c r="AM87" s="1452"/>
      <c r="AN87" s="3392"/>
      <c r="AO87" s="3424"/>
      <c r="AP87" s="3422"/>
      <c r="AQ87" s="3572"/>
      <c r="AR87" s="3592"/>
      <c r="AS87" s="3572"/>
      <c r="AT87" s="3572"/>
      <c r="AU87" s="3592"/>
      <c r="AV87" s="3373" t="str">
        <f t="shared" si="20"/>
        <v/>
      </c>
      <c r="CA87" s="418" t="str">
        <f t="shared" si="27"/>
        <v/>
      </c>
      <c r="CB87" s="418" t="str">
        <f t="shared" si="28"/>
        <v/>
      </c>
      <c r="CC87" s="418" t="str">
        <f t="shared" si="38"/>
        <v/>
      </c>
      <c r="CD87" s="418" t="str">
        <f t="shared" si="29"/>
        <v/>
      </c>
      <c r="CE87" s="418" t="str">
        <f t="shared" si="30"/>
        <v/>
      </c>
      <c r="CF87" s="3590" t="str">
        <f t="shared" si="21"/>
        <v/>
      </c>
      <c r="CG87" s="418" t="str">
        <f t="shared" si="31"/>
        <v/>
      </c>
      <c r="CH87" s="418" t="str">
        <f t="shared" si="32"/>
        <v/>
      </c>
      <c r="CI87" s="417"/>
      <c r="CJ87" s="419">
        <f t="shared" si="33"/>
        <v>0</v>
      </c>
      <c r="CK87" s="419">
        <f t="shared" si="34"/>
        <v>0</v>
      </c>
      <c r="CL87" s="419">
        <f t="shared" si="39"/>
        <v>0</v>
      </c>
      <c r="CM87" s="419">
        <f t="shared" si="35"/>
        <v>0</v>
      </c>
      <c r="CN87" s="419">
        <f t="shared" si="35"/>
        <v>0</v>
      </c>
      <c r="CO87" s="3375">
        <f t="shared" si="22"/>
        <v>0</v>
      </c>
      <c r="CP87" s="419">
        <f t="shared" si="36"/>
        <v>0</v>
      </c>
      <c r="CQ87" s="419">
        <f t="shared" si="36"/>
        <v>0</v>
      </c>
    </row>
    <row r="88" spans="1:95">
      <c r="A88" s="6128"/>
      <c r="B88" s="441" t="s">
        <v>2146</v>
      </c>
      <c r="C88" s="408">
        <f t="shared" si="26"/>
        <v>0</v>
      </c>
      <c r="D88" s="421">
        <f t="shared" si="37"/>
        <v>0</v>
      </c>
      <c r="E88" s="3611">
        <f t="shared" si="37"/>
        <v>0</v>
      </c>
      <c r="F88" s="1440"/>
      <c r="G88" s="1452"/>
      <c r="H88" s="1440"/>
      <c r="I88" s="1452"/>
      <c r="J88" s="1440"/>
      <c r="K88" s="1452"/>
      <c r="L88" s="1440"/>
      <c r="M88" s="1452"/>
      <c r="N88" s="1440"/>
      <c r="O88" s="1452"/>
      <c r="P88" s="1440"/>
      <c r="Q88" s="1452"/>
      <c r="R88" s="1440"/>
      <c r="S88" s="1452"/>
      <c r="T88" s="1440"/>
      <c r="U88" s="1452"/>
      <c r="V88" s="1440"/>
      <c r="W88" s="1452"/>
      <c r="X88" s="1440"/>
      <c r="Y88" s="1452"/>
      <c r="Z88" s="1440"/>
      <c r="AA88" s="1452"/>
      <c r="AB88" s="1440"/>
      <c r="AC88" s="1452"/>
      <c r="AD88" s="1440"/>
      <c r="AE88" s="1452"/>
      <c r="AF88" s="1440"/>
      <c r="AG88" s="1452"/>
      <c r="AH88" s="1440"/>
      <c r="AI88" s="1452"/>
      <c r="AJ88" s="1440"/>
      <c r="AK88" s="1452"/>
      <c r="AL88" s="1440"/>
      <c r="AM88" s="1452"/>
      <c r="AN88" s="3392"/>
      <c r="AO88" s="3424"/>
      <c r="AP88" s="3422"/>
      <c r="AQ88" s="3572"/>
      <c r="AR88" s="3592"/>
      <c r="AS88" s="3572"/>
      <c r="AT88" s="3572"/>
      <c r="AU88" s="3592"/>
      <c r="AV88" s="3373" t="str">
        <f t="shared" si="20"/>
        <v/>
      </c>
      <c r="CA88" s="418" t="str">
        <f t="shared" si="27"/>
        <v/>
      </c>
      <c r="CB88" s="418" t="str">
        <f t="shared" si="28"/>
        <v/>
      </c>
      <c r="CC88" s="418" t="str">
        <f t="shared" si="38"/>
        <v/>
      </c>
      <c r="CD88" s="418" t="str">
        <f t="shared" si="29"/>
        <v/>
      </c>
      <c r="CE88" s="418" t="str">
        <f t="shared" si="30"/>
        <v/>
      </c>
      <c r="CF88" s="3590" t="str">
        <f t="shared" si="21"/>
        <v/>
      </c>
      <c r="CG88" s="418" t="str">
        <f t="shared" si="31"/>
        <v/>
      </c>
      <c r="CH88" s="418" t="str">
        <f t="shared" si="32"/>
        <v/>
      </c>
      <c r="CI88" s="417"/>
      <c r="CJ88" s="419">
        <f t="shared" si="33"/>
        <v>0</v>
      </c>
      <c r="CK88" s="419">
        <f t="shared" si="34"/>
        <v>0</v>
      </c>
      <c r="CL88" s="419">
        <f t="shared" si="39"/>
        <v>0</v>
      </c>
      <c r="CM88" s="419">
        <f t="shared" si="35"/>
        <v>0</v>
      </c>
      <c r="CN88" s="419">
        <f t="shared" si="35"/>
        <v>0</v>
      </c>
      <c r="CO88" s="3375">
        <f t="shared" si="22"/>
        <v>0</v>
      </c>
      <c r="CP88" s="419">
        <f t="shared" si="36"/>
        <v>0</v>
      </c>
      <c r="CQ88" s="419">
        <f t="shared" si="36"/>
        <v>0</v>
      </c>
    </row>
    <row r="89" spans="1:95">
      <c r="A89" s="6129"/>
      <c r="B89" s="1505" t="s">
        <v>113</v>
      </c>
      <c r="C89" s="429">
        <f t="shared" si="26"/>
        <v>0</v>
      </c>
      <c r="D89" s="430">
        <f t="shared" si="37"/>
        <v>0</v>
      </c>
      <c r="E89" s="3612">
        <f t="shared" si="37"/>
        <v>0</v>
      </c>
      <c r="F89" s="1455"/>
      <c r="G89" s="1467"/>
      <c r="H89" s="1455"/>
      <c r="I89" s="1467"/>
      <c r="J89" s="1455"/>
      <c r="K89" s="1467"/>
      <c r="L89" s="1455"/>
      <c r="M89" s="1467"/>
      <c r="N89" s="1455"/>
      <c r="O89" s="1467"/>
      <c r="P89" s="1455"/>
      <c r="Q89" s="1467"/>
      <c r="R89" s="1455"/>
      <c r="S89" s="1467"/>
      <c r="T89" s="1455"/>
      <c r="U89" s="1467"/>
      <c r="V89" s="1455"/>
      <c r="W89" s="1467"/>
      <c r="X89" s="1455"/>
      <c r="Y89" s="1467"/>
      <c r="Z89" s="1455"/>
      <c r="AA89" s="1467"/>
      <c r="AB89" s="1455"/>
      <c r="AC89" s="1467"/>
      <c r="AD89" s="1455"/>
      <c r="AE89" s="1467"/>
      <c r="AF89" s="1455"/>
      <c r="AG89" s="1467"/>
      <c r="AH89" s="1455"/>
      <c r="AI89" s="1467"/>
      <c r="AJ89" s="1455"/>
      <c r="AK89" s="1467"/>
      <c r="AL89" s="1455"/>
      <c r="AM89" s="1467"/>
      <c r="AN89" s="3393"/>
      <c r="AO89" s="3385"/>
      <c r="AP89" s="2235"/>
      <c r="AQ89" s="3578"/>
      <c r="AR89" s="438"/>
      <c r="AS89" s="3578"/>
      <c r="AT89" s="3578"/>
      <c r="AU89" s="438"/>
      <c r="AV89" s="3373" t="str">
        <f t="shared" si="20"/>
        <v/>
      </c>
      <c r="CA89" s="418" t="str">
        <f t="shared" si="27"/>
        <v/>
      </c>
      <c r="CB89" s="418" t="str">
        <f t="shared" si="28"/>
        <v/>
      </c>
      <c r="CC89" s="418" t="str">
        <f t="shared" si="38"/>
        <v/>
      </c>
      <c r="CD89" s="418" t="str">
        <f t="shared" si="29"/>
        <v/>
      </c>
      <c r="CE89" s="418" t="str">
        <f t="shared" si="30"/>
        <v/>
      </c>
      <c r="CF89" s="3590" t="str">
        <f t="shared" si="21"/>
        <v/>
      </c>
      <c r="CG89" s="418" t="str">
        <f t="shared" si="31"/>
        <v/>
      </c>
      <c r="CH89" s="418" t="str">
        <f t="shared" si="32"/>
        <v/>
      </c>
      <c r="CI89" s="417"/>
      <c r="CJ89" s="419">
        <f t="shared" si="33"/>
        <v>0</v>
      </c>
      <c r="CK89" s="419">
        <f t="shared" si="34"/>
        <v>0</v>
      </c>
      <c r="CL89" s="419">
        <f t="shared" si="39"/>
        <v>0</v>
      </c>
      <c r="CM89" s="419">
        <f t="shared" si="35"/>
        <v>0</v>
      </c>
      <c r="CN89" s="419">
        <f t="shared" si="35"/>
        <v>0</v>
      </c>
      <c r="CO89" s="3375">
        <f t="shared" si="22"/>
        <v>0</v>
      </c>
      <c r="CP89" s="419">
        <f t="shared" si="36"/>
        <v>0</v>
      </c>
      <c r="CQ89" s="419">
        <f t="shared" si="36"/>
        <v>0</v>
      </c>
    </row>
    <row r="90" spans="1:95" ht="18" customHeight="1">
      <c r="A90" s="5713" t="s">
        <v>2161</v>
      </c>
      <c r="B90" s="5713"/>
      <c r="C90" s="5713"/>
      <c r="D90" s="5713"/>
      <c r="E90" s="5713"/>
      <c r="F90" s="5713"/>
      <c r="G90" s="5713"/>
      <c r="H90" s="5713"/>
      <c r="I90" s="5713"/>
      <c r="J90" s="5713"/>
      <c r="K90" s="5713"/>
      <c r="L90" s="5713"/>
      <c r="M90" s="5713"/>
      <c r="N90" s="5713"/>
      <c r="O90" s="5713"/>
      <c r="P90" s="5713"/>
      <c r="Q90" s="5713"/>
      <c r="R90" s="5713"/>
      <c r="S90" s="5713"/>
      <c r="T90" s="5713"/>
      <c r="U90" s="5713"/>
      <c r="V90" s="5713"/>
      <c r="W90" s="5713"/>
      <c r="X90" s="5713"/>
      <c r="Y90" s="5713"/>
      <c r="Z90" s="5713"/>
      <c r="AA90" s="5713"/>
      <c r="AB90" s="5713"/>
      <c r="AC90" s="5713"/>
      <c r="AD90" s="5713"/>
      <c r="AE90" s="5713"/>
      <c r="AF90" s="5713"/>
      <c r="AG90" s="5713"/>
      <c r="AH90" s="5713"/>
      <c r="AI90" s="5713"/>
      <c r="AJ90" s="5713"/>
      <c r="AK90" s="5713"/>
      <c r="AL90" s="5713"/>
      <c r="AM90" s="5713"/>
    </row>
    <row r="91" spans="1:95" ht="18" customHeight="1">
      <c r="A91" s="5718" t="s">
        <v>2162</v>
      </c>
      <c r="B91" s="6298" t="s">
        <v>2163</v>
      </c>
      <c r="C91" s="6140" t="s">
        <v>323</v>
      </c>
      <c r="D91" s="6139"/>
      <c r="E91" s="6119"/>
      <c r="F91" s="5707" t="s">
        <v>115</v>
      </c>
      <c r="G91" s="5708"/>
      <c r="H91" s="5708"/>
      <c r="I91" s="5708"/>
      <c r="J91" s="5708"/>
      <c r="K91" s="5708"/>
      <c r="L91" s="5708"/>
      <c r="M91" s="5708"/>
      <c r="N91" s="5708"/>
      <c r="O91" s="5708"/>
      <c r="P91" s="5708"/>
      <c r="Q91" s="5708"/>
      <c r="R91" s="5708"/>
      <c r="S91" s="5708"/>
      <c r="T91" s="5708"/>
      <c r="U91" s="5708"/>
      <c r="V91" s="5708"/>
      <c r="W91" s="5708"/>
      <c r="X91" s="5708"/>
      <c r="Y91" s="5708"/>
      <c r="Z91" s="5708"/>
      <c r="AA91" s="5708"/>
      <c r="AB91" s="5708"/>
      <c r="AC91" s="5708"/>
      <c r="AD91" s="5708"/>
      <c r="AE91" s="5708"/>
      <c r="AF91" s="5708"/>
      <c r="AG91" s="5708"/>
      <c r="AH91" s="5708"/>
      <c r="AI91" s="5708"/>
      <c r="AJ91" s="5708"/>
      <c r="AK91" s="5708"/>
      <c r="AL91" s="5708"/>
      <c r="AM91" s="6147"/>
      <c r="AN91" s="6139" t="s">
        <v>478</v>
      </c>
      <c r="AO91" s="6119"/>
      <c r="AP91" s="6140" t="s">
        <v>50</v>
      </c>
      <c r="AQ91" s="5718" t="s">
        <v>51</v>
      </c>
      <c r="AR91" s="5718" t="s">
        <v>514</v>
      </c>
      <c r="AS91" s="6119" t="s">
        <v>49</v>
      </c>
    </row>
    <row r="92" spans="1:95" ht="18" customHeight="1">
      <c r="A92" s="6110"/>
      <c r="B92" s="6299"/>
      <c r="C92" s="6114"/>
      <c r="D92" s="6115"/>
      <c r="E92" s="6116"/>
      <c r="F92" s="5710" t="s">
        <v>364</v>
      </c>
      <c r="G92" s="5712"/>
      <c r="H92" s="5710" t="s">
        <v>347</v>
      </c>
      <c r="I92" s="5712"/>
      <c r="J92" s="5710" t="s">
        <v>108</v>
      </c>
      <c r="K92" s="5712"/>
      <c r="L92" s="5710" t="s">
        <v>2137</v>
      </c>
      <c r="M92" s="5712"/>
      <c r="N92" s="5710" t="s">
        <v>326</v>
      </c>
      <c r="O92" s="5712"/>
      <c r="P92" s="5710" t="s">
        <v>1003</v>
      </c>
      <c r="Q92" s="5712"/>
      <c r="R92" s="5710" t="s">
        <v>656</v>
      </c>
      <c r="S92" s="5712"/>
      <c r="T92" s="5710" t="s">
        <v>2138</v>
      </c>
      <c r="U92" s="5712"/>
      <c r="V92" s="5710" t="s">
        <v>657</v>
      </c>
      <c r="W92" s="5712"/>
      <c r="X92" s="5710" t="s">
        <v>2139</v>
      </c>
      <c r="Y92" s="5712"/>
      <c r="Z92" s="5710" t="s">
        <v>2140</v>
      </c>
      <c r="AA92" s="5712"/>
      <c r="AB92" s="5710" t="s">
        <v>2022</v>
      </c>
      <c r="AC92" s="5712"/>
      <c r="AD92" s="5710" t="s">
        <v>1650</v>
      </c>
      <c r="AE92" s="5712"/>
      <c r="AF92" s="5710" t="s">
        <v>329</v>
      </c>
      <c r="AG92" s="5712"/>
      <c r="AH92" s="5710" t="s">
        <v>2141</v>
      </c>
      <c r="AI92" s="5712"/>
      <c r="AJ92" s="5710" t="s">
        <v>2142</v>
      </c>
      <c r="AK92" s="5712"/>
      <c r="AL92" s="5707" t="s">
        <v>71</v>
      </c>
      <c r="AM92" s="6147"/>
      <c r="AN92" s="6115"/>
      <c r="AO92" s="6116"/>
      <c r="AP92" s="6141"/>
      <c r="AQ92" s="6110"/>
      <c r="AR92" s="6110"/>
      <c r="AS92" s="6120"/>
    </row>
    <row r="93" spans="1:95" ht="54" customHeight="1">
      <c r="A93" s="5719"/>
      <c r="B93" s="6300"/>
      <c r="C93" s="1395" t="s">
        <v>93</v>
      </c>
      <c r="D93" s="1396" t="s">
        <v>72</v>
      </c>
      <c r="E93" s="393" t="s">
        <v>73</v>
      </c>
      <c r="F93" s="1395" t="s">
        <v>72</v>
      </c>
      <c r="G93" s="393" t="s">
        <v>73</v>
      </c>
      <c r="H93" s="1395" t="s">
        <v>72</v>
      </c>
      <c r="I93" s="393" t="s">
        <v>73</v>
      </c>
      <c r="J93" s="1395" t="s">
        <v>72</v>
      </c>
      <c r="K93" s="393" t="s">
        <v>73</v>
      </c>
      <c r="L93" s="1395" t="s">
        <v>72</v>
      </c>
      <c r="M93" s="393" t="s">
        <v>73</v>
      </c>
      <c r="N93" s="1395" t="s">
        <v>72</v>
      </c>
      <c r="O93" s="393" t="s">
        <v>73</v>
      </c>
      <c r="P93" s="1395" t="s">
        <v>72</v>
      </c>
      <c r="Q93" s="393" t="s">
        <v>73</v>
      </c>
      <c r="R93" s="1395" t="s">
        <v>72</v>
      </c>
      <c r="S93" s="393" t="s">
        <v>73</v>
      </c>
      <c r="T93" s="1395" t="s">
        <v>72</v>
      </c>
      <c r="U93" s="393" t="s">
        <v>73</v>
      </c>
      <c r="V93" s="1395" t="s">
        <v>72</v>
      </c>
      <c r="W93" s="393" t="s">
        <v>73</v>
      </c>
      <c r="X93" s="1395" t="s">
        <v>72</v>
      </c>
      <c r="Y93" s="393" t="s">
        <v>73</v>
      </c>
      <c r="Z93" s="1395" t="s">
        <v>72</v>
      </c>
      <c r="AA93" s="393" t="s">
        <v>73</v>
      </c>
      <c r="AB93" s="1395" t="s">
        <v>72</v>
      </c>
      <c r="AC93" s="393" t="s">
        <v>73</v>
      </c>
      <c r="AD93" s="1395" t="s">
        <v>72</v>
      </c>
      <c r="AE93" s="393" t="s">
        <v>73</v>
      </c>
      <c r="AF93" s="1395" t="s">
        <v>72</v>
      </c>
      <c r="AG93" s="393" t="s">
        <v>73</v>
      </c>
      <c r="AH93" s="1395" t="s">
        <v>72</v>
      </c>
      <c r="AI93" s="393" t="s">
        <v>73</v>
      </c>
      <c r="AJ93" s="1395" t="s">
        <v>72</v>
      </c>
      <c r="AK93" s="393" t="s">
        <v>73</v>
      </c>
      <c r="AL93" s="1395" t="s">
        <v>72</v>
      </c>
      <c r="AM93" s="394" t="s">
        <v>73</v>
      </c>
      <c r="AN93" s="1399" t="s">
        <v>483</v>
      </c>
      <c r="AO93" s="1584" t="s">
        <v>484</v>
      </c>
      <c r="AP93" s="6114"/>
      <c r="AQ93" s="5719"/>
      <c r="AR93" s="5719"/>
      <c r="AS93" s="6116"/>
    </row>
    <row r="94" spans="1:95" ht="21">
      <c r="A94" s="6127" t="s">
        <v>2164</v>
      </c>
      <c r="B94" s="3613" t="s">
        <v>2165</v>
      </c>
      <c r="C94" s="2393">
        <f t="shared" si="26"/>
        <v>0</v>
      </c>
      <c r="D94" s="3453">
        <f>+L94+N94+P94+R94+T94+V94+X94+Z94+AB94+AD94+AF94+AH94</f>
        <v>0</v>
      </c>
      <c r="E94" s="1736">
        <f>+M94+O94+Q94+S94+U94+W94+Y94+AA94+AC94+AE94+AG94+AI94</f>
        <v>0</v>
      </c>
      <c r="F94" s="3614"/>
      <c r="G94" s="3615"/>
      <c r="H94" s="3614"/>
      <c r="I94" s="3432"/>
      <c r="J94" s="3614"/>
      <c r="K94" s="3432"/>
      <c r="L94" s="448"/>
      <c r="M94" s="449"/>
      <c r="N94" s="2307"/>
      <c r="O94" s="3616"/>
      <c r="P94" s="2246"/>
      <c r="Q94" s="449"/>
      <c r="R94" s="3528"/>
      <c r="S94" s="3616"/>
      <c r="T94" s="448"/>
      <c r="U94" s="2229"/>
      <c r="V94" s="2307"/>
      <c r="W94" s="3528"/>
      <c r="X94" s="448"/>
      <c r="Y94" s="2229"/>
      <c r="Z94" s="2307"/>
      <c r="AA94" s="3528"/>
      <c r="AB94" s="448"/>
      <c r="AC94" s="2229"/>
      <c r="AD94" s="448"/>
      <c r="AE94" s="449"/>
      <c r="AF94" s="448"/>
      <c r="AG94" s="449"/>
      <c r="AH94" s="448"/>
      <c r="AI94" s="449"/>
      <c r="AJ94" s="3614"/>
      <c r="AK94" s="3432"/>
      <c r="AL94" s="3615"/>
      <c r="AM94" s="3617"/>
      <c r="AN94" s="423"/>
      <c r="AO94" s="449"/>
      <c r="AP94" s="2246"/>
      <c r="AQ94" s="452"/>
      <c r="AR94" s="452"/>
      <c r="AS94" s="2229"/>
      <c r="AT94" s="3373" t="str">
        <f t="shared" ref="AT94:AT105" si="42">$CA94&amp;CB94&amp;$CC94&amp;CD94&amp;CE94&amp;CF94</f>
        <v/>
      </c>
      <c r="CA94" s="418" t="str">
        <f t="shared" ref="CA94:CA105" si="43">IF(AND(E94&gt;0,OR(AN94="")),"No olvide digitar los campos *TRANS Masculino. Digite CERO si no tiene.",IF(AN94&gt;$E94,"* El Número de TRANS Masculino no puede superar el Total Mujeres. ",""))</f>
        <v/>
      </c>
      <c r="CB94" s="418" t="str">
        <f t="shared" ref="CB94:CB105" si="44">IF(AND(D94&gt;0,OR(AO94="")),"No olvide digitar los campos *TRANS Femenino. Digite CERO si no tiene.",IF(AO94&gt;D94,"* El Número de TRANS Femenino no puede superar el Total Hombres. ",""))</f>
        <v/>
      </c>
      <c r="CC94" s="418" t="str">
        <f t="shared" ref="CC94:CC105" si="45">IF(AND($C94&lt;&gt;0,AP94=""),"* No olvide ingresar la columna Pueblos Originarios. Digite CERO si no tiene.  ",IF(AP94&gt;$C94,"* El Número de Pueblos Originarios no puede superar el Total. ",""))</f>
        <v/>
      </c>
      <c r="CD94" s="418" t="str">
        <f t="shared" ref="CD94:CD105" si="46">IF(AND($C94&lt;&gt;0,AQ94=""),"* No olvide ingresar la columna Migrantes. Digite CERO si no tiene.  ",IF(AQ94&gt;$C94,"* El Número de Migrantes no puede superar el Total Ambos Sexos. ",""))</f>
        <v/>
      </c>
      <c r="CE94" s="418" t="str">
        <f t="shared" ref="CE94:CE105" si="47">IF(AND($C94&lt;&gt;0,AR94=""),"* No olvide ingresar la variable "&amp;AR$91&amp;". Digite CERO si no tiene.  ",IF(AR94&gt;$C94,"* La Variable "&amp;AR$91&amp;" no puede superar el Total Ambos Sexos. ",""))</f>
        <v/>
      </c>
      <c r="CF94" s="418" t="str">
        <f t="shared" ref="CF94:CF105" si="48">IF(AND($C94&lt;&gt;0,AS94=""),"* No olvide ingresar la variable "&amp;AS$91&amp;". Digite CERO si no tiene. ",IF(AS94&gt;$C94,"* La variable "&amp;AS$91&amp;" no puede superar el Total Ambos Sexos. ",""))</f>
        <v/>
      </c>
      <c r="CJ94" s="419">
        <f t="shared" ref="CJ94:CJ105" si="49">IF(AND($E94&lt;&gt;0,AN94=""),1,IF(AN94&gt;$E94,1,0))</f>
        <v>0</v>
      </c>
      <c r="CK94" s="419">
        <f t="shared" ref="CK94:CK105" si="50">IF(AND($D94&lt;&gt;0,AO94=""),1,IF(AO94&gt;$D94,1,0))</f>
        <v>0</v>
      </c>
      <c r="CL94" s="419">
        <f t="shared" ref="CL94:CO105" si="51">IF(AND($C94&lt;&gt;0,AP94=""),1,IF(AP94&gt;$C94,1,0))</f>
        <v>0</v>
      </c>
      <c r="CM94" s="419">
        <f t="shared" si="35"/>
        <v>0</v>
      </c>
      <c r="CN94" s="419">
        <f>IF(AND($C94&lt;&gt;0,AR94=""),1,IF(AR94&gt;$C94,1,0))</f>
        <v>0</v>
      </c>
      <c r="CO94" s="419">
        <f>IF(AND($C94&lt;&gt;0,AS94=""),1,IF(AS94&gt;$C94,1,0))</f>
        <v>0</v>
      </c>
    </row>
    <row r="95" spans="1:95">
      <c r="A95" s="6128"/>
      <c r="B95" s="1947" t="s">
        <v>2166</v>
      </c>
      <c r="C95" s="1737">
        <f t="shared" si="26"/>
        <v>0</v>
      </c>
      <c r="D95" s="3202">
        <f t="shared" ref="D95:E97" si="52">SUM(F95+H95+J95+L95+N95+P95+R95+T95+V95+X95+Z95+AB95+AD95+AF95+AH95+AJ95+AL95)</f>
        <v>0</v>
      </c>
      <c r="E95" s="1739">
        <f t="shared" si="52"/>
        <v>0</v>
      </c>
      <c r="F95" s="425"/>
      <c r="G95" s="2249"/>
      <c r="H95" s="425"/>
      <c r="I95" s="2231"/>
      <c r="J95" s="423"/>
      <c r="K95" s="3588"/>
      <c r="L95" s="425"/>
      <c r="M95" s="424"/>
      <c r="N95" s="423"/>
      <c r="O95" s="3588"/>
      <c r="P95" s="3568"/>
      <c r="Q95" s="424"/>
      <c r="R95" s="2249"/>
      <c r="S95" s="3588"/>
      <c r="T95" s="425"/>
      <c r="U95" s="2231"/>
      <c r="V95" s="423"/>
      <c r="W95" s="2249"/>
      <c r="X95" s="425"/>
      <c r="Y95" s="2231"/>
      <c r="Z95" s="423"/>
      <c r="AA95" s="2249"/>
      <c r="AB95" s="425"/>
      <c r="AC95" s="2231"/>
      <c r="AD95" s="425"/>
      <c r="AE95" s="424"/>
      <c r="AF95" s="425"/>
      <c r="AG95" s="2231"/>
      <c r="AH95" s="425"/>
      <c r="AI95" s="2231"/>
      <c r="AJ95" s="425"/>
      <c r="AK95" s="2231"/>
      <c r="AL95" s="423"/>
      <c r="AM95" s="3412"/>
      <c r="AN95" s="423"/>
      <c r="AO95" s="424"/>
      <c r="AP95" s="3568"/>
      <c r="AQ95" s="443"/>
      <c r="AR95" s="443"/>
      <c r="AS95" s="2231"/>
      <c r="AT95" s="3373" t="str">
        <f t="shared" si="42"/>
        <v/>
      </c>
      <c r="CA95" s="418" t="str">
        <f t="shared" si="43"/>
        <v/>
      </c>
      <c r="CB95" s="418" t="str">
        <f t="shared" si="44"/>
        <v/>
      </c>
      <c r="CC95" s="418" t="str">
        <f t="shared" si="45"/>
        <v/>
      </c>
      <c r="CD95" s="418" t="str">
        <f t="shared" si="46"/>
        <v/>
      </c>
      <c r="CE95" s="418" t="str">
        <f t="shared" si="47"/>
        <v/>
      </c>
      <c r="CF95" s="418" t="str">
        <f t="shared" si="48"/>
        <v/>
      </c>
      <c r="CJ95" s="419">
        <f t="shared" si="49"/>
        <v>0</v>
      </c>
      <c r="CK95" s="419">
        <f t="shared" si="50"/>
        <v>0</v>
      </c>
      <c r="CL95" s="419">
        <f t="shared" si="51"/>
        <v>0</v>
      </c>
      <c r="CM95" s="419">
        <f t="shared" si="51"/>
        <v>0</v>
      </c>
      <c r="CN95" s="419">
        <f t="shared" si="51"/>
        <v>0</v>
      </c>
      <c r="CO95" s="419">
        <f t="shared" si="51"/>
        <v>0</v>
      </c>
    </row>
    <row r="96" spans="1:95">
      <c r="A96" s="6128"/>
      <c r="B96" s="1947" t="s">
        <v>2167</v>
      </c>
      <c r="C96" s="1737">
        <f t="shared" si="26"/>
        <v>0</v>
      </c>
      <c r="D96" s="3202">
        <f t="shared" si="52"/>
        <v>0</v>
      </c>
      <c r="E96" s="1739">
        <f t="shared" si="52"/>
        <v>0</v>
      </c>
      <c r="F96" s="425"/>
      <c r="G96" s="2249"/>
      <c r="H96" s="425"/>
      <c r="I96" s="2231"/>
      <c r="J96" s="423"/>
      <c r="K96" s="3588"/>
      <c r="L96" s="425"/>
      <c r="M96" s="424"/>
      <c r="N96" s="423"/>
      <c r="O96" s="3588"/>
      <c r="P96" s="3568"/>
      <c r="Q96" s="424"/>
      <c r="R96" s="2249"/>
      <c r="S96" s="3588"/>
      <c r="T96" s="425"/>
      <c r="U96" s="2231"/>
      <c r="V96" s="423"/>
      <c r="W96" s="2249"/>
      <c r="X96" s="425"/>
      <c r="Y96" s="2231"/>
      <c r="Z96" s="423"/>
      <c r="AA96" s="2249"/>
      <c r="AB96" s="425"/>
      <c r="AC96" s="2231"/>
      <c r="AD96" s="425"/>
      <c r="AE96" s="424"/>
      <c r="AF96" s="425"/>
      <c r="AG96" s="2231"/>
      <c r="AH96" s="425"/>
      <c r="AI96" s="2231"/>
      <c r="AJ96" s="425"/>
      <c r="AK96" s="2231"/>
      <c r="AL96" s="423"/>
      <c r="AM96" s="3412"/>
      <c r="AN96" s="423"/>
      <c r="AO96" s="424"/>
      <c r="AP96" s="3568"/>
      <c r="AQ96" s="443"/>
      <c r="AR96" s="443"/>
      <c r="AS96" s="2231"/>
      <c r="AT96" s="3373" t="str">
        <f t="shared" si="42"/>
        <v/>
      </c>
      <c r="CA96" s="418" t="str">
        <f t="shared" si="43"/>
        <v/>
      </c>
      <c r="CB96" s="418" t="str">
        <f t="shared" si="44"/>
        <v/>
      </c>
      <c r="CC96" s="418" t="str">
        <f t="shared" si="45"/>
        <v/>
      </c>
      <c r="CD96" s="418" t="str">
        <f t="shared" si="46"/>
        <v/>
      </c>
      <c r="CE96" s="418" t="str">
        <f t="shared" si="47"/>
        <v/>
      </c>
      <c r="CF96" s="418" t="str">
        <f t="shared" si="48"/>
        <v/>
      </c>
      <c r="CJ96" s="419">
        <f t="shared" si="49"/>
        <v>0</v>
      </c>
      <c r="CK96" s="419">
        <f t="shared" si="50"/>
        <v>0</v>
      </c>
      <c r="CL96" s="419">
        <f t="shared" si="51"/>
        <v>0</v>
      </c>
      <c r="CM96" s="419">
        <f t="shared" si="51"/>
        <v>0</v>
      </c>
      <c r="CN96" s="419">
        <f t="shared" si="51"/>
        <v>0</v>
      </c>
      <c r="CO96" s="419">
        <f t="shared" si="51"/>
        <v>0</v>
      </c>
    </row>
    <row r="97" spans="1:93">
      <c r="A97" s="6128"/>
      <c r="B97" s="1947" t="s">
        <v>2168</v>
      </c>
      <c r="C97" s="1737">
        <f t="shared" si="26"/>
        <v>0</v>
      </c>
      <c r="D97" s="3202">
        <f t="shared" si="52"/>
        <v>0</v>
      </c>
      <c r="E97" s="1739">
        <f t="shared" si="52"/>
        <v>0</v>
      </c>
      <c r="F97" s="425"/>
      <c r="G97" s="2249"/>
      <c r="H97" s="425"/>
      <c r="I97" s="2231"/>
      <c r="J97" s="423"/>
      <c r="K97" s="3588"/>
      <c r="L97" s="425"/>
      <c r="M97" s="424"/>
      <c r="N97" s="423"/>
      <c r="O97" s="3588"/>
      <c r="P97" s="3568"/>
      <c r="Q97" s="424"/>
      <c r="R97" s="2249"/>
      <c r="S97" s="3588"/>
      <c r="T97" s="425"/>
      <c r="U97" s="2231"/>
      <c r="V97" s="423"/>
      <c r="W97" s="2249"/>
      <c r="X97" s="425"/>
      <c r="Y97" s="2231"/>
      <c r="Z97" s="423"/>
      <c r="AA97" s="2249"/>
      <c r="AB97" s="425"/>
      <c r="AC97" s="2231"/>
      <c r="AD97" s="425"/>
      <c r="AE97" s="424"/>
      <c r="AF97" s="425"/>
      <c r="AG97" s="2231"/>
      <c r="AH97" s="425"/>
      <c r="AI97" s="2231"/>
      <c r="AJ97" s="425"/>
      <c r="AK97" s="2231"/>
      <c r="AL97" s="423"/>
      <c r="AM97" s="3412"/>
      <c r="AN97" s="423"/>
      <c r="AO97" s="424"/>
      <c r="AP97" s="3568"/>
      <c r="AQ97" s="443"/>
      <c r="AR97" s="443"/>
      <c r="AS97" s="2231"/>
      <c r="AT97" s="3373" t="str">
        <f t="shared" si="42"/>
        <v/>
      </c>
      <c r="CA97" s="418" t="str">
        <f t="shared" si="43"/>
        <v/>
      </c>
      <c r="CB97" s="418" t="str">
        <f t="shared" si="44"/>
        <v/>
      </c>
      <c r="CC97" s="418" t="str">
        <f t="shared" si="45"/>
        <v/>
      </c>
      <c r="CD97" s="418" t="str">
        <f t="shared" si="46"/>
        <v/>
      </c>
      <c r="CE97" s="418" t="str">
        <f t="shared" si="47"/>
        <v/>
      </c>
      <c r="CF97" s="418" t="str">
        <f t="shared" si="48"/>
        <v/>
      </c>
      <c r="CJ97" s="419">
        <f t="shared" si="49"/>
        <v>0</v>
      </c>
      <c r="CK97" s="419">
        <f t="shared" si="50"/>
        <v>0</v>
      </c>
      <c r="CL97" s="419">
        <f t="shared" si="51"/>
        <v>0</v>
      </c>
      <c r="CM97" s="419">
        <f t="shared" si="51"/>
        <v>0</v>
      </c>
      <c r="CN97" s="419">
        <f t="shared" si="51"/>
        <v>0</v>
      </c>
      <c r="CO97" s="419">
        <f t="shared" si="51"/>
        <v>0</v>
      </c>
    </row>
    <row r="98" spans="1:93">
      <c r="A98" s="6128"/>
      <c r="B98" s="3607" t="s">
        <v>2169</v>
      </c>
      <c r="C98" s="1740">
        <f t="shared" si="26"/>
        <v>0</v>
      </c>
      <c r="D98" s="3618">
        <f>+J98+L98+N98</f>
        <v>0</v>
      </c>
      <c r="E98" s="1742">
        <f>+K98+M98+O98</f>
        <v>0</v>
      </c>
      <c r="F98" s="3583"/>
      <c r="G98" s="3619"/>
      <c r="H98" s="3583"/>
      <c r="I98" s="3584"/>
      <c r="J98" s="423"/>
      <c r="K98" s="3588"/>
      <c r="L98" s="3419"/>
      <c r="M98" s="3441"/>
      <c r="N98" s="3424"/>
      <c r="O98" s="3440"/>
      <c r="P98" s="3597"/>
      <c r="Q98" s="3596"/>
      <c r="R98" s="3619"/>
      <c r="S98" s="3620"/>
      <c r="T98" s="3583"/>
      <c r="U98" s="3584"/>
      <c r="V98" s="3606"/>
      <c r="W98" s="3619"/>
      <c r="X98" s="3583"/>
      <c r="Y98" s="3584"/>
      <c r="Z98" s="3606"/>
      <c r="AA98" s="3619"/>
      <c r="AB98" s="3583"/>
      <c r="AC98" s="3584"/>
      <c r="AD98" s="3583"/>
      <c r="AE98" s="3596"/>
      <c r="AF98" s="3583"/>
      <c r="AG98" s="3584"/>
      <c r="AH98" s="3583"/>
      <c r="AI98" s="3584"/>
      <c r="AJ98" s="3583"/>
      <c r="AK98" s="3584"/>
      <c r="AL98" s="3619"/>
      <c r="AM98" s="3598"/>
      <c r="AN98" s="423"/>
      <c r="AO98" s="424"/>
      <c r="AP98" s="3568"/>
      <c r="AQ98" s="3592"/>
      <c r="AR98" s="3592"/>
      <c r="AS98" s="3422"/>
      <c r="AT98" s="3373" t="str">
        <f t="shared" si="42"/>
        <v/>
      </c>
      <c r="CA98" s="418" t="str">
        <f t="shared" si="43"/>
        <v/>
      </c>
      <c r="CB98" s="418" t="str">
        <f t="shared" si="44"/>
        <v/>
      </c>
      <c r="CC98" s="418" t="str">
        <f t="shared" si="45"/>
        <v/>
      </c>
      <c r="CD98" s="418" t="str">
        <f t="shared" si="46"/>
        <v/>
      </c>
      <c r="CE98" s="418" t="str">
        <f t="shared" si="47"/>
        <v/>
      </c>
      <c r="CF98" s="418" t="str">
        <f t="shared" si="48"/>
        <v/>
      </c>
      <c r="CJ98" s="419">
        <f t="shared" si="49"/>
        <v>0</v>
      </c>
      <c r="CK98" s="419">
        <f t="shared" si="50"/>
        <v>0</v>
      </c>
      <c r="CL98" s="419">
        <f t="shared" si="51"/>
        <v>0</v>
      </c>
      <c r="CM98" s="419">
        <f t="shared" si="51"/>
        <v>0</v>
      </c>
      <c r="CN98" s="419">
        <f t="shared" si="51"/>
        <v>0</v>
      </c>
      <c r="CO98" s="419">
        <f t="shared" si="51"/>
        <v>0</v>
      </c>
    </row>
    <row r="99" spans="1:93">
      <c r="A99" s="6129"/>
      <c r="B99" s="1505" t="s">
        <v>2170</v>
      </c>
      <c r="C99" s="1773">
        <f t="shared" si="26"/>
        <v>0</v>
      </c>
      <c r="D99" s="3471">
        <f>SUM(F99+H99+J99+L99+N99+P99+R99+T99+V99+X99+Z99+AB99+AD99+AF99+AH99+AJ99+AL99)</f>
        <v>0</v>
      </c>
      <c r="E99" s="1775">
        <f>SUM(G99+I99+K99+M99+O99+Q99+S99+U99+W99+Y99+AA99+AC99+AE99+AG99+AI99+AK99+AM99)</f>
        <v>0</v>
      </c>
      <c r="F99" s="432"/>
      <c r="G99" s="3387"/>
      <c r="H99" s="432"/>
      <c r="I99" s="2235"/>
      <c r="J99" s="3385"/>
      <c r="K99" s="3443"/>
      <c r="L99" s="432"/>
      <c r="M99" s="433"/>
      <c r="N99" s="3385"/>
      <c r="O99" s="3443"/>
      <c r="P99" s="3578"/>
      <c r="Q99" s="433"/>
      <c r="R99" s="3387"/>
      <c r="S99" s="3443"/>
      <c r="T99" s="432"/>
      <c r="U99" s="2235"/>
      <c r="V99" s="3385"/>
      <c r="W99" s="3387"/>
      <c r="X99" s="432"/>
      <c r="Y99" s="2235"/>
      <c r="Z99" s="3385"/>
      <c r="AA99" s="3387"/>
      <c r="AB99" s="432"/>
      <c r="AC99" s="2235"/>
      <c r="AD99" s="432"/>
      <c r="AE99" s="433"/>
      <c r="AF99" s="432"/>
      <c r="AG99" s="2235"/>
      <c r="AH99" s="432"/>
      <c r="AI99" s="2235"/>
      <c r="AJ99" s="432"/>
      <c r="AK99" s="2235"/>
      <c r="AL99" s="432"/>
      <c r="AM99" s="445"/>
      <c r="AN99" s="423"/>
      <c r="AO99" s="424"/>
      <c r="AP99" s="3568"/>
      <c r="AQ99" s="443"/>
      <c r="AR99" s="443"/>
      <c r="AS99" s="2231"/>
      <c r="AT99" s="3373" t="str">
        <f t="shared" si="42"/>
        <v/>
      </c>
      <c r="CA99" s="418" t="str">
        <f t="shared" si="43"/>
        <v/>
      </c>
      <c r="CB99" s="418" t="str">
        <f t="shared" si="44"/>
        <v/>
      </c>
      <c r="CC99" s="418" t="str">
        <f t="shared" si="45"/>
        <v/>
      </c>
      <c r="CD99" s="418" t="str">
        <f t="shared" si="46"/>
        <v/>
      </c>
      <c r="CE99" s="418" t="str">
        <f t="shared" si="47"/>
        <v/>
      </c>
      <c r="CF99" s="418" t="str">
        <f t="shared" si="48"/>
        <v/>
      </c>
      <c r="CJ99" s="419">
        <f t="shared" si="49"/>
        <v>0</v>
      </c>
      <c r="CK99" s="419">
        <f t="shared" si="50"/>
        <v>0</v>
      </c>
      <c r="CL99" s="419">
        <f t="shared" si="51"/>
        <v>0</v>
      </c>
      <c r="CM99" s="419">
        <f t="shared" si="51"/>
        <v>0</v>
      </c>
      <c r="CN99" s="419">
        <f t="shared" si="51"/>
        <v>0</v>
      </c>
      <c r="CO99" s="419">
        <f t="shared" si="51"/>
        <v>0</v>
      </c>
    </row>
    <row r="100" spans="1:93" ht="21">
      <c r="A100" s="6127" t="s">
        <v>2171</v>
      </c>
      <c r="B100" s="3613" t="s">
        <v>2165</v>
      </c>
      <c r="C100" s="2393">
        <f t="shared" si="26"/>
        <v>0</v>
      </c>
      <c r="D100" s="3453">
        <f>+L100+N100+P100+R100+T100+V100+X100+Z100+AB100+AD100+AF100+AH100</f>
        <v>0</v>
      </c>
      <c r="E100" s="1736">
        <f>+M100+O100+Q100+S100+U100+W100+Y100+AA100+AC100+AE100+AG100+AI100</f>
        <v>0</v>
      </c>
      <c r="F100" s="3614"/>
      <c r="G100" s="3615"/>
      <c r="H100" s="3614"/>
      <c r="I100" s="3432"/>
      <c r="J100" s="3614"/>
      <c r="K100" s="3432"/>
      <c r="L100" s="448"/>
      <c r="M100" s="449"/>
      <c r="N100" s="2307"/>
      <c r="O100" s="3616"/>
      <c r="P100" s="2246"/>
      <c r="Q100" s="449"/>
      <c r="R100" s="3528"/>
      <c r="S100" s="3616"/>
      <c r="T100" s="448"/>
      <c r="U100" s="2229"/>
      <c r="V100" s="2307"/>
      <c r="W100" s="3528"/>
      <c r="X100" s="448"/>
      <c r="Y100" s="2229"/>
      <c r="Z100" s="2307"/>
      <c r="AA100" s="3528"/>
      <c r="AB100" s="448"/>
      <c r="AC100" s="2229"/>
      <c r="AD100" s="448"/>
      <c r="AE100" s="449"/>
      <c r="AF100" s="448"/>
      <c r="AG100" s="449"/>
      <c r="AH100" s="448"/>
      <c r="AI100" s="449"/>
      <c r="AJ100" s="3377"/>
      <c r="AK100" s="3103"/>
      <c r="AL100" s="3371"/>
      <c r="AM100" s="3457"/>
      <c r="AN100" s="423"/>
      <c r="AO100" s="424"/>
      <c r="AP100" s="3568"/>
      <c r="AQ100" s="416"/>
      <c r="AR100" s="416"/>
      <c r="AS100" s="2261"/>
      <c r="AT100" s="3373" t="str">
        <f t="shared" si="42"/>
        <v/>
      </c>
      <c r="CA100" s="418" t="str">
        <f t="shared" si="43"/>
        <v/>
      </c>
      <c r="CB100" s="418" t="str">
        <f t="shared" si="44"/>
        <v/>
      </c>
      <c r="CC100" s="418" t="str">
        <f t="shared" si="45"/>
        <v/>
      </c>
      <c r="CD100" s="418" t="str">
        <f t="shared" si="46"/>
        <v/>
      </c>
      <c r="CE100" s="418" t="str">
        <f t="shared" si="47"/>
        <v/>
      </c>
      <c r="CF100" s="418" t="str">
        <f t="shared" si="48"/>
        <v/>
      </c>
      <c r="CJ100" s="419">
        <f t="shared" si="49"/>
        <v>0</v>
      </c>
      <c r="CK100" s="419">
        <f t="shared" si="50"/>
        <v>0</v>
      </c>
      <c r="CL100" s="419">
        <f t="shared" si="51"/>
        <v>0</v>
      </c>
      <c r="CM100" s="419">
        <f t="shared" si="51"/>
        <v>0</v>
      </c>
      <c r="CN100" s="419">
        <f t="shared" si="51"/>
        <v>0</v>
      </c>
      <c r="CO100" s="419">
        <f t="shared" si="51"/>
        <v>0</v>
      </c>
    </row>
    <row r="101" spans="1:93">
      <c r="A101" s="6128"/>
      <c r="B101" s="1947" t="s">
        <v>2166</v>
      </c>
      <c r="C101" s="1737">
        <f t="shared" si="26"/>
        <v>0</v>
      </c>
      <c r="D101" s="3202">
        <f t="shared" ref="D101:E103" si="53">SUM(F101+H101+J101+L101+N101+P101+R101+T101+V101+X101+Z101+AB101+AD101+AF101+AH101+AJ101+AL101)</f>
        <v>0</v>
      </c>
      <c r="E101" s="1739">
        <f t="shared" si="53"/>
        <v>0</v>
      </c>
      <c r="F101" s="413"/>
      <c r="G101" s="3543"/>
      <c r="H101" s="413"/>
      <c r="I101" s="2261"/>
      <c r="J101" s="413"/>
      <c r="K101" s="3543"/>
      <c r="L101" s="425"/>
      <c r="M101" s="2261"/>
      <c r="N101" s="423"/>
      <c r="O101" s="3543"/>
      <c r="P101" s="425"/>
      <c r="Q101" s="2261"/>
      <c r="R101" s="423"/>
      <c r="S101" s="3543"/>
      <c r="T101" s="425"/>
      <c r="U101" s="2261"/>
      <c r="V101" s="423"/>
      <c r="W101" s="3543"/>
      <c r="X101" s="425"/>
      <c r="Y101" s="2261"/>
      <c r="Z101" s="423"/>
      <c r="AA101" s="3543"/>
      <c r="AB101" s="425"/>
      <c r="AC101" s="2261"/>
      <c r="AD101" s="425"/>
      <c r="AE101" s="412"/>
      <c r="AF101" s="425"/>
      <c r="AG101" s="2231"/>
      <c r="AH101" s="425"/>
      <c r="AI101" s="2231"/>
      <c r="AJ101" s="425"/>
      <c r="AK101" s="2231"/>
      <c r="AL101" s="423"/>
      <c r="AM101" s="3412"/>
      <c r="AN101" s="423"/>
      <c r="AO101" s="424"/>
      <c r="AP101" s="3568"/>
      <c r="AQ101" s="416"/>
      <c r="AR101" s="416"/>
      <c r="AS101" s="2261"/>
      <c r="AT101" s="3373" t="str">
        <f t="shared" si="42"/>
        <v/>
      </c>
      <c r="CA101" s="418" t="str">
        <f t="shared" si="43"/>
        <v/>
      </c>
      <c r="CB101" s="418" t="str">
        <f t="shared" si="44"/>
        <v/>
      </c>
      <c r="CC101" s="418" t="str">
        <f t="shared" si="45"/>
        <v/>
      </c>
      <c r="CD101" s="418" t="str">
        <f t="shared" si="46"/>
        <v/>
      </c>
      <c r="CE101" s="418" t="str">
        <f t="shared" si="47"/>
        <v/>
      </c>
      <c r="CF101" s="418" t="str">
        <f t="shared" si="48"/>
        <v/>
      </c>
      <c r="CJ101" s="419">
        <f t="shared" si="49"/>
        <v>0</v>
      </c>
      <c r="CK101" s="419">
        <f t="shared" si="50"/>
        <v>0</v>
      </c>
      <c r="CL101" s="419">
        <f t="shared" si="51"/>
        <v>0</v>
      </c>
      <c r="CM101" s="419">
        <f t="shared" si="51"/>
        <v>0</v>
      </c>
      <c r="CN101" s="419">
        <f t="shared" si="51"/>
        <v>0</v>
      </c>
      <c r="CO101" s="419">
        <f t="shared" si="51"/>
        <v>0</v>
      </c>
    </row>
    <row r="102" spans="1:93">
      <c r="A102" s="6128"/>
      <c r="B102" s="1947" t="s">
        <v>2167</v>
      </c>
      <c r="C102" s="1737">
        <f t="shared" si="26"/>
        <v>0</v>
      </c>
      <c r="D102" s="3202">
        <f t="shared" si="53"/>
        <v>0</v>
      </c>
      <c r="E102" s="1739">
        <f t="shared" si="53"/>
        <v>0</v>
      </c>
      <c r="F102" s="425"/>
      <c r="G102" s="2249"/>
      <c r="H102" s="425"/>
      <c r="I102" s="2231"/>
      <c r="J102" s="425"/>
      <c r="K102" s="2249"/>
      <c r="L102" s="425"/>
      <c r="M102" s="2231"/>
      <c r="N102" s="423"/>
      <c r="O102" s="2249"/>
      <c r="P102" s="425"/>
      <c r="Q102" s="2231"/>
      <c r="R102" s="423"/>
      <c r="S102" s="2249"/>
      <c r="T102" s="425"/>
      <c r="U102" s="2231"/>
      <c r="V102" s="423"/>
      <c r="W102" s="2249"/>
      <c r="X102" s="425"/>
      <c r="Y102" s="2231"/>
      <c r="Z102" s="423"/>
      <c r="AA102" s="2249"/>
      <c r="AB102" s="425"/>
      <c r="AC102" s="2231"/>
      <c r="AD102" s="425"/>
      <c r="AE102" s="424"/>
      <c r="AF102" s="425"/>
      <c r="AG102" s="2231"/>
      <c r="AH102" s="425"/>
      <c r="AI102" s="2231"/>
      <c r="AJ102" s="425"/>
      <c r="AK102" s="2231"/>
      <c r="AL102" s="423"/>
      <c r="AM102" s="3412"/>
      <c r="AN102" s="423"/>
      <c r="AO102" s="424"/>
      <c r="AP102" s="3568"/>
      <c r="AQ102" s="443"/>
      <c r="AR102" s="443"/>
      <c r="AS102" s="2231"/>
      <c r="AT102" s="3373" t="str">
        <f t="shared" si="42"/>
        <v/>
      </c>
      <c r="CA102" s="418" t="str">
        <f t="shared" si="43"/>
        <v/>
      </c>
      <c r="CB102" s="418" t="str">
        <f t="shared" si="44"/>
        <v/>
      </c>
      <c r="CC102" s="418" t="str">
        <f t="shared" si="45"/>
        <v/>
      </c>
      <c r="CD102" s="418" t="str">
        <f t="shared" si="46"/>
        <v/>
      </c>
      <c r="CE102" s="418" t="str">
        <f t="shared" si="47"/>
        <v/>
      </c>
      <c r="CF102" s="418" t="str">
        <f t="shared" si="48"/>
        <v/>
      </c>
      <c r="CJ102" s="419">
        <f t="shared" si="49"/>
        <v>0</v>
      </c>
      <c r="CK102" s="419">
        <f t="shared" si="50"/>
        <v>0</v>
      </c>
      <c r="CL102" s="419">
        <f t="shared" si="51"/>
        <v>0</v>
      </c>
      <c r="CM102" s="419">
        <f t="shared" si="51"/>
        <v>0</v>
      </c>
      <c r="CN102" s="419">
        <f t="shared" si="51"/>
        <v>0</v>
      </c>
      <c r="CO102" s="419">
        <f t="shared" si="51"/>
        <v>0</v>
      </c>
    </row>
    <row r="103" spans="1:93">
      <c r="A103" s="6128"/>
      <c r="B103" s="1947" t="s">
        <v>2168</v>
      </c>
      <c r="C103" s="1737">
        <f t="shared" si="26"/>
        <v>0</v>
      </c>
      <c r="D103" s="3202">
        <f t="shared" si="53"/>
        <v>0</v>
      </c>
      <c r="E103" s="1739">
        <f t="shared" si="53"/>
        <v>0</v>
      </c>
      <c r="F103" s="425"/>
      <c r="G103" s="2249"/>
      <c r="H103" s="425"/>
      <c r="I103" s="2231"/>
      <c r="J103" s="425"/>
      <c r="K103" s="2249"/>
      <c r="L103" s="425"/>
      <c r="M103" s="2231"/>
      <c r="N103" s="423"/>
      <c r="O103" s="2249"/>
      <c r="P103" s="425"/>
      <c r="Q103" s="2231"/>
      <c r="R103" s="423"/>
      <c r="S103" s="2249"/>
      <c r="T103" s="425"/>
      <c r="U103" s="2231"/>
      <c r="V103" s="423"/>
      <c r="W103" s="2249"/>
      <c r="X103" s="425"/>
      <c r="Y103" s="2231"/>
      <c r="Z103" s="423"/>
      <c r="AA103" s="2249"/>
      <c r="AB103" s="425"/>
      <c r="AC103" s="2231"/>
      <c r="AD103" s="425"/>
      <c r="AE103" s="424"/>
      <c r="AF103" s="425"/>
      <c r="AG103" s="2231"/>
      <c r="AH103" s="425"/>
      <c r="AI103" s="2231"/>
      <c r="AJ103" s="425"/>
      <c r="AK103" s="2231"/>
      <c r="AL103" s="423"/>
      <c r="AM103" s="3412"/>
      <c r="AN103" s="423"/>
      <c r="AO103" s="424"/>
      <c r="AP103" s="3568"/>
      <c r="AQ103" s="443"/>
      <c r="AR103" s="443"/>
      <c r="AS103" s="2231"/>
      <c r="AT103" s="3373" t="str">
        <f t="shared" si="42"/>
        <v/>
      </c>
      <c r="CA103" s="418" t="str">
        <f t="shared" si="43"/>
        <v/>
      </c>
      <c r="CB103" s="418" t="str">
        <f t="shared" si="44"/>
        <v/>
      </c>
      <c r="CC103" s="418" t="str">
        <f t="shared" si="45"/>
        <v/>
      </c>
      <c r="CD103" s="418" t="str">
        <f t="shared" si="46"/>
        <v/>
      </c>
      <c r="CE103" s="418" t="str">
        <f t="shared" si="47"/>
        <v/>
      </c>
      <c r="CF103" s="418" t="str">
        <f t="shared" si="48"/>
        <v/>
      </c>
      <c r="CJ103" s="419">
        <f t="shared" si="49"/>
        <v>0</v>
      </c>
      <c r="CK103" s="419">
        <f t="shared" si="50"/>
        <v>0</v>
      </c>
      <c r="CL103" s="419">
        <f t="shared" si="51"/>
        <v>0</v>
      </c>
      <c r="CM103" s="419">
        <f t="shared" si="51"/>
        <v>0</v>
      </c>
      <c r="CN103" s="419">
        <f t="shared" si="51"/>
        <v>0</v>
      </c>
      <c r="CO103" s="419">
        <f t="shared" si="51"/>
        <v>0</v>
      </c>
    </row>
    <row r="104" spans="1:93">
      <c r="A104" s="6128"/>
      <c r="B104" s="3607" t="s">
        <v>2169</v>
      </c>
      <c r="C104" s="1740">
        <f t="shared" si="26"/>
        <v>0</v>
      </c>
      <c r="D104" s="3618">
        <f>+J104+L104+N104</f>
        <v>0</v>
      </c>
      <c r="E104" s="1742">
        <f>+K104+M104+O104</f>
        <v>0</v>
      </c>
      <c r="F104" s="3583"/>
      <c r="G104" s="3619"/>
      <c r="H104" s="3603"/>
      <c r="I104" s="3205"/>
      <c r="J104" s="425"/>
      <c r="K104" s="2249"/>
      <c r="L104" s="425"/>
      <c r="M104" s="2231"/>
      <c r="N104" s="423"/>
      <c r="O104" s="2249"/>
      <c r="P104" s="3621"/>
      <c r="Q104" s="3604"/>
      <c r="R104" s="3622"/>
      <c r="S104" s="3623"/>
      <c r="T104" s="3603"/>
      <c r="U104" s="3205"/>
      <c r="V104" s="3204"/>
      <c r="W104" s="3622"/>
      <c r="X104" s="3603"/>
      <c r="Y104" s="3205"/>
      <c r="Z104" s="3204"/>
      <c r="AA104" s="3622"/>
      <c r="AB104" s="3603"/>
      <c r="AC104" s="3205"/>
      <c r="AD104" s="3603"/>
      <c r="AE104" s="3604"/>
      <c r="AF104" s="3603"/>
      <c r="AG104" s="3205"/>
      <c r="AH104" s="3603"/>
      <c r="AI104" s="3205"/>
      <c r="AJ104" s="3603"/>
      <c r="AK104" s="3205"/>
      <c r="AL104" s="3622"/>
      <c r="AM104" s="3624"/>
      <c r="AN104" s="423"/>
      <c r="AO104" s="424"/>
      <c r="AP104" s="3568"/>
      <c r="AQ104" s="443"/>
      <c r="AR104" s="443"/>
      <c r="AS104" s="2231"/>
      <c r="AT104" s="3373" t="str">
        <f t="shared" si="42"/>
        <v/>
      </c>
      <c r="CA104" s="418" t="str">
        <f t="shared" si="43"/>
        <v/>
      </c>
      <c r="CB104" s="418" t="str">
        <f t="shared" si="44"/>
        <v/>
      </c>
      <c r="CC104" s="418" t="str">
        <f t="shared" si="45"/>
        <v/>
      </c>
      <c r="CD104" s="418" t="str">
        <f t="shared" si="46"/>
        <v/>
      </c>
      <c r="CE104" s="418" t="str">
        <f t="shared" si="47"/>
        <v/>
      </c>
      <c r="CF104" s="418" t="str">
        <f t="shared" si="48"/>
        <v/>
      </c>
      <c r="CJ104" s="419">
        <f t="shared" si="49"/>
        <v>0</v>
      </c>
      <c r="CK104" s="419">
        <f t="shared" si="50"/>
        <v>0</v>
      </c>
      <c r="CL104" s="419">
        <f t="shared" si="51"/>
        <v>0</v>
      </c>
      <c r="CM104" s="419">
        <f t="shared" si="51"/>
        <v>0</v>
      </c>
      <c r="CN104" s="419">
        <f t="shared" si="51"/>
        <v>0</v>
      </c>
      <c r="CO104" s="419">
        <f t="shared" si="51"/>
        <v>0</v>
      </c>
    </row>
    <row r="105" spans="1:93">
      <c r="A105" s="6129"/>
      <c r="B105" s="1505" t="s">
        <v>2170</v>
      </c>
      <c r="C105" s="1773">
        <f t="shared" si="26"/>
        <v>0</v>
      </c>
      <c r="D105" s="3471">
        <f>SUM(F105+H105+J105+L105+N105+P105+R105+T105+V105+X105+Z105+AB105+AD105+AF105+AH105+AJ105+AL105)</f>
        <v>0</v>
      </c>
      <c r="E105" s="1775">
        <f>SUM(G105+I105+K105+M105+O105+Q105+S105+U105+W105+Y105+AA105+AC105+AE105+AG105+AI105+AK105+AM105)</f>
        <v>0</v>
      </c>
      <c r="F105" s="432"/>
      <c r="G105" s="3387"/>
      <c r="H105" s="432"/>
      <c r="I105" s="2235"/>
      <c r="J105" s="3385"/>
      <c r="K105" s="3443"/>
      <c r="L105" s="432"/>
      <c r="M105" s="433"/>
      <c r="N105" s="3385"/>
      <c r="O105" s="3443"/>
      <c r="P105" s="3578"/>
      <c r="Q105" s="433"/>
      <c r="R105" s="3387"/>
      <c r="S105" s="3443"/>
      <c r="T105" s="432"/>
      <c r="U105" s="2235"/>
      <c r="V105" s="3385"/>
      <c r="W105" s="3387"/>
      <c r="X105" s="432"/>
      <c r="Y105" s="2235"/>
      <c r="Z105" s="3385"/>
      <c r="AA105" s="3387"/>
      <c r="AB105" s="432"/>
      <c r="AC105" s="2235"/>
      <c r="AD105" s="432"/>
      <c r="AE105" s="433"/>
      <c r="AF105" s="432"/>
      <c r="AG105" s="2235"/>
      <c r="AH105" s="432"/>
      <c r="AI105" s="2235"/>
      <c r="AJ105" s="432"/>
      <c r="AK105" s="2235"/>
      <c r="AL105" s="3387"/>
      <c r="AM105" s="445"/>
      <c r="AN105" s="3385"/>
      <c r="AO105" s="433"/>
      <c r="AP105" s="3578"/>
      <c r="AQ105" s="438"/>
      <c r="AR105" s="438"/>
      <c r="AS105" s="2235"/>
      <c r="AT105" s="3373" t="str">
        <f t="shared" si="42"/>
        <v/>
      </c>
      <c r="CA105" s="418" t="str">
        <f t="shared" si="43"/>
        <v/>
      </c>
      <c r="CB105" s="418" t="str">
        <f t="shared" si="44"/>
        <v/>
      </c>
      <c r="CC105" s="418" t="str">
        <f t="shared" si="45"/>
        <v/>
      </c>
      <c r="CD105" s="418" t="str">
        <f t="shared" si="46"/>
        <v/>
      </c>
      <c r="CE105" s="418" t="str">
        <f t="shared" si="47"/>
        <v/>
      </c>
      <c r="CF105" s="418" t="str">
        <f t="shared" si="48"/>
        <v/>
      </c>
      <c r="CJ105" s="419">
        <f t="shared" si="49"/>
        <v>0</v>
      </c>
      <c r="CK105" s="419">
        <f t="shared" si="50"/>
        <v>0</v>
      </c>
      <c r="CL105" s="419">
        <f t="shared" si="51"/>
        <v>0</v>
      </c>
      <c r="CM105" s="419">
        <f t="shared" si="51"/>
        <v>0</v>
      </c>
      <c r="CN105" s="419">
        <f t="shared" si="51"/>
        <v>0</v>
      </c>
      <c r="CO105" s="419">
        <f t="shared" si="51"/>
        <v>0</v>
      </c>
    </row>
    <row r="106" spans="1:93" ht="18" customHeight="1">
      <c r="A106" s="5717" t="s">
        <v>2172</v>
      </c>
      <c r="B106" s="5717"/>
      <c r="C106" s="5717"/>
      <c r="D106" s="5717"/>
    </row>
    <row r="107" spans="1:93">
      <c r="A107" s="6127" t="s">
        <v>2173</v>
      </c>
      <c r="B107" s="400" t="s">
        <v>2174</v>
      </c>
      <c r="C107" s="393" t="s">
        <v>2175</v>
      </c>
      <c r="D107" s="393" t="s">
        <v>513</v>
      </c>
    </row>
    <row r="108" spans="1:93">
      <c r="A108" s="6128"/>
      <c r="B108" s="2236" t="s">
        <v>298</v>
      </c>
      <c r="C108" s="452"/>
      <c r="D108" s="452"/>
      <c r="E108" s="3373" t="str">
        <f t="shared" ref="E108:E117" si="54">$CA108</f>
        <v/>
      </c>
      <c r="F108" s="3059"/>
      <c r="G108" s="3059"/>
      <c r="H108" s="3059"/>
      <c r="I108" s="3059"/>
      <c r="J108" s="3059"/>
      <c r="K108" s="3059"/>
      <c r="L108" s="3059"/>
      <c r="M108" s="3059"/>
      <c r="N108" s="3059"/>
      <c r="O108" s="3059"/>
      <c r="P108" s="3059"/>
      <c r="Q108" s="463"/>
      <c r="R108" s="463"/>
      <c r="S108" s="463"/>
      <c r="T108" s="461"/>
      <c r="U108" s="461"/>
      <c r="V108" s="461"/>
      <c r="W108" s="461"/>
      <c r="X108" s="461"/>
      <c r="Y108" s="461"/>
      <c r="Z108" s="461"/>
      <c r="AA108" s="461"/>
      <c r="AB108" s="461"/>
      <c r="AC108" s="461"/>
      <c r="AD108" s="461"/>
      <c r="AE108" s="461"/>
      <c r="AF108" s="461"/>
      <c r="AG108" s="461"/>
      <c r="AH108" s="461"/>
      <c r="AI108" s="461"/>
      <c r="AJ108" s="461"/>
      <c r="AK108" s="461"/>
      <c r="AL108" s="461"/>
      <c r="AM108" s="461"/>
      <c r="AN108" s="461"/>
      <c r="AO108" s="461"/>
      <c r="AP108" s="461"/>
      <c r="AQ108" s="461"/>
      <c r="AR108" s="461"/>
      <c r="AS108" s="461"/>
      <c r="AT108" s="461"/>
      <c r="AU108" s="461"/>
      <c r="AV108" s="461"/>
      <c r="AW108" s="461"/>
      <c r="AX108" s="461"/>
      <c r="AY108" s="461"/>
      <c r="AZ108" s="461"/>
      <c r="BA108" s="461"/>
      <c r="BB108" s="461"/>
      <c r="BC108" s="461"/>
      <c r="BD108" s="461"/>
      <c r="BE108" s="461"/>
      <c r="BF108" s="461"/>
      <c r="BG108" s="461"/>
      <c r="BH108" s="461"/>
      <c r="BI108" s="461"/>
      <c r="BJ108" s="461"/>
      <c r="BK108" s="461"/>
      <c r="BL108" s="461"/>
      <c r="BM108" s="461"/>
      <c r="BN108" s="461"/>
      <c r="BO108" s="461"/>
      <c r="BP108" s="461"/>
      <c r="BQ108" s="461"/>
      <c r="BR108" s="461"/>
      <c r="BS108" s="461"/>
      <c r="BT108" s="461"/>
      <c r="BU108" s="461"/>
      <c r="BV108" s="461"/>
      <c r="BW108" s="461"/>
      <c r="BX108" s="3561"/>
      <c r="BY108" s="3561"/>
      <c r="BZ108" s="3561"/>
      <c r="CA108" s="3625" t="str">
        <f t="shared" ref="CA108:CA117" si="55">IF(D108&lt;=C108,"","* Las consejerías realizadas en Espacios Amigables NO DEBEN ser mayor al Total de Actividades. ")</f>
        <v/>
      </c>
      <c r="CB108" s="3365"/>
      <c r="CC108" s="3365"/>
      <c r="CD108" s="3365"/>
      <c r="CE108" s="3365"/>
      <c r="CF108" s="3365"/>
      <c r="CJ108" s="3626">
        <f t="shared" ref="CJ108:CJ117" si="56">IF(D108&lt;=C108,0,1)</f>
        <v>0</v>
      </c>
    </row>
    <row r="109" spans="1:93">
      <c r="A109" s="6128"/>
      <c r="B109" s="1878" t="s">
        <v>2176</v>
      </c>
      <c r="C109" s="443"/>
      <c r="D109" s="443"/>
      <c r="E109" s="3373" t="str">
        <f t="shared" si="54"/>
        <v/>
      </c>
      <c r="F109" s="3059"/>
      <c r="G109" s="3059"/>
      <c r="H109" s="3059"/>
      <c r="I109" s="3059"/>
      <c r="J109" s="3059"/>
      <c r="K109" s="3059"/>
      <c r="L109" s="3059"/>
      <c r="M109" s="3059"/>
      <c r="N109" s="3059"/>
      <c r="O109" s="3059"/>
      <c r="P109" s="3059"/>
      <c r="Q109" s="463"/>
      <c r="R109" s="463"/>
      <c r="S109" s="463"/>
      <c r="T109" s="461"/>
      <c r="U109" s="461"/>
      <c r="V109" s="461"/>
      <c r="W109" s="461"/>
      <c r="X109" s="461"/>
      <c r="Y109" s="461"/>
      <c r="Z109" s="461"/>
      <c r="AA109" s="461"/>
      <c r="AB109" s="461"/>
      <c r="AC109" s="461"/>
      <c r="AD109" s="461"/>
      <c r="AE109" s="461"/>
      <c r="AF109" s="461"/>
      <c r="AG109" s="461"/>
      <c r="AH109" s="461"/>
      <c r="AI109" s="461"/>
      <c r="AJ109" s="461"/>
      <c r="AK109" s="461"/>
      <c r="AL109" s="461"/>
      <c r="AM109" s="461"/>
      <c r="AN109" s="461"/>
      <c r="AO109" s="461"/>
      <c r="AP109" s="461"/>
      <c r="AQ109" s="461"/>
      <c r="AR109" s="461"/>
      <c r="AS109" s="461"/>
      <c r="AT109" s="461"/>
      <c r="AU109" s="461"/>
      <c r="AV109" s="461"/>
      <c r="AW109" s="461"/>
      <c r="AX109" s="461"/>
      <c r="AY109" s="461"/>
      <c r="AZ109" s="461"/>
      <c r="BA109" s="461"/>
      <c r="BB109" s="461"/>
      <c r="BC109" s="461"/>
      <c r="BD109" s="461"/>
      <c r="BE109" s="461"/>
      <c r="BF109" s="461"/>
      <c r="BG109" s="461"/>
      <c r="BH109" s="461"/>
      <c r="BI109" s="461"/>
      <c r="BJ109" s="461"/>
      <c r="BK109" s="461"/>
      <c r="BL109" s="461"/>
      <c r="BM109" s="461"/>
      <c r="BN109" s="461"/>
      <c r="BO109" s="461"/>
      <c r="BP109" s="461"/>
      <c r="BQ109" s="461"/>
      <c r="BR109" s="461"/>
      <c r="BS109" s="461"/>
      <c r="BT109" s="461"/>
      <c r="BU109" s="461"/>
      <c r="BV109" s="461"/>
      <c r="BW109" s="461"/>
      <c r="BX109" s="3561"/>
      <c r="BY109" s="3561"/>
      <c r="BZ109" s="3561"/>
      <c r="CA109" s="3625" t="str">
        <f t="shared" si="55"/>
        <v/>
      </c>
      <c r="CB109" s="3365"/>
      <c r="CC109" s="3365"/>
      <c r="CD109" s="3365"/>
      <c r="CE109" s="3365"/>
      <c r="CF109" s="3365"/>
      <c r="CJ109" s="3626">
        <f t="shared" si="56"/>
        <v>0</v>
      </c>
    </row>
    <row r="110" spans="1:93" ht="21">
      <c r="A110" s="6128"/>
      <c r="B110" s="1878" t="s">
        <v>2177</v>
      </c>
      <c r="C110" s="443"/>
      <c r="D110" s="443"/>
      <c r="E110" s="3373" t="str">
        <f t="shared" si="54"/>
        <v/>
      </c>
      <c r="F110" s="3059"/>
      <c r="G110" s="3059"/>
      <c r="H110" s="3059"/>
      <c r="I110" s="3059"/>
      <c r="J110" s="3059"/>
      <c r="K110" s="3059"/>
      <c r="L110" s="3059"/>
      <c r="M110" s="3059"/>
      <c r="N110" s="3059"/>
      <c r="O110" s="3059"/>
      <c r="P110" s="3059"/>
      <c r="Q110" s="463"/>
      <c r="R110" s="463"/>
      <c r="S110" s="463"/>
      <c r="T110" s="461"/>
      <c r="U110" s="461"/>
      <c r="V110" s="461"/>
      <c r="W110" s="461"/>
      <c r="X110" s="461"/>
      <c r="Y110" s="461"/>
      <c r="Z110" s="461"/>
      <c r="AA110" s="461"/>
      <c r="AB110" s="461"/>
      <c r="AC110" s="461"/>
      <c r="AD110" s="461"/>
      <c r="AE110" s="461"/>
      <c r="AF110" s="461"/>
      <c r="AG110" s="461"/>
      <c r="AH110" s="461"/>
      <c r="AI110" s="461"/>
      <c r="AJ110" s="461"/>
      <c r="AK110" s="461"/>
      <c r="AL110" s="461"/>
      <c r="AM110" s="461"/>
      <c r="AN110" s="461"/>
      <c r="AO110" s="461"/>
      <c r="AP110" s="461"/>
      <c r="AQ110" s="461"/>
      <c r="AR110" s="461"/>
      <c r="AS110" s="461"/>
      <c r="AT110" s="461"/>
      <c r="AU110" s="461"/>
      <c r="AV110" s="461"/>
      <c r="AW110" s="461"/>
      <c r="AX110" s="461"/>
      <c r="AY110" s="461"/>
      <c r="AZ110" s="461"/>
      <c r="BA110" s="461"/>
      <c r="BB110" s="461"/>
      <c r="BC110" s="461"/>
      <c r="BD110" s="461"/>
      <c r="BE110" s="461"/>
      <c r="BF110" s="461"/>
      <c r="BG110" s="461"/>
      <c r="BH110" s="461"/>
      <c r="BI110" s="461"/>
      <c r="BJ110" s="461"/>
      <c r="BK110" s="461"/>
      <c r="BL110" s="461"/>
      <c r="BM110" s="461"/>
      <c r="BN110" s="461"/>
      <c r="BO110" s="461"/>
      <c r="BP110" s="461"/>
      <c r="BQ110" s="461"/>
      <c r="BR110" s="461"/>
      <c r="BS110" s="461"/>
      <c r="BT110" s="461"/>
      <c r="BU110" s="461"/>
      <c r="BV110" s="461"/>
      <c r="BW110" s="461"/>
      <c r="BX110" s="3561"/>
      <c r="BY110" s="3561"/>
      <c r="BZ110" s="3561"/>
      <c r="CA110" s="3625" t="str">
        <f t="shared" si="55"/>
        <v/>
      </c>
      <c r="CB110" s="3365"/>
      <c r="CC110" s="3365"/>
      <c r="CD110" s="3365"/>
      <c r="CE110" s="3365"/>
      <c r="CF110" s="3365"/>
      <c r="CJ110" s="3626">
        <f t="shared" si="56"/>
        <v>0</v>
      </c>
    </row>
    <row r="111" spans="1:93">
      <c r="A111" s="6128"/>
      <c r="B111" s="1878" t="s">
        <v>2178</v>
      </c>
      <c r="C111" s="443"/>
      <c r="D111" s="3627"/>
    </row>
    <row r="112" spans="1:93">
      <c r="A112" s="6128"/>
      <c r="B112" s="2237" t="s">
        <v>2179</v>
      </c>
      <c r="C112" s="2231"/>
      <c r="D112" s="3627"/>
    </row>
    <row r="113" spans="1:111" ht="21">
      <c r="A113" s="6128"/>
      <c r="B113" s="2237" t="s">
        <v>2180</v>
      </c>
      <c r="C113" s="2231"/>
      <c r="D113" s="443"/>
      <c r="E113" s="3373" t="str">
        <f t="shared" si="54"/>
        <v/>
      </c>
      <c r="F113" s="3059"/>
      <c r="G113" s="3059"/>
      <c r="H113" s="3059"/>
      <c r="I113" s="3059"/>
      <c r="J113" s="3059"/>
      <c r="K113" s="3059"/>
      <c r="L113" s="3059"/>
      <c r="M113" s="3059"/>
      <c r="N113" s="3059"/>
      <c r="O113" s="3059"/>
      <c r="P113" s="3059"/>
      <c r="Q113" s="463"/>
      <c r="R113" s="463"/>
      <c r="S113" s="463"/>
      <c r="T113" s="461"/>
      <c r="U113" s="461"/>
      <c r="V113" s="461"/>
      <c r="W113" s="461"/>
      <c r="X113" s="461"/>
      <c r="Y113" s="461"/>
      <c r="Z113" s="461"/>
      <c r="AA113" s="461"/>
      <c r="AB113" s="461"/>
      <c r="AC113" s="461"/>
      <c r="AD113" s="461"/>
      <c r="AE113" s="461"/>
      <c r="AF113" s="461"/>
      <c r="AG113" s="461"/>
      <c r="AH113" s="461"/>
      <c r="AI113" s="461"/>
      <c r="AJ113" s="461"/>
      <c r="AK113" s="461"/>
      <c r="AL113" s="461"/>
      <c r="AM113" s="461"/>
      <c r="AN113" s="461"/>
      <c r="AO113" s="461"/>
      <c r="AP113" s="461"/>
      <c r="AQ113" s="461"/>
      <c r="AR113" s="461"/>
      <c r="AS113" s="461"/>
      <c r="AT113" s="461"/>
      <c r="AU113" s="461"/>
      <c r="AV113" s="461"/>
      <c r="AW113" s="461"/>
      <c r="AX113" s="461"/>
      <c r="AY113" s="461"/>
      <c r="AZ113" s="461"/>
      <c r="BA113" s="461"/>
      <c r="BB113" s="461"/>
      <c r="BC113" s="461"/>
      <c r="BD113" s="461"/>
      <c r="BE113" s="461"/>
      <c r="BF113" s="461"/>
      <c r="BG113" s="461"/>
      <c r="BH113" s="461"/>
      <c r="BI113" s="461"/>
      <c r="BJ113" s="461"/>
      <c r="BK113" s="461"/>
      <c r="BL113" s="461"/>
      <c r="BM113" s="461"/>
      <c r="BN113" s="461"/>
      <c r="BO113" s="461"/>
      <c r="BP113" s="461"/>
      <c r="BQ113" s="461"/>
      <c r="BR113" s="461"/>
      <c r="BS113" s="461"/>
      <c r="BT113" s="461"/>
      <c r="BU113" s="461"/>
      <c r="BV113" s="461"/>
      <c r="BW113" s="461"/>
      <c r="BX113" s="3561"/>
      <c r="BY113" s="3561"/>
      <c r="BZ113" s="3561"/>
      <c r="CA113" s="3625" t="str">
        <f t="shared" si="55"/>
        <v/>
      </c>
      <c r="CB113" s="3365"/>
      <c r="CC113" s="3365"/>
      <c r="CD113" s="3365"/>
      <c r="CE113" s="3365"/>
      <c r="CF113" s="3365"/>
      <c r="CJ113" s="3626">
        <f t="shared" si="56"/>
        <v>0</v>
      </c>
    </row>
    <row r="114" spans="1:111">
      <c r="A114" s="6128"/>
      <c r="B114" s="2237" t="s">
        <v>2181</v>
      </c>
      <c r="C114" s="2231"/>
      <c r="D114" s="443"/>
      <c r="E114" s="3373" t="str">
        <f t="shared" si="54"/>
        <v/>
      </c>
      <c r="F114" s="3059"/>
      <c r="G114" s="3059"/>
      <c r="H114" s="3059"/>
      <c r="I114" s="3059"/>
      <c r="J114" s="3059"/>
      <c r="K114" s="3059"/>
      <c r="L114" s="3059"/>
      <c r="M114" s="3059"/>
      <c r="N114" s="3059"/>
      <c r="O114" s="3059"/>
      <c r="P114" s="3059"/>
      <c r="Q114" s="463"/>
      <c r="R114" s="463"/>
      <c r="S114" s="463"/>
      <c r="T114" s="461"/>
      <c r="U114" s="461"/>
      <c r="V114" s="461"/>
      <c r="W114" s="461"/>
      <c r="X114" s="461"/>
      <c r="Y114" s="461"/>
      <c r="Z114" s="461"/>
      <c r="AA114" s="461"/>
      <c r="AB114" s="461"/>
      <c r="AC114" s="461"/>
      <c r="AD114" s="461"/>
      <c r="AE114" s="461"/>
      <c r="AF114" s="461"/>
      <c r="AG114" s="461"/>
      <c r="AH114" s="461"/>
      <c r="AI114" s="461"/>
      <c r="AJ114" s="461"/>
      <c r="AK114" s="461"/>
      <c r="AL114" s="461"/>
      <c r="AM114" s="461"/>
      <c r="AN114" s="461"/>
      <c r="AO114" s="461"/>
      <c r="AP114" s="461"/>
      <c r="AQ114" s="461"/>
      <c r="AR114" s="461"/>
      <c r="AS114" s="461"/>
      <c r="AT114" s="461"/>
      <c r="AU114" s="461"/>
      <c r="AV114" s="461"/>
      <c r="AW114" s="461"/>
      <c r="AX114" s="461"/>
      <c r="AY114" s="461"/>
      <c r="AZ114" s="461"/>
      <c r="BA114" s="461"/>
      <c r="BB114" s="461"/>
      <c r="BC114" s="461"/>
      <c r="BD114" s="461"/>
      <c r="BE114" s="461"/>
      <c r="BF114" s="461"/>
      <c r="BG114" s="461"/>
      <c r="BH114" s="461"/>
      <c r="BI114" s="461"/>
      <c r="BJ114" s="461"/>
      <c r="BK114" s="461"/>
      <c r="BL114" s="461"/>
      <c r="BM114" s="461"/>
      <c r="BN114" s="461"/>
      <c r="BO114" s="461"/>
      <c r="BP114" s="461"/>
      <c r="BQ114" s="461"/>
      <c r="BR114" s="461"/>
      <c r="BS114" s="461"/>
      <c r="BT114" s="461"/>
      <c r="BU114" s="461"/>
      <c r="BV114" s="461"/>
      <c r="BW114" s="461"/>
      <c r="BX114" s="3561"/>
      <c r="BY114" s="3561"/>
      <c r="BZ114" s="3561"/>
      <c r="CA114" s="3625" t="str">
        <f t="shared" si="55"/>
        <v/>
      </c>
      <c r="CB114" s="3365"/>
      <c r="CC114" s="3365"/>
      <c r="CD114" s="3365"/>
      <c r="CE114" s="3365"/>
      <c r="CF114" s="3365"/>
      <c r="CJ114" s="3626">
        <f t="shared" si="56"/>
        <v>0</v>
      </c>
    </row>
    <row r="115" spans="1:111">
      <c r="A115" s="6128"/>
      <c r="B115" s="2237" t="s">
        <v>2182</v>
      </c>
      <c r="C115" s="443"/>
      <c r="D115" s="443"/>
      <c r="E115" s="3373" t="str">
        <f t="shared" si="54"/>
        <v/>
      </c>
      <c r="F115" s="3059"/>
      <c r="G115" s="3059"/>
      <c r="H115" s="3059"/>
      <c r="I115" s="3059"/>
      <c r="J115" s="3059"/>
      <c r="K115" s="3059"/>
      <c r="L115" s="3059"/>
      <c r="M115" s="3059"/>
      <c r="N115" s="3059"/>
      <c r="O115" s="3059"/>
      <c r="P115" s="3059"/>
      <c r="Q115" s="463"/>
      <c r="R115" s="463"/>
      <c r="S115" s="463"/>
      <c r="T115" s="461"/>
      <c r="U115" s="461"/>
      <c r="V115" s="461"/>
      <c r="W115" s="461"/>
      <c r="X115" s="461"/>
      <c r="Y115" s="461"/>
      <c r="Z115" s="461"/>
      <c r="AA115" s="461"/>
      <c r="AB115" s="461"/>
      <c r="AC115" s="461"/>
      <c r="AD115" s="461"/>
      <c r="AE115" s="461"/>
      <c r="AF115" s="461"/>
      <c r="AG115" s="461"/>
      <c r="AH115" s="461"/>
      <c r="AI115" s="461"/>
      <c r="AJ115" s="461"/>
      <c r="AK115" s="461"/>
      <c r="AL115" s="461"/>
      <c r="AM115" s="461"/>
      <c r="AN115" s="461"/>
      <c r="AO115" s="461"/>
      <c r="AP115" s="461"/>
      <c r="AQ115" s="461"/>
      <c r="AR115" s="461"/>
      <c r="AS115" s="461"/>
      <c r="AT115" s="461"/>
      <c r="AU115" s="461"/>
      <c r="AV115" s="461"/>
      <c r="AW115" s="461"/>
      <c r="AX115" s="461"/>
      <c r="AY115" s="461"/>
      <c r="AZ115" s="461"/>
      <c r="BA115" s="461"/>
      <c r="BB115" s="461"/>
      <c r="BC115" s="461"/>
      <c r="BD115" s="461"/>
      <c r="BE115" s="461"/>
      <c r="BF115" s="461"/>
      <c r="BG115" s="461"/>
      <c r="BH115" s="461"/>
      <c r="BI115" s="461"/>
      <c r="BJ115" s="461"/>
      <c r="BK115" s="461"/>
      <c r="BL115" s="461"/>
      <c r="BM115" s="461"/>
      <c r="BN115" s="461"/>
      <c r="BO115" s="461"/>
      <c r="BP115" s="461"/>
      <c r="BQ115" s="461"/>
      <c r="BR115" s="461"/>
      <c r="BS115" s="461"/>
      <c r="BT115" s="461"/>
      <c r="BU115" s="461"/>
      <c r="BV115" s="461"/>
      <c r="BW115" s="461"/>
      <c r="BX115" s="3561"/>
      <c r="BY115" s="3561"/>
      <c r="BZ115" s="3561"/>
      <c r="CA115" s="3625" t="str">
        <f t="shared" si="55"/>
        <v/>
      </c>
      <c r="CB115" s="3365"/>
      <c r="CC115" s="3365"/>
      <c r="CD115" s="3365"/>
      <c r="CE115" s="3365"/>
      <c r="CF115" s="3365"/>
      <c r="CJ115" s="3626">
        <f t="shared" si="56"/>
        <v>0</v>
      </c>
    </row>
    <row r="116" spans="1:111">
      <c r="A116" s="6128"/>
      <c r="B116" s="1559" t="s">
        <v>2183</v>
      </c>
      <c r="C116" s="443"/>
      <c r="D116" s="443"/>
      <c r="E116" s="3373" t="str">
        <f t="shared" si="54"/>
        <v/>
      </c>
      <c r="F116" s="3059"/>
      <c r="G116" s="3059"/>
      <c r="H116" s="3059"/>
      <c r="I116" s="3059"/>
      <c r="J116" s="3059"/>
      <c r="K116" s="3059"/>
      <c r="L116" s="3059"/>
      <c r="M116" s="3059"/>
      <c r="N116" s="3059"/>
      <c r="O116" s="3059"/>
      <c r="P116" s="3059"/>
      <c r="Q116" s="463"/>
      <c r="R116" s="463"/>
      <c r="S116" s="463"/>
      <c r="T116" s="461"/>
      <c r="U116" s="461"/>
      <c r="V116" s="461"/>
      <c r="W116" s="461"/>
      <c r="X116" s="461"/>
      <c r="Y116" s="461"/>
      <c r="Z116" s="461"/>
      <c r="AA116" s="461"/>
      <c r="AB116" s="461"/>
      <c r="AC116" s="461"/>
      <c r="AD116" s="461"/>
      <c r="AE116" s="461"/>
      <c r="AF116" s="461"/>
      <c r="AG116" s="461"/>
      <c r="AH116" s="461"/>
      <c r="AI116" s="461"/>
      <c r="AJ116" s="461"/>
      <c r="AK116" s="461"/>
      <c r="AL116" s="461"/>
      <c r="AM116" s="461"/>
      <c r="AN116" s="461"/>
      <c r="AO116" s="461"/>
      <c r="AP116" s="461"/>
      <c r="AQ116" s="461"/>
      <c r="AR116" s="461"/>
      <c r="AS116" s="461"/>
      <c r="AT116" s="461"/>
      <c r="AU116" s="461"/>
      <c r="AV116" s="461"/>
      <c r="AW116" s="461"/>
      <c r="AX116" s="461"/>
      <c r="AY116" s="461"/>
      <c r="AZ116" s="461"/>
      <c r="BA116" s="461"/>
      <c r="BB116" s="461"/>
      <c r="BC116" s="461"/>
      <c r="BD116" s="461"/>
      <c r="BE116" s="461"/>
      <c r="BF116" s="461"/>
      <c r="BG116" s="461"/>
      <c r="BH116" s="461"/>
      <c r="BI116" s="461"/>
      <c r="BJ116" s="461"/>
      <c r="BK116" s="461"/>
      <c r="BL116" s="461"/>
      <c r="BM116" s="461"/>
      <c r="BN116" s="461"/>
      <c r="BO116" s="461"/>
      <c r="BP116" s="461"/>
      <c r="BQ116" s="461"/>
      <c r="BR116" s="461"/>
      <c r="BS116" s="461"/>
      <c r="BT116" s="461"/>
      <c r="BU116" s="461"/>
      <c r="BV116" s="461"/>
      <c r="BW116" s="461"/>
      <c r="BX116" s="3561"/>
      <c r="BY116" s="3561"/>
      <c r="BZ116" s="3561"/>
      <c r="CA116" s="3625" t="str">
        <f t="shared" si="55"/>
        <v/>
      </c>
      <c r="CB116" s="3365"/>
      <c r="CC116" s="3365"/>
      <c r="CD116" s="3365"/>
      <c r="CE116" s="3365"/>
      <c r="CF116" s="3365"/>
      <c r="CJ116" s="3626">
        <f t="shared" si="56"/>
        <v>0</v>
      </c>
    </row>
    <row r="117" spans="1:111">
      <c r="A117" s="6129"/>
      <c r="B117" s="453" t="s">
        <v>2184</v>
      </c>
      <c r="C117" s="459"/>
      <c r="D117" s="459"/>
      <c r="E117" s="3373" t="str">
        <f t="shared" si="54"/>
        <v/>
      </c>
      <c r="F117" s="3059"/>
      <c r="G117" s="3059"/>
      <c r="H117" s="3059"/>
      <c r="I117" s="3059"/>
      <c r="J117" s="3059"/>
      <c r="K117" s="3059"/>
      <c r="L117" s="3059"/>
      <c r="M117" s="3059"/>
      <c r="N117" s="3059"/>
      <c r="O117" s="3059"/>
      <c r="P117" s="3059"/>
      <c r="Q117" s="463"/>
      <c r="R117" s="463"/>
      <c r="S117" s="463"/>
      <c r="T117" s="461"/>
      <c r="U117" s="461"/>
      <c r="V117" s="461"/>
      <c r="W117" s="461"/>
      <c r="X117" s="461"/>
      <c r="Y117" s="461"/>
      <c r="Z117" s="461"/>
      <c r="AA117" s="461"/>
      <c r="AB117" s="461"/>
      <c r="AC117" s="461"/>
      <c r="AD117" s="461"/>
      <c r="AE117" s="461"/>
      <c r="AF117" s="461"/>
      <c r="AG117" s="461"/>
      <c r="AH117" s="461"/>
      <c r="AI117" s="461"/>
      <c r="AJ117" s="461"/>
      <c r="AK117" s="461"/>
      <c r="AL117" s="461"/>
      <c r="AM117" s="461"/>
      <c r="AN117" s="461"/>
      <c r="AO117" s="461"/>
      <c r="AP117" s="461"/>
      <c r="AQ117" s="461"/>
      <c r="AR117" s="461"/>
      <c r="AS117" s="461"/>
      <c r="AT117" s="461"/>
      <c r="AU117" s="461"/>
      <c r="AV117" s="461"/>
      <c r="AW117" s="461"/>
      <c r="AX117" s="461"/>
      <c r="AY117" s="461"/>
      <c r="AZ117" s="461"/>
      <c r="BA117" s="461"/>
      <c r="BB117" s="461"/>
      <c r="BC117" s="461"/>
      <c r="BD117" s="461"/>
      <c r="BE117" s="461"/>
      <c r="BF117" s="461"/>
      <c r="BG117" s="461"/>
      <c r="BH117" s="461"/>
      <c r="BI117" s="461"/>
      <c r="BJ117" s="461"/>
      <c r="BK117" s="461"/>
      <c r="BL117" s="461"/>
      <c r="BM117" s="461"/>
      <c r="BN117" s="461"/>
      <c r="BO117" s="461"/>
      <c r="BP117" s="461"/>
      <c r="BQ117" s="461"/>
      <c r="BR117" s="461"/>
      <c r="BS117" s="461"/>
      <c r="BT117" s="461"/>
      <c r="BU117" s="461"/>
      <c r="BV117" s="461"/>
      <c r="BW117" s="461"/>
      <c r="BX117" s="3561"/>
      <c r="BY117" s="3561"/>
      <c r="BZ117" s="3561"/>
      <c r="CA117" s="3625" t="str">
        <f t="shared" si="55"/>
        <v/>
      </c>
      <c r="CB117" s="3365"/>
      <c r="CC117" s="3365"/>
      <c r="CD117" s="3365"/>
      <c r="CE117" s="3365"/>
      <c r="CF117" s="3365"/>
      <c r="CJ117" s="3626">
        <f t="shared" si="56"/>
        <v>0</v>
      </c>
    </row>
    <row r="118" spans="1:111" ht="18" customHeight="1">
      <c r="A118" s="6781" t="s">
        <v>2185</v>
      </c>
      <c r="B118" s="6781"/>
      <c r="C118" s="6781"/>
      <c r="D118" s="6781"/>
      <c r="E118" s="6781"/>
      <c r="F118" s="6781"/>
      <c r="G118" s="6781"/>
      <c r="H118" s="6781"/>
      <c r="I118" s="6781"/>
      <c r="J118" s="6781"/>
      <c r="K118" s="6781"/>
      <c r="L118" s="6781"/>
      <c r="M118" s="6781"/>
      <c r="N118" s="6781"/>
      <c r="O118" s="6781"/>
      <c r="P118" s="6781"/>
      <c r="Q118" s="6781"/>
      <c r="R118" s="6781"/>
      <c r="S118" s="6781"/>
      <c r="T118" s="6781"/>
      <c r="U118" s="6781"/>
      <c r="V118" s="6781"/>
      <c r="W118" s="6781"/>
      <c r="X118" s="6781"/>
      <c r="Y118" s="6781"/>
      <c r="Z118" s="6781"/>
      <c r="AA118" s="6781"/>
      <c r="AB118" s="6781"/>
      <c r="AC118" s="6781"/>
      <c r="AD118" s="6781"/>
      <c r="AE118" s="6781"/>
      <c r="AF118" s="6781"/>
      <c r="AG118" s="6781"/>
      <c r="AH118" s="6781"/>
      <c r="AI118" s="6781"/>
      <c r="AJ118" s="6781"/>
      <c r="AK118" s="6781"/>
    </row>
    <row r="119" spans="1:111" ht="15" customHeight="1">
      <c r="A119" s="6140" t="s">
        <v>236</v>
      </c>
      <c r="B119" s="6119"/>
      <c r="C119" s="6140" t="s">
        <v>91</v>
      </c>
      <c r="D119" s="6139"/>
      <c r="E119" s="6119"/>
      <c r="F119" s="6052" t="s">
        <v>115</v>
      </c>
      <c r="G119" s="6053"/>
      <c r="H119" s="6053"/>
      <c r="I119" s="6053"/>
      <c r="J119" s="6053"/>
      <c r="K119" s="6053"/>
      <c r="L119" s="6053"/>
      <c r="M119" s="6053"/>
      <c r="N119" s="6053"/>
      <c r="O119" s="6053"/>
      <c r="P119" s="6053"/>
      <c r="Q119" s="6053"/>
      <c r="R119" s="6053"/>
      <c r="S119" s="6053"/>
      <c r="T119" s="6053"/>
      <c r="U119" s="6053"/>
      <c r="V119" s="6053"/>
      <c r="W119" s="6053"/>
      <c r="X119" s="6053"/>
      <c r="Y119" s="6053"/>
      <c r="Z119" s="6053"/>
      <c r="AA119" s="6053"/>
      <c r="AB119" s="6053"/>
      <c r="AC119" s="6053"/>
      <c r="AD119" s="6053"/>
      <c r="AE119" s="6053"/>
      <c r="AF119" s="6053"/>
      <c r="AG119" s="6053"/>
      <c r="AH119" s="6053"/>
      <c r="AI119" s="6053"/>
      <c r="AJ119" s="6785" t="s">
        <v>2186</v>
      </c>
      <c r="AK119" s="6388"/>
      <c r="AL119" s="6762" t="s">
        <v>47</v>
      </c>
    </row>
    <row r="120" spans="1:111">
      <c r="A120" s="6141"/>
      <c r="B120" s="6120"/>
      <c r="C120" s="6114"/>
      <c r="D120" s="6115"/>
      <c r="E120" s="6116"/>
      <c r="F120" s="5710" t="s">
        <v>108</v>
      </c>
      <c r="G120" s="5712"/>
      <c r="H120" s="5710" t="s">
        <v>325</v>
      </c>
      <c r="I120" s="5712"/>
      <c r="J120" s="5710" t="s">
        <v>326</v>
      </c>
      <c r="K120" s="5712"/>
      <c r="L120" s="5710" t="s">
        <v>1003</v>
      </c>
      <c r="M120" s="5712"/>
      <c r="N120" s="5710" t="s">
        <v>656</v>
      </c>
      <c r="O120" s="5712"/>
      <c r="P120" s="5710" t="s">
        <v>2138</v>
      </c>
      <c r="Q120" s="5712"/>
      <c r="R120" s="5710" t="s">
        <v>657</v>
      </c>
      <c r="S120" s="5712"/>
      <c r="T120" s="5710" t="s">
        <v>2139</v>
      </c>
      <c r="U120" s="5712"/>
      <c r="V120" s="5710" t="s">
        <v>2140</v>
      </c>
      <c r="W120" s="5712"/>
      <c r="X120" s="5710" t="s">
        <v>2022</v>
      </c>
      <c r="Y120" s="5712"/>
      <c r="Z120" s="5710" t="s">
        <v>1650</v>
      </c>
      <c r="AA120" s="5712"/>
      <c r="AB120" s="5710" t="s">
        <v>329</v>
      </c>
      <c r="AC120" s="5712"/>
      <c r="AD120" s="5710" t="s">
        <v>2141</v>
      </c>
      <c r="AE120" s="5712"/>
      <c r="AF120" s="5710" t="s">
        <v>2142</v>
      </c>
      <c r="AG120" s="5712"/>
      <c r="AH120" s="5707" t="s">
        <v>71</v>
      </c>
      <c r="AI120" s="5708"/>
      <c r="AJ120" s="6786"/>
      <c r="AK120" s="6389"/>
      <c r="AL120" s="6763"/>
    </row>
    <row r="121" spans="1:111">
      <c r="A121" s="6114"/>
      <c r="B121" s="6116"/>
      <c r="C121" s="1395" t="s">
        <v>93</v>
      </c>
      <c r="D121" s="1396" t="s">
        <v>72</v>
      </c>
      <c r="E121" s="393" t="s">
        <v>73</v>
      </c>
      <c r="F121" s="1395" t="s">
        <v>72</v>
      </c>
      <c r="G121" s="393" t="s">
        <v>73</v>
      </c>
      <c r="H121" s="1395" t="s">
        <v>72</v>
      </c>
      <c r="I121" s="393" t="s">
        <v>73</v>
      </c>
      <c r="J121" s="1395" t="s">
        <v>72</v>
      </c>
      <c r="K121" s="393" t="s">
        <v>73</v>
      </c>
      <c r="L121" s="1395" t="s">
        <v>72</v>
      </c>
      <c r="M121" s="393" t="s">
        <v>73</v>
      </c>
      <c r="N121" s="1395" t="s">
        <v>72</v>
      </c>
      <c r="O121" s="393" t="s">
        <v>73</v>
      </c>
      <c r="P121" s="1395" t="s">
        <v>72</v>
      </c>
      <c r="Q121" s="393" t="s">
        <v>73</v>
      </c>
      <c r="R121" s="1395" t="s">
        <v>72</v>
      </c>
      <c r="S121" s="393" t="s">
        <v>73</v>
      </c>
      <c r="T121" s="1395" t="s">
        <v>72</v>
      </c>
      <c r="U121" s="393" t="s">
        <v>73</v>
      </c>
      <c r="V121" s="1395" t="s">
        <v>72</v>
      </c>
      <c r="W121" s="393" t="s">
        <v>73</v>
      </c>
      <c r="X121" s="1395" t="s">
        <v>72</v>
      </c>
      <c r="Y121" s="393" t="s">
        <v>73</v>
      </c>
      <c r="Z121" s="1395" t="s">
        <v>72</v>
      </c>
      <c r="AA121" s="393" t="s">
        <v>73</v>
      </c>
      <c r="AB121" s="1395" t="s">
        <v>72</v>
      </c>
      <c r="AC121" s="393" t="s">
        <v>73</v>
      </c>
      <c r="AD121" s="1395" t="s">
        <v>72</v>
      </c>
      <c r="AE121" s="393" t="s">
        <v>73</v>
      </c>
      <c r="AF121" s="1395" t="s">
        <v>72</v>
      </c>
      <c r="AG121" s="393" t="s">
        <v>73</v>
      </c>
      <c r="AH121" s="1395" t="s">
        <v>72</v>
      </c>
      <c r="AI121" s="394" t="s">
        <v>73</v>
      </c>
      <c r="AJ121" s="1396" t="s">
        <v>72</v>
      </c>
      <c r="AK121" s="1495" t="s">
        <v>73</v>
      </c>
      <c r="AL121" s="6764"/>
    </row>
    <row r="122" spans="1:111">
      <c r="A122" s="6127" t="s">
        <v>2187</v>
      </c>
      <c r="B122" s="1502" t="s">
        <v>2188</v>
      </c>
      <c r="C122" s="2393">
        <f t="shared" ref="C122:C124" si="57">SUM(D122:E122)</f>
        <v>0</v>
      </c>
      <c r="D122" s="3453">
        <f t="shared" ref="D122:E124" si="58">+F122+H122+J122+L122+N122+P122+R122+T122+V122+X122+Z122+AB122+AD122+AF122+AH122</f>
        <v>0</v>
      </c>
      <c r="E122" s="3562">
        <f>+G122+I122+K122+M122+O122+Q122+S122+U122+W122+Y122+AA122+AC122+AE122+AG122+AI122</f>
        <v>0</v>
      </c>
      <c r="F122" s="3394"/>
      <c r="G122" s="3397"/>
      <c r="H122" s="3394"/>
      <c r="I122" s="3397"/>
      <c r="J122" s="3394"/>
      <c r="K122" s="3397"/>
      <c r="L122" s="3394"/>
      <c r="M122" s="3397"/>
      <c r="N122" s="3394"/>
      <c r="O122" s="3397"/>
      <c r="P122" s="3394"/>
      <c r="Q122" s="3397"/>
      <c r="R122" s="3394"/>
      <c r="S122" s="3397"/>
      <c r="T122" s="3394"/>
      <c r="U122" s="3397"/>
      <c r="V122" s="3394"/>
      <c r="W122" s="3397"/>
      <c r="X122" s="3394"/>
      <c r="Y122" s="3397"/>
      <c r="Z122" s="3394"/>
      <c r="AA122" s="3397"/>
      <c r="AB122" s="3394"/>
      <c r="AC122" s="3397"/>
      <c r="AD122" s="3394"/>
      <c r="AE122" s="3397"/>
      <c r="AF122" s="3394"/>
      <c r="AG122" s="3397"/>
      <c r="AH122" s="3564"/>
      <c r="AI122" s="3565"/>
      <c r="AJ122" s="3628"/>
      <c r="AK122" s="3629"/>
      <c r="AL122" s="3391"/>
      <c r="AM122" s="3373" t="str">
        <f t="shared" ref="AM122:AM124" si="59">CA122&amp;CB122&amp;CC122</f>
        <v/>
      </c>
      <c r="AN122" s="3059"/>
      <c r="AO122" s="3059"/>
      <c r="AP122" s="3059"/>
      <c r="AQ122" s="3059"/>
      <c r="AR122" s="3059"/>
      <c r="AS122" s="3059"/>
      <c r="AT122" s="3059"/>
      <c r="AU122" s="3059"/>
      <c r="AV122" s="3059"/>
      <c r="AW122" s="3059"/>
      <c r="AX122" s="3059"/>
      <c r="AY122" s="463"/>
      <c r="AZ122" s="463"/>
      <c r="BA122" s="463"/>
      <c r="BB122" s="461"/>
      <c r="BC122" s="461"/>
      <c r="BD122" s="461"/>
      <c r="BE122" s="461"/>
      <c r="BF122" s="461"/>
      <c r="BG122" s="461"/>
      <c r="BH122" s="461"/>
      <c r="BI122" s="461"/>
      <c r="BJ122" s="461"/>
      <c r="BK122" s="461"/>
      <c r="BL122" s="461"/>
      <c r="BM122" s="461"/>
      <c r="BN122" s="461"/>
      <c r="BO122" s="461"/>
      <c r="BP122" s="461"/>
      <c r="BQ122" s="461"/>
      <c r="BR122" s="461"/>
      <c r="BS122" s="461"/>
      <c r="BT122" s="461"/>
      <c r="BU122" s="461"/>
      <c r="BV122" s="461"/>
      <c r="BW122" s="461"/>
      <c r="BX122" s="461"/>
      <c r="BY122" s="461"/>
      <c r="CA122" s="418" t="str">
        <f t="shared" ref="CA122:CA124" si="60">IF(AND(SUM(F122+H122)&gt;0,(AJ122=""))," * No olvide digitar la variable 14-18 años Hombres. Si no tiene Digite CERO .",IF(AJ122&gt;F122+H122,"* La suma del grupo de 14 a 18 años Hombres no puede superar el Total Hombres Grupo Etario de 10 a 19 años. ",""))</f>
        <v/>
      </c>
      <c r="CB122" s="418" t="str">
        <f t="shared" ref="CB122:CB124" si="61">IF(AND(SUM(G122+I122)&gt;0,(AK122="")),"* No olvide digitar la variable 14-18 años Mujeres. Si no tiene Digite CERO.",IF(AK122&gt;(G122+I122),"* La suma del grupo de 14 a 18 años Mujeres no puede superar el Total Mujeres Grupo Etario de 10 a 19 años. ",""))</f>
        <v/>
      </c>
      <c r="CC122" s="418" t="str">
        <f t="shared" ref="CC122:CC124" si="62">IF(AND($C122&lt;&gt;0,AL122=""),"* No olvide ingresar la columna Espacios Amigables/Adolescentes (Digite CERO si no tiene).  ",IF(AL122&gt;$C122,"* El Número de Espacios Amigables/Adolescentes no puede superar el Total. ",""))</f>
        <v/>
      </c>
      <c r="CD122" s="3365"/>
      <c r="CE122" s="3365"/>
      <c r="CF122" s="3365"/>
      <c r="CJ122" s="419">
        <f t="shared" ref="CJ122:CJ124" si="63">IF(AND(SUM(F122+H122)&gt;0,(AJ122="")),1,IF(AJ122&gt;F122+H122,1,0))</f>
        <v>0</v>
      </c>
      <c r="CK122" s="419">
        <f t="shared" ref="CK122:CK124" si="64">IF(AND(SUM(G122+I122)&gt;0,(AK122="")),1,IF(AK122&gt;(G122+I122),1,0))</f>
        <v>0</v>
      </c>
      <c r="CL122" s="419">
        <f t="shared" ref="CL122:CL124" si="65">IF(AND($C122&lt;&gt;0,AL122=""),1,IF(AL122&gt;$C122,1,0))</f>
        <v>0</v>
      </c>
      <c r="CM122" s="461"/>
      <c r="CN122" s="461"/>
      <c r="CO122" s="461"/>
      <c r="CP122" s="461"/>
      <c r="CQ122" s="461"/>
      <c r="CR122" s="461"/>
      <c r="CS122" s="461"/>
      <c r="CT122" s="461"/>
      <c r="CU122" s="461"/>
      <c r="CV122" s="461"/>
      <c r="CW122" s="461"/>
      <c r="CX122" s="461"/>
      <c r="CY122" s="461"/>
      <c r="CZ122" s="461"/>
      <c r="DA122" s="461"/>
      <c r="DB122" s="461"/>
      <c r="DC122" s="461"/>
      <c r="DD122" s="461"/>
      <c r="DE122" s="3561"/>
      <c r="DF122" s="3561"/>
      <c r="DG122" s="3561"/>
    </row>
    <row r="123" spans="1:111">
      <c r="A123" s="6128"/>
      <c r="B123" s="1947" t="s">
        <v>2189</v>
      </c>
      <c r="C123" s="1737">
        <f t="shared" si="57"/>
        <v>0</v>
      </c>
      <c r="D123" s="3202">
        <f t="shared" si="58"/>
        <v>0</v>
      </c>
      <c r="E123" s="3569">
        <f t="shared" si="58"/>
        <v>0</v>
      </c>
      <c r="F123" s="425"/>
      <c r="G123" s="424"/>
      <c r="H123" s="425"/>
      <c r="I123" s="424"/>
      <c r="J123" s="425"/>
      <c r="K123" s="424"/>
      <c r="L123" s="425"/>
      <c r="M123" s="424"/>
      <c r="N123" s="425"/>
      <c r="O123" s="424"/>
      <c r="P123" s="425"/>
      <c r="Q123" s="424"/>
      <c r="R123" s="425"/>
      <c r="S123" s="424"/>
      <c r="T123" s="425"/>
      <c r="U123" s="424"/>
      <c r="V123" s="425"/>
      <c r="W123" s="424"/>
      <c r="X123" s="425"/>
      <c r="Y123" s="424"/>
      <c r="Z123" s="425"/>
      <c r="AA123" s="424"/>
      <c r="AB123" s="425"/>
      <c r="AC123" s="424"/>
      <c r="AD123" s="425"/>
      <c r="AE123" s="424"/>
      <c r="AF123" s="425"/>
      <c r="AG123" s="424"/>
      <c r="AH123" s="3568"/>
      <c r="AI123" s="426"/>
      <c r="AJ123" s="2249"/>
      <c r="AK123" s="3588"/>
      <c r="AL123" s="3392"/>
      <c r="AM123" s="3373" t="str">
        <f t="shared" si="59"/>
        <v/>
      </c>
      <c r="AN123" s="3059"/>
      <c r="AO123" s="3059"/>
      <c r="AP123" s="3059"/>
      <c r="AQ123" s="3059"/>
      <c r="AR123" s="3059"/>
      <c r="AS123" s="3059"/>
      <c r="AT123" s="3059"/>
      <c r="AU123" s="3059"/>
      <c r="AV123" s="3059"/>
      <c r="AW123" s="3059"/>
      <c r="AX123" s="3059"/>
      <c r="AY123" s="463"/>
      <c r="AZ123" s="463"/>
      <c r="BA123" s="463"/>
      <c r="BB123" s="461"/>
      <c r="BC123" s="461"/>
      <c r="BD123" s="461"/>
      <c r="BE123" s="461"/>
      <c r="BF123" s="461"/>
      <c r="BG123" s="461"/>
      <c r="BH123" s="461"/>
      <c r="BI123" s="461"/>
      <c r="BJ123" s="461"/>
      <c r="BK123" s="461"/>
      <c r="BL123" s="461"/>
      <c r="BM123" s="461"/>
      <c r="BN123" s="461"/>
      <c r="BO123" s="461"/>
      <c r="BP123" s="461"/>
      <c r="BQ123" s="461"/>
      <c r="BR123" s="461"/>
      <c r="BS123" s="461"/>
      <c r="BT123" s="461"/>
      <c r="BU123" s="461"/>
      <c r="BV123" s="461"/>
      <c r="BW123" s="461"/>
      <c r="BX123" s="461"/>
      <c r="BY123" s="461"/>
      <c r="CA123" s="418" t="str">
        <f t="shared" si="60"/>
        <v/>
      </c>
      <c r="CB123" s="418" t="str">
        <f t="shared" si="61"/>
        <v/>
      </c>
      <c r="CC123" s="418" t="str">
        <f t="shared" si="62"/>
        <v/>
      </c>
      <c r="CD123" s="3365"/>
      <c r="CE123" s="3365"/>
      <c r="CF123" s="3365"/>
      <c r="CJ123" s="419">
        <f t="shared" si="63"/>
        <v>0</v>
      </c>
      <c r="CK123" s="419">
        <f t="shared" si="64"/>
        <v>0</v>
      </c>
      <c r="CL123" s="419">
        <f t="shared" si="65"/>
        <v>0</v>
      </c>
    </row>
    <row r="124" spans="1:111">
      <c r="A124" s="6129"/>
      <c r="B124" s="1505" t="s">
        <v>2190</v>
      </c>
      <c r="C124" s="1773">
        <f t="shared" si="57"/>
        <v>0</v>
      </c>
      <c r="D124" s="3471">
        <f t="shared" si="58"/>
        <v>0</v>
      </c>
      <c r="E124" s="3577">
        <f t="shared" si="58"/>
        <v>0</v>
      </c>
      <c r="F124" s="432"/>
      <c r="G124" s="433"/>
      <c r="H124" s="432"/>
      <c r="I124" s="433"/>
      <c r="J124" s="432"/>
      <c r="K124" s="433"/>
      <c r="L124" s="432"/>
      <c r="M124" s="433"/>
      <c r="N124" s="432"/>
      <c r="O124" s="433"/>
      <c r="P124" s="432"/>
      <c r="Q124" s="433"/>
      <c r="R124" s="432"/>
      <c r="S124" s="433"/>
      <c r="T124" s="432"/>
      <c r="U124" s="433"/>
      <c r="V124" s="432"/>
      <c r="W124" s="433"/>
      <c r="X124" s="432"/>
      <c r="Y124" s="433"/>
      <c r="Z124" s="432"/>
      <c r="AA124" s="433"/>
      <c r="AB124" s="432"/>
      <c r="AC124" s="433"/>
      <c r="AD124" s="432"/>
      <c r="AE124" s="433"/>
      <c r="AF124" s="432"/>
      <c r="AG124" s="433"/>
      <c r="AH124" s="3578"/>
      <c r="AI124" s="445"/>
      <c r="AJ124" s="3387"/>
      <c r="AK124" s="3443"/>
      <c r="AL124" s="3393"/>
      <c r="AM124" s="3373" t="str">
        <f t="shared" si="59"/>
        <v/>
      </c>
      <c r="AN124" s="3059"/>
      <c r="AO124" s="3059"/>
      <c r="AP124" s="3059"/>
      <c r="AQ124" s="3059"/>
      <c r="AR124" s="3059"/>
      <c r="AS124" s="3059"/>
      <c r="AT124" s="3059"/>
      <c r="AU124" s="3059"/>
      <c r="AV124" s="3059"/>
      <c r="AW124" s="3059"/>
      <c r="AX124" s="3059"/>
      <c r="AY124" s="463"/>
      <c r="AZ124" s="463"/>
      <c r="BA124" s="463"/>
      <c r="BB124" s="461"/>
      <c r="BC124" s="461"/>
      <c r="BD124" s="461"/>
      <c r="BE124" s="461"/>
      <c r="BF124" s="461"/>
      <c r="BG124" s="461"/>
      <c r="BH124" s="461"/>
      <c r="BI124" s="461"/>
      <c r="BJ124" s="461"/>
      <c r="BK124" s="461"/>
      <c r="BL124" s="461"/>
      <c r="BM124" s="461"/>
      <c r="BN124" s="461"/>
      <c r="BO124" s="461"/>
      <c r="BP124" s="461"/>
      <c r="BQ124" s="461"/>
      <c r="BR124" s="461"/>
      <c r="BS124" s="461"/>
      <c r="BT124" s="461"/>
      <c r="BU124" s="461"/>
      <c r="BV124" s="461"/>
      <c r="BW124" s="461"/>
      <c r="BX124" s="461"/>
      <c r="BY124" s="461"/>
      <c r="CA124" s="418" t="str">
        <f t="shared" si="60"/>
        <v/>
      </c>
      <c r="CB124" s="418" t="str">
        <f t="shared" si="61"/>
        <v/>
      </c>
      <c r="CC124" s="418" t="str">
        <f t="shared" si="62"/>
        <v/>
      </c>
      <c r="CD124" s="3365"/>
      <c r="CE124" s="3365"/>
      <c r="CF124" s="3365"/>
      <c r="CJ124" s="419">
        <f t="shared" si="63"/>
        <v>0</v>
      </c>
      <c r="CK124" s="419">
        <f t="shared" si="64"/>
        <v>0</v>
      </c>
      <c r="CL124" s="419">
        <f t="shared" si="65"/>
        <v>0</v>
      </c>
    </row>
    <row r="125" spans="1:111" ht="18" customHeight="1">
      <c r="A125" s="6780" t="s">
        <v>2191</v>
      </c>
      <c r="B125" s="6780"/>
      <c r="C125" s="6780"/>
      <c r="D125" s="6780"/>
      <c r="E125" s="6780"/>
      <c r="F125" s="6780"/>
      <c r="G125" s="6780"/>
      <c r="H125" s="6780"/>
      <c r="I125" s="6780"/>
      <c r="J125" s="6780"/>
    </row>
    <row r="126" spans="1:111" ht="18" customHeight="1">
      <c r="A126" s="5713" t="s">
        <v>2192</v>
      </c>
      <c r="B126" s="5713"/>
      <c r="C126" s="5713"/>
      <c r="D126" s="6781"/>
      <c r="E126" s="6781"/>
      <c r="F126" s="6781"/>
      <c r="G126" s="6781"/>
      <c r="H126" s="6781"/>
      <c r="I126" s="6781"/>
      <c r="J126" s="6781"/>
    </row>
    <row r="127" spans="1:111" ht="15" customHeight="1">
      <c r="A127" s="6137" t="s">
        <v>1124</v>
      </c>
      <c r="B127" s="6137" t="s">
        <v>2193</v>
      </c>
      <c r="C127" s="5710" t="s">
        <v>1680</v>
      </c>
      <c r="D127" s="5710" t="s">
        <v>2194</v>
      </c>
      <c r="E127" s="6106"/>
      <c r="F127" s="6106"/>
      <c r="G127" s="6106"/>
      <c r="H127" s="6106"/>
      <c r="I127" s="6106"/>
      <c r="J127" s="6106"/>
      <c r="K127" s="6106"/>
      <c r="L127" s="6106"/>
      <c r="M127" s="5716"/>
      <c r="N127" s="6782" t="s">
        <v>2195</v>
      </c>
      <c r="O127" s="6119" t="s">
        <v>2196</v>
      </c>
    </row>
    <row r="128" spans="1:111" ht="50.1" customHeight="1">
      <c r="A128" s="6137"/>
      <c r="B128" s="6137"/>
      <c r="C128" s="6137"/>
      <c r="D128" s="3036" t="s">
        <v>2143</v>
      </c>
      <c r="E128" s="2105" t="s">
        <v>2197</v>
      </c>
      <c r="F128" s="2105" t="s">
        <v>2198</v>
      </c>
      <c r="G128" s="2105" t="s">
        <v>2199</v>
      </c>
      <c r="H128" s="2105" t="s">
        <v>2200</v>
      </c>
      <c r="I128" s="2858" t="s">
        <v>2201</v>
      </c>
      <c r="J128" s="2858" t="s">
        <v>2202</v>
      </c>
      <c r="K128" s="1574" t="s">
        <v>2203</v>
      </c>
      <c r="L128" s="1402" t="s">
        <v>2204</v>
      </c>
      <c r="M128" s="1575" t="s">
        <v>2205</v>
      </c>
      <c r="N128" s="6783"/>
      <c r="O128" s="6116"/>
    </row>
    <row r="129" spans="1:88">
      <c r="A129" s="6127" t="s">
        <v>2206</v>
      </c>
      <c r="B129" s="457" t="s">
        <v>2207</v>
      </c>
      <c r="C129" s="3631">
        <f t="shared" ref="C129:C148" si="66">SUM(D129:M129)</f>
        <v>0</v>
      </c>
      <c r="D129" s="3394"/>
      <c r="E129" s="3395"/>
      <c r="F129" s="3395"/>
      <c r="G129" s="3395"/>
      <c r="H129" s="3395"/>
      <c r="I129" s="3629"/>
      <c r="J129" s="3397"/>
      <c r="K129" s="3563"/>
      <c r="L129" s="3589"/>
      <c r="M129" s="3632"/>
      <c r="N129" s="3566"/>
      <c r="O129" s="3589"/>
      <c r="P129" s="417" t="str">
        <f t="shared" ref="P129:P148" si="67">CA129</f>
        <v/>
      </c>
      <c r="CA129" s="418" t="str">
        <f t="shared" ref="CA129:CA148" si="68">IF(AND(C129&gt;0,O129="")," * No olvide digitar la variable Total Participantes. Digite CERO si no tiene. ","")</f>
        <v/>
      </c>
      <c r="CJ129" s="3389">
        <f t="shared" ref="CJ129:CJ148" si="69">IF(AND(C129&gt;0,O129=""),1,0)</f>
        <v>0</v>
      </c>
    </row>
    <row r="130" spans="1:88">
      <c r="A130" s="6128"/>
      <c r="B130" s="2237" t="s">
        <v>2208</v>
      </c>
      <c r="C130" s="3633">
        <f t="shared" si="66"/>
        <v>0</v>
      </c>
      <c r="D130" s="425"/>
      <c r="E130" s="3376"/>
      <c r="F130" s="3376"/>
      <c r="G130" s="3376"/>
      <c r="H130" s="3376"/>
      <c r="I130" s="3588"/>
      <c r="J130" s="424"/>
      <c r="K130" s="2231"/>
      <c r="L130" s="443"/>
      <c r="M130" s="3634"/>
      <c r="N130" s="423"/>
      <c r="O130" s="443"/>
      <c r="P130" s="417" t="str">
        <f t="shared" si="67"/>
        <v/>
      </c>
      <c r="CA130" s="418" t="str">
        <f t="shared" si="68"/>
        <v/>
      </c>
      <c r="CJ130" s="3389">
        <f t="shared" si="69"/>
        <v>0</v>
      </c>
    </row>
    <row r="131" spans="1:88">
      <c r="A131" s="6128"/>
      <c r="B131" s="2237" t="s">
        <v>2209</v>
      </c>
      <c r="C131" s="3633">
        <f t="shared" si="66"/>
        <v>0</v>
      </c>
      <c r="D131" s="425"/>
      <c r="E131" s="3376"/>
      <c r="F131" s="3376"/>
      <c r="G131" s="3376"/>
      <c r="H131" s="3376"/>
      <c r="I131" s="3588"/>
      <c r="J131" s="424"/>
      <c r="K131" s="2231"/>
      <c r="L131" s="443"/>
      <c r="M131" s="3634"/>
      <c r="N131" s="423"/>
      <c r="O131" s="443"/>
      <c r="P131" s="417" t="str">
        <f t="shared" si="67"/>
        <v/>
      </c>
      <c r="CA131" s="418" t="str">
        <f t="shared" si="68"/>
        <v/>
      </c>
      <c r="CJ131" s="3389">
        <f t="shared" si="69"/>
        <v>0</v>
      </c>
    </row>
    <row r="132" spans="1:88">
      <c r="A132" s="6128"/>
      <c r="B132" s="2237" t="s">
        <v>2210</v>
      </c>
      <c r="C132" s="3517">
        <f t="shared" si="66"/>
        <v>0</v>
      </c>
      <c r="D132" s="3437"/>
      <c r="E132" s="3376"/>
      <c r="F132" s="3376"/>
      <c r="G132" s="3376"/>
      <c r="H132" s="3438"/>
      <c r="I132" s="3376"/>
      <c r="J132" s="424"/>
      <c r="K132" s="2231"/>
      <c r="L132" s="3601"/>
      <c r="M132" s="3634"/>
      <c r="N132" s="2231"/>
      <c r="O132" s="3601"/>
      <c r="P132" s="417" t="str">
        <f t="shared" si="67"/>
        <v/>
      </c>
      <c r="CA132" s="418" t="str">
        <f t="shared" si="68"/>
        <v/>
      </c>
      <c r="CJ132" s="3389">
        <f t="shared" si="69"/>
        <v>0</v>
      </c>
    </row>
    <row r="133" spans="1:88">
      <c r="A133" s="6129"/>
      <c r="B133" s="458" t="s">
        <v>2211</v>
      </c>
      <c r="C133" s="3635">
        <f t="shared" si="66"/>
        <v>1</v>
      </c>
      <c r="D133" s="432"/>
      <c r="E133" s="3399"/>
      <c r="F133" s="3399"/>
      <c r="G133" s="3399">
        <v>1</v>
      </c>
      <c r="H133" s="3384"/>
      <c r="I133" s="3636"/>
      <c r="J133" s="434"/>
      <c r="K133" s="2252"/>
      <c r="L133" s="438"/>
      <c r="M133" s="3512"/>
      <c r="N133" s="3519"/>
      <c r="O133" s="438">
        <v>24</v>
      </c>
      <c r="P133" s="417" t="str">
        <f t="shared" si="67"/>
        <v/>
      </c>
      <c r="CA133" s="418" t="str">
        <f t="shared" si="68"/>
        <v/>
      </c>
      <c r="CJ133" s="3389">
        <f t="shared" si="69"/>
        <v>0</v>
      </c>
    </row>
    <row r="134" spans="1:88">
      <c r="A134" s="6127" t="s">
        <v>2212</v>
      </c>
      <c r="B134" s="457" t="s">
        <v>2207</v>
      </c>
      <c r="C134" s="3631">
        <f t="shared" si="66"/>
        <v>0</v>
      </c>
      <c r="D134" s="448"/>
      <c r="E134" s="3398"/>
      <c r="F134" s="3398"/>
      <c r="G134" s="3398"/>
      <c r="H134" s="3398"/>
      <c r="I134" s="3616"/>
      <c r="J134" s="449"/>
      <c r="K134" s="2229"/>
      <c r="L134" s="452"/>
      <c r="M134" s="3511"/>
      <c r="N134" s="2307"/>
      <c r="O134" s="452"/>
      <c r="P134" s="417" t="str">
        <f t="shared" si="67"/>
        <v/>
      </c>
      <c r="CA134" s="418" t="str">
        <f t="shared" si="68"/>
        <v/>
      </c>
      <c r="CJ134" s="3389">
        <f t="shared" si="69"/>
        <v>0</v>
      </c>
    </row>
    <row r="135" spans="1:88">
      <c r="A135" s="6128"/>
      <c r="B135" s="2237" t="s">
        <v>2208</v>
      </c>
      <c r="C135" s="3517">
        <f t="shared" si="66"/>
        <v>0</v>
      </c>
      <c r="D135" s="3437"/>
      <c r="E135" s="3438"/>
      <c r="F135" s="3438"/>
      <c r="G135" s="3438"/>
      <c r="H135" s="3438"/>
      <c r="I135" s="3439"/>
      <c r="J135" s="3637"/>
      <c r="K135" s="3396"/>
      <c r="L135" s="3601"/>
      <c r="M135" s="3638"/>
      <c r="N135" s="3600"/>
      <c r="O135" s="3601"/>
      <c r="P135" s="417" t="str">
        <f t="shared" si="67"/>
        <v/>
      </c>
      <c r="CA135" s="418" t="str">
        <f t="shared" si="68"/>
        <v/>
      </c>
      <c r="CJ135" s="3389">
        <f t="shared" si="69"/>
        <v>0</v>
      </c>
    </row>
    <row r="136" spans="1:88">
      <c r="A136" s="6128"/>
      <c r="B136" s="2237" t="s">
        <v>2209</v>
      </c>
      <c r="C136" s="3635">
        <f t="shared" si="66"/>
        <v>1</v>
      </c>
      <c r="D136" s="425"/>
      <c r="E136" s="3376"/>
      <c r="F136" s="3376"/>
      <c r="G136" s="3376"/>
      <c r="H136" s="3376"/>
      <c r="I136" s="3588"/>
      <c r="J136" s="424"/>
      <c r="K136" s="2231">
        <v>1</v>
      </c>
      <c r="L136" s="443"/>
      <c r="M136" s="3634"/>
      <c r="N136" s="423"/>
      <c r="O136" s="443">
        <v>12</v>
      </c>
      <c r="P136" s="417" t="str">
        <f t="shared" si="67"/>
        <v/>
      </c>
      <c r="CA136" s="418" t="str">
        <f t="shared" si="68"/>
        <v/>
      </c>
      <c r="CJ136" s="3389">
        <f t="shared" si="69"/>
        <v>0</v>
      </c>
    </row>
    <row r="137" spans="1:88">
      <c r="A137" s="6128"/>
      <c r="B137" s="2237" t="s">
        <v>2210</v>
      </c>
      <c r="C137" s="3517">
        <f t="shared" si="66"/>
        <v>0</v>
      </c>
      <c r="D137" s="3437"/>
      <c r="E137" s="3376"/>
      <c r="F137" s="3376"/>
      <c r="G137" s="3376"/>
      <c r="H137" s="3438"/>
      <c r="I137" s="3376"/>
      <c r="J137" s="424"/>
      <c r="K137" s="2231"/>
      <c r="L137" s="3601"/>
      <c r="M137" s="3634"/>
      <c r="N137" s="2231"/>
      <c r="O137" s="3601"/>
      <c r="P137" s="417" t="str">
        <f t="shared" si="67"/>
        <v/>
      </c>
      <c r="CA137" s="418" t="str">
        <f t="shared" si="68"/>
        <v/>
      </c>
      <c r="CJ137" s="3389">
        <f t="shared" si="69"/>
        <v>0</v>
      </c>
    </row>
    <row r="138" spans="1:88">
      <c r="A138" s="6129"/>
      <c r="B138" s="458" t="s">
        <v>2211</v>
      </c>
      <c r="C138" s="3635">
        <f t="shared" si="66"/>
        <v>0</v>
      </c>
      <c r="D138" s="432"/>
      <c r="E138" s="3399"/>
      <c r="F138" s="3399"/>
      <c r="G138" s="3399"/>
      <c r="H138" s="3384"/>
      <c r="I138" s="3636"/>
      <c r="J138" s="434"/>
      <c r="K138" s="2252"/>
      <c r="L138" s="438"/>
      <c r="M138" s="3512"/>
      <c r="N138" s="3519"/>
      <c r="O138" s="438"/>
      <c r="P138" s="417" t="str">
        <f t="shared" si="67"/>
        <v/>
      </c>
      <c r="CA138" s="418" t="str">
        <f t="shared" si="68"/>
        <v/>
      </c>
      <c r="CJ138" s="3389">
        <f t="shared" si="69"/>
        <v>0</v>
      </c>
    </row>
    <row r="139" spans="1:88">
      <c r="A139" s="6127" t="s">
        <v>2213</v>
      </c>
      <c r="B139" s="457" t="s">
        <v>2207</v>
      </c>
      <c r="C139" s="3639">
        <f t="shared" si="66"/>
        <v>0</v>
      </c>
      <c r="D139" s="448"/>
      <c r="E139" s="3398"/>
      <c r="F139" s="3398"/>
      <c r="G139" s="3398"/>
      <c r="H139" s="3398"/>
      <c r="I139" s="3616"/>
      <c r="J139" s="449"/>
      <c r="K139" s="2229"/>
      <c r="L139" s="452"/>
      <c r="M139" s="3511"/>
      <c r="N139" s="2307"/>
      <c r="O139" s="452"/>
      <c r="P139" s="417" t="str">
        <f t="shared" si="67"/>
        <v/>
      </c>
      <c r="CA139" s="418" t="str">
        <f t="shared" si="68"/>
        <v/>
      </c>
      <c r="CJ139" s="3389">
        <f t="shared" si="69"/>
        <v>0</v>
      </c>
    </row>
    <row r="140" spans="1:88">
      <c r="A140" s="6128"/>
      <c r="B140" s="2237" t="s">
        <v>2208</v>
      </c>
      <c r="C140" s="3635">
        <f t="shared" si="66"/>
        <v>0</v>
      </c>
      <c r="D140" s="3437"/>
      <c r="E140" s="3438"/>
      <c r="F140" s="3438"/>
      <c r="G140" s="3438"/>
      <c r="H140" s="3438"/>
      <c r="I140" s="3439"/>
      <c r="J140" s="3637"/>
      <c r="K140" s="3396"/>
      <c r="L140" s="3601"/>
      <c r="M140" s="3638"/>
      <c r="N140" s="3600"/>
      <c r="O140" s="3601"/>
      <c r="P140" s="417" t="str">
        <f t="shared" si="67"/>
        <v/>
      </c>
      <c r="CA140" s="418" t="str">
        <f t="shared" si="68"/>
        <v/>
      </c>
      <c r="CJ140" s="3389">
        <f t="shared" si="69"/>
        <v>0</v>
      </c>
    </row>
    <row r="141" spans="1:88">
      <c r="A141" s="6128"/>
      <c r="B141" s="2237" t="s">
        <v>2209</v>
      </c>
      <c r="C141" s="3633">
        <f t="shared" si="66"/>
        <v>0</v>
      </c>
      <c r="D141" s="425"/>
      <c r="E141" s="3376"/>
      <c r="F141" s="3376"/>
      <c r="G141" s="3376"/>
      <c r="H141" s="3376"/>
      <c r="I141" s="3588"/>
      <c r="J141" s="424"/>
      <c r="K141" s="2231"/>
      <c r="L141" s="443"/>
      <c r="M141" s="3634"/>
      <c r="N141" s="423"/>
      <c r="O141" s="443"/>
      <c r="P141" s="417" t="str">
        <f t="shared" si="67"/>
        <v/>
      </c>
      <c r="CA141" s="418" t="str">
        <f t="shared" si="68"/>
        <v/>
      </c>
      <c r="CJ141" s="3389">
        <f t="shared" si="69"/>
        <v>0</v>
      </c>
    </row>
    <row r="142" spans="1:88">
      <c r="A142" s="6128"/>
      <c r="B142" s="2237" t="s">
        <v>2210</v>
      </c>
      <c r="C142" s="3517">
        <f t="shared" si="66"/>
        <v>0</v>
      </c>
      <c r="D142" s="3419"/>
      <c r="E142" s="3420"/>
      <c r="F142" s="3420"/>
      <c r="G142" s="3420"/>
      <c r="H142" s="3420"/>
      <c r="I142" s="3440"/>
      <c r="J142" s="3441"/>
      <c r="K142" s="3422"/>
      <c r="L142" s="3592"/>
      <c r="M142" s="3640"/>
      <c r="N142" s="3424"/>
      <c r="O142" s="3592"/>
      <c r="P142" s="417" t="str">
        <f t="shared" si="67"/>
        <v/>
      </c>
      <c r="CA142" s="418" t="str">
        <f t="shared" si="68"/>
        <v/>
      </c>
      <c r="CJ142" s="3389">
        <f t="shared" si="69"/>
        <v>0</v>
      </c>
    </row>
    <row r="143" spans="1:88">
      <c r="A143" s="6129"/>
      <c r="B143" s="458" t="s">
        <v>2211</v>
      </c>
      <c r="C143" s="3635">
        <f t="shared" si="66"/>
        <v>0</v>
      </c>
      <c r="D143" s="432"/>
      <c r="E143" s="3384"/>
      <c r="F143" s="3384"/>
      <c r="G143" s="3384"/>
      <c r="H143" s="3384"/>
      <c r="I143" s="3443"/>
      <c r="J143" s="433"/>
      <c r="K143" s="2235"/>
      <c r="L143" s="438"/>
      <c r="M143" s="3516"/>
      <c r="N143" s="3385"/>
      <c r="O143" s="438"/>
      <c r="P143" s="417" t="str">
        <f t="shared" si="67"/>
        <v/>
      </c>
      <c r="CA143" s="418" t="str">
        <f t="shared" si="68"/>
        <v/>
      </c>
      <c r="CJ143" s="3389">
        <f t="shared" si="69"/>
        <v>0</v>
      </c>
    </row>
    <row r="144" spans="1:88">
      <c r="A144" s="6127" t="s">
        <v>2214</v>
      </c>
      <c r="B144" s="457" t="s">
        <v>2207</v>
      </c>
      <c r="C144" s="3631">
        <f t="shared" si="66"/>
        <v>0</v>
      </c>
      <c r="D144" s="448"/>
      <c r="E144" s="3398"/>
      <c r="F144" s="3398"/>
      <c r="G144" s="3398"/>
      <c r="H144" s="3398"/>
      <c r="I144" s="3616"/>
      <c r="J144" s="449"/>
      <c r="K144" s="2229"/>
      <c r="L144" s="452"/>
      <c r="M144" s="3511"/>
      <c r="N144" s="2307"/>
      <c r="O144" s="452"/>
      <c r="P144" s="417" t="str">
        <f t="shared" si="67"/>
        <v/>
      </c>
      <c r="CA144" s="418" t="str">
        <f t="shared" si="68"/>
        <v/>
      </c>
      <c r="CJ144" s="3389">
        <f t="shared" si="69"/>
        <v>0</v>
      </c>
    </row>
    <row r="145" spans="1:88">
      <c r="A145" s="6128"/>
      <c r="B145" s="2237" t="s">
        <v>2208</v>
      </c>
      <c r="C145" s="3633">
        <f t="shared" si="66"/>
        <v>0</v>
      </c>
      <c r="D145" s="3437"/>
      <c r="E145" s="3438"/>
      <c r="F145" s="3438"/>
      <c r="G145" s="3438"/>
      <c r="H145" s="3438"/>
      <c r="I145" s="3439"/>
      <c r="J145" s="3637"/>
      <c r="K145" s="3396"/>
      <c r="L145" s="3601"/>
      <c r="M145" s="3638"/>
      <c r="N145" s="3600"/>
      <c r="O145" s="3601"/>
      <c r="P145" s="417" t="str">
        <f t="shared" si="67"/>
        <v/>
      </c>
      <c r="CA145" s="418" t="str">
        <f t="shared" si="68"/>
        <v/>
      </c>
      <c r="CJ145" s="3389">
        <f t="shared" si="69"/>
        <v>0</v>
      </c>
    </row>
    <row r="146" spans="1:88">
      <c r="A146" s="6128"/>
      <c r="B146" s="2237" t="s">
        <v>2209</v>
      </c>
      <c r="C146" s="3633">
        <f t="shared" si="66"/>
        <v>1</v>
      </c>
      <c r="D146" s="425"/>
      <c r="E146" s="3376"/>
      <c r="F146" s="3376"/>
      <c r="G146" s="3376">
        <v>1</v>
      </c>
      <c r="H146" s="3376"/>
      <c r="I146" s="3588"/>
      <c r="J146" s="424"/>
      <c r="K146" s="2231"/>
      <c r="L146" s="443"/>
      <c r="M146" s="3634"/>
      <c r="N146" s="423"/>
      <c r="O146" s="443">
        <v>7</v>
      </c>
      <c r="P146" s="417" t="str">
        <f t="shared" si="67"/>
        <v/>
      </c>
      <c r="CA146" s="418" t="str">
        <f t="shared" si="68"/>
        <v/>
      </c>
      <c r="CJ146" s="3389">
        <f t="shared" si="69"/>
        <v>0</v>
      </c>
    </row>
    <row r="147" spans="1:88">
      <c r="A147" s="6128"/>
      <c r="B147" s="2237" t="s">
        <v>2210</v>
      </c>
      <c r="C147" s="3633">
        <f t="shared" si="66"/>
        <v>0</v>
      </c>
      <c r="D147" s="3419"/>
      <c r="E147" s="3420"/>
      <c r="F147" s="3420"/>
      <c r="G147" s="3420"/>
      <c r="H147" s="3420"/>
      <c r="I147" s="3440"/>
      <c r="J147" s="3441"/>
      <c r="K147" s="3422"/>
      <c r="L147" s="3592"/>
      <c r="M147" s="3640"/>
      <c r="N147" s="3424"/>
      <c r="O147" s="3592"/>
      <c r="P147" s="417" t="str">
        <f t="shared" si="67"/>
        <v/>
      </c>
      <c r="CA147" s="418" t="str">
        <f t="shared" si="68"/>
        <v/>
      </c>
      <c r="CJ147" s="3389">
        <f t="shared" si="69"/>
        <v>0</v>
      </c>
    </row>
    <row r="148" spans="1:88">
      <c r="A148" s="6129"/>
      <c r="B148" s="458" t="s">
        <v>2211</v>
      </c>
      <c r="C148" s="3518">
        <f t="shared" si="66"/>
        <v>0</v>
      </c>
      <c r="D148" s="432"/>
      <c r="E148" s="3384"/>
      <c r="F148" s="3384"/>
      <c r="G148" s="3384"/>
      <c r="H148" s="3384"/>
      <c r="I148" s="3443"/>
      <c r="J148" s="433"/>
      <c r="K148" s="2235"/>
      <c r="L148" s="438"/>
      <c r="M148" s="3516"/>
      <c r="N148" s="3385"/>
      <c r="O148" s="438"/>
      <c r="P148" s="417" t="str">
        <f t="shared" si="67"/>
        <v/>
      </c>
      <c r="CA148" s="418" t="str">
        <f t="shared" si="68"/>
        <v/>
      </c>
      <c r="CJ148" s="3389">
        <f t="shared" si="69"/>
        <v>0</v>
      </c>
    </row>
    <row r="149" spans="1:88" ht="18" customHeight="1">
      <c r="A149" s="5717" t="s">
        <v>2215</v>
      </c>
      <c r="B149" s="5717"/>
      <c r="C149" s="5717"/>
      <c r="D149" s="5717"/>
      <c r="E149" s="5717"/>
      <c r="F149" s="5717"/>
      <c r="G149" s="5717"/>
      <c r="H149" s="5717"/>
    </row>
    <row r="150" spans="1:88" ht="21">
      <c r="A150" s="400" t="s">
        <v>2216</v>
      </c>
      <c r="B150" s="1574" t="s">
        <v>2217</v>
      </c>
      <c r="C150" s="1395" t="s">
        <v>2218</v>
      </c>
      <c r="D150" s="1646" t="s">
        <v>2219</v>
      </c>
      <c r="E150" s="1646" t="s">
        <v>2220</v>
      </c>
      <c r="F150" s="1646" t="s">
        <v>2221</v>
      </c>
      <c r="G150" s="1646" t="s">
        <v>2222</v>
      </c>
      <c r="H150" s="1584" t="s">
        <v>2223</v>
      </c>
    </row>
    <row r="151" spans="1:88">
      <c r="A151" s="457" t="s">
        <v>2207</v>
      </c>
      <c r="B151" s="3639">
        <f t="shared" ref="B151:B164" si="70">SUM(C151:H151)</f>
        <v>0</v>
      </c>
      <c r="C151" s="448"/>
      <c r="D151" s="3641"/>
      <c r="E151" s="3642"/>
      <c r="F151" s="3642"/>
      <c r="G151" s="3642"/>
      <c r="H151" s="3643"/>
    </row>
    <row r="152" spans="1:88">
      <c r="A152" s="2237" t="s">
        <v>2208</v>
      </c>
      <c r="B152" s="3517">
        <f t="shared" si="70"/>
        <v>0</v>
      </c>
      <c r="C152" s="3437"/>
      <c r="D152" s="3438"/>
      <c r="E152" s="3438"/>
      <c r="F152" s="3438"/>
      <c r="G152" s="3438"/>
      <c r="H152" s="3637"/>
    </row>
    <row r="153" spans="1:88">
      <c r="A153" s="2237" t="s">
        <v>2209</v>
      </c>
      <c r="B153" s="3517">
        <f t="shared" si="70"/>
        <v>0</v>
      </c>
      <c r="C153" s="425"/>
      <c r="D153" s="3376"/>
      <c r="E153" s="3376"/>
      <c r="F153" s="3376"/>
      <c r="G153" s="3376"/>
      <c r="H153" s="424"/>
    </row>
    <row r="154" spans="1:88">
      <c r="A154" s="2237" t="s">
        <v>2224</v>
      </c>
      <c r="B154" s="3517">
        <f t="shared" si="70"/>
        <v>0</v>
      </c>
      <c r="C154" s="425"/>
      <c r="D154" s="3376"/>
      <c r="E154" s="3376"/>
      <c r="F154" s="3376"/>
      <c r="G154" s="3376"/>
      <c r="H154" s="424"/>
    </row>
    <row r="155" spans="1:88">
      <c r="A155" s="453" t="s">
        <v>2211</v>
      </c>
      <c r="B155" s="3633">
        <f t="shared" si="70"/>
        <v>0</v>
      </c>
      <c r="C155" s="432"/>
      <c r="D155" s="3384"/>
      <c r="E155" s="3384"/>
      <c r="F155" s="3384"/>
      <c r="G155" s="3384"/>
      <c r="H155" s="433"/>
    </row>
    <row r="156" spans="1:88" ht="18" customHeight="1">
      <c r="A156" s="5717" t="s">
        <v>2225</v>
      </c>
      <c r="B156" s="5717"/>
      <c r="C156" s="5717"/>
      <c r="D156" s="5717"/>
      <c r="E156" s="5717"/>
      <c r="F156" s="5717"/>
      <c r="G156" s="5717"/>
      <c r="H156" s="5717"/>
    </row>
    <row r="157" spans="1:88" ht="31.5">
      <c r="A157" s="400" t="s">
        <v>2216</v>
      </c>
      <c r="B157" s="1574" t="s">
        <v>1680</v>
      </c>
      <c r="C157" s="1395" t="s">
        <v>2226</v>
      </c>
      <c r="D157" s="1646" t="s">
        <v>2227</v>
      </c>
      <c r="E157" s="1646" t="s">
        <v>2228</v>
      </c>
      <c r="F157" s="1646" t="s">
        <v>2229</v>
      </c>
      <c r="G157" s="1646" t="s">
        <v>2230</v>
      </c>
      <c r="H157" s="1584" t="s">
        <v>2231</v>
      </c>
    </row>
    <row r="158" spans="1:88">
      <c r="A158" s="457" t="s">
        <v>2207</v>
      </c>
      <c r="B158" s="3639">
        <f t="shared" si="70"/>
        <v>16</v>
      </c>
      <c r="C158" s="448">
        <v>3</v>
      </c>
      <c r="D158" s="3642"/>
      <c r="E158" s="3642">
        <v>6</v>
      </c>
      <c r="F158" s="3642">
        <v>7</v>
      </c>
      <c r="G158" s="3642"/>
      <c r="H158" s="3643"/>
    </row>
    <row r="159" spans="1:88">
      <c r="A159" s="2237" t="s">
        <v>2208</v>
      </c>
      <c r="B159" s="3517">
        <f t="shared" si="70"/>
        <v>0</v>
      </c>
      <c r="C159" s="425"/>
      <c r="D159" s="3376"/>
      <c r="E159" s="3376"/>
      <c r="F159" s="3376"/>
      <c r="G159" s="3376"/>
      <c r="H159" s="424"/>
    </row>
    <row r="160" spans="1:88">
      <c r="A160" s="2237" t="s">
        <v>2209</v>
      </c>
      <c r="B160" s="3517">
        <f t="shared" si="70"/>
        <v>20</v>
      </c>
      <c r="C160" s="425">
        <v>7</v>
      </c>
      <c r="D160" s="3376"/>
      <c r="E160" s="3376">
        <v>5</v>
      </c>
      <c r="F160" s="3376">
        <v>8</v>
      </c>
      <c r="G160" s="3376"/>
      <c r="H160" s="424"/>
    </row>
    <row r="161" spans="1:38">
      <c r="A161" s="420" t="s">
        <v>2224</v>
      </c>
      <c r="B161" s="3517">
        <f t="shared" si="70"/>
        <v>0</v>
      </c>
      <c r="C161" s="425"/>
      <c r="D161" s="3376"/>
      <c r="E161" s="3376"/>
      <c r="F161" s="3376"/>
      <c r="G161" s="3376"/>
      <c r="H161" s="424"/>
    </row>
    <row r="162" spans="1:38">
      <c r="A162" s="2260" t="s">
        <v>2211</v>
      </c>
      <c r="B162" s="3633">
        <f t="shared" si="70"/>
        <v>0</v>
      </c>
      <c r="C162" s="3419"/>
      <c r="D162" s="3420"/>
      <c r="E162" s="3420"/>
      <c r="F162" s="3420"/>
      <c r="G162" s="3420"/>
      <c r="H162" s="3441"/>
    </row>
    <row r="163" spans="1:38">
      <c r="A163" s="2260" t="s">
        <v>2232</v>
      </c>
      <c r="B163" s="3633">
        <f t="shared" si="70"/>
        <v>0</v>
      </c>
      <c r="C163" s="3419"/>
      <c r="D163" s="3420"/>
      <c r="E163" s="3420"/>
      <c r="F163" s="3420"/>
      <c r="G163" s="3420"/>
      <c r="H163" s="3441"/>
    </row>
    <row r="164" spans="1:38">
      <c r="A164" s="1506" t="s">
        <v>619</v>
      </c>
      <c r="B164" s="3518">
        <f t="shared" si="70"/>
        <v>0</v>
      </c>
      <c r="C164" s="432"/>
      <c r="D164" s="3384"/>
      <c r="E164" s="3384"/>
      <c r="F164" s="3384"/>
      <c r="G164" s="3384"/>
      <c r="H164" s="433"/>
    </row>
    <row r="165" spans="1:38" s="385" customFormat="1" ht="18" customHeight="1">
      <c r="A165" s="2162" t="s">
        <v>2233</v>
      </c>
      <c r="B165" s="1582"/>
      <c r="C165" s="1582"/>
      <c r="D165" s="1582"/>
      <c r="E165" s="1582"/>
      <c r="F165" s="1582"/>
      <c r="G165" s="1582"/>
      <c r="H165" s="1582"/>
      <c r="I165" s="464"/>
      <c r="J165" s="464"/>
    </row>
    <row r="166" spans="1:38" ht="52.5">
      <c r="A166" s="400" t="s">
        <v>2216</v>
      </c>
      <c r="B166" s="400" t="s">
        <v>2217</v>
      </c>
      <c r="C166" s="1495" t="s">
        <v>2196</v>
      </c>
      <c r="D166" s="1395" t="s">
        <v>2234</v>
      </c>
      <c r="E166" s="1646" t="s">
        <v>2235</v>
      </c>
      <c r="F166" s="1646" t="s">
        <v>2236</v>
      </c>
      <c r="G166" s="1646" t="s">
        <v>2237</v>
      </c>
      <c r="H166" s="1646" t="s">
        <v>2238</v>
      </c>
      <c r="I166" s="1646" t="s">
        <v>2239</v>
      </c>
      <c r="J166" s="393" t="s">
        <v>2240</v>
      </c>
    </row>
    <row r="167" spans="1:38">
      <c r="A167" s="457" t="s">
        <v>2241</v>
      </c>
      <c r="B167" s="3639">
        <f t="shared" ref="B167:B170" si="71">SUM(D167:J167)</f>
        <v>0</v>
      </c>
      <c r="C167" s="1652"/>
      <c r="D167" s="1424"/>
      <c r="E167" s="3644"/>
      <c r="F167" s="3644"/>
      <c r="G167" s="3644"/>
      <c r="H167" s="3644"/>
      <c r="I167" s="3644"/>
      <c r="J167" s="3645"/>
    </row>
    <row r="168" spans="1:38">
      <c r="A168" s="2237" t="s">
        <v>1151</v>
      </c>
      <c r="B168" s="3517">
        <f t="shared" si="71"/>
        <v>0</v>
      </c>
      <c r="C168" s="1447"/>
      <c r="D168" s="1440"/>
      <c r="E168" s="1442"/>
      <c r="F168" s="1442"/>
      <c r="G168" s="1442"/>
      <c r="H168" s="1442"/>
      <c r="I168" s="1442"/>
      <c r="J168" s="1452"/>
    </row>
    <row r="169" spans="1:38">
      <c r="A169" s="2237" t="s">
        <v>2242</v>
      </c>
      <c r="B169" s="3517">
        <f t="shared" si="71"/>
        <v>0</v>
      </c>
      <c r="C169" s="1447"/>
      <c r="D169" s="1440"/>
      <c r="E169" s="1442"/>
      <c r="F169" s="1442"/>
      <c r="G169" s="1442"/>
      <c r="H169" s="1442"/>
      <c r="I169" s="1442"/>
      <c r="J169" s="1452"/>
    </row>
    <row r="170" spans="1:38">
      <c r="A170" s="444" t="s">
        <v>2211</v>
      </c>
      <c r="B170" s="3517">
        <f t="shared" si="71"/>
        <v>0</v>
      </c>
      <c r="C170" s="1490"/>
      <c r="D170" s="1455"/>
      <c r="E170" s="1457"/>
      <c r="F170" s="1457"/>
      <c r="G170" s="1457"/>
      <c r="H170" s="1457"/>
      <c r="I170" s="1457"/>
      <c r="J170" s="1467"/>
    </row>
    <row r="171" spans="1:38" ht="18" customHeight="1">
      <c r="A171" s="6780" t="s">
        <v>2243</v>
      </c>
      <c r="B171" s="6780"/>
      <c r="C171" s="6780"/>
      <c r="D171" s="6780"/>
      <c r="E171" s="6780"/>
      <c r="F171" s="6780"/>
      <c r="G171" s="6780"/>
      <c r="H171" s="6780"/>
      <c r="I171" s="6780"/>
      <c r="J171" s="6780"/>
    </row>
    <row r="172" spans="1:38" ht="15" customHeight="1">
      <c r="A172" s="6119" t="s">
        <v>1124</v>
      </c>
      <c r="B172" s="6140" t="s">
        <v>91</v>
      </c>
      <c r="C172" s="6139"/>
      <c r="D172" s="6119"/>
      <c r="E172" s="6052" t="s">
        <v>115</v>
      </c>
      <c r="F172" s="6053"/>
      <c r="G172" s="6053"/>
      <c r="H172" s="6053"/>
      <c r="I172" s="6053"/>
      <c r="J172" s="6053"/>
      <c r="K172" s="6053"/>
      <c r="L172" s="6053"/>
      <c r="M172" s="6053"/>
      <c r="N172" s="6053"/>
      <c r="O172" s="6053"/>
      <c r="P172" s="6053"/>
      <c r="Q172" s="6053"/>
      <c r="R172" s="6053"/>
      <c r="S172" s="6053"/>
      <c r="T172" s="6053"/>
      <c r="U172" s="6053"/>
      <c r="V172" s="6053"/>
      <c r="W172" s="6053"/>
      <c r="X172" s="6053"/>
      <c r="Y172" s="6053"/>
      <c r="Z172" s="6053"/>
      <c r="AA172" s="6053"/>
      <c r="AB172" s="6053"/>
      <c r="AC172" s="6053"/>
      <c r="AD172" s="6053"/>
      <c r="AE172" s="6053"/>
      <c r="AF172" s="6053"/>
      <c r="AG172" s="6053"/>
      <c r="AH172" s="6053"/>
      <c r="AI172" s="6053"/>
      <c r="AJ172" s="6053"/>
      <c r="AK172" s="6053"/>
      <c r="AL172" s="6054"/>
    </row>
    <row r="173" spans="1:38" ht="15" customHeight="1">
      <c r="A173" s="6120"/>
      <c r="B173" s="6114"/>
      <c r="C173" s="6115"/>
      <c r="D173" s="6116"/>
      <c r="E173" s="6137" t="s">
        <v>364</v>
      </c>
      <c r="F173" s="6137"/>
      <c r="G173" s="5710" t="s">
        <v>347</v>
      </c>
      <c r="H173" s="5712"/>
      <c r="I173" s="5710" t="s">
        <v>108</v>
      </c>
      <c r="J173" s="5712"/>
      <c r="K173" s="5710" t="s">
        <v>2137</v>
      </c>
      <c r="L173" s="5712"/>
      <c r="M173" s="5710" t="s">
        <v>326</v>
      </c>
      <c r="N173" s="5712"/>
      <c r="O173" s="5710" t="s">
        <v>1003</v>
      </c>
      <c r="P173" s="5712"/>
      <c r="Q173" s="5710" t="s">
        <v>656</v>
      </c>
      <c r="R173" s="5712"/>
      <c r="S173" s="5710" t="s">
        <v>2138</v>
      </c>
      <c r="T173" s="5712"/>
      <c r="U173" s="5710" t="s">
        <v>657</v>
      </c>
      <c r="V173" s="5712"/>
      <c r="W173" s="5710" t="s">
        <v>2139</v>
      </c>
      <c r="X173" s="5712"/>
      <c r="Y173" s="5710" t="s">
        <v>2140</v>
      </c>
      <c r="Z173" s="5712"/>
      <c r="AA173" s="5710" t="s">
        <v>2022</v>
      </c>
      <c r="AB173" s="5712"/>
      <c r="AC173" s="5710" t="s">
        <v>1650</v>
      </c>
      <c r="AD173" s="5712"/>
      <c r="AE173" s="5710" t="s">
        <v>329</v>
      </c>
      <c r="AF173" s="5712"/>
      <c r="AG173" s="5710" t="s">
        <v>2141</v>
      </c>
      <c r="AH173" s="5712"/>
      <c r="AI173" s="5710" t="s">
        <v>2142</v>
      </c>
      <c r="AJ173" s="5712"/>
      <c r="AK173" s="5707" t="s">
        <v>71</v>
      </c>
      <c r="AL173" s="5709"/>
    </row>
    <row r="174" spans="1:38" ht="15" customHeight="1">
      <c r="A174" s="6116"/>
      <c r="B174" s="1395" t="s">
        <v>93</v>
      </c>
      <c r="C174" s="1396" t="s">
        <v>72</v>
      </c>
      <c r="D174" s="393" t="s">
        <v>73</v>
      </c>
      <c r="E174" s="1395" t="s">
        <v>72</v>
      </c>
      <c r="F174" s="393" t="s">
        <v>73</v>
      </c>
      <c r="G174" s="1395" t="s">
        <v>72</v>
      </c>
      <c r="H174" s="393" t="s">
        <v>73</v>
      </c>
      <c r="I174" s="1395" t="s">
        <v>72</v>
      </c>
      <c r="J174" s="393" t="s">
        <v>73</v>
      </c>
      <c r="K174" s="1395" t="s">
        <v>72</v>
      </c>
      <c r="L174" s="393" t="s">
        <v>73</v>
      </c>
      <c r="M174" s="1395" t="s">
        <v>72</v>
      </c>
      <c r="N174" s="393" t="s">
        <v>73</v>
      </c>
      <c r="O174" s="1395" t="s">
        <v>72</v>
      </c>
      <c r="P174" s="393" t="s">
        <v>73</v>
      </c>
      <c r="Q174" s="1395" t="s">
        <v>72</v>
      </c>
      <c r="R174" s="393" t="s">
        <v>73</v>
      </c>
      <c r="S174" s="1395" t="s">
        <v>72</v>
      </c>
      <c r="T174" s="393" t="s">
        <v>73</v>
      </c>
      <c r="U174" s="1395" t="s">
        <v>72</v>
      </c>
      <c r="V174" s="393" t="s">
        <v>73</v>
      </c>
      <c r="W174" s="1395" t="s">
        <v>72</v>
      </c>
      <c r="X174" s="393" t="s">
        <v>73</v>
      </c>
      <c r="Y174" s="1395" t="s">
        <v>72</v>
      </c>
      <c r="Z174" s="393" t="s">
        <v>73</v>
      </c>
      <c r="AA174" s="1395" t="s">
        <v>72</v>
      </c>
      <c r="AB174" s="393" t="s">
        <v>73</v>
      </c>
      <c r="AC174" s="1395" t="s">
        <v>72</v>
      </c>
      <c r="AD174" s="393" t="s">
        <v>73</v>
      </c>
      <c r="AE174" s="1395" t="s">
        <v>72</v>
      </c>
      <c r="AF174" s="393" t="s">
        <v>73</v>
      </c>
      <c r="AG174" s="1395" t="s">
        <v>72</v>
      </c>
      <c r="AH174" s="393" t="s">
        <v>73</v>
      </c>
      <c r="AI174" s="1395" t="s">
        <v>72</v>
      </c>
      <c r="AJ174" s="393" t="s">
        <v>73</v>
      </c>
      <c r="AK174" s="1395" t="s">
        <v>72</v>
      </c>
      <c r="AL174" s="393" t="s">
        <v>73</v>
      </c>
    </row>
    <row r="175" spans="1:38">
      <c r="A175" s="3646" t="s">
        <v>2244</v>
      </c>
      <c r="B175" s="2393">
        <f t="shared" ref="B175:B180" si="72">SUM(C175:D175)</f>
        <v>0</v>
      </c>
      <c r="C175" s="3453">
        <f t="shared" ref="C175:D180" si="73">+E175+G175+I175+K175+M175+O175+Q175+S175+U175+W175+Y175+AA175+AC175+AE175+AG175+AI175+AK175</f>
        <v>0</v>
      </c>
      <c r="D175" s="3647">
        <f>+F175+H175+J175+L175+N175+P175+R175+T175+V175+X175+Z175+AB175+AD175+AF175+AH175+AJ175+AL175</f>
        <v>0</v>
      </c>
      <c r="E175" s="3394"/>
      <c r="F175" s="3563"/>
      <c r="G175" s="3394"/>
      <c r="H175" s="3563"/>
      <c r="I175" s="3394"/>
      <c r="J175" s="3397"/>
      <c r="K175" s="3394"/>
      <c r="L175" s="3397"/>
      <c r="M175" s="3394"/>
      <c r="N175" s="3397"/>
      <c r="O175" s="3394"/>
      <c r="P175" s="3397"/>
      <c r="Q175" s="3394"/>
      <c r="R175" s="3397"/>
      <c r="S175" s="3394"/>
      <c r="T175" s="3397"/>
      <c r="U175" s="3394"/>
      <c r="V175" s="3397"/>
      <c r="W175" s="3394"/>
      <c r="X175" s="3397"/>
      <c r="Y175" s="3394"/>
      <c r="Z175" s="3397"/>
      <c r="AA175" s="3394"/>
      <c r="AB175" s="3397"/>
      <c r="AC175" s="3394"/>
      <c r="AD175" s="3397"/>
      <c r="AE175" s="3394"/>
      <c r="AF175" s="3397"/>
      <c r="AG175" s="3394"/>
      <c r="AH175" s="3397"/>
      <c r="AI175" s="3394"/>
      <c r="AJ175" s="3397"/>
      <c r="AK175" s="3564"/>
      <c r="AL175" s="3397"/>
    </row>
    <row r="176" spans="1:38" ht="21">
      <c r="A176" s="2026" t="s">
        <v>2245</v>
      </c>
      <c r="B176" s="1737">
        <f t="shared" si="72"/>
        <v>0</v>
      </c>
      <c r="C176" s="3202">
        <f t="shared" si="73"/>
        <v>0</v>
      </c>
      <c r="D176" s="3442">
        <f t="shared" si="73"/>
        <v>0</v>
      </c>
      <c r="E176" s="425"/>
      <c r="F176" s="2231"/>
      <c r="G176" s="425"/>
      <c r="H176" s="2231"/>
      <c r="I176" s="425"/>
      <c r="J176" s="424"/>
      <c r="K176" s="425"/>
      <c r="L176" s="424"/>
      <c r="M176" s="425"/>
      <c r="N176" s="424"/>
      <c r="O176" s="425"/>
      <c r="P176" s="424"/>
      <c r="Q176" s="425"/>
      <c r="R176" s="424"/>
      <c r="S176" s="425"/>
      <c r="T176" s="424"/>
      <c r="U176" s="425"/>
      <c r="V176" s="424"/>
      <c r="W176" s="425"/>
      <c r="X176" s="424"/>
      <c r="Y176" s="425"/>
      <c r="Z176" s="424"/>
      <c r="AA176" s="425"/>
      <c r="AB176" s="424"/>
      <c r="AC176" s="425"/>
      <c r="AD176" s="424"/>
      <c r="AE176" s="425"/>
      <c r="AF176" s="424"/>
      <c r="AG176" s="425"/>
      <c r="AH176" s="424"/>
      <c r="AI176" s="425"/>
      <c r="AJ176" s="424"/>
      <c r="AK176" s="3568"/>
      <c r="AL176" s="424"/>
    </row>
    <row r="177" spans="1:38" ht="21">
      <c r="A177" s="3648" t="s">
        <v>2246</v>
      </c>
      <c r="B177" s="1737">
        <f t="shared" si="72"/>
        <v>0</v>
      </c>
      <c r="C177" s="3202">
        <f t="shared" si="73"/>
        <v>0</v>
      </c>
      <c r="D177" s="2295">
        <f t="shared" si="73"/>
        <v>0</v>
      </c>
      <c r="E177" s="3419"/>
      <c r="F177" s="3422"/>
      <c r="G177" s="3419"/>
      <c r="H177" s="3422"/>
      <c r="I177" s="425"/>
      <c r="J177" s="3441"/>
      <c r="K177" s="425"/>
      <c r="L177" s="424"/>
      <c r="M177" s="425"/>
      <c r="N177" s="424"/>
      <c r="O177" s="425"/>
      <c r="P177" s="424"/>
      <c r="Q177" s="425"/>
      <c r="R177" s="424"/>
      <c r="S177" s="425"/>
      <c r="T177" s="424"/>
      <c r="U177" s="425"/>
      <c r="V177" s="424"/>
      <c r="W177" s="425"/>
      <c r="X177" s="424"/>
      <c r="Y177" s="425"/>
      <c r="Z177" s="424"/>
      <c r="AA177" s="425"/>
      <c r="AB177" s="424"/>
      <c r="AC177" s="425"/>
      <c r="AD177" s="424"/>
      <c r="AE177" s="425"/>
      <c r="AF177" s="424"/>
      <c r="AG177" s="425"/>
      <c r="AH177" s="424"/>
      <c r="AI177" s="425"/>
      <c r="AJ177" s="424"/>
      <c r="AK177" s="3568"/>
      <c r="AL177" s="424"/>
    </row>
    <row r="178" spans="1:38" ht="21">
      <c r="A178" s="2057" t="s">
        <v>2247</v>
      </c>
      <c r="B178" s="3591">
        <f t="shared" si="72"/>
        <v>0</v>
      </c>
      <c r="C178" s="3574">
        <f t="shared" si="73"/>
        <v>0</v>
      </c>
      <c r="D178" s="2295">
        <f t="shared" si="73"/>
        <v>0</v>
      </c>
      <c r="E178" s="425"/>
      <c r="F178" s="424"/>
      <c r="G178" s="3419"/>
      <c r="H178" s="424"/>
      <c r="I178" s="3437"/>
      <c r="J178" s="424"/>
      <c r="K178" s="413"/>
      <c r="L178" s="412"/>
      <c r="M178" s="413"/>
      <c r="N178" s="412"/>
      <c r="O178" s="413"/>
      <c r="P178" s="424"/>
      <c r="Q178" s="425"/>
      <c r="R178" s="424"/>
      <c r="S178" s="425"/>
      <c r="T178" s="424"/>
      <c r="U178" s="425"/>
      <c r="V178" s="424"/>
      <c r="W178" s="425"/>
      <c r="X178" s="424"/>
      <c r="Y178" s="425"/>
      <c r="Z178" s="424"/>
      <c r="AA178" s="425"/>
      <c r="AB178" s="424"/>
      <c r="AC178" s="425"/>
      <c r="AD178" s="424"/>
      <c r="AE178" s="425"/>
      <c r="AF178" s="424"/>
      <c r="AG178" s="425"/>
      <c r="AH178" s="424"/>
      <c r="AI178" s="425"/>
      <c r="AJ178" s="424"/>
      <c r="AK178" s="3568"/>
      <c r="AL178" s="3441"/>
    </row>
    <row r="179" spans="1:38">
      <c r="A179" s="2057" t="s">
        <v>2248</v>
      </c>
      <c r="B179" s="1737">
        <f t="shared" si="72"/>
        <v>0</v>
      </c>
      <c r="C179" s="3202">
        <f t="shared" si="73"/>
        <v>0</v>
      </c>
      <c r="D179" s="1739">
        <f t="shared" si="73"/>
        <v>0</v>
      </c>
      <c r="E179" s="3419"/>
      <c r="F179" s="2231"/>
      <c r="G179" s="3419"/>
      <c r="H179" s="2231"/>
      <c r="I179" s="425"/>
      <c r="J179" s="424"/>
      <c r="K179" s="425"/>
      <c r="L179" s="424"/>
      <c r="M179" s="425"/>
      <c r="N179" s="424"/>
      <c r="O179" s="425"/>
      <c r="P179" s="424"/>
      <c r="Q179" s="425"/>
      <c r="R179" s="424"/>
      <c r="S179" s="425"/>
      <c r="T179" s="424"/>
      <c r="U179" s="425"/>
      <c r="V179" s="424"/>
      <c r="W179" s="425"/>
      <c r="X179" s="424"/>
      <c r="Y179" s="425"/>
      <c r="Z179" s="424"/>
      <c r="AA179" s="425"/>
      <c r="AB179" s="424"/>
      <c r="AC179" s="425"/>
      <c r="AD179" s="424"/>
      <c r="AE179" s="425"/>
      <c r="AF179" s="424"/>
      <c r="AG179" s="425"/>
      <c r="AH179" s="424"/>
      <c r="AI179" s="425"/>
      <c r="AJ179" s="424"/>
      <c r="AK179" s="3568"/>
      <c r="AL179" s="424"/>
    </row>
    <row r="180" spans="1:38" ht="21">
      <c r="A180" s="2089" t="s">
        <v>2249</v>
      </c>
      <c r="B180" s="1755">
        <f t="shared" si="72"/>
        <v>0</v>
      </c>
      <c r="C180" s="3649">
        <f t="shared" si="73"/>
        <v>0</v>
      </c>
      <c r="D180" s="1758">
        <f>+F180+H180+J180+L180+N180+P180+R180+T180+V180+X180+Z180+AB180+AD180+AF180+AH180+AJ180+AL180</f>
        <v>0</v>
      </c>
      <c r="E180" s="432"/>
      <c r="F180" s="2253"/>
      <c r="G180" s="432"/>
      <c r="H180" s="2252"/>
      <c r="I180" s="3586"/>
      <c r="J180" s="434"/>
      <c r="K180" s="3586"/>
      <c r="L180" s="434"/>
      <c r="M180" s="3586"/>
      <c r="N180" s="434"/>
      <c r="O180" s="3586"/>
      <c r="P180" s="434"/>
      <c r="Q180" s="3586"/>
      <c r="R180" s="434"/>
      <c r="S180" s="3586"/>
      <c r="T180" s="434"/>
      <c r="U180" s="3586"/>
      <c r="V180" s="434"/>
      <c r="W180" s="3586"/>
      <c r="X180" s="434"/>
      <c r="Y180" s="3586"/>
      <c r="Z180" s="434"/>
      <c r="AA180" s="435"/>
      <c r="AB180" s="2252"/>
      <c r="AC180" s="3586"/>
      <c r="AD180" s="434"/>
      <c r="AE180" s="3586"/>
      <c r="AF180" s="434"/>
      <c r="AG180" s="435"/>
      <c r="AH180" s="2252"/>
      <c r="AI180" s="3586"/>
      <c r="AJ180" s="434"/>
      <c r="AK180" s="3586"/>
      <c r="AL180" s="434"/>
    </row>
    <row r="181" spans="1:38">
      <c r="A181" s="395" t="s">
        <v>91</v>
      </c>
      <c r="B181" s="1773">
        <f>SUM(B175:B180)</f>
        <v>0</v>
      </c>
      <c r="C181" s="1758">
        <f>SUM(C175:C180)</f>
        <v>0</v>
      </c>
      <c r="D181" s="3650">
        <f>SUM(D175:D180)</f>
        <v>0</v>
      </c>
      <c r="E181" s="3651">
        <f t="shared" ref="E181:AL181" si="74">SUM(E175:E179)</f>
        <v>0</v>
      </c>
      <c r="F181" s="2297">
        <f t="shared" si="74"/>
        <v>0</v>
      </c>
      <c r="G181" s="3651">
        <f t="shared" si="74"/>
        <v>0</v>
      </c>
      <c r="H181" s="2297">
        <f t="shared" si="74"/>
        <v>0</v>
      </c>
      <c r="I181" s="3652">
        <f t="shared" si="74"/>
        <v>0</v>
      </c>
      <c r="J181" s="2297">
        <f t="shared" si="74"/>
        <v>0</v>
      </c>
      <c r="K181" s="3652">
        <f t="shared" si="74"/>
        <v>0</v>
      </c>
      <c r="L181" s="2297">
        <f t="shared" si="74"/>
        <v>0</v>
      </c>
      <c r="M181" s="3652">
        <f t="shared" si="74"/>
        <v>0</v>
      </c>
      <c r="N181" s="2297">
        <f t="shared" si="74"/>
        <v>0</v>
      </c>
      <c r="O181" s="3652">
        <f t="shared" si="74"/>
        <v>0</v>
      </c>
      <c r="P181" s="2297">
        <f t="shared" si="74"/>
        <v>0</v>
      </c>
      <c r="Q181" s="3652">
        <f t="shared" si="74"/>
        <v>0</v>
      </c>
      <c r="R181" s="2297">
        <f t="shared" si="74"/>
        <v>0</v>
      </c>
      <c r="S181" s="3652">
        <f t="shared" si="74"/>
        <v>0</v>
      </c>
      <c r="T181" s="2297">
        <f t="shared" si="74"/>
        <v>0</v>
      </c>
      <c r="U181" s="3652">
        <f t="shared" si="74"/>
        <v>0</v>
      </c>
      <c r="V181" s="2297">
        <f t="shared" si="74"/>
        <v>0</v>
      </c>
      <c r="W181" s="3652">
        <f t="shared" si="74"/>
        <v>0</v>
      </c>
      <c r="X181" s="2297">
        <f t="shared" si="74"/>
        <v>0</v>
      </c>
      <c r="Y181" s="3652">
        <f t="shared" si="74"/>
        <v>0</v>
      </c>
      <c r="Z181" s="2297">
        <f t="shared" si="74"/>
        <v>0</v>
      </c>
      <c r="AA181" s="1743">
        <f t="shared" si="74"/>
        <v>0</v>
      </c>
      <c r="AB181" s="1775">
        <f t="shared" si="74"/>
        <v>0</v>
      </c>
      <c r="AC181" s="3652">
        <f t="shared" si="74"/>
        <v>0</v>
      </c>
      <c r="AD181" s="2297">
        <f t="shared" si="74"/>
        <v>0</v>
      </c>
      <c r="AE181" s="3652">
        <f t="shared" si="74"/>
        <v>0</v>
      </c>
      <c r="AF181" s="2297">
        <f t="shared" si="74"/>
        <v>0</v>
      </c>
      <c r="AG181" s="1743">
        <f t="shared" si="74"/>
        <v>0</v>
      </c>
      <c r="AH181" s="1775">
        <f t="shared" si="74"/>
        <v>0</v>
      </c>
      <c r="AI181" s="3652">
        <f t="shared" si="74"/>
        <v>0</v>
      </c>
      <c r="AJ181" s="2297">
        <f t="shared" si="74"/>
        <v>0</v>
      </c>
      <c r="AK181" s="3652">
        <f t="shared" si="74"/>
        <v>0</v>
      </c>
      <c r="AL181" s="2297">
        <f t="shared" si="74"/>
        <v>0</v>
      </c>
    </row>
    <row r="182" spans="1:38" ht="23.45" customHeight="1">
      <c r="A182" s="2293" t="s">
        <v>2250</v>
      </c>
      <c r="B182" s="2832"/>
      <c r="C182" s="2832"/>
      <c r="D182" s="2832"/>
    </row>
    <row r="183" spans="1:38">
      <c r="A183" s="388" t="s">
        <v>678</v>
      </c>
      <c r="B183" s="1390" t="s">
        <v>91</v>
      </c>
      <c r="C183" s="391" t="s">
        <v>2251</v>
      </c>
      <c r="D183" s="1584" t="s">
        <v>2252</v>
      </c>
    </row>
    <row r="184" spans="1:38">
      <c r="A184" s="2108" t="s">
        <v>2253</v>
      </c>
      <c r="B184" s="3653">
        <f t="shared" ref="B184:B187" si="75">SUM(C184:D184)</f>
        <v>1</v>
      </c>
      <c r="C184" s="1480"/>
      <c r="D184" s="1769">
        <v>1</v>
      </c>
    </row>
    <row r="185" spans="1:38">
      <c r="A185" s="3654" t="s">
        <v>682</v>
      </c>
      <c r="B185" s="3655">
        <f t="shared" si="75"/>
        <v>0</v>
      </c>
      <c r="C185" s="1480"/>
      <c r="D185" s="1769"/>
    </row>
    <row r="186" spans="1:38" ht="21">
      <c r="A186" s="2114" t="s">
        <v>2254</v>
      </c>
      <c r="B186" s="3555">
        <f t="shared" si="75"/>
        <v>0</v>
      </c>
      <c r="C186" s="1440"/>
      <c r="D186" s="1680"/>
    </row>
    <row r="187" spans="1:38">
      <c r="A187" s="3656" t="s">
        <v>684</v>
      </c>
      <c r="B187" s="2154">
        <f t="shared" si="75"/>
        <v>0</v>
      </c>
      <c r="C187" s="1455"/>
      <c r="D187" s="1684"/>
    </row>
    <row r="202" spans="1:2" hidden="1"/>
    <row r="203" spans="1:2" hidden="1">
      <c r="A203" s="460">
        <f>SUM(C13:C89,C94:C105,C108:D117,C122:C124,C129:C148,B151:B155,B158:B164,B167:B170,C167:C170,B175:B179,B184:B187)</f>
        <v>40</v>
      </c>
      <c r="B203" s="460">
        <f>SUM(CJ13:CQ148)</f>
        <v>0</v>
      </c>
    </row>
    <row r="204" spans="1:2" hidden="1"/>
  </sheetData>
  <sheetProtection algorithmName="SHA-512" hashValue="/QWCatQSA6XPBLzmruAC8eTVIOCoIISPMvMDQE/18NE16Sgz2fvnJ5djQX+Qp1eAo0eLYH5ZPgdnQtRixwG26w==" saltValue="VEpkrBd7ajWqLBC2K0xSig==" spinCount="100000" sheet="1" objects="1" scenarios="1"/>
  <mergeCells count="128">
    <mergeCell ref="A74:A78"/>
    <mergeCell ref="A79:A89"/>
    <mergeCell ref="A90:AM90"/>
    <mergeCell ref="A129:A133"/>
    <mergeCell ref="A134:A138"/>
    <mergeCell ref="A139:A143"/>
    <mergeCell ref="A144:A148"/>
    <mergeCell ref="A149:H149"/>
    <mergeCell ref="A156:H156"/>
    <mergeCell ref="A91:A93"/>
    <mergeCell ref="B91:B93"/>
    <mergeCell ref="C91:E92"/>
    <mergeCell ref="F91:AM91"/>
    <mergeCell ref="A94:A99"/>
    <mergeCell ref="A100:A105"/>
    <mergeCell ref="A106:D106"/>
    <mergeCell ref="A107:A117"/>
    <mergeCell ref="A118:AK118"/>
    <mergeCell ref="A119:B121"/>
    <mergeCell ref="C119:E120"/>
    <mergeCell ref="F119:AI119"/>
    <mergeCell ref="AJ119:AK120"/>
    <mergeCell ref="AL119:AL121"/>
    <mergeCell ref="F120:G120"/>
    <mergeCell ref="A24:A34"/>
    <mergeCell ref="A35:A45"/>
    <mergeCell ref="A13:A23"/>
    <mergeCell ref="A46:A56"/>
    <mergeCell ref="A57:A62"/>
    <mergeCell ref="A63:A66"/>
    <mergeCell ref="A67:A73"/>
    <mergeCell ref="AU10:AU12"/>
    <mergeCell ref="F11:G11"/>
    <mergeCell ref="H11:I11"/>
    <mergeCell ref="J11:K11"/>
    <mergeCell ref="L11:M11"/>
    <mergeCell ref="N11:O11"/>
    <mergeCell ref="P11:Q11"/>
    <mergeCell ref="R11:S11"/>
    <mergeCell ref="T11:U11"/>
    <mergeCell ref="V11:W11"/>
    <mergeCell ref="AN10:AN12"/>
    <mergeCell ref="AO10:AP11"/>
    <mergeCell ref="AQ10:AQ12"/>
    <mergeCell ref="AR10:AR12"/>
    <mergeCell ref="AS10:AS12"/>
    <mergeCell ref="AT10:AT12"/>
    <mergeCell ref="AD11:AE11"/>
    <mergeCell ref="A6:T6"/>
    <mergeCell ref="A8:AM8"/>
    <mergeCell ref="A9:AM9"/>
    <mergeCell ref="A10:A12"/>
    <mergeCell ref="B10:B12"/>
    <mergeCell ref="C10:E11"/>
    <mergeCell ref="F10:AM10"/>
    <mergeCell ref="X11:Y11"/>
    <mergeCell ref="Z11:AA11"/>
    <mergeCell ref="AB11:AC11"/>
    <mergeCell ref="AJ11:AK11"/>
    <mergeCell ref="AL11:AM11"/>
    <mergeCell ref="AF11:AG11"/>
    <mergeCell ref="AH11:AI11"/>
    <mergeCell ref="AN91:AO92"/>
    <mergeCell ref="AP91:AP93"/>
    <mergeCell ref="AQ91:AQ93"/>
    <mergeCell ref="AR91:AR93"/>
    <mergeCell ref="AS91:AS93"/>
    <mergeCell ref="F92:G92"/>
    <mergeCell ref="H92:I92"/>
    <mergeCell ref="J92:K92"/>
    <mergeCell ref="L92:M92"/>
    <mergeCell ref="N92:O92"/>
    <mergeCell ref="P92:Q92"/>
    <mergeCell ref="R92:S92"/>
    <mergeCell ref="T92:U92"/>
    <mergeCell ref="V92:W92"/>
    <mergeCell ref="X92:Y92"/>
    <mergeCell ref="Z92:AA92"/>
    <mergeCell ref="AB92:AC92"/>
    <mergeCell ref="AD92:AE92"/>
    <mergeCell ref="AF92:AG92"/>
    <mergeCell ref="AH92:AI92"/>
    <mergeCell ref="AJ92:AK92"/>
    <mergeCell ref="AL92:AM92"/>
    <mergeCell ref="Z120:AA120"/>
    <mergeCell ref="AB120:AC120"/>
    <mergeCell ref="AD120:AE120"/>
    <mergeCell ref="AF120:AG120"/>
    <mergeCell ref="AH120:AI120"/>
    <mergeCell ref="A122:A124"/>
    <mergeCell ref="A125:J125"/>
    <mergeCell ref="A126:J126"/>
    <mergeCell ref="A127:A128"/>
    <mergeCell ref="B127:B128"/>
    <mergeCell ref="C127:C128"/>
    <mergeCell ref="D127:M127"/>
    <mergeCell ref="N127:N128"/>
    <mergeCell ref="O127:O128"/>
    <mergeCell ref="H120:I120"/>
    <mergeCell ref="J120:K120"/>
    <mergeCell ref="L120:M120"/>
    <mergeCell ref="N120:O120"/>
    <mergeCell ref="P120:Q120"/>
    <mergeCell ref="R120:S120"/>
    <mergeCell ref="T120:U120"/>
    <mergeCell ref="V120:W120"/>
    <mergeCell ref="X120:Y120"/>
    <mergeCell ref="A171:J171"/>
    <mergeCell ref="A172:A174"/>
    <mergeCell ref="B172:D173"/>
    <mergeCell ref="E172:AL172"/>
    <mergeCell ref="E173:F173"/>
    <mergeCell ref="G173:H173"/>
    <mergeCell ref="I173:J173"/>
    <mergeCell ref="K173:L173"/>
    <mergeCell ref="M173:N173"/>
    <mergeCell ref="O173:P173"/>
    <mergeCell ref="Q173:R173"/>
    <mergeCell ref="S173:T173"/>
    <mergeCell ref="U173:V173"/>
    <mergeCell ref="W173:X173"/>
    <mergeCell ref="Y173:Z173"/>
    <mergeCell ref="AA173:AB173"/>
    <mergeCell ref="AC173:AD173"/>
    <mergeCell ref="AE173:AF173"/>
    <mergeCell ref="AG173:AH173"/>
    <mergeCell ref="AI173:AJ173"/>
    <mergeCell ref="AK173:AL173"/>
  </mergeCells>
  <dataValidations count="8">
    <dataValidation allowBlank="1" showInputMessage="1" showErrorMessage="1" error="Valor no Permitido" sqref="A79:A89" xr:uid="{00000000-0002-0000-0C00-000000000000}"/>
    <dataValidation type="whole" operator="greaterThanOrEqual" allowBlank="1" showInputMessage="1" showErrorMessage="1" sqref="E175:AL180 C167:J170 F122:AL124 C151:H155 C158:H164 D129:O148" xr:uid="{00ED00E0-00EA-4DF5-B83E-000D009F0070}">
      <formula1>0</formula1>
    </dataValidation>
    <dataValidation type="whole" allowBlank="1" showInputMessage="1" showErrorMessage="1" error="Valor no Permitido" sqref="B122:E124 A118:A119 A122 C119:E120 C79:E89 B172:D173 B175:D180" xr:uid="{00050026-00C7-4668-9658-00FD00B600AA}">
      <formula1>0</formula1>
      <formula2>1E+30</formula2>
    </dataValidation>
    <dataValidation type="whole" operator="equal" allowBlank="1" showInputMessage="1" showErrorMessage="1" sqref="D74:D78" xr:uid="{00E20022-00A3-4BC8-A42B-00E6009F001F}">
      <formula1>0</formula1>
    </dataValidation>
    <dataValidation type="whole" allowBlank="1" showInputMessage="1" showErrorMessage="1" sqref="C108:D117" xr:uid="{007300AE-00B6-4581-B4BA-00F1007A009A}">
      <formula1>0</formula1>
      <formula2>9.99999999999999E+34</formula2>
    </dataValidation>
    <dataValidation type="whole" allowBlank="1" showInputMessage="1" showErrorMessage="1" sqref="F94:AS105" xr:uid="{00DD00E7-00CA-4825-AC03-004B00B600CC}">
      <formula1>0</formula1>
      <formula2>9.99999999999999E+36</formula2>
    </dataValidation>
    <dataValidation type="whole" allowBlank="1" showInputMessage="1" showErrorMessage="1" sqref="F13:AU89" xr:uid="{00F800B2-00C0-4FEB-AB73-00A3009900C7}">
      <formula1>0</formula1>
      <formula2>9.99999999999999E+35</formula2>
    </dataValidation>
    <dataValidation type="whole" allowBlank="1" showInputMessage="1" showErrorMessage="1" sqref="C184:D187" xr:uid="{00D00035-000A-4B2B-8E6A-00B000BC0083}">
      <formula1>0</formula1>
      <formula2>9.99999999999999E+40</formula2>
    </dataValidation>
  </dataValidations>
  <pageMargins left="0.7" right="0.7" top="0.75" bottom="0.75" header="0.3" footer="0.3"/>
  <pageSetup paperSize="9" orientation="portrait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Hoja14"/>
  <dimension ref="A1:CU201"/>
  <sheetViews>
    <sheetView showGridLines="0" topLeftCell="H49" workbookViewId="0"/>
  </sheetViews>
  <sheetFormatPr baseColWidth="10" defaultColWidth="11.42578125" defaultRowHeight="15"/>
  <cols>
    <col min="1" max="1" width="55.5703125" customWidth="1"/>
    <col min="2" max="2" width="14.5703125" customWidth="1"/>
    <col min="3" max="4" width="15.7109375" customWidth="1"/>
    <col min="5" max="6" width="14.5703125" customWidth="1"/>
    <col min="7" max="7" width="16.140625" customWidth="1"/>
    <col min="8" max="8" width="16.7109375" customWidth="1"/>
    <col min="9" max="9" width="15.42578125" customWidth="1"/>
    <col min="10" max="10" width="15.85546875" customWidth="1"/>
    <col min="11" max="11" width="16" customWidth="1"/>
    <col min="14" max="14" width="15.7109375" customWidth="1"/>
    <col min="15" max="15" width="12.7109375" customWidth="1"/>
    <col min="17" max="18" width="13.42578125" customWidth="1"/>
    <col min="77" max="78" width="11.42578125" customWidth="1"/>
    <col min="79" max="80" width="10.7109375" style="2832" hidden="1" customWidth="1"/>
    <col min="81" max="85" width="11.42578125" style="2832" hidden="1" customWidth="1"/>
    <col min="86" max="97" width="0" style="2832" hidden="1" customWidth="1"/>
    <col min="98" max="99" width="0" hidden="1" customWidth="1"/>
  </cols>
  <sheetData>
    <row r="1" spans="1:99">
      <c r="A1" s="378" t="s">
        <v>37</v>
      </c>
    </row>
    <row r="2" spans="1:99">
      <c r="A2" s="378" t="str">
        <f>CONCATENATE("COMUNA: ",NOMBRE!B2, " (",NOMBRE!C2,NOMBRE!D2,NOMBRE!E2,NOMBRE!F2,NOMBRE!G2,")")</f>
        <v>COMUNA: MAIPU (13119)</v>
      </c>
    </row>
    <row r="3" spans="1:99">
      <c r="A3" s="378" t="str">
        <f>CONCATENATE("ESTABLECIMIENTO/ESTRATEGIA: ", NOMBRE!B3, " (",NOMBRE!C3,NOMBRE!D3,NOMBRE!E3,NOMBRE!F3,NOMBRE!G3,NOMBRE!H3,")")</f>
        <v>ESTABLECIMIENTO/ESTRATEGIA: CESFAM DR. CARLOS GODOY (111380)</v>
      </c>
    </row>
    <row r="4" spans="1:99">
      <c r="A4" s="378" t="str">
        <f>CONCATENATE("MES: ",NOMBRE!B6, " (",NOMBRE!C6,NOMBRE!D6,")")</f>
        <v>MES: MARZO (03)</v>
      </c>
    </row>
    <row r="5" spans="1:99">
      <c r="A5" s="378" t="str">
        <f>CONCATENATE("AÑO: ",NOMBRE!B7)</f>
        <v>AÑO: 2026</v>
      </c>
    </row>
    <row r="6" spans="1:99" ht="18" customHeight="1">
      <c r="A6" s="5704" t="s">
        <v>2255</v>
      </c>
      <c r="B6" s="5704"/>
      <c r="C6" s="5704"/>
      <c r="D6" s="5704"/>
      <c r="E6" s="5704"/>
      <c r="F6" s="5704"/>
      <c r="G6" s="5704"/>
      <c r="H6" s="5704"/>
      <c r="I6" s="5704"/>
      <c r="J6" s="5704"/>
      <c r="K6" s="5704"/>
      <c r="L6" s="5704"/>
      <c r="M6" s="5704"/>
      <c r="N6" s="5704"/>
    </row>
    <row r="8" spans="1:99" ht="18" customHeight="1">
      <c r="A8" s="5713" t="s">
        <v>2256</v>
      </c>
      <c r="B8" s="5713"/>
      <c r="C8" s="5713"/>
      <c r="D8" s="5713"/>
      <c r="E8" s="5713"/>
      <c r="F8" s="5713"/>
      <c r="G8" s="5713"/>
      <c r="H8" s="5713"/>
      <c r="I8" s="5713"/>
      <c r="J8" s="5713"/>
      <c r="K8" s="5713"/>
    </row>
    <row r="9" spans="1:99" ht="24" customHeight="1">
      <c r="A9" s="6298" t="s">
        <v>2257</v>
      </c>
      <c r="B9" s="5707" t="s">
        <v>2258</v>
      </c>
      <c r="C9" s="5708"/>
      <c r="D9" s="5708"/>
      <c r="E9" s="5710" t="s">
        <v>2259</v>
      </c>
      <c r="F9" s="5712"/>
      <c r="G9" s="6119" t="s">
        <v>2260</v>
      </c>
      <c r="H9" s="5707" t="s">
        <v>2261</v>
      </c>
      <c r="I9" s="6147"/>
      <c r="J9" s="5708" t="s">
        <v>478</v>
      </c>
      <c r="K9" s="5709"/>
      <c r="L9" s="6187" t="s">
        <v>1413</v>
      </c>
      <c r="M9" s="6685" t="s">
        <v>2262</v>
      </c>
      <c r="N9" s="5718" t="s">
        <v>50</v>
      </c>
      <c r="O9" s="6298" t="s">
        <v>51</v>
      </c>
      <c r="P9" s="6153" t="s">
        <v>2263</v>
      </c>
      <c r="Q9" s="5710" t="s">
        <v>2264</v>
      </c>
      <c r="R9" s="5712"/>
      <c r="S9" s="3037"/>
    </row>
    <row r="10" spans="1:99" ht="35.1" customHeight="1">
      <c r="A10" s="6299"/>
      <c r="B10" s="387" t="s">
        <v>2265</v>
      </c>
      <c r="C10" s="1666" t="s">
        <v>72</v>
      </c>
      <c r="D10" s="3034" t="s">
        <v>73</v>
      </c>
      <c r="E10" s="1395" t="s">
        <v>2266</v>
      </c>
      <c r="F10" s="1391" t="s">
        <v>2267</v>
      </c>
      <c r="G10" s="6120"/>
      <c r="H10" s="1395" t="s">
        <v>2268</v>
      </c>
      <c r="I10" s="1703" t="s">
        <v>2269</v>
      </c>
      <c r="J10" s="3657" t="s">
        <v>2270</v>
      </c>
      <c r="K10" s="393" t="s">
        <v>2271</v>
      </c>
      <c r="L10" s="6188"/>
      <c r="M10" s="6687"/>
      <c r="N10" s="5719"/>
      <c r="O10" s="6300"/>
      <c r="P10" s="6156"/>
      <c r="Q10" s="1395" t="s">
        <v>2272</v>
      </c>
      <c r="R10" s="393" t="s">
        <v>476</v>
      </c>
    </row>
    <row r="11" spans="1:99">
      <c r="A11" s="391" t="s">
        <v>2273</v>
      </c>
      <c r="B11" s="3658">
        <f t="shared" ref="B11:B51" si="0">SUM(C11:D11)</f>
        <v>24</v>
      </c>
      <c r="C11" s="3659">
        <f>SUM(C12:C51)</f>
        <v>2</v>
      </c>
      <c r="D11" s="3660">
        <f t="shared" ref="D11:R11" si="1">SUM(D12:D51)</f>
        <v>22</v>
      </c>
      <c r="E11" s="3659">
        <f t="shared" si="1"/>
        <v>24</v>
      </c>
      <c r="F11" s="3660">
        <f t="shared" si="1"/>
        <v>29</v>
      </c>
      <c r="G11" s="3057">
        <f t="shared" si="1"/>
        <v>0</v>
      </c>
      <c r="H11" s="3053">
        <f t="shared" si="1"/>
        <v>0</v>
      </c>
      <c r="I11" s="3661">
        <f t="shared" si="1"/>
        <v>0</v>
      </c>
      <c r="J11" s="3662">
        <f t="shared" si="1"/>
        <v>0</v>
      </c>
      <c r="K11" s="3057">
        <f t="shared" si="1"/>
        <v>0</v>
      </c>
      <c r="L11" s="3659">
        <f t="shared" si="1"/>
        <v>0</v>
      </c>
      <c r="M11" s="3054">
        <f t="shared" si="1"/>
        <v>0</v>
      </c>
      <c r="N11" s="3663">
        <f t="shared" si="1"/>
        <v>0</v>
      </c>
      <c r="O11" s="3663">
        <f t="shared" si="1"/>
        <v>0</v>
      </c>
      <c r="P11" s="3057">
        <f t="shared" si="1"/>
        <v>0</v>
      </c>
      <c r="Q11" s="3659">
        <f t="shared" si="1"/>
        <v>0</v>
      </c>
      <c r="R11" s="3057">
        <f t="shared" si="1"/>
        <v>0</v>
      </c>
    </row>
    <row r="12" spans="1:99">
      <c r="A12" s="3014" t="s">
        <v>2274</v>
      </c>
      <c r="B12" s="3664">
        <f t="shared" si="0"/>
        <v>11</v>
      </c>
      <c r="C12" s="413">
        <v>1</v>
      </c>
      <c r="D12" s="412">
        <v>10</v>
      </c>
      <c r="E12" s="413">
        <v>11</v>
      </c>
      <c r="F12" s="412">
        <v>9</v>
      </c>
      <c r="G12" s="2261"/>
      <c r="H12" s="3370"/>
      <c r="I12" s="414"/>
      <c r="J12" s="3430"/>
      <c r="K12" s="2261"/>
      <c r="L12" s="413"/>
      <c r="M12" s="3665"/>
      <c r="N12" s="416"/>
      <c r="O12" s="416"/>
      <c r="P12" s="2261"/>
      <c r="Q12" s="413"/>
      <c r="R12" s="2261"/>
      <c r="S12" s="417" t="str">
        <f t="shared" ref="S12:S57" si="2">CA12&amp;CB12&amp;CC12&amp;CD12&amp;CE12&amp;CF12&amp;CG12&amp;CH12&amp;CI12</f>
        <v>*No olvide digitar el campo TRANS Masculino (Digite CERO si no tiene). *No olvide digitar el campo TRANS Femenino (Digite CERO si no tiene). *No olvide digitar el campo No Binarie. Digite CERO si no tiene. *No olvide digitar el campo No revelado. Digite CERO si no tiene. *No olvide digitar el campo Pueblos Originarios. Digite CERO si no tiene. *No olvide digitar el campo Migrantes. Digite CERO si no tiene. *No olvide digitar el campo PRAIS. Digite CERO si no tiene. *No olvide digitar el campo N° DE ATENCIONES EN EL MES (Ley Mila). Niños, niñas y adolescentes. Digite CERO si no tiene. *No olvide digitar el campo N° DE ATENCIONES EN EL MES (Ley Mila) Gestantes. Digite CERO si no tiene.</v>
      </c>
      <c r="CA12" s="3666" t="str">
        <f t="shared" ref="CA12:CA57" si="3">IF(AND(D12&gt;0,J12=""),"*No olvide digitar el campo TRANS Masculino (Digite CERO si no tiene).", IF(J12&gt;D12," * El Número de TRANS Masculino no puede superar el Total Mujeres. ",""))</f>
        <v>*No olvide digitar el campo TRANS Masculino (Digite CERO si no tiene).</v>
      </c>
      <c r="CB12" s="3666" t="str">
        <f t="shared" ref="CB12:CB57" si="4">IF(AND(C12&gt;0,OR(K12=""))," *No olvide digitar el campo TRANS Femenino (Digite CERO si no tiene).",IF(K12&gt;$C12," * El Número de TRANS Femenino no puede superar el Total Hombres. ",""))</f>
        <v xml:space="preserve"> *No olvide digitar el campo TRANS Femenino (Digite CERO si no tiene).</v>
      </c>
      <c r="CC12" s="3666" t="str">
        <f t="shared" ref="CC12:CC57" si="5">IF(AND($B12&gt;0,OR(L12=""))," *No olvide digitar el campo "&amp;L$9&amp;""&amp;". Digite CERO si no tiene.", IF(L12&gt;$B12," * La variable "&amp;L$9&amp;""&amp;" no puede superar el Total Ambos Sexos. ",""))</f>
        <v xml:space="preserve"> *No olvide digitar el campo No Binarie. Digite CERO si no tiene.</v>
      </c>
      <c r="CD12" s="3666" t="str">
        <f t="shared" ref="CD12:CD57" si="6">IF(AND($B12&gt;0,OR(M12=""))," *No olvide digitar el campo "&amp;M$9&amp;""&amp;". Digite CERO si no tiene.", IF(M12&gt;$B12," * La variable "&amp;M$9&amp;""&amp;" no puede superar el Total Ambos Sexos. ",""))</f>
        <v xml:space="preserve"> *No olvide digitar el campo No revelado. Digite CERO si no tiene.</v>
      </c>
      <c r="CE12" s="3666" t="str">
        <f t="shared" ref="CE12:CE57" si="7">IF(AND($B12&gt;0,OR(N12=""))," *No olvide digitar el campo "&amp;N$9&amp;""&amp;". Digite CERO si no tiene.", IF(N12&gt;$B12," * La variable "&amp;N$9&amp;""&amp;" no puede superar el Total Ambos Sexos. ",""))</f>
        <v xml:space="preserve"> *No olvide digitar el campo Pueblos Originarios. Digite CERO si no tiene.</v>
      </c>
      <c r="CF12" s="3666" t="str">
        <f t="shared" ref="CF12:CF57" si="8">IF(AND($B12&gt;0,OR(O12=""))," *No olvide digitar el campo "&amp;O$9&amp;""&amp;". Digite CERO si no tiene.", IF(O12&gt;$B12," * La variable "&amp;O$9&amp;""&amp;" no puede superar el Total Ambos Sexos. ",""))</f>
        <v xml:space="preserve"> *No olvide digitar el campo Migrantes. Digite CERO si no tiene.</v>
      </c>
      <c r="CG12" s="3666" t="str">
        <f t="shared" ref="CG12:CG57" si="9">IF(AND($B12&gt;0,OR(P12=""))," *No olvide digitar el campo "&amp;P$9&amp;""&amp;". Digite CERO si no tiene.", IF(P12&gt;$B12," * La variable "&amp;P$9&amp;""&amp;" no puede superar el Total Ambos Sexos. ",""))</f>
        <v xml:space="preserve"> *No olvide digitar el campo PRAIS. Digite CERO si no tiene.</v>
      </c>
      <c r="CH12" s="3666" t="str">
        <f t="shared" ref="CH12:CH57" si="10">IF(AND($B12&gt;0,OR(Q12=""))," *No olvide digitar el campo "&amp;Q$9&amp;""&amp;". Niños, niñas y adolescentes. Digite CERO si no tiene.", IF(Q12&gt;$B12," * La variable "&amp;Q$9&amp;""&amp;" no puede superar el Total Ambos Sexos. ",""))</f>
        <v xml:space="preserve"> *No olvide digitar el campo N° DE ATENCIONES EN EL MES (Ley Mila). Niños, niñas y adolescentes. Digite CERO si no tiene.</v>
      </c>
      <c r="CI12" s="3666" t="str">
        <f t="shared" ref="CI12:CI57" si="11">IF(AND($D12&gt;0,OR(R12=""))," *No olvide digitar el campo "&amp;Q$9&amp;""&amp;" Gestantes. Digite CERO si no tiene.", IF(R12&gt;$D12," * La variable "&amp;Q$9&amp;""&amp;" no puede superar el Total Mujeres. ",""))</f>
        <v xml:space="preserve"> *No olvide digitar el campo N° DE ATENCIONES EN EL MES (Ley Mila) Gestantes. Digite CERO si no tiene.</v>
      </c>
      <c r="CM12" s="2842">
        <f t="shared" ref="CM12:CM57" si="12">IF(AND(D12&gt;0,OR(J12="")),1,IF(J12&gt;D12,1,0))</f>
        <v>1</v>
      </c>
      <c r="CN12" s="2842">
        <f t="shared" ref="CN12:CN57" si="13">IF(AND(C12&gt;0,OR(K12="")),1,IF(K12&gt;C12,1,0))</f>
        <v>1</v>
      </c>
      <c r="CO12" s="2842">
        <f t="shared" ref="CO12:CT57" si="14">IF(AND($B12&gt;0,OR(L12="")),1,IF(L12&gt;$B12,1,0))</f>
        <v>1</v>
      </c>
      <c r="CP12" s="2842">
        <f t="shared" si="14"/>
        <v>1</v>
      </c>
      <c r="CQ12" s="2842">
        <f t="shared" si="14"/>
        <v>1</v>
      </c>
      <c r="CR12" s="2842">
        <f t="shared" si="14"/>
        <v>1</v>
      </c>
      <c r="CS12" s="2842">
        <f t="shared" si="14"/>
        <v>1</v>
      </c>
      <c r="CT12" s="419">
        <f t="shared" si="14"/>
        <v>1</v>
      </c>
      <c r="CU12" s="419">
        <f t="shared" ref="CU12:CU57" si="15">IF(AND($D12&gt;0,OR(R12="")),1,IF(R12&gt;$D12,1,0))</f>
        <v>1</v>
      </c>
    </row>
    <row r="13" spans="1:99">
      <c r="A13" s="2153" t="s">
        <v>2275</v>
      </c>
      <c r="B13" s="3667">
        <f t="shared" si="0"/>
        <v>0</v>
      </c>
      <c r="C13" s="425"/>
      <c r="D13" s="424"/>
      <c r="E13" s="425"/>
      <c r="F13" s="424"/>
      <c r="G13" s="2231"/>
      <c r="H13" s="3376"/>
      <c r="I13" s="426"/>
      <c r="J13" s="3372"/>
      <c r="K13" s="2231"/>
      <c r="L13" s="425"/>
      <c r="M13" s="3588"/>
      <c r="N13" s="443"/>
      <c r="O13" s="443"/>
      <c r="P13" s="2231"/>
      <c r="Q13" s="425"/>
      <c r="R13" s="2231"/>
      <c r="S13" s="417" t="str">
        <f t="shared" si="2"/>
        <v/>
      </c>
      <c r="CA13" s="3666" t="str">
        <f t="shared" si="3"/>
        <v/>
      </c>
      <c r="CB13" s="3666" t="str">
        <f t="shared" si="4"/>
        <v/>
      </c>
      <c r="CC13" s="3666" t="str">
        <f t="shared" si="5"/>
        <v/>
      </c>
      <c r="CD13" s="3666" t="str">
        <f t="shared" si="6"/>
        <v/>
      </c>
      <c r="CE13" s="3666" t="str">
        <f t="shared" si="7"/>
        <v/>
      </c>
      <c r="CF13" s="3666" t="str">
        <f t="shared" si="8"/>
        <v/>
      </c>
      <c r="CG13" s="3666" t="str">
        <f t="shared" si="9"/>
        <v/>
      </c>
      <c r="CH13" s="3666" t="str">
        <f t="shared" si="10"/>
        <v/>
      </c>
      <c r="CI13" s="3666" t="str">
        <f t="shared" si="11"/>
        <v/>
      </c>
      <c r="CM13" s="2842">
        <f t="shared" si="12"/>
        <v>0</v>
      </c>
      <c r="CN13" s="2842">
        <f t="shared" si="13"/>
        <v>0</v>
      </c>
      <c r="CO13" s="2842">
        <f t="shared" si="14"/>
        <v>0</v>
      </c>
      <c r="CP13" s="2842">
        <f t="shared" ref="CP13:CP57" si="16">IF(AND($B13&gt;0,OR(M13="")),1,IF(M13&gt;$B13,1,0))</f>
        <v>0</v>
      </c>
      <c r="CQ13" s="2842">
        <f t="shared" ref="CQ13:CQ57" si="17">IF(AND($B13&gt;0,OR(N13="")),1,IF(N13&gt;$B13,1,0))</f>
        <v>0</v>
      </c>
      <c r="CR13" s="2842">
        <f t="shared" ref="CR13:CR57" si="18">IF(AND($B13&gt;0,OR(O13="")),1,IF(O13&gt;$B13,1,0))</f>
        <v>0</v>
      </c>
      <c r="CS13" s="2842">
        <f t="shared" ref="CS13:CS57" si="19">IF(AND($B13&gt;0,OR(P13="")),1,IF(P13&gt;$B13,1,0))</f>
        <v>0</v>
      </c>
      <c r="CT13" s="419">
        <f t="shared" ref="CT13:CT57" si="20">IF(AND($B13&gt;0,OR(Q13="")),1,IF(Q13&gt;$B13,1,0))</f>
        <v>0</v>
      </c>
      <c r="CU13" s="419">
        <f t="shared" si="15"/>
        <v>0</v>
      </c>
    </row>
    <row r="14" spans="1:99">
      <c r="A14" s="2153" t="s">
        <v>2276</v>
      </c>
      <c r="B14" s="3667">
        <f t="shared" si="0"/>
        <v>0</v>
      </c>
      <c r="C14" s="425"/>
      <c r="D14" s="424"/>
      <c r="E14" s="425"/>
      <c r="F14" s="2231"/>
      <c r="G14" s="2231"/>
      <c r="H14" s="423"/>
      <c r="I14" s="3412"/>
      <c r="J14" s="3372"/>
      <c r="K14" s="2231"/>
      <c r="L14" s="425"/>
      <c r="M14" s="3588"/>
      <c r="N14" s="443"/>
      <c r="O14" s="443"/>
      <c r="P14" s="2231"/>
      <c r="Q14" s="425"/>
      <c r="R14" s="2231"/>
      <c r="S14" s="417" t="str">
        <f t="shared" si="2"/>
        <v/>
      </c>
      <c r="CA14" s="3666" t="str">
        <f t="shared" si="3"/>
        <v/>
      </c>
      <c r="CB14" s="3666" t="str">
        <f t="shared" si="4"/>
        <v/>
      </c>
      <c r="CC14" s="3666" t="str">
        <f t="shared" si="5"/>
        <v/>
      </c>
      <c r="CD14" s="3666" t="str">
        <f t="shared" si="6"/>
        <v/>
      </c>
      <c r="CE14" s="3666" t="str">
        <f t="shared" si="7"/>
        <v/>
      </c>
      <c r="CF14" s="3666" t="str">
        <f t="shared" si="8"/>
        <v/>
      </c>
      <c r="CG14" s="3666" t="str">
        <f t="shared" si="9"/>
        <v/>
      </c>
      <c r="CH14" s="3666" t="str">
        <f t="shared" si="10"/>
        <v/>
      </c>
      <c r="CI14" s="3666" t="str">
        <f t="shared" si="11"/>
        <v/>
      </c>
      <c r="CM14" s="2842">
        <f t="shared" si="12"/>
        <v>0</v>
      </c>
      <c r="CN14" s="2842">
        <f t="shared" si="13"/>
        <v>0</v>
      </c>
      <c r="CO14" s="2842">
        <f t="shared" si="14"/>
        <v>0</v>
      </c>
      <c r="CP14" s="2842">
        <f t="shared" si="16"/>
        <v>0</v>
      </c>
      <c r="CQ14" s="2842">
        <f t="shared" si="17"/>
        <v>0</v>
      </c>
      <c r="CR14" s="2842">
        <f t="shared" si="18"/>
        <v>0</v>
      </c>
      <c r="CS14" s="2842">
        <f t="shared" si="19"/>
        <v>0</v>
      </c>
      <c r="CT14" s="419">
        <f t="shared" si="20"/>
        <v>0</v>
      </c>
      <c r="CU14" s="419">
        <f t="shared" si="15"/>
        <v>0</v>
      </c>
    </row>
    <row r="15" spans="1:99">
      <c r="A15" s="2153" t="s">
        <v>2277</v>
      </c>
      <c r="B15" s="3667">
        <f t="shared" si="0"/>
        <v>0</v>
      </c>
      <c r="C15" s="425"/>
      <c r="D15" s="424"/>
      <c r="E15" s="425"/>
      <c r="F15" s="2231"/>
      <c r="G15" s="2231"/>
      <c r="H15" s="423"/>
      <c r="I15" s="3412"/>
      <c r="J15" s="3372"/>
      <c r="K15" s="2231"/>
      <c r="L15" s="425"/>
      <c r="M15" s="3588"/>
      <c r="N15" s="443"/>
      <c r="O15" s="443"/>
      <c r="P15" s="2231"/>
      <c r="Q15" s="425"/>
      <c r="R15" s="2231"/>
      <c r="S15" s="417" t="str">
        <f t="shared" si="2"/>
        <v/>
      </c>
      <c r="CA15" s="3666" t="str">
        <f t="shared" si="3"/>
        <v/>
      </c>
      <c r="CB15" s="3666" t="str">
        <f t="shared" si="4"/>
        <v/>
      </c>
      <c r="CC15" s="3666" t="str">
        <f t="shared" si="5"/>
        <v/>
      </c>
      <c r="CD15" s="3666" t="str">
        <f t="shared" si="6"/>
        <v/>
      </c>
      <c r="CE15" s="3666" t="str">
        <f t="shared" si="7"/>
        <v/>
      </c>
      <c r="CF15" s="3666" t="str">
        <f t="shared" si="8"/>
        <v/>
      </c>
      <c r="CG15" s="3666" t="str">
        <f t="shared" si="9"/>
        <v/>
      </c>
      <c r="CH15" s="3666" t="str">
        <f t="shared" si="10"/>
        <v/>
      </c>
      <c r="CI15" s="3666" t="str">
        <f t="shared" si="11"/>
        <v/>
      </c>
      <c r="CM15" s="2842">
        <f t="shared" si="12"/>
        <v>0</v>
      </c>
      <c r="CN15" s="2842">
        <f t="shared" si="13"/>
        <v>0</v>
      </c>
      <c r="CO15" s="2842">
        <f t="shared" si="14"/>
        <v>0</v>
      </c>
      <c r="CP15" s="2842">
        <f t="shared" si="16"/>
        <v>0</v>
      </c>
      <c r="CQ15" s="2842">
        <f t="shared" si="17"/>
        <v>0</v>
      </c>
      <c r="CR15" s="2842">
        <f t="shared" si="18"/>
        <v>0</v>
      </c>
      <c r="CS15" s="2842">
        <f t="shared" si="19"/>
        <v>0</v>
      </c>
      <c r="CT15" s="419">
        <f t="shared" si="20"/>
        <v>0</v>
      </c>
      <c r="CU15" s="419">
        <f t="shared" si="15"/>
        <v>0</v>
      </c>
    </row>
    <row r="16" spans="1:99" ht="15" customHeight="1">
      <c r="A16" s="2153" t="s">
        <v>2278</v>
      </c>
      <c r="B16" s="3667">
        <f t="shared" si="0"/>
        <v>0</v>
      </c>
      <c r="C16" s="425"/>
      <c r="D16" s="424"/>
      <c r="E16" s="425"/>
      <c r="F16" s="2231"/>
      <c r="G16" s="443"/>
      <c r="H16" s="423"/>
      <c r="I16" s="3412"/>
      <c r="J16" s="3372"/>
      <c r="K16" s="2231"/>
      <c r="L16" s="425"/>
      <c r="M16" s="3588"/>
      <c r="N16" s="443"/>
      <c r="O16" s="443"/>
      <c r="P16" s="2231"/>
      <c r="Q16" s="425"/>
      <c r="R16" s="2231"/>
      <c r="S16" s="417" t="str">
        <f t="shared" si="2"/>
        <v/>
      </c>
      <c r="CA16" s="3666" t="str">
        <f t="shared" si="3"/>
        <v/>
      </c>
      <c r="CB16" s="3666" t="str">
        <f t="shared" si="4"/>
        <v/>
      </c>
      <c r="CC16" s="3666" t="str">
        <f t="shared" si="5"/>
        <v/>
      </c>
      <c r="CD16" s="3666" t="str">
        <f t="shared" si="6"/>
        <v/>
      </c>
      <c r="CE16" s="3666" t="str">
        <f t="shared" si="7"/>
        <v/>
      </c>
      <c r="CF16" s="3666" t="str">
        <f t="shared" si="8"/>
        <v/>
      </c>
      <c r="CG16" s="3666" t="str">
        <f t="shared" si="9"/>
        <v/>
      </c>
      <c r="CH16" s="3666" t="str">
        <f t="shared" si="10"/>
        <v/>
      </c>
      <c r="CI16" s="3666" t="str">
        <f t="shared" si="11"/>
        <v/>
      </c>
      <c r="CM16" s="2842">
        <f t="shared" si="12"/>
        <v>0</v>
      </c>
      <c r="CN16" s="2842">
        <f t="shared" si="13"/>
        <v>0</v>
      </c>
      <c r="CO16" s="2842">
        <f t="shared" si="14"/>
        <v>0</v>
      </c>
      <c r="CP16" s="2842">
        <f t="shared" si="16"/>
        <v>0</v>
      </c>
      <c r="CQ16" s="2842">
        <f t="shared" si="17"/>
        <v>0</v>
      </c>
      <c r="CR16" s="2842">
        <f t="shared" si="18"/>
        <v>0</v>
      </c>
      <c r="CS16" s="2842">
        <f t="shared" si="19"/>
        <v>0</v>
      </c>
      <c r="CT16" s="419">
        <f t="shared" si="20"/>
        <v>0</v>
      </c>
      <c r="CU16" s="419">
        <f t="shared" si="15"/>
        <v>0</v>
      </c>
    </row>
    <row r="17" spans="1:99">
      <c r="A17" s="453" t="s">
        <v>2279</v>
      </c>
      <c r="B17" s="3652">
        <f t="shared" si="0"/>
        <v>0</v>
      </c>
      <c r="C17" s="432"/>
      <c r="D17" s="433"/>
      <c r="E17" s="432"/>
      <c r="F17" s="2235"/>
      <c r="G17" s="438"/>
      <c r="H17" s="3385"/>
      <c r="I17" s="3425"/>
      <c r="J17" s="3386"/>
      <c r="K17" s="2235"/>
      <c r="L17" s="432"/>
      <c r="M17" s="3443"/>
      <c r="N17" s="438"/>
      <c r="O17" s="438"/>
      <c r="P17" s="2235"/>
      <c r="Q17" s="432"/>
      <c r="R17" s="2235"/>
      <c r="S17" s="417" t="str">
        <f t="shared" si="2"/>
        <v/>
      </c>
      <c r="CA17" s="3666" t="str">
        <f t="shared" si="3"/>
        <v/>
      </c>
      <c r="CB17" s="3666" t="str">
        <f t="shared" si="4"/>
        <v/>
      </c>
      <c r="CC17" s="3666" t="str">
        <f t="shared" si="5"/>
        <v/>
      </c>
      <c r="CD17" s="3666" t="str">
        <f t="shared" si="6"/>
        <v/>
      </c>
      <c r="CE17" s="3666" t="str">
        <f t="shared" si="7"/>
        <v/>
      </c>
      <c r="CF17" s="3666" t="str">
        <f t="shared" si="8"/>
        <v/>
      </c>
      <c r="CG17" s="3666" t="str">
        <f t="shared" si="9"/>
        <v/>
      </c>
      <c r="CH17" s="3666" t="str">
        <f t="shared" si="10"/>
        <v/>
      </c>
      <c r="CI17" s="3666" t="str">
        <f t="shared" si="11"/>
        <v/>
      </c>
      <c r="CM17" s="2842">
        <f t="shared" si="12"/>
        <v>0</v>
      </c>
      <c r="CN17" s="2842">
        <f t="shared" si="13"/>
        <v>0</v>
      </c>
      <c r="CO17" s="2842">
        <f t="shared" si="14"/>
        <v>0</v>
      </c>
      <c r="CP17" s="2842">
        <f t="shared" si="16"/>
        <v>0</v>
      </c>
      <c r="CQ17" s="2842">
        <f t="shared" si="17"/>
        <v>0</v>
      </c>
      <c r="CR17" s="2842">
        <f t="shared" si="18"/>
        <v>0</v>
      </c>
      <c r="CS17" s="2842">
        <f t="shared" si="19"/>
        <v>0</v>
      </c>
      <c r="CT17" s="419">
        <f t="shared" si="20"/>
        <v>0</v>
      </c>
      <c r="CU17" s="419">
        <f t="shared" si="15"/>
        <v>0</v>
      </c>
    </row>
    <row r="18" spans="1:99">
      <c r="A18" s="2153" t="s">
        <v>2280</v>
      </c>
      <c r="B18" s="3664">
        <f t="shared" si="0"/>
        <v>0</v>
      </c>
      <c r="C18" s="413"/>
      <c r="D18" s="412"/>
      <c r="E18" s="413"/>
      <c r="F18" s="2261"/>
      <c r="G18" s="416"/>
      <c r="H18" s="411"/>
      <c r="I18" s="3411"/>
      <c r="J18" s="3430"/>
      <c r="K18" s="2261"/>
      <c r="L18" s="413"/>
      <c r="M18" s="3665"/>
      <c r="N18" s="416"/>
      <c r="O18" s="416"/>
      <c r="P18" s="2261"/>
      <c r="Q18" s="413"/>
      <c r="R18" s="2261"/>
      <c r="S18" s="417" t="str">
        <f t="shared" si="2"/>
        <v/>
      </c>
      <c r="CA18" s="3666" t="str">
        <f t="shared" si="3"/>
        <v/>
      </c>
      <c r="CB18" s="3666" t="str">
        <f t="shared" si="4"/>
        <v/>
      </c>
      <c r="CC18" s="3666" t="str">
        <f t="shared" si="5"/>
        <v/>
      </c>
      <c r="CD18" s="3666" t="str">
        <f t="shared" si="6"/>
        <v/>
      </c>
      <c r="CE18" s="3666" t="str">
        <f t="shared" si="7"/>
        <v/>
      </c>
      <c r="CF18" s="3666" t="str">
        <f t="shared" si="8"/>
        <v/>
      </c>
      <c r="CG18" s="3666" t="str">
        <f t="shared" si="9"/>
        <v/>
      </c>
      <c r="CH18" s="3666" t="str">
        <f t="shared" si="10"/>
        <v/>
      </c>
      <c r="CI18" s="3666" t="str">
        <f t="shared" si="11"/>
        <v/>
      </c>
      <c r="CM18" s="2842">
        <f t="shared" si="12"/>
        <v>0</v>
      </c>
      <c r="CN18" s="2842">
        <f t="shared" si="13"/>
        <v>0</v>
      </c>
      <c r="CO18" s="2842">
        <f t="shared" si="14"/>
        <v>0</v>
      </c>
      <c r="CP18" s="2842">
        <f t="shared" si="16"/>
        <v>0</v>
      </c>
      <c r="CQ18" s="2842">
        <f t="shared" si="17"/>
        <v>0</v>
      </c>
      <c r="CR18" s="2842">
        <f t="shared" si="18"/>
        <v>0</v>
      </c>
      <c r="CS18" s="2842">
        <f t="shared" si="19"/>
        <v>0</v>
      </c>
      <c r="CT18" s="419">
        <f t="shared" si="20"/>
        <v>0</v>
      </c>
      <c r="CU18" s="419">
        <f t="shared" si="15"/>
        <v>0</v>
      </c>
    </row>
    <row r="19" spans="1:99">
      <c r="A19" s="2153" t="s">
        <v>2281</v>
      </c>
      <c r="B19" s="3667">
        <f t="shared" si="0"/>
        <v>1</v>
      </c>
      <c r="C19" s="425"/>
      <c r="D19" s="424">
        <v>1</v>
      </c>
      <c r="E19" s="425">
        <v>1</v>
      </c>
      <c r="F19" s="2231">
        <v>1</v>
      </c>
      <c r="G19" s="2231"/>
      <c r="H19" s="423"/>
      <c r="I19" s="3412"/>
      <c r="J19" s="3372"/>
      <c r="K19" s="2231"/>
      <c r="L19" s="425"/>
      <c r="M19" s="3588"/>
      <c r="N19" s="443"/>
      <c r="O19" s="443"/>
      <c r="P19" s="2231"/>
      <c r="Q19" s="425"/>
      <c r="R19" s="2231"/>
      <c r="S19" s="417" t="str">
        <f t="shared" si="2"/>
        <v>*No olvide digitar el campo TRANS Masculino (Digite CERO si no tiene). *No olvide digitar el campo No Binarie. Digite CERO si no tiene. *No olvide digitar el campo No revelado. Digite CERO si no tiene. *No olvide digitar el campo Pueblos Originarios. Digite CERO si no tiene. *No olvide digitar el campo Migrantes. Digite CERO si no tiene. *No olvide digitar el campo PRAIS. Digite CERO si no tiene. *No olvide digitar el campo N° DE ATENCIONES EN EL MES (Ley Mila). Niños, niñas y adolescentes. Digite CERO si no tiene. *No olvide digitar el campo N° DE ATENCIONES EN EL MES (Ley Mila) Gestantes. Digite CERO si no tiene.</v>
      </c>
      <c r="CA19" s="3666" t="str">
        <f t="shared" si="3"/>
        <v>*No olvide digitar el campo TRANS Masculino (Digite CERO si no tiene).</v>
      </c>
      <c r="CB19" s="3666" t="str">
        <f t="shared" si="4"/>
        <v/>
      </c>
      <c r="CC19" s="3666" t="str">
        <f t="shared" si="5"/>
        <v xml:space="preserve"> *No olvide digitar el campo No Binarie. Digite CERO si no tiene.</v>
      </c>
      <c r="CD19" s="3666" t="str">
        <f t="shared" si="6"/>
        <v xml:space="preserve"> *No olvide digitar el campo No revelado. Digite CERO si no tiene.</v>
      </c>
      <c r="CE19" s="3666" t="str">
        <f t="shared" si="7"/>
        <v xml:space="preserve"> *No olvide digitar el campo Pueblos Originarios. Digite CERO si no tiene.</v>
      </c>
      <c r="CF19" s="3666" t="str">
        <f t="shared" si="8"/>
        <v xml:space="preserve"> *No olvide digitar el campo Migrantes. Digite CERO si no tiene.</v>
      </c>
      <c r="CG19" s="3666" t="str">
        <f t="shared" si="9"/>
        <v xml:space="preserve"> *No olvide digitar el campo PRAIS. Digite CERO si no tiene.</v>
      </c>
      <c r="CH19" s="3666" t="str">
        <f t="shared" si="10"/>
        <v xml:space="preserve"> *No olvide digitar el campo N° DE ATENCIONES EN EL MES (Ley Mila). Niños, niñas y adolescentes. Digite CERO si no tiene.</v>
      </c>
      <c r="CI19" s="3666" t="str">
        <f t="shared" si="11"/>
        <v xml:space="preserve"> *No olvide digitar el campo N° DE ATENCIONES EN EL MES (Ley Mila) Gestantes. Digite CERO si no tiene.</v>
      </c>
      <c r="CM19" s="2842">
        <f t="shared" si="12"/>
        <v>1</v>
      </c>
      <c r="CN19" s="2842">
        <f t="shared" si="13"/>
        <v>0</v>
      </c>
      <c r="CO19" s="2842">
        <f t="shared" si="14"/>
        <v>1</v>
      </c>
      <c r="CP19" s="2842">
        <f t="shared" si="16"/>
        <v>1</v>
      </c>
      <c r="CQ19" s="2842">
        <f t="shared" si="17"/>
        <v>1</v>
      </c>
      <c r="CR19" s="2842">
        <f t="shared" si="18"/>
        <v>1</v>
      </c>
      <c r="CS19" s="2842">
        <f t="shared" si="19"/>
        <v>1</v>
      </c>
      <c r="CT19" s="419">
        <f t="shared" si="20"/>
        <v>1</v>
      </c>
      <c r="CU19" s="419">
        <f t="shared" si="15"/>
        <v>1</v>
      </c>
    </row>
    <row r="20" spans="1:99">
      <c r="A20" s="453" t="s">
        <v>2282</v>
      </c>
      <c r="B20" s="3652">
        <f t="shared" si="0"/>
        <v>0</v>
      </c>
      <c r="C20" s="432"/>
      <c r="D20" s="433"/>
      <c r="E20" s="432"/>
      <c r="F20" s="2235"/>
      <c r="G20" s="2235"/>
      <c r="H20" s="3385"/>
      <c r="I20" s="3425"/>
      <c r="J20" s="3386"/>
      <c r="K20" s="2235"/>
      <c r="L20" s="432"/>
      <c r="M20" s="3443"/>
      <c r="N20" s="438"/>
      <c r="O20" s="438"/>
      <c r="P20" s="2235"/>
      <c r="Q20" s="432"/>
      <c r="R20" s="2235"/>
      <c r="S20" s="417" t="str">
        <f t="shared" si="2"/>
        <v/>
      </c>
      <c r="CA20" s="3666" t="str">
        <f t="shared" si="3"/>
        <v/>
      </c>
      <c r="CB20" s="3666" t="str">
        <f t="shared" si="4"/>
        <v/>
      </c>
      <c r="CC20" s="3666" t="str">
        <f t="shared" si="5"/>
        <v/>
      </c>
      <c r="CD20" s="3666" t="str">
        <f t="shared" si="6"/>
        <v/>
      </c>
      <c r="CE20" s="3666" t="str">
        <f t="shared" si="7"/>
        <v/>
      </c>
      <c r="CF20" s="3666" t="str">
        <f t="shared" si="8"/>
        <v/>
      </c>
      <c r="CG20" s="3666" t="str">
        <f t="shared" si="9"/>
        <v/>
      </c>
      <c r="CH20" s="3666" t="str">
        <f t="shared" si="10"/>
        <v/>
      </c>
      <c r="CI20" s="3666" t="str">
        <f t="shared" si="11"/>
        <v/>
      </c>
      <c r="CM20" s="2842">
        <f t="shared" si="12"/>
        <v>0</v>
      </c>
      <c r="CN20" s="2842">
        <f t="shared" si="13"/>
        <v>0</v>
      </c>
      <c r="CO20" s="2842">
        <f t="shared" si="14"/>
        <v>0</v>
      </c>
      <c r="CP20" s="2842">
        <f t="shared" si="16"/>
        <v>0</v>
      </c>
      <c r="CQ20" s="2842">
        <f t="shared" si="17"/>
        <v>0</v>
      </c>
      <c r="CR20" s="2842">
        <f t="shared" si="18"/>
        <v>0</v>
      </c>
      <c r="CS20" s="2842">
        <f t="shared" si="19"/>
        <v>0</v>
      </c>
      <c r="CT20" s="419">
        <f t="shared" si="20"/>
        <v>0</v>
      </c>
      <c r="CU20" s="419">
        <f t="shared" si="15"/>
        <v>0</v>
      </c>
    </row>
    <row r="21" spans="1:99">
      <c r="A21" s="2153" t="s">
        <v>2283</v>
      </c>
      <c r="B21" s="3664">
        <f t="shared" si="0"/>
        <v>0</v>
      </c>
      <c r="C21" s="413"/>
      <c r="D21" s="412"/>
      <c r="E21" s="413"/>
      <c r="F21" s="2261"/>
      <c r="G21" s="2261"/>
      <c r="H21" s="411"/>
      <c r="I21" s="414"/>
      <c r="J21" s="3430"/>
      <c r="K21" s="2261"/>
      <c r="L21" s="413"/>
      <c r="M21" s="3665"/>
      <c r="N21" s="416"/>
      <c r="O21" s="416"/>
      <c r="P21" s="2261"/>
      <c r="Q21" s="413"/>
      <c r="R21" s="2261"/>
      <c r="S21" s="417" t="str">
        <f t="shared" si="2"/>
        <v/>
      </c>
      <c r="CA21" s="3666" t="str">
        <f t="shared" si="3"/>
        <v/>
      </c>
      <c r="CB21" s="3666" t="str">
        <f t="shared" si="4"/>
        <v/>
      </c>
      <c r="CC21" s="3666" t="str">
        <f t="shared" si="5"/>
        <v/>
      </c>
      <c r="CD21" s="3666" t="str">
        <f t="shared" si="6"/>
        <v/>
      </c>
      <c r="CE21" s="3666" t="str">
        <f t="shared" si="7"/>
        <v/>
      </c>
      <c r="CF21" s="3666" t="str">
        <f t="shared" si="8"/>
        <v/>
      </c>
      <c r="CG21" s="3666" t="str">
        <f t="shared" si="9"/>
        <v/>
      </c>
      <c r="CH21" s="3666" t="str">
        <f t="shared" si="10"/>
        <v/>
      </c>
      <c r="CI21" s="3666" t="str">
        <f t="shared" si="11"/>
        <v/>
      </c>
      <c r="CM21" s="2842">
        <f t="shared" si="12"/>
        <v>0</v>
      </c>
      <c r="CN21" s="2842">
        <f t="shared" si="13"/>
        <v>0</v>
      </c>
      <c r="CO21" s="2842">
        <f t="shared" si="14"/>
        <v>0</v>
      </c>
      <c r="CP21" s="2842">
        <f t="shared" si="16"/>
        <v>0</v>
      </c>
      <c r="CQ21" s="2842">
        <f t="shared" si="17"/>
        <v>0</v>
      </c>
      <c r="CR21" s="2842">
        <f t="shared" si="18"/>
        <v>0</v>
      </c>
      <c r="CS21" s="2842">
        <f t="shared" si="19"/>
        <v>0</v>
      </c>
      <c r="CT21" s="419">
        <f t="shared" si="20"/>
        <v>0</v>
      </c>
      <c r="CU21" s="419">
        <f t="shared" si="15"/>
        <v>0</v>
      </c>
    </row>
    <row r="22" spans="1:99" ht="21">
      <c r="A22" s="2153" t="s">
        <v>2284</v>
      </c>
      <c r="B22" s="3667">
        <f t="shared" si="0"/>
        <v>0</v>
      </c>
      <c r="C22" s="425"/>
      <c r="D22" s="424"/>
      <c r="E22" s="425"/>
      <c r="F22" s="2231">
        <v>1</v>
      </c>
      <c r="G22" s="2231"/>
      <c r="H22" s="423"/>
      <c r="I22" s="426"/>
      <c r="J22" s="3372"/>
      <c r="K22" s="2231"/>
      <c r="L22" s="425"/>
      <c r="M22" s="3588"/>
      <c r="N22" s="443"/>
      <c r="O22" s="443"/>
      <c r="P22" s="2231"/>
      <c r="Q22" s="425"/>
      <c r="R22" s="2231"/>
      <c r="S22" s="417" t="str">
        <f t="shared" si="2"/>
        <v/>
      </c>
      <c r="CA22" s="3666" t="str">
        <f t="shared" si="3"/>
        <v/>
      </c>
      <c r="CB22" s="3666" t="str">
        <f t="shared" si="4"/>
        <v/>
      </c>
      <c r="CC22" s="3666" t="str">
        <f t="shared" si="5"/>
        <v/>
      </c>
      <c r="CD22" s="3666" t="str">
        <f t="shared" si="6"/>
        <v/>
      </c>
      <c r="CE22" s="3666" t="str">
        <f t="shared" si="7"/>
        <v/>
      </c>
      <c r="CF22" s="3666" t="str">
        <f t="shared" si="8"/>
        <v/>
      </c>
      <c r="CG22" s="3666" t="str">
        <f t="shared" si="9"/>
        <v/>
      </c>
      <c r="CH22" s="3666" t="str">
        <f t="shared" si="10"/>
        <v/>
      </c>
      <c r="CI22" s="3666" t="str">
        <f t="shared" si="11"/>
        <v/>
      </c>
      <c r="CM22" s="2842">
        <f t="shared" si="12"/>
        <v>0</v>
      </c>
      <c r="CN22" s="2842">
        <f t="shared" si="13"/>
        <v>0</v>
      </c>
      <c r="CO22" s="2842">
        <f t="shared" si="14"/>
        <v>0</v>
      </c>
      <c r="CP22" s="2842">
        <f t="shared" si="16"/>
        <v>0</v>
      </c>
      <c r="CQ22" s="2842">
        <f t="shared" si="17"/>
        <v>0</v>
      </c>
      <c r="CR22" s="2842">
        <f t="shared" si="18"/>
        <v>0</v>
      </c>
      <c r="CS22" s="2842">
        <f t="shared" si="19"/>
        <v>0</v>
      </c>
      <c r="CT22" s="419">
        <f t="shared" si="20"/>
        <v>0</v>
      </c>
      <c r="CU22" s="419">
        <f t="shared" si="15"/>
        <v>0</v>
      </c>
    </row>
    <row r="23" spans="1:99">
      <c r="A23" s="2153" t="s">
        <v>2285</v>
      </c>
      <c r="B23" s="3667">
        <f t="shared" si="0"/>
        <v>0</v>
      </c>
      <c r="C23" s="425"/>
      <c r="D23" s="424"/>
      <c r="E23" s="425"/>
      <c r="F23" s="424"/>
      <c r="G23" s="2231"/>
      <c r="H23" s="3376"/>
      <c r="I23" s="426"/>
      <c r="J23" s="3372"/>
      <c r="K23" s="2231"/>
      <c r="L23" s="425"/>
      <c r="M23" s="3588"/>
      <c r="N23" s="443"/>
      <c r="O23" s="443"/>
      <c r="P23" s="2231"/>
      <c r="Q23" s="425"/>
      <c r="R23" s="2231"/>
      <c r="S23" s="417" t="str">
        <f t="shared" si="2"/>
        <v/>
      </c>
      <c r="CA23" s="3666" t="str">
        <f t="shared" si="3"/>
        <v/>
      </c>
      <c r="CB23" s="3666" t="str">
        <f t="shared" si="4"/>
        <v/>
      </c>
      <c r="CC23" s="3666" t="str">
        <f t="shared" si="5"/>
        <v/>
      </c>
      <c r="CD23" s="3666" t="str">
        <f t="shared" si="6"/>
        <v/>
      </c>
      <c r="CE23" s="3666" t="str">
        <f t="shared" si="7"/>
        <v/>
      </c>
      <c r="CF23" s="3666" t="str">
        <f t="shared" si="8"/>
        <v/>
      </c>
      <c r="CG23" s="3666" t="str">
        <f t="shared" si="9"/>
        <v/>
      </c>
      <c r="CH23" s="3666" t="str">
        <f t="shared" si="10"/>
        <v/>
      </c>
      <c r="CI23" s="3666" t="str">
        <f t="shared" si="11"/>
        <v/>
      </c>
      <c r="CM23" s="2842">
        <f t="shared" si="12"/>
        <v>0</v>
      </c>
      <c r="CN23" s="2842">
        <f t="shared" si="13"/>
        <v>0</v>
      </c>
      <c r="CO23" s="2842">
        <f t="shared" si="14"/>
        <v>0</v>
      </c>
      <c r="CP23" s="2842">
        <f t="shared" si="16"/>
        <v>0</v>
      </c>
      <c r="CQ23" s="2842">
        <f t="shared" si="17"/>
        <v>0</v>
      </c>
      <c r="CR23" s="2842">
        <f t="shared" si="18"/>
        <v>0</v>
      </c>
      <c r="CS23" s="2842">
        <f t="shared" si="19"/>
        <v>0</v>
      </c>
      <c r="CT23" s="419">
        <f t="shared" si="20"/>
        <v>0</v>
      </c>
      <c r="CU23" s="419">
        <f t="shared" si="15"/>
        <v>0</v>
      </c>
    </row>
    <row r="24" spans="1:99" ht="21">
      <c r="A24" s="2153" t="s">
        <v>2286</v>
      </c>
      <c r="B24" s="3667">
        <f t="shared" si="0"/>
        <v>0</v>
      </c>
      <c r="C24" s="425"/>
      <c r="D24" s="424"/>
      <c r="E24" s="425"/>
      <c r="F24" s="2231"/>
      <c r="G24" s="2231"/>
      <c r="H24" s="423"/>
      <c r="I24" s="3412"/>
      <c r="J24" s="3372"/>
      <c r="K24" s="2231"/>
      <c r="L24" s="425"/>
      <c r="M24" s="3588"/>
      <c r="N24" s="443"/>
      <c r="O24" s="443"/>
      <c r="P24" s="2231"/>
      <c r="Q24" s="425"/>
      <c r="R24" s="2231"/>
      <c r="S24" s="417" t="str">
        <f t="shared" si="2"/>
        <v/>
      </c>
      <c r="CA24" s="3666" t="str">
        <f t="shared" si="3"/>
        <v/>
      </c>
      <c r="CB24" s="3666" t="str">
        <f t="shared" si="4"/>
        <v/>
      </c>
      <c r="CC24" s="3666" t="str">
        <f t="shared" si="5"/>
        <v/>
      </c>
      <c r="CD24" s="3666" t="str">
        <f t="shared" si="6"/>
        <v/>
      </c>
      <c r="CE24" s="3666" t="str">
        <f t="shared" si="7"/>
        <v/>
      </c>
      <c r="CF24" s="3666" t="str">
        <f t="shared" si="8"/>
        <v/>
      </c>
      <c r="CG24" s="3666" t="str">
        <f t="shared" si="9"/>
        <v/>
      </c>
      <c r="CH24" s="3666" t="str">
        <f t="shared" si="10"/>
        <v/>
      </c>
      <c r="CI24" s="3666" t="str">
        <f t="shared" si="11"/>
        <v/>
      </c>
      <c r="CM24" s="2842">
        <f t="shared" si="12"/>
        <v>0</v>
      </c>
      <c r="CN24" s="2842">
        <f t="shared" si="13"/>
        <v>0</v>
      </c>
      <c r="CO24" s="2842">
        <f t="shared" si="14"/>
        <v>0</v>
      </c>
      <c r="CP24" s="2842">
        <f t="shared" si="16"/>
        <v>0</v>
      </c>
      <c r="CQ24" s="2842">
        <f t="shared" si="17"/>
        <v>0</v>
      </c>
      <c r="CR24" s="2842">
        <f t="shared" si="18"/>
        <v>0</v>
      </c>
      <c r="CS24" s="2842">
        <f t="shared" si="19"/>
        <v>0</v>
      </c>
      <c r="CT24" s="419">
        <f t="shared" si="20"/>
        <v>0</v>
      </c>
      <c r="CU24" s="419">
        <f t="shared" si="15"/>
        <v>0</v>
      </c>
    </row>
    <row r="25" spans="1:99">
      <c r="A25" s="453" t="s">
        <v>2287</v>
      </c>
      <c r="B25" s="3652">
        <f t="shared" si="0"/>
        <v>0</v>
      </c>
      <c r="C25" s="432"/>
      <c r="D25" s="433"/>
      <c r="E25" s="432"/>
      <c r="F25" s="2235"/>
      <c r="G25" s="2235"/>
      <c r="H25" s="3385"/>
      <c r="I25" s="3425"/>
      <c r="J25" s="3386"/>
      <c r="K25" s="2235"/>
      <c r="L25" s="432"/>
      <c r="M25" s="3443"/>
      <c r="N25" s="438"/>
      <c r="O25" s="438"/>
      <c r="P25" s="2235"/>
      <c r="Q25" s="432"/>
      <c r="R25" s="2235"/>
      <c r="S25" s="417" t="str">
        <f t="shared" si="2"/>
        <v/>
      </c>
      <c r="CA25" s="3666" t="str">
        <f t="shared" si="3"/>
        <v/>
      </c>
      <c r="CB25" s="3666" t="str">
        <f t="shared" si="4"/>
        <v/>
      </c>
      <c r="CC25" s="3666" t="str">
        <f t="shared" si="5"/>
        <v/>
      </c>
      <c r="CD25" s="3666" t="str">
        <f t="shared" si="6"/>
        <v/>
      </c>
      <c r="CE25" s="3666" t="str">
        <f t="shared" si="7"/>
        <v/>
      </c>
      <c r="CF25" s="3666" t="str">
        <f t="shared" si="8"/>
        <v/>
      </c>
      <c r="CG25" s="3666" t="str">
        <f t="shared" si="9"/>
        <v/>
      </c>
      <c r="CH25" s="3666" t="str">
        <f t="shared" si="10"/>
        <v/>
      </c>
      <c r="CI25" s="3666" t="str">
        <f t="shared" si="11"/>
        <v/>
      </c>
      <c r="CM25" s="2842">
        <f t="shared" si="12"/>
        <v>0</v>
      </c>
      <c r="CN25" s="2842">
        <f t="shared" si="13"/>
        <v>0</v>
      </c>
      <c r="CO25" s="2842">
        <f t="shared" si="14"/>
        <v>0</v>
      </c>
      <c r="CP25" s="2842">
        <f t="shared" si="16"/>
        <v>0</v>
      </c>
      <c r="CQ25" s="2842">
        <f t="shared" si="17"/>
        <v>0</v>
      </c>
      <c r="CR25" s="2842">
        <f t="shared" si="18"/>
        <v>0</v>
      </c>
      <c r="CS25" s="2842">
        <f t="shared" si="19"/>
        <v>0</v>
      </c>
      <c r="CT25" s="419">
        <f t="shared" si="20"/>
        <v>0</v>
      </c>
      <c r="CU25" s="419">
        <f t="shared" si="15"/>
        <v>0</v>
      </c>
    </row>
    <row r="26" spans="1:99" ht="15" customHeight="1">
      <c r="A26" s="3014" t="s">
        <v>2288</v>
      </c>
      <c r="B26" s="3664">
        <f t="shared" si="0"/>
        <v>0</v>
      </c>
      <c r="C26" s="413"/>
      <c r="D26" s="2261"/>
      <c r="E26" s="413"/>
      <c r="F26" s="2261"/>
      <c r="G26" s="416"/>
      <c r="H26" s="411"/>
      <c r="I26" s="3411"/>
      <c r="J26" s="3430"/>
      <c r="K26" s="2261"/>
      <c r="L26" s="413"/>
      <c r="M26" s="3665"/>
      <c r="N26" s="416"/>
      <c r="O26" s="416"/>
      <c r="P26" s="2261"/>
      <c r="Q26" s="413"/>
      <c r="R26" s="2261"/>
      <c r="S26" s="417" t="str">
        <f t="shared" si="2"/>
        <v/>
      </c>
      <c r="CA26" s="3666" t="str">
        <f t="shared" si="3"/>
        <v/>
      </c>
      <c r="CB26" s="3666" t="str">
        <f t="shared" si="4"/>
        <v/>
      </c>
      <c r="CC26" s="3666" t="str">
        <f t="shared" si="5"/>
        <v/>
      </c>
      <c r="CD26" s="3666" t="str">
        <f t="shared" si="6"/>
        <v/>
      </c>
      <c r="CE26" s="3666" t="str">
        <f t="shared" si="7"/>
        <v/>
      </c>
      <c r="CF26" s="3666" t="str">
        <f t="shared" si="8"/>
        <v/>
      </c>
      <c r="CG26" s="3666" t="str">
        <f t="shared" si="9"/>
        <v/>
      </c>
      <c r="CH26" s="3666" t="str">
        <f t="shared" si="10"/>
        <v/>
      </c>
      <c r="CI26" s="3666" t="str">
        <f t="shared" si="11"/>
        <v/>
      </c>
      <c r="CM26" s="2842">
        <f t="shared" si="12"/>
        <v>0</v>
      </c>
      <c r="CN26" s="2842">
        <f t="shared" si="13"/>
        <v>0</v>
      </c>
      <c r="CO26" s="2842">
        <f t="shared" si="14"/>
        <v>0</v>
      </c>
      <c r="CP26" s="2842">
        <f t="shared" si="16"/>
        <v>0</v>
      </c>
      <c r="CQ26" s="2842">
        <f t="shared" si="17"/>
        <v>0</v>
      </c>
      <c r="CR26" s="2842">
        <f t="shared" si="18"/>
        <v>0</v>
      </c>
      <c r="CS26" s="2842">
        <f t="shared" si="19"/>
        <v>0</v>
      </c>
      <c r="CT26" s="419">
        <f t="shared" si="20"/>
        <v>0</v>
      </c>
      <c r="CU26" s="419">
        <f t="shared" si="15"/>
        <v>0</v>
      </c>
    </row>
    <row r="27" spans="1:99" ht="21">
      <c r="A27" s="1878" t="s">
        <v>2289</v>
      </c>
      <c r="B27" s="3667">
        <f t="shared" si="0"/>
        <v>1</v>
      </c>
      <c r="C27" s="425"/>
      <c r="D27" s="2231">
        <v>1</v>
      </c>
      <c r="E27" s="425">
        <v>1</v>
      </c>
      <c r="F27" s="2231"/>
      <c r="G27" s="443"/>
      <c r="H27" s="423"/>
      <c r="I27" s="3412"/>
      <c r="J27" s="3372"/>
      <c r="K27" s="2231"/>
      <c r="L27" s="425"/>
      <c r="M27" s="3588"/>
      <c r="N27" s="443"/>
      <c r="O27" s="443"/>
      <c r="P27" s="2231"/>
      <c r="Q27" s="425"/>
      <c r="R27" s="2231"/>
      <c r="S27" s="417" t="str">
        <f t="shared" si="2"/>
        <v>*No olvide digitar el campo TRANS Masculino (Digite CERO si no tiene). *No olvide digitar el campo No Binarie. Digite CERO si no tiene. *No olvide digitar el campo No revelado. Digite CERO si no tiene. *No olvide digitar el campo Pueblos Originarios. Digite CERO si no tiene. *No olvide digitar el campo Migrantes. Digite CERO si no tiene. *No olvide digitar el campo PRAIS. Digite CERO si no tiene. *No olvide digitar el campo N° DE ATENCIONES EN EL MES (Ley Mila). Niños, niñas y adolescentes. Digite CERO si no tiene. *No olvide digitar el campo N° DE ATENCIONES EN EL MES (Ley Mila) Gestantes. Digite CERO si no tiene.</v>
      </c>
      <c r="CA27" s="3666" t="str">
        <f t="shared" si="3"/>
        <v>*No olvide digitar el campo TRANS Masculino (Digite CERO si no tiene).</v>
      </c>
      <c r="CB27" s="3666" t="str">
        <f t="shared" si="4"/>
        <v/>
      </c>
      <c r="CC27" s="3666" t="str">
        <f t="shared" si="5"/>
        <v xml:space="preserve"> *No olvide digitar el campo No Binarie. Digite CERO si no tiene.</v>
      </c>
      <c r="CD27" s="3666" t="str">
        <f t="shared" si="6"/>
        <v xml:space="preserve"> *No olvide digitar el campo No revelado. Digite CERO si no tiene.</v>
      </c>
      <c r="CE27" s="3666" t="str">
        <f t="shared" si="7"/>
        <v xml:space="preserve"> *No olvide digitar el campo Pueblos Originarios. Digite CERO si no tiene.</v>
      </c>
      <c r="CF27" s="3666" t="str">
        <f t="shared" si="8"/>
        <v xml:space="preserve"> *No olvide digitar el campo Migrantes. Digite CERO si no tiene.</v>
      </c>
      <c r="CG27" s="3666" t="str">
        <f t="shared" si="9"/>
        <v xml:space="preserve"> *No olvide digitar el campo PRAIS. Digite CERO si no tiene.</v>
      </c>
      <c r="CH27" s="3666" t="str">
        <f t="shared" si="10"/>
        <v xml:space="preserve"> *No olvide digitar el campo N° DE ATENCIONES EN EL MES (Ley Mila). Niños, niñas y adolescentes. Digite CERO si no tiene.</v>
      </c>
      <c r="CI27" s="3666" t="str">
        <f t="shared" si="11"/>
        <v xml:space="preserve"> *No olvide digitar el campo N° DE ATENCIONES EN EL MES (Ley Mila) Gestantes. Digite CERO si no tiene.</v>
      </c>
      <c r="CM27" s="2842">
        <f t="shared" si="12"/>
        <v>1</v>
      </c>
      <c r="CN27" s="2842">
        <f t="shared" si="13"/>
        <v>0</v>
      </c>
      <c r="CO27" s="2842">
        <f t="shared" si="14"/>
        <v>1</v>
      </c>
      <c r="CP27" s="2842">
        <f t="shared" si="16"/>
        <v>1</v>
      </c>
      <c r="CQ27" s="2842">
        <f t="shared" si="17"/>
        <v>1</v>
      </c>
      <c r="CR27" s="2842">
        <f t="shared" si="18"/>
        <v>1</v>
      </c>
      <c r="CS27" s="2842">
        <f t="shared" si="19"/>
        <v>1</v>
      </c>
      <c r="CT27" s="419">
        <f t="shared" si="20"/>
        <v>1</v>
      </c>
      <c r="CU27" s="419">
        <f t="shared" si="15"/>
        <v>1</v>
      </c>
    </row>
    <row r="28" spans="1:99">
      <c r="A28" s="1878" t="s">
        <v>2290</v>
      </c>
      <c r="B28" s="3667">
        <f t="shared" si="0"/>
        <v>1</v>
      </c>
      <c r="C28" s="425"/>
      <c r="D28" s="2231">
        <v>1</v>
      </c>
      <c r="E28" s="425">
        <v>1</v>
      </c>
      <c r="F28" s="2231"/>
      <c r="G28" s="443"/>
      <c r="H28" s="423"/>
      <c r="I28" s="3412"/>
      <c r="J28" s="3372"/>
      <c r="K28" s="2231"/>
      <c r="L28" s="425"/>
      <c r="M28" s="3588"/>
      <c r="N28" s="443"/>
      <c r="O28" s="443"/>
      <c r="P28" s="2231"/>
      <c r="Q28" s="425"/>
      <c r="R28" s="2231"/>
      <c r="S28" s="417" t="str">
        <f t="shared" si="2"/>
        <v>*No olvide digitar el campo TRANS Masculino (Digite CERO si no tiene). *No olvide digitar el campo No Binarie. Digite CERO si no tiene. *No olvide digitar el campo No revelado. Digite CERO si no tiene. *No olvide digitar el campo Pueblos Originarios. Digite CERO si no tiene. *No olvide digitar el campo Migrantes. Digite CERO si no tiene. *No olvide digitar el campo PRAIS. Digite CERO si no tiene. *No olvide digitar el campo N° DE ATENCIONES EN EL MES (Ley Mila). Niños, niñas y adolescentes. Digite CERO si no tiene. *No olvide digitar el campo N° DE ATENCIONES EN EL MES (Ley Mila) Gestantes. Digite CERO si no tiene.</v>
      </c>
      <c r="CA28" s="3666" t="str">
        <f t="shared" si="3"/>
        <v>*No olvide digitar el campo TRANS Masculino (Digite CERO si no tiene).</v>
      </c>
      <c r="CB28" s="3666" t="str">
        <f t="shared" si="4"/>
        <v/>
      </c>
      <c r="CC28" s="3666" t="str">
        <f t="shared" si="5"/>
        <v xml:space="preserve"> *No olvide digitar el campo No Binarie. Digite CERO si no tiene.</v>
      </c>
      <c r="CD28" s="3666" t="str">
        <f t="shared" si="6"/>
        <v xml:space="preserve"> *No olvide digitar el campo No revelado. Digite CERO si no tiene.</v>
      </c>
      <c r="CE28" s="3666" t="str">
        <f t="shared" si="7"/>
        <v xml:space="preserve"> *No olvide digitar el campo Pueblos Originarios. Digite CERO si no tiene.</v>
      </c>
      <c r="CF28" s="3666" t="str">
        <f t="shared" si="8"/>
        <v xml:space="preserve"> *No olvide digitar el campo Migrantes. Digite CERO si no tiene.</v>
      </c>
      <c r="CG28" s="3666" t="str">
        <f t="shared" si="9"/>
        <v xml:space="preserve"> *No olvide digitar el campo PRAIS. Digite CERO si no tiene.</v>
      </c>
      <c r="CH28" s="3666" t="str">
        <f t="shared" si="10"/>
        <v xml:space="preserve"> *No olvide digitar el campo N° DE ATENCIONES EN EL MES (Ley Mila). Niños, niñas y adolescentes. Digite CERO si no tiene.</v>
      </c>
      <c r="CI28" s="3666" t="str">
        <f t="shared" si="11"/>
        <v xml:space="preserve"> *No olvide digitar el campo N° DE ATENCIONES EN EL MES (Ley Mila) Gestantes. Digite CERO si no tiene.</v>
      </c>
      <c r="CM28" s="2842">
        <f t="shared" si="12"/>
        <v>1</v>
      </c>
      <c r="CN28" s="2842">
        <f t="shared" si="13"/>
        <v>0</v>
      </c>
      <c r="CO28" s="2842">
        <f t="shared" si="14"/>
        <v>1</v>
      </c>
      <c r="CP28" s="2842">
        <f t="shared" si="16"/>
        <v>1</v>
      </c>
      <c r="CQ28" s="2842">
        <f t="shared" si="17"/>
        <v>1</v>
      </c>
      <c r="CR28" s="2842">
        <f t="shared" si="18"/>
        <v>1</v>
      </c>
      <c r="CS28" s="2842">
        <f t="shared" si="19"/>
        <v>1</v>
      </c>
      <c r="CT28" s="419">
        <f t="shared" si="20"/>
        <v>1</v>
      </c>
      <c r="CU28" s="419">
        <f t="shared" si="15"/>
        <v>1</v>
      </c>
    </row>
    <row r="29" spans="1:99">
      <c r="A29" s="2903" t="s">
        <v>2291</v>
      </c>
      <c r="B29" s="3652">
        <f t="shared" si="0"/>
        <v>0</v>
      </c>
      <c r="C29" s="432"/>
      <c r="D29" s="2235"/>
      <c r="E29" s="432"/>
      <c r="F29" s="2235"/>
      <c r="G29" s="2235"/>
      <c r="H29" s="3385"/>
      <c r="I29" s="3425"/>
      <c r="J29" s="3386"/>
      <c r="K29" s="2235"/>
      <c r="L29" s="432"/>
      <c r="M29" s="3443"/>
      <c r="N29" s="438"/>
      <c r="O29" s="438"/>
      <c r="P29" s="2235"/>
      <c r="Q29" s="432"/>
      <c r="R29" s="2235"/>
      <c r="S29" s="417" t="str">
        <f t="shared" si="2"/>
        <v/>
      </c>
      <c r="CA29" s="3666" t="str">
        <f t="shared" si="3"/>
        <v/>
      </c>
      <c r="CB29" s="3666" t="str">
        <f t="shared" si="4"/>
        <v/>
      </c>
      <c r="CC29" s="3666" t="str">
        <f t="shared" si="5"/>
        <v/>
      </c>
      <c r="CD29" s="3666" t="str">
        <f t="shared" si="6"/>
        <v/>
      </c>
      <c r="CE29" s="3666" t="str">
        <f t="shared" si="7"/>
        <v/>
      </c>
      <c r="CF29" s="3666" t="str">
        <f t="shared" si="8"/>
        <v/>
      </c>
      <c r="CG29" s="3666" t="str">
        <f t="shared" si="9"/>
        <v/>
      </c>
      <c r="CH29" s="3666" t="str">
        <f t="shared" si="10"/>
        <v/>
      </c>
      <c r="CI29" s="3666" t="str">
        <f t="shared" si="11"/>
        <v/>
      </c>
      <c r="CM29" s="2842">
        <f t="shared" si="12"/>
        <v>0</v>
      </c>
      <c r="CN29" s="2842">
        <f t="shared" si="13"/>
        <v>0</v>
      </c>
      <c r="CO29" s="2842">
        <f t="shared" si="14"/>
        <v>0</v>
      </c>
      <c r="CP29" s="2842">
        <f t="shared" si="16"/>
        <v>0</v>
      </c>
      <c r="CQ29" s="2842">
        <f t="shared" si="17"/>
        <v>0</v>
      </c>
      <c r="CR29" s="2842">
        <f t="shared" si="18"/>
        <v>0</v>
      </c>
      <c r="CS29" s="2842">
        <f t="shared" si="19"/>
        <v>0</v>
      </c>
      <c r="CT29" s="419">
        <f t="shared" si="20"/>
        <v>0</v>
      </c>
      <c r="CU29" s="419">
        <f t="shared" si="15"/>
        <v>0</v>
      </c>
    </row>
    <row r="30" spans="1:99">
      <c r="A30" s="2153" t="s">
        <v>2292</v>
      </c>
      <c r="B30" s="3664">
        <f t="shared" si="0"/>
        <v>0</v>
      </c>
      <c r="C30" s="413"/>
      <c r="D30" s="2261"/>
      <c r="E30" s="413"/>
      <c r="F30" s="2261"/>
      <c r="G30" s="2261"/>
      <c r="H30" s="411"/>
      <c r="I30" s="3411"/>
      <c r="J30" s="3430"/>
      <c r="K30" s="2261"/>
      <c r="L30" s="413"/>
      <c r="M30" s="3665"/>
      <c r="N30" s="416"/>
      <c r="O30" s="416"/>
      <c r="P30" s="2261"/>
      <c r="Q30" s="413"/>
      <c r="R30" s="2261"/>
      <c r="S30" s="417" t="str">
        <f t="shared" si="2"/>
        <v/>
      </c>
      <c r="CA30" s="3666" t="str">
        <f t="shared" si="3"/>
        <v/>
      </c>
      <c r="CB30" s="3666" t="str">
        <f t="shared" si="4"/>
        <v/>
      </c>
      <c r="CC30" s="3666" t="str">
        <f t="shared" si="5"/>
        <v/>
      </c>
      <c r="CD30" s="3666" t="str">
        <f t="shared" si="6"/>
        <v/>
      </c>
      <c r="CE30" s="3666" t="str">
        <f t="shared" si="7"/>
        <v/>
      </c>
      <c r="CF30" s="3666" t="str">
        <f t="shared" si="8"/>
        <v/>
      </c>
      <c r="CG30" s="3666" t="str">
        <f t="shared" si="9"/>
        <v/>
      </c>
      <c r="CH30" s="3666" t="str">
        <f t="shared" si="10"/>
        <v/>
      </c>
      <c r="CI30" s="3666" t="str">
        <f t="shared" si="11"/>
        <v/>
      </c>
      <c r="CM30" s="2842">
        <f t="shared" si="12"/>
        <v>0</v>
      </c>
      <c r="CN30" s="2842">
        <f t="shared" si="13"/>
        <v>0</v>
      </c>
      <c r="CO30" s="2842">
        <f t="shared" si="14"/>
        <v>0</v>
      </c>
      <c r="CP30" s="2842">
        <f t="shared" si="16"/>
        <v>0</v>
      </c>
      <c r="CQ30" s="2842">
        <f t="shared" si="17"/>
        <v>0</v>
      </c>
      <c r="CR30" s="2842">
        <f t="shared" si="18"/>
        <v>0</v>
      </c>
      <c r="CS30" s="2842">
        <f t="shared" si="19"/>
        <v>0</v>
      </c>
      <c r="CT30" s="419">
        <f t="shared" si="20"/>
        <v>0</v>
      </c>
      <c r="CU30" s="419">
        <f t="shared" si="15"/>
        <v>0</v>
      </c>
    </row>
    <row r="31" spans="1:99">
      <c r="A31" s="2153" t="s">
        <v>2293</v>
      </c>
      <c r="B31" s="3667">
        <f t="shared" si="0"/>
        <v>1</v>
      </c>
      <c r="C31" s="425"/>
      <c r="D31" s="2231">
        <v>1</v>
      </c>
      <c r="E31" s="425">
        <v>1</v>
      </c>
      <c r="F31" s="2231"/>
      <c r="G31" s="2231"/>
      <c r="H31" s="423"/>
      <c r="I31" s="3412"/>
      <c r="J31" s="3372"/>
      <c r="K31" s="2231"/>
      <c r="L31" s="425"/>
      <c r="M31" s="3588"/>
      <c r="N31" s="443"/>
      <c r="O31" s="443"/>
      <c r="P31" s="2231"/>
      <c r="Q31" s="425"/>
      <c r="R31" s="2231"/>
      <c r="S31" s="417" t="str">
        <f t="shared" si="2"/>
        <v>*No olvide digitar el campo TRANS Masculino (Digite CERO si no tiene). *No olvide digitar el campo No Binarie. Digite CERO si no tiene. *No olvide digitar el campo No revelado. Digite CERO si no tiene. *No olvide digitar el campo Pueblos Originarios. Digite CERO si no tiene. *No olvide digitar el campo Migrantes. Digite CERO si no tiene. *No olvide digitar el campo PRAIS. Digite CERO si no tiene. *No olvide digitar el campo N° DE ATENCIONES EN EL MES (Ley Mila). Niños, niñas y adolescentes. Digite CERO si no tiene. *No olvide digitar el campo N° DE ATENCIONES EN EL MES (Ley Mila) Gestantes. Digite CERO si no tiene.</v>
      </c>
      <c r="CA31" s="3666" t="str">
        <f t="shared" si="3"/>
        <v>*No olvide digitar el campo TRANS Masculino (Digite CERO si no tiene).</v>
      </c>
      <c r="CB31" s="3666" t="str">
        <f t="shared" si="4"/>
        <v/>
      </c>
      <c r="CC31" s="3666" t="str">
        <f t="shared" si="5"/>
        <v xml:space="preserve"> *No olvide digitar el campo No Binarie. Digite CERO si no tiene.</v>
      </c>
      <c r="CD31" s="3666" t="str">
        <f t="shared" si="6"/>
        <v xml:space="preserve"> *No olvide digitar el campo No revelado. Digite CERO si no tiene.</v>
      </c>
      <c r="CE31" s="3666" t="str">
        <f t="shared" si="7"/>
        <v xml:space="preserve"> *No olvide digitar el campo Pueblos Originarios. Digite CERO si no tiene.</v>
      </c>
      <c r="CF31" s="3666" t="str">
        <f t="shared" si="8"/>
        <v xml:space="preserve"> *No olvide digitar el campo Migrantes. Digite CERO si no tiene.</v>
      </c>
      <c r="CG31" s="3666" t="str">
        <f t="shared" si="9"/>
        <v xml:space="preserve"> *No olvide digitar el campo PRAIS. Digite CERO si no tiene.</v>
      </c>
      <c r="CH31" s="3666" t="str">
        <f t="shared" si="10"/>
        <v xml:space="preserve"> *No olvide digitar el campo N° DE ATENCIONES EN EL MES (Ley Mila). Niños, niñas y adolescentes. Digite CERO si no tiene.</v>
      </c>
      <c r="CI31" s="3666" t="str">
        <f t="shared" si="11"/>
        <v xml:space="preserve"> *No olvide digitar el campo N° DE ATENCIONES EN EL MES (Ley Mila) Gestantes. Digite CERO si no tiene.</v>
      </c>
      <c r="CM31" s="2842">
        <f t="shared" si="12"/>
        <v>1</v>
      </c>
      <c r="CN31" s="2842">
        <f t="shared" si="13"/>
        <v>0</v>
      </c>
      <c r="CO31" s="2842">
        <f t="shared" si="14"/>
        <v>1</v>
      </c>
      <c r="CP31" s="2842">
        <f t="shared" si="16"/>
        <v>1</v>
      </c>
      <c r="CQ31" s="2842">
        <f t="shared" si="17"/>
        <v>1</v>
      </c>
      <c r="CR31" s="2842">
        <f t="shared" si="18"/>
        <v>1</v>
      </c>
      <c r="CS31" s="2842">
        <f t="shared" si="19"/>
        <v>1</v>
      </c>
      <c r="CT31" s="419">
        <f t="shared" si="20"/>
        <v>1</v>
      </c>
      <c r="CU31" s="419">
        <f t="shared" si="15"/>
        <v>1</v>
      </c>
    </row>
    <row r="32" spans="1:99">
      <c r="A32" s="2153" t="s">
        <v>2294</v>
      </c>
      <c r="B32" s="3667">
        <f t="shared" si="0"/>
        <v>0</v>
      </c>
      <c r="C32" s="425"/>
      <c r="D32" s="2231"/>
      <c r="E32" s="425"/>
      <c r="F32" s="2231"/>
      <c r="G32" s="2231"/>
      <c r="H32" s="423"/>
      <c r="I32" s="426"/>
      <c r="J32" s="3372"/>
      <c r="K32" s="2231"/>
      <c r="L32" s="425"/>
      <c r="M32" s="3588"/>
      <c r="N32" s="443"/>
      <c r="O32" s="443"/>
      <c r="P32" s="2231"/>
      <c r="Q32" s="425"/>
      <c r="R32" s="2231"/>
      <c r="S32" s="417" t="str">
        <f t="shared" si="2"/>
        <v/>
      </c>
      <c r="CA32" s="3666" t="str">
        <f t="shared" si="3"/>
        <v/>
      </c>
      <c r="CB32" s="3666" t="str">
        <f t="shared" si="4"/>
        <v/>
      </c>
      <c r="CC32" s="3666" t="str">
        <f t="shared" si="5"/>
        <v/>
      </c>
      <c r="CD32" s="3666" t="str">
        <f t="shared" si="6"/>
        <v/>
      </c>
      <c r="CE32" s="3666" t="str">
        <f t="shared" si="7"/>
        <v/>
      </c>
      <c r="CF32" s="3666" t="str">
        <f t="shared" si="8"/>
        <v/>
      </c>
      <c r="CG32" s="3666" t="str">
        <f t="shared" si="9"/>
        <v/>
      </c>
      <c r="CH32" s="3666" t="str">
        <f t="shared" si="10"/>
        <v/>
      </c>
      <c r="CI32" s="3666" t="str">
        <f t="shared" si="11"/>
        <v/>
      </c>
      <c r="CM32" s="2842">
        <f t="shared" si="12"/>
        <v>0</v>
      </c>
      <c r="CN32" s="2842">
        <f t="shared" si="13"/>
        <v>0</v>
      </c>
      <c r="CO32" s="2842">
        <f t="shared" si="14"/>
        <v>0</v>
      </c>
      <c r="CP32" s="2842">
        <f t="shared" si="16"/>
        <v>0</v>
      </c>
      <c r="CQ32" s="2842">
        <f t="shared" si="17"/>
        <v>0</v>
      </c>
      <c r="CR32" s="2842">
        <f t="shared" si="18"/>
        <v>0</v>
      </c>
      <c r="CS32" s="2842">
        <f t="shared" si="19"/>
        <v>0</v>
      </c>
      <c r="CT32" s="419">
        <f t="shared" si="20"/>
        <v>0</v>
      </c>
      <c r="CU32" s="419">
        <f t="shared" si="15"/>
        <v>0</v>
      </c>
    </row>
    <row r="33" spans="1:99">
      <c r="A33" s="2153" t="s">
        <v>2295</v>
      </c>
      <c r="B33" s="3667">
        <f t="shared" si="0"/>
        <v>0</v>
      </c>
      <c r="C33" s="425"/>
      <c r="D33" s="2231"/>
      <c r="E33" s="425"/>
      <c r="F33" s="2231"/>
      <c r="G33" s="2231"/>
      <c r="H33" s="423"/>
      <c r="I33" s="426"/>
      <c r="J33" s="3372"/>
      <c r="K33" s="2231"/>
      <c r="L33" s="425"/>
      <c r="M33" s="3588"/>
      <c r="N33" s="443"/>
      <c r="O33" s="443"/>
      <c r="P33" s="2231"/>
      <c r="Q33" s="425"/>
      <c r="R33" s="2231"/>
      <c r="S33" s="417" t="str">
        <f t="shared" si="2"/>
        <v/>
      </c>
      <c r="CA33" s="3666" t="str">
        <f t="shared" si="3"/>
        <v/>
      </c>
      <c r="CB33" s="3666" t="str">
        <f t="shared" si="4"/>
        <v/>
      </c>
      <c r="CC33" s="3666" t="str">
        <f t="shared" si="5"/>
        <v/>
      </c>
      <c r="CD33" s="3666" t="str">
        <f t="shared" si="6"/>
        <v/>
      </c>
      <c r="CE33" s="3666" t="str">
        <f t="shared" si="7"/>
        <v/>
      </c>
      <c r="CF33" s="3666" t="str">
        <f t="shared" si="8"/>
        <v/>
      </c>
      <c r="CG33" s="3666" t="str">
        <f t="shared" si="9"/>
        <v/>
      </c>
      <c r="CH33" s="3666" t="str">
        <f t="shared" si="10"/>
        <v/>
      </c>
      <c r="CI33" s="3666" t="str">
        <f t="shared" si="11"/>
        <v/>
      </c>
      <c r="CM33" s="2842">
        <f t="shared" si="12"/>
        <v>0</v>
      </c>
      <c r="CN33" s="2842">
        <f t="shared" si="13"/>
        <v>0</v>
      </c>
      <c r="CO33" s="2842">
        <f t="shared" si="14"/>
        <v>0</v>
      </c>
      <c r="CP33" s="2842">
        <f t="shared" si="16"/>
        <v>0</v>
      </c>
      <c r="CQ33" s="2842">
        <f t="shared" si="17"/>
        <v>0</v>
      </c>
      <c r="CR33" s="2842">
        <f t="shared" si="18"/>
        <v>0</v>
      </c>
      <c r="CS33" s="2842">
        <f t="shared" si="19"/>
        <v>0</v>
      </c>
      <c r="CT33" s="419">
        <f t="shared" si="20"/>
        <v>0</v>
      </c>
      <c r="CU33" s="419">
        <f t="shared" si="15"/>
        <v>0</v>
      </c>
    </row>
    <row r="34" spans="1:99">
      <c r="A34" s="2153" t="s">
        <v>2296</v>
      </c>
      <c r="B34" s="3667">
        <f t="shared" si="0"/>
        <v>0</v>
      </c>
      <c r="C34" s="425"/>
      <c r="D34" s="424"/>
      <c r="E34" s="425"/>
      <c r="F34" s="424"/>
      <c r="G34" s="2231"/>
      <c r="H34" s="3376"/>
      <c r="I34" s="426"/>
      <c r="J34" s="3372"/>
      <c r="K34" s="2231"/>
      <c r="L34" s="425"/>
      <c r="M34" s="3588"/>
      <c r="N34" s="443"/>
      <c r="O34" s="443"/>
      <c r="P34" s="2231"/>
      <c r="Q34" s="425"/>
      <c r="R34" s="2231"/>
      <c r="S34" s="417" t="str">
        <f t="shared" si="2"/>
        <v/>
      </c>
      <c r="CA34" s="3666" t="str">
        <f t="shared" si="3"/>
        <v/>
      </c>
      <c r="CB34" s="3666" t="str">
        <f t="shared" si="4"/>
        <v/>
      </c>
      <c r="CC34" s="3666" t="str">
        <f t="shared" si="5"/>
        <v/>
      </c>
      <c r="CD34" s="3666" t="str">
        <f t="shared" si="6"/>
        <v/>
      </c>
      <c r="CE34" s="3666" t="str">
        <f t="shared" si="7"/>
        <v/>
      </c>
      <c r="CF34" s="3666" t="str">
        <f t="shared" si="8"/>
        <v/>
      </c>
      <c r="CG34" s="3666" t="str">
        <f t="shared" si="9"/>
        <v/>
      </c>
      <c r="CH34" s="3666" t="str">
        <f t="shared" si="10"/>
        <v/>
      </c>
      <c r="CI34" s="3666" t="str">
        <f t="shared" si="11"/>
        <v/>
      </c>
      <c r="CM34" s="2842">
        <f t="shared" si="12"/>
        <v>0</v>
      </c>
      <c r="CN34" s="2842">
        <f t="shared" si="13"/>
        <v>0</v>
      </c>
      <c r="CO34" s="2842">
        <f t="shared" si="14"/>
        <v>0</v>
      </c>
      <c r="CP34" s="2842">
        <f t="shared" si="16"/>
        <v>0</v>
      </c>
      <c r="CQ34" s="2842">
        <f t="shared" si="17"/>
        <v>0</v>
      </c>
      <c r="CR34" s="2842">
        <f t="shared" si="18"/>
        <v>0</v>
      </c>
      <c r="CS34" s="2842">
        <f t="shared" si="19"/>
        <v>0</v>
      </c>
      <c r="CT34" s="419">
        <f t="shared" si="20"/>
        <v>0</v>
      </c>
      <c r="CU34" s="419">
        <f t="shared" si="15"/>
        <v>0</v>
      </c>
    </row>
    <row r="35" spans="1:99">
      <c r="A35" s="453" t="s">
        <v>2297</v>
      </c>
      <c r="B35" s="3652">
        <f t="shared" si="0"/>
        <v>0</v>
      </c>
      <c r="C35" s="432"/>
      <c r="D35" s="2235"/>
      <c r="E35" s="432"/>
      <c r="F35" s="2235"/>
      <c r="G35" s="2235"/>
      <c r="H35" s="3385"/>
      <c r="I35" s="3425"/>
      <c r="J35" s="3386"/>
      <c r="K35" s="2235"/>
      <c r="L35" s="432"/>
      <c r="M35" s="3443"/>
      <c r="N35" s="438"/>
      <c r="O35" s="438"/>
      <c r="P35" s="2235"/>
      <c r="Q35" s="432"/>
      <c r="R35" s="2235"/>
      <c r="S35" s="417" t="str">
        <f t="shared" si="2"/>
        <v/>
      </c>
      <c r="CA35" s="3666" t="str">
        <f t="shared" si="3"/>
        <v/>
      </c>
      <c r="CB35" s="3666" t="str">
        <f t="shared" si="4"/>
        <v/>
      </c>
      <c r="CC35" s="3666" t="str">
        <f t="shared" si="5"/>
        <v/>
      </c>
      <c r="CD35" s="3666" t="str">
        <f t="shared" si="6"/>
        <v/>
      </c>
      <c r="CE35" s="3666" t="str">
        <f t="shared" si="7"/>
        <v/>
      </c>
      <c r="CF35" s="3666" t="str">
        <f t="shared" si="8"/>
        <v/>
      </c>
      <c r="CG35" s="3666" t="str">
        <f t="shared" si="9"/>
        <v/>
      </c>
      <c r="CH35" s="3666" t="str">
        <f t="shared" si="10"/>
        <v/>
      </c>
      <c r="CI35" s="3666" t="str">
        <f t="shared" si="11"/>
        <v/>
      </c>
      <c r="CM35" s="2842">
        <f t="shared" si="12"/>
        <v>0</v>
      </c>
      <c r="CN35" s="2842">
        <f t="shared" si="13"/>
        <v>0</v>
      </c>
      <c r="CO35" s="2842">
        <f t="shared" si="14"/>
        <v>0</v>
      </c>
      <c r="CP35" s="2842">
        <f t="shared" si="16"/>
        <v>0</v>
      </c>
      <c r="CQ35" s="2842">
        <f t="shared" si="17"/>
        <v>0</v>
      </c>
      <c r="CR35" s="2842">
        <f t="shared" si="18"/>
        <v>0</v>
      </c>
      <c r="CS35" s="2842">
        <f t="shared" si="19"/>
        <v>0</v>
      </c>
      <c r="CT35" s="419">
        <f t="shared" si="20"/>
        <v>0</v>
      </c>
      <c r="CU35" s="419">
        <f t="shared" si="15"/>
        <v>0</v>
      </c>
    </row>
    <row r="36" spans="1:99" ht="21">
      <c r="A36" s="2153" t="s">
        <v>2298</v>
      </c>
      <c r="B36" s="3664">
        <f t="shared" si="0"/>
        <v>0</v>
      </c>
      <c r="C36" s="413"/>
      <c r="D36" s="2261"/>
      <c r="E36" s="413"/>
      <c r="F36" s="2261">
        <v>1</v>
      </c>
      <c r="G36" s="2261"/>
      <c r="H36" s="411"/>
      <c r="I36" s="3411"/>
      <c r="J36" s="3430"/>
      <c r="K36" s="2261"/>
      <c r="L36" s="413"/>
      <c r="M36" s="3665"/>
      <c r="N36" s="416"/>
      <c r="O36" s="416"/>
      <c r="P36" s="2261"/>
      <c r="Q36" s="413"/>
      <c r="R36" s="2261"/>
      <c r="S36" s="417" t="str">
        <f t="shared" si="2"/>
        <v/>
      </c>
      <c r="CA36" s="3666" t="str">
        <f t="shared" si="3"/>
        <v/>
      </c>
      <c r="CB36" s="3666" t="str">
        <f t="shared" si="4"/>
        <v/>
      </c>
      <c r="CC36" s="3666" t="str">
        <f t="shared" si="5"/>
        <v/>
      </c>
      <c r="CD36" s="3666" t="str">
        <f t="shared" si="6"/>
        <v/>
      </c>
      <c r="CE36" s="3666" t="str">
        <f t="shared" si="7"/>
        <v/>
      </c>
      <c r="CF36" s="3666" t="str">
        <f t="shared" si="8"/>
        <v/>
      </c>
      <c r="CG36" s="3666" t="str">
        <f t="shared" si="9"/>
        <v/>
      </c>
      <c r="CH36" s="3666" t="str">
        <f t="shared" si="10"/>
        <v/>
      </c>
      <c r="CI36" s="3666" t="str">
        <f t="shared" si="11"/>
        <v/>
      </c>
      <c r="CM36" s="2842">
        <f t="shared" si="12"/>
        <v>0</v>
      </c>
      <c r="CN36" s="2842">
        <f t="shared" si="13"/>
        <v>0</v>
      </c>
      <c r="CO36" s="2842">
        <f t="shared" si="14"/>
        <v>0</v>
      </c>
      <c r="CP36" s="2842">
        <f t="shared" si="16"/>
        <v>0</v>
      </c>
      <c r="CQ36" s="2842">
        <f t="shared" si="17"/>
        <v>0</v>
      </c>
      <c r="CR36" s="2842">
        <f t="shared" si="18"/>
        <v>0</v>
      </c>
      <c r="CS36" s="2842">
        <f t="shared" si="19"/>
        <v>0</v>
      </c>
      <c r="CT36" s="419">
        <f t="shared" si="20"/>
        <v>0</v>
      </c>
      <c r="CU36" s="419">
        <f t="shared" si="15"/>
        <v>0</v>
      </c>
    </row>
    <row r="37" spans="1:99" ht="15" customHeight="1">
      <c r="A37" s="2153" t="s">
        <v>2299</v>
      </c>
      <c r="B37" s="3667">
        <f t="shared" si="0"/>
        <v>0</v>
      </c>
      <c r="C37" s="425"/>
      <c r="D37" s="2231"/>
      <c r="E37" s="425"/>
      <c r="F37" s="2231"/>
      <c r="G37" s="443"/>
      <c r="H37" s="423"/>
      <c r="I37" s="3412"/>
      <c r="J37" s="3372"/>
      <c r="K37" s="2231"/>
      <c r="L37" s="425"/>
      <c r="M37" s="3588"/>
      <c r="N37" s="443"/>
      <c r="O37" s="443"/>
      <c r="P37" s="2231"/>
      <c r="Q37" s="425"/>
      <c r="R37" s="2231"/>
      <c r="S37" s="417" t="str">
        <f t="shared" si="2"/>
        <v/>
      </c>
      <c r="CA37" s="3666" t="str">
        <f t="shared" si="3"/>
        <v/>
      </c>
      <c r="CB37" s="3666" t="str">
        <f t="shared" si="4"/>
        <v/>
      </c>
      <c r="CC37" s="3666" t="str">
        <f t="shared" si="5"/>
        <v/>
      </c>
      <c r="CD37" s="3666" t="str">
        <f t="shared" si="6"/>
        <v/>
      </c>
      <c r="CE37" s="3666" t="str">
        <f t="shared" si="7"/>
        <v/>
      </c>
      <c r="CF37" s="3666" t="str">
        <f t="shared" si="8"/>
        <v/>
      </c>
      <c r="CG37" s="3666" t="str">
        <f t="shared" si="9"/>
        <v/>
      </c>
      <c r="CH37" s="3666" t="str">
        <f t="shared" si="10"/>
        <v/>
      </c>
      <c r="CI37" s="3666" t="str">
        <f t="shared" si="11"/>
        <v/>
      </c>
      <c r="CM37" s="2842">
        <f t="shared" si="12"/>
        <v>0</v>
      </c>
      <c r="CN37" s="2842">
        <f t="shared" si="13"/>
        <v>0</v>
      </c>
      <c r="CO37" s="2842">
        <f t="shared" si="14"/>
        <v>0</v>
      </c>
      <c r="CP37" s="2842">
        <f t="shared" si="16"/>
        <v>0</v>
      </c>
      <c r="CQ37" s="2842">
        <f t="shared" si="17"/>
        <v>0</v>
      </c>
      <c r="CR37" s="2842">
        <f t="shared" si="18"/>
        <v>0</v>
      </c>
      <c r="CS37" s="2842">
        <f t="shared" si="19"/>
        <v>0</v>
      </c>
      <c r="CT37" s="419">
        <f t="shared" si="20"/>
        <v>0</v>
      </c>
      <c r="CU37" s="419">
        <f t="shared" si="15"/>
        <v>0</v>
      </c>
    </row>
    <row r="38" spans="1:99">
      <c r="A38" s="2153" t="s">
        <v>2300</v>
      </c>
      <c r="B38" s="3667">
        <f t="shared" si="0"/>
        <v>2</v>
      </c>
      <c r="C38" s="425"/>
      <c r="D38" s="2231">
        <v>2</v>
      </c>
      <c r="E38" s="425">
        <v>2</v>
      </c>
      <c r="F38" s="2231"/>
      <c r="G38" s="443"/>
      <c r="H38" s="423"/>
      <c r="I38" s="3412"/>
      <c r="J38" s="3372"/>
      <c r="K38" s="2231"/>
      <c r="L38" s="425"/>
      <c r="M38" s="3588"/>
      <c r="N38" s="443"/>
      <c r="O38" s="443"/>
      <c r="P38" s="2231"/>
      <c r="Q38" s="425"/>
      <c r="R38" s="2231"/>
      <c r="S38" s="417" t="str">
        <f t="shared" si="2"/>
        <v>*No olvide digitar el campo TRANS Masculino (Digite CERO si no tiene). *No olvide digitar el campo No Binarie. Digite CERO si no tiene. *No olvide digitar el campo No revelado. Digite CERO si no tiene. *No olvide digitar el campo Pueblos Originarios. Digite CERO si no tiene. *No olvide digitar el campo Migrantes. Digite CERO si no tiene. *No olvide digitar el campo PRAIS. Digite CERO si no tiene. *No olvide digitar el campo N° DE ATENCIONES EN EL MES (Ley Mila). Niños, niñas y adolescentes. Digite CERO si no tiene. *No olvide digitar el campo N° DE ATENCIONES EN EL MES (Ley Mila) Gestantes. Digite CERO si no tiene.</v>
      </c>
      <c r="CA38" s="3666" t="str">
        <f t="shared" si="3"/>
        <v>*No olvide digitar el campo TRANS Masculino (Digite CERO si no tiene).</v>
      </c>
      <c r="CB38" s="3666" t="str">
        <f t="shared" si="4"/>
        <v/>
      </c>
      <c r="CC38" s="3666" t="str">
        <f t="shared" si="5"/>
        <v xml:space="preserve"> *No olvide digitar el campo No Binarie. Digite CERO si no tiene.</v>
      </c>
      <c r="CD38" s="3666" t="str">
        <f t="shared" si="6"/>
        <v xml:space="preserve"> *No olvide digitar el campo No revelado. Digite CERO si no tiene.</v>
      </c>
      <c r="CE38" s="3666" t="str">
        <f t="shared" si="7"/>
        <v xml:space="preserve"> *No olvide digitar el campo Pueblos Originarios. Digite CERO si no tiene.</v>
      </c>
      <c r="CF38" s="3666" t="str">
        <f t="shared" si="8"/>
        <v xml:space="preserve"> *No olvide digitar el campo Migrantes. Digite CERO si no tiene.</v>
      </c>
      <c r="CG38" s="3666" t="str">
        <f t="shared" si="9"/>
        <v xml:space="preserve"> *No olvide digitar el campo PRAIS. Digite CERO si no tiene.</v>
      </c>
      <c r="CH38" s="3666" t="str">
        <f t="shared" si="10"/>
        <v xml:space="preserve"> *No olvide digitar el campo N° DE ATENCIONES EN EL MES (Ley Mila). Niños, niñas y adolescentes. Digite CERO si no tiene.</v>
      </c>
      <c r="CI38" s="3666" t="str">
        <f t="shared" si="11"/>
        <v xml:space="preserve"> *No olvide digitar el campo N° DE ATENCIONES EN EL MES (Ley Mila) Gestantes. Digite CERO si no tiene.</v>
      </c>
      <c r="CM38" s="2842">
        <f t="shared" si="12"/>
        <v>1</v>
      </c>
      <c r="CN38" s="2842">
        <f t="shared" si="13"/>
        <v>0</v>
      </c>
      <c r="CO38" s="2842">
        <f t="shared" si="14"/>
        <v>1</v>
      </c>
      <c r="CP38" s="2842">
        <f t="shared" si="16"/>
        <v>1</v>
      </c>
      <c r="CQ38" s="2842">
        <f t="shared" si="17"/>
        <v>1</v>
      </c>
      <c r="CR38" s="2842">
        <f t="shared" si="18"/>
        <v>1</v>
      </c>
      <c r="CS38" s="2842">
        <f t="shared" si="19"/>
        <v>1</v>
      </c>
      <c r="CT38" s="419">
        <f t="shared" si="20"/>
        <v>1</v>
      </c>
      <c r="CU38" s="419">
        <f t="shared" si="15"/>
        <v>1</v>
      </c>
    </row>
    <row r="39" spans="1:99">
      <c r="A39" s="2153" t="s">
        <v>2301</v>
      </c>
      <c r="B39" s="3667">
        <f t="shared" si="0"/>
        <v>0</v>
      </c>
      <c r="C39" s="425"/>
      <c r="D39" s="2231"/>
      <c r="E39" s="425"/>
      <c r="F39" s="2231"/>
      <c r="G39" s="443"/>
      <c r="H39" s="423"/>
      <c r="I39" s="3412"/>
      <c r="J39" s="3372"/>
      <c r="K39" s="2231"/>
      <c r="L39" s="425"/>
      <c r="M39" s="3588"/>
      <c r="N39" s="443"/>
      <c r="O39" s="443"/>
      <c r="P39" s="2231"/>
      <c r="Q39" s="425"/>
      <c r="R39" s="2231"/>
      <c r="S39" s="417" t="str">
        <f t="shared" si="2"/>
        <v/>
      </c>
      <c r="CA39" s="3666" t="str">
        <f t="shared" si="3"/>
        <v/>
      </c>
      <c r="CB39" s="3666" t="str">
        <f t="shared" si="4"/>
        <v/>
      </c>
      <c r="CC39" s="3666" t="str">
        <f t="shared" si="5"/>
        <v/>
      </c>
      <c r="CD39" s="3666" t="str">
        <f t="shared" si="6"/>
        <v/>
      </c>
      <c r="CE39" s="3666" t="str">
        <f t="shared" si="7"/>
        <v/>
      </c>
      <c r="CF39" s="3666" t="str">
        <f t="shared" si="8"/>
        <v/>
      </c>
      <c r="CG39" s="3666" t="str">
        <f t="shared" si="9"/>
        <v/>
      </c>
      <c r="CH39" s="3666" t="str">
        <f t="shared" si="10"/>
        <v/>
      </c>
      <c r="CI39" s="3666" t="str">
        <f t="shared" si="11"/>
        <v/>
      </c>
      <c r="CM39" s="2842">
        <f t="shared" si="12"/>
        <v>0</v>
      </c>
      <c r="CN39" s="2842">
        <f t="shared" si="13"/>
        <v>0</v>
      </c>
      <c r="CO39" s="2842">
        <f t="shared" si="14"/>
        <v>0</v>
      </c>
      <c r="CP39" s="2842">
        <f t="shared" si="16"/>
        <v>0</v>
      </c>
      <c r="CQ39" s="2842">
        <f t="shared" si="17"/>
        <v>0</v>
      </c>
      <c r="CR39" s="2842">
        <f t="shared" si="18"/>
        <v>0</v>
      </c>
      <c r="CS39" s="2842">
        <f t="shared" si="19"/>
        <v>0</v>
      </c>
      <c r="CT39" s="419">
        <f t="shared" si="20"/>
        <v>0</v>
      </c>
      <c r="CU39" s="419">
        <f t="shared" si="15"/>
        <v>0</v>
      </c>
    </row>
    <row r="40" spans="1:99" ht="21">
      <c r="A40" s="2153" t="s">
        <v>2302</v>
      </c>
      <c r="B40" s="3667">
        <f t="shared" si="0"/>
        <v>3</v>
      </c>
      <c r="C40" s="425"/>
      <c r="D40" s="2231">
        <v>3</v>
      </c>
      <c r="E40" s="425">
        <v>3</v>
      </c>
      <c r="F40" s="2231">
        <v>9</v>
      </c>
      <c r="G40" s="2231"/>
      <c r="H40" s="423"/>
      <c r="I40" s="3412"/>
      <c r="J40" s="3372"/>
      <c r="K40" s="2231"/>
      <c r="L40" s="425"/>
      <c r="M40" s="3588"/>
      <c r="N40" s="443"/>
      <c r="O40" s="443"/>
      <c r="P40" s="2231"/>
      <c r="Q40" s="425"/>
      <c r="R40" s="2231"/>
      <c r="S40" s="417" t="str">
        <f t="shared" si="2"/>
        <v>*No olvide digitar el campo TRANS Masculino (Digite CERO si no tiene). *No olvide digitar el campo No Binarie. Digite CERO si no tiene. *No olvide digitar el campo No revelado. Digite CERO si no tiene. *No olvide digitar el campo Pueblos Originarios. Digite CERO si no tiene. *No olvide digitar el campo Migrantes. Digite CERO si no tiene. *No olvide digitar el campo PRAIS. Digite CERO si no tiene. *No olvide digitar el campo N° DE ATENCIONES EN EL MES (Ley Mila). Niños, niñas y adolescentes. Digite CERO si no tiene. *No olvide digitar el campo N° DE ATENCIONES EN EL MES (Ley Mila) Gestantes. Digite CERO si no tiene.</v>
      </c>
      <c r="CA40" s="3666" t="str">
        <f t="shared" si="3"/>
        <v>*No olvide digitar el campo TRANS Masculino (Digite CERO si no tiene).</v>
      </c>
      <c r="CB40" s="3666" t="str">
        <f t="shared" si="4"/>
        <v/>
      </c>
      <c r="CC40" s="3666" t="str">
        <f t="shared" si="5"/>
        <v xml:space="preserve"> *No olvide digitar el campo No Binarie. Digite CERO si no tiene.</v>
      </c>
      <c r="CD40" s="3666" t="str">
        <f t="shared" si="6"/>
        <v xml:space="preserve"> *No olvide digitar el campo No revelado. Digite CERO si no tiene.</v>
      </c>
      <c r="CE40" s="3666" t="str">
        <f t="shared" si="7"/>
        <v xml:space="preserve"> *No olvide digitar el campo Pueblos Originarios. Digite CERO si no tiene.</v>
      </c>
      <c r="CF40" s="3666" t="str">
        <f t="shared" si="8"/>
        <v xml:space="preserve"> *No olvide digitar el campo Migrantes. Digite CERO si no tiene.</v>
      </c>
      <c r="CG40" s="3666" t="str">
        <f t="shared" si="9"/>
        <v xml:space="preserve"> *No olvide digitar el campo PRAIS. Digite CERO si no tiene.</v>
      </c>
      <c r="CH40" s="3666" t="str">
        <f t="shared" si="10"/>
        <v xml:space="preserve"> *No olvide digitar el campo N° DE ATENCIONES EN EL MES (Ley Mila). Niños, niñas y adolescentes. Digite CERO si no tiene.</v>
      </c>
      <c r="CI40" s="3666" t="str">
        <f t="shared" si="11"/>
        <v xml:space="preserve"> *No olvide digitar el campo N° DE ATENCIONES EN EL MES (Ley Mila) Gestantes. Digite CERO si no tiene.</v>
      </c>
      <c r="CM40" s="2842">
        <f t="shared" si="12"/>
        <v>1</v>
      </c>
      <c r="CN40" s="2842">
        <f t="shared" si="13"/>
        <v>0</v>
      </c>
      <c r="CO40" s="2842">
        <f t="shared" si="14"/>
        <v>1</v>
      </c>
      <c r="CP40" s="2842">
        <f t="shared" si="16"/>
        <v>1</v>
      </c>
      <c r="CQ40" s="2842">
        <f t="shared" si="17"/>
        <v>1</v>
      </c>
      <c r="CR40" s="2842">
        <f t="shared" si="18"/>
        <v>1</v>
      </c>
      <c r="CS40" s="2842">
        <f t="shared" si="19"/>
        <v>1</v>
      </c>
      <c r="CT40" s="419">
        <f t="shared" si="20"/>
        <v>1</v>
      </c>
      <c r="CU40" s="419">
        <f t="shared" si="15"/>
        <v>1</v>
      </c>
    </row>
    <row r="41" spans="1:99">
      <c r="A41" s="2153" t="s">
        <v>2303</v>
      </c>
      <c r="B41" s="3667">
        <f t="shared" si="0"/>
        <v>4</v>
      </c>
      <c r="C41" s="425">
        <v>1</v>
      </c>
      <c r="D41" s="2231">
        <v>3</v>
      </c>
      <c r="E41" s="425">
        <v>4</v>
      </c>
      <c r="F41" s="2231">
        <v>6</v>
      </c>
      <c r="G41" s="2231"/>
      <c r="H41" s="423"/>
      <c r="I41" s="3412"/>
      <c r="J41" s="3372"/>
      <c r="K41" s="2231"/>
      <c r="L41" s="425"/>
      <c r="M41" s="3588"/>
      <c r="N41" s="443"/>
      <c r="O41" s="443"/>
      <c r="P41" s="2231"/>
      <c r="Q41" s="425"/>
      <c r="R41" s="2231"/>
      <c r="S41" s="417" t="str">
        <f t="shared" si="2"/>
        <v>*No olvide digitar el campo TRANS Masculino (Digite CERO si no tiene). *No olvide digitar el campo TRANS Femenino (Digite CERO si no tiene). *No olvide digitar el campo No Binarie. Digite CERO si no tiene. *No olvide digitar el campo No revelado. Digite CERO si no tiene. *No olvide digitar el campo Pueblos Originarios. Digite CERO si no tiene. *No olvide digitar el campo Migrantes. Digite CERO si no tiene. *No olvide digitar el campo PRAIS. Digite CERO si no tiene. *No olvide digitar el campo N° DE ATENCIONES EN EL MES (Ley Mila). Niños, niñas y adolescentes. Digite CERO si no tiene. *No olvide digitar el campo N° DE ATENCIONES EN EL MES (Ley Mila) Gestantes. Digite CERO si no tiene.</v>
      </c>
      <c r="CA41" s="3666" t="str">
        <f t="shared" si="3"/>
        <v>*No olvide digitar el campo TRANS Masculino (Digite CERO si no tiene).</v>
      </c>
      <c r="CB41" s="3666" t="str">
        <f t="shared" si="4"/>
        <v xml:space="preserve"> *No olvide digitar el campo TRANS Femenino (Digite CERO si no tiene).</v>
      </c>
      <c r="CC41" s="3666" t="str">
        <f t="shared" si="5"/>
        <v xml:space="preserve"> *No olvide digitar el campo No Binarie. Digite CERO si no tiene.</v>
      </c>
      <c r="CD41" s="3666" t="str">
        <f t="shared" si="6"/>
        <v xml:space="preserve"> *No olvide digitar el campo No revelado. Digite CERO si no tiene.</v>
      </c>
      <c r="CE41" s="3666" t="str">
        <f t="shared" si="7"/>
        <v xml:space="preserve"> *No olvide digitar el campo Pueblos Originarios. Digite CERO si no tiene.</v>
      </c>
      <c r="CF41" s="3666" t="str">
        <f t="shared" si="8"/>
        <v xml:space="preserve"> *No olvide digitar el campo Migrantes. Digite CERO si no tiene.</v>
      </c>
      <c r="CG41" s="3666" t="str">
        <f t="shared" si="9"/>
        <v xml:space="preserve"> *No olvide digitar el campo PRAIS. Digite CERO si no tiene.</v>
      </c>
      <c r="CH41" s="3666" t="str">
        <f t="shared" si="10"/>
        <v xml:space="preserve"> *No olvide digitar el campo N° DE ATENCIONES EN EL MES (Ley Mila). Niños, niñas y adolescentes. Digite CERO si no tiene.</v>
      </c>
      <c r="CI41" s="3666" t="str">
        <f t="shared" si="11"/>
        <v xml:space="preserve"> *No olvide digitar el campo N° DE ATENCIONES EN EL MES (Ley Mila) Gestantes. Digite CERO si no tiene.</v>
      </c>
      <c r="CM41" s="2842">
        <f t="shared" si="12"/>
        <v>1</v>
      </c>
      <c r="CN41" s="2842">
        <f t="shared" si="13"/>
        <v>1</v>
      </c>
      <c r="CO41" s="2842">
        <f t="shared" si="14"/>
        <v>1</v>
      </c>
      <c r="CP41" s="2842">
        <f t="shared" si="16"/>
        <v>1</v>
      </c>
      <c r="CQ41" s="2842">
        <f t="shared" si="17"/>
        <v>1</v>
      </c>
      <c r="CR41" s="2842">
        <f t="shared" si="18"/>
        <v>1</v>
      </c>
      <c r="CS41" s="2842">
        <f t="shared" si="19"/>
        <v>1</v>
      </c>
      <c r="CT41" s="419">
        <f t="shared" si="20"/>
        <v>1</v>
      </c>
      <c r="CU41" s="419">
        <f t="shared" si="15"/>
        <v>1</v>
      </c>
    </row>
    <row r="42" spans="1:99" ht="21">
      <c r="A42" s="2153" t="s">
        <v>2304</v>
      </c>
      <c r="B42" s="3667">
        <f t="shared" si="0"/>
        <v>0</v>
      </c>
      <c r="C42" s="425"/>
      <c r="D42" s="2231"/>
      <c r="E42" s="425"/>
      <c r="F42" s="2231"/>
      <c r="G42" s="2231"/>
      <c r="H42" s="423"/>
      <c r="I42" s="3412"/>
      <c r="J42" s="3372"/>
      <c r="K42" s="2231"/>
      <c r="L42" s="425"/>
      <c r="M42" s="3588"/>
      <c r="N42" s="443"/>
      <c r="O42" s="443"/>
      <c r="P42" s="2231"/>
      <c r="Q42" s="425"/>
      <c r="R42" s="2231"/>
      <c r="S42" s="417" t="str">
        <f t="shared" si="2"/>
        <v/>
      </c>
      <c r="CA42" s="3666" t="str">
        <f t="shared" si="3"/>
        <v/>
      </c>
      <c r="CB42" s="3666" t="str">
        <f t="shared" si="4"/>
        <v/>
      </c>
      <c r="CC42" s="3666" t="str">
        <f t="shared" si="5"/>
        <v/>
      </c>
      <c r="CD42" s="3666" t="str">
        <f t="shared" si="6"/>
        <v/>
      </c>
      <c r="CE42" s="3666" t="str">
        <f t="shared" si="7"/>
        <v/>
      </c>
      <c r="CF42" s="3666" t="str">
        <f t="shared" si="8"/>
        <v/>
      </c>
      <c r="CG42" s="3666" t="str">
        <f t="shared" si="9"/>
        <v/>
      </c>
      <c r="CH42" s="3666" t="str">
        <f t="shared" si="10"/>
        <v/>
      </c>
      <c r="CI42" s="3666" t="str">
        <f t="shared" si="11"/>
        <v/>
      </c>
      <c r="CM42" s="2842">
        <f t="shared" si="12"/>
        <v>0</v>
      </c>
      <c r="CN42" s="2842">
        <f t="shared" si="13"/>
        <v>0</v>
      </c>
      <c r="CO42" s="2842">
        <f t="shared" si="14"/>
        <v>0</v>
      </c>
      <c r="CP42" s="2842">
        <f t="shared" si="16"/>
        <v>0</v>
      </c>
      <c r="CQ42" s="2842">
        <f t="shared" si="17"/>
        <v>0</v>
      </c>
      <c r="CR42" s="2842">
        <f t="shared" si="18"/>
        <v>0</v>
      </c>
      <c r="CS42" s="2842">
        <f t="shared" si="19"/>
        <v>0</v>
      </c>
      <c r="CT42" s="419">
        <f t="shared" si="20"/>
        <v>0</v>
      </c>
      <c r="CU42" s="419">
        <f t="shared" si="15"/>
        <v>0</v>
      </c>
    </row>
    <row r="43" spans="1:99">
      <c r="A43" s="458" t="s">
        <v>2305</v>
      </c>
      <c r="B43" s="3652">
        <f t="shared" si="0"/>
        <v>0</v>
      </c>
      <c r="C43" s="432"/>
      <c r="D43" s="2235"/>
      <c r="E43" s="432"/>
      <c r="F43" s="2235">
        <v>1</v>
      </c>
      <c r="G43" s="2235"/>
      <c r="H43" s="3385"/>
      <c r="I43" s="445"/>
      <c r="J43" s="3386"/>
      <c r="K43" s="2235"/>
      <c r="L43" s="432"/>
      <c r="M43" s="3443"/>
      <c r="N43" s="438"/>
      <c r="O43" s="438"/>
      <c r="P43" s="2235"/>
      <c r="Q43" s="432"/>
      <c r="R43" s="2235"/>
      <c r="S43" s="417" t="str">
        <f t="shared" si="2"/>
        <v/>
      </c>
      <c r="CA43" s="3666" t="str">
        <f t="shared" si="3"/>
        <v/>
      </c>
      <c r="CB43" s="3666" t="str">
        <f t="shared" si="4"/>
        <v/>
      </c>
      <c r="CC43" s="3666" t="str">
        <f t="shared" si="5"/>
        <v/>
      </c>
      <c r="CD43" s="3666" t="str">
        <f t="shared" si="6"/>
        <v/>
      </c>
      <c r="CE43" s="3666" t="str">
        <f t="shared" si="7"/>
        <v/>
      </c>
      <c r="CF43" s="3666" t="str">
        <f t="shared" si="8"/>
        <v/>
      </c>
      <c r="CG43" s="3666" t="str">
        <f t="shared" si="9"/>
        <v/>
      </c>
      <c r="CH43" s="3666" t="str">
        <f t="shared" si="10"/>
        <v/>
      </c>
      <c r="CI43" s="3666" t="str">
        <f t="shared" si="11"/>
        <v/>
      </c>
      <c r="CM43" s="2842">
        <f t="shared" si="12"/>
        <v>0</v>
      </c>
      <c r="CN43" s="2842">
        <f t="shared" si="13"/>
        <v>0</v>
      </c>
      <c r="CO43" s="2842">
        <f t="shared" si="14"/>
        <v>0</v>
      </c>
      <c r="CP43" s="2842">
        <f t="shared" si="16"/>
        <v>0</v>
      </c>
      <c r="CQ43" s="2842">
        <f t="shared" si="17"/>
        <v>0</v>
      </c>
      <c r="CR43" s="2842">
        <f t="shared" si="18"/>
        <v>0</v>
      </c>
      <c r="CS43" s="2842">
        <f t="shared" si="19"/>
        <v>0</v>
      </c>
      <c r="CT43" s="419">
        <f t="shared" si="20"/>
        <v>0</v>
      </c>
      <c r="CU43" s="419">
        <f t="shared" si="15"/>
        <v>0</v>
      </c>
    </row>
    <row r="44" spans="1:99">
      <c r="A44" s="3014" t="s">
        <v>2306</v>
      </c>
      <c r="B44" s="3664">
        <f t="shared" si="0"/>
        <v>0</v>
      </c>
      <c r="C44" s="413"/>
      <c r="D44" s="2261"/>
      <c r="E44" s="413"/>
      <c r="F44" s="2261"/>
      <c r="G44" s="2261"/>
      <c r="H44" s="411"/>
      <c r="I44" s="414"/>
      <c r="J44" s="3430"/>
      <c r="K44" s="2261"/>
      <c r="L44" s="413"/>
      <c r="M44" s="3665"/>
      <c r="N44" s="416"/>
      <c r="O44" s="416"/>
      <c r="P44" s="2261"/>
      <c r="Q44" s="413"/>
      <c r="R44" s="2261"/>
      <c r="S44" s="417" t="str">
        <f t="shared" si="2"/>
        <v/>
      </c>
      <c r="CA44" s="3666" t="str">
        <f t="shared" si="3"/>
        <v/>
      </c>
      <c r="CB44" s="3666" t="str">
        <f t="shared" si="4"/>
        <v/>
      </c>
      <c r="CC44" s="3666" t="str">
        <f t="shared" si="5"/>
        <v/>
      </c>
      <c r="CD44" s="3666" t="str">
        <f t="shared" si="6"/>
        <v/>
      </c>
      <c r="CE44" s="3666" t="str">
        <f t="shared" si="7"/>
        <v/>
      </c>
      <c r="CF44" s="3666" t="str">
        <f t="shared" si="8"/>
        <v/>
      </c>
      <c r="CG44" s="3666" t="str">
        <f t="shared" si="9"/>
        <v/>
      </c>
      <c r="CH44" s="3666" t="str">
        <f t="shared" si="10"/>
        <v/>
      </c>
      <c r="CI44" s="3666" t="str">
        <f t="shared" si="11"/>
        <v/>
      </c>
      <c r="CM44" s="2842">
        <f t="shared" si="12"/>
        <v>0</v>
      </c>
      <c r="CN44" s="2842">
        <f t="shared" si="13"/>
        <v>0</v>
      </c>
      <c r="CO44" s="2842">
        <f t="shared" si="14"/>
        <v>0</v>
      </c>
      <c r="CP44" s="2842">
        <f t="shared" si="16"/>
        <v>0</v>
      </c>
      <c r="CQ44" s="2842">
        <f t="shared" si="17"/>
        <v>0</v>
      </c>
      <c r="CR44" s="2842">
        <f t="shared" si="18"/>
        <v>0</v>
      </c>
      <c r="CS44" s="2842">
        <f t="shared" si="19"/>
        <v>0</v>
      </c>
      <c r="CT44" s="419">
        <f t="shared" si="20"/>
        <v>0</v>
      </c>
      <c r="CU44" s="419">
        <f t="shared" si="15"/>
        <v>0</v>
      </c>
    </row>
    <row r="45" spans="1:99">
      <c r="A45" s="1878" t="s">
        <v>2307</v>
      </c>
      <c r="B45" s="3667">
        <f t="shared" si="0"/>
        <v>0</v>
      </c>
      <c r="C45" s="425"/>
      <c r="D45" s="2231"/>
      <c r="E45" s="425"/>
      <c r="F45" s="2231">
        <v>1</v>
      </c>
      <c r="G45" s="2231"/>
      <c r="H45" s="423"/>
      <c r="I45" s="426"/>
      <c r="J45" s="3372"/>
      <c r="K45" s="2231"/>
      <c r="L45" s="425"/>
      <c r="M45" s="3588"/>
      <c r="N45" s="443"/>
      <c r="O45" s="443"/>
      <c r="P45" s="2231"/>
      <c r="Q45" s="425"/>
      <c r="R45" s="2231"/>
      <c r="S45" s="417" t="str">
        <f t="shared" si="2"/>
        <v/>
      </c>
      <c r="CA45" s="3666" t="str">
        <f t="shared" si="3"/>
        <v/>
      </c>
      <c r="CB45" s="3666" t="str">
        <f t="shared" si="4"/>
        <v/>
      </c>
      <c r="CC45" s="3666" t="str">
        <f t="shared" si="5"/>
        <v/>
      </c>
      <c r="CD45" s="3666" t="str">
        <f t="shared" si="6"/>
        <v/>
      </c>
      <c r="CE45" s="3666" t="str">
        <f t="shared" si="7"/>
        <v/>
      </c>
      <c r="CF45" s="3666" t="str">
        <f t="shared" si="8"/>
        <v/>
      </c>
      <c r="CG45" s="3666" t="str">
        <f t="shared" si="9"/>
        <v/>
      </c>
      <c r="CH45" s="3666" t="str">
        <f t="shared" si="10"/>
        <v/>
      </c>
      <c r="CI45" s="3666" t="str">
        <f t="shared" si="11"/>
        <v/>
      </c>
      <c r="CM45" s="2842">
        <f t="shared" si="12"/>
        <v>0</v>
      </c>
      <c r="CN45" s="2842">
        <f t="shared" si="13"/>
        <v>0</v>
      </c>
      <c r="CO45" s="2842">
        <f t="shared" si="14"/>
        <v>0</v>
      </c>
      <c r="CP45" s="2842">
        <f t="shared" si="16"/>
        <v>0</v>
      </c>
      <c r="CQ45" s="2842">
        <f t="shared" si="17"/>
        <v>0</v>
      </c>
      <c r="CR45" s="2842">
        <f t="shared" si="18"/>
        <v>0</v>
      </c>
      <c r="CS45" s="2842">
        <f t="shared" si="19"/>
        <v>0</v>
      </c>
      <c r="CT45" s="419">
        <f t="shared" si="20"/>
        <v>0</v>
      </c>
      <c r="CU45" s="419">
        <f t="shared" si="15"/>
        <v>0</v>
      </c>
    </row>
    <row r="46" spans="1:99">
      <c r="A46" s="1878" t="s">
        <v>2308</v>
      </c>
      <c r="B46" s="3667">
        <f t="shared" si="0"/>
        <v>0</v>
      </c>
      <c r="C46" s="425"/>
      <c r="D46" s="2231"/>
      <c r="E46" s="425"/>
      <c r="F46" s="2231"/>
      <c r="G46" s="2231"/>
      <c r="H46" s="423"/>
      <c r="I46" s="426"/>
      <c r="J46" s="3372"/>
      <c r="K46" s="2231"/>
      <c r="L46" s="425"/>
      <c r="M46" s="3588"/>
      <c r="N46" s="443"/>
      <c r="O46" s="443"/>
      <c r="P46" s="2231"/>
      <c r="Q46" s="425"/>
      <c r="R46" s="2231"/>
      <c r="S46" s="417" t="str">
        <f t="shared" si="2"/>
        <v/>
      </c>
      <c r="CA46" s="3666" t="str">
        <f t="shared" si="3"/>
        <v/>
      </c>
      <c r="CB46" s="3666" t="str">
        <f t="shared" si="4"/>
        <v/>
      </c>
      <c r="CC46" s="3666" t="str">
        <f t="shared" si="5"/>
        <v/>
      </c>
      <c r="CD46" s="3666" t="str">
        <f t="shared" si="6"/>
        <v/>
      </c>
      <c r="CE46" s="3666" t="str">
        <f t="shared" si="7"/>
        <v/>
      </c>
      <c r="CF46" s="3666" t="str">
        <f t="shared" si="8"/>
        <v/>
      </c>
      <c r="CG46" s="3666" t="str">
        <f t="shared" si="9"/>
        <v/>
      </c>
      <c r="CH46" s="3666" t="str">
        <f t="shared" si="10"/>
        <v/>
      </c>
      <c r="CI46" s="3666" t="str">
        <f t="shared" si="11"/>
        <v/>
      </c>
      <c r="CM46" s="2842">
        <f t="shared" si="12"/>
        <v>0</v>
      </c>
      <c r="CN46" s="2842">
        <f t="shared" si="13"/>
        <v>0</v>
      </c>
      <c r="CO46" s="2842">
        <f t="shared" si="14"/>
        <v>0</v>
      </c>
      <c r="CP46" s="2842">
        <f t="shared" si="16"/>
        <v>0</v>
      </c>
      <c r="CQ46" s="2842">
        <f t="shared" si="17"/>
        <v>0</v>
      </c>
      <c r="CR46" s="2842">
        <f t="shared" si="18"/>
        <v>0</v>
      </c>
      <c r="CS46" s="2842">
        <f t="shared" si="19"/>
        <v>0</v>
      </c>
      <c r="CT46" s="419">
        <f t="shared" si="20"/>
        <v>0</v>
      </c>
      <c r="CU46" s="419">
        <f t="shared" si="15"/>
        <v>0</v>
      </c>
    </row>
    <row r="47" spans="1:99">
      <c r="A47" s="1878" t="s">
        <v>2309</v>
      </c>
      <c r="B47" s="3667">
        <f t="shared" si="0"/>
        <v>0</v>
      </c>
      <c r="C47" s="425"/>
      <c r="D47" s="2231"/>
      <c r="E47" s="425"/>
      <c r="F47" s="2231"/>
      <c r="G47" s="2231"/>
      <c r="H47" s="423"/>
      <c r="I47" s="426"/>
      <c r="J47" s="3372"/>
      <c r="K47" s="2231"/>
      <c r="L47" s="425"/>
      <c r="M47" s="3588"/>
      <c r="N47" s="443"/>
      <c r="O47" s="443"/>
      <c r="P47" s="2231"/>
      <c r="Q47" s="425"/>
      <c r="R47" s="2231"/>
      <c r="S47" s="417" t="str">
        <f t="shared" si="2"/>
        <v/>
      </c>
      <c r="CA47" s="3666" t="str">
        <f t="shared" si="3"/>
        <v/>
      </c>
      <c r="CB47" s="3666" t="str">
        <f t="shared" si="4"/>
        <v/>
      </c>
      <c r="CC47" s="3666" t="str">
        <f t="shared" si="5"/>
        <v/>
      </c>
      <c r="CD47" s="3666" t="str">
        <f t="shared" si="6"/>
        <v/>
      </c>
      <c r="CE47" s="3666" t="str">
        <f t="shared" si="7"/>
        <v/>
      </c>
      <c r="CF47" s="3666" t="str">
        <f t="shared" si="8"/>
        <v/>
      </c>
      <c r="CG47" s="3666" t="str">
        <f t="shared" si="9"/>
        <v/>
      </c>
      <c r="CH47" s="3666" t="str">
        <f t="shared" si="10"/>
        <v/>
      </c>
      <c r="CI47" s="3666" t="str">
        <f t="shared" si="11"/>
        <v/>
      </c>
      <c r="CM47" s="2842">
        <f t="shared" si="12"/>
        <v>0</v>
      </c>
      <c r="CN47" s="2842">
        <f t="shared" si="13"/>
        <v>0</v>
      </c>
      <c r="CO47" s="2842">
        <f t="shared" si="14"/>
        <v>0</v>
      </c>
      <c r="CP47" s="2842">
        <f t="shared" si="16"/>
        <v>0</v>
      </c>
      <c r="CQ47" s="2842">
        <f t="shared" si="17"/>
        <v>0</v>
      </c>
      <c r="CR47" s="2842">
        <f t="shared" si="18"/>
        <v>0</v>
      </c>
      <c r="CS47" s="2842">
        <f t="shared" si="19"/>
        <v>0</v>
      </c>
      <c r="CT47" s="419">
        <f t="shared" si="20"/>
        <v>0</v>
      </c>
      <c r="CU47" s="419">
        <f t="shared" si="15"/>
        <v>0</v>
      </c>
    </row>
    <row r="48" spans="1:99">
      <c r="A48" s="2237" t="s">
        <v>2310</v>
      </c>
      <c r="B48" s="3517">
        <f t="shared" si="0"/>
        <v>0</v>
      </c>
      <c r="C48" s="425"/>
      <c r="D48" s="2231"/>
      <c r="E48" s="425"/>
      <c r="F48" s="2231"/>
      <c r="G48" s="2231"/>
      <c r="H48" s="423"/>
      <c r="I48" s="426"/>
      <c r="J48" s="3372"/>
      <c r="K48" s="2231"/>
      <c r="L48" s="425"/>
      <c r="M48" s="3588"/>
      <c r="N48" s="443"/>
      <c r="O48" s="443"/>
      <c r="P48" s="2231"/>
      <c r="Q48" s="425"/>
      <c r="R48" s="2231"/>
      <c r="S48" s="417" t="str">
        <f t="shared" si="2"/>
        <v/>
      </c>
      <c r="CA48" s="3666" t="str">
        <f t="shared" si="3"/>
        <v/>
      </c>
      <c r="CB48" s="3666" t="str">
        <f t="shared" si="4"/>
        <v/>
      </c>
      <c r="CC48" s="3666" t="str">
        <f t="shared" si="5"/>
        <v/>
      </c>
      <c r="CD48" s="3666" t="str">
        <f t="shared" si="6"/>
        <v/>
      </c>
      <c r="CE48" s="3666" t="str">
        <f t="shared" si="7"/>
        <v/>
      </c>
      <c r="CF48" s="3666" t="str">
        <f t="shared" si="8"/>
        <v/>
      </c>
      <c r="CG48" s="3666" t="str">
        <f t="shared" si="9"/>
        <v/>
      </c>
      <c r="CH48" s="3666" t="str">
        <f t="shared" si="10"/>
        <v/>
      </c>
      <c r="CI48" s="3666" t="str">
        <f t="shared" si="11"/>
        <v/>
      </c>
      <c r="CM48" s="2842">
        <f t="shared" si="12"/>
        <v>0</v>
      </c>
      <c r="CN48" s="2842">
        <f t="shared" si="13"/>
        <v>0</v>
      </c>
      <c r="CO48" s="2842">
        <f t="shared" si="14"/>
        <v>0</v>
      </c>
      <c r="CP48" s="2842">
        <f t="shared" si="16"/>
        <v>0</v>
      </c>
      <c r="CQ48" s="2842">
        <f t="shared" si="17"/>
        <v>0</v>
      </c>
      <c r="CR48" s="2842">
        <f t="shared" si="18"/>
        <v>0</v>
      </c>
      <c r="CS48" s="2842">
        <f t="shared" si="19"/>
        <v>0</v>
      </c>
      <c r="CT48" s="419">
        <f t="shared" si="20"/>
        <v>0</v>
      </c>
      <c r="CU48" s="419">
        <f t="shared" si="15"/>
        <v>0</v>
      </c>
    </row>
    <row r="49" spans="1:99">
      <c r="A49" s="2237" t="s">
        <v>2311</v>
      </c>
      <c r="B49" s="3667">
        <f t="shared" si="0"/>
        <v>0</v>
      </c>
      <c r="C49" s="413"/>
      <c r="D49" s="2261"/>
      <c r="E49" s="413"/>
      <c r="F49" s="2261"/>
      <c r="G49" s="2261"/>
      <c r="H49" s="411"/>
      <c r="I49" s="414"/>
      <c r="J49" s="3430"/>
      <c r="K49" s="2261"/>
      <c r="L49" s="413"/>
      <c r="M49" s="3665"/>
      <c r="N49" s="416"/>
      <c r="O49" s="416"/>
      <c r="P49" s="2261"/>
      <c r="Q49" s="413"/>
      <c r="R49" s="2261"/>
      <c r="S49" s="417" t="str">
        <f t="shared" si="2"/>
        <v/>
      </c>
      <c r="CA49" s="3666" t="str">
        <f t="shared" si="3"/>
        <v/>
      </c>
      <c r="CB49" s="3666" t="str">
        <f t="shared" si="4"/>
        <v/>
      </c>
      <c r="CC49" s="3666" t="str">
        <f t="shared" si="5"/>
        <v/>
      </c>
      <c r="CD49" s="3666" t="str">
        <f t="shared" si="6"/>
        <v/>
      </c>
      <c r="CE49" s="3666" t="str">
        <f t="shared" si="7"/>
        <v/>
      </c>
      <c r="CF49" s="3666" t="str">
        <f t="shared" si="8"/>
        <v/>
      </c>
      <c r="CG49" s="3666" t="str">
        <f t="shared" si="9"/>
        <v/>
      </c>
      <c r="CH49" s="3666" t="str">
        <f t="shared" si="10"/>
        <v/>
      </c>
      <c r="CI49" s="3666" t="str">
        <f t="shared" si="11"/>
        <v/>
      </c>
      <c r="CM49" s="2842">
        <f t="shared" si="12"/>
        <v>0</v>
      </c>
      <c r="CN49" s="2842">
        <f t="shared" si="13"/>
        <v>0</v>
      </c>
      <c r="CO49" s="2842">
        <f t="shared" si="14"/>
        <v>0</v>
      </c>
      <c r="CP49" s="2842">
        <f t="shared" si="16"/>
        <v>0</v>
      </c>
      <c r="CQ49" s="2842">
        <f t="shared" si="17"/>
        <v>0</v>
      </c>
      <c r="CR49" s="2842">
        <f t="shared" si="18"/>
        <v>0</v>
      </c>
      <c r="CS49" s="2842">
        <f t="shared" si="19"/>
        <v>0</v>
      </c>
      <c r="CT49" s="419">
        <f t="shared" si="20"/>
        <v>0</v>
      </c>
      <c r="CU49" s="419">
        <f t="shared" si="15"/>
        <v>0</v>
      </c>
    </row>
    <row r="50" spans="1:99">
      <c r="A50" s="1878" t="s">
        <v>2312</v>
      </c>
      <c r="B50" s="3664">
        <f t="shared" si="0"/>
        <v>0</v>
      </c>
      <c r="C50" s="413"/>
      <c r="D50" s="2261"/>
      <c r="E50" s="413"/>
      <c r="F50" s="2261"/>
      <c r="G50" s="2261"/>
      <c r="H50" s="411"/>
      <c r="I50" s="414"/>
      <c r="J50" s="3430"/>
      <c r="K50" s="2261"/>
      <c r="L50" s="413"/>
      <c r="M50" s="3665"/>
      <c r="N50" s="416"/>
      <c r="O50" s="416"/>
      <c r="P50" s="2261"/>
      <c r="Q50" s="413"/>
      <c r="R50" s="2261"/>
      <c r="S50" s="417" t="str">
        <f t="shared" si="2"/>
        <v/>
      </c>
      <c r="CA50" s="3666" t="str">
        <f t="shared" si="3"/>
        <v/>
      </c>
      <c r="CB50" s="3666" t="str">
        <f t="shared" si="4"/>
        <v/>
      </c>
      <c r="CC50" s="3666" t="str">
        <f t="shared" si="5"/>
        <v/>
      </c>
      <c r="CD50" s="3666" t="str">
        <f t="shared" si="6"/>
        <v/>
      </c>
      <c r="CE50" s="3666" t="str">
        <f t="shared" si="7"/>
        <v/>
      </c>
      <c r="CF50" s="3666" t="str">
        <f t="shared" si="8"/>
        <v/>
      </c>
      <c r="CG50" s="3666" t="str">
        <f t="shared" si="9"/>
        <v/>
      </c>
      <c r="CH50" s="3666" t="str">
        <f t="shared" si="10"/>
        <v/>
      </c>
      <c r="CI50" s="3666" t="str">
        <f t="shared" si="11"/>
        <v/>
      </c>
      <c r="CM50" s="2842">
        <f t="shared" si="12"/>
        <v>0</v>
      </c>
      <c r="CN50" s="2842">
        <f t="shared" si="13"/>
        <v>0</v>
      </c>
      <c r="CO50" s="2842">
        <f t="shared" si="14"/>
        <v>0</v>
      </c>
      <c r="CP50" s="2842">
        <f t="shared" si="16"/>
        <v>0</v>
      </c>
      <c r="CQ50" s="2842">
        <f t="shared" si="17"/>
        <v>0</v>
      </c>
      <c r="CR50" s="2842">
        <f t="shared" si="18"/>
        <v>0</v>
      </c>
      <c r="CS50" s="2842">
        <f t="shared" si="19"/>
        <v>0</v>
      </c>
      <c r="CT50" s="419">
        <f t="shared" si="20"/>
        <v>0</v>
      </c>
      <c r="CU50" s="419">
        <f t="shared" si="15"/>
        <v>0</v>
      </c>
    </row>
    <row r="51" spans="1:99">
      <c r="A51" s="1506" t="s">
        <v>2313</v>
      </c>
      <c r="B51" s="3518">
        <f t="shared" si="0"/>
        <v>0</v>
      </c>
      <c r="C51" s="432"/>
      <c r="D51" s="2235"/>
      <c r="E51" s="432"/>
      <c r="F51" s="2235"/>
      <c r="G51" s="2235"/>
      <c r="H51" s="3385"/>
      <c r="I51" s="445"/>
      <c r="J51" s="3386"/>
      <c r="K51" s="2235"/>
      <c r="L51" s="432"/>
      <c r="M51" s="3443"/>
      <c r="N51" s="438"/>
      <c r="O51" s="438"/>
      <c r="P51" s="2235"/>
      <c r="Q51" s="432"/>
      <c r="R51" s="2235"/>
      <c r="S51" s="417" t="str">
        <f t="shared" si="2"/>
        <v/>
      </c>
      <c r="CA51" s="3666" t="str">
        <f t="shared" si="3"/>
        <v/>
      </c>
      <c r="CB51" s="3666" t="str">
        <f t="shared" si="4"/>
        <v/>
      </c>
      <c r="CC51" s="3666" t="str">
        <f t="shared" si="5"/>
        <v/>
      </c>
      <c r="CD51" s="3666" t="str">
        <f t="shared" si="6"/>
        <v/>
      </c>
      <c r="CE51" s="3666" t="str">
        <f t="shared" si="7"/>
        <v/>
      </c>
      <c r="CF51" s="3666" t="str">
        <f t="shared" si="8"/>
        <v/>
      </c>
      <c r="CG51" s="3666" t="str">
        <f t="shared" si="9"/>
        <v/>
      </c>
      <c r="CH51" s="3666" t="str">
        <f t="shared" si="10"/>
        <v/>
      </c>
      <c r="CI51" s="3666" t="str">
        <f t="shared" si="11"/>
        <v/>
      </c>
      <c r="CM51" s="2842">
        <f t="shared" si="12"/>
        <v>0</v>
      </c>
      <c r="CN51" s="2842">
        <f t="shared" si="13"/>
        <v>0</v>
      </c>
      <c r="CO51" s="2842">
        <f t="shared" si="14"/>
        <v>0</v>
      </c>
      <c r="CP51" s="2842">
        <f t="shared" si="16"/>
        <v>0</v>
      </c>
      <c r="CQ51" s="2842">
        <f t="shared" si="17"/>
        <v>0</v>
      </c>
      <c r="CR51" s="2842">
        <f t="shared" si="18"/>
        <v>0</v>
      </c>
      <c r="CS51" s="2842">
        <f t="shared" si="19"/>
        <v>0</v>
      </c>
      <c r="CT51" s="419">
        <f t="shared" si="20"/>
        <v>0</v>
      </c>
      <c r="CU51" s="419">
        <f t="shared" si="15"/>
        <v>0</v>
      </c>
    </row>
    <row r="52" spans="1:99">
      <c r="A52" s="391" t="s">
        <v>2314</v>
      </c>
      <c r="B52" s="3659">
        <f>SUM(B53:B57)</f>
        <v>14088</v>
      </c>
      <c r="C52" s="3659">
        <f>SUM(C53:C57)</f>
        <v>5437</v>
      </c>
      <c r="D52" s="3660">
        <f>SUM(D53:D57)</f>
        <v>8651</v>
      </c>
      <c r="E52" s="3659"/>
      <c r="F52" s="3660"/>
      <c r="G52" s="3663"/>
      <c r="H52" s="3668"/>
      <c r="I52" s="3661"/>
      <c r="J52" s="3057">
        <f>SUM(J53:J57)</f>
        <v>0</v>
      </c>
      <c r="K52" s="3663">
        <f>SUM(K53:K57)</f>
        <v>0</v>
      </c>
      <c r="L52" s="3669">
        <f>SUM(L53:L57)</f>
        <v>0</v>
      </c>
      <c r="M52" s="3670">
        <f t="shared" ref="M52:R52" si="21">SUM(M53:M57)</f>
        <v>0</v>
      </c>
      <c r="N52" s="3663">
        <f t="shared" si="21"/>
        <v>0</v>
      </c>
      <c r="O52" s="3663">
        <f t="shared" si="21"/>
        <v>0</v>
      </c>
      <c r="P52" s="3057">
        <f t="shared" si="21"/>
        <v>0</v>
      </c>
      <c r="Q52" s="3669">
        <f t="shared" si="21"/>
        <v>0</v>
      </c>
      <c r="R52" s="3660">
        <f t="shared" si="21"/>
        <v>0</v>
      </c>
      <c r="S52" s="417"/>
      <c r="CA52" s="3671"/>
      <c r="CB52" s="3671"/>
      <c r="CC52" s="3671"/>
      <c r="CD52" s="3671"/>
      <c r="CE52" s="3671"/>
      <c r="CF52" s="3671"/>
      <c r="CG52" s="3671"/>
      <c r="CH52" s="3671"/>
      <c r="CI52" s="3671"/>
      <c r="CM52" s="3672"/>
      <c r="CN52" s="3672"/>
      <c r="CO52" s="3672"/>
      <c r="CP52" s="3672"/>
      <c r="CQ52" s="3672"/>
      <c r="CR52" s="3672"/>
      <c r="CS52" s="3672"/>
      <c r="CT52" s="1945"/>
      <c r="CU52" s="1945"/>
    </row>
    <row r="53" spans="1:99">
      <c r="A53" s="3673" t="s">
        <v>1723</v>
      </c>
      <c r="B53" s="3664">
        <f t="shared" ref="B53:B57" si="22">SUM(C53:D53)</f>
        <v>14064</v>
      </c>
      <c r="C53" s="413">
        <v>5432</v>
      </c>
      <c r="D53" s="3674">
        <v>8632</v>
      </c>
      <c r="E53" s="3368"/>
      <c r="F53" s="3369"/>
      <c r="G53" s="3675"/>
      <c r="H53" s="2377"/>
      <c r="I53" s="3676"/>
      <c r="J53" s="3428"/>
      <c r="K53" s="2261"/>
      <c r="L53" s="413"/>
      <c r="M53" s="3665"/>
      <c r="N53" s="416"/>
      <c r="O53" s="416"/>
      <c r="P53" s="2261"/>
      <c r="Q53" s="411"/>
      <c r="R53" s="412"/>
      <c r="S53" s="417" t="str">
        <f t="shared" si="2"/>
        <v>*No olvide digitar el campo TRANS Masculino (Digite CERO si no tiene). *No olvide digitar el campo TRANS Femenino (Digite CERO si no tiene). *No olvide digitar el campo No Binarie. Digite CERO si no tiene. *No olvide digitar el campo No revelado. Digite CERO si no tiene. *No olvide digitar el campo Pueblos Originarios. Digite CERO si no tiene. *No olvide digitar el campo Migrantes. Digite CERO si no tiene. *No olvide digitar el campo PRAIS. Digite CERO si no tiene. *No olvide digitar el campo N° DE ATENCIONES EN EL MES (Ley Mila). Niños, niñas y adolescentes. Digite CERO si no tiene. *No olvide digitar el campo N° DE ATENCIONES EN EL MES (Ley Mila) Gestantes. Digite CERO si no tiene.</v>
      </c>
      <c r="CA53" s="3666" t="str">
        <f t="shared" si="3"/>
        <v>*No olvide digitar el campo TRANS Masculino (Digite CERO si no tiene).</v>
      </c>
      <c r="CB53" s="3666" t="str">
        <f t="shared" si="4"/>
        <v xml:space="preserve"> *No olvide digitar el campo TRANS Femenino (Digite CERO si no tiene).</v>
      </c>
      <c r="CC53" s="3666" t="str">
        <f t="shared" si="5"/>
        <v xml:space="preserve"> *No olvide digitar el campo No Binarie. Digite CERO si no tiene.</v>
      </c>
      <c r="CD53" s="3666" t="str">
        <f t="shared" si="6"/>
        <v xml:space="preserve"> *No olvide digitar el campo No revelado. Digite CERO si no tiene.</v>
      </c>
      <c r="CE53" s="3666" t="str">
        <f t="shared" si="7"/>
        <v xml:space="preserve"> *No olvide digitar el campo Pueblos Originarios. Digite CERO si no tiene.</v>
      </c>
      <c r="CF53" s="3666" t="str">
        <f t="shared" si="8"/>
        <v xml:space="preserve"> *No olvide digitar el campo Migrantes. Digite CERO si no tiene.</v>
      </c>
      <c r="CG53" s="3666" t="str">
        <f t="shared" si="9"/>
        <v xml:space="preserve"> *No olvide digitar el campo PRAIS. Digite CERO si no tiene.</v>
      </c>
      <c r="CH53" s="3666" t="str">
        <f t="shared" si="10"/>
        <v xml:space="preserve"> *No olvide digitar el campo N° DE ATENCIONES EN EL MES (Ley Mila). Niños, niñas y adolescentes. Digite CERO si no tiene.</v>
      </c>
      <c r="CI53" s="3666" t="str">
        <f t="shared" si="11"/>
        <v xml:space="preserve"> *No olvide digitar el campo N° DE ATENCIONES EN EL MES (Ley Mila) Gestantes. Digite CERO si no tiene.</v>
      </c>
      <c r="CM53" s="2842">
        <f t="shared" si="12"/>
        <v>1</v>
      </c>
      <c r="CN53" s="2842">
        <f t="shared" si="13"/>
        <v>1</v>
      </c>
      <c r="CO53" s="2842">
        <f t="shared" si="14"/>
        <v>1</v>
      </c>
      <c r="CP53" s="2842">
        <f t="shared" si="16"/>
        <v>1</v>
      </c>
      <c r="CQ53" s="2842">
        <f t="shared" si="17"/>
        <v>1</v>
      </c>
      <c r="CR53" s="2842">
        <f t="shared" si="18"/>
        <v>1</v>
      </c>
      <c r="CS53" s="2842">
        <f t="shared" si="19"/>
        <v>1</v>
      </c>
      <c r="CT53" s="419">
        <f t="shared" si="20"/>
        <v>1</v>
      </c>
      <c r="CU53" s="419">
        <f t="shared" si="15"/>
        <v>1</v>
      </c>
    </row>
    <row r="54" spans="1:99">
      <c r="A54" s="2114" t="s">
        <v>2315</v>
      </c>
      <c r="B54" s="3667">
        <f t="shared" si="22"/>
        <v>0</v>
      </c>
      <c r="C54" s="413">
        <v>0</v>
      </c>
      <c r="D54" s="424">
        <v>0</v>
      </c>
      <c r="E54" s="2381"/>
      <c r="F54" s="2382"/>
      <c r="G54" s="2861"/>
      <c r="H54" s="2885"/>
      <c r="I54" s="2882"/>
      <c r="J54" s="3372"/>
      <c r="K54" s="2231"/>
      <c r="L54" s="425"/>
      <c r="M54" s="3588"/>
      <c r="N54" s="443"/>
      <c r="O54" s="443"/>
      <c r="P54" s="2231"/>
      <c r="Q54" s="423"/>
      <c r="R54" s="424"/>
      <c r="S54" s="417" t="str">
        <f t="shared" si="2"/>
        <v/>
      </c>
      <c r="CA54" s="3666" t="str">
        <f t="shared" si="3"/>
        <v/>
      </c>
      <c r="CB54" s="3666" t="str">
        <f t="shared" si="4"/>
        <v/>
      </c>
      <c r="CC54" s="3666" t="str">
        <f t="shared" si="5"/>
        <v/>
      </c>
      <c r="CD54" s="3666" t="str">
        <f t="shared" si="6"/>
        <v/>
      </c>
      <c r="CE54" s="3666" t="str">
        <f t="shared" si="7"/>
        <v/>
      </c>
      <c r="CF54" s="3666" t="str">
        <f t="shared" si="8"/>
        <v/>
      </c>
      <c r="CG54" s="3666" t="str">
        <f t="shared" si="9"/>
        <v/>
      </c>
      <c r="CH54" s="3666" t="str">
        <f t="shared" si="10"/>
        <v/>
      </c>
      <c r="CI54" s="3666" t="str">
        <f t="shared" si="11"/>
        <v/>
      </c>
      <c r="CM54" s="2842">
        <f t="shared" si="12"/>
        <v>0</v>
      </c>
      <c r="CN54" s="2842">
        <f t="shared" si="13"/>
        <v>0</v>
      </c>
      <c r="CO54" s="2842">
        <f t="shared" si="14"/>
        <v>0</v>
      </c>
      <c r="CP54" s="2842">
        <f t="shared" si="16"/>
        <v>0</v>
      </c>
      <c r="CQ54" s="2842">
        <f t="shared" si="17"/>
        <v>0</v>
      </c>
      <c r="CR54" s="2842">
        <f t="shared" si="18"/>
        <v>0</v>
      </c>
      <c r="CS54" s="2842">
        <f t="shared" si="19"/>
        <v>0</v>
      </c>
      <c r="CT54" s="419">
        <f t="shared" si="20"/>
        <v>0</v>
      </c>
      <c r="CU54" s="419">
        <f t="shared" si="15"/>
        <v>0</v>
      </c>
    </row>
    <row r="55" spans="1:99">
      <c r="A55" s="2114" t="s">
        <v>2316</v>
      </c>
      <c r="B55" s="3667">
        <f t="shared" si="22"/>
        <v>12</v>
      </c>
      <c r="C55" s="425">
        <v>5</v>
      </c>
      <c r="D55" s="424">
        <v>7</v>
      </c>
      <c r="E55" s="2381"/>
      <c r="F55" s="2382"/>
      <c r="G55" s="2861"/>
      <c r="H55" s="2885"/>
      <c r="I55" s="2882"/>
      <c r="J55" s="3372"/>
      <c r="K55" s="2231"/>
      <c r="L55" s="425"/>
      <c r="M55" s="3588"/>
      <c r="N55" s="443"/>
      <c r="O55" s="443"/>
      <c r="P55" s="2231"/>
      <c r="Q55" s="423"/>
      <c r="R55" s="424"/>
      <c r="S55" s="417" t="str">
        <f t="shared" si="2"/>
        <v>*No olvide digitar el campo TRANS Masculino (Digite CERO si no tiene). *No olvide digitar el campo TRANS Femenino (Digite CERO si no tiene). *No olvide digitar el campo No Binarie. Digite CERO si no tiene. *No olvide digitar el campo No revelado. Digite CERO si no tiene. *No olvide digitar el campo Pueblos Originarios. Digite CERO si no tiene. *No olvide digitar el campo Migrantes. Digite CERO si no tiene. *No olvide digitar el campo PRAIS. Digite CERO si no tiene. *No olvide digitar el campo N° DE ATENCIONES EN EL MES (Ley Mila). Niños, niñas y adolescentes. Digite CERO si no tiene. *No olvide digitar el campo N° DE ATENCIONES EN EL MES (Ley Mila) Gestantes. Digite CERO si no tiene.</v>
      </c>
      <c r="CA55" s="3666" t="str">
        <f t="shared" si="3"/>
        <v>*No olvide digitar el campo TRANS Masculino (Digite CERO si no tiene).</v>
      </c>
      <c r="CB55" s="3666" t="str">
        <f t="shared" si="4"/>
        <v xml:space="preserve"> *No olvide digitar el campo TRANS Femenino (Digite CERO si no tiene).</v>
      </c>
      <c r="CC55" s="3666" t="str">
        <f t="shared" si="5"/>
        <v xml:space="preserve"> *No olvide digitar el campo No Binarie. Digite CERO si no tiene.</v>
      </c>
      <c r="CD55" s="3666" t="str">
        <f t="shared" si="6"/>
        <v xml:space="preserve"> *No olvide digitar el campo No revelado. Digite CERO si no tiene.</v>
      </c>
      <c r="CE55" s="3666" t="str">
        <f t="shared" si="7"/>
        <v xml:space="preserve"> *No olvide digitar el campo Pueblos Originarios. Digite CERO si no tiene.</v>
      </c>
      <c r="CF55" s="3666" t="str">
        <f t="shared" si="8"/>
        <v xml:space="preserve"> *No olvide digitar el campo Migrantes. Digite CERO si no tiene.</v>
      </c>
      <c r="CG55" s="3666" t="str">
        <f t="shared" si="9"/>
        <v xml:space="preserve"> *No olvide digitar el campo PRAIS. Digite CERO si no tiene.</v>
      </c>
      <c r="CH55" s="3666" t="str">
        <f t="shared" si="10"/>
        <v xml:space="preserve"> *No olvide digitar el campo N° DE ATENCIONES EN EL MES (Ley Mila). Niños, niñas y adolescentes. Digite CERO si no tiene.</v>
      </c>
      <c r="CI55" s="3666" t="str">
        <f t="shared" si="11"/>
        <v xml:space="preserve"> *No olvide digitar el campo N° DE ATENCIONES EN EL MES (Ley Mila) Gestantes. Digite CERO si no tiene.</v>
      </c>
      <c r="CM55" s="2842">
        <f t="shared" si="12"/>
        <v>1</v>
      </c>
      <c r="CN55" s="2842">
        <f t="shared" si="13"/>
        <v>1</v>
      </c>
      <c r="CO55" s="2842">
        <f t="shared" si="14"/>
        <v>1</v>
      </c>
      <c r="CP55" s="2842">
        <f t="shared" si="16"/>
        <v>1</v>
      </c>
      <c r="CQ55" s="2842">
        <f t="shared" si="17"/>
        <v>1</v>
      </c>
      <c r="CR55" s="2842">
        <f t="shared" si="18"/>
        <v>1</v>
      </c>
      <c r="CS55" s="2842">
        <f t="shared" si="19"/>
        <v>1</v>
      </c>
      <c r="CT55" s="419">
        <f t="shared" si="20"/>
        <v>1</v>
      </c>
      <c r="CU55" s="419">
        <f t="shared" si="15"/>
        <v>1</v>
      </c>
    </row>
    <row r="56" spans="1:99">
      <c r="A56" s="2114" t="s">
        <v>2317</v>
      </c>
      <c r="B56" s="3667">
        <f t="shared" si="22"/>
        <v>6</v>
      </c>
      <c r="C56" s="425">
        <v>0</v>
      </c>
      <c r="D56" s="424">
        <v>6</v>
      </c>
      <c r="E56" s="3368"/>
      <c r="F56" s="3369"/>
      <c r="G56" s="3675"/>
      <c r="H56" s="2377"/>
      <c r="I56" s="3676"/>
      <c r="J56" s="3372"/>
      <c r="K56" s="2231"/>
      <c r="L56" s="425"/>
      <c r="M56" s="3588"/>
      <c r="N56" s="443"/>
      <c r="O56" s="443"/>
      <c r="P56" s="2231"/>
      <c r="Q56" s="423"/>
      <c r="R56" s="424"/>
      <c r="S56" s="417" t="str">
        <f t="shared" si="2"/>
        <v>*No olvide digitar el campo TRANS Masculino (Digite CERO si no tiene). *No olvide digitar el campo No Binarie. Digite CERO si no tiene. *No olvide digitar el campo No revelado. Digite CERO si no tiene. *No olvide digitar el campo Pueblos Originarios. Digite CERO si no tiene. *No olvide digitar el campo Migrantes. Digite CERO si no tiene. *No olvide digitar el campo PRAIS. Digite CERO si no tiene. *No olvide digitar el campo N° DE ATENCIONES EN EL MES (Ley Mila). Niños, niñas y adolescentes. Digite CERO si no tiene. *No olvide digitar el campo N° DE ATENCIONES EN EL MES (Ley Mila) Gestantes. Digite CERO si no tiene.</v>
      </c>
      <c r="CA56" s="3666" t="str">
        <f t="shared" si="3"/>
        <v>*No olvide digitar el campo TRANS Masculino (Digite CERO si no tiene).</v>
      </c>
      <c r="CB56" s="3666" t="str">
        <f t="shared" si="4"/>
        <v/>
      </c>
      <c r="CC56" s="3666" t="str">
        <f t="shared" si="5"/>
        <v xml:space="preserve"> *No olvide digitar el campo No Binarie. Digite CERO si no tiene.</v>
      </c>
      <c r="CD56" s="3666" t="str">
        <f t="shared" si="6"/>
        <v xml:space="preserve"> *No olvide digitar el campo No revelado. Digite CERO si no tiene.</v>
      </c>
      <c r="CE56" s="3666" t="str">
        <f t="shared" si="7"/>
        <v xml:space="preserve"> *No olvide digitar el campo Pueblos Originarios. Digite CERO si no tiene.</v>
      </c>
      <c r="CF56" s="3666" t="str">
        <f t="shared" si="8"/>
        <v xml:space="preserve"> *No olvide digitar el campo Migrantes. Digite CERO si no tiene.</v>
      </c>
      <c r="CG56" s="3666" t="str">
        <f t="shared" si="9"/>
        <v xml:space="preserve"> *No olvide digitar el campo PRAIS. Digite CERO si no tiene.</v>
      </c>
      <c r="CH56" s="3666" t="str">
        <f t="shared" si="10"/>
        <v xml:space="preserve"> *No olvide digitar el campo N° DE ATENCIONES EN EL MES (Ley Mila). Niños, niñas y adolescentes. Digite CERO si no tiene.</v>
      </c>
      <c r="CI56" s="3666" t="str">
        <f t="shared" si="11"/>
        <v xml:space="preserve"> *No olvide digitar el campo N° DE ATENCIONES EN EL MES (Ley Mila) Gestantes. Digite CERO si no tiene.</v>
      </c>
      <c r="CM56" s="2842">
        <f t="shared" si="12"/>
        <v>1</v>
      </c>
      <c r="CN56" s="2842">
        <f t="shared" si="13"/>
        <v>0</v>
      </c>
      <c r="CO56" s="2842">
        <f t="shared" si="14"/>
        <v>1</v>
      </c>
      <c r="CP56" s="2842">
        <f t="shared" si="16"/>
        <v>1</v>
      </c>
      <c r="CQ56" s="2842">
        <f t="shared" si="17"/>
        <v>1</v>
      </c>
      <c r="CR56" s="2842">
        <f t="shared" si="18"/>
        <v>1</v>
      </c>
      <c r="CS56" s="2842">
        <f t="shared" si="19"/>
        <v>1</v>
      </c>
      <c r="CT56" s="419">
        <f t="shared" si="20"/>
        <v>1</v>
      </c>
      <c r="CU56" s="419">
        <f t="shared" si="15"/>
        <v>1</v>
      </c>
    </row>
    <row r="57" spans="1:99">
      <c r="A57" s="2903" t="s">
        <v>2318</v>
      </c>
      <c r="B57" s="3652">
        <f t="shared" si="22"/>
        <v>6</v>
      </c>
      <c r="C57" s="432">
        <v>0</v>
      </c>
      <c r="D57" s="433">
        <v>6</v>
      </c>
      <c r="E57" s="2384"/>
      <c r="F57" s="2385"/>
      <c r="G57" s="3593"/>
      <c r="H57" s="3434"/>
      <c r="I57" s="3435"/>
      <c r="J57" s="3386"/>
      <c r="K57" s="2235"/>
      <c r="L57" s="432"/>
      <c r="M57" s="3443"/>
      <c r="N57" s="438"/>
      <c r="O57" s="438"/>
      <c r="P57" s="2235"/>
      <c r="Q57" s="3385"/>
      <c r="R57" s="433"/>
      <c r="S57" s="417" t="str">
        <f t="shared" si="2"/>
        <v>*No olvide digitar el campo TRANS Masculino (Digite CERO si no tiene). *No olvide digitar el campo No Binarie. Digite CERO si no tiene. *No olvide digitar el campo No revelado. Digite CERO si no tiene. *No olvide digitar el campo Pueblos Originarios. Digite CERO si no tiene. *No olvide digitar el campo Migrantes. Digite CERO si no tiene. *No olvide digitar el campo PRAIS. Digite CERO si no tiene. *No olvide digitar el campo N° DE ATENCIONES EN EL MES (Ley Mila). Niños, niñas y adolescentes. Digite CERO si no tiene. *No olvide digitar el campo N° DE ATENCIONES EN EL MES (Ley Mila) Gestantes. Digite CERO si no tiene.</v>
      </c>
      <c r="CA57" s="3666" t="str">
        <f t="shared" si="3"/>
        <v>*No olvide digitar el campo TRANS Masculino (Digite CERO si no tiene).</v>
      </c>
      <c r="CB57" s="3666" t="str">
        <f t="shared" si="4"/>
        <v/>
      </c>
      <c r="CC57" s="3666" t="str">
        <f t="shared" si="5"/>
        <v xml:space="preserve"> *No olvide digitar el campo No Binarie. Digite CERO si no tiene.</v>
      </c>
      <c r="CD57" s="3666" t="str">
        <f t="shared" si="6"/>
        <v xml:space="preserve"> *No olvide digitar el campo No revelado. Digite CERO si no tiene.</v>
      </c>
      <c r="CE57" s="3666" t="str">
        <f t="shared" si="7"/>
        <v xml:space="preserve"> *No olvide digitar el campo Pueblos Originarios. Digite CERO si no tiene.</v>
      </c>
      <c r="CF57" s="3666" t="str">
        <f t="shared" si="8"/>
        <v xml:space="preserve"> *No olvide digitar el campo Migrantes. Digite CERO si no tiene.</v>
      </c>
      <c r="CG57" s="3666" t="str">
        <f t="shared" si="9"/>
        <v xml:space="preserve"> *No olvide digitar el campo PRAIS. Digite CERO si no tiene.</v>
      </c>
      <c r="CH57" s="3666" t="str">
        <f t="shared" si="10"/>
        <v xml:space="preserve"> *No olvide digitar el campo N° DE ATENCIONES EN EL MES (Ley Mila). Niños, niñas y adolescentes. Digite CERO si no tiene.</v>
      </c>
      <c r="CI57" s="3666" t="str">
        <f t="shared" si="11"/>
        <v xml:space="preserve"> *No olvide digitar el campo N° DE ATENCIONES EN EL MES (Ley Mila) Gestantes. Digite CERO si no tiene.</v>
      </c>
      <c r="CM57" s="2842">
        <f t="shared" si="12"/>
        <v>1</v>
      </c>
      <c r="CN57" s="2842">
        <f t="shared" si="13"/>
        <v>0</v>
      </c>
      <c r="CO57" s="2842">
        <f t="shared" si="14"/>
        <v>1</v>
      </c>
      <c r="CP57" s="2842">
        <f t="shared" si="16"/>
        <v>1</v>
      </c>
      <c r="CQ57" s="2842">
        <f t="shared" si="17"/>
        <v>1</v>
      </c>
      <c r="CR57" s="2842">
        <f t="shared" si="18"/>
        <v>1</v>
      </c>
      <c r="CS57" s="2842">
        <f t="shared" si="19"/>
        <v>1</v>
      </c>
      <c r="CT57" s="419">
        <f t="shared" si="20"/>
        <v>1</v>
      </c>
      <c r="CU57" s="419">
        <f t="shared" si="15"/>
        <v>1</v>
      </c>
    </row>
    <row r="58" spans="1:99" ht="18" customHeight="1">
      <c r="A58" s="6781" t="s">
        <v>2319</v>
      </c>
      <c r="B58" s="6781"/>
      <c r="C58" s="6781"/>
      <c r="D58" s="6781"/>
      <c r="E58" s="6781"/>
      <c r="F58" s="6781"/>
      <c r="G58" s="6781"/>
      <c r="H58" s="6781"/>
      <c r="I58" s="6781"/>
      <c r="J58" s="6781"/>
      <c r="K58" s="6781"/>
      <c r="L58" s="6781"/>
      <c r="M58" s="6781"/>
      <c r="N58" s="6781"/>
    </row>
    <row r="59" spans="1:99" ht="18" customHeight="1">
      <c r="A59" s="2102" t="s">
        <v>2320</v>
      </c>
      <c r="B59" s="2102"/>
      <c r="C59" s="2102"/>
      <c r="D59" s="2102"/>
      <c r="E59" s="2102"/>
      <c r="F59" s="2102"/>
      <c r="G59" s="2102"/>
      <c r="H59" s="2102"/>
      <c r="I59" s="2102"/>
      <c r="J59" s="2102"/>
      <c r="K59" s="2102"/>
      <c r="L59" s="2102"/>
      <c r="M59" s="2102"/>
      <c r="N59" s="2102"/>
    </row>
    <row r="60" spans="1:99" ht="15" customHeight="1">
      <c r="A60" s="5718" t="s">
        <v>2321</v>
      </c>
      <c r="B60" s="5718" t="s">
        <v>91</v>
      </c>
      <c r="C60" s="5710" t="s">
        <v>2322</v>
      </c>
      <c r="D60" s="6106"/>
      <c r="E60" s="6106"/>
      <c r="F60" s="6106"/>
      <c r="G60" s="6106"/>
      <c r="H60" s="6106"/>
      <c r="I60" s="6106"/>
      <c r="J60" s="6106"/>
      <c r="K60" s="6106"/>
      <c r="L60" s="5716"/>
      <c r="M60" s="6119" t="s">
        <v>2323</v>
      </c>
      <c r="N60" s="5710" t="s">
        <v>2324</v>
      </c>
      <c r="O60" s="6106"/>
      <c r="P60" s="6106"/>
      <c r="Q60" s="6106"/>
      <c r="R60" s="6106"/>
      <c r="S60" s="6106"/>
      <c r="T60" s="6106"/>
      <c r="U60" s="6106"/>
      <c r="V60" s="6106"/>
      <c r="W60" s="6106"/>
      <c r="X60" s="3677"/>
    </row>
    <row r="61" spans="1:99" ht="42">
      <c r="A61" s="5719"/>
      <c r="B61" s="5719"/>
      <c r="C61" s="1645" t="s">
        <v>2325</v>
      </c>
      <c r="D61" s="1646" t="s">
        <v>2326</v>
      </c>
      <c r="E61" s="1645" t="s">
        <v>2327</v>
      </c>
      <c r="F61" s="2320" t="s">
        <v>2328</v>
      </c>
      <c r="G61" s="1646" t="s">
        <v>2329</v>
      </c>
      <c r="H61" s="1645" t="s">
        <v>2330</v>
      </c>
      <c r="I61" s="2320" t="s">
        <v>2331</v>
      </c>
      <c r="J61" s="2320" t="s">
        <v>2332</v>
      </c>
      <c r="K61" s="1646" t="s">
        <v>2333</v>
      </c>
      <c r="L61" s="394" t="s">
        <v>2334</v>
      </c>
      <c r="M61" s="6116"/>
      <c r="N61" s="1574" t="s">
        <v>2335</v>
      </c>
      <c r="O61" s="1396" t="s">
        <v>72</v>
      </c>
      <c r="P61" s="1398" t="s">
        <v>73</v>
      </c>
      <c r="Q61" s="1733" t="s">
        <v>1334</v>
      </c>
      <c r="R61" s="1646" t="s">
        <v>1412</v>
      </c>
      <c r="S61" s="1646" t="s">
        <v>1413</v>
      </c>
      <c r="T61" s="2320" t="s">
        <v>2262</v>
      </c>
      <c r="U61" s="1574" t="s">
        <v>50</v>
      </c>
      <c r="V61" s="1574" t="s">
        <v>51</v>
      </c>
      <c r="W61" s="393" t="s">
        <v>2263</v>
      </c>
      <c r="X61" s="1645"/>
    </row>
    <row r="62" spans="1:99">
      <c r="A62" s="1862" t="s">
        <v>2336</v>
      </c>
      <c r="B62" s="1672">
        <f t="shared" ref="B62:B74" si="23">SUM(C62:L62)</f>
        <v>2</v>
      </c>
      <c r="C62" s="3398"/>
      <c r="D62" s="3398"/>
      <c r="E62" s="3398"/>
      <c r="F62" s="3398">
        <v>2</v>
      </c>
      <c r="G62" s="2307"/>
      <c r="H62" s="3398"/>
      <c r="I62" s="3398"/>
      <c r="J62" s="2307"/>
      <c r="K62" s="3398"/>
      <c r="L62" s="3429"/>
      <c r="M62" s="2229"/>
      <c r="N62" s="3631">
        <f t="shared" ref="N62:N74" si="24">SUM(O62:P62)</f>
        <v>3</v>
      </c>
      <c r="O62" s="2307"/>
      <c r="P62" s="450">
        <v>3</v>
      </c>
      <c r="Q62" s="3678">
        <v>0</v>
      </c>
      <c r="R62" s="3678">
        <v>0</v>
      </c>
      <c r="S62" s="3678">
        <v>0</v>
      </c>
      <c r="T62" s="3678">
        <v>0</v>
      </c>
      <c r="U62" s="3678">
        <v>0</v>
      </c>
      <c r="V62" s="3678">
        <v>0</v>
      </c>
      <c r="W62" s="3428">
        <v>0</v>
      </c>
      <c r="X62" s="417" t="str">
        <f t="shared" ref="X62:X73" si="25">CA62&amp;CB62&amp;CC62&amp;CD62&amp;CE62&amp;CF62&amp;CG62</f>
        <v/>
      </c>
      <c r="CA62" s="3666" t="str">
        <f t="shared" ref="CA62:CA73" si="26">IF(AND(P62&gt;0,Q62=""),"*No olvide digitar el campo "&amp;Q$61&amp;""&amp;". Digite CERO si no tiene.", IF(Q62&gt;P62," * El Número de "&amp;Q$61&amp;""&amp;" no puede superar el Total Mujeres. ",""))</f>
        <v/>
      </c>
      <c r="CB62" s="3666" t="str">
        <f t="shared" ref="CB62:CB73" si="27">IF(AND(O62&gt;0,R62=""),"*No olvide digitar el campo "&amp;R$61&amp;""&amp;". Digite CERO si no tiene.", IF(R62&gt;O62," * El Número de "&amp;R$61&amp;""&amp;" no puede superar el Total hOMBRES. ",""))</f>
        <v/>
      </c>
      <c r="CC62" s="3666" t="str">
        <f t="shared" ref="CC62:CC73" si="28">IF(AND($N62&gt;0,S62=""),"*No olvide digitar el campo "&amp;S$61&amp;""&amp;". Digite CERO si no tiene.", IF(S62&gt;$N62," * La variable "&amp;S$61&amp;""&amp;" no puede superar el Total Ambos Sexos. ",""))</f>
        <v/>
      </c>
      <c r="CD62" s="3666" t="str">
        <f t="shared" ref="CD62:CD73" si="29">IF(AND($N62&gt;0,T62=""),"*No olvide digitar el campo "&amp;T$61&amp;""&amp;". Digite CERO si no tiene.", IF(T62&gt;$N62," * La variable "&amp;T$61&amp;""&amp;" no puede superar el Total Ambos Sexos. ",""))</f>
        <v/>
      </c>
      <c r="CE62" s="3666" t="str">
        <f t="shared" ref="CE62:CE73" si="30">IF(AND($N62&gt;0,U62=""),"*No olvide digitar el campo "&amp;U$61&amp;""&amp;". Digite CERO si no tiene.", IF(U62&gt;$N62," * La variable "&amp;U$61&amp;""&amp;" no puede superar el Total Ambos Sexos. ",""))</f>
        <v/>
      </c>
      <c r="CF62" s="3666" t="str">
        <f t="shared" ref="CF62:CF73" si="31">IF(AND($N62&gt;0,V62=""),"*No olvide digitar el campo "&amp;V$61&amp;""&amp;". Digite CERO si no tiene.", IF(V62&gt;$N62," * La variable "&amp;V$61&amp;""&amp;" no puede superar el Total Ambos Sexos. ",""))</f>
        <v/>
      </c>
      <c r="CG62" s="3666" t="str">
        <f t="shared" ref="CG62:CG73" si="32">IF(AND($N62&gt;0,W62=""),"*No olvide digitar el campo "&amp;W$61&amp;""&amp;". Digite CERO si no tiene.", IF(W62&gt;$N62," * La variable "&amp;W$61&amp;""&amp;" no puede superar el Total Ambos Sexos. ",""))</f>
        <v/>
      </c>
      <c r="CM62" s="2842">
        <f t="shared" ref="CM62:CM73" si="33">IF(AND(P62&gt;0,OR(Q62="")),1,IF(Q62&gt;P62,1,0))</f>
        <v>0</v>
      </c>
      <c r="CN62" s="2842">
        <f t="shared" ref="CN62:CN73" si="34">IF(AND(O62&gt;0,OR(R62="")),1,IF(R62&gt;O62,1,0))</f>
        <v>0</v>
      </c>
      <c r="CO62" s="2842">
        <f t="shared" ref="CO62:CO73" si="35">IF(AND($N62&gt;0,OR(S62="")),1,IF(S62&gt;$N62,1,0))</f>
        <v>0</v>
      </c>
      <c r="CP62" s="2842">
        <f t="shared" ref="CP62:CS73" si="36">IF(AND($N62&gt;0,OR(T62="")),1,IF(T62&gt;$N62,1,0))</f>
        <v>0</v>
      </c>
      <c r="CQ62" s="2842">
        <f t="shared" si="36"/>
        <v>0</v>
      </c>
      <c r="CR62" s="2842">
        <f t="shared" si="36"/>
        <v>0</v>
      </c>
      <c r="CS62" s="2842">
        <f t="shared" si="36"/>
        <v>0</v>
      </c>
    </row>
    <row r="63" spans="1:99">
      <c r="A63" s="1691" t="s">
        <v>2230</v>
      </c>
      <c r="B63" s="1438">
        <f t="shared" si="23"/>
        <v>0</v>
      </c>
      <c r="C63" s="3376"/>
      <c r="D63" s="3376"/>
      <c r="E63" s="3376"/>
      <c r="F63" s="3376"/>
      <c r="G63" s="423"/>
      <c r="H63" s="3376"/>
      <c r="I63" s="3376"/>
      <c r="J63" s="423"/>
      <c r="K63" s="3376"/>
      <c r="L63" s="3412"/>
      <c r="M63" s="2231"/>
      <c r="N63" s="3517">
        <f t="shared" si="24"/>
        <v>0</v>
      </c>
      <c r="O63" s="423"/>
      <c r="P63" s="426"/>
      <c r="Q63" s="3679">
        <v>0</v>
      </c>
      <c r="R63" s="3679">
        <v>0</v>
      </c>
      <c r="S63" s="3679">
        <v>0</v>
      </c>
      <c r="T63" s="3679">
        <v>0</v>
      </c>
      <c r="U63" s="3679">
        <v>0</v>
      </c>
      <c r="V63" s="3679">
        <v>0</v>
      </c>
      <c r="W63" s="3372">
        <v>0</v>
      </c>
      <c r="X63" s="417" t="str">
        <f t="shared" si="25"/>
        <v/>
      </c>
      <c r="CA63" s="3666" t="str">
        <f t="shared" si="26"/>
        <v/>
      </c>
      <c r="CB63" s="3666" t="str">
        <f t="shared" si="27"/>
        <v/>
      </c>
      <c r="CC63" s="3666" t="str">
        <f t="shared" si="28"/>
        <v/>
      </c>
      <c r="CD63" s="3666" t="str">
        <f t="shared" si="29"/>
        <v/>
      </c>
      <c r="CE63" s="3666" t="str">
        <f t="shared" si="30"/>
        <v/>
      </c>
      <c r="CF63" s="3666" t="str">
        <f t="shared" si="31"/>
        <v/>
      </c>
      <c r="CG63" s="3666" t="str">
        <f t="shared" si="32"/>
        <v/>
      </c>
      <c r="CM63" s="2842">
        <f t="shared" si="33"/>
        <v>0</v>
      </c>
      <c r="CN63" s="2842">
        <f t="shared" si="34"/>
        <v>0</v>
      </c>
      <c r="CO63" s="2842">
        <f t="shared" si="35"/>
        <v>0</v>
      </c>
      <c r="CP63" s="2842">
        <f t="shared" si="36"/>
        <v>0</v>
      </c>
      <c r="CQ63" s="2842">
        <f t="shared" ref="CQ63:CQ73" si="37">IF(AND($N63&gt;0,OR(U63="")),1,IF(U63&gt;$N63,1,0))</f>
        <v>0</v>
      </c>
      <c r="CR63" s="2842">
        <f t="shared" ref="CR63:CR73" si="38">IF(AND($N63&gt;0,OR(V63="")),1,IF(V63&gt;$N63,1,0))</f>
        <v>0</v>
      </c>
      <c r="CS63" s="2842">
        <f t="shared" ref="CS63:CS73" si="39">IF(AND($N63&gt;0,OR(W63="")),1,IF(W63&gt;$N63,1,0))</f>
        <v>0</v>
      </c>
    </row>
    <row r="64" spans="1:99">
      <c r="A64" s="1691" t="s">
        <v>2337</v>
      </c>
      <c r="B64" s="1438">
        <f t="shared" si="23"/>
        <v>2</v>
      </c>
      <c r="C64" s="3376"/>
      <c r="D64" s="3376"/>
      <c r="E64" s="3376"/>
      <c r="F64" s="3376"/>
      <c r="G64" s="423"/>
      <c r="H64" s="3376">
        <v>2</v>
      </c>
      <c r="I64" s="3376"/>
      <c r="J64" s="423"/>
      <c r="K64" s="3376"/>
      <c r="L64" s="3412"/>
      <c r="M64" s="2231"/>
      <c r="N64" s="3635">
        <f t="shared" si="24"/>
        <v>3</v>
      </c>
      <c r="O64" s="423"/>
      <c r="P64" s="426">
        <v>3</v>
      </c>
      <c r="Q64" s="3679">
        <v>0</v>
      </c>
      <c r="R64" s="3679">
        <v>0</v>
      </c>
      <c r="S64" s="3679">
        <v>0</v>
      </c>
      <c r="T64" s="3679">
        <v>0</v>
      </c>
      <c r="U64" s="3679">
        <v>0</v>
      </c>
      <c r="V64" s="3679">
        <v>0</v>
      </c>
      <c r="W64" s="3372">
        <v>0</v>
      </c>
      <c r="X64" s="417" t="str">
        <f t="shared" si="25"/>
        <v/>
      </c>
      <c r="CA64" s="3666" t="str">
        <f t="shared" si="26"/>
        <v/>
      </c>
      <c r="CB64" s="3666" t="str">
        <f t="shared" si="27"/>
        <v/>
      </c>
      <c r="CC64" s="3666" t="str">
        <f t="shared" si="28"/>
        <v/>
      </c>
      <c r="CD64" s="3666" t="str">
        <f t="shared" si="29"/>
        <v/>
      </c>
      <c r="CE64" s="3666" t="str">
        <f t="shared" si="30"/>
        <v/>
      </c>
      <c r="CF64" s="3666" t="str">
        <f t="shared" si="31"/>
        <v/>
      </c>
      <c r="CG64" s="3666" t="str">
        <f t="shared" si="32"/>
        <v/>
      </c>
      <c r="CM64" s="2842">
        <f t="shared" si="33"/>
        <v>0</v>
      </c>
      <c r="CN64" s="2842">
        <f t="shared" si="34"/>
        <v>0</v>
      </c>
      <c r="CO64" s="2842">
        <f t="shared" si="35"/>
        <v>0</v>
      </c>
      <c r="CP64" s="2842">
        <f t="shared" si="36"/>
        <v>0</v>
      </c>
      <c r="CQ64" s="2842">
        <f t="shared" si="37"/>
        <v>0</v>
      </c>
      <c r="CR64" s="2842">
        <f t="shared" si="38"/>
        <v>0</v>
      </c>
      <c r="CS64" s="2842">
        <f t="shared" si="39"/>
        <v>0</v>
      </c>
    </row>
    <row r="65" spans="1:97">
      <c r="A65" s="1691" t="s">
        <v>2338</v>
      </c>
      <c r="B65" s="1438">
        <f t="shared" si="23"/>
        <v>4</v>
      </c>
      <c r="C65" s="3376"/>
      <c r="D65" s="3376">
        <v>2</v>
      </c>
      <c r="E65" s="3376"/>
      <c r="F65" s="3376"/>
      <c r="G65" s="423"/>
      <c r="H65" s="3376">
        <v>1</v>
      </c>
      <c r="I65" s="3376"/>
      <c r="J65" s="423">
        <v>1</v>
      </c>
      <c r="K65" s="3376"/>
      <c r="L65" s="3412"/>
      <c r="M65" s="2231"/>
      <c r="N65" s="3633">
        <f t="shared" si="24"/>
        <v>7</v>
      </c>
      <c r="O65" s="423">
        <v>2</v>
      </c>
      <c r="P65" s="426">
        <v>5</v>
      </c>
      <c r="Q65" s="3372">
        <v>0</v>
      </c>
      <c r="R65" s="3376">
        <v>0</v>
      </c>
      <c r="S65" s="3376">
        <v>0</v>
      </c>
      <c r="T65" s="3588">
        <v>0</v>
      </c>
      <c r="U65" s="443">
        <v>12</v>
      </c>
      <c r="V65" s="443">
        <v>0</v>
      </c>
      <c r="W65" s="2231">
        <v>0</v>
      </c>
      <c r="X65" s="417" t="str">
        <f t="shared" si="25"/>
        <v xml:space="preserve"> * La variable Pueblos Originarios no puede superar el Total Ambos Sexos. </v>
      </c>
      <c r="CA65" s="3666" t="str">
        <f t="shared" si="26"/>
        <v/>
      </c>
      <c r="CB65" s="3666" t="str">
        <f t="shared" si="27"/>
        <v/>
      </c>
      <c r="CC65" s="3666" t="str">
        <f t="shared" si="28"/>
        <v/>
      </c>
      <c r="CD65" s="3666" t="str">
        <f t="shared" si="29"/>
        <v/>
      </c>
      <c r="CE65" s="3666" t="str">
        <f t="shared" si="30"/>
        <v xml:space="preserve"> * La variable Pueblos Originarios no puede superar el Total Ambos Sexos. </v>
      </c>
      <c r="CF65" s="3666" t="str">
        <f t="shared" si="31"/>
        <v/>
      </c>
      <c r="CG65" s="3666" t="str">
        <f t="shared" si="32"/>
        <v/>
      </c>
      <c r="CM65" s="2842">
        <f t="shared" si="33"/>
        <v>0</v>
      </c>
      <c r="CN65" s="2842">
        <f t="shared" si="34"/>
        <v>0</v>
      </c>
      <c r="CO65" s="2842">
        <f t="shared" si="35"/>
        <v>0</v>
      </c>
      <c r="CP65" s="2842">
        <f t="shared" si="36"/>
        <v>0</v>
      </c>
      <c r="CQ65" s="2842">
        <f t="shared" si="37"/>
        <v>1</v>
      </c>
      <c r="CR65" s="2842">
        <f t="shared" si="38"/>
        <v>0</v>
      </c>
      <c r="CS65" s="2842">
        <f t="shared" si="39"/>
        <v>0</v>
      </c>
    </row>
    <row r="66" spans="1:97">
      <c r="A66" s="1691" t="s">
        <v>2339</v>
      </c>
      <c r="B66" s="1438">
        <f t="shared" si="23"/>
        <v>0</v>
      </c>
      <c r="C66" s="3376"/>
      <c r="D66" s="3376"/>
      <c r="E66" s="3376"/>
      <c r="F66" s="3376"/>
      <c r="G66" s="423"/>
      <c r="H66" s="3376"/>
      <c r="I66" s="3376"/>
      <c r="J66" s="423"/>
      <c r="K66" s="3376"/>
      <c r="L66" s="3412"/>
      <c r="M66" s="2231"/>
      <c r="N66" s="3517">
        <f t="shared" si="24"/>
        <v>0</v>
      </c>
      <c r="O66" s="423"/>
      <c r="P66" s="426"/>
      <c r="Q66" s="3372"/>
      <c r="R66" s="3376"/>
      <c r="S66" s="3376"/>
      <c r="T66" s="3588"/>
      <c r="U66" s="443"/>
      <c r="V66" s="443"/>
      <c r="W66" s="2231"/>
      <c r="X66" s="417" t="str">
        <f t="shared" si="25"/>
        <v/>
      </c>
      <c r="CA66" s="3666" t="str">
        <f t="shared" si="26"/>
        <v/>
      </c>
      <c r="CB66" s="3666" t="str">
        <f t="shared" si="27"/>
        <v/>
      </c>
      <c r="CC66" s="3666" t="str">
        <f t="shared" si="28"/>
        <v/>
      </c>
      <c r="CD66" s="3666" t="str">
        <f t="shared" si="29"/>
        <v/>
      </c>
      <c r="CE66" s="3666" t="str">
        <f t="shared" si="30"/>
        <v/>
      </c>
      <c r="CF66" s="3666" t="str">
        <f t="shared" si="31"/>
        <v/>
      </c>
      <c r="CG66" s="3666" t="str">
        <f t="shared" si="32"/>
        <v/>
      </c>
      <c r="CM66" s="2842">
        <f t="shared" si="33"/>
        <v>0</v>
      </c>
      <c r="CN66" s="2842">
        <f t="shared" si="34"/>
        <v>0</v>
      </c>
      <c r="CO66" s="2842">
        <f t="shared" si="35"/>
        <v>0</v>
      </c>
      <c r="CP66" s="2842">
        <f t="shared" si="36"/>
        <v>0</v>
      </c>
      <c r="CQ66" s="2842">
        <f t="shared" si="37"/>
        <v>0</v>
      </c>
      <c r="CR66" s="2842">
        <f t="shared" si="38"/>
        <v>0</v>
      </c>
      <c r="CS66" s="2842">
        <f t="shared" si="39"/>
        <v>0</v>
      </c>
    </row>
    <row r="67" spans="1:97">
      <c r="A67" s="1691" t="s">
        <v>2340</v>
      </c>
      <c r="B67" s="1438">
        <f t="shared" si="23"/>
        <v>0</v>
      </c>
      <c r="C67" s="3376"/>
      <c r="D67" s="3376"/>
      <c r="E67" s="3376"/>
      <c r="F67" s="3376"/>
      <c r="G67" s="423"/>
      <c r="H67" s="3376"/>
      <c r="I67" s="3376"/>
      <c r="J67" s="423"/>
      <c r="K67" s="3376"/>
      <c r="L67" s="3412"/>
      <c r="M67" s="2231"/>
      <c r="N67" s="3633">
        <f t="shared" si="24"/>
        <v>0</v>
      </c>
      <c r="O67" s="423"/>
      <c r="P67" s="426"/>
      <c r="Q67" s="3372"/>
      <c r="R67" s="3376"/>
      <c r="S67" s="3376"/>
      <c r="T67" s="3588"/>
      <c r="U67" s="443"/>
      <c r="V67" s="443"/>
      <c r="W67" s="2231"/>
      <c r="X67" s="417" t="str">
        <f t="shared" si="25"/>
        <v/>
      </c>
      <c r="CA67" s="3666" t="str">
        <f t="shared" si="26"/>
        <v/>
      </c>
      <c r="CB67" s="3666" t="str">
        <f t="shared" si="27"/>
        <v/>
      </c>
      <c r="CC67" s="3666" t="str">
        <f t="shared" si="28"/>
        <v/>
      </c>
      <c r="CD67" s="3666" t="str">
        <f t="shared" si="29"/>
        <v/>
      </c>
      <c r="CE67" s="3666" t="str">
        <f t="shared" si="30"/>
        <v/>
      </c>
      <c r="CF67" s="3666" t="str">
        <f t="shared" si="31"/>
        <v/>
      </c>
      <c r="CG67" s="3666" t="str">
        <f t="shared" si="32"/>
        <v/>
      </c>
      <c r="CM67" s="2842">
        <f t="shared" si="33"/>
        <v>0</v>
      </c>
      <c r="CN67" s="2842">
        <f t="shared" si="34"/>
        <v>0</v>
      </c>
      <c r="CO67" s="2842">
        <f t="shared" si="35"/>
        <v>0</v>
      </c>
      <c r="CP67" s="2842">
        <f t="shared" si="36"/>
        <v>0</v>
      </c>
      <c r="CQ67" s="2842">
        <f t="shared" si="37"/>
        <v>0</v>
      </c>
      <c r="CR67" s="2842">
        <f t="shared" si="38"/>
        <v>0</v>
      </c>
      <c r="CS67" s="2842">
        <f t="shared" si="39"/>
        <v>0</v>
      </c>
    </row>
    <row r="68" spans="1:97">
      <c r="A68" s="1691" t="s">
        <v>2341</v>
      </c>
      <c r="B68" s="1438">
        <f t="shared" si="23"/>
        <v>5</v>
      </c>
      <c r="C68" s="3376"/>
      <c r="D68" s="3376"/>
      <c r="E68" s="3376"/>
      <c r="F68" s="3376">
        <v>3</v>
      </c>
      <c r="G68" s="423"/>
      <c r="H68" s="3376"/>
      <c r="I68" s="3376"/>
      <c r="J68" s="423"/>
      <c r="K68" s="3376"/>
      <c r="L68" s="3412">
        <v>2</v>
      </c>
      <c r="M68" s="2231">
        <v>3</v>
      </c>
      <c r="N68" s="3633">
        <f t="shared" si="24"/>
        <v>36</v>
      </c>
      <c r="O68" s="423">
        <v>12</v>
      </c>
      <c r="P68" s="426">
        <v>24</v>
      </c>
      <c r="Q68" s="3372">
        <v>0</v>
      </c>
      <c r="R68" s="3376">
        <v>0</v>
      </c>
      <c r="S68" s="3376">
        <v>0</v>
      </c>
      <c r="T68" s="3588">
        <v>0</v>
      </c>
      <c r="U68" s="443">
        <v>0</v>
      </c>
      <c r="V68" s="443">
        <v>0</v>
      </c>
      <c r="W68" s="2231">
        <v>0</v>
      </c>
      <c r="X68" s="417" t="str">
        <f t="shared" si="25"/>
        <v/>
      </c>
      <c r="CA68" s="3666" t="str">
        <f t="shared" si="26"/>
        <v/>
      </c>
      <c r="CB68" s="3666" t="str">
        <f t="shared" si="27"/>
        <v/>
      </c>
      <c r="CC68" s="3666" t="str">
        <f t="shared" si="28"/>
        <v/>
      </c>
      <c r="CD68" s="3666" t="str">
        <f t="shared" si="29"/>
        <v/>
      </c>
      <c r="CE68" s="3666" t="str">
        <f t="shared" si="30"/>
        <v/>
      </c>
      <c r="CF68" s="3666" t="str">
        <f t="shared" si="31"/>
        <v/>
      </c>
      <c r="CG68" s="3666" t="str">
        <f t="shared" si="32"/>
        <v/>
      </c>
      <c r="CM68" s="2842">
        <f t="shared" si="33"/>
        <v>0</v>
      </c>
      <c r="CN68" s="2842">
        <f t="shared" si="34"/>
        <v>0</v>
      </c>
      <c r="CO68" s="2842">
        <f t="shared" si="35"/>
        <v>0</v>
      </c>
      <c r="CP68" s="2842">
        <f t="shared" si="36"/>
        <v>0</v>
      </c>
      <c r="CQ68" s="2842">
        <f t="shared" si="37"/>
        <v>0</v>
      </c>
      <c r="CR68" s="2842">
        <f t="shared" si="38"/>
        <v>0</v>
      </c>
      <c r="CS68" s="2842">
        <f t="shared" si="39"/>
        <v>0</v>
      </c>
    </row>
    <row r="69" spans="1:97">
      <c r="A69" s="1691" t="s">
        <v>2342</v>
      </c>
      <c r="B69" s="1438">
        <f t="shared" si="23"/>
        <v>0</v>
      </c>
      <c r="C69" s="3376"/>
      <c r="D69" s="3376"/>
      <c r="E69" s="3376"/>
      <c r="F69" s="3376"/>
      <c r="G69" s="423"/>
      <c r="H69" s="3376"/>
      <c r="I69" s="3376"/>
      <c r="J69" s="423"/>
      <c r="K69" s="3376"/>
      <c r="L69" s="3412"/>
      <c r="M69" s="2231"/>
      <c r="N69" s="3633">
        <f t="shared" si="24"/>
        <v>0</v>
      </c>
      <c r="O69" s="423"/>
      <c r="P69" s="426"/>
      <c r="Q69" s="3372"/>
      <c r="R69" s="3376"/>
      <c r="S69" s="3376"/>
      <c r="T69" s="3588"/>
      <c r="U69" s="443"/>
      <c r="V69" s="443"/>
      <c r="W69" s="2231"/>
      <c r="X69" s="417" t="str">
        <f t="shared" si="25"/>
        <v/>
      </c>
      <c r="CA69" s="3666" t="str">
        <f t="shared" si="26"/>
        <v/>
      </c>
      <c r="CB69" s="3666" t="str">
        <f t="shared" si="27"/>
        <v/>
      </c>
      <c r="CC69" s="3666" t="str">
        <f t="shared" si="28"/>
        <v/>
      </c>
      <c r="CD69" s="3666" t="str">
        <f t="shared" si="29"/>
        <v/>
      </c>
      <c r="CE69" s="3666" t="str">
        <f t="shared" si="30"/>
        <v/>
      </c>
      <c r="CF69" s="3666" t="str">
        <f t="shared" si="31"/>
        <v/>
      </c>
      <c r="CG69" s="3666" t="str">
        <f t="shared" si="32"/>
        <v/>
      </c>
      <c r="CM69" s="2842">
        <f t="shared" si="33"/>
        <v>0</v>
      </c>
      <c r="CN69" s="2842">
        <f t="shared" si="34"/>
        <v>0</v>
      </c>
      <c r="CO69" s="2842">
        <f t="shared" si="35"/>
        <v>0</v>
      </c>
      <c r="CP69" s="2842">
        <f t="shared" si="36"/>
        <v>0</v>
      </c>
      <c r="CQ69" s="2842">
        <f t="shared" si="37"/>
        <v>0</v>
      </c>
      <c r="CR69" s="2842">
        <f t="shared" si="38"/>
        <v>0</v>
      </c>
      <c r="CS69" s="2842">
        <f t="shared" si="39"/>
        <v>0</v>
      </c>
    </row>
    <row r="70" spans="1:97">
      <c r="A70" s="1691" t="s">
        <v>2343</v>
      </c>
      <c r="B70" s="1438">
        <f t="shared" si="23"/>
        <v>0</v>
      </c>
      <c r="C70" s="3420"/>
      <c r="D70" s="3420"/>
      <c r="E70" s="3420"/>
      <c r="F70" s="3420"/>
      <c r="G70" s="3424"/>
      <c r="H70" s="3420"/>
      <c r="I70" s="3420"/>
      <c r="J70" s="3424"/>
      <c r="K70" s="3420"/>
      <c r="L70" s="3423"/>
      <c r="M70" s="2231"/>
      <c r="N70" s="3517">
        <f t="shared" si="24"/>
        <v>0</v>
      </c>
      <c r="O70" s="423"/>
      <c r="P70" s="426"/>
      <c r="Q70" s="3372"/>
      <c r="R70" s="3376"/>
      <c r="S70" s="3376"/>
      <c r="T70" s="3588"/>
      <c r="U70" s="443"/>
      <c r="V70" s="443"/>
      <c r="W70" s="2231"/>
      <c r="X70" s="417" t="str">
        <f t="shared" si="25"/>
        <v/>
      </c>
      <c r="CA70" s="3666" t="str">
        <f t="shared" si="26"/>
        <v/>
      </c>
      <c r="CB70" s="3666" t="str">
        <f t="shared" si="27"/>
        <v/>
      </c>
      <c r="CC70" s="3666" t="str">
        <f t="shared" si="28"/>
        <v/>
      </c>
      <c r="CD70" s="3666" t="str">
        <f t="shared" si="29"/>
        <v/>
      </c>
      <c r="CE70" s="3666" t="str">
        <f t="shared" si="30"/>
        <v/>
      </c>
      <c r="CF70" s="3666" t="str">
        <f t="shared" si="31"/>
        <v/>
      </c>
      <c r="CG70" s="3666" t="str">
        <f t="shared" si="32"/>
        <v/>
      </c>
      <c r="CM70" s="2842">
        <f t="shared" si="33"/>
        <v>0</v>
      </c>
      <c r="CN70" s="2842">
        <f t="shared" si="34"/>
        <v>0</v>
      </c>
      <c r="CO70" s="2842">
        <f t="shared" si="35"/>
        <v>0</v>
      </c>
      <c r="CP70" s="2842">
        <f t="shared" si="36"/>
        <v>0</v>
      </c>
      <c r="CQ70" s="2842">
        <f t="shared" si="37"/>
        <v>0</v>
      </c>
      <c r="CR70" s="2842">
        <f t="shared" si="38"/>
        <v>0</v>
      </c>
      <c r="CS70" s="2842">
        <f t="shared" si="39"/>
        <v>0</v>
      </c>
    </row>
    <row r="71" spans="1:97">
      <c r="A71" s="1694" t="s">
        <v>2344</v>
      </c>
      <c r="B71" s="1438">
        <f t="shared" si="23"/>
        <v>0</v>
      </c>
      <c r="C71" s="3420"/>
      <c r="D71" s="3420"/>
      <c r="E71" s="3420"/>
      <c r="F71" s="3420"/>
      <c r="G71" s="3424"/>
      <c r="H71" s="3376"/>
      <c r="I71" s="3420"/>
      <c r="J71" s="423"/>
      <c r="K71" s="3420"/>
      <c r="L71" s="3423"/>
      <c r="M71" s="2231"/>
      <c r="N71" s="3517">
        <f t="shared" si="24"/>
        <v>0</v>
      </c>
      <c r="O71" s="423"/>
      <c r="P71" s="426"/>
      <c r="Q71" s="3372"/>
      <c r="R71" s="3376"/>
      <c r="S71" s="3376"/>
      <c r="T71" s="3588"/>
      <c r="U71" s="443"/>
      <c r="V71" s="443"/>
      <c r="W71" s="2231"/>
      <c r="X71" s="417" t="str">
        <f t="shared" si="25"/>
        <v/>
      </c>
      <c r="CA71" s="3666" t="str">
        <f t="shared" si="26"/>
        <v/>
      </c>
      <c r="CB71" s="3666" t="str">
        <f t="shared" si="27"/>
        <v/>
      </c>
      <c r="CC71" s="3666" t="str">
        <f t="shared" si="28"/>
        <v/>
      </c>
      <c r="CD71" s="3666" t="str">
        <f t="shared" si="29"/>
        <v/>
      </c>
      <c r="CE71" s="3666" t="str">
        <f t="shared" si="30"/>
        <v/>
      </c>
      <c r="CF71" s="3666" t="str">
        <f t="shared" si="31"/>
        <v/>
      </c>
      <c r="CG71" s="3666" t="str">
        <f t="shared" si="32"/>
        <v/>
      </c>
      <c r="CM71" s="2842">
        <f t="shared" si="33"/>
        <v>0</v>
      </c>
      <c r="CN71" s="2842">
        <f t="shared" si="34"/>
        <v>0</v>
      </c>
      <c r="CO71" s="2842">
        <f t="shared" si="35"/>
        <v>0</v>
      </c>
      <c r="CP71" s="2842">
        <f t="shared" si="36"/>
        <v>0</v>
      </c>
      <c r="CQ71" s="2842">
        <f t="shared" si="37"/>
        <v>0</v>
      </c>
      <c r="CR71" s="2842">
        <f t="shared" si="38"/>
        <v>0</v>
      </c>
      <c r="CS71" s="2842">
        <f t="shared" si="39"/>
        <v>0</v>
      </c>
    </row>
    <row r="72" spans="1:97">
      <c r="A72" s="1694" t="s">
        <v>2345</v>
      </c>
      <c r="B72" s="1438">
        <f t="shared" si="23"/>
        <v>0</v>
      </c>
      <c r="C72" s="3420"/>
      <c r="D72" s="3420"/>
      <c r="E72" s="3420"/>
      <c r="F72" s="3420"/>
      <c r="G72" s="3424"/>
      <c r="H72" s="3420"/>
      <c r="I72" s="3420"/>
      <c r="J72" s="3424"/>
      <c r="K72" s="3420"/>
      <c r="L72" s="3423"/>
      <c r="M72" s="2231"/>
      <c r="N72" s="3635">
        <f t="shared" si="24"/>
        <v>0</v>
      </c>
      <c r="O72" s="423"/>
      <c r="P72" s="426"/>
      <c r="Q72" s="3372"/>
      <c r="R72" s="3376"/>
      <c r="S72" s="3376"/>
      <c r="T72" s="3588"/>
      <c r="U72" s="443"/>
      <c r="V72" s="443"/>
      <c r="W72" s="2231"/>
      <c r="X72" s="417" t="str">
        <f t="shared" si="25"/>
        <v/>
      </c>
      <c r="CA72" s="3666" t="str">
        <f t="shared" si="26"/>
        <v/>
      </c>
      <c r="CB72" s="3666" t="str">
        <f t="shared" si="27"/>
        <v/>
      </c>
      <c r="CC72" s="3666" t="str">
        <f t="shared" si="28"/>
        <v/>
      </c>
      <c r="CD72" s="3666" t="str">
        <f t="shared" si="29"/>
        <v/>
      </c>
      <c r="CE72" s="3666" t="str">
        <f t="shared" si="30"/>
        <v/>
      </c>
      <c r="CF72" s="3666" t="str">
        <f t="shared" si="31"/>
        <v/>
      </c>
      <c r="CG72" s="3666" t="str">
        <f t="shared" si="32"/>
        <v/>
      </c>
      <c r="CM72" s="2842">
        <f t="shared" si="33"/>
        <v>0</v>
      </c>
      <c r="CN72" s="2842">
        <f t="shared" si="34"/>
        <v>0</v>
      </c>
      <c r="CO72" s="2842">
        <f t="shared" si="35"/>
        <v>0</v>
      </c>
      <c r="CP72" s="2842">
        <f t="shared" si="36"/>
        <v>0</v>
      </c>
      <c r="CQ72" s="2842">
        <f t="shared" si="37"/>
        <v>0</v>
      </c>
      <c r="CR72" s="2842">
        <f t="shared" si="38"/>
        <v>0</v>
      </c>
      <c r="CS72" s="2842">
        <f t="shared" si="39"/>
        <v>0</v>
      </c>
    </row>
    <row r="73" spans="1:97">
      <c r="A73" s="1883" t="s">
        <v>2346</v>
      </c>
      <c r="B73" s="1453">
        <f t="shared" si="23"/>
        <v>0</v>
      </c>
      <c r="C73" s="3420"/>
      <c r="D73" s="3420"/>
      <c r="E73" s="3420"/>
      <c r="F73" s="3420"/>
      <c r="G73" s="3420"/>
      <c r="H73" s="3420"/>
      <c r="I73" s="3420"/>
      <c r="J73" s="3420"/>
      <c r="K73" s="3420"/>
      <c r="L73" s="3573"/>
      <c r="M73" s="3680"/>
      <c r="N73" s="3518">
        <f t="shared" si="24"/>
        <v>0</v>
      </c>
      <c r="O73" s="3424"/>
      <c r="P73" s="3573"/>
      <c r="Q73" s="3372"/>
      <c r="R73" s="3420"/>
      <c r="S73" s="3420"/>
      <c r="T73" s="3441"/>
      <c r="U73" s="443"/>
      <c r="V73" s="3592"/>
      <c r="W73" s="3592"/>
      <c r="X73" s="417" t="str">
        <f t="shared" si="25"/>
        <v/>
      </c>
      <c r="CA73" s="3666" t="str">
        <f t="shared" si="26"/>
        <v/>
      </c>
      <c r="CB73" s="3666" t="str">
        <f t="shared" si="27"/>
        <v/>
      </c>
      <c r="CC73" s="3666" t="str">
        <f t="shared" si="28"/>
        <v/>
      </c>
      <c r="CD73" s="3666" t="str">
        <f t="shared" si="29"/>
        <v/>
      </c>
      <c r="CE73" s="3666" t="str">
        <f t="shared" si="30"/>
        <v/>
      </c>
      <c r="CF73" s="3666" t="str">
        <f t="shared" si="31"/>
        <v/>
      </c>
      <c r="CG73" s="3666" t="str">
        <f t="shared" si="32"/>
        <v/>
      </c>
      <c r="CM73" s="2842">
        <f t="shared" si="33"/>
        <v>0</v>
      </c>
      <c r="CN73" s="2842">
        <f t="shared" si="34"/>
        <v>0</v>
      </c>
      <c r="CO73" s="2842">
        <f t="shared" si="35"/>
        <v>0</v>
      </c>
      <c r="CP73" s="2842">
        <f t="shared" si="36"/>
        <v>0</v>
      </c>
      <c r="CQ73" s="2842">
        <f t="shared" si="37"/>
        <v>0</v>
      </c>
      <c r="CR73" s="2842">
        <f t="shared" si="38"/>
        <v>0</v>
      </c>
      <c r="CS73" s="2842">
        <f t="shared" si="39"/>
        <v>0</v>
      </c>
    </row>
    <row r="74" spans="1:97">
      <c r="A74" s="3681" t="s">
        <v>91</v>
      </c>
      <c r="B74" s="1667">
        <f t="shared" si="23"/>
        <v>13</v>
      </c>
      <c r="C74" s="1744">
        <f t="shared" ref="C74:L74" si="40">SUM(C62:C73)</f>
        <v>0</v>
      </c>
      <c r="D74" s="1744">
        <f t="shared" si="40"/>
        <v>2</v>
      </c>
      <c r="E74" s="1744">
        <f t="shared" si="40"/>
        <v>0</v>
      </c>
      <c r="F74" s="1744">
        <f t="shared" si="40"/>
        <v>5</v>
      </c>
      <c r="G74" s="2310">
        <f t="shared" si="40"/>
        <v>0</v>
      </c>
      <c r="H74" s="1744">
        <f t="shared" si="40"/>
        <v>3</v>
      </c>
      <c r="I74" s="1744">
        <f t="shared" si="40"/>
        <v>0</v>
      </c>
      <c r="J74" s="2310">
        <f t="shared" si="40"/>
        <v>1</v>
      </c>
      <c r="K74" s="1744">
        <f t="shared" si="40"/>
        <v>0</v>
      </c>
      <c r="L74" s="1748">
        <f t="shared" si="40"/>
        <v>2</v>
      </c>
      <c r="M74" s="1746">
        <f>SUM(M62:M73)</f>
        <v>3</v>
      </c>
      <c r="N74" s="1750">
        <f t="shared" si="24"/>
        <v>49</v>
      </c>
      <c r="O74" s="1746">
        <f>SUM(O62:O73)</f>
        <v>14</v>
      </c>
      <c r="P74" s="3682">
        <f t="shared" ref="P74:W74" si="41">SUM(P62:P73)</f>
        <v>35</v>
      </c>
      <c r="Q74" s="1747">
        <f>SUM(Q62:Q73)</f>
        <v>0</v>
      </c>
      <c r="R74" s="1744">
        <f t="shared" si="41"/>
        <v>0</v>
      </c>
      <c r="S74" s="1744">
        <f t="shared" si="41"/>
        <v>0</v>
      </c>
      <c r="T74" s="3029">
        <f t="shared" si="41"/>
        <v>0</v>
      </c>
      <c r="U74" s="1750">
        <f t="shared" si="41"/>
        <v>12</v>
      </c>
      <c r="V74" s="1750">
        <f t="shared" si="41"/>
        <v>0</v>
      </c>
      <c r="W74" s="1745">
        <f t="shared" si="41"/>
        <v>0</v>
      </c>
    </row>
    <row r="75" spans="1:97" ht="18" customHeight="1">
      <c r="A75" s="5717" t="s">
        <v>2347</v>
      </c>
      <c r="B75" s="5717"/>
      <c r="C75" s="5717"/>
      <c r="D75" s="5717"/>
      <c r="E75" s="5717"/>
      <c r="F75" s="5717"/>
      <c r="G75" s="5717"/>
      <c r="H75" s="5717"/>
      <c r="I75" s="5717"/>
      <c r="J75" s="5717"/>
      <c r="K75" s="5717"/>
      <c r="L75" s="5717"/>
      <c r="M75" s="6780"/>
      <c r="N75" s="6780"/>
    </row>
    <row r="76" spans="1:97" ht="15" customHeight="1">
      <c r="A76" s="6141" t="s">
        <v>2348</v>
      </c>
      <c r="B76" s="6110" t="s">
        <v>2349</v>
      </c>
      <c r="C76" s="5710" t="s">
        <v>2324</v>
      </c>
      <c r="D76" s="6106"/>
      <c r="E76" s="6106"/>
      <c r="F76" s="6106"/>
      <c r="G76" s="6106"/>
      <c r="H76" s="6106"/>
      <c r="I76" s="6106"/>
      <c r="J76" s="6106"/>
      <c r="K76" s="6106"/>
      <c r="L76" s="5716"/>
      <c r="M76" s="6106" t="s">
        <v>2350</v>
      </c>
      <c r="N76" s="6106"/>
      <c r="O76" s="6106"/>
      <c r="P76" s="6106"/>
      <c r="Q76" s="6106"/>
      <c r="R76" s="5712"/>
    </row>
    <row r="77" spans="1:97" ht="37.5" customHeight="1">
      <c r="A77" s="6114"/>
      <c r="B77" s="5719"/>
      <c r="C77" s="1395" t="s">
        <v>2335</v>
      </c>
      <c r="D77" s="1396" t="s">
        <v>72</v>
      </c>
      <c r="E77" s="1398" t="s">
        <v>73</v>
      </c>
      <c r="F77" s="1733" t="s">
        <v>1334</v>
      </c>
      <c r="G77" s="1646" t="s">
        <v>1412</v>
      </c>
      <c r="H77" s="1646" t="s">
        <v>76</v>
      </c>
      <c r="I77" s="1646" t="s">
        <v>2262</v>
      </c>
      <c r="J77" s="1646" t="s">
        <v>50</v>
      </c>
      <c r="K77" s="1646" t="s">
        <v>51</v>
      </c>
      <c r="L77" s="1398" t="s">
        <v>2263</v>
      </c>
      <c r="M77" s="1396" t="s">
        <v>2325</v>
      </c>
      <c r="N77" s="1702" t="s">
        <v>2327</v>
      </c>
      <c r="O77" s="1646" t="s">
        <v>2351</v>
      </c>
      <c r="P77" s="1702" t="s">
        <v>2352</v>
      </c>
      <c r="Q77" s="1646" t="s">
        <v>2353</v>
      </c>
      <c r="R77" s="1402" t="s">
        <v>2333</v>
      </c>
    </row>
    <row r="78" spans="1:97">
      <c r="A78" s="1671" t="s">
        <v>2354</v>
      </c>
      <c r="B78" s="3589"/>
      <c r="C78" s="2404">
        <f t="shared" ref="C78:C91" si="42">SUM(D78:E78)</f>
        <v>0</v>
      </c>
      <c r="D78" s="2307"/>
      <c r="E78" s="450"/>
      <c r="F78" s="3428"/>
      <c r="G78" s="3398"/>
      <c r="H78" s="3398"/>
      <c r="I78" s="3398"/>
      <c r="J78" s="3398"/>
      <c r="K78" s="3398"/>
      <c r="L78" s="450"/>
      <c r="M78" s="2307"/>
      <c r="N78" s="3398"/>
      <c r="O78" s="3398"/>
      <c r="P78" s="3398"/>
      <c r="Q78" s="3398"/>
      <c r="R78" s="2229"/>
      <c r="S78" s="417" t="str">
        <f t="shared" ref="S78:S91" si="43">CA78&amp;CB78&amp;CC78&amp;CD78&amp;CE78&amp;CF78&amp;CG78</f>
        <v/>
      </c>
      <c r="CA78" s="3666" t="str">
        <f t="shared" ref="CA78:CA91" si="44">IF(AND(E78&gt;0,F78=""),"*No olvide digitar el campo "&amp;F$77&amp;""&amp;". Digite CERO si no tiene.", IF(F78&gt;E78," * El Número de "&amp;F$77&amp;""&amp;" no puede superar el Total Mujeres. ",""))</f>
        <v/>
      </c>
      <c r="CB78" s="3666" t="str">
        <f t="shared" ref="CB78:CB91" si="45">IF(AND(D78&gt;0,G78=""),"*No olvide digitar el campo "&amp;G$77&amp;""&amp;". Digite CERO si no tiene.", IF(G78&gt;D78," * El Número de "&amp;G$77&amp;""&amp;" no puede superar el Total Hombres. ",""))</f>
        <v/>
      </c>
      <c r="CC78" s="3666" t="str">
        <f t="shared" ref="CC78:CC91" si="46">IF(AND($C78&gt;0,H78=""),"*No olvide digitar el campo "&amp;H$77&amp;""&amp;". Digite CERO si no tiene.", IF(H78&gt;$C78," * La variable "&amp;H$77&amp;""&amp;" no puede superar el Total Ambos Sexos. ",""))</f>
        <v/>
      </c>
      <c r="CD78" s="3666" t="str">
        <f t="shared" ref="CD78:CD91" si="47">IF(AND($C78&gt;0,I78=""),"*No olvide digitar el campo "&amp;I$77&amp;""&amp;". Digite CERO si no tiene.", IF(I78&gt;$C78," * La variable "&amp;I$77&amp;""&amp;" no puede superar el Total Ambos Sexos. ",""))</f>
        <v/>
      </c>
      <c r="CE78" s="3666" t="str">
        <f t="shared" ref="CE78:CE91" si="48">IF(AND($C78&gt;0,J78=""),"*No olvide digitar el campo "&amp;J$77&amp;""&amp;". Digite CERO si no tiene.", IF(J78&gt;$C78," * La variable "&amp;J$77&amp;""&amp;" no puede superar el Total Ambos Sexos. ",""))</f>
        <v/>
      </c>
      <c r="CF78" s="3666" t="str">
        <f t="shared" ref="CF78:CF91" si="49">IF(AND($C78&gt;0,K78=""),"*No olvide digitar el campo "&amp;K$77&amp;""&amp;". Digite CERO si no tiene.", IF(K78&gt;$C78," * La variable "&amp;K$77&amp;""&amp;" no puede superar el Total Ambos Sexos. ",""))</f>
        <v/>
      </c>
      <c r="CG78" s="3666" t="str">
        <f t="shared" ref="CG78:CG91" si="50">IF(AND($C78&gt;0,L78=""),"*No olvide digitar el campo "&amp;L$77&amp;""&amp;". Digite CERO si no tiene.", IF(L78&gt;$C78," * La variable "&amp;L$77&amp;""&amp;" no puede superar el Total Ambos Sexos. ",""))</f>
        <v/>
      </c>
      <c r="CM78" s="2842">
        <f t="shared" ref="CM78:CM91" si="51">IF(AND(E78&gt;0,OR(F78="")),1,IF(F78&gt;E78,1,0))</f>
        <v>0</v>
      </c>
      <c r="CN78" s="2842">
        <f t="shared" ref="CN78:CN91" si="52">IF(AND(D78&gt;0,OR(G78="")),1,IF(G78&gt;D78,1,0))</f>
        <v>0</v>
      </c>
      <c r="CO78" s="2842">
        <f t="shared" ref="CO78:CO91" si="53">IF(AND($C78&gt;0,OR(H78="")),1,IF(H78&gt;$C78,1,0))</f>
        <v>0</v>
      </c>
      <c r="CP78" s="2842">
        <f t="shared" ref="CP78:CS91" si="54">IF(AND($C78&gt;0,OR(I78="")),1,IF(I78&gt;$C78,1,0))</f>
        <v>0</v>
      </c>
      <c r="CQ78" s="2842">
        <f t="shared" si="54"/>
        <v>0</v>
      </c>
      <c r="CR78" s="2842">
        <f t="shared" si="54"/>
        <v>0</v>
      </c>
      <c r="CS78" s="2842">
        <f t="shared" si="54"/>
        <v>0</v>
      </c>
    </row>
    <row r="79" spans="1:97">
      <c r="A79" s="1437" t="s">
        <v>2355</v>
      </c>
      <c r="B79" s="443"/>
      <c r="C79" s="1737">
        <f t="shared" si="42"/>
        <v>0</v>
      </c>
      <c r="D79" s="423"/>
      <c r="E79" s="426"/>
      <c r="F79" s="3372"/>
      <c r="G79" s="3376"/>
      <c r="H79" s="3376"/>
      <c r="I79" s="3376"/>
      <c r="J79" s="3376"/>
      <c r="K79" s="3376"/>
      <c r="L79" s="426"/>
      <c r="M79" s="423"/>
      <c r="N79" s="3376"/>
      <c r="O79" s="3376"/>
      <c r="P79" s="3376"/>
      <c r="Q79" s="3376"/>
      <c r="R79" s="2231"/>
      <c r="S79" s="417" t="str">
        <f t="shared" si="43"/>
        <v/>
      </c>
      <c r="CA79" s="3666" t="str">
        <f t="shared" si="44"/>
        <v/>
      </c>
      <c r="CB79" s="3666" t="str">
        <f t="shared" si="45"/>
        <v/>
      </c>
      <c r="CC79" s="3666" t="str">
        <f t="shared" si="46"/>
        <v/>
      </c>
      <c r="CD79" s="3666" t="str">
        <f t="shared" si="47"/>
        <v/>
      </c>
      <c r="CE79" s="3666" t="str">
        <f t="shared" si="48"/>
        <v/>
      </c>
      <c r="CF79" s="3666" t="str">
        <f t="shared" si="49"/>
        <v/>
      </c>
      <c r="CG79" s="3666" t="str">
        <f t="shared" si="50"/>
        <v/>
      </c>
      <c r="CM79" s="2842">
        <f t="shared" si="51"/>
        <v>0</v>
      </c>
      <c r="CN79" s="2842">
        <f t="shared" si="52"/>
        <v>0</v>
      </c>
      <c r="CO79" s="2842">
        <f t="shared" si="53"/>
        <v>0</v>
      </c>
      <c r="CP79" s="2842">
        <f t="shared" si="54"/>
        <v>0</v>
      </c>
      <c r="CQ79" s="2842">
        <f t="shared" ref="CQ79:CQ91" si="55">IF(AND($C79&gt;0,OR(J79="")),1,IF(J79&gt;$C79,1,0))</f>
        <v>0</v>
      </c>
      <c r="CR79" s="2842">
        <f t="shared" ref="CR79:CR91" si="56">IF(AND($C79&gt;0,OR(K79="")),1,IF(K79&gt;$C79,1,0))</f>
        <v>0</v>
      </c>
      <c r="CS79" s="2842">
        <f t="shared" ref="CS79:CS91" si="57">IF(AND($C79&gt;0,OR(L79="")),1,IF(L79&gt;$C79,1,0))</f>
        <v>0</v>
      </c>
    </row>
    <row r="80" spans="1:97">
      <c r="A80" s="1437" t="s">
        <v>2356</v>
      </c>
      <c r="B80" s="443"/>
      <c r="C80" s="1751">
        <f t="shared" si="42"/>
        <v>0</v>
      </c>
      <c r="D80" s="423"/>
      <c r="E80" s="426"/>
      <c r="F80" s="3372"/>
      <c r="G80" s="3376"/>
      <c r="H80" s="3376"/>
      <c r="I80" s="3376"/>
      <c r="J80" s="3376"/>
      <c r="K80" s="3376"/>
      <c r="L80" s="426"/>
      <c r="M80" s="423"/>
      <c r="N80" s="3376"/>
      <c r="O80" s="3376"/>
      <c r="P80" s="3376"/>
      <c r="Q80" s="3376"/>
      <c r="R80" s="2231"/>
      <c r="S80" s="417" t="str">
        <f t="shared" si="43"/>
        <v/>
      </c>
      <c r="CA80" s="3666" t="str">
        <f t="shared" si="44"/>
        <v/>
      </c>
      <c r="CB80" s="3666" t="str">
        <f t="shared" si="45"/>
        <v/>
      </c>
      <c r="CC80" s="3666" t="str">
        <f t="shared" si="46"/>
        <v/>
      </c>
      <c r="CD80" s="3666" t="str">
        <f t="shared" si="47"/>
        <v/>
      </c>
      <c r="CE80" s="3666" t="str">
        <f t="shared" si="48"/>
        <v/>
      </c>
      <c r="CF80" s="3666" t="str">
        <f t="shared" si="49"/>
        <v/>
      </c>
      <c r="CG80" s="3666" t="str">
        <f t="shared" si="50"/>
        <v/>
      </c>
      <c r="CM80" s="2842">
        <f t="shared" si="51"/>
        <v>0</v>
      </c>
      <c r="CN80" s="2842">
        <f t="shared" si="52"/>
        <v>0</v>
      </c>
      <c r="CO80" s="2842">
        <f t="shared" si="53"/>
        <v>0</v>
      </c>
      <c r="CP80" s="2842">
        <f t="shared" si="54"/>
        <v>0</v>
      </c>
      <c r="CQ80" s="2842">
        <f t="shared" si="55"/>
        <v>0</v>
      </c>
      <c r="CR80" s="2842">
        <f t="shared" si="56"/>
        <v>0</v>
      </c>
      <c r="CS80" s="2842">
        <f t="shared" si="57"/>
        <v>0</v>
      </c>
    </row>
    <row r="81" spans="1:97">
      <c r="A81" s="1437" t="s">
        <v>2357</v>
      </c>
      <c r="B81" s="3601"/>
      <c r="C81" s="1751">
        <f t="shared" si="42"/>
        <v>0</v>
      </c>
      <c r="D81" s="423"/>
      <c r="E81" s="426"/>
      <c r="F81" s="3372"/>
      <c r="G81" s="3376"/>
      <c r="H81" s="3376"/>
      <c r="I81" s="3376"/>
      <c r="J81" s="3376"/>
      <c r="K81" s="3376"/>
      <c r="L81" s="426"/>
      <c r="M81" s="423"/>
      <c r="N81" s="3376"/>
      <c r="O81" s="3376"/>
      <c r="P81" s="3376"/>
      <c r="Q81" s="3376"/>
      <c r="R81" s="2231"/>
      <c r="S81" s="417" t="str">
        <f t="shared" si="43"/>
        <v/>
      </c>
      <c r="CA81" s="3666" t="str">
        <f t="shared" si="44"/>
        <v/>
      </c>
      <c r="CB81" s="3666" t="str">
        <f t="shared" si="45"/>
        <v/>
      </c>
      <c r="CC81" s="3666" t="str">
        <f t="shared" si="46"/>
        <v/>
      </c>
      <c r="CD81" s="3666" t="str">
        <f t="shared" si="47"/>
        <v/>
      </c>
      <c r="CE81" s="3666" t="str">
        <f t="shared" si="48"/>
        <v/>
      </c>
      <c r="CF81" s="3666" t="str">
        <f t="shared" si="49"/>
        <v/>
      </c>
      <c r="CG81" s="3666" t="str">
        <f t="shared" si="50"/>
        <v/>
      </c>
      <c r="CM81" s="2842">
        <f t="shared" si="51"/>
        <v>0</v>
      </c>
      <c r="CN81" s="2842">
        <f t="shared" si="52"/>
        <v>0</v>
      </c>
      <c r="CO81" s="2842">
        <f t="shared" si="53"/>
        <v>0</v>
      </c>
      <c r="CP81" s="2842">
        <f t="shared" si="54"/>
        <v>0</v>
      </c>
      <c r="CQ81" s="2842">
        <f t="shared" si="55"/>
        <v>0</v>
      </c>
      <c r="CR81" s="2842">
        <f t="shared" si="56"/>
        <v>0</v>
      </c>
      <c r="CS81" s="2842">
        <f t="shared" si="57"/>
        <v>0</v>
      </c>
    </row>
    <row r="82" spans="1:97">
      <c r="A82" s="1437" t="s">
        <v>2358</v>
      </c>
      <c r="B82" s="443"/>
      <c r="C82" s="3591">
        <f t="shared" si="42"/>
        <v>0</v>
      </c>
      <c r="D82" s="423"/>
      <c r="E82" s="426"/>
      <c r="F82" s="3372"/>
      <c r="G82" s="3376"/>
      <c r="H82" s="3376"/>
      <c r="I82" s="3376"/>
      <c r="J82" s="3376"/>
      <c r="K82" s="3376"/>
      <c r="L82" s="426"/>
      <c r="M82" s="423"/>
      <c r="N82" s="3376"/>
      <c r="O82" s="3376"/>
      <c r="P82" s="3376"/>
      <c r="Q82" s="3376"/>
      <c r="R82" s="2231"/>
      <c r="S82" s="417" t="str">
        <f t="shared" si="43"/>
        <v/>
      </c>
      <c r="CA82" s="3666" t="str">
        <f t="shared" si="44"/>
        <v/>
      </c>
      <c r="CB82" s="3666" t="str">
        <f t="shared" si="45"/>
        <v/>
      </c>
      <c r="CC82" s="3666" t="str">
        <f t="shared" si="46"/>
        <v/>
      </c>
      <c r="CD82" s="3666" t="str">
        <f t="shared" si="47"/>
        <v/>
      </c>
      <c r="CE82" s="3666" t="str">
        <f t="shared" si="48"/>
        <v/>
      </c>
      <c r="CF82" s="3666" t="str">
        <f t="shared" si="49"/>
        <v/>
      </c>
      <c r="CG82" s="3666" t="str">
        <f t="shared" si="50"/>
        <v/>
      </c>
      <c r="CM82" s="2842">
        <f t="shared" si="51"/>
        <v>0</v>
      </c>
      <c r="CN82" s="2842">
        <f t="shared" si="52"/>
        <v>0</v>
      </c>
      <c r="CO82" s="2842">
        <f t="shared" si="53"/>
        <v>0</v>
      </c>
      <c r="CP82" s="2842">
        <f t="shared" si="54"/>
        <v>0</v>
      </c>
      <c r="CQ82" s="2842">
        <f t="shared" si="55"/>
        <v>0</v>
      </c>
      <c r="CR82" s="2842">
        <f t="shared" si="56"/>
        <v>0</v>
      </c>
      <c r="CS82" s="2842">
        <f t="shared" si="57"/>
        <v>0</v>
      </c>
    </row>
    <row r="83" spans="1:97">
      <c r="A83" s="1437" t="s">
        <v>2359</v>
      </c>
      <c r="B83" s="416"/>
      <c r="C83" s="1737">
        <f t="shared" si="42"/>
        <v>0</v>
      </c>
      <c r="D83" s="423"/>
      <c r="E83" s="426"/>
      <c r="F83" s="3372"/>
      <c r="G83" s="3376"/>
      <c r="H83" s="3376"/>
      <c r="I83" s="3376"/>
      <c r="J83" s="3376"/>
      <c r="K83" s="3376"/>
      <c r="L83" s="426"/>
      <c r="M83" s="423"/>
      <c r="N83" s="3376"/>
      <c r="O83" s="3376"/>
      <c r="P83" s="3376"/>
      <c r="Q83" s="3376"/>
      <c r="R83" s="2231"/>
      <c r="S83" s="417" t="str">
        <f t="shared" si="43"/>
        <v/>
      </c>
      <c r="CA83" s="3666" t="str">
        <f t="shared" si="44"/>
        <v/>
      </c>
      <c r="CB83" s="3666" t="str">
        <f t="shared" si="45"/>
        <v/>
      </c>
      <c r="CC83" s="3666" t="str">
        <f t="shared" si="46"/>
        <v/>
      </c>
      <c r="CD83" s="3666" t="str">
        <f t="shared" si="47"/>
        <v/>
      </c>
      <c r="CE83" s="3666" t="str">
        <f t="shared" si="48"/>
        <v/>
      </c>
      <c r="CF83" s="3666" t="str">
        <f t="shared" si="49"/>
        <v/>
      </c>
      <c r="CG83" s="3666" t="str">
        <f t="shared" si="50"/>
        <v/>
      </c>
      <c r="CM83" s="2842">
        <f t="shared" si="51"/>
        <v>0</v>
      </c>
      <c r="CN83" s="2842">
        <f t="shared" si="52"/>
        <v>0</v>
      </c>
      <c r="CO83" s="2842">
        <f t="shared" si="53"/>
        <v>0</v>
      </c>
      <c r="CP83" s="2842">
        <f t="shared" si="54"/>
        <v>0</v>
      </c>
      <c r="CQ83" s="2842">
        <f t="shared" si="55"/>
        <v>0</v>
      </c>
      <c r="CR83" s="2842">
        <f t="shared" si="56"/>
        <v>0</v>
      </c>
      <c r="CS83" s="2842">
        <f t="shared" si="57"/>
        <v>0</v>
      </c>
    </row>
    <row r="84" spans="1:97">
      <c r="A84" s="1437" t="s">
        <v>2360</v>
      </c>
      <c r="B84" s="416"/>
      <c r="C84" s="1737">
        <f t="shared" si="42"/>
        <v>0</v>
      </c>
      <c r="D84" s="423"/>
      <c r="E84" s="426"/>
      <c r="F84" s="3372"/>
      <c r="G84" s="3376"/>
      <c r="H84" s="3376"/>
      <c r="I84" s="3376"/>
      <c r="J84" s="3376"/>
      <c r="K84" s="3376"/>
      <c r="L84" s="426"/>
      <c r="M84" s="423"/>
      <c r="N84" s="3376"/>
      <c r="O84" s="3376"/>
      <c r="P84" s="3376"/>
      <c r="Q84" s="3376"/>
      <c r="R84" s="2231"/>
      <c r="S84" s="417" t="str">
        <f t="shared" si="43"/>
        <v/>
      </c>
      <c r="CA84" s="3666" t="str">
        <f t="shared" si="44"/>
        <v/>
      </c>
      <c r="CB84" s="3666" t="str">
        <f t="shared" si="45"/>
        <v/>
      </c>
      <c r="CC84" s="3666" t="str">
        <f t="shared" si="46"/>
        <v/>
      </c>
      <c r="CD84" s="3666" t="str">
        <f t="shared" si="47"/>
        <v/>
      </c>
      <c r="CE84" s="3666" t="str">
        <f t="shared" si="48"/>
        <v/>
      </c>
      <c r="CF84" s="3666" t="str">
        <f t="shared" si="49"/>
        <v/>
      </c>
      <c r="CG84" s="3666" t="str">
        <f t="shared" si="50"/>
        <v/>
      </c>
      <c r="CM84" s="2842">
        <f t="shared" si="51"/>
        <v>0</v>
      </c>
      <c r="CN84" s="2842">
        <f t="shared" si="52"/>
        <v>0</v>
      </c>
      <c r="CO84" s="2842">
        <f t="shared" si="53"/>
        <v>0</v>
      </c>
      <c r="CP84" s="2842">
        <f t="shared" si="54"/>
        <v>0</v>
      </c>
      <c r="CQ84" s="2842">
        <f t="shared" si="55"/>
        <v>0</v>
      </c>
      <c r="CR84" s="2842">
        <f t="shared" si="56"/>
        <v>0</v>
      </c>
      <c r="CS84" s="2842">
        <f t="shared" si="57"/>
        <v>0</v>
      </c>
    </row>
    <row r="85" spans="1:97">
      <c r="A85" s="1437" t="s">
        <v>2361</v>
      </c>
      <c r="B85" s="3601"/>
      <c r="C85" s="1737">
        <f t="shared" si="42"/>
        <v>0</v>
      </c>
      <c r="D85" s="423"/>
      <c r="E85" s="426"/>
      <c r="F85" s="3372"/>
      <c r="G85" s="3376"/>
      <c r="H85" s="3376"/>
      <c r="I85" s="3376"/>
      <c r="J85" s="3376"/>
      <c r="K85" s="3376"/>
      <c r="L85" s="426"/>
      <c r="M85" s="423"/>
      <c r="N85" s="3376"/>
      <c r="O85" s="3376"/>
      <c r="P85" s="3376"/>
      <c r="Q85" s="3376"/>
      <c r="R85" s="2231"/>
      <c r="S85" s="417" t="str">
        <f t="shared" si="43"/>
        <v/>
      </c>
      <c r="CA85" s="3666" t="str">
        <f t="shared" si="44"/>
        <v/>
      </c>
      <c r="CB85" s="3666" t="str">
        <f t="shared" si="45"/>
        <v/>
      </c>
      <c r="CC85" s="3666" t="str">
        <f t="shared" si="46"/>
        <v/>
      </c>
      <c r="CD85" s="3666" t="str">
        <f t="shared" si="47"/>
        <v/>
      </c>
      <c r="CE85" s="3666" t="str">
        <f t="shared" si="48"/>
        <v/>
      </c>
      <c r="CF85" s="3666" t="str">
        <f t="shared" si="49"/>
        <v/>
      </c>
      <c r="CG85" s="3666" t="str">
        <f t="shared" si="50"/>
        <v/>
      </c>
      <c r="CM85" s="2842">
        <f t="shared" si="51"/>
        <v>0</v>
      </c>
      <c r="CN85" s="2842">
        <f t="shared" si="52"/>
        <v>0</v>
      </c>
      <c r="CO85" s="2842">
        <f t="shared" si="53"/>
        <v>0</v>
      </c>
      <c r="CP85" s="2842">
        <f t="shared" si="54"/>
        <v>0</v>
      </c>
      <c r="CQ85" s="2842">
        <f t="shared" si="55"/>
        <v>0</v>
      </c>
      <c r="CR85" s="2842">
        <f t="shared" si="56"/>
        <v>0</v>
      </c>
      <c r="CS85" s="2842">
        <f t="shared" si="57"/>
        <v>0</v>
      </c>
    </row>
    <row r="86" spans="1:97">
      <c r="A86" s="1437" t="s">
        <v>2362</v>
      </c>
      <c r="B86" s="443"/>
      <c r="C86" s="1737">
        <f t="shared" si="42"/>
        <v>0</v>
      </c>
      <c r="D86" s="423"/>
      <c r="E86" s="426"/>
      <c r="F86" s="3372"/>
      <c r="G86" s="3376"/>
      <c r="H86" s="3376"/>
      <c r="I86" s="3376"/>
      <c r="J86" s="3376"/>
      <c r="K86" s="3376"/>
      <c r="L86" s="426"/>
      <c r="M86" s="423"/>
      <c r="N86" s="3376"/>
      <c r="O86" s="3376"/>
      <c r="P86" s="3376"/>
      <c r="Q86" s="3376"/>
      <c r="R86" s="2231"/>
      <c r="S86" s="417" t="str">
        <f t="shared" si="43"/>
        <v/>
      </c>
      <c r="CA86" s="3666" t="str">
        <f t="shared" si="44"/>
        <v/>
      </c>
      <c r="CB86" s="3666" t="str">
        <f t="shared" si="45"/>
        <v/>
      </c>
      <c r="CC86" s="3666" t="str">
        <f t="shared" si="46"/>
        <v/>
      </c>
      <c r="CD86" s="3666" t="str">
        <f t="shared" si="47"/>
        <v/>
      </c>
      <c r="CE86" s="3666" t="str">
        <f t="shared" si="48"/>
        <v/>
      </c>
      <c r="CF86" s="3666" t="str">
        <f t="shared" si="49"/>
        <v/>
      </c>
      <c r="CG86" s="3666" t="str">
        <f t="shared" si="50"/>
        <v/>
      </c>
      <c r="CM86" s="2842">
        <f t="shared" si="51"/>
        <v>0</v>
      </c>
      <c r="CN86" s="2842">
        <f t="shared" si="52"/>
        <v>0</v>
      </c>
      <c r="CO86" s="2842">
        <f t="shared" si="53"/>
        <v>0</v>
      </c>
      <c r="CP86" s="2842">
        <f t="shared" si="54"/>
        <v>0</v>
      </c>
      <c r="CQ86" s="2842">
        <f t="shared" si="55"/>
        <v>0</v>
      </c>
      <c r="CR86" s="2842">
        <f t="shared" si="56"/>
        <v>0</v>
      </c>
      <c r="CS86" s="2842">
        <f t="shared" si="57"/>
        <v>0</v>
      </c>
    </row>
    <row r="87" spans="1:97">
      <c r="A87" s="3683" t="s">
        <v>2363</v>
      </c>
      <c r="B87" s="3601"/>
      <c r="C87" s="1751">
        <f t="shared" si="42"/>
        <v>0</v>
      </c>
      <c r="D87" s="423"/>
      <c r="E87" s="426"/>
      <c r="F87" s="3372"/>
      <c r="G87" s="3376"/>
      <c r="H87" s="3376"/>
      <c r="I87" s="3376"/>
      <c r="J87" s="3376"/>
      <c r="K87" s="3376"/>
      <c r="L87" s="426"/>
      <c r="M87" s="423"/>
      <c r="N87" s="3376"/>
      <c r="O87" s="3376"/>
      <c r="P87" s="3376"/>
      <c r="Q87" s="3376"/>
      <c r="R87" s="2231"/>
      <c r="S87" s="417" t="str">
        <f t="shared" si="43"/>
        <v/>
      </c>
      <c r="CA87" s="3666" t="str">
        <f t="shared" si="44"/>
        <v/>
      </c>
      <c r="CB87" s="3666" t="str">
        <f t="shared" si="45"/>
        <v/>
      </c>
      <c r="CC87" s="3666" t="str">
        <f t="shared" si="46"/>
        <v/>
      </c>
      <c r="CD87" s="3666" t="str">
        <f t="shared" si="47"/>
        <v/>
      </c>
      <c r="CE87" s="3666" t="str">
        <f t="shared" si="48"/>
        <v/>
      </c>
      <c r="CF87" s="3666" t="str">
        <f t="shared" si="49"/>
        <v/>
      </c>
      <c r="CG87" s="3666" t="str">
        <f t="shared" si="50"/>
        <v/>
      </c>
      <c r="CM87" s="2842">
        <f t="shared" si="51"/>
        <v>0</v>
      </c>
      <c r="CN87" s="2842">
        <f t="shared" si="52"/>
        <v>0</v>
      </c>
      <c r="CO87" s="2842">
        <f t="shared" si="53"/>
        <v>0</v>
      </c>
      <c r="CP87" s="2842">
        <f t="shared" si="54"/>
        <v>0</v>
      </c>
      <c r="CQ87" s="2842">
        <f t="shared" si="55"/>
        <v>0</v>
      </c>
      <c r="CR87" s="2842">
        <f t="shared" si="56"/>
        <v>0</v>
      </c>
      <c r="CS87" s="2842">
        <f t="shared" si="57"/>
        <v>0</v>
      </c>
    </row>
    <row r="88" spans="1:97">
      <c r="A88" s="1691" t="s">
        <v>2364</v>
      </c>
      <c r="B88" s="443"/>
      <c r="C88" s="1751">
        <f t="shared" si="42"/>
        <v>0</v>
      </c>
      <c r="D88" s="423"/>
      <c r="E88" s="426"/>
      <c r="F88" s="3372"/>
      <c r="G88" s="3376"/>
      <c r="H88" s="3376"/>
      <c r="I88" s="3376"/>
      <c r="J88" s="3376"/>
      <c r="K88" s="3376"/>
      <c r="L88" s="426"/>
      <c r="M88" s="423"/>
      <c r="N88" s="3376"/>
      <c r="O88" s="3376"/>
      <c r="P88" s="3376"/>
      <c r="Q88" s="3376"/>
      <c r="R88" s="2231"/>
      <c r="S88" s="417" t="str">
        <f t="shared" si="43"/>
        <v/>
      </c>
      <c r="CA88" s="3666" t="str">
        <f t="shared" si="44"/>
        <v/>
      </c>
      <c r="CB88" s="3666" t="str">
        <f t="shared" si="45"/>
        <v/>
      </c>
      <c r="CC88" s="3666" t="str">
        <f t="shared" si="46"/>
        <v/>
      </c>
      <c r="CD88" s="3666" t="str">
        <f t="shared" si="47"/>
        <v/>
      </c>
      <c r="CE88" s="3666" t="str">
        <f t="shared" si="48"/>
        <v/>
      </c>
      <c r="CF88" s="3666" t="str">
        <f t="shared" si="49"/>
        <v/>
      </c>
      <c r="CG88" s="3666" t="str">
        <f t="shared" si="50"/>
        <v/>
      </c>
      <c r="CM88" s="2842">
        <f t="shared" si="51"/>
        <v>0</v>
      </c>
      <c r="CN88" s="2842">
        <f t="shared" si="52"/>
        <v>0</v>
      </c>
      <c r="CO88" s="2842">
        <f t="shared" si="53"/>
        <v>0</v>
      </c>
      <c r="CP88" s="2842">
        <f t="shared" si="54"/>
        <v>0</v>
      </c>
      <c r="CQ88" s="2842">
        <f t="shared" si="55"/>
        <v>0</v>
      </c>
      <c r="CR88" s="2842">
        <f t="shared" si="56"/>
        <v>0</v>
      </c>
      <c r="CS88" s="2842">
        <f t="shared" si="57"/>
        <v>0</v>
      </c>
    </row>
    <row r="89" spans="1:97" ht="21">
      <c r="A89" s="3197" t="s">
        <v>2365</v>
      </c>
      <c r="B89" s="443"/>
      <c r="C89" s="3591">
        <f t="shared" si="42"/>
        <v>0</v>
      </c>
      <c r="D89" s="423"/>
      <c r="E89" s="426"/>
      <c r="F89" s="3372"/>
      <c r="G89" s="3376"/>
      <c r="H89" s="3420"/>
      <c r="I89" s="3376"/>
      <c r="J89" s="3420"/>
      <c r="K89" s="3376"/>
      <c r="L89" s="3573"/>
      <c r="M89" s="423"/>
      <c r="N89" s="3376"/>
      <c r="O89" s="3420"/>
      <c r="P89" s="3376"/>
      <c r="Q89" s="3376"/>
      <c r="R89" s="3422"/>
      <c r="S89" s="417" t="str">
        <f t="shared" si="43"/>
        <v/>
      </c>
      <c r="CA89" s="3666" t="str">
        <f t="shared" si="44"/>
        <v/>
      </c>
      <c r="CB89" s="3666" t="str">
        <f t="shared" si="45"/>
        <v/>
      </c>
      <c r="CC89" s="3666" t="str">
        <f t="shared" si="46"/>
        <v/>
      </c>
      <c r="CD89" s="3666" t="str">
        <f t="shared" si="47"/>
        <v/>
      </c>
      <c r="CE89" s="3666" t="str">
        <f t="shared" si="48"/>
        <v/>
      </c>
      <c r="CF89" s="3666" t="str">
        <f t="shared" si="49"/>
        <v/>
      </c>
      <c r="CG89" s="3666" t="str">
        <f t="shared" si="50"/>
        <v/>
      </c>
      <c r="CM89" s="2842">
        <f t="shared" si="51"/>
        <v>0</v>
      </c>
      <c r="CN89" s="2842">
        <f t="shared" si="52"/>
        <v>0</v>
      </c>
      <c r="CO89" s="2842">
        <f t="shared" si="53"/>
        <v>0</v>
      </c>
      <c r="CP89" s="2842">
        <f t="shared" si="54"/>
        <v>0</v>
      </c>
      <c r="CQ89" s="2842">
        <f t="shared" si="55"/>
        <v>0</v>
      </c>
      <c r="CR89" s="2842">
        <f t="shared" si="56"/>
        <v>0</v>
      </c>
      <c r="CS89" s="2842">
        <f t="shared" si="57"/>
        <v>0</v>
      </c>
    </row>
    <row r="90" spans="1:97">
      <c r="A90" s="1729" t="s">
        <v>2366</v>
      </c>
      <c r="B90" s="443"/>
      <c r="C90" s="1737">
        <f t="shared" si="42"/>
        <v>0</v>
      </c>
      <c r="D90" s="2249"/>
      <c r="E90" s="426"/>
      <c r="F90" s="3372"/>
      <c r="G90" s="3420"/>
      <c r="H90" s="3420"/>
      <c r="I90" s="3420"/>
      <c r="J90" s="3420"/>
      <c r="K90" s="3420"/>
      <c r="L90" s="3573"/>
      <c r="M90" s="423"/>
      <c r="N90" s="3420"/>
      <c r="O90" s="3420"/>
      <c r="P90" s="3376"/>
      <c r="Q90" s="3420"/>
      <c r="R90" s="3422"/>
      <c r="S90" s="417" t="str">
        <f t="shared" si="43"/>
        <v/>
      </c>
      <c r="CA90" s="3666" t="str">
        <f t="shared" si="44"/>
        <v/>
      </c>
      <c r="CB90" s="3666" t="str">
        <f t="shared" si="45"/>
        <v/>
      </c>
      <c r="CC90" s="3666" t="str">
        <f t="shared" si="46"/>
        <v/>
      </c>
      <c r="CD90" s="3666" t="str">
        <f t="shared" si="47"/>
        <v/>
      </c>
      <c r="CE90" s="3666" t="str">
        <f t="shared" si="48"/>
        <v/>
      </c>
      <c r="CF90" s="3666" t="str">
        <f t="shared" si="49"/>
        <v/>
      </c>
      <c r="CG90" s="3666" t="str">
        <f t="shared" si="50"/>
        <v/>
      </c>
      <c r="CM90" s="2842">
        <f t="shared" si="51"/>
        <v>0</v>
      </c>
      <c r="CN90" s="2842">
        <f t="shared" si="52"/>
        <v>0</v>
      </c>
      <c r="CO90" s="2842">
        <f t="shared" si="53"/>
        <v>0</v>
      </c>
      <c r="CP90" s="2842">
        <f t="shared" si="54"/>
        <v>0</v>
      </c>
      <c r="CQ90" s="2842">
        <f t="shared" si="55"/>
        <v>0</v>
      </c>
      <c r="CR90" s="2842">
        <f t="shared" si="56"/>
        <v>0</v>
      </c>
      <c r="CS90" s="2842">
        <f t="shared" si="57"/>
        <v>0</v>
      </c>
    </row>
    <row r="91" spans="1:97">
      <c r="A91" s="1506" t="s">
        <v>2367</v>
      </c>
      <c r="B91" s="438"/>
      <c r="C91" s="1773">
        <f t="shared" si="42"/>
        <v>0</v>
      </c>
      <c r="D91" s="3519"/>
      <c r="E91" s="445"/>
      <c r="F91" s="3684"/>
      <c r="G91" s="3384"/>
      <c r="H91" s="3384"/>
      <c r="I91" s="3384"/>
      <c r="J91" s="3384"/>
      <c r="K91" s="3384"/>
      <c r="L91" s="445"/>
      <c r="M91" s="3519"/>
      <c r="N91" s="3384"/>
      <c r="O91" s="3384"/>
      <c r="P91" s="3399"/>
      <c r="Q91" s="3384"/>
      <c r="R91" s="2235"/>
      <c r="S91" s="417" t="str">
        <f t="shared" si="43"/>
        <v/>
      </c>
      <c r="CA91" s="3666" t="str">
        <f t="shared" si="44"/>
        <v/>
      </c>
      <c r="CB91" s="3666" t="str">
        <f t="shared" si="45"/>
        <v/>
      </c>
      <c r="CC91" s="3666" t="str">
        <f t="shared" si="46"/>
        <v/>
      </c>
      <c r="CD91" s="3666" t="str">
        <f t="shared" si="47"/>
        <v/>
      </c>
      <c r="CE91" s="3666" t="str">
        <f t="shared" si="48"/>
        <v/>
      </c>
      <c r="CF91" s="3666" t="str">
        <f t="shared" si="49"/>
        <v/>
      </c>
      <c r="CG91" s="3666" t="str">
        <f t="shared" si="50"/>
        <v/>
      </c>
      <c r="CM91" s="2842">
        <f t="shared" si="51"/>
        <v>0</v>
      </c>
      <c r="CN91" s="2842">
        <f t="shared" si="52"/>
        <v>0</v>
      </c>
      <c r="CO91" s="2842">
        <f t="shared" si="53"/>
        <v>0</v>
      </c>
      <c r="CP91" s="2842">
        <f t="shared" si="54"/>
        <v>0</v>
      </c>
      <c r="CQ91" s="2842">
        <f t="shared" si="55"/>
        <v>0</v>
      </c>
      <c r="CR91" s="2842">
        <f t="shared" si="56"/>
        <v>0</v>
      </c>
      <c r="CS91" s="2842">
        <f t="shared" si="57"/>
        <v>0</v>
      </c>
    </row>
    <row r="92" spans="1:97">
      <c r="A92" s="3681" t="s">
        <v>91</v>
      </c>
      <c r="B92" s="1750">
        <f>SUM(B78:B91)</f>
        <v>0</v>
      </c>
      <c r="C92" s="1743">
        <f t="shared" ref="C92:R92" si="58">SUM(C78:C91)</f>
        <v>0</v>
      </c>
      <c r="D92" s="1746">
        <f t="shared" si="58"/>
        <v>0</v>
      </c>
      <c r="E92" s="3029">
        <f t="shared" si="58"/>
        <v>0</v>
      </c>
      <c r="F92" s="1747">
        <f t="shared" si="58"/>
        <v>0</v>
      </c>
      <c r="G92" s="1744">
        <f t="shared" si="58"/>
        <v>0</v>
      </c>
      <c r="H92" s="1744">
        <f t="shared" si="58"/>
        <v>0</v>
      </c>
      <c r="I92" s="1744">
        <f t="shared" si="58"/>
        <v>0</v>
      </c>
      <c r="J92" s="1744">
        <f t="shared" si="58"/>
        <v>0</v>
      </c>
      <c r="K92" s="1744">
        <f t="shared" si="58"/>
        <v>0</v>
      </c>
      <c r="L92" s="3682">
        <f t="shared" si="58"/>
        <v>0</v>
      </c>
      <c r="M92" s="2310">
        <f t="shared" si="58"/>
        <v>0</v>
      </c>
      <c r="N92" s="1744">
        <f t="shared" si="58"/>
        <v>0</v>
      </c>
      <c r="O92" s="1744">
        <f t="shared" si="58"/>
        <v>0</v>
      </c>
      <c r="P92" s="1744">
        <f t="shared" si="58"/>
        <v>0</v>
      </c>
      <c r="Q92" s="1744">
        <f t="shared" si="58"/>
        <v>0</v>
      </c>
      <c r="R92" s="1745">
        <f t="shared" si="58"/>
        <v>0</v>
      </c>
    </row>
    <row r="93" spans="1:97" ht="18" customHeight="1">
      <c r="A93" s="6781" t="s">
        <v>2368</v>
      </c>
      <c r="B93" s="6781"/>
      <c r="C93" s="6781"/>
      <c r="D93" s="6781"/>
      <c r="E93" s="6781"/>
      <c r="F93" s="6781"/>
      <c r="G93" s="6781"/>
      <c r="H93" s="6781"/>
      <c r="I93" s="6781"/>
      <c r="J93" s="6781"/>
      <c r="K93" s="6781"/>
      <c r="L93" s="6781"/>
      <c r="M93" s="6781"/>
      <c r="N93" s="6781"/>
    </row>
    <row r="94" spans="1:97" ht="18" customHeight="1">
      <c r="A94" s="5713" t="s">
        <v>2369</v>
      </c>
      <c r="B94" s="5713"/>
      <c r="C94" s="5713"/>
      <c r="D94" s="5713"/>
      <c r="E94" s="5713"/>
      <c r="F94" s="5713"/>
      <c r="G94" s="5713"/>
      <c r="H94" s="5713"/>
      <c r="I94" s="5713"/>
      <c r="J94" s="6781"/>
      <c r="K94" s="6781"/>
      <c r="L94" s="6781"/>
      <c r="M94" s="6781"/>
      <c r="N94" s="6781"/>
    </row>
    <row r="95" spans="1:97" ht="15" customHeight="1">
      <c r="A95" s="6110" t="s">
        <v>2321</v>
      </c>
      <c r="B95" s="6120" t="s">
        <v>91</v>
      </c>
      <c r="C95" s="6187" t="s">
        <v>2370</v>
      </c>
      <c r="D95" s="6135" t="s">
        <v>2371</v>
      </c>
      <c r="E95" s="6787" t="s">
        <v>2372</v>
      </c>
      <c r="F95" s="6135" t="s">
        <v>2373</v>
      </c>
      <c r="G95" s="6135" t="s">
        <v>2374</v>
      </c>
      <c r="H95" s="6135" t="s">
        <v>2375</v>
      </c>
      <c r="I95" s="6139" t="s">
        <v>2376</v>
      </c>
      <c r="J95" s="6762" t="s">
        <v>2323</v>
      </c>
      <c r="K95" s="5710" t="s">
        <v>2324</v>
      </c>
      <c r="L95" s="6106"/>
      <c r="M95" s="6106"/>
      <c r="N95" s="6106"/>
      <c r="O95" s="6106"/>
      <c r="P95" s="6106"/>
      <c r="Q95" s="6106"/>
      <c r="R95" s="6106"/>
      <c r="S95" s="6106"/>
      <c r="T95" s="5712"/>
    </row>
    <row r="96" spans="1:97" ht="31.5" customHeight="1">
      <c r="A96" s="5719"/>
      <c r="B96" s="6116"/>
      <c r="C96" s="6188"/>
      <c r="D96" s="6136"/>
      <c r="E96" s="6788"/>
      <c r="F96" s="6136"/>
      <c r="G96" s="6136"/>
      <c r="H96" s="6136"/>
      <c r="I96" s="6115"/>
      <c r="J96" s="6764"/>
      <c r="K96" s="393" t="s">
        <v>2335</v>
      </c>
      <c r="L96" s="1395" t="s">
        <v>72</v>
      </c>
      <c r="M96" s="1398" t="s">
        <v>73</v>
      </c>
      <c r="N96" s="1733" t="s">
        <v>1334</v>
      </c>
      <c r="O96" s="1646" t="s">
        <v>1412</v>
      </c>
      <c r="P96" s="1646" t="s">
        <v>1413</v>
      </c>
      <c r="Q96" s="2320" t="s">
        <v>2262</v>
      </c>
      <c r="R96" s="1574" t="s">
        <v>50</v>
      </c>
      <c r="S96" s="1495" t="s">
        <v>51</v>
      </c>
      <c r="T96" s="1574" t="s">
        <v>2263</v>
      </c>
    </row>
    <row r="97" spans="1:97">
      <c r="A97" s="1862" t="s">
        <v>2377</v>
      </c>
      <c r="B97" s="3686">
        <f t="shared" ref="B97:B99" si="59">SUM(C97:I97)</f>
        <v>0</v>
      </c>
      <c r="C97" s="425"/>
      <c r="D97" s="3398"/>
      <c r="E97" s="3398"/>
      <c r="F97" s="3370"/>
      <c r="G97" s="3370"/>
      <c r="H97" s="3438"/>
      <c r="I97" s="3687"/>
      <c r="J97" s="2261"/>
      <c r="K97" s="2137">
        <f t="shared" ref="K97:K108" si="60">SUM(L97:M97)</f>
        <v>0</v>
      </c>
      <c r="L97" s="3437"/>
      <c r="M97" s="414"/>
      <c r="N97" s="3430"/>
      <c r="O97" s="3438"/>
      <c r="P97" s="3398"/>
      <c r="Q97" s="3665"/>
      <c r="R97" s="416"/>
      <c r="S97" s="3543"/>
      <c r="T97" s="416"/>
      <c r="U97" s="417" t="str">
        <f t="shared" ref="U97:U108" si="61">CA97&amp;CB97&amp;CC97&amp;CD97&amp;CE97&amp;CF97&amp;CG97</f>
        <v/>
      </c>
      <c r="CA97" s="3666" t="str">
        <f t="shared" ref="CA97:CA108" si="62">IF(AND(M97&gt;0,N97=""),"*No olvide digitar el campo "&amp;N$96&amp;""&amp;". Digite CERO si no tiene.", IF(N97&gt;M97," * El Número de "&amp;N$96&amp;""&amp;" no puede superar el Total Mujeres. ",""))</f>
        <v/>
      </c>
      <c r="CB97" s="3666" t="str">
        <f t="shared" ref="CB97:CB108" si="63">IF(AND(L97&gt;0,O97=""),"*No olvide digitar el campo "&amp;O$96&amp;""&amp;". Digite CERO si no tiene.", IF(O97&gt;L97," * El Número de "&amp;O$96&amp;""&amp;" no puede superar el Total Hombres. ",""))</f>
        <v/>
      </c>
      <c r="CC97" s="3666" t="str">
        <f t="shared" ref="CC97:CC108" si="64">IF(AND($K97&gt;0,P97=""),"*No olvide digitar el campo "&amp;P$96&amp;""&amp;". Digite CERO si no tiene.", IF(P97&gt;$K97," * La variable "&amp;P$96&amp;""&amp;" no puede superar el Total Ambos Sexos. ",""))</f>
        <v/>
      </c>
      <c r="CD97" s="3666" t="str">
        <f t="shared" ref="CD97:CD108" si="65">IF(AND($K97&gt;0,Q97=""),"*No olvide digitar el campo "&amp;Q$96&amp;""&amp;". Digite CERO si no tiene.", IF(Q97&gt;$K97," * La variable "&amp;Q$96&amp;""&amp;" no puede superar el Total Ambos Sexos. ",""))</f>
        <v/>
      </c>
      <c r="CE97" s="3666" t="str">
        <f t="shared" ref="CE97:CE108" si="66">IF(AND($K97&gt;0,R97=""),"*No olvide digitar el campo "&amp;R$96&amp;""&amp;". Digite CERO si no tiene.", IF(R97&gt;$K97," * La variable "&amp;R$96&amp;""&amp;" no puede superar el Total Ambos Sexos. ",""))</f>
        <v/>
      </c>
      <c r="CF97" s="3666" t="str">
        <f t="shared" ref="CF97:CF108" si="67">IF(AND($K97&gt;0,S97=""),"*No olvide digitar el campo "&amp;S$96&amp;""&amp;". Digite CERO si no tiene.", IF(S97&gt;$K97," * La variable "&amp;S$96&amp;""&amp;" no puede superar el Total Ambos Sexos. ",""))</f>
        <v/>
      </c>
      <c r="CG97" s="3666" t="str">
        <f t="shared" ref="CG97:CG108" si="68">IF(AND($K97&gt;0,T97=""),"*No olvide digitar el campo "&amp;T$96&amp;""&amp;". Digite CERO si no tiene.", IF(T97&gt;$K97," * La variable "&amp;T$96&amp;""&amp;" no puede superar el Total Ambos Sexos. ",""))</f>
        <v/>
      </c>
      <c r="CM97" s="2842">
        <f t="shared" ref="CM97:CM108" si="69">IF(AND(M97&gt;0,OR(N97="")),1,IF(N97&gt;M97,1,0))</f>
        <v>0</v>
      </c>
      <c r="CN97" s="2842">
        <f t="shared" ref="CN97:CN108" si="70">IF(AND(L97&gt;0,OR(O97="")),1,IF(O97&gt;L97,1,0))</f>
        <v>0</v>
      </c>
      <c r="CO97" s="2842">
        <f t="shared" ref="CO97:CO108" si="71">IF(AND($K97&gt;0,OR(P97="")),1,IF(P97&gt;$K97,1,0))</f>
        <v>0</v>
      </c>
      <c r="CP97" s="2842">
        <f t="shared" ref="CP97:CP108" si="72">IF(AND($K97&gt;0,OR(Q97="")),1,IF(Q97&gt;$K97,1,0))</f>
        <v>0</v>
      </c>
      <c r="CQ97" s="2842">
        <f t="shared" ref="CQ97:CQ108" si="73">IF(AND($K97&gt;0,OR(R97="")),1,IF(R97&gt;$K97,1,0))</f>
        <v>0</v>
      </c>
      <c r="CR97" s="2842">
        <f t="shared" ref="CR97:CR108" si="74">IF(AND($K97&gt;0,OR(S97="")),1,IF(S97&gt;$K97,1,0))</f>
        <v>0</v>
      </c>
      <c r="CS97" s="2842">
        <f t="shared" ref="CS97:CS108" si="75">IF(AND($K97&gt;0,OR(T97="")),1,IF(T97&gt;$K97,1,0))</f>
        <v>0</v>
      </c>
    </row>
    <row r="98" spans="1:97">
      <c r="A98" s="1691" t="s">
        <v>2230</v>
      </c>
      <c r="B98" s="1691">
        <f t="shared" si="59"/>
        <v>0</v>
      </c>
      <c r="C98" s="425"/>
      <c r="D98" s="3376"/>
      <c r="E98" s="3376"/>
      <c r="F98" s="3376"/>
      <c r="G98" s="3376"/>
      <c r="H98" s="3420"/>
      <c r="I98" s="3423"/>
      <c r="J98" s="2231"/>
      <c r="K98" s="3517">
        <f t="shared" si="60"/>
        <v>0</v>
      </c>
      <c r="L98" s="425"/>
      <c r="M98" s="3688"/>
      <c r="N98" s="3372"/>
      <c r="O98" s="3420"/>
      <c r="P98" s="3420"/>
      <c r="Q98" s="3439"/>
      <c r="R98" s="3601"/>
      <c r="S98" s="3689"/>
      <c r="T98" s="3601"/>
      <c r="U98" s="417" t="str">
        <f t="shared" si="61"/>
        <v/>
      </c>
      <c r="CA98" s="3666" t="str">
        <f t="shared" si="62"/>
        <v/>
      </c>
      <c r="CB98" s="3666" t="str">
        <f t="shared" si="63"/>
        <v/>
      </c>
      <c r="CC98" s="3666" t="str">
        <f t="shared" si="64"/>
        <v/>
      </c>
      <c r="CD98" s="3666" t="str">
        <f t="shared" si="65"/>
        <v/>
      </c>
      <c r="CE98" s="3666" t="str">
        <f t="shared" si="66"/>
        <v/>
      </c>
      <c r="CF98" s="3666" t="str">
        <f t="shared" si="67"/>
        <v/>
      </c>
      <c r="CG98" s="3666" t="str">
        <f t="shared" si="68"/>
        <v/>
      </c>
      <c r="CM98" s="2842">
        <f t="shared" si="69"/>
        <v>0</v>
      </c>
      <c r="CN98" s="2842">
        <f t="shared" si="70"/>
        <v>0</v>
      </c>
      <c r="CO98" s="2842">
        <f t="shared" si="71"/>
        <v>0</v>
      </c>
      <c r="CP98" s="2842">
        <f t="shared" si="72"/>
        <v>0</v>
      </c>
      <c r="CQ98" s="2842">
        <f t="shared" si="73"/>
        <v>0</v>
      </c>
      <c r="CR98" s="2842">
        <f t="shared" si="74"/>
        <v>0</v>
      </c>
      <c r="CS98" s="2842">
        <f t="shared" si="75"/>
        <v>0</v>
      </c>
    </row>
    <row r="99" spans="1:97">
      <c r="A99" s="1691" t="s">
        <v>2378</v>
      </c>
      <c r="B99" s="1691">
        <f t="shared" si="59"/>
        <v>0</v>
      </c>
      <c r="C99" s="425"/>
      <c r="D99" s="3438"/>
      <c r="E99" s="3438"/>
      <c r="F99" s="3376"/>
      <c r="G99" s="3376"/>
      <c r="H99" s="3420"/>
      <c r="I99" s="3412"/>
      <c r="J99" s="2231"/>
      <c r="K99" s="3517">
        <f t="shared" si="60"/>
        <v>0</v>
      </c>
      <c r="L99" s="425"/>
      <c r="M99" s="3573"/>
      <c r="N99" s="3372"/>
      <c r="O99" s="3420"/>
      <c r="P99" s="3376"/>
      <c r="Q99" s="3588"/>
      <c r="R99" s="3592"/>
      <c r="S99" s="2249"/>
      <c r="T99" s="3592"/>
      <c r="U99" s="417" t="str">
        <f t="shared" si="61"/>
        <v/>
      </c>
      <c r="CA99" s="3666" t="str">
        <f t="shared" si="62"/>
        <v/>
      </c>
      <c r="CB99" s="3666" t="str">
        <f t="shared" si="63"/>
        <v/>
      </c>
      <c r="CC99" s="3666" t="str">
        <f t="shared" si="64"/>
        <v/>
      </c>
      <c r="CD99" s="3666" t="str">
        <f t="shared" si="65"/>
        <v/>
      </c>
      <c r="CE99" s="3666" t="str">
        <f t="shared" si="66"/>
        <v/>
      </c>
      <c r="CF99" s="3666" t="str">
        <f t="shared" si="67"/>
        <v/>
      </c>
      <c r="CG99" s="3666" t="str">
        <f t="shared" si="68"/>
        <v/>
      </c>
      <c r="CM99" s="2842">
        <f t="shared" si="69"/>
        <v>0</v>
      </c>
      <c r="CN99" s="2842">
        <f t="shared" si="70"/>
        <v>0</v>
      </c>
      <c r="CO99" s="2842">
        <f t="shared" si="71"/>
        <v>0</v>
      </c>
      <c r="CP99" s="2842">
        <f t="shared" si="72"/>
        <v>0</v>
      </c>
      <c r="CQ99" s="2842">
        <f t="shared" si="73"/>
        <v>0</v>
      </c>
      <c r="CR99" s="2842">
        <f t="shared" si="74"/>
        <v>0</v>
      </c>
      <c r="CS99" s="2842">
        <f t="shared" si="75"/>
        <v>0</v>
      </c>
    </row>
    <row r="100" spans="1:97">
      <c r="A100" s="1691" t="s">
        <v>2379</v>
      </c>
      <c r="B100" s="1691">
        <f t="shared" ref="B100:B108" si="76">SUM(C100:I100)</f>
        <v>0</v>
      </c>
      <c r="C100" s="425"/>
      <c r="D100" s="3420"/>
      <c r="E100" s="3420"/>
      <c r="F100" s="3376"/>
      <c r="G100" s="3438"/>
      <c r="H100" s="3376"/>
      <c r="I100" s="3690"/>
      <c r="J100" s="2231"/>
      <c r="K100" s="3517">
        <f t="shared" si="60"/>
        <v>0</v>
      </c>
      <c r="L100" s="3437"/>
      <c r="M100" s="426"/>
      <c r="N100" s="3372"/>
      <c r="O100" s="3420"/>
      <c r="P100" s="3438"/>
      <c r="Q100" s="3588"/>
      <c r="R100" s="3592"/>
      <c r="S100" s="2249"/>
      <c r="T100" s="3592"/>
      <c r="U100" s="417" t="str">
        <f t="shared" si="61"/>
        <v/>
      </c>
      <c r="CA100" s="3666" t="str">
        <f t="shared" si="62"/>
        <v/>
      </c>
      <c r="CB100" s="3666" t="str">
        <f t="shared" si="63"/>
        <v/>
      </c>
      <c r="CC100" s="3666" t="str">
        <f t="shared" si="64"/>
        <v/>
      </c>
      <c r="CD100" s="3666" t="str">
        <f t="shared" si="65"/>
        <v/>
      </c>
      <c r="CE100" s="3666" t="str">
        <f t="shared" si="66"/>
        <v/>
      </c>
      <c r="CF100" s="3666" t="str">
        <f t="shared" si="67"/>
        <v/>
      </c>
      <c r="CG100" s="3666" t="str">
        <f t="shared" si="68"/>
        <v/>
      </c>
      <c r="CM100" s="2842">
        <f t="shared" si="69"/>
        <v>0</v>
      </c>
      <c r="CN100" s="2842">
        <f t="shared" si="70"/>
        <v>0</v>
      </c>
      <c r="CO100" s="2842">
        <f t="shared" si="71"/>
        <v>0</v>
      </c>
      <c r="CP100" s="2842">
        <f t="shared" si="72"/>
        <v>0</v>
      </c>
      <c r="CQ100" s="2842">
        <f t="shared" si="73"/>
        <v>0</v>
      </c>
      <c r="CR100" s="2842">
        <f t="shared" si="74"/>
        <v>0</v>
      </c>
      <c r="CS100" s="2842">
        <f t="shared" si="75"/>
        <v>0</v>
      </c>
    </row>
    <row r="101" spans="1:97">
      <c r="A101" s="1691" t="s">
        <v>2339</v>
      </c>
      <c r="B101" s="1691">
        <f t="shared" si="76"/>
        <v>0</v>
      </c>
      <c r="C101" s="425"/>
      <c r="D101" s="3376"/>
      <c r="E101" s="3376"/>
      <c r="F101" s="3438"/>
      <c r="G101" s="3420"/>
      <c r="H101" s="3438"/>
      <c r="I101" s="3423"/>
      <c r="J101" s="2231"/>
      <c r="K101" s="3517">
        <f t="shared" si="60"/>
        <v>0</v>
      </c>
      <c r="L101" s="425"/>
      <c r="M101" s="426"/>
      <c r="N101" s="3372"/>
      <c r="O101" s="3376"/>
      <c r="P101" s="3420"/>
      <c r="Q101" s="3588"/>
      <c r="R101" s="3592"/>
      <c r="S101" s="2249"/>
      <c r="T101" s="3592"/>
      <c r="U101" s="417" t="str">
        <f t="shared" si="61"/>
        <v/>
      </c>
      <c r="CA101" s="3666" t="str">
        <f t="shared" si="62"/>
        <v/>
      </c>
      <c r="CB101" s="3666" t="str">
        <f t="shared" si="63"/>
        <v/>
      </c>
      <c r="CC101" s="3666" t="str">
        <f t="shared" si="64"/>
        <v/>
      </c>
      <c r="CD101" s="3666" t="str">
        <f t="shared" si="65"/>
        <v/>
      </c>
      <c r="CE101" s="3666" t="str">
        <f t="shared" si="66"/>
        <v/>
      </c>
      <c r="CF101" s="3666" t="str">
        <f t="shared" si="67"/>
        <v/>
      </c>
      <c r="CG101" s="3666" t="str">
        <f t="shared" si="68"/>
        <v/>
      </c>
      <c r="CM101" s="2842">
        <f t="shared" si="69"/>
        <v>0</v>
      </c>
      <c r="CN101" s="2842">
        <f t="shared" si="70"/>
        <v>0</v>
      </c>
      <c r="CO101" s="2842">
        <f t="shared" si="71"/>
        <v>0</v>
      </c>
      <c r="CP101" s="2842">
        <f t="shared" si="72"/>
        <v>0</v>
      </c>
      <c r="CQ101" s="2842">
        <f t="shared" si="73"/>
        <v>0</v>
      </c>
      <c r="CR101" s="2842">
        <f t="shared" si="74"/>
        <v>0</v>
      </c>
      <c r="CS101" s="2842">
        <f t="shared" si="75"/>
        <v>0</v>
      </c>
    </row>
    <row r="102" spans="1:97">
      <c r="A102" s="1691" t="s">
        <v>2340</v>
      </c>
      <c r="B102" s="1691">
        <f t="shared" si="76"/>
        <v>0</v>
      </c>
      <c r="C102" s="425"/>
      <c r="D102" s="3438"/>
      <c r="E102" s="3438"/>
      <c r="F102" s="3376"/>
      <c r="G102" s="3376"/>
      <c r="H102" s="3376"/>
      <c r="I102" s="3412"/>
      <c r="J102" s="2231"/>
      <c r="K102" s="3517">
        <f t="shared" si="60"/>
        <v>0</v>
      </c>
      <c r="L102" s="425"/>
      <c r="M102" s="3688"/>
      <c r="N102" s="3372"/>
      <c r="O102" s="3438"/>
      <c r="P102" s="3420"/>
      <c r="Q102" s="3588"/>
      <c r="R102" s="3592"/>
      <c r="S102" s="2249"/>
      <c r="T102" s="3592"/>
      <c r="U102" s="417" t="str">
        <f t="shared" si="61"/>
        <v/>
      </c>
      <c r="CA102" s="3666" t="str">
        <f t="shared" si="62"/>
        <v/>
      </c>
      <c r="CB102" s="3666" t="str">
        <f t="shared" si="63"/>
        <v/>
      </c>
      <c r="CC102" s="3666" t="str">
        <f t="shared" si="64"/>
        <v/>
      </c>
      <c r="CD102" s="3666" t="str">
        <f t="shared" si="65"/>
        <v/>
      </c>
      <c r="CE102" s="3666" t="str">
        <f t="shared" si="66"/>
        <v/>
      </c>
      <c r="CF102" s="3666" t="str">
        <f t="shared" si="67"/>
        <v/>
      </c>
      <c r="CG102" s="3666" t="str">
        <f t="shared" si="68"/>
        <v/>
      </c>
      <c r="CM102" s="2842">
        <f t="shared" si="69"/>
        <v>0</v>
      </c>
      <c r="CN102" s="2842">
        <f t="shared" si="70"/>
        <v>0</v>
      </c>
      <c r="CO102" s="2842">
        <f t="shared" si="71"/>
        <v>0</v>
      </c>
      <c r="CP102" s="2842">
        <f t="shared" si="72"/>
        <v>0</v>
      </c>
      <c r="CQ102" s="2842">
        <f t="shared" si="73"/>
        <v>0</v>
      </c>
      <c r="CR102" s="2842">
        <f t="shared" si="74"/>
        <v>0</v>
      </c>
      <c r="CS102" s="2842">
        <f t="shared" si="75"/>
        <v>0</v>
      </c>
    </row>
    <row r="103" spans="1:97">
      <c r="A103" s="1691" t="s">
        <v>2341</v>
      </c>
      <c r="B103" s="1691">
        <f t="shared" si="76"/>
        <v>0</v>
      </c>
      <c r="C103" s="425"/>
      <c r="D103" s="3376"/>
      <c r="E103" s="3376"/>
      <c r="F103" s="3376"/>
      <c r="G103" s="3376"/>
      <c r="H103" s="3376"/>
      <c r="I103" s="3411"/>
      <c r="J103" s="2231"/>
      <c r="K103" s="3517">
        <f t="shared" si="60"/>
        <v>0</v>
      </c>
      <c r="L103" s="425"/>
      <c r="M103" s="3573"/>
      <c r="N103" s="3691"/>
      <c r="O103" s="3420"/>
      <c r="P103" s="3376"/>
      <c r="Q103" s="3588"/>
      <c r="R103" s="443"/>
      <c r="S103" s="2249"/>
      <c r="T103" s="443"/>
      <c r="U103" s="417" t="str">
        <f t="shared" si="61"/>
        <v/>
      </c>
      <c r="CA103" s="3666" t="str">
        <f t="shared" si="62"/>
        <v/>
      </c>
      <c r="CB103" s="3666" t="str">
        <f t="shared" si="63"/>
        <v/>
      </c>
      <c r="CC103" s="3666" t="str">
        <f t="shared" si="64"/>
        <v/>
      </c>
      <c r="CD103" s="3666" t="str">
        <f t="shared" si="65"/>
        <v/>
      </c>
      <c r="CE103" s="3666" t="str">
        <f t="shared" si="66"/>
        <v/>
      </c>
      <c r="CF103" s="3666" t="str">
        <f t="shared" si="67"/>
        <v/>
      </c>
      <c r="CG103" s="3666" t="str">
        <f t="shared" si="68"/>
        <v/>
      </c>
      <c r="CM103" s="2842">
        <f t="shared" si="69"/>
        <v>0</v>
      </c>
      <c r="CN103" s="2842">
        <f t="shared" si="70"/>
        <v>0</v>
      </c>
      <c r="CO103" s="2842">
        <f t="shared" si="71"/>
        <v>0</v>
      </c>
      <c r="CP103" s="2842">
        <f t="shared" si="72"/>
        <v>0</v>
      </c>
      <c r="CQ103" s="2842">
        <f t="shared" si="73"/>
        <v>0</v>
      </c>
      <c r="CR103" s="2842">
        <f t="shared" si="74"/>
        <v>0</v>
      </c>
      <c r="CS103" s="2842">
        <f t="shared" si="75"/>
        <v>0</v>
      </c>
    </row>
    <row r="104" spans="1:97">
      <c r="A104" s="1691" t="s">
        <v>2342</v>
      </c>
      <c r="B104" s="1691">
        <f t="shared" si="76"/>
        <v>0</v>
      </c>
      <c r="C104" s="425"/>
      <c r="D104" s="3438"/>
      <c r="E104" s="3438"/>
      <c r="F104" s="3376"/>
      <c r="G104" s="3376"/>
      <c r="H104" s="3438"/>
      <c r="I104" s="3690"/>
      <c r="J104" s="2231"/>
      <c r="K104" s="3517">
        <f t="shared" si="60"/>
        <v>0</v>
      </c>
      <c r="L104" s="3437"/>
      <c r="M104" s="3573"/>
      <c r="N104" s="3372"/>
      <c r="O104" s="3376"/>
      <c r="P104" s="3438"/>
      <c r="Q104" s="3588"/>
      <c r="R104" s="3601"/>
      <c r="S104" s="2249"/>
      <c r="T104" s="3601"/>
      <c r="U104" s="417" t="str">
        <f t="shared" si="61"/>
        <v/>
      </c>
      <c r="CA104" s="3666" t="str">
        <f t="shared" si="62"/>
        <v/>
      </c>
      <c r="CB104" s="3666" t="str">
        <f t="shared" si="63"/>
        <v/>
      </c>
      <c r="CC104" s="3666" t="str">
        <f t="shared" si="64"/>
        <v/>
      </c>
      <c r="CD104" s="3666" t="str">
        <f t="shared" si="65"/>
        <v/>
      </c>
      <c r="CE104" s="3666" t="str">
        <f t="shared" si="66"/>
        <v/>
      </c>
      <c r="CF104" s="3666" t="str">
        <f t="shared" si="67"/>
        <v/>
      </c>
      <c r="CG104" s="3666" t="str">
        <f t="shared" si="68"/>
        <v/>
      </c>
      <c r="CM104" s="2842">
        <f t="shared" si="69"/>
        <v>0</v>
      </c>
      <c r="CN104" s="2842">
        <f t="shared" si="70"/>
        <v>0</v>
      </c>
      <c r="CO104" s="2842">
        <f t="shared" si="71"/>
        <v>0</v>
      </c>
      <c r="CP104" s="2842">
        <f t="shared" si="72"/>
        <v>0</v>
      </c>
      <c r="CQ104" s="2842">
        <f t="shared" si="73"/>
        <v>0</v>
      </c>
      <c r="CR104" s="2842">
        <f t="shared" si="74"/>
        <v>0</v>
      </c>
      <c r="CS104" s="2842">
        <f t="shared" si="75"/>
        <v>0</v>
      </c>
    </row>
    <row r="105" spans="1:97">
      <c r="A105" s="1691" t="s">
        <v>2343</v>
      </c>
      <c r="B105" s="1691">
        <f t="shared" si="76"/>
        <v>0</v>
      </c>
      <c r="C105" s="425"/>
      <c r="D105" s="3420"/>
      <c r="E105" s="3420"/>
      <c r="F105" s="3376"/>
      <c r="G105" s="3376"/>
      <c r="H105" s="3376"/>
      <c r="I105" s="3412"/>
      <c r="J105" s="2231"/>
      <c r="K105" s="3517">
        <f t="shared" si="60"/>
        <v>0</v>
      </c>
      <c r="L105" s="425"/>
      <c r="M105" s="3573"/>
      <c r="N105" s="3372"/>
      <c r="O105" s="3438"/>
      <c r="P105" s="3376"/>
      <c r="Q105" s="3588"/>
      <c r="R105" s="3592"/>
      <c r="S105" s="2249"/>
      <c r="T105" s="3592"/>
      <c r="U105" s="417" t="str">
        <f t="shared" si="61"/>
        <v/>
      </c>
      <c r="CA105" s="3666" t="str">
        <f t="shared" si="62"/>
        <v/>
      </c>
      <c r="CB105" s="3666" t="str">
        <f t="shared" si="63"/>
        <v/>
      </c>
      <c r="CC105" s="3666" t="str">
        <f t="shared" si="64"/>
        <v/>
      </c>
      <c r="CD105" s="3666" t="str">
        <f t="shared" si="65"/>
        <v/>
      </c>
      <c r="CE105" s="3666" t="str">
        <f t="shared" si="66"/>
        <v/>
      </c>
      <c r="CF105" s="3666" t="str">
        <f t="shared" si="67"/>
        <v/>
      </c>
      <c r="CG105" s="3666" t="str">
        <f t="shared" si="68"/>
        <v/>
      </c>
      <c r="CM105" s="2842">
        <f t="shared" si="69"/>
        <v>0</v>
      </c>
      <c r="CN105" s="2842">
        <f t="shared" si="70"/>
        <v>0</v>
      </c>
      <c r="CO105" s="2842">
        <f t="shared" si="71"/>
        <v>0</v>
      </c>
      <c r="CP105" s="2842">
        <f t="shared" si="72"/>
        <v>0</v>
      </c>
      <c r="CQ105" s="2842">
        <f t="shared" si="73"/>
        <v>0</v>
      </c>
      <c r="CR105" s="2842">
        <f t="shared" si="74"/>
        <v>0</v>
      </c>
      <c r="CS105" s="2842">
        <f t="shared" si="75"/>
        <v>0</v>
      </c>
    </row>
    <row r="106" spans="1:97">
      <c r="A106" s="1694" t="s">
        <v>2344</v>
      </c>
      <c r="B106" s="1691">
        <f t="shared" si="76"/>
        <v>0</v>
      </c>
      <c r="C106" s="3568"/>
      <c r="D106" s="3376"/>
      <c r="E106" s="3376"/>
      <c r="F106" s="3376"/>
      <c r="G106" s="3376"/>
      <c r="H106" s="3438"/>
      <c r="I106" s="3690"/>
      <c r="J106" s="2231"/>
      <c r="K106" s="3517">
        <f t="shared" si="60"/>
        <v>0</v>
      </c>
      <c r="L106" s="425"/>
      <c r="M106" s="3573"/>
      <c r="N106" s="3691"/>
      <c r="O106" s="3420"/>
      <c r="P106" s="3376"/>
      <c r="Q106" s="3588"/>
      <c r="R106" s="443"/>
      <c r="S106" s="2249"/>
      <c r="T106" s="443"/>
      <c r="U106" s="417" t="str">
        <f t="shared" si="61"/>
        <v/>
      </c>
      <c r="CA106" s="3666" t="str">
        <f t="shared" si="62"/>
        <v/>
      </c>
      <c r="CB106" s="3666" t="str">
        <f t="shared" si="63"/>
        <v/>
      </c>
      <c r="CC106" s="3666" t="str">
        <f t="shared" si="64"/>
        <v/>
      </c>
      <c r="CD106" s="3666" t="str">
        <f t="shared" si="65"/>
        <v/>
      </c>
      <c r="CE106" s="3666" t="str">
        <f t="shared" si="66"/>
        <v/>
      </c>
      <c r="CF106" s="3666" t="str">
        <f t="shared" si="67"/>
        <v/>
      </c>
      <c r="CG106" s="3666" t="str">
        <f t="shared" si="68"/>
        <v/>
      </c>
      <c r="CM106" s="2842">
        <f t="shared" si="69"/>
        <v>0</v>
      </c>
      <c r="CN106" s="2842">
        <f t="shared" si="70"/>
        <v>0</v>
      </c>
      <c r="CO106" s="2842">
        <f t="shared" si="71"/>
        <v>0</v>
      </c>
      <c r="CP106" s="2842">
        <f t="shared" si="72"/>
        <v>0</v>
      </c>
      <c r="CQ106" s="2842">
        <f t="shared" si="73"/>
        <v>0</v>
      </c>
      <c r="CR106" s="2842">
        <f t="shared" si="74"/>
        <v>0</v>
      </c>
      <c r="CS106" s="2842">
        <f t="shared" si="75"/>
        <v>0</v>
      </c>
    </row>
    <row r="107" spans="1:97">
      <c r="A107" s="1694" t="s">
        <v>2345</v>
      </c>
      <c r="B107" s="1691">
        <f t="shared" si="76"/>
        <v>0</v>
      </c>
      <c r="C107" s="425"/>
      <c r="D107" s="3376"/>
      <c r="E107" s="3376"/>
      <c r="F107" s="3438"/>
      <c r="G107" s="3376"/>
      <c r="H107" s="3420"/>
      <c r="I107" s="3412"/>
      <c r="J107" s="2231"/>
      <c r="K107" s="3517">
        <f t="shared" si="60"/>
        <v>0</v>
      </c>
      <c r="L107" s="425"/>
      <c r="M107" s="426"/>
      <c r="N107" s="3372"/>
      <c r="O107" s="3376"/>
      <c r="P107" s="3376"/>
      <c r="Q107" s="3588"/>
      <c r="R107" s="3601"/>
      <c r="S107" s="2249"/>
      <c r="T107" s="3601"/>
      <c r="U107" s="417" t="str">
        <f t="shared" si="61"/>
        <v/>
      </c>
      <c r="CA107" s="3666" t="str">
        <f t="shared" si="62"/>
        <v/>
      </c>
      <c r="CB107" s="3666" t="str">
        <f t="shared" si="63"/>
        <v/>
      </c>
      <c r="CC107" s="3666" t="str">
        <f t="shared" si="64"/>
        <v/>
      </c>
      <c r="CD107" s="3666" t="str">
        <f t="shared" si="65"/>
        <v/>
      </c>
      <c r="CE107" s="3666" t="str">
        <f t="shared" si="66"/>
        <v/>
      </c>
      <c r="CF107" s="3666" t="str">
        <f t="shared" si="67"/>
        <v/>
      </c>
      <c r="CG107" s="3666" t="str">
        <f t="shared" si="68"/>
        <v/>
      </c>
      <c r="CM107" s="2842">
        <f t="shared" si="69"/>
        <v>0</v>
      </c>
      <c r="CN107" s="2842">
        <f t="shared" si="70"/>
        <v>0</v>
      </c>
      <c r="CO107" s="2842">
        <f t="shared" si="71"/>
        <v>0</v>
      </c>
      <c r="CP107" s="2842">
        <f t="shared" si="72"/>
        <v>0</v>
      </c>
      <c r="CQ107" s="2842">
        <f t="shared" si="73"/>
        <v>0</v>
      </c>
      <c r="CR107" s="2842">
        <f t="shared" si="74"/>
        <v>0</v>
      </c>
      <c r="CS107" s="2842">
        <f t="shared" si="75"/>
        <v>0</v>
      </c>
    </row>
    <row r="108" spans="1:97">
      <c r="A108" s="1883" t="s">
        <v>2346</v>
      </c>
      <c r="B108" s="1691">
        <f t="shared" si="76"/>
        <v>0</v>
      </c>
      <c r="C108" s="413"/>
      <c r="D108" s="3438"/>
      <c r="E108" s="3438"/>
      <c r="F108" s="3384"/>
      <c r="G108" s="3438"/>
      <c r="H108" s="3384"/>
      <c r="I108" s="3504"/>
      <c r="J108" s="2231"/>
      <c r="K108" s="3517">
        <f t="shared" si="60"/>
        <v>0</v>
      </c>
      <c r="L108" s="432"/>
      <c r="M108" s="3688"/>
      <c r="N108" s="3691"/>
      <c r="O108" s="3438"/>
      <c r="P108" s="3438"/>
      <c r="Q108" s="3439"/>
      <c r="R108" s="438"/>
      <c r="S108" s="3689"/>
      <c r="T108" s="438"/>
      <c r="U108" s="417" t="str">
        <f t="shared" si="61"/>
        <v/>
      </c>
      <c r="CA108" s="3666" t="str">
        <f t="shared" si="62"/>
        <v/>
      </c>
      <c r="CB108" s="3666" t="str">
        <f t="shared" si="63"/>
        <v/>
      </c>
      <c r="CC108" s="3666" t="str">
        <f t="shared" si="64"/>
        <v/>
      </c>
      <c r="CD108" s="3666" t="str">
        <f t="shared" si="65"/>
        <v/>
      </c>
      <c r="CE108" s="3666" t="str">
        <f t="shared" si="66"/>
        <v/>
      </c>
      <c r="CF108" s="3666" t="str">
        <f t="shared" si="67"/>
        <v/>
      </c>
      <c r="CG108" s="3666" t="str">
        <f t="shared" si="68"/>
        <v/>
      </c>
      <c r="CM108" s="2842">
        <f t="shared" si="69"/>
        <v>0</v>
      </c>
      <c r="CN108" s="2842">
        <f t="shared" si="70"/>
        <v>0</v>
      </c>
      <c r="CO108" s="2842">
        <f t="shared" si="71"/>
        <v>0</v>
      </c>
      <c r="CP108" s="2842">
        <f t="shared" si="72"/>
        <v>0</v>
      </c>
      <c r="CQ108" s="2842">
        <f t="shared" si="73"/>
        <v>0</v>
      </c>
      <c r="CR108" s="2842">
        <f t="shared" si="74"/>
        <v>0</v>
      </c>
      <c r="CS108" s="2842">
        <f t="shared" si="75"/>
        <v>0</v>
      </c>
    </row>
    <row r="109" spans="1:97">
      <c r="A109" s="3681" t="s">
        <v>91</v>
      </c>
      <c r="B109" s="1938">
        <f>SUM(B97:B108)</f>
        <v>0</v>
      </c>
      <c r="C109" s="1784">
        <f t="shared" ref="C109:S109" si="77">SUM(C97:C108)</f>
        <v>0</v>
      </c>
      <c r="D109" s="1784">
        <f t="shared" si="77"/>
        <v>0</v>
      </c>
      <c r="E109" s="1784">
        <f>SUM(E97:E108)</f>
        <v>0</v>
      </c>
      <c r="F109" s="1784">
        <f t="shared" si="77"/>
        <v>0</v>
      </c>
      <c r="G109" s="1784">
        <f t="shared" si="77"/>
        <v>0</v>
      </c>
      <c r="H109" s="1784">
        <f t="shared" si="77"/>
        <v>0</v>
      </c>
      <c r="I109" s="3692">
        <f t="shared" si="77"/>
        <v>0</v>
      </c>
      <c r="J109" s="2310">
        <f t="shared" si="77"/>
        <v>0</v>
      </c>
      <c r="K109" s="1750">
        <f>SUM(K97:K108)</f>
        <v>0</v>
      </c>
      <c r="L109" s="1743">
        <f t="shared" si="77"/>
        <v>0</v>
      </c>
      <c r="M109" s="1746">
        <f t="shared" si="77"/>
        <v>0</v>
      </c>
      <c r="N109" s="1747">
        <f t="shared" si="77"/>
        <v>0</v>
      </c>
      <c r="O109" s="1744">
        <f t="shared" si="77"/>
        <v>0</v>
      </c>
      <c r="P109" s="1744">
        <f t="shared" si="77"/>
        <v>0</v>
      </c>
      <c r="Q109" s="3029">
        <f>SUM(Q97:Q108)</f>
        <v>0</v>
      </c>
      <c r="R109" s="1750">
        <f t="shared" si="77"/>
        <v>0</v>
      </c>
      <c r="S109" s="1746">
        <f t="shared" si="77"/>
        <v>0</v>
      </c>
      <c r="T109" s="1750">
        <f>SUM(T97:T108)</f>
        <v>0</v>
      </c>
      <c r="CA109" s="1493"/>
      <c r="CB109" s="1493"/>
      <c r="CC109" s="1493"/>
      <c r="CD109" s="1493"/>
      <c r="CE109" s="1493"/>
      <c r="CF109" s="1493"/>
      <c r="CG109" s="1493"/>
    </row>
    <row r="110" spans="1:97" ht="18" customHeight="1">
      <c r="A110" s="5713" t="s">
        <v>2380</v>
      </c>
      <c r="B110" s="5713"/>
      <c r="C110" s="6781"/>
      <c r="D110" s="6781"/>
      <c r="E110" s="6781"/>
      <c r="F110" s="6781"/>
      <c r="G110" s="6781"/>
      <c r="H110" s="6781"/>
      <c r="I110" s="6781"/>
      <c r="J110" s="6781"/>
      <c r="K110" s="6781"/>
      <c r="L110" s="6781"/>
      <c r="M110" s="6781"/>
      <c r="N110" s="6781"/>
    </row>
    <row r="111" spans="1:97" ht="15" customHeight="1">
      <c r="A111" s="6140" t="s">
        <v>2348</v>
      </c>
      <c r="B111" s="5718" t="s">
        <v>2349</v>
      </c>
      <c r="C111" s="5710" t="s">
        <v>2324</v>
      </c>
      <c r="D111" s="6106"/>
      <c r="E111" s="6106"/>
      <c r="F111" s="6106"/>
      <c r="G111" s="6106"/>
      <c r="H111" s="6106"/>
      <c r="I111" s="6106"/>
      <c r="J111" s="6106"/>
      <c r="K111" s="6106"/>
      <c r="L111" s="5712"/>
      <c r="M111" s="6106" t="s">
        <v>2350</v>
      </c>
      <c r="N111" s="6106"/>
      <c r="O111" s="6106"/>
      <c r="P111" s="6106"/>
      <c r="Q111" s="6106"/>
      <c r="R111" s="5712"/>
    </row>
    <row r="112" spans="1:97" ht="42">
      <c r="A112" s="6114"/>
      <c r="B112" s="5719"/>
      <c r="C112" s="1395" t="s">
        <v>2335</v>
      </c>
      <c r="D112" s="1396" t="s">
        <v>72</v>
      </c>
      <c r="E112" s="1398" t="s">
        <v>73</v>
      </c>
      <c r="F112" s="1733" t="s">
        <v>1334</v>
      </c>
      <c r="G112" s="1646" t="s">
        <v>1412</v>
      </c>
      <c r="H112" s="1646" t="s">
        <v>76</v>
      </c>
      <c r="I112" s="1646" t="s">
        <v>2262</v>
      </c>
      <c r="J112" s="1646" t="s">
        <v>50</v>
      </c>
      <c r="K112" s="1646" t="s">
        <v>51</v>
      </c>
      <c r="L112" s="1584" t="s">
        <v>2263</v>
      </c>
      <c r="M112" s="1396" t="s">
        <v>2325</v>
      </c>
      <c r="N112" s="1646" t="s">
        <v>2327</v>
      </c>
      <c r="O112" s="1646" t="s">
        <v>2351</v>
      </c>
      <c r="P112" s="1646" t="s">
        <v>2352</v>
      </c>
      <c r="Q112" s="1646" t="s">
        <v>2353</v>
      </c>
      <c r="R112" s="1402" t="s">
        <v>2333</v>
      </c>
    </row>
    <row r="113" spans="1:97">
      <c r="A113" s="1437" t="s">
        <v>2356</v>
      </c>
      <c r="B113" s="443"/>
      <c r="C113" s="1751">
        <f t="shared" ref="C113:C122" si="78">SUM(D113:E113)</f>
        <v>0</v>
      </c>
      <c r="D113" s="423"/>
      <c r="E113" s="426"/>
      <c r="F113" s="3372"/>
      <c r="G113" s="3376"/>
      <c r="H113" s="3376"/>
      <c r="I113" s="3376"/>
      <c r="J113" s="3376"/>
      <c r="K113" s="3376"/>
      <c r="L113" s="424"/>
      <c r="M113" s="423"/>
      <c r="N113" s="3370"/>
      <c r="O113" s="3370"/>
      <c r="P113" s="3370"/>
      <c r="Q113" s="3376"/>
      <c r="R113" s="2231"/>
      <c r="CA113" s="3666" t="str">
        <f t="shared" ref="CA113:CA122" si="79">IF(AND(E113&gt;0,F113=""),"*No olvide digitar el campo "&amp;F$112&amp;""&amp;". Digite CERO si no tiene.", IF(F113&gt;E113," * El Número de "&amp;F$112&amp;""&amp;" no puede superar el Total Mujeres. ",""))</f>
        <v/>
      </c>
      <c r="CB113" s="3666" t="str">
        <f t="shared" ref="CB113:CB122" si="80">IF(AND(D113&gt;0,G113=""),"*No olvide digitar el campo "&amp;G$112&amp;""&amp;". Digite CERO si no tiene.", IF(G113&gt;D113," * El Número de "&amp;G$112&amp;""&amp;" no puede superar el Total Hombres. ",""))</f>
        <v/>
      </c>
      <c r="CC113" s="3666" t="str">
        <f t="shared" ref="CC113:CC122" si="81">IF(AND($C113&gt;0,H113=""),"*No olvide digitar el campo "&amp;H$112&amp;""&amp;". Digite CERO si no tiene.", IF(H113&gt;$C113," * La variable "&amp;H$112&amp;""&amp;" no puede superar el Total Ambos Sexos. ",""))</f>
        <v/>
      </c>
      <c r="CD113" s="3666" t="str">
        <f t="shared" ref="CD113:CD122" si="82">IF(AND($C113&gt;0,I113=""),"*No olvide digitar el campo "&amp;I$112&amp;""&amp;". Digite CERO si no tiene.", IF(I113&gt;$C113," * La variable "&amp;I$112&amp;""&amp;" no puede superar el Total Ambos Sexos. ",""))</f>
        <v/>
      </c>
      <c r="CE113" s="3666" t="str">
        <f t="shared" ref="CE113:CE122" si="83">IF(AND($C113&gt;0,J113=""),"*No olvide digitar el campo "&amp;J$112&amp;""&amp;". Digite CERO si no tiene.", IF(J113&gt;$C113," * La variable "&amp;J$112&amp;""&amp;" no puede superar el Total Ambos Sexos. ",""))</f>
        <v/>
      </c>
      <c r="CF113" s="3666" t="str">
        <f t="shared" ref="CF113:CF122" si="84">IF(AND($C113&gt;0,K113=""),"*No olvide digitar el campo "&amp;K$112&amp;""&amp;". Digite CERO si no tiene.", IF(K113&gt;$C113," * La variable "&amp;K$112&amp;""&amp;" no puede superar el Total Ambos Sexos. ",""))</f>
        <v/>
      </c>
      <c r="CG113" s="3666" t="str">
        <f t="shared" ref="CG113:CG122" si="85">IF(AND($C113&gt;0,L113=""),"*No olvide digitar el campo "&amp;L$112&amp;""&amp;". Digite CERO si no tiene.", IF(L113&gt;$C113," * La variable "&amp;L$112&amp;""&amp;" no puede superar el Total Ambos Sexos. ",""))</f>
        <v/>
      </c>
      <c r="CM113" s="2842">
        <f t="shared" ref="CM113:CM122" si="86">IF(AND(E113&gt;0,OR(F113="")),1,IF(F113&gt;E113,1,0))</f>
        <v>0</v>
      </c>
      <c r="CN113" s="2842">
        <f t="shared" ref="CN113:CN122" si="87">IF(AND(D113&gt;0,OR(G113="")),1,IF(G113&gt;D113,1,0))</f>
        <v>0</v>
      </c>
      <c r="CO113" s="2842">
        <f t="shared" ref="CO113:CO122" si="88">IF(AND($C113&gt;0,OR(H113="")),1,IF(H113&gt;$C113,1,0))</f>
        <v>0</v>
      </c>
      <c r="CP113" s="2842">
        <f t="shared" ref="CP113:CP122" si="89">IF(AND($C113&gt;0,OR(I113="")),1,IF(I113&gt;$C113,1,0))</f>
        <v>0</v>
      </c>
      <c r="CQ113" s="2842">
        <f t="shared" ref="CQ113:CQ122" si="90">IF(AND($C113&gt;0,OR(J113="")),1,IF(J113&gt;$C113,1,0))</f>
        <v>0</v>
      </c>
      <c r="CR113" s="2842">
        <f t="shared" ref="CR113:CR122" si="91">IF(AND($C113&gt;0,OR(K113="")),1,IF(K113&gt;$C113,1,0))</f>
        <v>0</v>
      </c>
      <c r="CS113" s="2842">
        <f t="shared" ref="CS113:CS122" si="92">IF(AND($C113&gt;0,OR(L113="")),1,IF(L113&gt;$C113,1,0))</f>
        <v>0</v>
      </c>
    </row>
    <row r="114" spans="1:97">
      <c r="A114" s="1437" t="s">
        <v>2359</v>
      </c>
      <c r="B114" s="443"/>
      <c r="C114" s="1737">
        <f t="shared" si="78"/>
        <v>0</v>
      </c>
      <c r="D114" s="423"/>
      <c r="E114" s="426"/>
      <c r="F114" s="3372"/>
      <c r="G114" s="3376"/>
      <c r="H114" s="3376"/>
      <c r="I114" s="3376"/>
      <c r="J114" s="3376"/>
      <c r="K114" s="3376"/>
      <c r="L114" s="424"/>
      <c r="M114" s="423"/>
      <c r="N114" s="3376"/>
      <c r="O114" s="3376"/>
      <c r="P114" s="3376"/>
      <c r="Q114" s="3376"/>
      <c r="R114" s="2231"/>
      <c r="CA114" s="3666" t="str">
        <f t="shared" si="79"/>
        <v/>
      </c>
      <c r="CB114" s="3666" t="str">
        <f t="shared" si="80"/>
        <v/>
      </c>
      <c r="CC114" s="3666" t="str">
        <f t="shared" si="81"/>
        <v/>
      </c>
      <c r="CD114" s="3666" t="str">
        <f t="shared" si="82"/>
        <v/>
      </c>
      <c r="CE114" s="3666" t="str">
        <f t="shared" si="83"/>
        <v/>
      </c>
      <c r="CF114" s="3666" t="str">
        <f t="shared" si="84"/>
        <v/>
      </c>
      <c r="CG114" s="3666" t="str">
        <f t="shared" si="85"/>
        <v/>
      </c>
      <c r="CM114" s="2842">
        <f t="shared" si="86"/>
        <v>0</v>
      </c>
      <c r="CN114" s="2842">
        <f t="shared" si="87"/>
        <v>0</v>
      </c>
      <c r="CO114" s="2842">
        <f t="shared" si="88"/>
        <v>0</v>
      </c>
      <c r="CP114" s="2842">
        <f t="shared" si="89"/>
        <v>0</v>
      </c>
      <c r="CQ114" s="2842">
        <f t="shared" si="90"/>
        <v>0</v>
      </c>
      <c r="CR114" s="2842">
        <f t="shared" si="91"/>
        <v>0</v>
      </c>
      <c r="CS114" s="2842">
        <f t="shared" si="92"/>
        <v>0</v>
      </c>
    </row>
    <row r="115" spans="1:97">
      <c r="A115" s="1437" t="s">
        <v>2360</v>
      </c>
      <c r="B115" s="416"/>
      <c r="C115" s="1737">
        <f t="shared" si="78"/>
        <v>0</v>
      </c>
      <c r="D115" s="423"/>
      <c r="E115" s="426"/>
      <c r="F115" s="3372"/>
      <c r="G115" s="3376"/>
      <c r="H115" s="3376"/>
      <c r="I115" s="3376"/>
      <c r="J115" s="3376"/>
      <c r="K115" s="3376"/>
      <c r="L115" s="424"/>
      <c r="M115" s="423"/>
      <c r="N115" s="3376"/>
      <c r="O115" s="3376"/>
      <c r="P115" s="3376"/>
      <c r="Q115" s="3376"/>
      <c r="R115" s="2231"/>
      <c r="CA115" s="3666" t="str">
        <f t="shared" si="79"/>
        <v/>
      </c>
      <c r="CB115" s="3666" t="str">
        <f t="shared" si="80"/>
        <v/>
      </c>
      <c r="CC115" s="3666" t="str">
        <f t="shared" si="81"/>
        <v/>
      </c>
      <c r="CD115" s="3666" t="str">
        <f t="shared" si="82"/>
        <v/>
      </c>
      <c r="CE115" s="3666" t="str">
        <f t="shared" si="83"/>
        <v/>
      </c>
      <c r="CF115" s="3666" t="str">
        <f t="shared" si="84"/>
        <v/>
      </c>
      <c r="CG115" s="3666" t="str">
        <f t="shared" si="85"/>
        <v/>
      </c>
      <c r="CM115" s="2842">
        <f t="shared" si="86"/>
        <v>0</v>
      </c>
      <c r="CN115" s="2842">
        <f t="shared" si="87"/>
        <v>0</v>
      </c>
      <c r="CO115" s="2842">
        <f t="shared" si="88"/>
        <v>0</v>
      </c>
      <c r="CP115" s="2842">
        <f t="shared" si="89"/>
        <v>0</v>
      </c>
      <c r="CQ115" s="2842">
        <f t="shared" si="90"/>
        <v>0</v>
      </c>
      <c r="CR115" s="2842">
        <f t="shared" si="91"/>
        <v>0</v>
      </c>
      <c r="CS115" s="2842">
        <f t="shared" si="92"/>
        <v>0</v>
      </c>
    </row>
    <row r="116" spans="1:97">
      <c r="A116" s="1437" t="s">
        <v>2361</v>
      </c>
      <c r="B116" s="3601"/>
      <c r="C116" s="1737">
        <f t="shared" si="78"/>
        <v>0</v>
      </c>
      <c r="D116" s="423"/>
      <c r="E116" s="426"/>
      <c r="F116" s="3372"/>
      <c r="G116" s="3376"/>
      <c r="H116" s="3376"/>
      <c r="I116" s="3376"/>
      <c r="J116" s="3376"/>
      <c r="K116" s="3376"/>
      <c r="L116" s="424"/>
      <c r="M116" s="423"/>
      <c r="N116" s="3376"/>
      <c r="O116" s="3376"/>
      <c r="P116" s="3376"/>
      <c r="Q116" s="3376"/>
      <c r="R116" s="2231"/>
      <c r="CA116" s="3666" t="str">
        <f t="shared" si="79"/>
        <v/>
      </c>
      <c r="CB116" s="3666" t="str">
        <f t="shared" si="80"/>
        <v/>
      </c>
      <c r="CC116" s="3666" t="str">
        <f t="shared" si="81"/>
        <v/>
      </c>
      <c r="CD116" s="3666" t="str">
        <f t="shared" si="82"/>
        <v/>
      </c>
      <c r="CE116" s="3666" t="str">
        <f t="shared" si="83"/>
        <v/>
      </c>
      <c r="CF116" s="3666" t="str">
        <f t="shared" si="84"/>
        <v/>
      </c>
      <c r="CG116" s="3666" t="str">
        <f t="shared" si="85"/>
        <v/>
      </c>
      <c r="CM116" s="2842">
        <f t="shared" si="86"/>
        <v>0</v>
      </c>
      <c r="CN116" s="2842">
        <f t="shared" si="87"/>
        <v>0</v>
      </c>
      <c r="CO116" s="2842">
        <f t="shared" si="88"/>
        <v>0</v>
      </c>
      <c r="CP116" s="2842">
        <f t="shared" si="89"/>
        <v>0</v>
      </c>
      <c r="CQ116" s="2842">
        <f t="shared" si="90"/>
        <v>0</v>
      </c>
      <c r="CR116" s="2842">
        <f t="shared" si="91"/>
        <v>0</v>
      </c>
      <c r="CS116" s="2842">
        <f t="shared" si="92"/>
        <v>0</v>
      </c>
    </row>
    <row r="117" spans="1:97">
      <c r="A117" s="1437" t="s">
        <v>2362</v>
      </c>
      <c r="B117" s="443"/>
      <c r="C117" s="1737">
        <f t="shared" si="78"/>
        <v>0</v>
      </c>
      <c r="D117" s="423"/>
      <c r="E117" s="426"/>
      <c r="F117" s="3372"/>
      <c r="G117" s="3376"/>
      <c r="H117" s="3376"/>
      <c r="I117" s="3376"/>
      <c r="J117" s="3376"/>
      <c r="K117" s="3376"/>
      <c r="L117" s="424"/>
      <c r="M117" s="423"/>
      <c r="N117" s="3376"/>
      <c r="O117" s="3376"/>
      <c r="P117" s="3376"/>
      <c r="Q117" s="3376"/>
      <c r="R117" s="2231"/>
      <c r="CA117" s="3666" t="str">
        <f t="shared" si="79"/>
        <v/>
      </c>
      <c r="CB117" s="3666" t="str">
        <f t="shared" si="80"/>
        <v/>
      </c>
      <c r="CC117" s="3666" t="str">
        <f t="shared" si="81"/>
        <v/>
      </c>
      <c r="CD117" s="3666" t="str">
        <f t="shared" si="82"/>
        <v/>
      </c>
      <c r="CE117" s="3666" t="str">
        <f t="shared" si="83"/>
        <v/>
      </c>
      <c r="CF117" s="3666" t="str">
        <f t="shared" si="84"/>
        <v/>
      </c>
      <c r="CG117" s="3666" t="str">
        <f t="shared" si="85"/>
        <v/>
      </c>
      <c r="CM117" s="2842">
        <f t="shared" si="86"/>
        <v>0</v>
      </c>
      <c r="CN117" s="2842">
        <f t="shared" si="87"/>
        <v>0</v>
      </c>
      <c r="CO117" s="2842">
        <f t="shared" si="88"/>
        <v>0</v>
      </c>
      <c r="CP117" s="2842">
        <f t="shared" si="89"/>
        <v>0</v>
      </c>
      <c r="CQ117" s="2842">
        <f t="shared" si="90"/>
        <v>0</v>
      </c>
      <c r="CR117" s="2842">
        <f t="shared" si="91"/>
        <v>0</v>
      </c>
      <c r="CS117" s="2842">
        <f t="shared" si="92"/>
        <v>0</v>
      </c>
    </row>
    <row r="118" spans="1:97">
      <c r="A118" s="3683" t="s">
        <v>2363</v>
      </c>
      <c r="B118" s="3601"/>
      <c r="C118" s="1751">
        <f t="shared" si="78"/>
        <v>0</v>
      </c>
      <c r="D118" s="423"/>
      <c r="E118" s="426"/>
      <c r="F118" s="3372"/>
      <c r="G118" s="3376"/>
      <c r="H118" s="3376"/>
      <c r="I118" s="3376"/>
      <c r="J118" s="3376"/>
      <c r="K118" s="3376"/>
      <c r="L118" s="424"/>
      <c r="M118" s="423"/>
      <c r="N118" s="3376"/>
      <c r="O118" s="3376"/>
      <c r="P118" s="3376"/>
      <c r="Q118" s="3376"/>
      <c r="R118" s="2231"/>
      <c r="CA118" s="3666" t="str">
        <f t="shared" si="79"/>
        <v/>
      </c>
      <c r="CB118" s="3666" t="str">
        <f t="shared" si="80"/>
        <v/>
      </c>
      <c r="CC118" s="3666" t="str">
        <f t="shared" si="81"/>
        <v/>
      </c>
      <c r="CD118" s="3666" t="str">
        <f t="shared" si="82"/>
        <v/>
      </c>
      <c r="CE118" s="3666" t="str">
        <f t="shared" si="83"/>
        <v/>
      </c>
      <c r="CF118" s="3666" t="str">
        <f t="shared" si="84"/>
        <v/>
      </c>
      <c r="CG118" s="3666" t="str">
        <f t="shared" si="85"/>
        <v/>
      </c>
      <c r="CM118" s="2842">
        <f t="shared" si="86"/>
        <v>0</v>
      </c>
      <c r="CN118" s="2842">
        <f t="shared" si="87"/>
        <v>0</v>
      </c>
      <c r="CO118" s="2842">
        <f t="shared" si="88"/>
        <v>0</v>
      </c>
      <c r="CP118" s="2842">
        <f t="shared" si="89"/>
        <v>0</v>
      </c>
      <c r="CQ118" s="2842">
        <f t="shared" si="90"/>
        <v>0</v>
      </c>
      <c r="CR118" s="2842">
        <f t="shared" si="91"/>
        <v>0</v>
      </c>
      <c r="CS118" s="2842">
        <f t="shared" si="92"/>
        <v>0</v>
      </c>
    </row>
    <row r="119" spans="1:97">
      <c r="A119" s="1691" t="s">
        <v>2364</v>
      </c>
      <c r="B119" s="443"/>
      <c r="C119" s="1751">
        <f t="shared" si="78"/>
        <v>0</v>
      </c>
      <c r="D119" s="423"/>
      <c r="E119" s="426"/>
      <c r="F119" s="3372"/>
      <c r="G119" s="3376"/>
      <c r="H119" s="3376"/>
      <c r="I119" s="3376"/>
      <c r="J119" s="3376"/>
      <c r="K119" s="3376"/>
      <c r="L119" s="424"/>
      <c r="M119" s="423"/>
      <c r="N119" s="3376"/>
      <c r="O119" s="3376"/>
      <c r="P119" s="3376"/>
      <c r="Q119" s="3376"/>
      <c r="R119" s="2231"/>
      <c r="CA119" s="3666" t="str">
        <f t="shared" si="79"/>
        <v/>
      </c>
      <c r="CB119" s="3666" t="str">
        <f t="shared" si="80"/>
        <v/>
      </c>
      <c r="CC119" s="3666" t="str">
        <f t="shared" si="81"/>
        <v/>
      </c>
      <c r="CD119" s="3666" t="str">
        <f t="shared" si="82"/>
        <v/>
      </c>
      <c r="CE119" s="3666" t="str">
        <f t="shared" si="83"/>
        <v/>
      </c>
      <c r="CF119" s="3666" t="str">
        <f t="shared" si="84"/>
        <v/>
      </c>
      <c r="CG119" s="3666" t="str">
        <f t="shared" si="85"/>
        <v/>
      </c>
      <c r="CM119" s="2842">
        <f t="shared" si="86"/>
        <v>0</v>
      </c>
      <c r="CN119" s="2842">
        <f t="shared" si="87"/>
        <v>0</v>
      </c>
      <c r="CO119" s="2842">
        <f t="shared" si="88"/>
        <v>0</v>
      </c>
      <c r="CP119" s="2842">
        <f t="shared" si="89"/>
        <v>0</v>
      </c>
      <c r="CQ119" s="2842">
        <f t="shared" si="90"/>
        <v>0</v>
      </c>
      <c r="CR119" s="2842">
        <f t="shared" si="91"/>
        <v>0</v>
      </c>
      <c r="CS119" s="2842">
        <f t="shared" si="92"/>
        <v>0</v>
      </c>
    </row>
    <row r="120" spans="1:97" ht="21">
      <c r="A120" s="3197" t="s">
        <v>2365</v>
      </c>
      <c r="B120" s="443"/>
      <c r="C120" s="3591">
        <f t="shared" si="78"/>
        <v>0</v>
      </c>
      <c r="D120" s="423"/>
      <c r="E120" s="426"/>
      <c r="F120" s="3372"/>
      <c r="G120" s="3376"/>
      <c r="H120" s="3420"/>
      <c r="I120" s="3376"/>
      <c r="J120" s="3420"/>
      <c r="K120" s="3376"/>
      <c r="L120" s="3441"/>
      <c r="M120" s="423"/>
      <c r="N120" s="3376"/>
      <c r="O120" s="3420"/>
      <c r="P120" s="3376"/>
      <c r="Q120" s="3376"/>
      <c r="R120" s="3422"/>
      <c r="CA120" s="3666" t="str">
        <f t="shared" si="79"/>
        <v/>
      </c>
      <c r="CB120" s="3666" t="str">
        <f t="shared" si="80"/>
        <v/>
      </c>
      <c r="CC120" s="3666" t="str">
        <f t="shared" si="81"/>
        <v/>
      </c>
      <c r="CD120" s="3666" t="str">
        <f t="shared" si="82"/>
        <v/>
      </c>
      <c r="CE120" s="3666" t="str">
        <f t="shared" si="83"/>
        <v/>
      </c>
      <c r="CF120" s="3666" t="str">
        <f t="shared" si="84"/>
        <v/>
      </c>
      <c r="CG120" s="3666" t="str">
        <f t="shared" si="85"/>
        <v/>
      </c>
      <c r="CM120" s="2842">
        <f t="shared" si="86"/>
        <v>0</v>
      </c>
      <c r="CN120" s="2842">
        <f t="shared" si="87"/>
        <v>0</v>
      </c>
      <c r="CO120" s="2842">
        <f t="shared" si="88"/>
        <v>0</v>
      </c>
      <c r="CP120" s="2842">
        <f t="shared" si="89"/>
        <v>0</v>
      </c>
      <c r="CQ120" s="2842">
        <f t="shared" si="90"/>
        <v>0</v>
      </c>
      <c r="CR120" s="2842">
        <f t="shared" si="91"/>
        <v>0</v>
      </c>
      <c r="CS120" s="2842">
        <f t="shared" si="92"/>
        <v>0</v>
      </c>
    </row>
    <row r="121" spans="1:97">
      <c r="A121" s="1729" t="s">
        <v>2366</v>
      </c>
      <c r="B121" s="443"/>
      <c r="C121" s="1737">
        <f t="shared" si="78"/>
        <v>0</v>
      </c>
      <c r="D121" s="2249"/>
      <c r="E121" s="426"/>
      <c r="F121" s="3372"/>
      <c r="G121" s="3420"/>
      <c r="H121" s="3420"/>
      <c r="I121" s="3420"/>
      <c r="J121" s="3420"/>
      <c r="K121" s="3420"/>
      <c r="L121" s="3441"/>
      <c r="M121" s="423"/>
      <c r="N121" s="3420"/>
      <c r="O121" s="3420"/>
      <c r="P121" s="3376"/>
      <c r="Q121" s="3420"/>
      <c r="R121" s="3422"/>
      <c r="CA121" s="3666" t="str">
        <f t="shared" si="79"/>
        <v/>
      </c>
      <c r="CB121" s="3666" t="str">
        <f t="shared" si="80"/>
        <v/>
      </c>
      <c r="CC121" s="3666" t="str">
        <f t="shared" si="81"/>
        <v/>
      </c>
      <c r="CD121" s="3666" t="str">
        <f t="shared" si="82"/>
        <v/>
      </c>
      <c r="CE121" s="3666" t="str">
        <f t="shared" si="83"/>
        <v/>
      </c>
      <c r="CF121" s="3666" t="str">
        <f t="shared" si="84"/>
        <v/>
      </c>
      <c r="CG121" s="3666" t="str">
        <f t="shared" si="85"/>
        <v/>
      </c>
      <c r="CM121" s="2842">
        <f t="shared" si="86"/>
        <v>0</v>
      </c>
      <c r="CN121" s="2842">
        <f t="shared" si="87"/>
        <v>0</v>
      </c>
      <c r="CO121" s="2842">
        <f t="shared" si="88"/>
        <v>0</v>
      </c>
      <c r="CP121" s="2842">
        <f t="shared" si="89"/>
        <v>0</v>
      </c>
      <c r="CQ121" s="2842">
        <f t="shared" si="90"/>
        <v>0</v>
      </c>
      <c r="CR121" s="2842">
        <f t="shared" si="91"/>
        <v>0</v>
      </c>
      <c r="CS121" s="2842">
        <f t="shared" si="92"/>
        <v>0</v>
      </c>
    </row>
    <row r="122" spans="1:97">
      <c r="A122" s="1506" t="s">
        <v>2367</v>
      </c>
      <c r="B122" s="438"/>
      <c r="C122" s="1773">
        <f t="shared" si="78"/>
        <v>0</v>
      </c>
      <c r="D122" s="3519"/>
      <c r="E122" s="445"/>
      <c r="F122" s="3684"/>
      <c r="G122" s="3384"/>
      <c r="H122" s="3384"/>
      <c r="I122" s="3384"/>
      <c r="J122" s="3384"/>
      <c r="K122" s="3384"/>
      <c r="L122" s="433"/>
      <c r="M122" s="3519"/>
      <c r="N122" s="3384"/>
      <c r="O122" s="3384"/>
      <c r="P122" s="3399"/>
      <c r="Q122" s="3384"/>
      <c r="R122" s="2235"/>
      <c r="CA122" s="3666" t="str">
        <f t="shared" si="79"/>
        <v/>
      </c>
      <c r="CB122" s="3666" t="str">
        <f t="shared" si="80"/>
        <v/>
      </c>
      <c r="CC122" s="3666" t="str">
        <f t="shared" si="81"/>
        <v/>
      </c>
      <c r="CD122" s="3666" t="str">
        <f t="shared" si="82"/>
        <v/>
      </c>
      <c r="CE122" s="3666" t="str">
        <f t="shared" si="83"/>
        <v/>
      </c>
      <c r="CF122" s="3666" t="str">
        <f t="shared" si="84"/>
        <v/>
      </c>
      <c r="CG122" s="3666" t="str">
        <f t="shared" si="85"/>
        <v/>
      </c>
      <c r="CM122" s="2842">
        <f t="shared" si="86"/>
        <v>0</v>
      </c>
      <c r="CN122" s="2842">
        <f t="shared" si="87"/>
        <v>0</v>
      </c>
      <c r="CO122" s="2842">
        <f t="shared" si="88"/>
        <v>0</v>
      </c>
      <c r="CP122" s="2842">
        <f t="shared" si="89"/>
        <v>0</v>
      </c>
      <c r="CQ122" s="2842">
        <f t="shared" si="90"/>
        <v>0</v>
      </c>
      <c r="CR122" s="2842">
        <f t="shared" si="91"/>
        <v>0</v>
      </c>
      <c r="CS122" s="2842">
        <f t="shared" si="92"/>
        <v>0</v>
      </c>
    </row>
    <row r="123" spans="1:97">
      <c r="A123" s="3681" t="s">
        <v>91</v>
      </c>
      <c r="B123" s="1750">
        <f>SUM(B113:B122)</f>
        <v>0</v>
      </c>
      <c r="C123" s="1743">
        <f t="shared" ref="C123:R123" si="93">SUM(C113:C122)</f>
        <v>0</v>
      </c>
      <c r="D123" s="1746">
        <f t="shared" si="93"/>
        <v>0</v>
      </c>
      <c r="E123" s="3682">
        <f t="shared" si="93"/>
        <v>0</v>
      </c>
      <c r="F123" s="1747">
        <f t="shared" si="93"/>
        <v>0</v>
      </c>
      <c r="G123" s="1744">
        <f t="shared" si="93"/>
        <v>0</v>
      </c>
      <c r="H123" s="1744">
        <f t="shared" si="93"/>
        <v>0</v>
      </c>
      <c r="I123" s="1744">
        <f t="shared" si="93"/>
        <v>0</v>
      </c>
      <c r="J123" s="1744">
        <f t="shared" si="93"/>
        <v>0</v>
      </c>
      <c r="K123" s="1744">
        <f t="shared" si="93"/>
        <v>0</v>
      </c>
      <c r="L123" s="2297">
        <f t="shared" si="93"/>
        <v>0</v>
      </c>
      <c r="M123" s="2310">
        <f t="shared" si="93"/>
        <v>0</v>
      </c>
      <c r="N123" s="1744">
        <f t="shared" si="93"/>
        <v>0</v>
      </c>
      <c r="O123" s="1744">
        <f t="shared" si="93"/>
        <v>0</v>
      </c>
      <c r="P123" s="1744">
        <f t="shared" si="93"/>
        <v>0</v>
      </c>
      <c r="Q123" s="1744">
        <f t="shared" si="93"/>
        <v>0</v>
      </c>
      <c r="R123" s="1745">
        <f t="shared" si="93"/>
        <v>0</v>
      </c>
    </row>
    <row r="199" spans="1:2" hidden="1"/>
    <row r="200" spans="1:2" hidden="1">
      <c r="A200" s="460">
        <f>SUM(B12:B51,B53:B57,B62:B73,B78:C91,B97:B108,B113:C122)</f>
        <v>14125</v>
      </c>
      <c r="B200" s="460">
        <f>SUM(CM12:CU122)</f>
        <v>101</v>
      </c>
    </row>
    <row r="201" spans="1:2" hidden="1"/>
  </sheetData>
  <sheetProtection algorithmName="SHA-512" hashValue="EMM/P4t8Ako6MQWzYXAeEGMcGf3Q6nmATfrBEQCXqY9lUvE9+QdIhq7Jlreza1hxge/PGS+0U2y2I359zN2agw==" saltValue="lxrOwikFRo4rrfwTinc7qw==" spinCount="100000" sheet="1" objects="1" scenarios="1"/>
  <mergeCells count="43">
    <mergeCell ref="A6:N6"/>
    <mergeCell ref="A8:K8"/>
    <mergeCell ref="A9:A10"/>
    <mergeCell ref="B9:D9"/>
    <mergeCell ref="E9:F9"/>
    <mergeCell ref="G9:G10"/>
    <mergeCell ref="H9:I9"/>
    <mergeCell ref="J9:K9"/>
    <mergeCell ref="L9:L10"/>
    <mergeCell ref="M9:M10"/>
    <mergeCell ref="N9:N10"/>
    <mergeCell ref="O9:O10"/>
    <mergeCell ref="P9:P10"/>
    <mergeCell ref="Q9:R9"/>
    <mergeCell ref="A58:N58"/>
    <mergeCell ref="A60:A61"/>
    <mergeCell ref="B60:B61"/>
    <mergeCell ref="C60:L60"/>
    <mergeCell ref="M60:M61"/>
    <mergeCell ref="N60:W60"/>
    <mergeCell ref="A75:N75"/>
    <mergeCell ref="A76:A77"/>
    <mergeCell ref="B76:B77"/>
    <mergeCell ref="C76:L76"/>
    <mergeCell ref="M76:R76"/>
    <mergeCell ref="A93:N93"/>
    <mergeCell ref="A94:N94"/>
    <mergeCell ref="A95:A96"/>
    <mergeCell ref="B95:B96"/>
    <mergeCell ref="C95:C96"/>
    <mergeCell ref="D95:D96"/>
    <mergeCell ref="E95:E96"/>
    <mergeCell ref="F95:F96"/>
    <mergeCell ref="G95:G96"/>
    <mergeCell ref="H95:H96"/>
    <mergeCell ref="I95:I96"/>
    <mergeCell ref="J95:J96"/>
    <mergeCell ref="K95:T95"/>
    <mergeCell ref="A110:N110"/>
    <mergeCell ref="A111:A112"/>
    <mergeCell ref="B111:B112"/>
    <mergeCell ref="C111:L111"/>
    <mergeCell ref="M111:R111"/>
  </mergeCells>
  <dataValidations count="3">
    <dataValidation type="whole" operator="greaterThanOrEqual" allowBlank="1" showInputMessage="1" showErrorMessage="1" sqref="N62:N74 K97:K109 C78:R91 L97:T108 C97:J108 B113:R122 O62:W73 C62:M73 C12:R51" xr:uid="{00CB0009-008C-4DE8-BA25-00D7000D00C9}">
      <formula1>0</formula1>
    </dataValidation>
    <dataValidation type="whole" operator="greaterThan" allowBlank="1" showInputMessage="1" showErrorMessage="1" sqref="B78:B91" xr:uid="{00A000BC-00B5-40E3-89A4-0092003C0087}">
      <formula1>0</formula1>
    </dataValidation>
    <dataValidation type="whole" allowBlank="1" showInputMessage="1" showErrorMessage="1" sqref="E53:R57 C53 C54:D57" xr:uid="{00FB0065-009E-4EB5-9061-0043001400B8}">
      <formula1>0</formula1>
      <formula2>9.99999999999999E+39</formula2>
    </dataValidation>
  </dataValidations>
  <pageMargins left="0.23622047244094491" right="0.23622047244094491" top="0.74803149606299213" bottom="0.74803149606299213" header="0.31496062992125984" footer="0.31496062992125984"/>
  <pageSetup paperSize="9" scale="50" orientation="landscape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Hoja15"/>
  <dimension ref="A1:CF204"/>
  <sheetViews>
    <sheetView showGridLines="0" workbookViewId="0"/>
  </sheetViews>
  <sheetFormatPr baseColWidth="10" defaultColWidth="11.42578125" defaultRowHeight="15"/>
  <cols>
    <col min="1" max="1" width="75.42578125" customWidth="1"/>
    <col min="2" max="2" width="16.5703125" customWidth="1"/>
    <col min="3" max="4" width="16.7109375" customWidth="1"/>
    <col min="5" max="5" width="16.5703125" customWidth="1"/>
    <col min="6" max="6" width="15.140625" customWidth="1"/>
    <col min="7" max="8" width="15.85546875" customWidth="1"/>
    <col min="9" max="9" width="14.85546875" customWidth="1"/>
    <col min="10" max="10" width="21.28515625" customWidth="1"/>
    <col min="11" max="11" width="14.28515625" customWidth="1"/>
    <col min="12" max="12" width="12.85546875" customWidth="1"/>
    <col min="13" max="13" width="13" customWidth="1"/>
    <col min="14" max="14" width="10" customWidth="1"/>
    <col min="15" max="26" width="11.42578125" customWidth="1"/>
    <col min="27" max="27" width="14.140625" customWidth="1"/>
    <col min="28" max="28" width="15.7109375" customWidth="1"/>
    <col min="29" max="29" width="11.42578125" customWidth="1"/>
    <col min="30" max="30" width="12.28515625" customWidth="1"/>
    <col min="31" max="31" width="13.5703125" customWidth="1"/>
    <col min="32" max="42" width="11.42578125" customWidth="1"/>
    <col min="43" max="43" width="16" customWidth="1"/>
    <col min="44" max="46" width="11.42578125" customWidth="1"/>
    <col min="47" max="67" width="11.42578125" hidden="1" customWidth="1"/>
    <col min="68" max="69" width="0" hidden="1" customWidth="1"/>
    <col min="84" max="84" width="11.7109375" customWidth="1"/>
    <col min="85" max="85" width="12.28515625" customWidth="1"/>
    <col min="86" max="112" width="11.42578125" customWidth="1"/>
  </cols>
  <sheetData>
    <row r="1" spans="1:84">
      <c r="A1" s="378" t="s">
        <v>37</v>
      </c>
      <c r="E1" t="s">
        <v>2381</v>
      </c>
      <c r="K1" t="s">
        <v>2382</v>
      </c>
    </row>
    <row r="2" spans="1:84">
      <c r="A2" s="378" t="str">
        <f>CONCATENATE("COMUNA: ",NOMBRE!B2, " (",NOMBRE!C2,NOMBRE!D2,NOMBRE!E2,NOMBRE!F2,NOMBRE!G2,")")</f>
        <v>COMUNA: MAIPU (13119)</v>
      </c>
    </row>
    <row r="3" spans="1:84">
      <c r="A3" s="378" t="str">
        <f>CONCATENATE("ESTABLECIMIENTO/ESTRATEGIA: ", NOMBRE!B3, " (",NOMBRE!C3,NOMBRE!D3,NOMBRE!E3,NOMBRE!F3,NOMBRE!G3,NOMBRE!H3,")")</f>
        <v>ESTABLECIMIENTO/ESTRATEGIA: CESFAM DR. CARLOS GODOY (111380)</v>
      </c>
    </row>
    <row r="4" spans="1:84">
      <c r="A4" s="378" t="str">
        <f>CONCATENATE("MES: ",NOMBRE!B6, " (",NOMBRE!C6,NOMBRE!D6,")")</f>
        <v>MES: MARZO (03)</v>
      </c>
    </row>
    <row r="5" spans="1:84">
      <c r="A5" s="378" t="str">
        <f>CONCATENATE("AÑO: ",NOMBRE!B7)</f>
        <v>AÑO: 2026</v>
      </c>
    </row>
    <row r="6" spans="1:84" s="383" customFormat="1" ht="18" customHeight="1">
      <c r="A6" s="6811" t="s">
        <v>2383</v>
      </c>
      <c r="B6" s="6811"/>
      <c r="C6" s="6811"/>
      <c r="D6" s="6811"/>
      <c r="E6" s="6811"/>
      <c r="F6" s="6811"/>
      <c r="G6" s="6811"/>
      <c r="H6" s="6811"/>
      <c r="I6" s="6811"/>
      <c r="J6" s="6811"/>
      <c r="K6" s="3361"/>
      <c r="L6" s="3361"/>
      <c r="M6" s="3361"/>
      <c r="N6" s="3361"/>
      <c r="O6" s="3361"/>
      <c r="P6" s="3361"/>
      <c r="Q6" s="3361"/>
      <c r="R6" s="3361"/>
      <c r="S6" s="3361"/>
      <c r="T6" s="3361"/>
      <c r="U6" s="3361"/>
      <c r="V6" s="3361"/>
      <c r="W6" s="3361"/>
      <c r="X6" s="3361"/>
      <c r="Y6" s="3361"/>
      <c r="Z6" s="3361"/>
      <c r="AA6" s="3361"/>
      <c r="AB6" s="3361"/>
      <c r="AC6" s="3361"/>
      <c r="AD6" s="3361"/>
      <c r="AE6" s="3361"/>
    </row>
    <row r="8" spans="1:84" s="385" customFormat="1" ht="18" customHeight="1">
      <c r="A8" s="3693" t="s">
        <v>2384</v>
      </c>
      <c r="B8" s="1582"/>
      <c r="C8" s="1582"/>
      <c r="D8" s="1582"/>
      <c r="E8" s="1582"/>
      <c r="F8" s="1582"/>
      <c r="G8" s="1582"/>
      <c r="H8" s="1582"/>
      <c r="I8" s="1582"/>
      <c r="J8" s="1582"/>
      <c r="K8" s="1582"/>
      <c r="L8" s="1582"/>
      <c r="M8" s="1582"/>
      <c r="N8" s="1582"/>
      <c r="O8" s="1582"/>
      <c r="P8" s="1582"/>
      <c r="Q8" s="1582"/>
      <c r="R8" s="1582"/>
      <c r="S8" s="1582"/>
      <c r="T8" s="1582"/>
      <c r="U8" s="1582"/>
      <c r="V8" s="1582"/>
      <c r="W8" s="1582"/>
      <c r="X8" s="1582"/>
      <c r="Y8" s="1582"/>
      <c r="Z8" s="1582"/>
      <c r="AA8" s="1582"/>
      <c r="AB8" s="1582"/>
      <c r="AC8" s="1582"/>
      <c r="AD8" s="1582"/>
      <c r="AE8" s="1582"/>
    </row>
    <row r="9" spans="1:84" ht="15" customHeight="1">
      <c r="A9" s="6812" t="s">
        <v>2385</v>
      </c>
      <c r="B9" s="6813" t="s">
        <v>2386</v>
      </c>
      <c r="C9" s="6816" t="s">
        <v>2387</v>
      </c>
      <c r="D9" s="6816" t="s">
        <v>2388</v>
      </c>
      <c r="E9" s="6816" t="s">
        <v>2389</v>
      </c>
      <c r="F9" s="6583" t="s">
        <v>2390</v>
      </c>
      <c r="G9" s="6819" t="s">
        <v>2391</v>
      </c>
      <c r="H9" s="6820"/>
      <c r="I9" s="6820"/>
      <c r="J9" s="6820"/>
      <c r="K9" s="6820"/>
      <c r="L9" s="6820"/>
      <c r="M9" s="6820"/>
      <c r="N9" s="6820"/>
      <c r="O9" s="6820"/>
      <c r="P9" s="6820"/>
      <c r="Q9" s="6820"/>
      <c r="R9" s="6820"/>
      <c r="S9" s="6820"/>
      <c r="T9" s="6820"/>
      <c r="U9" s="6820"/>
      <c r="V9" s="6820"/>
      <c r="W9" s="6820"/>
      <c r="X9" s="6820"/>
      <c r="Y9" s="6821"/>
      <c r="Z9" s="6794" t="s">
        <v>2392</v>
      </c>
      <c r="AA9" s="6794"/>
      <c r="AB9" s="6794"/>
      <c r="AC9" s="6794"/>
      <c r="AD9" s="6794"/>
      <c r="AE9" s="6795"/>
    </row>
    <row r="10" spans="1:84" ht="15" customHeight="1">
      <c r="A10" s="6812"/>
      <c r="B10" s="6814"/>
      <c r="C10" s="6817"/>
      <c r="D10" s="6817"/>
      <c r="E10" s="6817"/>
      <c r="F10" s="6584"/>
      <c r="G10" s="6621" t="s">
        <v>2393</v>
      </c>
      <c r="H10" s="6622"/>
      <c r="I10" s="6622"/>
      <c r="J10" s="6583"/>
      <c r="K10" s="6621" t="s">
        <v>2394</v>
      </c>
      <c r="L10" s="6622"/>
      <c r="M10" s="6622"/>
      <c r="N10" s="6622"/>
      <c r="O10" s="6583"/>
      <c r="P10" s="6621" t="s">
        <v>2395</v>
      </c>
      <c r="Q10" s="6622"/>
      <c r="R10" s="6622"/>
      <c r="S10" s="6622"/>
      <c r="T10" s="6583"/>
      <c r="U10" s="6621" t="s">
        <v>2396</v>
      </c>
      <c r="V10" s="6622"/>
      <c r="W10" s="6622"/>
      <c r="X10" s="6622"/>
      <c r="Y10" s="6627"/>
      <c r="Z10" s="6622" t="s">
        <v>2397</v>
      </c>
      <c r="AA10" s="6622"/>
      <c r="AB10" s="6583"/>
      <c r="AC10" s="6621" t="s">
        <v>2398</v>
      </c>
      <c r="AD10" s="6622"/>
      <c r="AE10" s="6583"/>
    </row>
    <row r="11" spans="1:84">
      <c r="A11" s="6812"/>
      <c r="B11" s="6814"/>
      <c r="C11" s="6817"/>
      <c r="D11" s="6817"/>
      <c r="E11" s="6817"/>
      <c r="F11" s="6584"/>
      <c r="G11" s="6625"/>
      <c r="H11" s="6626"/>
      <c r="I11" s="6626"/>
      <c r="J11" s="6585"/>
      <c r="K11" s="6625"/>
      <c r="L11" s="6626"/>
      <c r="M11" s="6626"/>
      <c r="N11" s="6626"/>
      <c r="O11" s="6585"/>
      <c r="P11" s="6625"/>
      <c r="Q11" s="6626"/>
      <c r="R11" s="6626"/>
      <c r="S11" s="6626"/>
      <c r="T11" s="6585"/>
      <c r="U11" s="6625"/>
      <c r="V11" s="6626"/>
      <c r="W11" s="6626"/>
      <c r="X11" s="6626"/>
      <c r="Y11" s="6629"/>
      <c r="Z11" s="6626"/>
      <c r="AA11" s="6626"/>
      <c r="AB11" s="6585"/>
      <c r="AC11" s="6625"/>
      <c r="AD11" s="6626"/>
      <c r="AE11" s="6585"/>
      <c r="CF11" t="str">
        <f>IF(AND($C11&lt;&gt;0,AA11=""),"* No olvide ingresar la variable "&amp;AA9&amp;""&amp;". Digite CERO si no tiene.  ",IF(AA11&gt;$C11,"* La variable Niños, Niñas, Adolescentes y Jóvenes Mejor Niñez no debe ser mayor al Total. ",""))</f>
        <v/>
      </c>
    </row>
    <row r="12" spans="1:84" ht="21">
      <c r="A12" s="6490"/>
      <c r="B12" s="6815"/>
      <c r="C12" s="6818"/>
      <c r="D12" s="6818"/>
      <c r="E12" s="6818"/>
      <c r="F12" s="6585"/>
      <c r="G12" s="3696" t="s">
        <v>947</v>
      </c>
      <c r="H12" s="3697" t="s">
        <v>2399</v>
      </c>
      <c r="I12" s="3697" t="s">
        <v>2400</v>
      </c>
      <c r="J12" s="1644" t="s">
        <v>619</v>
      </c>
      <c r="K12" s="3696" t="s">
        <v>947</v>
      </c>
      <c r="L12" s="3697" t="s">
        <v>2399</v>
      </c>
      <c r="M12" s="3697" t="s">
        <v>2400</v>
      </c>
      <c r="N12" s="3697" t="s">
        <v>619</v>
      </c>
      <c r="O12" s="1644" t="s">
        <v>2401</v>
      </c>
      <c r="P12" s="3696" t="s">
        <v>947</v>
      </c>
      <c r="Q12" s="3697" t="s">
        <v>2399</v>
      </c>
      <c r="R12" s="3697" t="s">
        <v>2400</v>
      </c>
      <c r="S12" s="3697" t="s">
        <v>619</v>
      </c>
      <c r="T12" s="1644" t="s">
        <v>2401</v>
      </c>
      <c r="U12" s="3696" t="s">
        <v>947</v>
      </c>
      <c r="V12" s="3697" t="s">
        <v>2399</v>
      </c>
      <c r="W12" s="3697" t="s">
        <v>2400</v>
      </c>
      <c r="X12" s="3697" t="s">
        <v>619</v>
      </c>
      <c r="Y12" s="3698" t="s">
        <v>2401</v>
      </c>
      <c r="Z12" s="3699" t="s">
        <v>947</v>
      </c>
      <c r="AA12" s="3697" t="s">
        <v>2402</v>
      </c>
      <c r="AB12" s="3700" t="s">
        <v>2403</v>
      </c>
      <c r="AC12" s="3696" t="s">
        <v>947</v>
      </c>
      <c r="AD12" s="3697" t="s">
        <v>2402</v>
      </c>
      <c r="AE12" s="3700" t="s">
        <v>2403</v>
      </c>
    </row>
    <row r="13" spans="1:84">
      <c r="A13" s="3701" t="s">
        <v>2404</v>
      </c>
      <c r="B13" s="3702">
        <f t="shared" ref="B13:AE13" si="0">SUM(B14:B17)</f>
        <v>0</v>
      </c>
      <c r="C13" s="3703">
        <f t="shared" si="0"/>
        <v>0</v>
      </c>
      <c r="D13" s="3704">
        <f t="shared" si="0"/>
        <v>0</v>
      </c>
      <c r="E13" s="3704">
        <f t="shared" si="0"/>
        <v>0</v>
      </c>
      <c r="F13" s="3705">
        <f t="shared" si="0"/>
        <v>0</v>
      </c>
      <c r="G13" s="3706">
        <f t="shared" si="0"/>
        <v>0</v>
      </c>
      <c r="H13" s="3704">
        <f t="shared" si="0"/>
        <v>0</v>
      </c>
      <c r="I13" s="3704">
        <f t="shared" si="0"/>
        <v>0</v>
      </c>
      <c r="J13" s="3705">
        <f t="shared" si="0"/>
        <v>0</v>
      </c>
      <c r="K13" s="3706">
        <f t="shared" si="0"/>
        <v>0</v>
      </c>
      <c r="L13" s="3704">
        <f t="shared" si="0"/>
        <v>0</v>
      </c>
      <c r="M13" s="3704">
        <f t="shared" si="0"/>
        <v>0</v>
      </c>
      <c r="N13" s="3704">
        <f t="shared" si="0"/>
        <v>0</v>
      </c>
      <c r="O13" s="3705">
        <f t="shared" si="0"/>
        <v>0</v>
      </c>
      <c r="P13" s="3706">
        <f t="shared" si="0"/>
        <v>0</v>
      </c>
      <c r="Q13" s="3704">
        <f t="shared" si="0"/>
        <v>0</v>
      </c>
      <c r="R13" s="3704">
        <f t="shared" si="0"/>
        <v>0</v>
      </c>
      <c r="S13" s="3704">
        <f t="shared" si="0"/>
        <v>0</v>
      </c>
      <c r="T13" s="3705">
        <f t="shared" si="0"/>
        <v>0</v>
      </c>
      <c r="U13" s="3706">
        <f t="shared" si="0"/>
        <v>0</v>
      </c>
      <c r="V13" s="3704">
        <f t="shared" si="0"/>
        <v>0</v>
      </c>
      <c r="W13" s="3704">
        <f t="shared" si="0"/>
        <v>0</v>
      </c>
      <c r="X13" s="3704">
        <f t="shared" si="0"/>
        <v>0</v>
      </c>
      <c r="Y13" s="3707">
        <f t="shared" si="0"/>
        <v>0</v>
      </c>
      <c r="Z13" s="3703">
        <f t="shared" si="0"/>
        <v>0</v>
      </c>
      <c r="AA13" s="3704">
        <f>SUM(AA14:AA17)</f>
        <v>0</v>
      </c>
      <c r="AB13" s="3708">
        <f t="shared" si="0"/>
        <v>0</v>
      </c>
      <c r="AC13" s="3706">
        <f t="shared" si="0"/>
        <v>0</v>
      </c>
      <c r="AD13" s="3704">
        <f t="shared" si="0"/>
        <v>0</v>
      </c>
      <c r="AE13" s="3708">
        <f t="shared" si="0"/>
        <v>0</v>
      </c>
    </row>
    <row r="14" spans="1:84">
      <c r="A14" s="3709" t="s">
        <v>2405</v>
      </c>
      <c r="B14" s="3710"/>
      <c r="C14" s="3711"/>
      <c r="D14" s="3711"/>
      <c r="E14" s="3711"/>
      <c r="F14" s="3711"/>
      <c r="G14" s="3712">
        <f t="shared" ref="G14:G17" si="1">SUM(H14:J14)</f>
        <v>0</v>
      </c>
      <c r="H14" s="3713"/>
      <c r="I14" s="3711"/>
      <c r="J14" s="3711"/>
      <c r="K14" s="3714">
        <f t="shared" ref="K14:K17" si="2">SUM(L14:O14)</f>
        <v>0</v>
      </c>
      <c r="L14" s="3713"/>
      <c r="M14" s="3711"/>
      <c r="N14" s="3715"/>
      <c r="O14" s="3716"/>
      <c r="P14" s="3714">
        <f t="shared" ref="P14:P17" si="3">SUM(Q14:T14)</f>
        <v>0</v>
      </c>
      <c r="Q14" s="3713"/>
      <c r="R14" s="3711"/>
      <c r="S14" s="3715"/>
      <c r="T14" s="3716"/>
      <c r="U14" s="3714">
        <f t="shared" ref="U14:U17" si="4">SUM(V14:Y14)</f>
        <v>0</v>
      </c>
      <c r="V14" s="3713"/>
      <c r="W14" s="3711"/>
      <c r="X14" s="3715"/>
      <c r="Y14" s="3717"/>
      <c r="Z14" s="3718">
        <f t="shared" ref="Z14:Z17" si="5">SUM(AA14:AB14)</f>
        <v>0</v>
      </c>
      <c r="AA14" s="3711"/>
      <c r="AB14" s="3719"/>
      <c r="AC14" s="3714">
        <f t="shared" ref="AC14:AC17" si="6">SUM(AD14:AE14)</f>
        <v>0</v>
      </c>
      <c r="AD14" s="3711"/>
      <c r="AE14" s="3719"/>
    </row>
    <row r="15" spans="1:84">
      <c r="A15" s="3720" t="s">
        <v>2406</v>
      </c>
      <c r="B15" s="3721"/>
      <c r="C15" s="3722"/>
      <c r="D15" s="3722"/>
      <c r="E15" s="3722"/>
      <c r="F15" s="3722"/>
      <c r="G15" s="3723">
        <f t="shared" si="1"/>
        <v>0</v>
      </c>
      <c r="H15" s="3724"/>
      <c r="I15" s="3722"/>
      <c r="J15" s="3724"/>
      <c r="K15" s="3723">
        <f t="shared" si="2"/>
        <v>0</v>
      </c>
      <c r="L15" s="3724"/>
      <c r="M15" s="3724"/>
      <c r="N15" s="3725"/>
      <c r="O15" s="3726"/>
      <c r="P15" s="3723">
        <f t="shared" si="3"/>
        <v>0</v>
      </c>
      <c r="Q15" s="3724"/>
      <c r="R15" s="3722"/>
      <c r="S15" s="3725"/>
      <c r="T15" s="3726"/>
      <c r="U15" s="3723">
        <f t="shared" si="4"/>
        <v>0</v>
      </c>
      <c r="V15" s="3724"/>
      <c r="W15" s="3722"/>
      <c r="X15" s="3725"/>
      <c r="Y15" s="3727"/>
      <c r="Z15" s="3728">
        <f t="shared" si="5"/>
        <v>0</v>
      </c>
      <c r="AA15" s="3722"/>
      <c r="AB15" s="3729"/>
      <c r="AC15" s="3723">
        <f t="shared" si="6"/>
        <v>0</v>
      </c>
      <c r="AD15" s="3722"/>
      <c r="AE15" s="3729"/>
    </row>
    <row r="16" spans="1:84">
      <c r="A16" s="3730" t="s">
        <v>2407</v>
      </c>
      <c r="B16" s="3721"/>
      <c r="C16" s="3722"/>
      <c r="D16" s="3722"/>
      <c r="E16" s="3722"/>
      <c r="F16" s="3722"/>
      <c r="G16" s="3723">
        <f t="shared" si="1"/>
        <v>0</v>
      </c>
      <c r="H16" s="3724"/>
      <c r="I16" s="3722"/>
      <c r="J16" s="3731"/>
      <c r="K16" s="3723">
        <f t="shared" si="2"/>
        <v>0</v>
      </c>
      <c r="L16" s="3724"/>
      <c r="M16" s="3731"/>
      <c r="N16" s="3732"/>
      <c r="O16" s="3733"/>
      <c r="P16" s="3723">
        <f t="shared" si="3"/>
        <v>0</v>
      </c>
      <c r="Q16" s="3724"/>
      <c r="R16" s="3731"/>
      <c r="S16" s="3732"/>
      <c r="T16" s="3733"/>
      <c r="U16" s="3723">
        <f t="shared" si="4"/>
        <v>0</v>
      </c>
      <c r="V16" s="3724"/>
      <c r="W16" s="3731"/>
      <c r="X16" s="3732"/>
      <c r="Y16" s="3734"/>
      <c r="Z16" s="3728">
        <f t="shared" si="5"/>
        <v>0</v>
      </c>
      <c r="AA16" s="3722"/>
      <c r="AB16" s="3729"/>
      <c r="AC16" s="3723">
        <f t="shared" si="6"/>
        <v>0</v>
      </c>
      <c r="AD16" s="3722"/>
      <c r="AE16" s="3729"/>
    </row>
    <row r="17" spans="1:65">
      <c r="A17" s="3735" t="s">
        <v>2408</v>
      </c>
      <c r="B17" s="3736"/>
      <c r="C17" s="3737"/>
      <c r="D17" s="3738"/>
      <c r="E17" s="3738"/>
      <c r="F17" s="3739"/>
      <c r="G17" s="3740">
        <f t="shared" si="1"/>
        <v>0</v>
      </c>
      <c r="H17" s="3741"/>
      <c r="I17" s="3742"/>
      <c r="J17" s="3743"/>
      <c r="K17" s="3744">
        <f t="shared" si="2"/>
        <v>0</v>
      </c>
      <c r="L17" s="3741"/>
      <c r="M17" s="3745"/>
      <c r="N17" s="3746"/>
      <c r="O17" s="3743"/>
      <c r="P17" s="3744">
        <f t="shared" si="3"/>
        <v>0</v>
      </c>
      <c r="Q17" s="3745"/>
      <c r="R17" s="3737"/>
      <c r="S17" s="3746"/>
      <c r="T17" s="3743"/>
      <c r="U17" s="3744">
        <f t="shared" si="4"/>
        <v>0</v>
      </c>
      <c r="V17" s="3745"/>
      <c r="W17" s="3737"/>
      <c r="X17" s="3746"/>
      <c r="Y17" s="3747"/>
      <c r="Z17" s="3748">
        <f t="shared" si="5"/>
        <v>0</v>
      </c>
      <c r="AA17" s="3737"/>
      <c r="AB17" s="3749"/>
      <c r="AC17" s="3740">
        <f t="shared" si="6"/>
        <v>0</v>
      </c>
      <c r="AD17" s="3737"/>
      <c r="AE17" s="3749"/>
    </row>
    <row r="18" spans="1:65">
      <c r="A18" s="3750" t="s">
        <v>2409</v>
      </c>
    </row>
    <row r="19" spans="1:65" s="385" customFormat="1" ht="18" customHeight="1">
      <c r="A19" s="3751" t="s">
        <v>2410</v>
      </c>
      <c r="B19" s="3752"/>
      <c r="C19" s="3753"/>
      <c r="D19" s="3753"/>
      <c r="E19" s="3753"/>
      <c r="F19" s="3753"/>
      <c r="G19" s="3752"/>
    </row>
    <row r="20" spans="1:65" ht="32.25" customHeight="1">
      <c r="A20" s="3754" t="s">
        <v>2411</v>
      </c>
      <c r="B20" s="3755" t="s">
        <v>91</v>
      </c>
      <c r="C20" s="3756" t="s">
        <v>2412</v>
      </c>
      <c r="D20" s="3756" t="s">
        <v>2413</v>
      </c>
      <c r="E20" s="3756" t="s">
        <v>2414</v>
      </c>
      <c r="F20" s="3757" t="s">
        <v>930</v>
      </c>
    </row>
    <row r="21" spans="1:65" ht="15" customHeight="1">
      <c r="A21" s="3758" t="s">
        <v>2415</v>
      </c>
      <c r="B21" s="3759">
        <f t="shared" ref="B21:B25" si="7">SUM(C21:F21)</f>
        <v>0</v>
      </c>
      <c r="C21" s="3760"/>
      <c r="D21" s="3760"/>
      <c r="E21" s="3760"/>
      <c r="F21" s="3761"/>
    </row>
    <row r="22" spans="1:65" ht="15" customHeight="1">
      <c r="A22" s="3762" t="s">
        <v>789</v>
      </c>
      <c r="B22" s="3763">
        <f t="shared" si="7"/>
        <v>0</v>
      </c>
      <c r="C22" s="3764"/>
      <c r="D22" s="3764"/>
      <c r="E22" s="3764"/>
      <c r="F22" s="3765"/>
    </row>
    <row r="23" spans="1:65" ht="15" customHeight="1">
      <c r="A23" s="3762" t="s">
        <v>2416</v>
      </c>
      <c r="B23" s="3763">
        <f t="shared" si="7"/>
        <v>0</v>
      </c>
      <c r="C23" s="3764"/>
      <c r="D23" s="3764"/>
      <c r="E23" s="3764"/>
      <c r="F23" s="3765"/>
    </row>
    <row r="24" spans="1:65" ht="15" customHeight="1">
      <c r="A24" s="3762" t="s">
        <v>2417</v>
      </c>
      <c r="B24" s="3763">
        <f t="shared" si="7"/>
        <v>0</v>
      </c>
      <c r="C24" s="3764"/>
      <c r="D24" s="3764"/>
      <c r="E24" s="3764"/>
      <c r="F24" s="3765"/>
    </row>
    <row r="25" spans="1:65" ht="15" customHeight="1">
      <c r="A25" s="3766" t="s">
        <v>846</v>
      </c>
      <c r="B25" s="3767">
        <f t="shared" si="7"/>
        <v>0</v>
      </c>
      <c r="C25" s="3768"/>
      <c r="D25" s="3768"/>
      <c r="E25" s="3768"/>
      <c r="F25" s="3769"/>
    </row>
    <row r="26" spans="1:65" s="385" customFormat="1" ht="18" customHeight="1">
      <c r="A26" s="3751" t="s">
        <v>2418</v>
      </c>
    </row>
    <row r="27" spans="1:65" s="385" customFormat="1" ht="18" customHeight="1">
      <c r="A27" s="3751" t="s">
        <v>2419</v>
      </c>
    </row>
    <row r="28" spans="1:65" s="385" customFormat="1" ht="18" customHeight="1">
      <c r="A28" s="3751" t="s">
        <v>2420</v>
      </c>
      <c r="B28" s="3770"/>
      <c r="C28" s="3771"/>
      <c r="D28" s="3771"/>
      <c r="E28" s="3771"/>
      <c r="F28" s="3771"/>
      <c r="G28" s="3771"/>
      <c r="H28" s="3771"/>
      <c r="I28" s="3772"/>
      <c r="J28" s="3772"/>
      <c r="K28" s="3773"/>
      <c r="L28" s="3773"/>
    </row>
    <row r="29" spans="1:65">
      <c r="A29" s="6807" t="s">
        <v>2411</v>
      </c>
      <c r="B29" s="6808"/>
      <c r="C29" s="6799" t="s">
        <v>91</v>
      </c>
      <c r="D29" s="6791" t="s">
        <v>43</v>
      </c>
      <c r="E29" s="6792"/>
      <c r="F29" s="6792"/>
      <c r="G29" s="6793"/>
      <c r="H29" s="6796" t="s">
        <v>2421</v>
      </c>
      <c r="I29" s="6797"/>
      <c r="J29" s="6797"/>
      <c r="K29" s="6797"/>
      <c r="L29" s="6797"/>
      <c r="M29" s="6798"/>
      <c r="N29" s="6789" t="s">
        <v>2422</v>
      </c>
      <c r="O29" s="6790"/>
    </row>
    <row r="30" spans="1:65" ht="21">
      <c r="A30" s="6809"/>
      <c r="B30" s="6810"/>
      <c r="C30" s="6800"/>
      <c r="D30" s="3778" t="s">
        <v>2423</v>
      </c>
      <c r="E30" s="3779" t="s">
        <v>58</v>
      </c>
      <c r="F30" s="3779" t="s">
        <v>2424</v>
      </c>
      <c r="G30" s="3780" t="s">
        <v>1211</v>
      </c>
      <c r="H30" s="3781" t="s">
        <v>1036</v>
      </c>
      <c r="I30" s="3782" t="s">
        <v>576</v>
      </c>
      <c r="J30" s="3782" t="s">
        <v>2166</v>
      </c>
      <c r="K30" s="3782" t="s">
        <v>2425</v>
      </c>
      <c r="L30" s="3782" t="s">
        <v>2426</v>
      </c>
      <c r="M30" s="3782" t="s">
        <v>2427</v>
      </c>
      <c r="N30" s="3782" t="s">
        <v>72</v>
      </c>
      <c r="O30" s="3782" t="s">
        <v>73</v>
      </c>
    </row>
    <row r="31" spans="1:65" ht="15" customHeight="1">
      <c r="A31" s="6801" t="s">
        <v>789</v>
      </c>
      <c r="B31" s="6802"/>
      <c r="C31" s="3783">
        <f t="shared" ref="C31:C37" si="8">SUM(D31:G31)</f>
        <v>0</v>
      </c>
      <c r="D31" s="3784"/>
      <c r="E31" s="3785"/>
      <c r="F31" s="3785"/>
      <c r="G31" s="3786"/>
      <c r="H31" s="3787"/>
      <c r="I31" s="3788"/>
      <c r="J31" s="3788"/>
      <c r="K31" s="3788"/>
      <c r="L31" s="3788"/>
      <c r="M31" s="3788"/>
      <c r="N31" s="3788"/>
      <c r="O31" s="3788"/>
      <c r="P31" t="str">
        <f>AW31&amp;AX31&amp;AY31&amp;AZ31&amp;BA31&amp;BB31&amp;BC31&amp;BD31</f>
        <v/>
      </c>
      <c r="AW31" s="3789" t="str">
        <f>IF(AND($C31&gt;0,H31="")," * No olvide digitar la variable "&amp;H$29&amp;""&amp;" APS. Digite CERO si no tiene.","")</f>
        <v/>
      </c>
      <c r="AX31" s="3789" t="str">
        <f>IF(AND($C31&gt;0,I31="")," * No olvide digitar la variable "&amp;$H$29&amp;""&amp;" Urgencia. Digite CERO si no tiene.","")</f>
        <v/>
      </c>
      <c r="AY31" s="3789" t="str">
        <f>IF(AND($C31&gt;0,J31="")," * No olvide digitar la variable "&amp;$H$29&amp;""&amp;" Hospitalización. Digite CERO si no tiene.","")</f>
        <v/>
      </c>
      <c r="AZ31" s="3789" t="str">
        <f>IF(AND($C31&gt;0,K31="")," * No olvide digitar la variable "&amp;$H$29&amp;""&amp;" Ambulatorio. Digite CERO si no tiene.","")</f>
        <v/>
      </c>
      <c r="BA31" s="3789" t="str">
        <f>IF(AND($C31&gt;0,L31="")," * No olvide digitar la variable "&amp;$H$29&amp;""&amp;" Ley de Urgencia. Digite CERO si no tiene.","")</f>
        <v/>
      </c>
      <c r="BB31" s="3789" t="str">
        <f>IF(AND($C31&gt;0,M31="")," * No olvide digitar la variable "&amp;$H$29&amp;""&amp;" UGCC. Digite CERO si no tiene.","")</f>
        <v/>
      </c>
      <c r="BC31" s="3789" t="str">
        <f>IF(AND(H31+I31+J31+K31+L31+M31&gt;$C31)," * La variable "&amp;$H$29&amp;""&amp;" No puede ser mayor al Total.","")</f>
        <v/>
      </c>
      <c r="BD31" s="3789" t="str">
        <f t="shared" ref="BD31:BD37" si="9">IF(AND(N31+O31&gt;$C31)," * La variable "&amp;$N$29&amp;""&amp;" No puede ser mayor al Total.","")</f>
        <v/>
      </c>
      <c r="BF31" s="1886">
        <f t="shared" ref="BF31:BK31" si="10">IF(AND($C31&gt;0,H31=""),1,0)</f>
        <v>0</v>
      </c>
      <c r="BG31" s="1886">
        <f t="shared" si="10"/>
        <v>0</v>
      </c>
      <c r="BH31" s="1886">
        <f t="shared" si="10"/>
        <v>0</v>
      </c>
      <c r="BI31" s="1886">
        <f t="shared" si="10"/>
        <v>0</v>
      </c>
      <c r="BJ31" s="1886">
        <f t="shared" si="10"/>
        <v>0</v>
      </c>
      <c r="BK31" s="1886">
        <f t="shared" si="10"/>
        <v>0</v>
      </c>
      <c r="BL31" s="1886">
        <f>IF(AND(H31+I31+J31+K31+L31+M31&gt;$C31),1,0)</f>
        <v>0</v>
      </c>
      <c r="BM31" s="1886">
        <f t="shared" ref="BM31:BM37" si="11">IF(AND(N31+O31&gt;$C31),1,0)</f>
        <v>0</v>
      </c>
    </row>
    <row r="32" spans="1:65" ht="15" customHeight="1">
      <c r="A32" s="6803" t="s">
        <v>2416</v>
      </c>
      <c r="B32" s="6804"/>
      <c r="C32" s="3783">
        <f t="shared" si="8"/>
        <v>0</v>
      </c>
      <c r="D32" s="3790"/>
      <c r="E32" s="3791"/>
      <c r="F32" s="3791"/>
      <c r="G32" s="3792"/>
      <c r="H32" s="3793"/>
      <c r="I32" s="3794"/>
      <c r="J32" s="3794"/>
      <c r="K32" s="3794"/>
      <c r="L32" s="3794"/>
      <c r="M32" s="3794"/>
      <c r="N32" s="3788"/>
      <c r="O32" s="3788"/>
      <c r="P32" t="str">
        <f t="shared" ref="P32:P37" si="12">BD32</f>
        <v/>
      </c>
      <c r="BD32" s="3789" t="str">
        <f t="shared" si="9"/>
        <v/>
      </c>
      <c r="BM32" s="1886">
        <f t="shared" si="11"/>
        <v>0</v>
      </c>
    </row>
    <row r="33" spans="1:65" ht="15" customHeight="1">
      <c r="A33" s="6803" t="s">
        <v>2417</v>
      </c>
      <c r="B33" s="6804"/>
      <c r="C33" s="3783">
        <f t="shared" si="8"/>
        <v>0</v>
      </c>
      <c r="D33" s="3790"/>
      <c r="E33" s="3791"/>
      <c r="F33" s="3791"/>
      <c r="G33" s="3792"/>
      <c r="H33" s="3793"/>
      <c r="I33" s="3794"/>
      <c r="J33" s="3794"/>
      <c r="K33" s="3794"/>
      <c r="L33" s="3794"/>
      <c r="M33" s="3794"/>
      <c r="N33" s="3788"/>
      <c r="O33" s="3788"/>
      <c r="P33" t="str">
        <f t="shared" si="12"/>
        <v/>
      </c>
      <c r="BD33" s="3789" t="str">
        <f t="shared" si="9"/>
        <v/>
      </c>
      <c r="BM33" s="1886">
        <f t="shared" si="11"/>
        <v>0</v>
      </c>
    </row>
    <row r="34" spans="1:65" ht="15" customHeight="1">
      <c r="A34" s="6805" t="s">
        <v>846</v>
      </c>
      <c r="B34" s="6806"/>
      <c r="C34" s="3796">
        <f t="shared" si="8"/>
        <v>0</v>
      </c>
      <c r="D34" s="3797"/>
      <c r="E34" s="3798"/>
      <c r="F34" s="3798"/>
      <c r="G34" s="3799"/>
      <c r="H34" s="3800"/>
      <c r="I34" s="3801"/>
      <c r="J34" s="3801"/>
      <c r="K34" s="3801"/>
      <c r="L34" s="3801"/>
      <c r="M34" s="3801"/>
      <c r="N34" s="3802"/>
      <c r="O34" s="3802"/>
      <c r="P34" t="str">
        <f t="shared" si="12"/>
        <v/>
      </c>
      <c r="BD34" s="3789" t="str">
        <f t="shared" si="9"/>
        <v/>
      </c>
      <c r="BM34" s="1886">
        <f t="shared" si="11"/>
        <v>0</v>
      </c>
    </row>
    <row r="35" spans="1:65" ht="15" customHeight="1">
      <c r="A35" s="6843" t="s">
        <v>2428</v>
      </c>
      <c r="B35" s="3803" t="s">
        <v>2429</v>
      </c>
      <c r="C35" s="3759">
        <f t="shared" si="8"/>
        <v>0</v>
      </c>
      <c r="D35" s="3784"/>
      <c r="E35" s="3785"/>
      <c r="F35" s="3785"/>
      <c r="G35" s="3786"/>
      <c r="H35" s="3793"/>
      <c r="I35" s="3794"/>
      <c r="J35" s="3794"/>
      <c r="K35" s="3794"/>
      <c r="L35" s="3794"/>
      <c r="M35" s="3794"/>
      <c r="N35" s="3788"/>
      <c r="O35" s="3788"/>
      <c r="P35" t="str">
        <f t="shared" si="12"/>
        <v/>
      </c>
      <c r="BD35" s="3789" t="str">
        <f t="shared" si="9"/>
        <v/>
      </c>
      <c r="BM35" s="1886">
        <f t="shared" si="11"/>
        <v>0</v>
      </c>
    </row>
    <row r="36" spans="1:65" ht="15" customHeight="1">
      <c r="A36" s="6844"/>
      <c r="B36" s="3795" t="s">
        <v>2430</v>
      </c>
      <c r="C36" s="3804">
        <f t="shared" si="8"/>
        <v>0</v>
      </c>
      <c r="D36" s="3797"/>
      <c r="E36" s="3798"/>
      <c r="F36" s="3798"/>
      <c r="G36" s="3799"/>
      <c r="H36" s="3805"/>
      <c r="I36" s="3806"/>
      <c r="J36" s="3806"/>
      <c r="K36" s="3806"/>
      <c r="L36" s="3806"/>
      <c r="M36" s="3806"/>
      <c r="N36" s="3802"/>
      <c r="O36" s="3802"/>
      <c r="P36" t="str">
        <f t="shared" si="12"/>
        <v/>
      </c>
      <c r="BD36" s="3789" t="str">
        <f t="shared" si="9"/>
        <v/>
      </c>
      <c r="BM36" s="1886">
        <f t="shared" si="11"/>
        <v>0</v>
      </c>
    </row>
    <row r="37" spans="1:65" ht="15" customHeight="1">
      <c r="A37" s="6845" t="s">
        <v>2431</v>
      </c>
      <c r="B37" s="6846"/>
      <c r="C37" s="3807">
        <f t="shared" si="8"/>
        <v>0</v>
      </c>
      <c r="D37" s="3808"/>
      <c r="E37" s="3809"/>
      <c r="F37" s="3809"/>
      <c r="G37" s="3810"/>
      <c r="H37" s="3805"/>
      <c r="I37" s="3806"/>
      <c r="J37" s="3806"/>
      <c r="K37" s="3806"/>
      <c r="L37" s="3806"/>
      <c r="M37" s="3806"/>
      <c r="N37" s="3811"/>
      <c r="O37" s="3811"/>
      <c r="P37" t="str">
        <f t="shared" si="12"/>
        <v/>
      </c>
      <c r="BD37" s="3789" t="str">
        <f t="shared" si="9"/>
        <v/>
      </c>
      <c r="BM37" s="1886">
        <f t="shared" si="11"/>
        <v>0</v>
      </c>
    </row>
    <row r="38" spans="1:65" s="385" customFormat="1" ht="18" customHeight="1">
      <c r="A38" s="3812" t="s">
        <v>2432</v>
      </c>
      <c r="B38" s="3813"/>
    </row>
    <row r="39" spans="1:65" ht="30" customHeight="1">
      <c r="A39" s="3782" t="s">
        <v>2433</v>
      </c>
      <c r="B39" s="3782" t="s">
        <v>2434</v>
      </c>
    </row>
    <row r="40" spans="1:65" ht="15" customHeight="1">
      <c r="A40" s="3783" t="s">
        <v>987</v>
      </c>
      <c r="B40" s="3788"/>
    </row>
    <row r="41" spans="1:65" ht="15" customHeight="1">
      <c r="A41" s="3783" t="s">
        <v>2435</v>
      </c>
      <c r="B41" s="3788"/>
    </row>
    <row r="42" spans="1:65" ht="15" customHeight="1">
      <c r="A42" s="3783" t="s">
        <v>113</v>
      </c>
      <c r="B42" s="3788"/>
    </row>
    <row r="43" spans="1:65" ht="15" customHeight="1">
      <c r="A43" s="3783" t="s">
        <v>2436</v>
      </c>
      <c r="B43" s="3788"/>
    </row>
    <row r="44" spans="1:65" ht="15" customHeight="1">
      <c r="A44" s="3783" t="s">
        <v>531</v>
      </c>
      <c r="B44" s="3788"/>
    </row>
    <row r="45" spans="1:65" ht="15" customHeight="1">
      <c r="A45" s="3783" t="s">
        <v>617</v>
      </c>
      <c r="B45" s="3788"/>
    </row>
    <row r="46" spans="1:65" ht="15" customHeight="1">
      <c r="A46" s="3783" t="s">
        <v>526</v>
      </c>
      <c r="B46" s="3788"/>
    </row>
    <row r="47" spans="1:65" ht="15" customHeight="1">
      <c r="A47" s="3796" t="s">
        <v>1066</v>
      </c>
      <c r="B47" s="3814"/>
    </row>
    <row r="48" spans="1:65" ht="15" customHeight="1">
      <c r="A48" s="3815" t="s">
        <v>1068</v>
      </c>
      <c r="B48" s="3802"/>
    </row>
    <row r="49" spans="1:8" s="385" customFormat="1" ht="18" customHeight="1">
      <c r="A49" s="3816" t="s">
        <v>2437</v>
      </c>
      <c r="B49" s="3770"/>
      <c r="C49" s="1582"/>
      <c r="D49" s="3817"/>
      <c r="E49" s="3818"/>
    </row>
    <row r="50" spans="1:8" ht="31.5">
      <c r="A50" s="3775" t="s">
        <v>2411</v>
      </c>
      <c r="B50" s="3782" t="s">
        <v>91</v>
      </c>
      <c r="C50" s="3782" t="s">
        <v>2438</v>
      </c>
      <c r="D50" s="3775" t="s">
        <v>2439</v>
      </c>
      <c r="E50" s="3819" t="s">
        <v>2440</v>
      </c>
      <c r="F50" s="3781" t="s">
        <v>2441</v>
      </c>
      <c r="G50" s="3782" t="s">
        <v>2442</v>
      </c>
      <c r="H50" s="3782" t="s">
        <v>2443</v>
      </c>
    </row>
    <row r="51" spans="1:8">
      <c r="A51" s="3783" t="s">
        <v>2444</v>
      </c>
      <c r="B51" s="3820">
        <f>SUM(C51+E51)</f>
        <v>0</v>
      </c>
      <c r="C51" s="3821"/>
      <c r="D51" s="3822"/>
      <c r="E51" s="3823"/>
      <c r="F51" s="3824"/>
      <c r="G51" s="3821"/>
      <c r="H51" s="3821"/>
    </row>
    <row r="52" spans="1:8">
      <c r="A52" s="3783" t="s">
        <v>2445</v>
      </c>
      <c r="B52" s="3820">
        <f t="shared" ref="B52:B53" si="13">SUM(C52)+E52</f>
        <v>0</v>
      </c>
      <c r="C52" s="3821"/>
      <c r="D52" s="3822"/>
      <c r="E52" s="3823"/>
      <c r="F52" s="3824"/>
      <c r="G52" s="3821"/>
      <c r="H52" s="3821"/>
    </row>
    <row r="53" spans="1:8">
      <c r="A53" s="3815" t="s">
        <v>2446</v>
      </c>
      <c r="B53" s="3825">
        <f t="shared" si="13"/>
        <v>0</v>
      </c>
      <c r="C53" s="3826"/>
      <c r="D53" s="3827"/>
      <c r="E53" s="3828"/>
      <c r="F53" s="3829"/>
      <c r="G53" s="3826"/>
      <c r="H53" s="3826"/>
    </row>
    <row r="54" spans="1:8" ht="18" customHeight="1">
      <c r="A54" s="3830" t="s">
        <v>2447</v>
      </c>
      <c r="B54" s="3831"/>
    </row>
    <row r="55" spans="1:8" s="385" customFormat="1" ht="18" customHeight="1">
      <c r="A55" s="3830" t="s">
        <v>2448</v>
      </c>
      <c r="B55" s="3832"/>
      <c r="C55" s="3833"/>
      <c r="D55" s="3833"/>
      <c r="E55" s="3834"/>
      <c r="F55" s="3834"/>
    </row>
    <row r="56" spans="1:8" ht="31.5">
      <c r="A56" s="1574" t="s">
        <v>1001</v>
      </c>
      <c r="B56" s="1574" t="s">
        <v>91</v>
      </c>
      <c r="C56" s="3778" t="s">
        <v>2449</v>
      </c>
      <c r="D56" s="3835" t="s">
        <v>480</v>
      </c>
      <c r="E56" s="3780" t="s">
        <v>734</v>
      </c>
      <c r="F56" s="3781" t="s">
        <v>2440</v>
      </c>
    </row>
    <row r="57" spans="1:8">
      <c r="A57" s="2291" t="s">
        <v>2450</v>
      </c>
      <c r="B57" s="3639">
        <f t="shared" ref="B57:B59" si="14">SUM(C57:E57)</f>
        <v>0</v>
      </c>
      <c r="C57" s="1424"/>
      <c r="D57" s="1425"/>
      <c r="E57" s="1428"/>
      <c r="F57" s="3824"/>
    </row>
    <row r="58" spans="1:8">
      <c r="A58" s="3836" t="s">
        <v>2451</v>
      </c>
      <c r="B58" s="3837">
        <f t="shared" si="14"/>
        <v>0</v>
      </c>
      <c r="C58" s="1440"/>
      <c r="D58" s="1441"/>
      <c r="E58" s="1444"/>
      <c r="F58" s="3824"/>
    </row>
    <row r="59" spans="1:8">
      <c r="A59" s="3530" t="s">
        <v>2452</v>
      </c>
      <c r="B59" s="3838">
        <f t="shared" si="14"/>
        <v>0</v>
      </c>
      <c r="C59" s="1455"/>
      <c r="D59" s="1456"/>
      <c r="E59" s="1459"/>
      <c r="F59" s="3829"/>
    </row>
    <row r="60" spans="1:8" s="385" customFormat="1" ht="18" customHeight="1">
      <c r="A60" s="3839" t="s">
        <v>2453</v>
      </c>
    </row>
    <row r="61" spans="1:8" s="385" customFormat="1" ht="18" customHeight="1">
      <c r="A61" s="6582" t="s">
        <v>236</v>
      </c>
      <c r="B61" s="6847" t="s">
        <v>2454</v>
      </c>
      <c r="C61" s="6848"/>
      <c r="D61" s="6849"/>
      <c r="E61" s="6119" t="s">
        <v>2455</v>
      </c>
      <c r="F61" s="6137" t="s">
        <v>2456</v>
      </c>
      <c r="G61" s="6137" t="s">
        <v>2457</v>
      </c>
    </row>
    <row r="62" spans="1:8" ht="29.25" customHeight="1">
      <c r="A62" s="6582"/>
      <c r="B62" s="3840" t="s">
        <v>2458</v>
      </c>
      <c r="C62" s="3841" t="s">
        <v>72</v>
      </c>
      <c r="D62" s="3842" t="s">
        <v>73</v>
      </c>
      <c r="E62" s="6116"/>
      <c r="F62" s="6137"/>
      <c r="G62" s="6137"/>
    </row>
    <row r="63" spans="1:8">
      <c r="A63" s="447" t="s">
        <v>2459</v>
      </c>
      <c r="B63" s="2348">
        <f t="shared" ref="B63:B68" si="15">SUM(C63:D63)</f>
        <v>0</v>
      </c>
      <c r="C63" s="3843"/>
      <c r="D63" s="1650"/>
      <c r="E63" s="1652"/>
      <c r="F63" s="1430"/>
      <c r="G63" s="1436"/>
    </row>
    <row r="64" spans="1:8">
      <c r="A64" s="408" t="s">
        <v>2460</v>
      </c>
      <c r="B64" s="2353">
        <f t="shared" si="15"/>
        <v>0</v>
      </c>
      <c r="C64" s="3844"/>
      <c r="D64" s="1655"/>
      <c r="E64" s="1447"/>
      <c r="F64" s="1446"/>
      <c r="G64" s="1452"/>
    </row>
    <row r="65" spans="1:46">
      <c r="A65" s="408" t="s">
        <v>2461</v>
      </c>
      <c r="B65" s="2353">
        <f t="shared" si="15"/>
        <v>0</v>
      </c>
      <c r="C65" s="3844"/>
      <c r="D65" s="1655"/>
      <c r="E65" s="1447"/>
      <c r="F65" s="1446"/>
      <c r="G65" s="1452"/>
    </row>
    <row r="66" spans="1:46">
      <c r="A66" s="408" t="s">
        <v>2462</v>
      </c>
      <c r="B66" s="2353">
        <f t="shared" si="15"/>
        <v>0</v>
      </c>
      <c r="C66" s="3844"/>
      <c r="D66" s="1655"/>
      <c r="E66" s="1447"/>
      <c r="F66" s="1446"/>
      <c r="G66" s="1452"/>
    </row>
    <row r="67" spans="1:46">
      <c r="A67" s="408" t="s">
        <v>2463</v>
      </c>
      <c r="B67" s="2353">
        <f t="shared" si="15"/>
        <v>0</v>
      </c>
      <c r="C67" s="3844"/>
      <c r="D67" s="1655"/>
      <c r="E67" s="1447"/>
      <c r="F67" s="1446"/>
      <c r="G67" s="1452"/>
    </row>
    <row r="68" spans="1:46">
      <c r="A68" s="429" t="s">
        <v>2464</v>
      </c>
      <c r="B68" s="2360">
        <f t="shared" si="15"/>
        <v>0</v>
      </c>
      <c r="C68" s="3845"/>
      <c r="D68" s="1660"/>
      <c r="E68" s="1490"/>
      <c r="F68" s="1461"/>
      <c r="G68" s="1467"/>
    </row>
    <row r="69" spans="1:46">
      <c r="A69" s="3846" t="s">
        <v>91</v>
      </c>
      <c r="B69" s="1658">
        <f t="shared" ref="B69:G69" si="16">SUM(B63:B68)</f>
        <v>0</v>
      </c>
      <c r="C69" s="3847">
        <f>SUM(C63:C68)</f>
        <v>0</v>
      </c>
      <c r="D69" s="1730">
        <f>SUM(D63:D68)</f>
        <v>0</v>
      </c>
      <c r="E69" s="2335">
        <f t="shared" si="16"/>
        <v>0</v>
      </c>
      <c r="F69" s="1527">
        <f t="shared" si="16"/>
        <v>0</v>
      </c>
      <c r="G69" s="392">
        <f t="shared" si="16"/>
        <v>0</v>
      </c>
    </row>
    <row r="70" spans="1:46">
      <c r="A70" s="3848" t="s">
        <v>2465</v>
      </c>
    </row>
    <row r="71" spans="1:46" ht="52.5">
      <c r="A71" s="3849" t="s">
        <v>2466</v>
      </c>
      <c r="B71" s="3850" t="s">
        <v>2467</v>
      </c>
      <c r="C71" s="3851" t="s">
        <v>2468</v>
      </c>
      <c r="D71" s="3852" t="s">
        <v>2461</v>
      </c>
      <c r="E71" s="3852" t="s">
        <v>2462</v>
      </c>
      <c r="F71" s="3852" t="s">
        <v>2463</v>
      </c>
      <c r="G71" s="3853" t="s">
        <v>2464</v>
      </c>
      <c r="H71" s="3854" t="s">
        <v>343</v>
      </c>
      <c r="I71" s="3855" t="s">
        <v>1866</v>
      </c>
    </row>
    <row r="72" spans="1:46">
      <c r="A72" s="1687" t="s">
        <v>2469</v>
      </c>
      <c r="B72" s="3843"/>
      <c r="C72" s="3856"/>
      <c r="D72" s="3857"/>
      <c r="E72" s="3857"/>
      <c r="F72" s="3857"/>
      <c r="G72" s="2306"/>
      <c r="H72" s="3824"/>
      <c r="I72" s="3858"/>
      <c r="AT72" s="385"/>
    </row>
    <row r="73" spans="1:46">
      <c r="A73" s="408" t="s">
        <v>2470</v>
      </c>
      <c r="B73" s="3844"/>
      <c r="C73" s="3859"/>
      <c r="D73" s="3860"/>
      <c r="E73" s="3860"/>
      <c r="F73" s="3860"/>
      <c r="G73" s="3861"/>
      <c r="H73" s="3824"/>
      <c r="I73" s="3862"/>
    </row>
    <row r="74" spans="1:46">
      <c r="A74" s="408" t="s">
        <v>2471</v>
      </c>
      <c r="B74" s="3844"/>
      <c r="C74" s="3859"/>
      <c r="D74" s="3860"/>
      <c r="E74" s="3860"/>
      <c r="F74" s="3860"/>
      <c r="G74" s="3861"/>
      <c r="H74" s="3824"/>
      <c r="I74" s="3862"/>
    </row>
    <row r="75" spans="1:46">
      <c r="A75" s="408" t="s">
        <v>2472</v>
      </c>
      <c r="B75" s="3844"/>
      <c r="C75" s="3859"/>
      <c r="D75" s="3860"/>
      <c r="E75" s="3860"/>
      <c r="F75" s="3860"/>
      <c r="G75" s="3861"/>
      <c r="H75" s="3824"/>
      <c r="I75" s="3862"/>
    </row>
    <row r="76" spans="1:46">
      <c r="A76" s="429" t="s">
        <v>2473</v>
      </c>
      <c r="B76" s="3845"/>
      <c r="C76" s="3863"/>
      <c r="D76" s="3864"/>
      <c r="E76" s="3864"/>
      <c r="F76" s="3864"/>
      <c r="G76" s="3865"/>
      <c r="H76" s="3829"/>
      <c r="I76" s="3866"/>
    </row>
    <row r="77" spans="1:46" s="385" customFormat="1" ht="18" customHeight="1">
      <c r="A77" s="6833" t="s">
        <v>2474</v>
      </c>
      <c r="B77" s="6196"/>
      <c r="C77" s="6196"/>
      <c r="D77" s="6196"/>
      <c r="E77" s="6834"/>
      <c r="F77" s="3771"/>
      <c r="G77" s="3771"/>
      <c r="H77" s="3771"/>
      <c r="I77" s="3771"/>
    </row>
    <row r="78" spans="1:46" s="385" customFormat="1" ht="18" customHeight="1">
      <c r="A78" s="6807" t="s">
        <v>305</v>
      </c>
      <c r="B78" s="6824" t="s">
        <v>2475</v>
      </c>
      <c r="C78" s="6807" t="s">
        <v>91</v>
      </c>
      <c r="D78" s="6850" t="s">
        <v>43</v>
      </c>
      <c r="E78" s="6851"/>
      <c r="F78" s="6851"/>
      <c r="G78" s="6851"/>
      <c r="H78" s="6851"/>
      <c r="I78" s="6852"/>
    </row>
    <row r="79" spans="1:46" ht="24.75" customHeight="1">
      <c r="A79" s="6809"/>
      <c r="B79" s="6824"/>
      <c r="C79" s="6809"/>
      <c r="D79" s="3867" t="s">
        <v>2476</v>
      </c>
      <c r="E79" s="3868" t="s">
        <v>2477</v>
      </c>
      <c r="F79" s="3869" t="s">
        <v>496</v>
      </c>
      <c r="G79" s="3869" t="s">
        <v>347</v>
      </c>
      <c r="H79" s="3869" t="s">
        <v>108</v>
      </c>
      <c r="I79" s="3870" t="s">
        <v>58</v>
      </c>
    </row>
    <row r="80" spans="1:46">
      <c r="A80" s="6835" t="s">
        <v>2478</v>
      </c>
      <c r="B80" s="6836"/>
      <c r="C80" s="3871">
        <f t="shared" ref="C80:C84" si="17">SUM(D80:I80)</f>
        <v>0</v>
      </c>
      <c r="D80" s="3872"/>
      <c r="E80" s="3873"/>
      <c r="F80" s="3873"/>
      <c r="G80" s="3873"/>
      <c r="H80" s="3873"/>
      <c r="I80" s="3874"/>
    </row>
    <row r="81" spans="1:58" ht="24.95" customHeight="1">
      <c r="A81" s="6831" t="s">
        <v>2479</v>
      </c>
      <c r="B81" s="3875" t="s">
        <v>2480</v>
      </c>
      <c r="C81" s="3876">
        <f t="shared" si="17"/>
        <v>0</v>
      </c>
      <c r="D81" s="3784"/>
      <c r="E81" s="3785"/>
      <c r="F81" s="3785"/>
      <c r="G81" s="3785"/>
      <c r="H81" s="3785"/>
      <c r="I81" s="3787"/>
    </row>
    <row r="82" spans="1:58" ht="24.95" customHeight="1">
      <c r="A82" s="6832"/>
      <c r="B82" s="3877" t="s">
        <v>2481</v>
      </c>
      <c r="C82" s="3878">
        <f t="shared" si="17"/>
        <v>0</v>
      </c>
      <c r="D82" s="3879"/>
      <c r="E82" s="3880"/>
      <c r="F82" s="3880"/>
      <c r="G82" s="3880"/>
      <c r="H82" s="3880"/>
      <c r="I82" s="3881"/>
    </row>
    <row r="83" spans="1:58" ht="24.95" customHeight="1">
      <c r="A83" s="6831" t="s">
        <v>2482</v>
      </c>
      <c r="B83" s="3875" t="s">
        <v>2480</v>
      </c>
      <c r="C83" s="3876">
        <f t="shared" si="17"/>
        <v>0</v>
      </c>
      <c r="D83" s="3882"/>
      <c r="E83" s="3883"/>
      <c r="F83" s="3883"/>
      <c r="G83" s="3883"/>
      <c r="H83" s="3883"/>
      <c r="I83" s="3884"/>
    </row>
    <row r="84" spans="1:58" ht="24.95" customHeight="1">
      <c r="A84" s="6832"/>
      <c r="B84" s="3885" t="s">
        <v>2481</v>
      </c>
      <c r="C84" s="3886">
        <f t="shared" si="17"/>
        <v>0</v>
      </c>
      <c r="D84" s="3797"/>
      <c r="E84" s="3798"/>
      <c r="F84" s="3798"/>
      <c r="G84" s="3798"/>
      <c r="H84" s="3798"/>
      <c r="I84" s="3887"/>
    </row>
    <row r="85" spans="1:58" s="385" customFormat="1" ht="18" customHeight="1">
      <c r="A85" s="3830" t="s">
        <v>2483</v>
      </c>
      <c r="B85" s="3817"/>
      <c r="C85" s="3817"/>
      <c r="D85" s="3813"/>
      <c r="E85" s="3813"/>
      <c r="F85" s="3813"/>
      <c r="G85" s="3813"/>
      <c r="H85" s="3888"/>
      <c r="I85" s="3888"/>
    </row>
    <row r="86" spans="1:58" ht="15" customHeight="1">
      <c r="A86" s="6808" t="s">
        <v>1703</v>
      </c>
      <c r="B86" s="6841" t="s">
        <v>2484</v>
      </c>
      <c r="C86" s="6808"/>
      <c r="D86" s="6841" t="s">
        <v>2485</v>
      </c>
      <c r="E86" s="6808"/>
      <c r="F86" s="6791" t="s">
        <v>2486</v>
      </c>
      <c r="G86" s="6792"/>
      <c r="H86" s="6792"/>
      <c r="I86" s="6822"/>
      <c r="J86" s="6791" t="s">
        <v>2487</v>
      </c>
      <c r="K86" s="6792"/>
      <c r="L86" s="6792"/>
      <c r="M86" s="6822"/>
      <c r="N86" s="6791" t="s">
        <v>2488</v>
      </c>
      <c r="O86" s="6792"/>
      <c r="P86" s="6792"/>
      <c r="Q86" s="6822"/>
    </row>
    <row r="87" spans="1:58" ht="15" customHeight="1">
      <c r="A87" s="6840"/>
      <c r="B87" s="6842"/>
      <c r="C87" s="6810"/>
      <c r="D87" s="6842"/>
      <c r="E87" s="6810"/>
      <c r="F87" s="6791" t="s">
        <v>2489</v>
      </c>
      <c r="G87" s="6822"/>
      <c r="H87" s="6791" t="s">
        <v>2490</v>
      </c>
      <c r="I87" s="6822"/>
      <c r="J87" s="6791" t="s">
        <v>2489</v>
      </c>
      <c r="K87" s="6822"/>
      <c r="L87" s="6791" t="s">
        <v>2490</v>
      </c>
      <c r="M87" s="6822"/>
      <c r="N87" s="6791" t="s">
        <v>2489</v>
      </c>
      <c r="O87" s="6822"/>
      <c r="P87" s="6791" t="s">
        <v>2490</v>
      </c>
      <c r="Q87" s="6822"/>
    </row>
    <row r="88" spans="1:58" ht="27.75" customHeight="1">
      <c r="A88" s="6810"/>
      <c r="B88" s="3778" t="s">
        <v>2423</v>
      </c>
      <c r="C88" s="3776" t="s">
        <v>2491</v>
      </c>
      <c r="D88" s="3778" t="s">
        <v>2423</v>
      </c>
      <c r="E88" s="3776" t="s">
        <v>2491</v>
      </c>
      <c r="F88" s="3778" t="s">
        <v>2423</v>
      </c>
      <c r="G88" s="3776" t="s">
        <v>2491</v>
      </c>
      <c r="H88" s="3778" t="s">
        <v>2423</v>
      </c>
      <c r="I88" s="3889" t="s">
        <v>2491</v>
      </c>
      <c r="J88" s="3778" t="s">
        <v>2423</v>
      </c>
      <c r="K88" s="3776" t="s">
        <v>2491</v>
      </c>
      <c r="L88" s="3778" t="s">
        <v>2423</v>
      </c>
      <c r="M88" s="3889" t="s">
        <v>2491</v>
      </c>
      <c r="N88" s="3778" t="s">
        <v>2423</v>
      </c>
      <c r="O88" s="3776" t="s">
        <v>2491</v>
      </c>
      <c r="P88" s="3778" t="s">
        <v>2423</v>
      </c>
      <c r="Q88" s="3889" t="s">
        <v>2491</v>
      </c>
    </row>
    <row r="89" spans="1:58">
      <c r="A89" s="3890" t="s">
        <v>1326</v>
      </c>
      <c r="B89" s="3784"/>
      <c r="C89" s="3787"/>
      <c r="D89" s="3784"/>
      <c r="E89" s="3787"/>
      <c r="F89" s="3891"/>
      <c r="G89" s="3824"/>
      <c r="H89" s="3891"/>
      <c r="I89" s="3824"/>
      <c r="J89" s="3891"/>
      <c r="K89" s="3824"/>
      <c r="L89" s="3891"/>
      <c r="M89" s="3824"/>
      <c r="N89" s="3891"/>
      <c r="O89" s="3824"/>
      <c r="P89" s="3891"/>
      <c r="Q89" s="3824"/>
      <c r="R89" t="str">
        <f t="shared" ref="R89:R101" si="18">AW89&amp;AX89&amp;AY89</f>
        <v/>
      </c>
      <c r="AW89" s="3892" t="str">
        <f t="shared" ref="AW89:AW101" si="19">IF((D89+E89)&lt;((F89+G89)-(H89+I89)),"* La suma de "&amp;D$86&amp;""&amp;" debe ser mayor o igual a la Diferencia de "&amp;F$87&amp;""&amp;" menos Pacientes Suspendidos","")</f>
        <v/>
      </c>
      <c r="BF89" s="419">
        <f t="shared" ref="BF89:BF101" si="20">IF((D89+E89)&lt;((F89+G89)-(H89+I89)),1,0)</f>
        <v>0</v>
      </c>
    </row>
    <row r="90" spans="1:58">
      <c r="A90" s="3893" t="s">
        <v>1280</v>
      </c>
      <c r="B90" s="3894"/>
      <c r="C90" s="3895"/>
      <c r="D90" s="3894"/>
      <c r="E90" s="3895"/>
      <c r="F90" s="3896"/>
      <c r="G90" s="3897"/>
      <c r="H90" s="3896"/>
      <c r="I90" s="3897"/>
      <c r="J90" s="3896"/>
      <c r="K90" s="3897"/>
      <c r="L90" s="3896"/>
      <c r="M90" s="3897"/>
      <c r="N90" s="3896"/>
      <c r="O90" s="3897"/>
      <c r="P90" s="3896"/>
      <c r="Q90" s="3897"/>
      <c r="R90" t="str">
        <f t="shared" si="18"/>
        <v/>
      </c>
      <c r="AW90" s="3892" t="str">
        <f t="shared" si="19"/>
        <v/>
      </c>
      <c r="BF90" s="419">
        <f t="shared" si="20"/>
        <v>0</v>
      </c>
    </row>
    <row r="91" spans="1:58">
      <c r="A91" s="3893" t="s">
        <v>2492</v>
      </c>
      <c r="B91" s="3894"/>
      <c r="C91" s="3895"/>
      <c r="D91" s="3894"/>
      <c r="E91" s="3895"/>
      <c r="F91" s="3896"/>
      <c r="G91" s="3897"/>
      <c r="H91" s="3896"/>
      <c r="I91" s="3897"/>
      <c r="J91" s="3896"/>
      <c r="K91" s="3897"/>
      <c r="L91" s="3896"/>
      <c r="M91" s="3897"/>
      <c r="N91" s="3896"/>
      <c r="O91" s="3897"/>
      <c r="P91" s="3896"/>
      <c r="Q91" s="3897"/>
      <c r="R91" t="str">
        <f t="shared" si="18"/>
        <v/>
      </c>
      <c r="AW91" s="3892" t="str">
        <f t="shared" si="19"/>
        <v/>
      </c>
      <c r="BF91" s="419">
        <f t="shared" si="20"/>
        <v>0</v>
      </c>
    </row>
    <row r="92" spans="1:58">
      <c r="A92" s="3893" t="s">
        <v>1277</v>
      </c>
      <c r="B92" s="3894"/>
      <c r="C92" s="3895"/>
      <c r="D92" s="3894"/>
      <c r="E92" s="3895"/>
      <c r="F92" s="3896"/>
      <c r="G92" s="3897"/>
      <c r="H92" s="3896"/>
      <c r="I92" s="3897"/>
      <c r="J92" s="3896"/>
      <c r="K92" s="3897"/>
      <c r="L92" s="3896"/>
      <c r="M92" s="3897"/>
      <c r="N92" s="3896"/>
      <c r="O92" s="3897"/>
      <c r="P92" s="3896"/>
      <c r="Q92" s="3897"/>
      <c r="R92" t="str">
        <f t="shared" si="18"/>
        <v/>
      </c>
      <c r="AW92" s="3892" t="str">
        <f t="shared" si="19"/>
        <v/>
      </c>
      <c r="BF92" s="419">
        <f t="shared" si="20"/>
        <v>0</v>
      </c>
    </row>
    <row r="93" spans="1:58">
      <c r="A93" s="3893" t="s">
        <v>2493</v>
      </c>
      <c r="B93" s="3894"/>
      <c r="C93" s="3895"/>
      <c r="D93" s="3894"/>
      <c r="E93" s="3895"/>
      <c r="F93" s="3896"/>
      <c r="G93" s="3897"/>
      <c r="H93" s="3896"/>
      <c r="I93" s="3897"/>
      <c r="J93" s="3896"/>
      <c r="K93" s="3897"/>
      <c r="L93" s="3896"/>
      <c r="M93" s="3897"/>
      <c r="N93" s="3896"/>
      <c r="O93" s="3897"/>
      <c r="P93" s="3896"/>
      <c r="Q93" s="3897"/>
      <c r="R93" t="str">
        <f t="shared" si="18"/>
        <v/>
      </c>
      <c r="AW93" s="3892" t="str">
        <f t="shared" si="19"/>
        <v/>
      </c>
      <c r="BF93" s="419">
        <f t="shared" si="20"/>
        <v>0</v>
      </c>
    </row>
    <row r="94" spans="1:58">
      <c r="A94" s="3893" t="s">
        <v>1279</v>
      </c>
      <c r="B94" s="3894"/>
      <c r="C94" s="3895"/>
      <c r="D94" s="3894"/>
      <c r="E94" s="3895"/>
      <c r="F94" s="3896"/>
      <c r="G94" s="3897"/>
      <c r="H94" s="3896"/>
      <c r="I94" s="3897"/>
      <c r="J94" s="3896"/>
      <c r="K94" s="3897"/>
      <c r="L94" s="3896"/>
      <c r="M94" s="3897"/>
      <c r="N94" s="3896"/>
      <c r="O94" s="3897"/>
      <c r="P94" s="3896"/>
      <c r="Q94" s="3897"/>
      <c r="R94" t="str">
        <f t="shared" si="18"/>
        <v/>
      </c>
      <c r="AW94" s="3892" t="str">
        <f t="shared" si="19"/>
        <v/>
      </c>
      <c r="BF94" s="419">
        <f t="shared" si="20"/>
        <v>0</v>
      </c>
    </row>
    <row r="95" spans="1:58">
      <c r="A95" s="3893" t="s">
        <v>1286</v>
      </c>
      <c r="B95" s="3894"/>
      <c r="C95" s="3895"/>
      <c r="D95" s="3894"/>
      <c r="E95" s="3895"/>
      <c r="F95" s="3896"/>
      <c r="G95" s="3897"/>
      <c r="H95" s="3896"/>
      <c r="I95" s="3897"/>
      <c r="J95" s="3896"/>
      <c r="K95" s="3897"/>
      <c r="L95" s="3896"/>
      <c r="M95" s="3897"/>
      <c r="N95" s="3896"/>
      <c r="O95" s="3897"/>
      <c r="P95" s="3896"/>
      <c r="Q95" s="3897"/>
      <c r="R95" t="str">
        <f t="shared" si="18"/>
        <v/>
      </c>
      <c r="AW95" s="3892" t="str">
        <f t="shared" si="19"/>
        <v/>
      </c>
      <c r="BF95" s="419">
        <f t="shared" si="20"/>
        <v>0</v>
      </c>
    </row>
    <row r="96" spans="1:58">
      <c r="A96" s="3893" t="s">
        <v>1285</v>
      </c>
      <c r="B96" s="3894"/>
      <c r="C96" s="3895"/>
      <c r="D96" s="3894"/>
      <c r="E96" s="3895"/>
      <c r="F96" s="3896"/>
      <c r="G96" s="3897"/>
      <c r="H96" s="3896"/>
      <c r="I96" s="3897"/>
      <c r="J96" s="3896"/>
      <c r="K96" s="3897"/>
      <c r="L96" s="3896"/>
      <c r="M96" s="3897"/>
      <c r="N96" s="3896"/>
      <c r="O96" s="3897"/>
      <c r="P96" s="3896"/>
      <c r="Q96" s="3897"/>
      <c r="R96" t="str">
        <f t="shared" si="18"/>
        <v/>
      </c>
      <c r="AW96" s="3892" t="str">
        <f t="shared" si="19"/>
        <v/>
      </c>
      <c r="BF96" s="419">
        <f t="shared" si="20"/>
        <v>0</v>
      </c>
    </row>
    <row r="97" spans="1:58">
      <c r="A97" s="3893" t="s">
        <v>2494</v>
      </c>
      <c r="B97" s="3894"/>
      <c r="C97" s="3895"/>
      <c r="D97" s="3894"/>
      <c r="E97" s="3895"/>
      <c r="F97" s="3896"/>
      <c r="G97" s="3897"/>
      <c r="H97" s="3896"/>
      <c r="I97" s="3897"/>
      <c r="J97" s="3896"/>
      <c r="K97" s="3897"/>
      <c r="L97" s="3896"/>
      <c r="M97" s="3897"/>
      <c r="N97" s="3896"/>
      <c r="O97" s="3897"/>
      <c r="P97" s="3896"/>
      <c r="Q97" s="3897"/>
      <c r="R97" t="str">
        <f t="shared" si="18"/>
        <v/>
      </c>
      <c r="AW97" s="3892" t="str">
        <f t="shared" si="19"/>
        <v/>
      </c>
      <c r="BF97" s="419">
        <f t="shared" si="20"/>
        <v>0</v>
      </c>
    </row>
    <row r="98" spans="1:58">
      <c r="A98" s="3893" t="s">
        <v>2495</v>
      </c>
      <c r="B98" s="3894"/>
      <c r="C98" s="3895"/>
      <c r="D98" s="3894"/>
      <c r="E98" s="3895"/>
      <c r="F98" s="3896"/>
      <c r="G98" s="3897"/>
      <c r="H98" s="3896"/>
      <c r="I98" s="3897"/>
      <c r="J98" s="3896"/>
      <c r="K98" s="3897"/>
      <c r="L98" s="3896"/>
      <c r="M98" s="3897"/>
      <c r="N98" s="3896"/>
      <c r="O98" s="3897"/>
      <c r="P98" s="3896"/>
      <c r="Q98" s="3897"/>
      <c r="R98" t="str">
        <f t="shared" si="18"/>
        <v/>
      </c>
      <c r="AW98" s="3892" t="str">
        <f t="shared" si="19"/>
        <v/>
      </c>
      <c r="BF98" s="419">
        <f t="shared" si="20"/>
        <v>0</v>
      </c>
    </row>
    <row r="99" spans="1:58">
      <c r="A99" s="3893" t="s">
        <v>1288</v>
      </c>
      <c r="B99" s="3894"/>
      <c r="C99" s="3895"/>
      <c r="D99" s="3894"/>
      <c r="E99" s="3895"/>
      <c r="F99" s="3896"/>
      <c r="G99" s="3897"/>
      <c r="H99" s="3896"/>
      <c r="I99" s="3897"/>
      <c r="J99" s="3896"/>
      <c r="K99" s="3897"/>
      <c r="L99" s="3896"/>
      <c r="M99" s="3897"/>
      <c r="N99" s="3896"/>
      <c r="O99" s="3897"/>
      <c r="P99" s="3896"/>
      <c r="Q99" s="3897"/>
      <c r="R99" t="str">
        <f t="shared" si="18"/>
        <v/>
      </c>
      <c r="AW99" s="3892" t="str">
        <f t="shared" si="19"/>
        <v/>
      </c>
      <c r="BF99" s="419">
        <f t="shared" si="20"/>
        <v>0</v>
      </c>
    </row>
    <row r="100" spans="1:58">
      <c r="A100" s="3893" t="s">
        <v>2496</v>
      </c>
      <c r="B100" s="3894"/>
      <c r="C100" s="3895"/>
      <c r="D100" s="3894"/>
      <c r="E100" s="3895"/>
      <c r="F100" s="3896"/>
      <c r="G100" s="3897"/>
      <c r="H100" s="3896"/>
      <c r="I100" s="3897"/>
      <c r="J100" s="3896"/>
      <c r="K100" s="3897"/>
      <c r="L100" s="3896"/>
      <c r="M100" s="3897"/>
      <c r="N100" s="3896"/>
      <c r="O100" s="3897"/>
      <c r="P100" s="3896"/>
      <c r="Q100" s="3897"/>
      <c r="R100" t="str">
        <f t="shared" si="18"/>
        <v/>
      </c>
      <c r="AW100" s="3892" t="str">
        <f t="shared" si="19"/>
        <v/>
      </c>
      <c r="BF100" s="419">
        <f t="shared" si="20"/>
        <v>0</v>
      </c>
    </row>
    <row r="101" spans="1:58">
      <c r="A101" s="3893" t="s">
        <v>2497</v>
      </c>
      <c r="B101" s="3894"/>
      <c r="C101" s="3895"/>
      <c r="D101" s="3894"/>
      <c r="E101" s="3895"/>
      <c r="F101" s="3896"/>
      <c r="G101" s="3897"/>
      <c r="H101" s="3896"/>
      <c r="I101" s="3897"/>
      <c r="J101" s="3896"/>
      <c r="K101" s="3897"/>
      <c r="L101" s="3896"/>
      <c r="M101" s="3897"/>
      <c r="N101" s="3896"/>
      <c r="O101" s="3897"/>
      <c r="P101" s="3896"/>
      <c r="Q101" s="3897"/>
      <c r="R101" t="str">
        <f t="shared" si="18"/>
        <v/>
      </c>
      <c r="AW101" s="3892" t="str">
        <f t="shared" si="19"/>
        <v/>
      </c>
      <c r="BF101" s="419">
        <f t="shared" si="20"/>
        <v>0</v>
      </c>
    </row>
    <row r="102" spans="1:58">
      <c r="A102" s="3898" t="s">
        <v>91</v>
      </c>
      <c r="B102" s="3899">
        <f t="shared" ref="B102:I102" si="21">SUM(B89:B101)</f>
        <v>0</v>
      </c>
      <c r="C102" s="3900">
        <f t="shared" si="21"/>
        <v>0</v>
      </c>
      <c r="D102" s="3899">
        <f t="shared" si="21"/>
        <v>0</v>
      </c>
      <c r="E102" s="3900">
        <f t="shared" si="21"/>
        <v>0</v>
      </c>
      <c r="F102" s="3899">
        <f t="shared" si="21"/>
        <v>0</v>
      </c>
      <c r="G102" s="3900">
        <f t="shared" si="21"/>
        <v>0</v>
      </c>
      <c r="H102" s="3899">
        <f t="shared" si="21"/>
        <v>0</v>
      </c>
      <c r="I102" s="3901">
        <f t="shared" si="21"/>
        <v>0</v>
      </c>
      <c r="J102" s="3899">
        <f>SUM(J89:J101)</f>
        <v>0</v>
      </c>
      <c r="K102" s="3900">
        <f t="shared" ref="K102:M102" si="22">SUM(K89:K101)</f>
        <v>0</v>
      </c>
      <c r="L102" s="3899">
        <f t="shared" si="22"/>
        <v>0</v>
      </c>
      <c r="M102" s="3901">
        <f t="shared" si="22"/>
        <v>0</v>
      </c>
      <c r="N102" s="3899">
        <f>SUM(N89:N101)</f>
        <v>0</v>
      </c>
      <c r="O102" s="3900">
        <f t="shared" ref="O102:Q102" si="23">SUM(O89:O101)</f>
        <v>0</v>
      </c>
      <c r="P102" s="3899">
        <f t="shared" si="23"/>
        <v>0</v>
      </c>
      <c r="Q102" s="3901">
        <f t="shared" si="23"/>
        <v>0</v>
      </c>
    </row>
    <row r="103" spans="1:58" s="385" customFormat="1" ht="18" customHeight="1">
      <c r="A103" s="6837" t="s">
        <v>2498</v>
      </c>
      <c r="B103" s="6837"/>
      <c r="C103" s="6837"/>
      <c r="D103" s="6837"/>
      <c r="E103" s="6837"/>
      <c r="F103" s="6837"/>
      <c r="G103" s="6837"/>
    </row>
    <row r="104" spans="1:58">
      <c r="A104" s="6838" t="s">
        <v>2499</v>
      </c>
      <c r="B104" s="6791" t="s">
        <v>2500</v>
      </c>
      <c r="C104" s="6792"/>
      <c r="D104" s="6792"/>
      <c r="E104" s="6792"/>
      <c r="F104" s="6792"/>
      <c r="G104" s="6822"/>
    </row>
    <row r="105" spans="1:58">
      <c r="A105" s="6839"/>
      <c r="B105" s="1574" t="s">
        <v>1599</v>
      </c>
      <c r="C105" s="3778" t="s">
        <v>2423</v>
      </c>
      <c r="D105" s="3777" t="s">
        <v>2491</v>
      </c>
      <c r="E105" s="3835" t="s">
        <v>2399</v>
      </c>
      <c r="F105" s="3889" t="s">
        <v>2400</v>
      </c>
      <c r="G105" s="3889" t="s">
        <v>619</v>
      </c>
    </row>
    <row r="106" spans="1:58">
      <c r="A106" s="3890" t="s">
        <v>2501</v>
      </c>
      <c r="B106" s="3759">
        <f t="shared" ref="B106:B113" si="24">SUM(C106+D106)</f>
        <v>0</v>
      </c>
      <c r="C106" s="3891"/>
      <c r="D106" s="3902"/>
      <c r="E106" s="3903"/>
      <c r="F106" s="3904"/>
      <c r="G106" s="3904"/>
      <c r="H106" t="str">
        <f t="shared" ref="H106:H118" si="25">AW106</f>
        <v/>
      </c>
      <c r="AW106" s="3892" t="str">
        <f t="shared" ref="AW106:AW113" si="26">IF(SUM(E106:G106)&lt;&gt;B106,"* La Suma de los Beneficiarios MAI, MLE y Otros debe ser igual al Total.","")</f>
        <v/>
      </c>
      <c r="BF106" s="1945">
        <f t="shared" ref="BF106:BF113" si="27">IF(SUM(E106:G106)&lt;&gt;B106,1,0)</f>
        <v>0</v>
      </c>
    </row>
    <row r="107" spans="1:58">
      <c r="A107" s="3905" t="s">
        <v>2502</v>
      </c>
      <c r="B107" s="3763">
        <f t="shared" si="24"/>
        <v>0</v>
      </c>
      <c r="C107" s="3896"/>
      <c r="D107" s="3906"/>
      <c r="E107" s="3907"/>
      <c r="F107" s="3765"/>
      <c r="G107" s="3765"/>
      <c r="H107" t="str">
        <f t="shared" si="25"/>
        <v/>
      </c>
      <c r="AW107" s="3892" t="str">
        <f t="shared" si="26"/>
        <v/>
      </c>
      <c r="BF107" s="1945">
        <f t="shared" si="27"/>
        <v>0</v>
      </c>
    </row>
    <row r="108" spans="1:58">
      <c r="A108" s="3893" t="s">
        <v>2503</v>
      </c>
      <c r="B108" s="3763">
        <f t="shared" si="24"/>
        <v>0</v>
      </c>
      <c r="C108" s="3896"/>
      <c r="D108" s="3906"/>
      <c r="E108" s="3907"/>
      <c r="F108" s="3765"/>
      <c r="G108" s="3765"/>
      <c r="H108" t="str">
        <f t="shared" si="25"/>
        <v/>
      </c>
      <c r="AW108" s="3892" t="str">
        <f t="shared" si="26"/>
        <v/>
      </c>
      <c r="BF108" s="1945">
        <f t="shared" si="27"/>
        <v>0</v>
      </c>
    </row>
    <row r="109" spans="1:58">
      <c r="A109" s="3893" t="s">
        <v>2504</v>
      </c>
      <c r="B109" s="3763">
        <f t="shared" si="24"/>
        <v>0</v>
      </c>
      <c r="C109" s="3896"/>
      <c r="D109" s="3906"/>
      <c r="E109" s="3907"/>
      <c r="F109" s="3765"/>
      <c r="G109" s="3765"/>
      <c r="H109" t="str">
        <f t="shared" si="25"/>
        <v/>
      </c>
      <c r="AW109" s="3892" t="str">
        <f t="shared" si="26"/>
        <v/>
      </c>
      <c r="BF109" s="1945">
        <f t="shared" si="27"/>
        <v>0</v>
      </c>
    </row>
    <row r="110" spans="1:58">
      <c r="A110" s="3893" t="s">
        <v>2505</v>
      </c>
      <c r="B110" s="3763">
        <f t="shared" si="24"/>
        <v>0</v>
      </c>
      <c r="C110" s="3896"/>
      <c r="D110" s="3906"/>
      <c r="E110" s="3907"/>
      <c r="F110" s="3765"/>
      <c r="G110" s="3765"/>
      <c r="H110" t="str">
        <f t="shared" si="25"/>
        <v/>
      </c>
      <c r="AW110" s="3892" t="str">
        <f t="shared" si="26"/>
        <v/>
      </c>
      <c r="BF110" s="1945">
        <f t="shared" si="27"/>
        <v>0</v>
      </c>
    </row>
    <row r="111" spans="1:58">
      <c r="A111" s="3893" t="s">
        <v>2506</v>
      </c>
      <c r="B111" s="3763">
        <f t="shared" si="24"/>
        <v>0</v>
      </c>
      <c r="C111" s="3896"/>
      <c r="D111" s="3906"/>
      <c r="E111" s="3907"/>
      <c r="F111" s="3765"/>
      <c r="G111" s="3765"/>
      <c r="H111" t="str">
        <f t="shared" si="25"/>
        <v/>
      </c>
      <c r="AW111" s="3892" t="str">
        <f t="shared" si="26"/>
        <v/>
      </c>
      <c r="BF111" s="1945">
        <f t="shared" si="27"/>
        <v>0</v>
      </c>
    </row>
    <row r="112" spans="1:58">
      <c r="A112" s="3905" t="s">
        <v>2507</v>
      </c>
      <c r="B112" s="3763">
        <f t="shared" si="24"/>
        <v>0</v>
      </c>
      <c r="C112" s="3896"/>
      <c r="D112" s="3906"/>
      <c r="E112" s="3907"/>
      <c r="F112" s="3765"/>
      <c r="G112" s="3765"/>
      <c r="H112" t="str">
        <f t="shared" si="25"/>
        <v/>
      </c>
      <c r="AW112" s="3892" t="str">
        <f t="shared" si="26"/>
        <v/>
      </c>
      <c r="BF112" s="1945">
        <f t="shared" si="27"/>
        <v>0</v>
      </c>
    </row>
    <row r="113" spans="1:61">
      <c r="A113" s="3908" t="s">
        <v>2508</v>
      </c>
      <c r="B113" s="3804">
        <f t="shared" si="24"/>
        <v>0</v>
      </c>
      <c r="C113" s="3896"/>
      <c r="D113" s="3906"/>
      <c r="E113" s="3907"/>
      <c r="F113" s="3909"/>
      <c r="G113" s="3909"/>
      <c r="H113" t="str">
        <f t="shared" si="25"/>
        <v/>
      </c>
      <c r="AW113" s="3892" t="str">
        <f t="shared" si="26"/>
        <v/>
      </c>
      <c r="BF113" s="1945">
        <f t="shared" si="27"/>
        <v>0</v>
      </c>
    </row>
    <row r="114" spans="1:61">
      <c r="A114" s="3910" t="s">
        <v>91</v>
      </c>
      <c r="B114" s="3807">
        <f t="shared" ref="B114:G114" si="28">SUM(B106:B113)</f>
        <v>0</v>
      </c>
      <c r="C114" s="3911">
        <f t="shared" si="28"/>
        <v>0</v>
      </c>
      <c r="D114" s="3912">
        <f t="shared" si="28"/>
        <v>0</v>
      </c>
      <c r="E114" s="3913">
        <f t="shared" si="28"/>
        <v>0</v>
      </c>
      <c r="F114" s="3914">
        <f t="shared" si="28"/>
        <v>0</v>
      </c>
      <c r="G114" s="3914">
        <f t="shared" si="28"/>
        <v>0</v>
      </c>
      <c r="H114" s="3915" t="str">
        <f t="shared" si="25"/>
        <v/>
      </c>
      <c r="AW114" s="3892" t="str">
        <f>IF((H102+I102+L102+M102+P102+Q102)&lt;&gt;B114," * El total de Causas de suspensión debe coincidir con la suma de Pacientes suspendidos de la Sección E","")</f>
        <v/>
      </c>
      <c r="AX114" s="385"/>
      <c r="AY114" s="385"/>
      <c r="BF114" s="1616">
        <f>IF((H102+I102+L102+M102+P102+Q102)&lt;&gt;B114,1,0)</f>
        <v>0</v>
      </c>
      <c r="BG114" s="385"/>
    </row>
    <row r="115" spans="1:61" s="385" customFormat="1" ht="18" customHeight="1">
      <c r="A115" s="2101" t="s">
        <v>2509</v>
      </c>
      <c r="E115" s="1960"/>
      <c r="F115" s="1493"/>
      <c r="G115" s="1493"/>
    </row>
    <row r="116" spans="1:61">
      <c r="A116" s="5718" t="s">
        <v>2422</v>
      </c>
      <c r="B116" s="5718" t="s">
        <v>42</v>
      </c>
      <c r="C116" s="5710" t="s">
        <v>43</v>
      </c>
      <c r="D116" s="6106"/>
      <c r="E116" s="5716"/>
      <c r="F116" s="6444" t="s">
        <v>478</v>
      </c>
      <c r="G116" s="5709"/>
    </row>
    <row r="117" spans="1:61" ht="21">
      <c r="A117" s="5719"/>
      <c r="B117" s="5719"/>
      <c r="C117" s="1395" t="s">
        <v>2510</v>
      </c>
      <c r="D117" s="1397" t="s">
        <v>2511</v>
      </c>
      <c r="E117" s="389" t="s">
        <v>2512</v>
      </c>
      <c r="F117" s="3657" t="s">
        <v>483</v>
      </c>
      <c r="G117" s="398" t="s">
        <v>484</v>
      </c>
    </row>
    <row r="118" spans="1:61">
      <c r="A118" s="3916" t="s">
        <v>779</v>
      </c>
      <c r="B118" s="1422">
        <f t="shared" ref="B118:B119" si="29">SUM(C118:E118)</f>
        <v>0</v>
      </c>
      <c r="C118" s="1424"/>
      <c r="D118" s="1426"/>
      <c r="E118" s="1652"/>
      <c r="F118" s="1707"/>
      <c r="G118" s="2205"/>
      <c r="H118" t="str">
        <f t="shared" si="25"/>
        <v/>
      </c>
      <c r="AW118" s="3892" t="str">
        <f>IF(AND(B118&gt;0,F118=""),"* No olvide digitar la variable Trans Masculino. Digite cero si no tiene.",IF(F118&gt;B118," * Trans Masculino no puede ser mayor al Total.",""))</f>
        <v/>
      </c>
      <c r="BF118" s="1945">
        <f>IF(AND(B118&gt;0,F118=""),1,IF(F118&gt;B118,1,0))</f>
        <v>0</v>
      </c>
    </row>
    <row r="119" spans="1:61">
      <c r="A119" s="3917" t="s">
        <v>544</v>
      </c>
      <c r="B119" s="1506">
        <f t="shared" si="29"/>
        <v>0</v>
      </c>
      <c r="C119" s="1455"/>
      <c r="D119" s="1457"/>
      <c r="E119" s="1490"/>
      <c r="F119" s="3918"/>
      <c r="G119" s="1684"/>
      <c r="H119" t="str">
        <f>AX119</f>
        <v/>
      </c>
      <c r="AX119" s="3892" t="str">
        <f>IF(AND(B119&gt;0,G119=""),"* No olvide digitar la variable Trans Femenino. Digite cero si no tiene.",IF(G119&gt;B119," * Trans Femenino no puede ser mayor al Total.",""))</f>
        <v/>
      </c>
      <c r="BG119" s="1945">
        <f>IF(AND(B119&gt;0,G119=""),1,IF(G119&gt;B119,1,0))</f>
        <v>0</v>
      </c>
    </row>
    <row r="120" spans="1:61">
      <c r="A120" s="3919" t="s">
        <v>2513</v>
      </c>
    </row>
    <row r="121" spans="1:61" ht="52.5">
      <c r="A121" s="3755" t="s">
        <v>1703</v>
      </c>
      <c r="B121" s="3920" t="s">
        <v>2386</v>
      </c>
      <c r="C121" s="3921" t="s">
        <v>2514</v>
      </c>
      <c r="D121" s="2341" t="s">
        <v>2515</v>
      </c>
      <c r="E121" s="2342" t="s">
        <v>2516</v>
      </c>
      <c r="F121" s="3921" t="s">
        <v>2517</v>
      </c>
      <c r="G121" s="2341" t="s">
        <v>2518</v>
      </c>
      <c r="H121" s="2342" t="s">
        <v>2519</v>
      </c>
      <c r="I121" s="3060"/>
    </row>
    <row r="122" spans="1:61">
      <c r="A122" s="3782" t="s">
        <v>91</v>
      </c>
      <c r="B122" s="3922">
        <f>SUM(B123:B124)</f>
        <v>0</v>
      </c>
      <c r="C122" s="3923">
        <f t="shared" ref="C122:H122" si="30">SUM(C123:C124)</f>
        <v>0</v>
      </c>
      <c r="D122" s="3924">
        <f t="shared" si="30"/>
        <v>0</v>
      </c>
      <c r="E122" s="3925">
        <f t="shared" si="30"/>
        <v>0</v>
      </c>
      <c r="F122" s="3923">
        <f t="shared" si="30"/>
        <v>0</v>
      </c>
      <c r="G122" s="3924">
        <f>SUM(G123:G124)</f>
        <v>0</v>
      </c>
      <c r="H122" s="3925">
        <f t="shared" si="30"/>
        <v>0</v>
      </c>
      <c r="I122" s="463"/>
    </row>
    <row r="123" spans="1:61">
      <c r="A123" s="3926" t="s">
        <v>2520</v>
      </c>
      <c r="B123" s="3927"/>
      <c r="C123" s="3928"/>
      <c r="D123" s="3929"/>
      <c r="E123" s="3930"/>
      <c r="F123" s="3928"/>
      <c r="G123" s="3929"/>
      <c r="H123" s="3930"/>
      <c r="I123" s="3931" t="str">
        <f t="shared" ref="I123:I124" si="31">AW123&amp;AX123&amp;AY123&amp;AZ123</f>
        <v/>
      </c>
      <c r="AW123" s="3892" t="str">
        <f t="shared" ref="AW123:AW124" si="32">IF(AND(B123&gt;0,C123=""),"* No olvide digitar la variable Horas mensuales de quirófano programado en horario hábil. Digite cero si no tiene horas programadas.","")</f>
        <v/>
      </c>
      <c r="AX123" s="3892" t="str">
        <f>IF(AND(B123&gt;0,D123=""),"* No olvide digitar la variable "&amp;D$121&amp;". Digite cero si no tiene horas programadas.","")</f>
        <v/>
      </c>
      <c r="AY123" s="3892" t="str">
        <f t="shared" ref="AY123:AY124" si="33">IF(AND(B123&gt;0,E123=""),"* No olvide digitar la variable "&amp;E$121&amp;". Digite cero si no tiene horas programadas.","")</f>
        <v/>
      </c>
      <c r="AZ123" s="3892" t="str">
        <f t="shared" ref="AZ123:AZ124" si="34">IF(AND(F123&gt;0,OR(C123="",C123=0,)), "*Si presenta datos en " &amp; F$121 &amp; ",asegúrese de que " &amp; C$121 &amp; " los datos registrados son los correctos debido a que presenta datos en " &amp; F$121 &amp; " e.", "")</f>
        <v/>
      </c>
      <c r="BF123" s="1945">
        <f t="shared" ref="BF123:BF124" si="35">IF(AND(B123&gt;0,C123=""),1,0)</f>
        <v>0</v>
      </c>
      <c r="BG123" s="1945">
        <f t="shared" ref="BG123:BG124" si="36">IF(AND(B123&gt;0,D123=""),1,IF(D123&gt;B123,1,0))</f>
        <v>0</v>
      </c>
      <c r="BH123" s="1945">
        <f t="shared" ref="BH123:BH124" si="37">IF(AND(B123&gt;0,E123=""),1,IF(E123&gt;B123,1,0))</f>
        <v>0</v>
      </c>
      <c r="BI123" s="1945">
        <f t="shared" ref="BI123:BI124" si="38">IF(AND(F123&gt;0,OR(C123="",C123=0,)),1,0)</f>
        <v>0</v>
      </c>
    </row>
    <row r="124" spans="1:61">
      <c r="A124" s="3477" t="s">
        <v>2521</v>
      </c>
      <c r="B124" s="3932"/>
      <c r="C124" s="3933"/>
      <c r="D124" s="3934"/>
      <c r="E124" s="3935"/>
      <c r="F124" s="3933"/>
      <c r="G124" s="3934"/>
      <c r="H124" s="3936"/>
      <c r="I124" s="3931" t="str">
        <f t="shared" si="31"/>
        <v/>
      </c>
      <c r="AW124" s="3892" t="str">
        <f t="shared" si="32"/>
        <v/>
      </c>
      <c r="AX124" s="3892" t="str">
        <f>IF(AND(C124&gt;0,D124=""),"* No olvide digitar la variable Horas mensuales de quirófano programado en horario hábil. Digite cero si no tiene horas programadas.","")</f>
        <v/>
      </c>
      <c r="AY124" s="3892" t="str">
        <f t="shared" si="33"/>
        <v/>
      </c>
      <c r="AZ124" s="3892" t="str">
        <f t="shared" si="34"/>
        <v/>
      </c>
      <c r="BF124" s="1945">
        <f t="shared" si="35"/>
        <v>0</v>
      </c>
      <c r="BG124" s="1945">
        <f t="shared" si="36"/>
        <v>0</v>
      </c>
      <c r="BH124" s="1945">
        <f t="shared" si="37"/>
        <v>0</v>
      </c>
      <c r="BI124" s="1945">
        <f t="shared" si="38"/>
        <v>0</v>
      </c>
    </row>
    <row r="125" spans="1:61">
      <c r="A125" s="3937" t="s">
        <v>2522</v>
      </c>
      <c r="B125" s="3938"/>
      <c r="C125" s="3938"/>
      <c r="D125" s="2549"/>
      <c r="E125" s="2549"/>
      <c r="F125" s="2549"/>
      <c r="G125" s="2549"/>
      <c r="H125" s="2549"/>
      <c r="I125" s="2549"/>
    </row>
    <row r="126" spans="1:61" ht="52.5">
      <c r="A126" s="3774" t="s">
        <v>1703</v>
      </c>
      <c r="B126" s="3939" t="s">
        <v>2523</v>
      </c>
      <c r="C126" s="3940" t="s">
        <v>2524</v>
      </c>
      <c r="D126" s="3939" t="s">
        <v>2525</v>
      </c>
      <c r="E126" s="3940" t="s">
        <v>2526</v>
      </c>
      <c r="F126" s="3939" t="s">
        <v>2527</v>
      </c>
      <c r="G126" s="3940" t="s">
        <v>2528</v>
      </c>
      <c r="H126" s="3939" t="s">
        <v>2529</v>
      </c>
      <c r="I126" s="3941" t="s">
        <v>2530</v>
      </c>
    </row>
    <row r="127" spans="1:61">
      <c r="A127" s="3890" t="s">
        <v>1326</v>
      </c>
      <c r="B127" s="3784"/>
      <c r="C127" s="3787"/>
      <c r="D127" s="3891"/>
      <c r="E127" s="3824"/>
      <c r="F127" s="3891"/>
      <c r="G127" s="3824"/>
      <c r="H127" s="3891"/>
      <c r="I127" s="3824"/>
      <c r="J127" t="str">
        <f t="shared" ref="J127:J138" si="39">AW127&amp;AX127&amp;AY127</f>
        <v/>
      </c>
      <c r="AW127" s="3892" t="str">
        <f t="shared" ref="AW127:AW138" si="40">IF(AND(ISBLANK(B127),B127+C127&gt;0), "*No olvide digitar datos en la variable " &amp; B$126 &amp; ".Digite cero si no tiene.", "")</f>
        <v/>
      </c>
      <c r="AX127" s="3892" t="str">
        <f t="shared" ref="AX127:AX138" si="41">IF(AND(ISBLANK(C127),B127+C127&gt;0), "*No olvide digitar datos en la variable " &amp; C$126 &amp; ". Digite cero si no tiene.", "")</f>
        <v/>
      </c>
      <c r="AY127" s="3892" t="str">
        <f t="shared" ref="AY127:AY138" si="42">IF(AND(B127+C127&gt;0, OR(ISBLANK(D127), D127=0)), "*No olvide digitar datos en la variable "&amp;D$126&amp;", ya que registra personas intervenidas.", "")</f>
        <v/>
      </c>
      <c r="BF127" s="1945">
        <f t="shared" ref="BF127:BF138" si="43">IF(AND(ISBLANK(B127), B127+C127&gt;0), 1, 0)</f>
        <v>0</v>
      </c>
      <c r="BG127" s="1945">
        <f t="shared" ref="BG127:BG138" si="44">IF(AND(ISBLANK(C127), B127+C127&gt;0), 1, 0)</f>
        <v>0</v>
      </c>
      <c r="BH127" s="1945">
        <f t="shared" ref="BH127:BH138" si="45">IF(AND(B127+C127&gt;0, OR(ISBLANK(D127), D127=0)), 1, 0)</f>
        <v>0</v>
      </c>
    </row>
    <row r="128" spans="1:61">
      <c r="A128" s="3893" t="s">
        <v>2492</v>
      </c>
      <c r="B128" s="3894"/>
      <c r="C128" s="3895"/>
      <c r="D128" s="3896"/>
      <c r="E128" s="3897"/>
      <c r="F128" s="3896"/>
      <c r="G128" s="3897"/>
      <c r="H128" s="3896"/>
      <c r="I128" s="3942"/>
      <c r="J128" t="str">
        <f t="shared" si="39"/>
        <v/>
      </c>
      <c r="AW128" s="3892" t="str">
        <f t="shared" si="40"/>
        <v/>
      </c>
      <c r="AX128" s="3892" t="str">
        <f t="shared" si="41"/>
        <v/>
      </c>
      <c r="AY128" s="3892" t="str">
        <f t="shared" si="42"/>
        <v/>
      </c>
      <c r="BF128" s="1945">
        <f t="shared" si="43"/>
        <v>0</v>
      </c>
      <c r="BG128" s="1945">
        <f t="shared" si="44"/>
        <v>0</v>
      </c>
      <c r="BH128" s="1945">
        <f t="shared" si="45"/>
        <v>0</v>
      </c>
    </row>
    <row r="129" spans="1:60">
      <c r="A129" s="3893" t="s">
        <v>1277</v>
      </c>
      <c r="B129" s="3894"/>
      <c r="C129" s="3895"/>
      <c r="D129" s="3896"/>
      <c r="E129" s="3897"/>
      <c r="F129" s="3896"/>
      <c r="G129" s="3897"/>
      <c r="H129" s="3896"/>
      <c r="I129" s="3824"/>
      <c r="J129" t="str">
        <f t="shared" si="39"/>
        <v/>
      </c>
      <c r="AW129" s="3892" t="str">
        <f t="shared" si="40"/>
        <v/>
      </c>
      <c r="AX129" s="3892" t="str">
        <f t="shared" si="41"/>
        <v/>
      </c>
      <c r="AY129" s="3892" t="str">
        <f t="shared" si="42"/>
        <v/>
      </c>
      <c r="BF129" s="1945">
        <f t="shared" si="43"/>
        <v>0</v>
      </c>
      <c r="BG129" s="1945">
        <f t="shared" si="44"/>
        <v>0</v>
      </c>
      <c r="BH129" s="1945">
        <f t="shared" si="45"/>
        <v>0</v>
      </c>
    </row>
    <row r="130" spans="1:60">
      <c r="A130" s="3893" t="s">
        <v>1259</v>
      </c>
      <c r="B130" s="3894"/>
      <c r="C130" s="3895"/>
      <c r="D130" s="3896"/>
      <c r="E130" s="3897"/>
      <c r="F130" s="3896"/>
      <c r="G130" s="3897"/>
      <c r="H130" s="3896"/>
      <c r="I130" s="3824"/>
      <c r="J130" t="str">
        <f t="shared" si="39"/>
        <v/>
      </c>
      <c r="AW130" s="3892" t="str">
        <f t="shared" si="40"/>
        <v/>
      </c>
      <c r="AX130" s="3892" t="str">
        <f t="shared" si="41"/>
        <v/>
      </c>
      <c r="AY130" s="3892" t="str">
        <f t="shared" si="42"/>
        <v/>
      </c>
      <c r="BF130" s="1945">
        <f t="shared" si="43"/>
        <v>0</v>
      </c>
      <c r="BG130" s="1945">
        <f t="shared" si="44"/>
        <v>0</v>
      </c>
      <c r="BH130" s="1945">
        <f t="shared" si="45"/>
        <v>0</v>
      </c>
    </row>
    <row r="131" spans="1:60">
      <c r="A131" s="3893" t="s">
        <v>2493</v>
      </c>
      <c r="B131" s="3894"/>
      <c r="C131" s="3895"/>
      <c r="D131" s="3896"/>
      <c r="E131" s="3897"/>
      <c r="F131" s="3896"/>
      <c r="G131" s="3897"/>
      <c r="H131" s="3896"/>
      <c r="I131" s="3824"/>
      <c r="J131" t="str">
        <f t="shared" si="39"/>
        <v/>
      </c>
      <c r="AW131" s="3892" t="str">
        <f t="shared" si="40"/>
        <v/>
      </c>
      <c r="AX131" s="3892" t="str">
        <f t="shared" si="41"/>
        <v/>
      </c>
      <c r="AY131" s="3892" t="str">
        <f t="shared" si="42"/>
        <v/>
      </c>
      <c r="BF131" s="1945">
        <f t="shared" si="43"/>
        <v>0</v>
      </c>
      <c r="BG131" s="1945">
        <f t="shared" si="44"/>
        <v>0</v>
      </c>
      <c r="BH131" s="1945">
        <f t="shared" si="45"/>
        <v>0</v>
      </c>
    </row>
    <row r="132" spans="1:60">
      <c r="A132" s="3893" t="s">
        <v>1286</v>
      </c>
      <c r="B132" s="3894"/>
      <c r="C132" s="3895"/>
      <c r="D132" s="3896"/>
      <c r="E132" s="3897"/>
      <c r="F132" s="3896"/>
      <c r="G132" s="3897"/>
      <c r="H132" s="3896"/>
      <c r="I132" s="3824"/>
      <c r="J132" t="str">
        <f t="shared" si="39"/>
        <v/>
      </c>
      <c r="AW132" s="3892" t="str">
        <f t="shared" si="40"/>
        <v/>
      </c>
      <c r="AX132" s="3892" t="str">
        <f t="shared" si="41"/>
        <v/>
      </c>
      <c r="AY132" s="3892" t="str">
        <f t="shared" si="42"/>
        <v/>
      </c>
      <c r="BF132" s="1945">
        <f t="shared" si="43"/>
        <v>0</v>
      </c>
      <c r="BG132" s="1945">
        <f t="shared" si="44"/>
        <v>0</v>
      </c>
      <c r="BH132" s="1945">
        <f t="shared" si="45"/>
        <v>0</v>
      </c>
    </row>
    <row r="133" spans="1:60">
      <c r="A133" s="3893" t="s">
        <v>1285</v>
      </c>
      <c r="B133" s="3894"/>
      <c r="C133" s="3895"/>
      <c r="D133" s="3896"/>
      <c r="E133" s="3897"/>
      <c r="F133" s="3896"/>
      <c r="G133" s="3897"/>
      <c r="H133" s="3896"/>
      <c r="I133" s="3824"/>
      <c r="J133" t="str">
        <f t="shared" si="39"/>
        <v/>
      </c>
      <c r="AW133" s="3892" t="str">
        <f t="shared" si="40"/>
        <v/>
      </c>
      <c r="AX133" s="3892" t="str">
        <f t="shared" si="41"/>
        <v/>
      </c>
      <c r="AY133" s="3892" t="str">
        <f t="shared" si="42"/>
        <v/>
      </c>
      <c r="BF133" s="1945">
        <f t="shared" si="43"/>
        <v>0</v>
      </c>
      <c r="BG133" s="1945">
        <f t="shared" si="44"/>
        <v>0</v>
      </c>
      <c r="BH133" s="1945">
        <f t="shared" si="45"/>
        <v>0</v>
      </c>
    </row>
    <row r="134" spans="1:60">
      <c r="A134" s="3893" t="s">
        <v>2494</v>
      </c>
      <c r="B134" s="3894"/>
      <c r="C134" s="3895"/>
      <c r="D134" s="3896"/>
      <c r="E134" s="3897"/>
      <c r="F134" s="3896"/>
      <c r="G134" s="3897"/>
      <c r="H134" s="3896"/>
      <c r="I134" s="3824"/>
      <c r="J134" t="str">
        <f t="shared" si="39"/>
        <v/>
      </c>
      <c r="AW134" s="3892" t="str">
        <f t="shared" si="40"/>
        <v/>
      </c>
      <c r="AX134" s="3892" t="str">
        <f t="shared" si="41"/>
        <v/>
      </c>
      <c r="AY134" s="3892" t="str">
        <f t="shared" si="42"/>
        <v/>
      </c>
      <c r="BF134" s="1945">
        <f t="shared" si="43"/>
        <v>0</v>
      </c>
      <c r="BG134" s="1945">
        <f t="shared" si="44"/>
        <v>0</v>
      </c>
      <c r="BH134" s="1945">
        <f t="shared" si="45"/>
        <v>0</v>
      </c>
    </row>
    <row r="135" spans="1:60">
      <c r="A135" s="3893" t="s">
        <v>2495</v>
      </c>
      <c r="B135" s="3894"/>
      <c r="C135" s="3895"/>
      <c r="D135" s="3896"/>
      <c r="E135" s="3897"/>
      <c r="F135" s="3896"/>
      <c r="G135" s="3897"/>
      <c r="H135" s="3896"/>
      <c r="I135" s="3824"/>
      <c r="J135" t="str">
        <f t="shared" si="39"/>
        <v/>
      </c>
      <c r="AW135" s="3892" t="str">
        <f t="shared" si="40"/>
        <v/>
      </c>
      <c r="AX135" s="3892" t="str">
        <f t="shared" si="41"/>
        <v/>
      </c>
      <c r="AY135" s="3892" t="str">
        <f t="shared" si="42"/>
        <v/>
      </c>
      <c r="BF135" s="1945">
        <f t="shared" si="43"/>
        <v>0</v>
      </c>
      <c r="BG135" s="1945">
        <f t="shared" si="44"/>
        <v>0</v>
      </c>
      <c r="BH135" s="1945">
        <f t="shared" si="45"/>
        <v>0</v>
      </c>
    </row>
    <row r="136" spans="1:60">
      <c r="A136" s="3893" t="s">
        <v>1288</v>
      </c>
      <c r="B136" s="3894"/>
      <c r="C136" s="3895"/>
      <c r="D136" s="3896"/>
      <c r="E136" s="3897"/>
      <c r="F136" s="3896"/>
      <c r="G136" s="3897"/>
      <c r="H136" s="3896"/>
      <c r="I136" s="3824"/>
      <c r="J136" t="str">
        <f t="shared" si="39"/>
        <v/>
      </c>
      <c r="AW136" s="3892" t="str">
        <f t="shared" si="40"/>
        <v/>
      </c>
      <c r="AX136" s="3892" t="str">
        <f t="shared" si="41"/>
        <v/>
      </c>
      <c r="AY136" s="3892" t="str">
        <f t="shared" si="42"/>
        <v/>
      </c>
      <c r="BF136" s="1945">
        <f t="shared" si="43"/>
        <v>0</v>
      </c>
      <c r="BG136" s="1945">
        <f t="shared" si="44"/>
        <v>0</v>
      </c>
      <c r="BH136" s="1945">
        <f t="shared" si="45"/>
        <v>0</v>
      </c>
    </row>
    <row r="137" spans="1:60">
      <c r="A137" s="3893" t="s">
        <v>2497</v>
      </c>
      <c r="B137" s="3894"/>
      <c r="C137" s="3895"/>
      <c r="D137" s="3896"/>
      <c r="E137" s="3897"/>
      <c r="F137" s="3896"/>
      <c r="G137" s="3897"/>
      <c r="H137" s="3896"/>
      <c r="I137" s="3824"/>
      <c r="J137" t="str">
        <f t="shared" si="39"/>
        <v/>
      </c>
      <c r="AW137" s="3892" t="str">
        <f t="shared" si="40"/>
        <v/>
      </c>
      <c r="AX137" s="3892" t="str">
        <f t="shared" si="41"/>
        <v/>
      </c>
      <c r="AY137" s="3892" t="str">
        <f t="shared" si="42"/>
        <v/>
      </c>
      <c r="BF137" s="1945">
        <f t="shared" si="43"/>
        <v>0</v>
      </c>
      <c r="BG137" s="1945">
        <f t="shared" si="44"/>
        <v>0</v>
      </c>
      <c r="BH137" s="1945">
        <f t="shared" si="45"/>
        <v>0</v>
      </c>
    </row>
    <row r="138" spans="1:60">
      <c r="A138" s="3893" t="s">
        <v>2531</v>
      </c>
      <c r="B138" s="3894"/>
      <c r="C138" s="3895"/>
      <c r="D138" s="3896"/>
      <c r="E138" s="3897"/>
      <c r="F138" s="3896"/>
      <c r="G138" s="3897"/>
      <c r="H138" s="3896"/>
      <c r="I138" s="3943"/>
      <c r="J138" t="str">
        <f t="shared" si="39"/>
        <v/>
      </c>
      <c r="AW138" s="3892" t="str">
        <f t="shared" si="40"/>
        <v/>
      </c>
      <c r="AX138" s="3892" t="str">
        <f t="shared" si="41"/>
        <v/>
      </c>
      <c r="AY138" s="3892" t="str">
        <f t="shared" si="42"/>
        <v/>
      </c>
      <c r="BF138" s="1945">
        <f t="shared" si="43"/>
        <v>0</v>
      </c>
      <c r="BG138" s="1945">
        <f t="shared" si="44"/>
        <v>0</v>
      </c>
      <c r="BH138" s="1945">
        <f t="shared" si="45"/>
        <v>0</v>
      </c>
    </row>
    <row r="139" spans="1:60">
      <c r="A139" s="3944" t="s">
        <v>91</v>
      </c>
      <c r="B139" s="3945">
        <f t="shared" ref="B139:I139" si="46">SUM(B127:B138)</f>
        <v>0</v>
      </c>
      <c r="C139" s="3946">
        <f t="shared" si="46"/>
        <v>0</v>
      </c>
      <c r="D139" s="3945">
        <f t="shared" si="46"/>
        <v>0</v>
      </c>
      <c r="E139" s="3946">
        <f t="shared" si="46"/>
        <v>0</v>
      </c>
      <c r="F139" s="3945">
        <f t="shared" si="46"/>
        <v>0</v>
      </c>
      <c r="G139" s="3946">
        <f t="shared" si="46"/>
        <v>0</v>
      </c>
      <c r="H139" s="3945">
        <f t="shared" si="46"/>
        <v>0</v>
      </c>
      <c r="I139" s="3946">
        <f t="shared" si="46"/>
        <v>0</v>
      </c>
      <c r="AT139" t="str">
        <f>IF(AND(ISBLANK(B139),B139+C139&gt;0), "*No olvide digitar datos en la variable " &amp; B$126 &amp; ", de no poseer datos digite cero.", "")</f>
        <v/>
      </c>
    </row>
    <row r="140" spans="1:60">
      <c r="A140" s="3751" t="s">
        <v>2532</v>
      </c>
      <c r="B140" s="3915"/>
      <c r="C140" s="3915"/>
      <c r="D140" s="3915"/>
      <c r="E140" s="3915"/>
      <c r="F140" s="3915"/>
      <c r="G140" s="3915"/>
      <c r="H140" s="3915"/>
      <c r="I140" s="3915"/>
      <c r="J140" s="3915"/>
    </row>
    <row r="141" spans="1:60">
      <c r="A141" s="6824" t="s">
        <v>2533</v>
      </c>
      <c r="B141" s="6822" t="s">
        <v>2458</v>
      </c>
      <c r="C141" s="6825" t="s">
        <v>2534</v>
      </c>
      <c r="D141" s="6826"/>
      <c r="E141" s="6827" t="s">
        <v>1405</v>
      </c>
      <c r="F141" s="6828"/>
      <c r="G141" s="6829" t="s">
        <v>2416</v>
      </c>
      <c r="H141" s="6137" t="s">
        <v>789</v>
      </c>
      <c r="I141" s="6830" t="s">
        <v>798</v>
      </c>
      <c r="J141" s="6823" t="s">
        <v>2415</v>
      </c>
    </row>
    <row r="142" spans="1:60">
      <c r="A142" s="6824"/>
      <c r="B142" s="6822"/>
      <c r="C142" s="1647" t="s">
        <v>2535</v>
      </c>
      <c r="D142" s="1932" t="s">
        <v>73</v>
      </c>
      <c r="E142" s="1647" t="s">
        <v>2535</v>
      </c>
      <c r="F142" s="2107" t="s">
        <v>73</v>
      </c>
      <c r="G142" s="6829"/>
      <c r="H142" s="6137"/>
      <c r="I142" s="6830"/>
      <c r="J142" s="6823"/>
    </row>
    <row r="143" spans="1:60">
      <c r="A143" s="1540" t="s">
        <v>2536</v>
      </c>
      <c r="B143" s="3947">
        <f t="shared" ref="B143:B151" si="47">SUM(C143:F143)</f>
        <v>0</v>
      </c>
      <c r="C143" s="3948"/>
      <c r="D143" s="3949"/>
      <c r="E143" s="3948"/>
      <c r="F143" s="3950"/>
      <c r="G143" s="3824"/>
      <c r="H143" s="3951"/>
      <c r="I143" s="3952"/>
      <c r="J143" s="3953"/>
    </row>
    <row r="144" spans="1:60">
      <c r="A144" s="1512" t="s">
        <v>2537</v>
      </c>
      <c r="B144" s="3947">
        <f t="shared" si="47"/>
        <v>0</v>
      </c>
      <c r="C144" s="3954"/>
      <c r="D144" s="3955"/>
      <c r="E144" s="3954"/>
      <c r="F144" s="3906"/>
      <c r="G144" s="3824"/>
      <c r="H144" s="3956"/>
      <c r="I144" s="3957"/>
      <c r="J144" s="3824"/>
    </row>
    <row r="145" spans="1:10">
      <c r="A145" s="1512" t="s">
        <v>2538</v>
      </c>
      <c r="B145" s="3947">
        <f t="shared" si="47"/>
        <v>0</v>
      </c>
      <c r="C145" s="3954"/>
      <c r="D145" s="3955"/>
      <c r="E145" s="3954"/>
      <c r="F145" s="3906"/>
      <c r="G145" s="3824"/>
      <c r="H145" s="3956"/>
      <c r="I145" s="3958"/>
      <c r="J145" s="3953"/>
    </row>
    <row r="146" spans="1:10">
      <c r="A146" s="1512" t="s">
        <v>2539</v>
      </c>
      <c r="B146" s="3947">
        <f t="shared" si="47"/>
        <v>0</v>
      </c>
      <c r="C146" s="3954"/>
      <c r="D146" s="3955"/>
      <c r="E146" s="3954"/>
      <c r="F146" s="3906"/>
      <c r="G146" s="3824"/>
      <c r="H146" s="3956"/>
      <c r="I146" s="3958"/>
      <c r="J146" s="3953"/>
    </row>
    <row r="147" spans="1:10">
      <c r="A147" s="1512" t="s">
        <v>2540</v>
      </c>
      <c r="B147" s="3947">
        <f t="shared" si="47"/>
        <v>0</v>
      </c>
      <c r="C147" s="3954"/>
      <c r="D147" s="3955"/>
      <c r="E147" s="3954"/>
      <c r="F147" s="3906"/>
      <c r="G147" s="3824"/>
      <c r="H147" s="3956"/>
      <c r="I147" s="3958"/>
      <c r="J147" s="3953"/>
    </row>
    <row r="148" spans="1:10">
      <c r="A148" s="1512" t="s">
        <v>2541</v>
      </c>
      <c r="B148" s="3947">
        <f t="shared" si="47"/>
        <v>0</v>
      </c>
      <c r="C148" s="3954"/>
      <c r="D148" s="3955"/>
      <c r="E148" s="3954"/>
      <c r="F148" s="3906"/>
      <c r="G148" s="3824"/>
      <c r="H148" s="3956"/>
      <c r="I148" s="3958"/>
      <c r="J148" s="3953"/>
    </row>
    <row r="149" spans="1:10">
      <c r="A149" s="1512" t="s">
        <v>2542</v>
      </c>
      <c r="B149" s="3947">
        <f t="shared" si="47"/>
        <v>0</v>
      </c>
      <c r="C149" s="3954"/>
      <c r="D149" s="3955"/>
      <c r="E149" s="3954"/>
      <c r="F149" s="3906"/>
      <c r="G149" s="3824"/>
      <c r="H149" s="3956"/>
      <c r="I149" s="3958"/>
      <c r="J149" s="3953"/>
    </row>
    <row r="150" spans="1:10">
      <c r="A150" s="1512" t="s">
        <v>2543</v>
      </c>
      <c r="B150" s="3947">
        <f t="shared" si="47"/>
        <v>0</v>
      </c>
      <c r="C150" s="3954"/>
      <c r="D150" s="3955"/>
      <c r="E150" s="3954"/>
      <c r="F150" s="3906"/>
      <c r="G150" s="3824"/>
      <c r="H150" s="3959"/>
      <c r="I150" s="3958"/>
      <c r="J150" s="3953"/>
    </row>
    <row r="151" spans="1:10">
      <c r="A151" s="1512" t="s">
        <v>2544</v>
      </c>
      <c r="B151" s="3947">
        <f t="shared" si="47"/>
        <v>0</v>
      </c>
      <c r="C151" s="3954"/>
      <c r="D151" s="3955"/>
      <c r="E151" s="3954"/>
      <c r="F151" s="3906"/>
      <c r="G151" s="3824"/>
      <c r="H151" s="3959"/>
      <c r="I151" s="3958"/>
      <c r="J151" s="3953"/>
    </row>
    <row r="152" spans="1:10">
      <c r="A152" s="3944" t="s">
        <v>91</v>
      </c>
      <c r="B152" s="3946">
        <f>SUM(B143:B151)</f>
        <v>0</v>
      </c>
      <c r="C152" s="3945">
        <f t="shared" ref="C152:H152" si="48">SUM(C143:C151)</f>
        <v>0</v>
      </c>
      <c r="D152" s="3946">
        <f t="shared" si="48"/>
        <v>0</v>
      </c>
      <c r="E152" s="3945">
        <f t="shared" si="48"/>
        <v>0</v>
      </c>
      <c r="F152" s="3960">
        <f t="shared" si="48"/>
        <v>0</v>
      </c>
      <c r="G152" s="3961">
        <f t="shared" si="48"/>
        <v>0</v>
      </c>
      <c r="H152" s="3962">
        <f t="shared" si="48"/>
        <v>0</v>
      </c>
      <c r="I152" s="3963">
        <f>I144</f>
        <v>0</v>
      </c>
      <c r="J152" s="3946">
        <f>J144</f>
        <v>0</v>
      </c>
    </row>
    <row r="204" spans="1:2" ht="41.25" hidden="1" customHeight="1">
      <c r="A204" s="2099">
        <f>SUM(B13:F13,G13:J13,G14:G17,K13:AE13,K14:K17,P14:P17,U14:U17,Z14:Z17,AC14:AC17,B21:B25,C31:C37,B40:B48,B51:B53,B57:B59,F57:F59,B69:G69,B72:G76,C80:C84,B89:Q101,B106:B113,B118:B119,B123:H124,B127:I138,B143:B151)</f>
        <v>0</v>
      </c>
      <c r="B204" s="2100">
        <f>SUM(BC31:BN140)</f>
        <v>0</v>
      </c>
    </row>
  </sheetData>
  <sheetProtection algorithmName="SHA-512" hashValue="jNRMxRl3HAtRlJOArzBU9OLM7fgImpjp6hdNz7rMbtUSEpugK0Zm96JCgPa+djeRJPxkeyvLA4RmAhkaoxVABw==" saltValue="HAJMhqG9mnsB5HfJ0Gghgg==" spinCount="100000" sheet="1" objects="1" scenarios="1"/>
  <mergeCells count="66">
    <mergeCell ref="A35:A36"/>
    <mergeCell ref="A37:B37"/>
    <mergeCell ref="B61:D61"/>
    <mergeCell ref="E61:E62"/>
    <mergeCell ref="D78:I78"/>
    <mergeCell ref="C78:C79"/>
    <mergeCell ref="B78:B79"/>
    <mergeCell ref="A61:A62"/>
    <mergeCell ref="F61:F62"/>
    <mergeCell ref="G61:G62"/>
    <mergeCell ref="A78:A79"/>
    <mergeCell ref="A83:A84"/>
    <mergeCell ref="A77:E77"/>
    <mergeCell ref="A80:B80"/>
    <mergeCell ref="A81:A82"/>
    <mergeCell ref="F116:G116"/>
    <mergeCell ref="F86:I86"/>
    <mergeCell ref="F87:G87"/>
    <mergeCell ref="H87:I87"/>
    <mergeCell ref="A103:G103"/>
    <mergeCell ref="A104:A105"/>
    <mergeCell ref="B104:G104"/>
    <mergeCell ref="A86:A88"/>
    <mergeCell ref="B86:C87"/>
    <mergeCell ref="D86:E87"/>
    <mergeCell ref="A116:A117"/>
    <mergeCell ref="B116:B117"/>
    <mergeCell ref="C116:E116"/>
    <mergeCell ref="J141:J142"/>
    <mergeCell ref="A141:A142"/>
    <mergeCell ref="B141:B142"/>
    <mergeCell ref="C141:D141"/>
    <mergeCell ref="E141:F141"/>
    <mergeCell ref="G141:G142"/>
    <mergeCell ref="H141:H142"/>
    <mergeCell ref="I141:I142"/>
    <mergeCell ref="N86:Q86"/>
    <mergeCell ref="N87:O87"/>
    <mergeCell ref="P87:Q87"/>
    <mergeCell ref="J86:M86"/>
    <mergeCell ref="J87:K87"/>
    <mergeCell ref="L87:M87"/>
    <mergeCell ref="A6:J6"/>
    <mergeCell ref="A9:A12"/>
    <mergeCell ref="B9:B12"/>
    <mergeCell ref="C9:C12"/>
    <mergeCell ref="D9:D12"/>
    <mergeCell ref="E9:E12"/>
    <mergeCell ref="F9:F12"/>
    <mergeCell ref="G9:Y9"/>
    <mergeCell ref="C29:C30"/>
    <mergeCell ref="A31:B31"/>
    <mergeCell ref="A33:B33"/>
    <mergeCell ref="A34:B34"/>
    <mergeCell ref="A32:B32"/>
    <mergeCell ref="A29:B30"/>
    <mergeCell ref="N29:O29"/>
    <mergeCell ref="D29:G29"/>
    <mergeCell ref="Z9:AE9"/>
    <mergeCell ref="G10:J11"/>
    <mergeCell ref="K10:O11"/>
    <mergeCell ref="P10:T11"/>
    <mergeCell ref="U10:Y11"/>
    <mergeCell ref="Z10:AB11"/>
    <mergeCell ref="AC10:AE11"/>
    <mergeCell ref="H29:M29"/>
  </mergeCells>
  <dataValidations count="9">
    <dataValidation allowBlank="1" showInputMessage="1" showErrorMessage="1" error="Valor no Permitido" sqref="A118 A115:A116 B115:B119 C115:E115" xr:uid="{00000000-0002-0000-0E00-000000000000}"/>
    <dataValidation allowBlank="1" showInputMessage="1" showErrorMessage="1" sqref="A70" xr:uid="{00000000-0002-0000-0E00-000001000000}"/>
    <dataValidation type="whole" operator="greaterThanOrEqual" allowBlank="1" showInputMessage="1" showErrorMessage="1" sqref="C21:F25 B14:B17 E140:J140 B63:G68 C57:F59 B40:B48 C143:J151 D31:O37 C54:E54 C51:H53" xr:uid="{000800C9-00F7-4AEF-BF24-003C0083000B}">
      <formula1>0</formula1>
    </dataValidation>
    <dataValidation type="whole" allowBlank="1" showInputMessage="1" showErrorMessage="1" sqref="B56 C115:D115 A71:A76 E70:H70 B69:G71 C62:D62 A69 C60:D60 E61:F61 H72:I76" xr:uid="{00340036-007E-4141-8A95-00BB00A200DB}">
      <formula1>0</formula1>
      <formula2>1E+27</formula2>
    </dataValidation>
    <dataValidation type="whole" allowBlank="1" showInputMessage="1" showErrorMessage="1" sqref="D102:Q102" xr:uid="{001B005B-005A-4CB9-9603-007300D4007A}">
      <formula1>0</formula1>
      <formula2>10000000</formula2>
    </dataValidation>
    <dataValidation type="decimal" operator="greaterThanOrEqual" allowBlank="1" showInputMessage="1" showErrorMessage="1" sqref="AD14:AE17 AA14:AB17 H14:J17 L14:O17 Q14:T17 V14:Y17 C14:F17 B122 B123:H124" xr:uid="{00D6005C-00A8-47CC-BE18-0055009E003E}">
      <formula1>0</formula1>
    </dataValidation>
    <dataValidation type="whole" allowBlank="1" showInputMessage="1" showErrorMessage="1" sqref="B127:I138" xr:uid="{00AF009E-001D-4713-A179-005400DB005C}">
      <formula1>0</formula1>
      <formula2>9.99999999999999E+37</formula2>
    </dataValidation>
    <dataValidation type="whole" allowBlank="1" showInputMessage="1" showErrorMessage="1" sqref="B72:I76 D80:I84 B89:Q101" xr:uid="{00A7004C-007F-43CD-AD39-00EA00380072}">
      <formula1>0</formula1>
      <formula2>9.99999999999999E+34</formula2>
    </dataValidation>
    <dataValidation type="whole" allowBlank="1" showInputMessage="1" showErrorMessage="1" sqref="C106:G113 C118:G119" xr:uid="{00F300D6-0029-465A-B965-009300B400FE}">
      <formula1>0</formula1>
      <formula2>9.99999999999999E+35</formula2>
    </dataValidation>
  </dataValidations>
  <pageMargins left="0.7" right="0.7" top="0.75" bottom="0.75" header="0.3" footer="0.3"/>
  <pageSetup paperSize="9" orientation="portrait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Hoja16"/>
  <dimension ref="A1:CH215"/>
  <sheetViews>
    <sheetView showGridLines="0" workbookViewId="0"/>
  </sheetViews>
  <sheetFormatPr baseColWidth="10" defaultColWidth="11.42578125" defaultRowHeight="15"/>
  <cols>
    <col min="1" max="1" width="56.140625" customWidth="1"/>
    <col min="2" max="2" width="32.7109375" customWidth="1"/>
    <col min="3" max="3" width="19.85546875" customWidth="1"/>
    <col min="4" max="4" width="15.7109375" customWidth="1"/>
    <col min="5" max="5" width="13.42578125" customWidth="1"/>
    <col min="38" max="38" width="11.85546875" customWidth="1"/>
    <col min="41" max="41" width="14.28515625" customWidth="1"/>
    <col min="76" max="78" width="11.42578125" customWidth="1"/>
    <col min="79" max="86" width="11.42578125" hidden="1" customWidth="1"/>
    <col min="87" max="89" width="11.42578125" customWidth="1"/>
  </cols>
  <sheetData>
    <row r="1" spans="1:86">
      <c r="A1" s="378" t="s">
        <v>37</v>
      </c>
    </row>
    <row r="2" spans="1:86">
      <c r="A2" s="378" t="str">
        <f>CONCATENATE("COMUNA: ",NOMBRE!B2, " (",NOMBRE!C2,NOMBRE!D2,NOMBRE!E2,NOMBRE!F2,NOMBRE!G2,")")</f>
        <v>COMUNA: MAIPU (13119)</v>
      </c>
    </row>
    <row r="3" spans="1:86">
      <c r="A3" s="378" t="str">
        <f>CONCATENATE("ESTABLECIMIENTO/ESTRATEGIA: ", NOMBRE!B3, " (",NOMBRE!C3,NOMBRE!D3,NOMBRE!E3,NOMBRE!F3,NOMBRE!G3,NOMBRE!H3,")")</f>
        <v>ESTABLECIMIENTO/ESTRATEGIA: CESFAM DR. CARLOS GODOY (111380)</v>
      </c>
    </row>
    <row r="4" spans="1:86">
      <c r="A4" s="378" t="str">
        <f>CONCATENATE("MES: ",NOMBRE!B6, " (",NOMBRE!C6,NOMBRE!D6,")")</f>
        <v>MES: MARZO (03)</v>
      </c>
    </row>
    <row r="5" spans="1:86">
      <c r="A5" s="378" t="str">
        <f>CONCATENATE("AÑO: ",NOMBRE!B7)</f>
        <v>AÑO: 2026</v>
      </c>
    </row>
    <row r="6" spans="1:86" ht="18" customHeight="1">
      <c r="A6" s="5704" t="s">
        <v>2545</v>
      </c>
      <c r="B6" s="5704"/>
      <c r="C6" s="5704"/>
      <c r="D6" s="5704"/>
      <c r="E6" s="5704"/>
      <c r="F6" s="5704"/>
      <c r="G6" s="5704"/>
      <c r="H6" s="5704"/>
      <c r="I6" s="5704"/>
      <c r="J6" s="5704"/>
      <c r="K6" s="5704"/>
      <c r="L6" s="5704"/>
      <c r="M6" s="5704"/>
      <c r="N6" s="5704"/>
      <c r="O6" s="5704"/>
      <c r="P6" s="5704"/>
      <c r="Q6" s="5704"/>
      <c r="R6" s="5704"/>
      <c r="S6" s="5704"/>
      <c r="T6" s="5704"/>
      <c r="U6" s="5704"/>
      <c r="V6" s="5704"/>
    </row>
    <row r="7" spans="1:86" ht="15" customHeight="1"/>
    <row r="8" spans="1:86" s="2832" customFormat="1" ht="18" customHeight="1">
      <c r="A8" s="2102" t="s">
        <v>2546</v>
      </c>
      <c r="B8" s="1582"/>
    </row>
    <row r="9" spans="1:86" s="1470" customFormat="1" ht="15" customHeight="1">
      <c r="A9" s="6154" t="s">
        <v>2547</v>
      </c>
      <c r="B9" s="6709" t="s">
        <v>91</v>
      </c>
      <c r="C9" s="6486"/>
      <c r="D9" s="6486"/>
      <c r="E9" s="6858" t="s">
        <v>115</v>
      </c>
      <c r="F9" s="6859"/>
      <c r="G9" s="6859"/>
      <c r="H9" s="6859"/>
      <c r="I9" s="6859"/>
      <c r="J9" s="6859"/>
      <c r="K9" s="6859"/>
      <c r="L9" s="6859"/>
      <c r="M9" s="6859"/>
      <c r="N9" s="6859"/>
      <c r="O9" s="6859"/>
      <c r="P9" s="6859"/>
      <c r="Q9" s="6859"/>
      <c r="R9" s="6859"/>
      <c r="S9" s="6859"/>
      <c r="T9" s="6859"/>
      <c r="U9" s="6859"/>
      <c r="V9" s="6859"/>
      <c r="W9" s="6859"/>
      <c r="X9" s="6859"/>
      <c r="Y9" s="6859"/>
      <c r="Z9" s="6859"/>
      <c r="AA9" s="6859"/>
      <c r="AB9" s="6859"/>
      <c r="AC9" s="6859"/>
      <c r="AD9" s="6859"/>
      <c r="AE9" s="6859"/>
      <c r="AF9" s="6859"/>
      <c r="AG9" s="6859"/>
      <c r="AH9" s="6859"/>
      <c r="AI9" s="6859"/>
      <c r="AJ9" s="6859"/>
      <c r="AK9" s="6859"/>
      <c r="AL9" s="6859"/>
      <c r="AM9" s="6859"/>
      <c r="AN9" s="6860"/>
      <c r="AO9" s="6139" t="s">
        <v>50</v>
      </c>
      <c r="AP9" s="5718" t="s">
        <v>51</v>
      </c>
      <c r="AQ9" s="6119" t="s">
        <v>494</v>
      </c>
    </row>
    <row r="10" spans="1:86" s="1470" customFormat="1" ht="15" customHeight="1">
      <c r="A10" s="6448"/>
      <c r="B10" s="6853"/>
      <c r="C10" s="6489"/>
      <c r="D10" s="6489"/>
      <c r="E10" s="6140" t="s">
        <v>2548</v>
      </c>
      <c r="F10" s="6154"/>
      <c r="G10" s="6152" t="s">
        <v>2549</v>
      </c>
      <c r="H10" s="6154"/>
      <c r="I10" s="6152" t="s">
        <v>2550</v>
      </c>
      <c r="J10" s="6154"/>
      <c r="K10" s="6139" t="s">
        <v>108</v>
      </c>
      <c r="L10" s="6153"/>
      <c r="M10" s="6140" t="s">
        <v>58</v>
      </c>
      <c r="N10" s="6154"/>
      <c r="O10" s="6139" t="s">
        <v>59</v>
      </c>
      <c r="P10" s="6153"/>
      <c r="Q10" s="6152" t="s">
        <v>60</v>
      </c>
      <c r="R10" s="6154"/>
      <c r="S10" s="6152" t="s">
        <v>61</v>
      </c>
      <c r="T10" s="6154"/>
      <c r="U10" s="6152" t="s">
        <v>62</v>
      </c>
      <c r="V10" s="6154"/>
      <c r="W10" s="6153" t="s">
        <v>63</v>
      </c>
      <c r="X10" s="6153"/>
      <c r="Y10" s="6152" t="s">
        <v>64</v>
      </c>
      <c r="Z10" s="6154"/>
      <c r="AA10" s="6153" t="s">
        <v>65</v>
      </c>
      <c r="AB10" s="6153"/>
      <c r="AC10" s="6152" t="s">
        <v>66</v>
      </c>
      <c r="AD10" s="6154"/>
      <c r="AE10" s="6153" t="s">
        <v>67</v>
      </c>
      <c r="AF10" s="6153"/>
      <c r="AG10" s="6152" t="s">
        <v>68</v>
      </c>
      <c r="AH10" s="6154"/>
      <c r="AI10" s="6153" t="s">
        <v>69</v>
      </c>
      <c r="AJ10" s="6153"/>
      <c r="AK10" s="6152" t="s">
        <v>70</v>
      </c>
      <c r="AL10" s="6154"/>
      <c r="AM10" s="6153" t="s">
        <v>71</v>
      </c>
      <c r="AN10" s="6874"/>
      <c r="AO10" s="6166"/>
      <c r="AP10" s="6110"/>
      <c r="AQ10" s="6120"/>
    </row>
    <row r="11" spans="1:86" s="1470" customFormat="1" ht="15" customHeight="1">
      <c r="A11" s="6157"/>
      <c r="B11" s="1666" t="s">
        <v>93</v>
      </c>
      <c r="C11" s="3964" t="s">
        <v>72</v>
      </c>
      <c r="D11" s="2391" t="s">
        <v>73</v>
      </c>
      <c r="E11" s="396" t="s">
        <v>72</v>
      </c>
      <c r="F11" s="390" t="s">
        <v>73</v>
      </c>
      <c r="G11" s="396" t="s">
        <v>72</v>
      </c>
      <c r="H11" s="390" t="s">
        <v>73</v>
      </c>
      <c r="I11" s="396" t="s">
        <v>72</v>
      </c>
      <c r="J11" s="390" t="s">
        <v>73</v>
      </c>
      <c r="K11" s="397" t="s">
        <v>72</v>
      </c>
      <c r="L11" s="389" t="s">
        <v>73</v>
      </c>
      <c r="M11" s="396" t="s">
        <v>72</v>
      </c>
      <c r="N11" s="390" t="s">
        <v>73</v>
      </c>
      <c r="O11" s="397" t="s">
        <v>72</v>
      </c>
      <c r="P11" s="389" t="s">
        <v>73</v>
      </c>
      <c r="Q11" s="396" t="s">
        <v>72</v>
      </c>
      <c r="R11" s="390" t="s">
        <v>73</v>
      </c>
      <c r="S11" s="396" t="s">
        <v>72</v>
      </c>
      <c r="T11" s="390" t="s">
        <v>73</v>
      </c>
      <c r="U11" s="396" t="s">
        <v>72</v>
      </c>
      <c r="V11" s="390" t="s">
        <v>73</v>
      </c>
      <c r="W11" s="397" t="s">
        <v>72</v>
      </c>
      <c r="X11" s="389" t="s">
        <v>73</v>
      </c>
      <c r="Y11" s="396" t="s">
        <v>72</v>
      </c>
      <c r="Z11" s="390" t="s">
        <v>73</v>
      </c>
      <c r="AA11" s="397" t="s">
        <v>72</v>
      </c>
      <c r="AB11" s="389" t="s">
        <v>73</v>
      </c>
      <c r="AC11" s="396" t="s">
        <v>72</v>
      </c>
      <c r="AD11" s="390" t="s">
        <v>73</v>
      </c>
      <c r="AE11" s="397" t="s">
        <v>72</v>
      </c>
      <c r="AF11" s="389" t="s">
        <v>73</v>
      </c>
      <c r="AG11" s="396" t="s">
        <v>72</v>
      </c>
      <c r="AH11" s="390" t="s">
        <v>73</v>
      </c>
      <c r="AI11" s="397" t="s">
        <v>72</v>
      </c>
      <c r="AJ11" s="389" t="s">
        <v>73</v>
      </c>
      <c r="AK11" s="396" t="s">
        <v>72</v>
      </c>
      <c r="AL11" s="390" t="s">
        <v>73</v>
      </c>
      <c r="AM11" s="397" t="s">
        <v>72</v>
      </c>
      <c r="AN11" s="3965" t="s">
        <v>73</v>
      </c>
      <c r="AO11" s="6115"/>
      <c r="AP11" s="5719"/>
      <c r="AQ11" s="6116"/>
    </row>
    <row r="12" spans="1:86" s="1470" customFormat="1" ht="15" customHeight="1">
      <c r="A12" s="3966" t="s">
        <v>2551</v>
      </c>
      <c r="B12" s="3967">
        <f t="shared" ref="B12:B22" si="0">SUM(C12+D12)</f>
        <v>0</v>
      </c>
      <c r="C12" s="3968">
        <f t="shared" ref="C12:C22" si="1">SUM(E12+G12+I12+K12+M12+O12+Q12+S12+U12+W12+Y12+AA12+AC12+AE12+AG12+AI12+AK12+AM12)</f>
        <v>0</v>
      </c>
      <c r="D12" s="3969">
        <f t="shared" ref="D12:D22" si="2">SUM(F12+H12+J12+L12+N12+P12+R12+T12+V12+X12+Z12+AB12+AD12+AF12+AH12+AJ12+AL12+AN12)</f>
        <v>0</v>
      </c>
      <c r="E12" s="413"/>
      <c r="F12" s="2261"/>
      <c r="G12" s="413"/>
      <c r="H12" s="412"/>
      <c r="I12" s="413"/>
      <c r="J12" s="412"/>
      <c r="K12" s="411"/>
      <c r="L12" s="3665"/>
      <c r="M12" s="413"/>
      <c r="N12" s="412"/>
      <c r="O12" s="411"/>
      <c r="P12" s="3665"/>
      <c r="Q12" s="413"/>
      <c r="R12" s="412"/>
      <c r="S12" s="413"/>
      <c r="T12" s="412"/>
      <c r="U12" s="413"/>
      <c r="V12" s="412"/>
      <c r="W12" s="411"/>
      <c r="X12" s="3665"/>
      <c r="Y12" s="413"/>
      <c r="Z12" s="412"/>
      <c r="AA12" s="411"/>
      <c r="AB12" s="3665"/>
      <c r="AC12" s="413"/>
      <c r="AD12" s="412"/>
      <c r="AE12" s="411"/>
      <c r="AF12" s="3665"/>
      <c r="AG12" s="413"/>
      <c r="AH12" s="412"/>
      <c r="AI12" s="411"/>
      <c r="AJ12" s="3665"/>
      <c r="AK12" s="413"/>
      <c r="AL12" s="412"/>
      <c r="AM12" s="3543"/>
      <c r="AN12" s="414"/>
      <c r="AO12" s="451"/>
      <c r="AP12" s="452"/>
      <c r="AQ12" s="2229"/>
      <c r="AR12" s="1470" t="str">
        <f t="shared" ref="AR12:AR22" si="3">CA12&amp;CB12&amp;CC12</f>
        <v/>
      </c>
      <c r="CA12" s="1418" t="str">
        <f t="shared" ref="CA12:CA22" si="4">IF(AND(B12&gt;0,AO12="")," * No olvide digitar la variable Pueblos Originarios. Digite Cero si no tiene.",IF(AO12&gt;B12," * La variable Pueblos Originarios no puede ser mayor al Total Ambos Sexos.",""))</f>
        <v/>
      </c>
      <c r="CB12" s="1418" t="str">
        <f t="shared" ref="CB12:CB22" si="5">IF(AND(B12&gt;0,AP12="")," * No olvide digitar la variable Migrantes. Digite Cero si no tiene.",IF(AP12&gt;B12," * La variable Migrantes no puede ser mayor al Total Ambos Sexos.",""))</f>
        <v/>
      </c>
      <c r="CC12" s="1418" t="str">
        <f t="shared" ref="CC12:CC22" si="6">IF(AND(B12&gt;0,AQ12="")," * No olvide digitar la variable Por Campaña de Invierno. Digite Cero si no tiene.",IF(AQ12&gt;B12," * La variable Por Campaña de Invierno no puede ser mayor al Total Ambos Sexos.",""))</f>
        <v/>
      </c>
      <c r="CF12" s="1420">
        <f t="shared" ref="CF12:CF22" si="7">IF(AND(B12&gt;0,AO12=""),1,IF(AO12&gt;B12,1,0))</f>
        <v>0</v>
      </c>
      <c r="CG12" s="1420">
        <f t="shared" ref="CG12:CG22" si="8">IF(AND(B12&gt;0,AP12=""),1,IF(AP12&gt;B12,1,0))</f>
        <v>0</v>
      </c>
      <c r="CH12" s="1420">
        <f t="shared" ref="CH12:CH22" si="9">IF(AND(B12&gt;0,AQ12=""),1,IF(AQ12&gt;B12,1,0))</f>
        <v>0</v>
      </c>
    </row>
    <row r="13" spans="1:86" s="1470" customFormat="1" ht="15" customHeight="1">
      <c r="A13" s="3970" t="s">
        <v>2552</v>
      </c>
      <c r="B13" s="3971">
        <f t="shared" si="0"/>
        <v>0</v>
      </c>
      <c r="C13" s="3972">
        <f t="shared" si="1"/>
        <v>0</v>
      </c>
      <c r="D13" s="3973">
        <f t="shared" si="2"/>
        <v>0</v>
      </c>
      <c r="E13" s="425"/>
      <c r="F13" s="2231"/>
      <c r="G13" s="425"/>
      <c r="H13" s="424"/>
      <c r="I13" s="425"/>
      <c r="J13" s="424"/>
      <c r="K13" s="423"/>
      <c r="L13" s="3588"/>
      <c r="M13" s="425"/>
      <c r="N13" s="424"/>
      <c r="O13" s="423"/>
      <c r="P13" s="3588"/>
      <c r="Q13" s="425"/>
      <c r="R13" s="424"/>
      <c r="S13" s="425"/>
      <c r="T13" s="424"/>
      <c r="U13" s="425"/>
      <c r="V13" s="424"/>
      <c r="W13" s="423"/>
      <c r="X13" s="3588"/>
      <c r="Y13" s="425"/>
      <c r="Z13" s="424"/>
      <c r="AA13" s="423"/>
      <c r="AB13" s="3588"/>
      <c r="AC13" s="425"/>
      <c r="AD13" s="424"/>
      <c r="AE13" s="423"/>
      <c r="AF13" s="3588"/>
      <c r="AG13" s="425"/>
      <c r="AH13" s="424"/>
      <c r="AI13" s="423"/>
      <c r="AJ13" s="3588"/>
      <c r="AK13" s="425"/>
      <c r="AL13" s="424"/>
      <c r="AM13" s="2249"/>
      <c r="AN13" s="426"/>
      <c r="AO13" s="442"/>
      <c r="AP13" s="443"/>
      <c r="AQ13" s="2231"/>
      <c r="AR13" s="1470" t="str">
        <f t="shared" si="3"/>
        <v/>
      </c>
      <c r="CA13" s="1418" t="str">
        <f t="shared" si="4"/>
        <v/>
      </c>
      <c r="CB13" s="1418" t="str">
        <f t="shared" si="5"/>
        <v/>
      </c>
      <c r="CC13" s="1418" t="str">
        <f t="shared" si="6"/>
        <v/>
      </c>
      <c r="CF13" s="1420">
        <f t="shared" si="7"/>
        <v>0</v>
      </c>
      <c r="CG13" s="1420">
        <f t="shared" si="8"/>
        <v>0</v>
      </c>
      <c r="CH13" s="1420">
        <f t="shared" si="9"/>
        <v>0</v>
      </c>
    </row>
    <row r="14" spans="1:86" s="1470" customFormat="1" ht="15" customHeight="1">
      <c r="A14" s="3970" t="s">
        <v>500</v>
      </c>
      <c r="B14" s="3971">
        <f t="shared" si="0"/>
        <v>0</v>
      </c>
      <c r="C14" s="3972">
        <f t="shared" si="1"/>
        <v>0</v>
      </c>
      <c r="D14" s="3973">
        <f t="shared" si="2"/>
        <v>0</v>
      </c>
      <c r="E14" s="425"/>
      <c r="F14" s="2231"/>
      <c r="G14" s="425"/>
      <c r="H14" s="424"/>
      <c r="I14" s="425"/>
      <c r="J14" s="424"/>
      <c r="K14" s="423"/>
      <c r="L14" s="3588"/>
      <c r="M14" s="425"/>
      <c r="N14" s="424"/>
      <c r="O14" s="423"/>
      <c r="P14" s="3588"/>
      <c r="Q14" s="425"/>
      <c r="R14" s="424"/>
      <c r="S14" s="425"/>
      <c r="T14" s="424"/>
      <c r="U14" s="425"/>
      <c r="V14" s="424"/>
      <c r="W14" s="423"/>
      <c r="X14" s="3588"/>
      <c r="Y14" s="425"/>
      <c r="Z14" s="424"/>
      <c r="AA14" s="423"/>
      <c r="AB14" s="3588"/>
      <c r="AC14" s="425"/>
      <c r="AD14" s="424"/>
      <c r="AE14" s="423"/>
      <c r="AF14" s="3588"/>
      <c r="AG14" s="425"/>
      <c r="AH14" s="424"/>
      <c r="AI14" s="423"/>
      <c r="AJ14" s="3588"/>
      <c r="AK14" s="425"/>
      <c r="AL14" s="424"/>
      <c r="AM14" s="2249"/>
      <c r="AN14" s="426"/>
      <c r="AO14" s="442"/>
      <c r="AP14" s="443"/>
      <c r="AQ14" s="2231"/>
      <c r="AR14" s="1470" t="str">
        <f t="shared" si="3"/>
        <v/>
      </c>
      <c r="CA14" s="1418" t="str">
        <f t="shared" si="4"/>
        <v/>
      </c>
      <c r="CB14" s="1418" t="str">
        <f t="shared" si="5"/>
        <v/>
      </c>
      <c r="CC14" s="1418" t="str">
        <f t="shared" si="6"/>
        <v/>
      </c>
      <c r="CF14" s="1420">
        <f t="shared" si="7"/>
        <v>0</v>
      </c>
      <c r="CG14" s="1420">
        <f t="shared" si="8"/>
        <v>0</v>
      </c>
      <c r="CH14" s="1420">
        <f t="shared" si="9"/>
        <v>0</v>
      </c>
    </row>
    <row r="15" spans="1:86" s="1470" customFormat="1" ht="15" customHeight="1">
      <c r="A15" s="3970" t="s">
        <v>2553</v>
      </c>
      <c r="B15" s="3971">
        <f t="shared" si="0"/>
        <v>0</v>
      </c>
      <c r="C15" s="3972">
        <f t="shared" si="1"/>
        <v>0</v>
      </c>
      <c r="D15" s="3973">
        <f t="shared" si="2"/>
        <v>0</v>
      </c>
      <c r="E15" s="425"/>
      <c r="F15" s="2231"/>
      <c r="G15" s="425"/>
      <c r="H15" s="424"/>
      <c r="I15" s="425"/>
      <c r="J15" s="424"/>
      <c r="K15" s="423"/>
      <c r="L15" s="3588"/>
      <c r="M15" s="425"/>
      <c r="N15" s="424"/>
      <c r="O15" s="423"/>
      <c r="P15" s="3588"/>
      <c r="Q15" s="425"/>
      <c r="R15" s="424"/>
      <c r="S15" s="425"/>
      <c r="T15" s="424"/>
      <c r="U15" s="425"/>
      <c r="V15" s="424"/>
      <c r="W15" s="423"/>
      <c r="X15" s="3588"/>
      <c r="Y15" s="425"/>
      <c r="Z15" s="424"/>
      <c r="AA15" s="423"/>
      <c r="AB15" s="3588"/>
      <c r="AC15" s="425"/>
      <c r="AD15" s="424"/>
      <c r="AE15" s="423"/>
      <c r="AF15" s="3588"/>
      <c r="AG15" s="425"/>
      <c r="AH15" s="424"/>
      <c r="AI15" s="423"/>
      <c r="AJ15" s="3588"/>
      <c r="AK15" s="425"/>
      <c r="AL15" s="424"/>
      <c r="AM15" s="2249"/>
      <c r="AN15" s="426"/>
      <c r="AO15" s="442"/>
      <c r="AP15" s="443"/>
      <c r="AQ15" s="2231"/>
      <c r="AR15" s="1470" t="str">
        <f t="shared" si="3"/>
        <v/>
      </c>
      <c r="CA15" s="1418" t="str">
        <f t="shared" si="4"/>
        <v/>
      </c>
      <c r="CB15" s="1418" t="str">
        <f t="shared" si="5"/>
        <v/>
      </c>
      <c r="CC15" s="1418" t="str">
        <f t="shared" si="6"/>
        <v/>
      </c>
      <c r="CF15" s="1420">
        <f t="shared" si="7"/>
        <v>0</v>
      </c>
      <c r="CG15" s="1420">
        <f t="shared" si="8"/>
        <v>0</v>
      </c>
      <c r="CH15" s="1420">
        <f t="shared" si="9"/>
        <v>0</v>
      </c>
    </row>
    <row r="16" spans="1:86" s="1470" customFormat="1" ht="15" customHeight="1">
      <c r="A16" s="2114" t="s">
        <v>2554</v>
      </c>
      <c r="B16" s="2938">
        <f t="shared" si="0"/>
        <v>0</v>
      </c>
      <c r="C16" s="3974">
        <f t="shared" si="1"/>
        <v>0</v>
      </c>
      <c r="D16" s="3973">
        <f t="shared" si="2"/>
        <v>0</v>
      </c>
      <c r="E16" s="425"/>
      <c r="F16" s="2231"/>
      <c r="G16" s="425"/>
      <c r="H16" s="424"/>
      <c r="I16" s="425"/>
      <c r="J16" s="424"/>
      <c r="K16" s="423"/>
      <c r="L16" s="3588"/>
      <c r="M16" s="425"/>
      <c r="N16" s="424"/>
      <c r="O16" s="423"/>
      <c r="P16" s="3588"/>
      <c r="Q16" s="425"/>
      <c r="R16" s="424"/>
      <c r="S16" s="425"/>
      <c r="T16" s="424"/>
      <c r="U16" s="425"/>
      <c r="V16" s="424"/>
      <c r="W16" s="423"/>
      <c r="X16" s="3588"/>
      <c r="Y16" s="425"/>
      <c r="Z16" s="424"/>
      <c r="AA16" s="423"/>
      <c r="AB16" s="3588"/>
      <c r="AC16" s="425"/>
      <c r="AD16" s="424"/>
      <c r="AE16" s="423"/>
      <c r="AF16" s="3588"/>
      <c r="AG16" s="425"/>
      <c r="AH16" s="424"/>
      <c r="AI16" s="423"/>
      <c r="AJ16" s="3588"/>
      <c r="AK16" s="425"/>
      <c r="AL16" s="424"/>
      <c r="AM16" s="2249"/>
      <c r="AN16" s="426"/>
      <c r="AO16" s="442"/>
      <c r="AP16" s="443"/>
      <c r="AQ16" s="2231"/>
      <c r="AR16" s="1470" t="str">
        <f t="shared" si="3"/>
        <v/>
      </c>
      <c r="CA16" s="1418" t="str">
        <f t="shared" si="4"/>
        <v/>
      </c>
      <c r="CB16" s="1418" t="str">
        <f t="shared" si="5"/>
        <v/>
      </c>
      <c r="CC16" s="1418" t="str">
        <f t="shared" si="6"/>
        <v/>
      </c>
      <c r="CF16" s="1420">
        <f t="shared" si="7"/>
        <v>0</v>
      </c>
      <c r="CG16" s="1420">
        <f t="shared" si="8"/>
        <v>0</v>
      </c>
      <c r="CH16" s="1420">
        <f t="shared" si="9"/>
        <v>0</v>
      </c>
    </row>
    <row r="17" spans="1:86" s="1470" customFormat="1" ht="15" customHeight="1">
      <c r="A17" s="3975" t="s">
        <v>2555</v>
      </c>
      <c r="B17" s="3971">
        <f t="shared" si="0"/>
        <v>0</v>
      </c>
      <c r="C17" s="3972">
        <f t="shared" si="1"/>
        <v>0</v>
      </c>
      <c r="D17" s="3973">
        <f t="shared" si="2"/>
        <v>0</v>
      </c>
      <c r="E17" s="425"/>
      <c r="F17" s="2231"/>
      <c r="G17" s="425"/>
      <c r="H17" s="424"/>
      <c r="I17" s="425"/>
      <c r="J17" s="424"/>
      <c r="K17" s="423"/>
      <c r="L17" s="3588"/>
      <c r="M17" s="425"/>
      <c r="N17" s="424"/>
      <c r="O17" s="423"/>
      <c r="P17" s="3588"/>
      <c r="Q17" s="425"/>
      <c r="R17" s="424"/>
      <c r="S17" s="425"/>
      <c r="T17" s="424"/>
      <c r="U17" s="425"/>
      <c r="V17" s="424"/>
      <c r="W17" s="423"/>
      <c r="X17" s="3588"/>
      <c r="Y17" s="425"/>
      <c r="Z17" s="424"/>
      <c r="AA17" s="423"/>
      <c r="AB17" s="3588"/>
      <c r="AC17" s="425"/>
      <c r="AD17" s="424"/>
      <c r="AE17" s="423"/>
      <c r="AF17" s="3588"/>
      <c r="AG17" s="425"/>
      <c r="AH17" s="424"/>
      <c r="AI17" s="423"/>
      <c r="AJ17" s="3588"/>
      <c r="AK17" s="425"/>
      <c r="AL17" s="424"/>
      <c r="AM17" s="2249"/>
      <c r="AN17" s="426"/>
      <c r="AO17" s="442"/>
      <c r="AP17" s="443"/>
      <c r="AQ17" s="2231"/>
      <c r="AR17" s="1470" t="str">
        <f t="shared" si="3"/>
        <v/>
      </c>
      <c r="CA17" s="1418" t="str">
        <f t="shared" si="4"/>
        <v/>
      </c>
      <c r="CB17" s="1418" t="str">
        <f t="shared" si="5"/>
        <v/>
      </c>
      <c r="CC17" s="1418" t="str">
        <f t="shared" si="6"/>
        <v/>
      </c>
      <c r="CF17" s="1420">
        <f t="shared" si="7"/>
        <v>0</v>
      </c>
      <c r="CG17" s="1420">
        <f t="shared" si="8"/>
        <v>0</v>
      </c>
      <c r="CH17" s="1420">
        <f t="shared" si="9"/>
        <v>0</v>
      </c>
    </row>
    <row r="18" spans="1:86" s="1470" customFormat="1" ht="15" customHeight="1">
      <c r="A18" s="3976" t="s">
        <v>2556</v>
      </c>
      <c r="B18" s="2938">
        <f t="shared" si="0"/>
        <v>0</v>
      </c>
      <c r="C18" s="3974">
        <f>SUM(E18+G18)</f>
        <v>0</v>
      </c>
      <c r="D18" s="3973">
        <f>SUM(F18+H18)</f>
        <v>0</v>
      </c>
      <c r="E18" s="425"/>
      <c r="F18" s="2231"/>
      <c r="G18" s="425"/>
      <c r="H18" s="424"/>
      <c r="I18" s="2381"/>
      <c r="J18" s="2382"/>
      <c r="K18" s="2880"/>
      <c r="L18" s="3977"/>
      <c r="M18" s="2381"/>
      <c r="N18" s="2382"/>
      <c r="O18" s="2880"/>
      <c r="P18" s="3977"/>
      <c r="Q18" s="2381"/>
      <c r="R18" s="2382"/>
      <c r="S18" s="2381"/>
      <c r="T18" s="2382"/>
      <c r="U18" s="2381"/>
      <c r="V18" s="2382"/>
      <c r="W18" s="2880"/>
      <c r="X18" s="3977"/>
      <c r="Y18" s="2381"/>
      <c r="Z18" s="2382"/>
      <c r="AA18" s="2880"/>
      <c r="AB18" s="3977"/>
      <c r="AC18" s="2381"/>
      <c r="AD18" s="2382"/>
      <c r="AE18" s="2880"/>
      <c r="AF18" s="3977"/>
      <c r="AG18" s="2381"/>
      <c r="AH18" s="2382"/>
      <c r="AI18" s="2880"/>
      <c r="AJ18" s="3977"/>
      <c r="AK18" s="2381"/>
      <c r="AL18" s="2382"/>
      <c r="AM18" s="2881"/>
      <c r="AN18" s="2882"/>
      <c r="AO18" s="442"/>
      <c r="AP18" s="443"/>
      <c r="AQ18" s="2231"/>
      <c r="AR18" s="1470" t="str">
        <f t="shared" si="3"/>
        <v/>
      </c>
      <c r="CA18" s="1418" t="str">
        <f t="shared" si="4"/>
        <v/>
      </c>
      <c r="CB18" s="1418" t="str">
        <f t="shared" si="5"/>
        <v/>
      </c>
      <c r="CC18" s="1418" t="str">
        <f t="shared" si="6"/>
        <v/>
      </c>
      <c r="CF18" s="1420">
        <f t="shared" si="7"/>
        <v>0</v>
      </c>
      <c r="CG18" s="1420">
        <f t="shared" si="8"/>
        <v>0</v>
      </c>
      <c r="CH18" s="1420">
        <f t="shared" si="9"/>
        <v>0</v>
      </c>
    </row>
    <row r="19" spans="1:86" s="1470" customFormat="1" ht="15" customHeight="1">
      <c r="A19" s="3975" t="s">
        <v>2557</v>
      </c>
      <c r="B19" s="3971">
        <f t="shared" si="0"/>
        <v>0</v>
      </c>
      <c r="C19" s="3972">
        <f>SUM(G19+I19+K19+M19+O19+Q19+S19+U19+W19+Y19+AA19+AC19+AE19+AG19+AI19+AK19+AM19)</f>
        <v>0</v>
      </c>
      <c r="D19" s="3973">
        <f>SUM(H19+J19+L19+N19+P19+R19+T19+V19+X19+Z19+AB19+AD19+AF19+AH19+AJ19+AL19+AN19)</f>
        <v>0</v>
      </c>
      <c r="E19" s="2381"/>
      <c r="F19" s="2861"/>
      <c r="G19" s="425"/>
      <c r="H19" s="424"/>
      <c r="I19" s="425"/>
      <c r="J19" s="424"/>
      <c r="K19" s="423"/>
      <c r="L19" s="3588"/>
      <c r="M19" s="425"/>
      <c r="N19" s="424"/>
      <c r="O19" s="423"/>
      <c r="P19" s="3588"/>
      <c r="Q19" s="425"/>
      <c r="R19" s="424"/>
      <c r="S19" s="425"/>
      <c r="T19" s="424"/>
      <c r="U19" s="425"/>
      <c r="V19" s="424"/>
      <c r="W19" s="423"/>
      <c r="X19" s="3588"/>
      <c r="Y19" s="425"/>
      <c r="Z19" s="424"/>
      <c r="AA19" s="423"/>
      <c r="AB19" s="3588"/>
      <c r="AC19" s="425"/>
      <c r="AD19" s="424"/>
      <c r="AE19" s="423"/>
      <c r="AF19" s="3588"/>
      <c r="AG19" s="425"/>
      <c r="AH19" s="424"/>
      <c r="AI19" s="423"/>
      <c r="AJ19" s="3588"/>
      <c r="AK19" s="425"/>
      <c r="AL19" s="424"/>
      <c r="AM19" s="2249"/>
      <c r="AN19" s="426"/>
      <c r="AO19" s="442"/>
      <c r="AP19" s="443"/>
      <c r="AQ19" s="2231"/>
      <c r="AR19" s="1470" t="str">
        <f t="shared" si="3"/>
        <v/>
      </c>
      <c r="CA19" s="1418" t="str">
        <f t="shared" si="4"/>
        <v/>
      </c>
      <c r="CB19" s="1418" t="str">
        <f t="shared" si="5"/>
        <v/>
      </c>
      <c r="CC19" s="1418" t="str">
        <f t="shared" si="6"/>
        <v/>
      </c>
      <c r="CF19" s="1420">
        <f t="shared" si="7"/>
        <v>0</v>
      </c>
      <c r="CG19" s="1420">
        <f t="shared" si="8"/>
        <v>0</v>
      </c>
      <c r="CH19" s="1420">
        <f t="shared" si="9"/>
        <v>0</v>
      </c>
    </row>
    <row r="20" spans="1:86" s="1470" customFormat="1" ht="15" customHeight="1">
      <c r="A20" s="3976" t="s">
        <v>2558</v>
      </c>
      <c r="B20" s="2938">
        <f t="shared" si="0"/>
        <v>0</v>
      </c>
      <c r="C20" s="3974">
        <f>SUM(W20+Y20+AA20+AC20+AE20+AG20+AI20+AK20+AM20)</f>
        <v>0</v>
      </c>
      <c r="D20" s="3973">
        <f>SUM(X20+Z20+AB20+AD20+AF20+AH20+AJ20+AL20+AN20)</f>
        <v>0</v>
      </c>
      <c r="E20" s="2381"/>
      <c r="F20" s="2861"/>
      <c r="G20" s="2381"/>
      <c r="H20" s="2382"/>
      <c r="I20" s="2381"/>
      <c r="J20" s="2382"/>
      <c r="K20" s="2880"/>
      <c r="L20" s="3977"/>
      <c r="M20" s="2381"/>
      <c r="N20" s="2382"/>
      <c r="O20" s="2880"/>
      <c r="P20" s="3977"/>
      <c r="Q20" s="2381"/>
      <c r="R20" s="2382"/>
      <c r="S20" s="2381"/>
      <c r="T20" s="2382"/>
      <c r="U20" s="2381"/>
      <c r="V20" s="2382"/>
      <c r="W20" s="423"/>
      <c r="X20" s="3588"/>
      <c r="Y20" s="425"/>
      <c r="Z20" s="424"/>
      <c r="AA20" s="423"/>
      <c r="AB20" s="3588"/>
      <c r="AC20" s="425"/>
      <c r="AD20" s="424"/>
      <c r="AE20" s="423"/>
      <c r="AF20" s="3588"/>
      <c r="AG20" s="425"/>
      <c r="AH20" s="424"/>
      <c r="AI20" s="423"/>
      <c r="AJ20" s="3588"/>
      <c r="AK20" s="425"/>
      <c r="AL20" s="424"/>
      <c r="AM20" s="2249"/>
      <c r="AN20" s="426"/>
      <c r="AO20" s="442"/>
      <c r="AP20" s="443"/>
      <c r="AQ20" s="2231"/>
      <c r="AR20" s="1470" t="str">
        <f t="shared" si="3"/>
        <v/>
      </c>
      <c r="CA20" s="1418" t="str">
        <f t="shared" si="4"/>
        <v/>
      </c>
      <c r="CB20" s="1418" t="str">
        <f t="shared" si="5"/>
        <v/>
      </c>
      <c r="CC20" s="1418" t="str">
        <f t="shared" si="6"/>
        <v/>
      </c>
      <c r="CF20" s="1420">
        <f t="shared" si="7"/>
        <v>0</v>
      </c>
      <c r="CG20" s="1420">
        <f t="shared" si="8"/>
        <v>0</v>
      </c>
      <c r="CH20" s="1420">
        <f t="shared" si="9"/>
        <v>0</v>
      </c>
    </row>
    <row r="21" spans="1:86" s="1470" customFormat="1" ht="15" customHeight="1">
      <c r="A21" s="3975" t="s">
        <v>2559</v>
      </c>
      <c r="B21" s="3971">
        <f t="shared" si="0"/>
        <v>0</v>
      </c>
      <c r="C21" s="3972">
        <f t="shared" si="1"/>
        <v>0</v>
      </c>
      <c r="D21" s="3973">
        <f t="shared" si="2"/>
        <v>0</v>
      </c>
      <c r="E21" s="425"/>
      <c r="F21" s="2231"/>
      <c r="G21" s="425"/>
      <c r="H21" s="424"/>
      <c r="I21" s="425"/>
      <c r="J21" s="424"/>
      <c r="K21" s="423"/>
      <c r="L21" s="3588"/>
      <c r="M21" s="425"/>
      <c r="N21" s="424"/>
      <c r="O21" s="423"/>
      <c r="P21" s="3588"/>
      <c r="Q21" s="425"/>
      <c r="R21" s="424"/>
      <c r="S21" s="425"/>
      <c r="T21" s="424"/>
      <c r="U21" s="425"/>
      <c r="V21" s="424"/>
      <c r="W21" s="423"/>
      <c r="X21" s="3588"/>
      <c r="Y21" s="425"/>
      <c r="Z21" s="424"/>
      <c r="AA21" s="423"/>
      <c r="AB21" s="3588"/>
      <c r="AC21" s="425"/>
      <c r="AD21" s="424"/>
      <c r="AE21" s="423"/>
      <c r="AF21" s="3588"/>
      <c r="AG21" s="425"/>
      <c r="AH21" s="424"/>
      <c r="AI21" s="423"/>
      <c r="AJ21" s="3588"/>
      <c r="AK21" s="425"/>
      <c r="AL21" s="424"/>
      <c r="AM21" s="2249"/>
      <c r="AN21" s="426"/>
      <c r="AO21" s="442"/>
      <c r="AP21" s="443"/>
      <c r="AQ21" s="2231"/>
      <c r="AR21" s="1470" t="str">
        <f t="shared" si="3"/>
        <v/>
      </c>
      <c r="CA21" s="1418" t="str">
        <f t="shared" si="4"/>
        <v/>
      </c>
      <c r="CB21" s="1418" t="str">
        <f t="shared" si="5"/>
        <v/>
      </c>
      <c r="CC21" s="1418" t="str">
        <f t="shared" si="6"/>
        <v/>
      </c>
      <c r="CF21" s="1420">
        <f t="shared" si="7"/>
        <v>0</v>
      </c>
      <c r="CG21" s="1420">
        <f t="shared" si="8"/>
        <v>0</v>
      </c>
      <c r="CH21" s="1420">
        <f t="shared" si="9"/>
        <v>0</v>
      </c>
    </row>
    <row r="22" spans="1:86" s="1470" customFormat="1" ht="15" customHeight="1">
      <c r="A22" s="3978" t="s">
        <v>2560</v>
      </c>
      <c r="B22" s="2904">
        <f t="shared" si="0"/>
        <v>0</v>
      </c>
      <c r="C22" s="3979">
        <f t="shared" si="1"/>
        <v>0</v>
      </c>
      <c r="D22" s="3980">
        <f t="shared" si="2"/>
        <v>0</v>
      </c>
      <c r="E22" s="432"/>
      <c r="F22" s="2235"/>
      <c r="G22" s="432"/>
      <c r="H22" s="433"/>
      <c r="I22" s="432"/>
      <c r="J22" s="433"/>
      <c r="K22" s="3385"/>
      <c r="L22" s="3443"/>
      <c r="M22" s="432"/>
      <c r="N22" s="433"/>
      <c r="O22" s="3385"/>
      <c r="P22" s="3443"/>
      <c r="Q22" s="432"/>
      <c r="R22" s="433"/>
      <c r="S22" s="432"/>
      <c r="T22" s="433"/>
      <c r="U22" s="432"/>
      <c r="V22" s="433"/>
      <c r="W22" s="3385"/>
      <c r="X22" s="3443"/>
      <c r="Y22" s="432"/>
      <c r="Z22" s="433"/>
      <c r="AA22" s="3385"/>
      <c r="AB22" s="3443"/>
      <c r="AC22" s="432"/>
      <c r="AD22" s="433"/>
      <c r="AE22" s="3385"/>
      <c r="AF22" s="3443"/>
      <c r="AG22" s="432"/>
      <c r="AH22" s="433"/>
      <c r="AI22" s="3385"/>
      <c r="AJ22" s="3443"/>
      <c r="AK22" s="432"/>
      <c r="AL22" s="433"/>
      <c r="AM22" s="3387"/>
      <c r="AN22" s="445"/>
      <c r="AO22" s="442"/>
      <c r="AP22" s="443"/>
      <c r="AQ22" s="2231"/>
      <c r="AR22" s="1470" t="str">
        <f t="shared" si="3"/>
        <v/>
      </c>
      <c r="CA22" s="1418" t="str">
        <f t="shared" si="4"/>
        <v/>
      </c>
      <c r="CB22" s="1418" t="str">
        <f t="shared" si="5"/>
        <v/>
      </c>
      <c r="CC22" s="1418" t="str">
        <f t="shared" si="6"/>
        <v/>
      </c>
      <c r="CF22" s="1420">
        <f t="shared" si="7"/>
        <v>0</v>
      </c>
      <c r="CG22" s="1420">
        <f t="shared" si="8"/>
        <v>0</v>
      </c>
      <c r="CH22" s="1420">
        <f t="shared" si="9"/>
        <v>0</v>
      </c>
    </row>
    <row r="23" spans="1:86" ht="15" customHeight="1">
      <c r="A23" s="2106" t="s">
        <v>91</v>
      </c>
      <c r="B23" s="3981">
        <f>SUM(B12:B22)</f>
        <v>0</v>
      </c>
      <c r="C23" s="3982">
        <f>SUM(C12:C22)</f>
        <v>0</v>
      </c>
      <c r="D23" s="3983">
        <f>SUM(D12:D22)</f>
        <v>0</v>
      </c>
      <c r="E23" s="1743">
        <f>SUM(E12:E22)</f>
        <v>0</v>
      </c>
      <c r="F23" s="1745">
        <f t="shared" ref="F23:AQ23" si="10">SUM(F12:F22)</f>
        <v>0</v>
      </c>
      <c r="G23" s="1743">
        <f t="shared" si="10"/>
        <v>0</v>
      </c>
      <c r="H23" s="2297">
        <f t="shared" si="10"/>
        <v>0</v>
      </c>
      <c r="I23" s="1743">
        <f t="shared" si="10"/>
        <v>0</v>
      </c>
      <c r="J23" s="2297">
        <f t="shared" si="10"/>
        <v>0</v>
      </c>
      <c r="K23" s="2310">
        <f t="shared" si="10"/>
        <v>0</v>
      </c>
      <c r="L23" s="3029">
        <f t="shared" si="10"/>
        <v>0</v>
      </c>
      <c r="M23" s="1743">
        <f t="shared" si="10"/>
        <v>0</v>
      </c>
      <c r="N23" s="2297">
        <f t="shared" si="10"/>
        <v>0</v>
      </c>
      <c r="O23" s="2310">
        <f t="shared" si="10"/>
        <v>0</v>
      </c>
      <c r="P23" s="3029">
        <f t="shared" si="10"/>
        <v>0</v>
      </c>
      <c r="Q23" s="1743">
        <f t="shared" si="10"/>
        <v>0</v>
      </c>
      <c r="R23" s="2297">
        <f t="shared" si="10"/>
        <v>0</v>
      </c>
      <c r="S23" s="1743">
        <f t="shared" ref="S23:T23" si="11">SUM(S12:S22)</f>
        <v>0</v>
      </c>
      <c r="T23" s="2297">
        <f t="shared" si="11"/>
        <v>0</v>
      </c>
      <c r="U23" s="1743">
        <f t="shared" ref="U23:V23" si="12">SUM(U12:U22)</f>
        <v>0</v>
      </c>
      <c r="V23" s="2297">
        <f t="shared" si="12"/>
        <v>0</v>
      </c>
      <c r="W23" s="2310">
        <f t="shared" si="10"/>
        <v>0</v>
      </c>
      <c r="X23" s="3029">
        <f t="shared" si="10"/>
        <v>0</v>
      </c>
      <c r="Y23" s="1743">
        <f t="shared" si="10"/>
        <v>0</v>
      </c>
      <c r="Z23" s="2297">
        <f t="shared" si="10"/>
        <v>0</v>
      </c>
      <c r="AA23" s="2310">
        <f t="shared" si="10"/>
        <v>0</v>
      </c>
      <c r="AB23" s="3029">
        <f t="shared" si="10"/>
        <v>0</v>
      </c>
      <c r="AC23" s="1743">
        <f t="shared" si="10"/>
        <v>0</v>
      </c>
      <c r="AD23" s="2297">
        <f t="shared" si="10"/>
        <v>0</v>
      </c>
      <c r="AE23" s="2310">
        <f t="shared" si="10"/>
        <v>0</v>
      </c>
      <c r="AF23" s="3029">
        <f t="shared" si="10"/>
        <v>0</v>
      </c>
      <c r="AG23" s="1743">
        <f t="shared" si="10"/>
        <v>0</v>
      </c>
      <c r="AH23" s="2297">
        <f t="shared" si="10"/>
        <v>0</v>
      </c>
      <c r="AI23" s="2310">
        <f t="shared" si="10"/>
        <v>0</v>
      </c>
      <c r="AJ23" s="3029">
        <f t="shared" si="10"/>
        <v>0</v>
      </c>
      <c r="AK23" s="1743">
        <f t="shared" si="10"/>
        <v>0</v>
      </c>
      <c r="AL23" s="2297">
        <f t="shared" si="10"/>
        <v>0</v>
      </c>
      <c r="AM23" s="2310">
        <f t="shared" si="10"/>
        <v>0</v>
      </c>
      <c r="AN23" s="3682">
        <f t="shared" si="10"/>
        <v>0</v>
      </c>
      <c r="AO23" s="1749">
        <f t="shared" si="10"/>
        <v>0</v>
      </c>
      <c r="AP23" s="1750">
        <f t="shared" si="10"/>
        <v>0</v>
      </c>
      <c r="AQ23" s="1745">
        <f t="shared" si="10"/>
        <v>0</v>
      </c>
    </row>
    <row r="24" spans="1:86" s="2832" customFormat="1" ht="18" customHeight="1">
      <c r="A24" s="2102" t="s">
        <v>2561</v>
      </c>
    </row>
    <row r="25" spans="1:86" s="1470" customFormat="1" ht="15" customHeight="1">
      <c r="A25" s="6153" t="s">
        <v>2562</v>
      </c>
      <c r="B25" s="6154"/>
      <c r="C25" s="6709" t="s">
        <v>91</v>
      </c>
      <c r="D25" s="6486"/>
      <c r="E25" s="6487"/>
      <c r="F25" s="6586" t="s">
        <v>115</v>
      </c>
      <c r="G25" s="6574"/>
      <c r="H25" s="6574"/>
      <c r="I25" s="6574"/>
      <c r="J25" s="6574"/>
      <c r="K25" s="6574"/>
      <c r="L25" s="6574"/>
      <c r="M25" s="6574"/>
      <c r="N25" s="6574"/>
      <c r="O25" s="6574"/>
      <c r="P25" s="6574"/>
      <c r="Q25" s="6574"/>
      <c r="R25" s="6574"/>
      <c r="S25" s="6574"/>
      <c r="T25" s="6574"/>
      <c r="U25" s="6574"/>
      <c r="V25" s="6574"/>
      <c r="W25" s="6574"/>
      <c r="X25" s="6574"/>
      <c r="Y25" s="6574"/>
      <c r="Z25" s="6574"/>
      <c r="AA25" s="6574"/>
      <c r="AB25" s="6574"/>
      <c r="AC25" s="6574"/>
      <c r="AD25" s="6574"/>
      <c r="AE25" s="6574"/>
      <c r="AF25" s="6574"/>
      <c r="AG25" s="6574"/>
      <c r="AH25" s="6574"/>
      <c r="AI25" s="6574"/>
      <c r="AJ25" s="6574"/>
      <c r="AK25" s="6574"/>
      <c r="AL25" s="6574"/>
      <c r="AM25" s="6574"/>
      <c r="AN25" s="6574"/>
      <c r="AO25" s="6893"/>
      <c r="AP25" s="5714" t="s">
        <v>2563</v>
      </c>
      <c r="AQ25" s="5718" t="s">
        <v>50</v>
      </c>
      <c r="AR25" s="6119" t="s">
        <v>51</v>
      </c>
    </row>
    <row r="26" spans="1:86" s="1470" customFormat="1" ht="15" customHeight="1">
      <c r="A26" s="6578"/>
      <c r="B26" s="6448"/>
      <c r="C26" s="6861"/>
      <c r="D26" s="6862"/>
      <c r="E26" s="6812"/>
      <c r="F26" s="6140" t="s">
        <v>2548</v>
      </c>
      <c r="G26" s="6154"/>
      <c r="H26" s="6152" t="s">
        <v>2549</v>
      </c>
      <c r="I26" s="6154"/>
      <c r="J26" s="6152" t="s">
        <v>2550</v>
      </c>
      <c r="K26" s="6154"/>
      <c r="L26" s="6140" t="s">
        <v>108</v>
      </c>
      <c r="M26" s="6154"/>
      <c r="N26" s="6140" t="s">
        <v>58</v>
      </c>
      <c r="O26" s="6154"/>
      <c r="P26" s="6140" t="s">
        <v>59</v>
      </c>
      <c r="Q26" s="6154"/>
      <c r="R26" s="6152" t="s">
        <v>60</v>
      </c>
      <c r="S26" s="6154"/>
      <c r="T26" s="6152" t="s">
        <v>61</v>
      </c>
      <c r="U26" s="6154"/>
      <c r="V26" s="6152" t="s">
        <v>62</v>
      </c>
      <c r="W26" s="6154"/>
      <c r="X26" s="6152" t="s">
        <v>63</v>
      </c>
      <c r="Y26" s="6154"/>
      <c r="Z26" s="6152" t="s">
        <v>64</v>
      </c>
      <c r="AA26" s="6154"/>
      <c r="AB26" s="6152" t="s">
        <v>65</v>
      </c>
      <c r="AC26" s="6154"/>
      <c r="AD26" s="6152" t="s">
        <v>66</v>
      </c>
      <c r="AE26" s="6154"/>
      <c r="AF26" s="6152" t="s">
        <v>67</v>
      </c>
      <c r="AG26" s="6154"/>
      <c r="AH26" s="6152" t="s">
        <v>68</v>
      </c>
      <c r="AI26" s="6154"/>
      <c r="AJ26" s="6152" t="s">
        <v>69</v>
      </c>
      <c r="AK26" s="6154"/>
      <c r="AL26" s="6152" t="s">
        <v>70</v>
      </c>
      <c r="AM26" s="6154"/>
      <c r="AN26" s="6153" t="s">
        <v>71</v>
      </c>
      <c r="AO26" s="6388"/>
      <c r="AP26" s="6138"/>
      <c r="AQ26" s="6110"/>
      <c r="AR26" s="6120"/>
    </row>
    <row r="27" spans="1:86" s="1470" customFormat="1" ht="15" customHeight="1">
      <c r="A27" s="6156"/>
      <c r="B27" s="6157"/>
      <c r="C27" s="396" t="s">
        <v>93</v>
      </c>
      <c r="D27" s="1397" t="s">
        <v>72</v>
      </c>
      <c r="E27" s="390" t="s">
        <v>73</v>
      </c>
      <c r="F27" s="396" t="s">
        <v>72</v>
      </c>
      <c r="G27" s="390" t="s">
        <v>73</v>
      </c>
      <c r="H27" s="396" t="s">
        <v>72</v>
      </c>
      <c r="I27" s="390" t="s">
        <v>73</v>
      </c>
      <c r="J27" s="396" t="s">
        <v>72</v>
      </c>
      <c r="K27" s="390" t="s">
        <v>73</v>
      </c>
      <c r="L27" s="396" t="s">
        <v>72</v>
      </c>
      <c r="M27" s="390" t="s">
        <v>73</v>
      </c>
      <c r="N27" s="396" t="s">
        <v>72</v>
      </c>
      <c r="O27" s="390" t="s">
        <v>73</v>
      </c>
      <c r="P27" s="396" t="s">
        <v>72</v>
      </c>
      <c r="Q27" s="390" t="s">
        <v>73</v>
      </c>
      <c r="R27" s="1666" t="s">
        <v>72</v>
      </c>
      <c r="S27" s="1962" t="s">
        <v>73</v>
      </c>
      <c r="T27" s="1666" t="s">
        <v>72</v>
      </c>
      <c r="U27" s="1962" t="s">
        <v>73</v>
      </c>
      <c r="V27" s="1666" t="s">
        <v>72</v>
      </c>
      <c r="W27" s="1962" t="s">
        <v>73</v>
      </c>
      <c r="X27" s="396" t="s">
        <v>72</v>
      </c>
      <c r="Y27" s="390" t="s">
        <v>73</v>
      </c>
      <c r="Z27" s="396" t="s">
        <v>72</v>
      </c>
      <c r="AA27" s="390" t="s">
        <v>73</v>
      </c>
      <c r="AB27" s="396" t="s">
        <v>72</v>
      </c>
      <c r="AC27" s="390" t="s">
        <v>73</v>
      </c>
      <c r="AD27" s="396" t="s">
        <v>72</v>
      </c>
      <c r="AE27" s="390" t="s">
        <v>73</v>
      </c>
      <c r="AF27" s="396" t="s">
        <v>72</v>
      </c>
      <c r="AG27" s="390" t="s">
        <v>73</v>
      </c>
      <c r="AH27" s="396" t="s">
        <v>72</v>
      </c>
      <c r="AI27" s="390" t="s">
        <v>73</v>
      </c>
      <c r="AJ27" s="396" t="s">
        <v>72</v>
      </c>
      <c r="AK27" s="390" t="s">
        <v>73</v>
      </c>
      <c r="AL27" s="396" t="s">
        <v>72</v>
      </c>
      <c r="AM27" s="390" t="s">
        <v>73</v>
      </c>
      <c r="AN27" s="396" t="s">
        <v>72</v>
      </c>
      <c r="AO27" s="1392" t="s">
        <v>73</v>
      </c>
      <c r="AP27" s="5715"/>
      <c r="AQ27" s="5719"/>
      <c r="AR27" s="6116"/>
    </row>
    <row r="28" spans="1:86" s="1470" customFormat="1" ht="15" customHeight="1">
      <c r="A28" s="6127" t="s">
        <v>2564</v>
      </c>
      <c r="B28" s="2056" t="s">
        <v>915</v>
      </c>
      <c r="C28" s="1772">
        <f t="shared" ref="C28:C40" si="13">SUM(D28+E28)</f>
        <v>0</v>
      </c>
      <c r="D28" s="2874">
        <f t="shared" ref="D28:E30" si="14">SUM(F28+H28)</f>
        <v>0</v>
      </c>
      <c r="E28" s="3984">
        <f>SUM(G28+I28)</f>
        <v>0</v>
      </c>
      <c r="F28" s="413"/>
      <c r="G28" s="2261"/>
      <c r="H28" s="413"/>
      <c r="I28" s="412"/>
      <c r="J28" s="3368"/>
      <c r="K28" s="3369"/>
      <c r="L28" s="3368"/>
      <c r="M28" s="3369"/>
      <c r="N28" s="3368"/>
      <c r="O28" s="3369"/>
      <c r="P28" s="3368"/>
      <c r="Q28" s="3369"/>
      <c r="R28" s="3368"/>
      <c r="S28" s="3369"/>
      <c r="T28" s="3368"/>
      <c r="U28" s="3369"/>
      <c r="V28" s="3368"/>
      <c r="W28" s="3369"/>
      <c r="X28" s="3368"/>
      <c r="Y28" s="3369"/>
      <c r="Z28" s="3368"/>
      <c r="AA28" s="3369"/>
      <c r="AB28" s="3368"/>
      <c r="AC28" s="3369"/>
      <c r="AD28" s="3368"/>
      <c r="AE28" s="3369"/>
      <c r="AF28" s="3368"/>
      <c r="AG28" s="3369"/>
      <c r="AH28" s="3368"/>
      <c r="AI28" s="3369"/>
      <c r="AJ28" s="3368"/>
      <c r="AK28" s="3369"/>
      <c r="AL28" s="3426"/>
      <c r="AM28" s="3369"/>
      <c r="AN28" s="3985"/>
      <c r="AO28" s="3408"/>
      <c r="AP28" s="451"/>
      <c r="AQ28" s="452"/>
      <c r="AR28" s="2229"/>
      <c r="AS28" s="1470" t="str">
        <f t="shared" ref="AS28:AS53" si="15">CA28&amp;CB28&amp;CC28</f>
        <v/>
      </c>
      <c r="CA28" s="1418" t="str">
        <f t="shared" ref="CA28:CA40" si="16">IF(AND(C28&gt;0,AP28="")," * No olvide digitar la variable Reingresos. Digite Cero si no tiene.",IF(AP28&gt;C28," * La variable Reingresos no puede ser mayor al Total Ambos Sexos.",""))</f>
        <v/>
      </c>
      <c r="CB28" s="1418" t="str">
        <f t="shared" ref="CB28:CB40" si="17">IF(AND(C28&gt;0,AQ28="")," * No olvide digitar la variable Pueblos Originarios.  Digite Cero si no tiene.",IF(AQ28&gt;C28," * La variable Pueblos originarios no puede ser mayor al Total Ambos Sexos.",""))</f>
        <v/>
      </c>
      <c r="CC28" s="1418" t="str">
        <f t="shared" ref="CC28:CC40" si="18">IF(AND(C28&gt;0,AR28="")," * No olvide digitar la variable Migrantes. Digite Cero si no tiene.",IF(AR28&gt;C28," * La variable Migrantes no puede ser mayor al Total Ambos Sexos.",""))</f>
        <v/>
      </c>
      <c r="CD28" s="3986"/>
      <c r="CF28" s="1420">
        <f t="shared" ref="CF28:CF40" si="19">IF(AND(C28&gt;0,AP28=""),1,IF(AP28&gt;C28,1,0))</f>
        <v>0</v>
      </c>
      <c r="CG28" s="1420">
        <f t="shared" ref="CG28:CG40" si="20">IF(AND(C28&gt;0,AQ28=""),1,IF(AQ28&gt;C28,1,0))</f>
        <v>0</v>
      </c>
      <c r="CH28" s="1420">
        <f t="shared" ref="CH28:CH40" si="21">IF(AND(C28&gt;0,AR28=""),1,IF(AR28&gt;C28,1,0))</f>
        <v>0</v>
      </c>
    </row>
    <row r="29" spans="1:86" s="1470" customFormat="1" ht="15" customHeight="1">
      <c r="A29" s="6128"/>
      <c r="B29" s="2057" t="s">
        <v>916</v>
      </c>
      <c r="C29" s="1772">
        <f t="shared" si="13"/>
        <v>0</v>
      </c>
      <c r="D29" s="2874">
        <f t="shared" si="14"/>
        <v>0</v>
      </c>
      <c r="E29" s="3984">
        <f t="shared" si="14"/>
        <v>0</v>
      </c>
      <c r="F29" s="413"/>
      <c r="G29" s="2261"/>
      <c r="H29" s="413"/>
      <c r="I29" s="412"/>
      <c r="J29" s="3368"/>
      <c r="K29" s="3369"/>
      <c r="L29" s="3368"/>
      <c r="M29" s="3369"/>
      <c r="N29" s="3368"/>
      <c r="O29" s="3369"/>
      <c r="P29" s="3368"/>
      <c r="Q29" s="3369"/>
      <c r="R29" s="3368"/>
      <c r="S29" s="3369"/>
      <c r="T29" s="3368"/>
      <c r="U29" s="3369"/>
      <c r="V29" s="3368"/>
      <c r="W29" s="3369"/>
      <c r="X29" s="3368"/>
      <c r="Y29" s="3369"/>
      <c r="Z29" s="3368"/>
      <c r="AA29" s="3369"/>
      <c r="AB29" s="3368"/>
      <c r="AC29" s="3369"/>
      <c r="AD29" s="3368"/>
      <c r="AE29" s="3369"/>
      <c r="AF29" s="3368"/>
      <c r="AG29" s="3369"/>
      <c r="AH29" s="3368"/>
      <c r="AI29" s="3369"/>
      <c r="AJ29" s="3368"/>
      <c r="AK29" s="3369"/>
      <c r="AL29" s="2381"/>
      <c r="AM29" s="3369"/>
      <c r="AN29" s="3985"/>
      <c r="AO29" s="3676"/>
      <c r="AP29" s="442"/>
      <c r="AQ29" s="443"/>
      <c r="AR29" s="2231"/>
      <c r="AS29" s="1470" t="str">
        <f t="shared" si="15"/>
        <v/>
      </c>
      <c r="CA29" s="1418" t="str">
        <f t="shared" si="16"/>
        <v/>
      </c>
      <c r="CB29" s="1418" t="str">
        <f t="shared" si="17"/>
        <v/>
      </c>
      <c r="CC29" s="1418" t="str">
        <f t="shared" si="18"/>
        <v/>
      </c>
      <c r="CD29" s="3986"/>
      <c r="CF29" s="1420">
        <f t="shared" si="19"/>
        <v>0</v>
      </c>
      <c r="CG29" s="1420">
        <f t="shared" si="20"/>
        <v>0</v>
      </c>
      <c r="CH29" s="1420">
        <f t="shared" si="21"/>
        <v>0</v>
      </c>
    </row>
    <row r="30" spans="1:86" s="1470" customFormat="1" ht="15" customHeight="1">
      <c r="A30" s="6128"/>
      <c r="B30" s="3648" t="s">
        <v>2565</v>
      </c>
      <c r="C30" s="3010">
        <f t="shared" si="13"/>
        <v>0</v>
      </c>
      <c r="D30" s="3987">
        <f t="shared" si="14"/>
        <v>0</v>
      </c>
      <c r="E30" s="3988">
        <f t="shared" si="14"/>
        <v>0</v>
      </c>
      <c r="F30" s="3437"/>
      <c r="G30" s="3396"/>
      <c r="H30" s="3437"/>
      <c r="I30" s="3637"/>
      <c r="J30" s="3989"/>
      <c r="K30" s="3990"/>
      <c r="L30" s="3989"/>
      <c r="M30" s="3990"/>
      <c r="N30" s="3989"/>
      <c r="O30" s="3990"/>
      <c r="P30" s="3989"/>
      <c r="Q30" s="3990"/>
      <c r="R30" s="3989"/>
      <c r="S30" s="3990"/>
      <c r="T30" s="3989"/>
      <c r="U30" s="3990"/>
      <c r="V30" s="3989"/>
      <c r="W30" s="3990"/>
      <c r="X30" s="3989"/>
      <c r="Y30" s="3990"/>
      <c r="Z30" s="3989"/>
      <c r="AA30" s="3990"/>
      <c r="AB30" s="3989"/>
      <c r="AC30" s="3990"/>
      <c r="AD30" s="3989"/>
      <c r="AE30" s="3990"/>
      <c r="AF30" s="3989"/>
      <c r="AG30" s="3990"/>
      <c r="AH30" s="3989"/>
      <c r="AI30" s="3990"/>
      <c r="AJ30" s="3989"/>
      <c r="AK30" s="3990"/>
      <c r="AL30" s="3989"/>
      <c r="AM30" s="3990"/>
      <c r="AN30" s="3991"/>
      <c r="AO30" s="3992"/>
      <c r="AP30" s="3993"/>
      <c r="AQ30" s="3592"/>
      <c r="AR30" s="3422"/>
      <c r="AS30" s="1470" t="str">
        <f t="shared" si="15"/>
        <v/>
      </c>
      <c r="CA30" s="1418" t="str">
        <f t="shared" si="16"/>
        <v/>
      </c>
      <c r="CB30" s="1418" t="str">
        <f t="shared" si="17"/>
        <v/>
      </c>
      <c r="CC30" s="1418" t="str">
        <f t="shared" si="18"/>
        <v/>
      </c>
      <c r="CD30" s="3986"/>
      <c r="CF30" s="1420">
        <f t="shared" si="19"/>
        <v>0</v>
      </c>
      <c r="CG30" s="1420">
        <f t="shared" si="20"/>
        <v>0</v>
      </c>
      <c r="CH30" s="1420">
        <f t="shared" si="21"/>
        <v>0</v>
      </c>
    </row>
    <row r="31" spans="1:86" s="1470" customFormat="1" ht="15" customHeight="1">
      <c r="A31" s="6854" t="s">
        <v>2566</v>
      </c>
      <c r="B31" s="2056" t="s">
        <v>915</v>
      </c>
      <c r="C31" s="1734">
        <f t="shared" si="13"/>
        <v>0</v>
      </c>
      <c r="D31" s="2859">
        <f t="shared" ref="D31:D33" si="22">SUM(H31+J31+L31+N31+P31+R31+T31+V31+X31+Z31+AB31+AD31+AF31+AH31+AJ31+AL31+AN31)</f>
        <v>0</v>
      </c>
      <c r="E31" s="3969">
        <f t="shared" ref="E31:E33" si="23">SUM(I31+K31+M31+O31+Q31+S31+U31+W31+Y31+AA31+AC31+AE31+AG31+AI31+AK31+AM31+AO31)</f>
        <v>0</v>
      </c>
      <c r="F31" s="3994"/>
      <c r="G31" s="3995"/>
      <c r="H31" s="448"/>
      <c r="I31" s="449"/>
      <c r="J31" s="448"/>
      <c r="K31" s="2229"/>
      <c r="L31" s="448"/>
      <c r="M31" s="2229"/>
      <c r="N31" s="448"/>
      <c r="O31" s="449"/>
      <c r="P31" s="448"/>
      <c r="Q31" s="2229"/>
      <c r="R31" s="448"/>
      <c r="S31" s="2229"/>
      <c r="T31" s="448"/>
      <c r="U31" s="2229"/>
      <c r="V31" s="448"/>
      <c r="W31" s="2229"/>
      <c r="X31" s="448"/>
      <c r="Y31" s="2229"/>
      <c r="Z31" s="448"/>
      <c r="AA31" s="449"/>
      <c r="AB31" s="448"/>
      <c r="AC31" s="2229"/>
      <c r="AD31" s="448"/>
      <c r="AE31" s="2229"/>
      <c r="AF31" s="448"/>
      <c r="AG31" s="449"/>
      <c r="AH31" s="448"/>
      <c r="AI31" s="2229"/>
      <c r="AJ31" s="448"/>
      <c r="AK31" s="2229"/>
      <c r="AL31" s="448"/>
      <c r="AM31" s="449"/>
      <c r="AN31" s="2246"/>
      <c r="AO31" s="450"/>
      <c r="AP31" s="451"/>
      <c r="AQ31" s="452"/>
      <c r="AR31" s="2229"/>
      <c r="AS31" s="1470" t="str">
        <f t="shared" si="15"/>
        <v/>
      </c>
      <c r="CA31" s="1418" t="str">
        <f t="shared" si="16"/>
        <v/>
      </c>
      <c r="CB31" s="1418" t="str">
        <f t="shared" si="17"/>
        <v/>
      </c>
      <c r="CC31" s="1418" t="str">
        <f t="shared" si="18"/>
        <v/>
      </c>
      <c r="CD31" s="3986"/>
      <c r="CF31" s="1420">
        <f t="shared" si="19"/>
        <v>0</v>
      </c>
      <c r="CG31" s="1420">
        <f t="shared" si="20"/>
        <v>0</v>
      </c>
      <c r="CH31" s="1420">
        <f t="shared" si="21"/>
        <v>0</v>
      </c>
    </row>
    <row r="32" spans="1:86" s="1470" customFormat="1" ht="15" customHeight="1">
      <c r="A32" s="6855"/>
      <c r="B32" s="2057" t="s">
        <v>916</v>
      </c>
      <c r="C32" s="1772">
        <f t="shared" si="13"/>
        <v>0</v>
      </c>
      <c r="D32" s="2874">
        <f t="shared" si="22"/>
        <v>0</v>
      </c>
      <c r="E32" s="3984">
        <f t="shared" si="23"/>
        <v>0</v>
      </c>
      <c r="F32" s="3996"/>
      <c r="G32" s="3997"/>
      <c r="H32" s="425"/>
      <c r="I32" s="412"/>
      <c r="J32" s="413"/>
      <c r="K32" s="2261"/>
      <c r="L32" s="413"/>
      <c r="M32" s="2261"/>
      <c r="N32" s="413"/>
      <c r="O32" s="412"/>
      <c r="P32" s="413"/>
      <c r="Q32" s="2261"/>
      <c r="R32" s="413"/>
      <c r="S32" s="2261"/>
      <c r="T32" s="413"/>
      <c r="U32" s="2261"/>
      <c r="V32" s="413"/>
      <c r="W32" s="2261"/>
      <c r="X32" s="413"/>
      <c r="Y32" s="2261"/>
      <c r="Z32" s="413"/>
      <c r="AA32" s="412"/>
      <c r="AB32" s="413"/>
      <c r="AC32" s="2261"/>
      <c r="AD32" s="413"/>
      <c r="AE32" s="2261"/>
      <c r="AF32" s="413"/>
      <c r="AG32" s="412"/>
      <c r="AH32" s="413"/>
      <c r="AI32" s="2261"/>
      <c r="AJ32" s="413"/>
      <c r="AK32" s="2261"/>
      <c r="AL32" s="413"/>
      <c r="AM32" s="412"/>
      <c r="AN32" s="3582"/>
      <c r="AO32" s="414"/>
      <c r="AP32" s="442"/>
      <c r="AQ32" s="443"/>
      <c r="AR32" s="2231"/>
      <c r="AS32" s="1470" t="str">
        <f t="shared" si="15"/>
        <v/>
      </c>
      <c r="CA32" s="1418" t="str">
        <f t="shared" si="16"/>
        <v/>
      </c>
      <c r="CB32" s="1418" t="str">
        <f t="shared" si="17"/>
        <v/>
      </c>
      <c r="CC32" s="1418" t="str">
        <f t="shared" si="18"/>
        <v/>
      </c>
      <c r="CD32" s="3986"/>
      <c r="CF32" s="1420">
        <f t="shared" si="19"/>
        <v>0</v>
      </c>
      <c r="CG32" s="1420">
        <f t="shared" si="20"/>
        <v>0</v>
      </c>
      <c r="CH32" s="1420">
        <f t="shared" si="21"/>
        <v>0</v>
      </c>
    </row>
    <row r="33" spans="1:86" s="1470" customFormat="1" ht="15" customHeight="1">
      <c r="A33" s="6856"/>
      <c r="B33" s="2303" t="s">
        <v>2565</v>
      </c>
      <c r="C33" s="3010">
        <f t="shared" si="13"/>
        <v>0</v>
      </c>
      <c r="D33" s="3987">
        <f t="shared" si="22"/>
        <v>0</v>
      </c>
      <c r="E33" s="3984">
        <f t="shared" si="23"/>
        <v>0</v>
      </c>
      <c r="F33" s="3996"/>
      <c r="G33" s="3998"/>
      <c r="H33" s="432"/>
      <c r="I33" s="433"/>
      <c r="J33" s="432"/>
      <c r="K33" s="433"/>
      <c r="L33" s="432"/>
      <c r="M33" s="433"/>
      <c r="N33" s="432"/>
      <c r="O33" s="433"/>
      <c r="P33" s="432"/>
      <c r="Q33" s="433"/>
      <c r="R33" s="432"/>
      <c r="S33" s="433"/>
      <c r="T33" s="432"/>
      <c r="U33" s="433"/>
      <c r="V33" s="432"/>
      <c r="W33" s="433"/>
      <c r="X33" s="432"/>
      <c r="Y33" s="433"/>
      <c r="Z33" s="432"/>
      <c r="AA33" s="433"/>
      <c r="AB33" s="432"/>
      <c r="AC33" s="433"/>
      <c r="AD33" s="432"/>
      <c r="AE33" s="433"/>
      <c r="AF33" s="432"/>
      <c r="AG33" s="433"/>
      <c r="AH33" s="432"/>
      <c r="AI33" s="433"/>
      <c r="AJ33" s="432"/>
      <c r="AK33" s="433"/>
      <c r="AL33" s="432"/>
      <c r="AM33" s="433"/>
      <c r="AN33" s="3578"/>
      <c r="AO33" s="445"/>
      <c r="AP33" s="437"/>
      <c r="AQ33" s="438"/>
      <c r="AR33" s="2235"/>
      <c r="AS33" s="1470" t="str">
        <f t="shared" si="15"/>
        <v/>
      </c>
      <c r="CA33" s="1418" t="str">
        <f t="shared" si="16"/>
        <v/>
      </c>
      <c r="CB33" s="1418" t="str">
        <f t="shared" si="17"/>
        <v/>
      </c>
      <c r="CC33" s="1418" t="str">
        <f t="shared" si="18"/>
        <v/>
      </c>
      <c r="CD33" s="3986"/>
      <c r="CF33" s="1420">
        <f t="shared" si="19"/>
        <v>0</v>
      </c>
      <c r="CG33" s="1420">
        <f t="shared" si="20"/>
        <v>0</v>
      </c>
      <c r="CH33" s="1420">
        <f t="shared" si="21"/>
        <v>0</v>
      </c>
    </row>
    <row r="34" spans="1:86" s="1470" customFormat="1" ht="15" customHeight="1">
      <c r="A34" s="6647" t="s">
        <v>2567</v>
      </c>
      <c r="B34" s="2056" t="s">
        <v>2568</v>
      </c>
      <c r="C34" s="1734">
        <f t="shared" si="13"/>
        <v>0</v>
      </c>
      <c r="D34" s="2859">
        <f>SUM(X34+Z34+AB34+AD34+AF34+AH34+AJ34+AL34+AN34)</f>
        <v>0</v>
      </c>
      <c r="E34" s="3969">
        <f>SUM(Y34+AA34+AC34+AE34+AG34+AI34+AK34+AM34+AO34)</f>
        <v>0</v>
      </c>
      <c r="F34" s="2375"/>
      <c r="G34" s="2376"/>
      <c r="H34" s="2375"/>
      <c r="I34" s="2376"/>
      <c r="J34" s="2375"/>
      <c r="K34" s="2376"/>
      <c r="L34" s="2375"/>
      <c r="M34" s="2376"/>
      <c r="N34" s="2375"/>
      <c r="O34" s="2376"/>
      <c r="P34" s="2375"/>
      <c r="Q34" s="2376"/>
      <c r="R34" s="2375"/>
      <c r="S34" s="2376"/>
      <c r="T34" s="2375"/>
      <c r="U34" s="2376"/>
      <c r="V34" s="2375"/>
      <c r="W34" s="2376"/>
      <c r="X34" s="448"/>
      <c r="Y34" s="449"/>
      <c r="Z34" s="448"/>
      <c r="AA34" s="449"/>
      <c r="AB34" s="448"/>
      <c r="AC34" s="449"/>
      <c r="AD34" s="448"/>
      <c r="AE34" s="449"/>
      <c r="AF34" s="448"/>
      <c r="AG34" s="449"/>
      <c r="AH34" s="448"/>
      <c r="AI34" s="449"/>
      <c r="AJ34" s="448"/>
      <c r="AK34" s="449"/>
      <c r="AL34" s="448"/>
      <c r="AM34" s="449"/>
      <c r="AN34" s="2246"/>
      <c r="AO34" s="450"/>
      <c r="AP34" s="451"/>
      <c r="AQ34" s="452"/>
      <c r="AR34" s="2229"/>
      <c r="AS34" s="1470" t="str">
        <f t="shared" si="15"/>
        <v/>
      </c>
      <c r="CA34" s="1418" t="str">
        <f t="shared" si="16"/>
        <v/>
      </c>
      <c r="CB34" s="1418" t="str">
        <f t="shared" si="17"/>
        <v/>
      </c>
      <c r="CC34" s="1418" t="str">
        <f t="shared" si="18"/>
        <v/>
      </c>
      <c r="CD34" s="3986"/>
      <c r="CF34" s="1420">
        <f t="shared" si="19"/>
        <v>0</v>
      </c>
      <c r="CG34" s="1420">
        <f t="shared" si="20"/>
        <v>0</v>
      </c>
      <c r="CH34" s="1420">
        <f t="shared" si="21"/>
        <v>0</v>
      </c>
    </row>
    <row r="35" spans="1:86" s="1470" customFormat="1" ht="15" customHeight="1">
      <c r="A35" s="6649"/>
      <c r="B35" s="2303" t="s">
        <v>2569</v>
      </c>
      <c r="C35" s="2904">
        <f t="shared" si="13"/>
        <v>0</v>
      </c>
      <c r="D35" s="3999">
        <f t="shared" ref="D35:E35" si="24">SUM(F35+H35+J35+L35+N35+P35+R35+X35+Z35+AB35+AD35+AF35+AH35+AJ35+AL35+AN35)</f>
        <v>0</v>
      </c>
      <c r="E35" s="3980">
        <f t="shared" si="24"/>
        <v>0</v>
      </c>
      <c r="F35" s="2384"/>
      <c r="G35" s="2385"/>
      <c r="H35" s="2384"/>
      <c r="I35" s="2385"/>
      <c r="J35" s="2384"/>
      <c r="K35" s="2385"/>
      <c r="L35" s="2384"/>
      <c r="M35" s="2385"/>
      <c r="N35" s="2384"/>
      <c r="O35" s="2385"/>
      <c r="P35" s="2384"/>
      <c r="Q35" s="2385"/>
      <c r="R35" s="2384"/>
      <c r="S35" s="2385"/>
      <c r="T35" s="2384"/>
      <c r="U35" s="2385"/>
      <c r="V35" s="2384"/>
      <c r="W35" s="2385"/>
      <c r="X35" s="432"/>
      <c r="Y35" s="433"/>
      <c r="Z35" s="432"/>
      <c r="AA35" s="433"/>
      <c r="AB35" s="432"/>
      <c r="AC35" s="433"/>
      <c r="AD35" s="432"/>
      <c r="AE35" s="433"/>
      <c r="AF35" s="432"/>
      <c r="AG35" s="433"/>
      <c r="AH35" s="432"/>
      <c r="AI35" s="433"/>
      <c r="AJ35" s="432"/>
      <c r="AK35" s="433"/>
      <c r="AL35" s="432"/>
      <c r="AM35" s="433"/>
      <c r="AN35" s="3578"/>
      <c r="AO35" s="445"/>
      <c r="AP35" s="437"/>
      <c r="AQ35" s="438"/>
      <c r="AR35" s="2235"/>
      <c r="AS35" s="1470" t="str">
        <f t="shared" si="15"/>
        <v/>
      </c>
      <c r="CA35" s="1418" t="str">
        <f t="shared" si="16"/>
        <v/>
      </c>
      <c r="CB35" s="1418" t="str">
        <f t="shared" si="17"/>
        <v/>
      </c>
      <c r="CC35" s="1418" t="str">
        <f t="shared" si="18"/>
        <v/>
      </c>
      <c r="CD35" s="3986"/>
      <c r="CF35" s="1420">
        <f t="shared" si="19"/>
        <v>0</v>
      </c>
      <c r="CG35" s="1420">
        <f t="shared" si="20"/>
        <v>0</v>
      </c>
      <c r="CH35" s="1420">
        <f t="shared" si="21"/>
        <v>0</v>
      </c>
    </row>
    <row r="36" spans="1:86" s="1470" customFormat="1" ht="15" customHeight="1">
      <c r="A36" s="6394" t="s">
        <v>2570</v>
      </c>
      <c r="B36" s="6395"/>
      <c r="C36" s="4000">
        <f t="shared" si="13"/>
        <v>0</v>
      </c>
      <c r="D36" s="4001">
        <f t="shared" ref="D36:D40" si="25">SUM(F36+H36+J36+L36+N36+P36+R36+T36+V36+X36+Z36+AB36+AD36+AF36+AH36+AJ36+AL36+AN36)</f>
        <v>0</v>
      </c>
      <c r="E36" s="3984">
        <f t="shared" ref="E36:E40" si="26">SUM(G36+I36+K36+M36+O36+Q36+S36+U36+W36+Y36+AA36+AC36+AE36+AG36+AI36+AK36+AM36+AO36)</f>
        <v>0</v>
      </c>
      <c r="F36" s="413"/>
      <c r="G36" s="2261"/>
      <c r="H36" s="413"/>
      <c r="I36" s="412"/>
      <c r="J36" s="413"/>
      <c r="K36" s="412"/>
      <c r="L36" s="413"/>
      <c r="M36" s="412"/>
      <c r="N36" s="413"/>
      <c r="O36" s="412"/>
      <c r="P36" s="413"/>
      <c r="Q36" s="412"/>
      <c r="R36" s="413"/>
      <c r="S36" s="412"/>
      <c r="T36" s="413"/>
      <c r="U36" s="412"/>
      <c r="V36" s="413"/>
      <c r="W36" s="412"/>
      <c r="X36" s="413"/>
      <c r="Y36" s="412"/>
      <c r="Z36" s="413"/>
      <c r="AA36" s="412"/>
      <c r="AB36" s="413"/>
      <c r="AC36" s="412"/>
      <c r="AD36" s="413"/>
      <c r="AE36" s="412"/>
      <c r="AF36" s="413"/>
      <c r="AG36" s="412"/>
      <c r="AH36" s="413"/>
      <c r="AI36" s="412"/>
      <c r="AJ36" s="413"/>
      <c r="AK36" s="412"/>
      <c r="AL36" s="413"/>
      <c r="AM36" s="412"/>
      <c r="AN36" s="3582"/>
      <c r="AO36" s="414"/>
      <c r="AP36" s="415"/>
      <c r="AQ36" s="416"/>
      <c r="AR36" s="2261"/>
      <c r="AS36" s="1470" t="str">
        <f t="shared" si="15"/>
        <v/>
      </c>
      <c r="CA36" s="1418" t="str">
        <f t="shared" si="16"/>
        <v/>
      </c>
      <c r="CB36" s="1418" t="str">
        <f t="shared" si="17"/>
        <v/>
      </c>
      <c r="CC36" s="1418" t="str">
        <f t="shared" si="18"/>
        <v/>
      </c>
      <c r="CD36" s="3986"/>
      <c r="CF36" s="1420">
        <f t="shared" si="19"/>
        <v>0</v>
      </c>
      <c r="CG36" s="1420">
        <f t="shared" si="20"/>
        <v>0</v>
      </c>
      <c r="CH36" s="1420">
        <f t="shared" si="21"/>
        <v>0</v>
      </c>
    </row>
    <row r="37" spans="1:86" s="1470" customFormat="1" ht="15" customHeight="1">
      <c r="A37" s="6384" t="s">
        <v>2571</v>
      </c>
      <c r="B37" s="6385"/>
      <c r="C37" s="3971">
        <f t="shared" si="13"/>
        <v>0</v>
      </c>
      <c r="D37" s="4002">
        <f t="shared" si="25"/>
        <v>0</v>
      </c>
      <c r="E37" s="3973">
        <f t="shared" si="26"/>
        <v>0</v>
      </c>
      <c r="F37" s="425"/>
      <c r="G37" s="2231"/>
      <c r="H37" s="425"/>
      <c r="I37" s="424"/>
      <c r="J37" s="425"/>
      <c r="K37" s="424"/>
      <c r="L37" s="425"/>
      <c r="M37" s="424"/>
      <c r="N37" s="425"/>
      <c r="O37" s="424"/>
      <c r="P37" s="425"/>
      <c r="Q37" s="424"/>
      <c r="R37" s="425"/>
      <c r="S37" s="424"/>
      <c r="T37" s="425"/>
      <c r="U37" s="424"/>
      <c r="V37" s="425"/>
      <c r="W37" s="424"/>
      <c r="X37" s="425"/>
      <c r="Y37" s="424"/>
      <c r="Z37" s="425"/>
      <c r="AA37" s="424"/>
      <c r="AB37" s="425"/>
      <c r="AC37" s="424"/>
      <c r="AD37" s="425"/>
      <c r="AE37" s="424"/>
      <c r="AF37" s="425"/>
      <c r="AG37" s="424"/>
      <c r="AH37" s="425"/>
      <c r="AI37" s="424"/>
      <c r="AJ37" s="425"/>
      <c r="AK37" s="424"/>
      <c r="AL37" s="425"/>
      <c r="AM37" s="424"/>
      <c r="AN37" s="3568"/>
      <c r="AO37" s="426"/>
      <c r="AP37" s="442"/>
      <c r="AQ37" s="443"/>
      <c r="AR37" s="2231"/>
      <c r="AS37" s="1470" t="str">
        <f t="shared" si="15"/>
        <v/>
      </c>
      <c r="CA37" s="1418" t="str">
        <f t="shared" si="16"/>
        <v/>
      </c>
      <c r="CB37" s="1418" t="str">
        <f t="shared" si="17"/>
        <v/>
      </c>
      <c r="CC37" s="1418" t="str">
        <f t="shared" si="18"/>
        <v/>
      </c>
      <c r="CD37" s="3986"/>
      <c r="CF37" s="1420">
        <f t="shared" si="19"/>
        <v>0</v>
      </c>
      <c r="CG37" s="1420">
        <f t="shared" si="20"/>
        <v>0</v>
      </c>
      <c r="CH37" s="1420">
        <f t="shared" si="21"/>
        <v>0</v>
      </c>
    </row>
    <row r="38" spans="1:86" s="1470" customFormat="1" ht="15" customHeight="1">
      <c r="A38" s="6181" t="s">
        <v>2572</v>
      </c>
      <c r="B38" s="6182"/>
      <c r="C38" s="2938">
        <f t="shared" si="13"/>
        <v>0</v>
      </c>
      <c r="D38" s="4003">
        <f t="shared" si="25"/>
        <v>0</v>
      </c>
      <c r="E38" s="3973">
        <f t="shared" si="26"/>
        <v>0</v>
      </c>
      <c r="F38" s="425"/>
      <c r="G38" s="2231"/>
      <c r="H38" s="425"/>
      <c r="I38" s="424"/>
      <c r="J38" s="425"/>
      <c r="K38" s="424"/>
      <c r="L38" s="425"/>
      <c r="M38" s="424"/>
      <c r="N38" s="425"/>
      <c r="O38" s="424"/>
      <c r="P38" s="425"/>
      <c r="Q38" s="424"/>
      <c r="R38" s="425"/>
      <c r="S38" s="424"/>
      <c r="T38" s="425"/>
      <c r="U38" s="424"/>
      <c r="V38" s="425"/>
      <c r="W38" s="424"/>
      <c r="X38" s="425"/>
      <c r="Y38" s="424"/>
      <c r="Z38" s="425"/>
      <c r="AA38" s="424"/>
      <c r="AB38" s="425"/>
      <c r="AC38" s="424"/>
      <c r="AD38" s="425"/>
      <c r="AE38" s="424"/>
      <c r="AF38" s="425"/>
      <c r="AG38" s="424"/>
      <c r="AH38" s="425"/>
      <c r="AI38" s="424"/>
      <c r="AJ38" s="425"/>
      <c r="AK38" s="424"/>
      <c r="AL38" s="425"/>
      <c r="AM38" s="424"/>
      <c r="AN38" s="3568"/>
      <c r="AO38" s="426"/>
      <c r="AP38" s="442"/>
      <c r="AQ38" s="443"/>
      <c r="AR38" s="2231"/>
      <c r="AS38" s="1470" t="str">
        <f t="shared" si="15"/>
        <v/>
      </c>
      <c r="CA38" s="1418" t="str">
        <f t="shared" si="16"/>
        <v/>
      </c>
      <c r="CB38" s="1418" t="str">
        <f t="shared" si="17"/>
        <v/>
      </c>
      <c r="CC38" s="1418" t="str">
        <f t="shared" si="18"/>
        <v/>
      </c>
      <c r="CD38" s="3986"/>
      <c r="CF38" s="1420">
        <f t="shared" si="19"/>
        <v>0</v>
      </c>
      <c r="CG38" s="1420">
        <f t="shared" si="20"/>
        <v>0</v>
      </c>
      <c r="CH38" s="1420">
        <f t="shared" si="21"/>
        <v>0</v>
      </c>
    </row>
    <row r="39" spans="1:86" s="1470" customFormat="1" ht="15" customHeight="1">
      <c r="A39" s="6857" t="s">
        <v>2573</v>
      </c>
      <c r="B39" s="6385"/>
      <c r="C39" s="3971">
        <f t="shared" si="13"/>
        <v>0</v>
      </c>
      <c r="D39" s="4002">
        <f t="shared" si="25"/>
        <v>0</v>
      </c>
      <c r="E39" s="3973">
        <f t="shared" si="26"/>
        <v>0</v>
      </c>
      <c r="F39" s="425"/>
      <c r="G39" s="2231"/>
      <c r="H39" s="425"/>
      <c r="I39" s="424"/>
      <c r="J39" s="425"/>
      <c r="K39" s="424"/>
      <c r="L39" s="425"/>
      <c r="M39" s="424"/>
      <c r="N39" s="425"/>
      <c r="O39" s="424"/>
      <c r="P39" s="425"/>
      <c r="Q39" s="424"/>
      <c r="R39" s="425"/>
      <c r="S39" s="424"/>
      <c r="T39" s="425"/>
      <c r="U39" s="424"/>
      <c r="V39" s="425"/>
      <c r="W39" s="424"/>
      <c r="X39" s="425"/>
      <c r="Y39" s="424"/>
      <c r="Z39" s="425"/>
      <c r="AA39" s="424"/>
      <c r="AB39" s="425"/>
      <c r="AC39" s="424"/>
      <c r="AD39" s="425"/>
      <c r="AE39" s="424"/>
      <c r="AF39" s="425"/>
      <c r="AG39" s="424"/>
      <c r="AH39" s="425"/>
      <c r="AI39" s="424"/>
      <c r="AJ39" s="425"/>
      <c r="AK39" s="424"/>
      <c r="AL39" s="425"/>
      <c r="AM39" s="424"/>
      <c r="AN39" s="3568"/>
      <c r="AO39" s="426"/>
      <c r="AP39" s="442"/>
      <c r="AQ39" s="443"/>
      <c r="AR39" s="2231"/>
      <c r="AS39" s="1470" t="str">
        <f t="shared" si="15"/>
        <v/>
      </c>
      <c r="CA39" s="1418" t="str">
        <f t="shared" si="16"/>
        <v/>
      </c>
      <c r="CB39" s="1418" t="str">
        <f t="shared" si="17"/>
        <v/>
      </c>
      <c r="CC39" s="1418" t="str">
        <f t="shared" si="18"/>
        <v/>
      </c>
      <c r="CD39" s="3986"/>
      <c r="CF39" s="1420">
        <f t="shared" si="19"/>
        <v>0</v>
      </c>
      <c r="CG39" s="1420">
        <f t="shared" si="20"/>
        <v>0</v>
      </c>
      <c r="CH39" s="1420">
        <f t="shared" si="21"/>
        <v>0</v>
      </c>
    </row>
    <row r="40" spans="1:86" s="1470" customFormat="1" ht="15" customHeight="1">
      <c r="A40" s="6386" t="s">
        <v>2574</v>
      </c>
      <c r="B40" s="6387"/>
      <c r="C40" s="4004">
        <f t="shared" si="13"/>
        <v>0</v>
      </c>
      <c r="D40" s="4005">
        <f t="shared" si="25"/>
        <v>0</v>
      </c>
      <c r="E40" s="3973">
        <f t="shared" si="26"/>
        <v>0</v>
      </c>
      <c r="F40" s="432"/>
      <c r="G40" s="2235"/>
      <c r="H40" s="432"/>
      <c r="I40" s="433"/>
      <c r="J40" s="432"/>
      <c r="K40" s="433"/>
      <c r="L40" s="432"/>
      <c r="M40" s="433"/>
      <c r="N40" s="432"/>
      <c r="O40" s="433"/>
      <c r="P40" s="432"/>
      <c r="Q40" s="433"/>
      <c r="R40" s="432"/>
      <c r="S40" s="433"/>
      <c r="T40" s="432"/>
      <c r="U40" s="433"/>
      <c r="V40" s="432"/>
      <c r="W40" s="433"/>
      <c r="X40" s="432"/>
      <c r="Y40" s="433"/>
      <c r="Z40" s="432"/>
      <c r="AA40" s="433"/>
      <c r="AB40" s="432"/>
      <c r="AC40" s="433"/>
      <c r="AD40" s="432"/>
      <c r="AE40" s="433"/>
      <c r="AF40" s="432"/>
      <c r="AG40" s="433"/>
      <c r="AH40" s="432"/>
      <c r="AI40" s="433"/>
      <c r="AJ40" s="432"/>
      <c r="AK40" s="433"/>
      <c r="AL40" s="432"/>
      <c r="AM40" s="433"/>
      <c r="AN40" s="3578"/>
      <c r="AO40" s="445"/>
      <c r="AP40" s="437"/>
      <c r="AQ40" s="438"/>
      <c r="AR40" s="2235"/>
      <c r="AS40" s="1470" t="str">
        <f t="shared" si="15"/>
        <v/>
      </c>
      <c r="CA40" s="1418" t="str">
        <f t="shared" si="16"/>
        <v/>
      </c>
      <c r="CB40" s="1418" t="str">
        <f t="shared" si="17"/>
        <v/>
      </c>
      <c r="CC40" s="1418" t="str">
        <f t="shared" si="18"/>
        <v/>
      </c>
      <c r="CD40" s="3986"/>
      <c r="CF40" s="1420">
        <f t="shared" si="19"/>
        <v>0</v>
      </c>
      <c r="CG40" s="1420">
        <f t="shared" si="20"/>
        <v>0</v>
      </c>
      <c r="CH40" s="1420">
        <f t="shared" si="21"/>
        <v>0</v>
      </c>
    </row>
    <row r="41" spans="1:86" s="1470" customFormat="1" ht="15" customHeight="1">
      <c r="A41" s="6142" t="s">
        <v>91</v>
      </c>
      <c r="B41" s="6142"/>
      <c r="C41" s="1743">
        <f t="shared" ref="C41:AP41" si="27">SUM(C28:C40)</f>
        <v>0</v>
      </c>
      <c r="D41" s="1744">
        <f t="shared" si="27"/>
        <v>0</v>
      </c>
      <c r="E41" s="1745">
        <f t="shared" si="27"/>
        <v>0</v>
      </c>
      <c r="F41" s="1743">
        <f t="shared" si="27"/>
        <v>0</v>
      </c>
      <c r="G41" s="1745">
        <f t="shared" si="27"/>
        <v>0</v>
      </c>
      <c r="H41" s="1743">
        <f>SUM(H28:H40)</f>
        <v>0</v>
      </c>
      <c r="I41" s="1745">
        <f t="shared" si="27"/>
        <v>0</v>
      </c>
      <c r="J41" s="1743">
        <f t="shared" si="27"/>
        <v>0</v>
      </c>
      <c r="K41" s="1745">
        <f t="shared" si="27"/>
        <v>0</v>
      </c>
      <c r="L41" s="4006">
        <f t="shared" si="27"/>
        <v>0</v>
      </c>
      <c r="M41" s="2297">
        <f t="shared" si="27"/>
        <v>0</v>
      </c>
      <c r="N41" s="4006">
        <f t="shared" si="27"/>
        <v>0</v>
      </c>
      <c r="O41" s="2297">
        <f t="shared" si="27"/>
        <v>0</v>
      </c>
      <c r="P41" s="1746">
        <f t="shared" si="27"/>
        <v>0</v>
      </c>
      <c r="Q41" s="2297">
        <f t="shared" si="27"/>
        <v>0</v>
      </c>
      <c r="R41" s="4006">
        <f t="shared" si="27"/>
        <v>0</v>
      </c>
      <c r="S41" s="2297">
        <f t="shared" si="27"/>
        <v>0</v>
      </c>
      <c r="T41" s="4006">
        <f t="shared" ref="T41:U41" si="28">SUM(T28:T40)</f>
        <v>0</v>
      </c>
      <c r="U41" s="2297">
        <f t="shared" si="28"/>
        <v>0</v>
      </c>
      <c r="V41" s="4006">
        <f t="shared" ref="V41:W41" si="29">SUM(V28:V40)</f>
        <v>0</v>
      </c>
      <c r="W41" s="2297">
        <f t="shared" si="29"/>
        <v>0</v>
      </c>
      <c r="X41" s="1743">
        <f t="shared" si="27"/>
        <v>0</v>
      </c>
      <c r="Y41" s="1750">
        <f t="shared" si="27"/>
        <v>0</v>
      </c>
      <c r="Z41" s="1743">
        <f t="shared" si="27"/>
        <v>0</v>
      </c>
      <c r="AA41" s="1750">
        <f t="shared" si="27"/>
        <v>0</v>
      </c>
      <c r="AB41" s="1743">
        <f t="shared" si="27"/>
        <v>0</v>
      </c>
      <c r="AC41" s="1750">
        <f t="shared" si="27"/>
        <v>0</v>
      </c>
      <c r="AD41" s="4006">
        <f t="shared" si="27"/>
        <v>0</v>
      </c>
      <c r="AE41" s="2297">
        <f t="shared" si="27"/>
        <v>0</v>
      </c>
      <c r="AF41" s="4006">
        <f t="shared" si="27"/>
        <v>0</v>
      </c>
      <c r="AG41" s="2297">
        <f t="shared" si="27"/>
        <v>0</v>
      </c>
      <c r="AH41" s="1746">
        <f t="shared" si="27"/>
        <v>0</v>
      </c>
      <c r="AI41" s="2297">
        <f t="shared" si="27"/>
        <v>0</v>
      </c>
      <c r="AJ41" s="4006">
        <f t="shared" si="27"/>
        <v>0</v>
      </c>
      <c r="AK41" s="2297">
        <f t="shared" si="27"/>
        <v>0</v>
      </c>
      <c r="AL41" s="4006">
        <f t="shared" si="27"/>
        <v>0</v>
      </c>
      <c r="AM41" s="2297">
        <f t="shared" si="27"/>
        <v>0</v>
      </c>
      <c r="AN41" s="4006">
        <f t="shared" si="27"/>
        <v>0</v>
      </c>
      <c r="AO41" s="3682">
        <f t="shared" si="27"/>
        <v>0</v>
      </c>
      <c r="AP41" s="1749">
        <f t="shared" si="27"/>
        <v>0</v>
      </c>
      <c r="AQ41" s="1750">
        <f>SUM(AQ28:AQ40)</f>
        <v>0</v>
      </c>
      <c r="AR41" s="1745">
        <f>SUM(AR28:AR40)</f>
        <v>0</v>
      </c>
    </row>
    <row r="42" spans="1:86" s="2832" customFormat="1" ht="18" customHeight="1">
      <c r="A42" s="1468" t="s">
        <v>2575</v>
      </c>
    </row>
    <row r="43" spans="1:86" s="1470" customFormat="1" ht="15" customHeight="1">
      <c r="A43" s="6863" t="s">
        <v>2562</v>
      </c>
      <c r="B43" s="6866" t="s">
        <v>91</v>
      </c>
      <c r="C43" s="6867"/>
      <c r="D43" s="6863"/>
      <c r="E43" s="6875" t="s">
        <v>115</v>
      </c>
      <c r="F43" s="6219"/>
      <c r="G43" s="6219"/>
      <c r="H43" s="6219"/>
      <c r="I43" s="6219"/>
      <c r="J43" s="6219"/>
      <c r="K43" s="6219"/>
      <c r="L43" s="6219"/>
      <c r="M43" s="6219"/>
      <c r="N43" s="6219"/>
      <c r="O43" s="6219"/>
      <c r="P43" s="6219"/>
      <c r="Q43" s="6219"/>
      <c r="R43" s="6219"/>
      <c r="S43" s="6219"/>
      <c r="T43" s="6219"/>
      <c r="U43" s="6219"/>
      <c r="V43" s="6219"/>
      <c r="W43" s="6219"/>
      <c r="X43" s="6219"/>
      <c r="Y43" s="6219"/>
      <c r="Z43" s="6219"/>
      <c r="AA43" s="6219"/>
      <c r="AB43" s="6219"/>
      <c r="AC43" s="6219"/>
      <c r="AD43" s="6219"/>
      <c r="AE43" s="6219"/>
      <c r="AF43" s="6219"/>
      <c r="AG43" s="6219"/>
      <c r="AH43" s="6219"/>
      <c r="AI43" s="6219"/>
      <c r="AJ43" s="6219"/>
      <c r="AK43" s="6219"/>
      <c r="AL43" s="6219"/>
      <c r="AM43" s="6219"/>
      <c r="AN43" s="6894"/>
      <c r="AO43" s="6870" t="s">
        <v>2576</v>
      </c>
      <c r="AP43" s="6871"/>
      <c r="AQ43" s="6139" t="s">
        <v>50</v>
      </c>
      <c r="AR43" s="5718" t="s">
        <v>51</v>
      </c>
    </row>
    <row r="44" spans="1:86" s="1470" customFormat="1" ht="15" customHeight="1">
      <c r="A44" s="6864"/>
      <c r="B44" s="6868"/>
      <c r="C44" s="6869"/>
      <c r="D44" s="6865"/>
      <c r="E44" s="6140" t="s">
        <v>2548</v>
      </c>
      <c r="F44" s="6154"/>
      <c r="G44" s="6152" t="s">
        <v>2549</v>
      </c>
      <c r="H44" s="6154"/>
      <c r="I44" s="6152" t="s">
        <v>2550</v>
      </c>
      <c r="J44" s="6154"/>
      <c r="K44" s="6152" t="s">
        <v>108</v>
      </c>
      <c r="L44" s="6154"/>
      <c r="M44" s="6152" t="s">
        <v>58</v>
      </c>
      <c r="N44" s="6154"/>
      <c r="O44" s="6152" t="s">
        <v>59</v>
      </c>
      <c r="P44" s="6154"/>
      <c r="Q44" s="6152" t="s">
        <v>60</v>
      </c>
      <c r="R44" s="6154"/>
      <c r="S44" s="6152" t="s">
        <v>61</v>
      </c>
      <c r="T44" s="6154"/>
      <c r="U44" s="6152" t="s">
        <v>62</v>
      </c>
      <c r="V44" s="6154"/>
      <c r="W44" s="5707" t="s">
        <v>63</v>
      </c>
      <c r="X44" s="5709"/>
      <c r="Y44" s="6152" t="s">
        <v>64</v>
      </c>
      <c r="Z44" s="6154"/>
      <c r="AA44" s="6152" t="s">
        <v>65</v>
      </c>
      <c r="AB44" s="6154"/>
      <c r="AC44" s="6152" t="s">
        <v>66</v>
      </c>
      <c r="AD44" s="6154"/>
      <c r="AE44" s="6152" t="s">
        <v>67</v>
      </c>
      <c r="AF44" s="6154"/>
      <c r="AG44" s="6152" t="s">
        <v>68</v>
      </c>
      <c r="AH44" s="6154"/>
      <c r="AI44" s="6152" t="s">
        <v>69</v>
      </c>
      <c r="AJ44" s="6154"/>
      <c r="AK44" s="6152" t="s">
        <v>70</v>
      </c>
      <c r="AL44" s="6154"/>
      <c r="AM44" s="6153" t="s">
        <v>71</v>
      </c>
      <c r="AN44" s="6874"/>
      <c r="AO44" s="6872"/>
      <c r="AP44" s="6873"/>
      <c r="AQ44" s="6166"/>
      <c r="AR44" s="6110"/>
    </row>
    <row r="45" spans="1:86" s="1470" customFormat="1" ht="15" customHeight="1">
      <c r="A45" s="6865"/>
      <c r="B45" s="4007" t="s">
        <v>93</v>
      </c>
      <c r="C45" s="4008" t="s">
        <v>72</v>
      </c>
      <c r="D45" s="4009" t="s">
        <v>73</v>
      </c>
      <c r="E45" s="396" t="s">
        <v>72</v>
      </c>
      <c r="F45" s="390" t="s">
        <v>73</v>
      </c>
      <c r="G45" s="396" t="s">
        <v>72</v>
      </c>
      <c r="H45" s="390" t="s">
        <v>73</v>
      </c>
      <c r="I45" s="396" t="s">
        <v>72</v>
      </c>
      <c r="J45" s="390" t="s">
        <v>73</v>
      </c>
      <c r="K45" s="396" t="s">
        <v>72</v>
      </c>
      <c r="L45" s="390" t="s">
        <v>73</v>
      </c>
      <c r="M45" s="396" t="s">
        <v>72</v>
      </c>
      <c r="N45" s="390" t="s">
        <v>73</v>
      </c>
      <c r="O45" s="396" t="s">
        <v>72</v>
      </c>
      <c r="P45" s="390" t="s">
        <v>73</v>
      </c>
      <c r="Q45" s="1666" t="s">
        <v>72</v>
      </c>
      <c r="R45" s="1962" t="s">
        <v>73</v>
      </c>
      <c r="S45" s="1666" t="s">
        <v>72</v>
      </c>
      <c r="T45" s="1962" t="s">
        <v>73</v>
      </c>
      <c r="U45" s="1666" t="s">
        <v>72</v>
      </c>
      <c r="V45" s="1962" t="s">
        <v>73</v>
      </c>
      <c r="W45" s="396" t="s">
        <v>72</v>
      </c>
      <c r="X45" s="390" t="s">
        <v>73</v>
      </c>
      <c r="Y45" s="396" t="s">
        <v>72</v>
      </c>
      <c r="Z45" s="390" t="s">
        <v>73</v>
      </c>
      <c r="AA45" s="396" t="s">
        <v>72</v>
      </c>
      <c r="AB45" s="390" t="s">
        <v>73</v>
      </c>
      <c r="AC45" s="396" t="s">
        <v>72</v>
      </c>
      <c r="AD45" s="390" t="s">
        <v>73</v>
      </c>
      <c r="AE45" s="396" t="s">
        <v>72</v>
      </c>
      <c r="AF45" s="390" t="s">
        <v>73</v>
      </c>
      <c r="AG45" s="396" t="s">
        <v>72</v>
      </c>
      <c r="AH45" s="390" t="s">
        <v>73</v>
      </c>
      <c r="AI45" s="396" t="s">
        <v>72</v>
      </c>
      <c r="AJ45" s="390" t="s">
        <v>73</v>
      </c>
      <c r="AK45" s="396" t="s">
        <v>72</v>
      </c>
      <c r="AL45" s="390" t="s">
        <v>73</v>
      </c>
      <c r="AM45" s="396" t="s">
        <v>72</v>
      </c>
      <c r="AN45" s="389" t="s">
        <v>73</v>
      </c>
      <c r="AO45" s="4010" t="s">
        <v>838</v>
      </c>
      <c r="AP45" s="4011" t="s">
        <v>840</v>
      </c>
      <c r="AQ45" s="6115"/>
      <c r="AR45" s="5719"/>
    </row>
    <row r="46" spans="1:86" s="1470" customFormat="1" ht="15" customHeight="1">
      <c r="A46" s="4012" t="s">
        <v>2577</v>
      </c>
      <c r="B46" s="4013">
        <f t="shared" ref="B46:B65" si="30">SUM(C46+D46)</f>
        <v>0</v>
      </c>
      <c r="C46" s="4014">
        <f>SUM(E46+G46)</f>
        <v>0</v>
      </c>
      <c r="D46" s="4015">
        <f>SUM(F46+H46)</f>
        <v>0</v>
      </c>
      <c r="E46" s="4016"/>
      <c r="F46" s="4017"/>
      <c r="G46" s="4016"/>
      <c r="H46" s="4017"/>
      <c r="I46" s="3994"/>
      <c r="J46" s="4018"/>
      <c r="K46" s="3994"/>
      <c r="L46" s="3995"/>
      <c r="M46" s="3994"/>
      <c r="N46" s="3995"/>
      <c r="O46" s="3994"/>
      <c r="P46" s="3995"/>
      <c r="Q46" s="3994"/>
      <c r="R46" s="3995"/>
      <c r="S46" s="3994"/>
      <c r="T46" s="3995"/>
      <c r="U46" s="3994"/>
      <c r="V46" s="3995"/>
      <c r="W46" s="3994"/>
      <c r="X46" s="3995"/>
      <c r="Y46" s="3994"/>
      <c r="Z46" s="3995"/>
      <c r="AA46" s="3994"/>
      <c r="AB46" s="3995"/>
      <c r="AC46" s="3994"/>
      <c r="AD46" s="3995"/>
      <c r="AE46" s="3994"/>
      <c r="AF46" s="3995"/>
      <c r="AG46" s="3994"/>
      <c r="AH46" s="3995"/>
      <c r="AI46" s="3994"/>
      <c r="AJ46" s="3995"/>
      <c r="AK46" s="3994"/>
      <c r="AL46" s="3995"/>
      <c r="AM46" s="3994"/>
      <c r="AN46" s="4019"/>
      <c r="AO46" s="4020"/>
      <c r="AP46" s="4021"/>
      <c r="AQ46" s="4022"/>
      <c r="AR46" s="4023"/>
      <c r="AS46" s="1470" t="str">
        <f t="shared" si="15"/>
        <v/>
      </c>
      <c r="CA46" s="1418" t="str">
        <f t="shared" ref="CA46:CA53" si="31">IF(AND(B46&gt;0,AO46="",AP46="")," * No olvide registrar Causal de egresos (Abandono/Fallecimiento). Digite Cero si no tiene",IF((AO46+AP46)&gt;B46," * Egresos según causal no debe ser mayor que el Total Ambos Sexos",""))</f>
        <v/>
      </c>
      <c r="CB46" s="1418" t="str">
        <f t="shared" ref="CB46:CB53" si="32">IF(AND(B46&gt;0,AQ46="")," * No olvide digitar la variable Pueblos Originarios. Digite Cero si no tiene.",IF(AQ46&gt;B46," * La variable Pueblos originarios no puede ser mayor al Total Ambos Sexos.",""))</f>
        <v/>
      </c>
      <c r="CC46" s="1418" t="str">
        <f t="shared" ref="CC46:CC53" si="33">IF(AND(B46&gt;0,AR46="")," * No olvide digitar la variable Migrantes. Digite Cero si no tiene.",IF(AR46&gt;B46," * La variable Migrantes no puede ser mayor al Total Ambos Sexos.",""))</f>
        <v/>
      </c>
      <c r="CF46" s="1421">
        <f t="shared" ref="CF46:CF53" si="34">IF(AND($B46&gt;0,AO46="",AP46=""),1,IF((AO46+AP46)&gt;$B46,1,0))</f>
        <v>0</v>
      </c>
      <c r="CG46" s="1421">
        <f t="shared" ref="CG46:CG53" si="35">IF(AND($B46&gt;0,AQ46=""),1,IF((AQ46)&gt;$B46,1,0))</f>
        <v>0</v>
      </c>
      <c r="CH46" s="1421">
        <f t="shared" ref="CH46:CH53" si="36">IF(AND($B46&gt;0,AR46=""),1,IF((AR46)&gt;$B46,1,0))</f>
        <v>0</v>
      </c>
    </row>
    <row r="47" spans="1:86" s="1470" customFormat="1" ht="15" customHeight="1">
      <c r="A47" s="4024" t="s">
        <v>2566</v>
      </c>
      <c r="B47" s="4025">
        <f t="shared" si="30"/>
        <v>0</v>
      </c>
      <c r="C47" s="4026">
        <f>SUM(G47+I47+K47+M47+O47+S47+U47+Q47+W47+Y47+AA47+AC47+AE47+AG47+AI47+AK47+AM47)</f>
        <v>0</v>
      </c>
      <c r="D47" s="4027">
        <f>SUM(H47+J47+L47+N47+P47+R47+T47+V47+X47+Z47+AB47+AD47+AF47+AH47+AJ47+AL47+AN47)</f>
        <v>0</v>
      </c>
      <c r="E47" s="3996"/>
      <c r="F47" s="4028"/>
      <c r="G47" s="4029"/>
      <c r="H47" s="4030"/>
      <c r="I47" s="4031"/>
      <c r="J47" s="4032"/>
      <c r="K47" s="4031"/>
      <c r="L47" s="4032"/>
      <c r="M47" s="4031"/>
      <c r="N47" s="4032"/>
      <c r="O47" s="4031"/>
      <c r="P47" s="4032"/>
      <c r="Q47" s="4031"/>
      <c r="R47" s="4032"/>
      <c r="S47" s="4031"/>
      <c r="T47" s="4032"/>
      <c r="U47" s="4031"/>
      <c r="V47" s="4032"/>
      <c r="W47" s="4033"/>
      <c r="X47" s="4034"/>
      <c r="Y47" s="4033"/>
      <c r="Z47" s="4034"/>
      <c r="AA47" s="4033"/>
      <c r="AB47" s="4034"/>
      <c r="AC47" s="4033"/>
      <c r="AD47" s="4034"/>
      <c r="AE47" s="4033"/>
      <c r="AF47" s="4034"/>
      <c r="AG47" s="4033"/>
      <c r="AH47" s="4034"/>
      <c r="AI47" s="4033"/>
      <c r="AJ47" s="4034"/>
      <c r="AK47" s="4033"/>
      <c r="AL47" s="4034"/>
      <c r="AM47" s="4033"/>
      <c r="AN47" s="4035"/>
      <c r="AO47" s="4036"/>
      <c r="AP47" s="4037"/>
      <c r="AQ47" s="4035"/>
      <c r="AR47" s="4038"/>
      <c r="AS47" s="1470" t="str">
        <f t="shared" si="15"/>
        <v/>
      </c>
      <c r="CA47" s="1418" t="str">
        <f t="shared" si="31"/>
        <v/>
      </c>
      <c r="CB47" s="1418" t="str">
        <f t="shared" si="32"/>
        <v/>
      </c>
      <c r="CC47" s="1418" t="str">
        <f t="shared" si="33"/>
        <v/>
      </c>
      <c r="CF47" s="1421">
        <f t="shared" si="34"/>
        <v>0</v>
      </c>
      <c r="CG47" s="1421">
        <f t="shared" si="35"/>
        <v>0</v>
      </c>
      <c r="CH47" s="1421">
        <f t="shared" si="36"/>
        <v>0</v>
      </c>
    </row>
    <row r="48" spans="1:86" s="1470" customFormat="1" ht="15" customHeight="1">
      <c r="A48" s="4024" t="s">
        <v>2567</v>
      </c>
      <c r="B48" s="4039">
        <f t="shared" si="30"/>
        <v>0</v>
      </c>
      <c r="C48" s="4040">
        <f>SUM(W48+Y48+AA48+AC48+AE48+AG48+AI48+AK48+AM48)</f>
        <v>0</v>
      </c>
      <c r="D48" s="4041">
        <f>SUM(X48+Z48+AB48+AD48+AF48+AH48+AJ48+AL48+AN48)</f>
        <v>0</v>
      </c>
      <c r="E48" s="3996"/>
      <c r="F48" s="3997"/>
      <c r="G48" s="3996"/>
      <c r="H48" s="3997"/>
      <c r="I48" s="3996"/>
      <c r="J48" s="3997"/>
      <c r="K48" s="3996"/>
      <c r="L48" s="3997"/>
      <c r="M48" s="3996"/>
      <c r="N48" s="3997"/>
      <c r="O48" s="3996"/>
      <c r="P48" s="4018"/>
      <c r="Q48" s="4042"/>
      <c r="R48" s="4018"/>
      <c r="S48" s="4042"/>
      <c r="T48" s="4018"/>
      <c r="U48" s="4042"/>
      <c r="V48" s="4018"/>
      <c r="W48" s="4043"/>
      <c r="X48" s="4044"/>
      <c r="Y48" s="4043"/>
      <c r="Z48" s="4044"/>
      <c r="AA48" s="4043"/>
      <c r="AB48" s="4044"/>
      <c r="AC48" s="4043"/>
      <c r="AD48" s="4044"/>
      <c r="AE48" s="4043"/>
      <c r="AF48" s="4044"/>
      <c r="AG48" s="4043"/>
      <c r="AH48" s="4044"/>
      <c r="AI48" s="4043"/>
      <c r="AJ48" s="4044"/>
      <c r="AK48" s="4043"/>
      <c r="AL48" s="4044"/>
      <c r="AM48" s="4043"/>
      <c r="AN48" s="4022"/>
      <c r="AO48" s="4036"/>
      <c r="AP48" s="4037"/>
      <c r="AQ48" s="4035"/>
      <c r="AR48" s="4038"/>
      <c r="AS48" s="1470" t="str">
        <f t="shared" si="15"/>
        <v/>
      </c>
      <c r="CA48" s="1418" t="str">
        <f t="shared" si="31"/>
        <v/>
      </c>
      <c r="CB48" s="1418" t="str">
        <f t="shared" si="32"/>
        <v/>
      </c>
      <c r="CC48" s="1418" t="str">
        <f t="shared" si="33"/>
        <v/>
      </c>
      <c r="CF48" s="1421">
        <f t="shared" si="34"/>
        <v>0</v>
      </c>
      <c r="CG48" s="1421">
        <f t="shared" si="35"/>
        <v>0</v>
      </c>
      <c r="CH48" s="1421">
        <f t="shared" si="36"/>
        <v>0</v>
      </c>
    </row>
    <row r="49" spans="1:86" s="1470" customFormat="1" ht="15" customHeight="1">
      <c r="A49" s="4045" t="s">
        <v>2570</v>
      </c>
      <c r="B49" s="1751">
        <f t="shared" si="30"/>
        <v>0</v>
      </c>
      <c r="C49" s="4046">
        <f t="shared" ref="C49:C65" si="37">SUM(E49+G49+I49+K49+M49+O49+Q49+S49+U49+W49+Y49+AA49+AC49+AE49+AG49+AI49+AK49+AM49)</f>
        <v>0</v>
      </c>
      <c r="D49" s="1753">
        <f t="shared" ref="D49:D65" si="38">SUM(F49+H49+J49+L49+N49+P49+R49+T49+V49+X49+Z49+AB49+AD49+AF49+AH49+AJ49+AL49+AN49)</f>
        <v>0</v>
      </c>
      <c r="E49" s="413"/>
      <c r="F49" s="2261"/>
      <c r="G49" s="413"/>
      <c r="H49" s="2261"/>
      <c r="I49" s="413"/>
      <c r="J49" s="2261"/>
      <c r="K49" s="413"/>
      <c r="L49" s="2261"/>
      <c r="M49" s="413"/>
      <c r="N49" s="2261"/>
      <c r="O49" s="413"/>
      <c r="P49" s="2261"/>
      <c r="Q49" s="413"/>
      <c r="R49" s="2261"/>
      <c r="S49" s="413"/>
      <c r="T49" s="2261"/>
      <c r="U49" s="413"/>
      <c r="V49" s="2261"/>
      <c r="W49" s="413"/>
      <c r="X49" s="2261"/>
      <c r="Y49" s="413"/>
      <c r="Z49" s="2261"/>
      <c r="AA49" s="413"/>
      <c r="AB49" s="2261"/>
      <c r="AC49" s="413"/>
      <c r="AD49" s="2261"/>
      <c r="AE49" s="413"/>
      <c r="AF49" s="2261"/>
      <c r="AG49" s="413"/>
      <c r="AH49" s="2261"/>
      <c r="AI49" s="413"/>
      <c r="AJ49" s="2261"/>
      <c r="AK49" s="413"/>
      <c r="AL49" s="2261"/>
      <c r="AM49" s="413"/>
      <c r="AN49" s="3543"/>
      <c r="AO49" s="4036"/>
      <c r="AP49" s="4037"/>
      <c r="AQ49" s="4035"/>
      <c r="AR49" s="4038"/>
      <c r="AS49" s="1470" t="str">
        <f t="shared" si="15"/>
        <v/>
      </c>
      <c r="CA49" s="1418" t="str">
        <f t="shared" si="31"/>
        <v/>
      </c>
      <c r="CB49" s="1418" t="str">
        <f t="shared" si="32"/>
        <v/>
      </c>
      <c r="CC49" s="1418" t="str">
        <f t="shared" si="33"/>
        <v/>
      </c>
      <c r="CF49" s="1421">
        <f t="shared" si="34"/>
        <v>0</v>
      </c>
      <c r="CG49" s="1421">
        <f t="shared" si="35"/>
        <v>0</v>
      </c>
      <c r="CH49" s="1421">
        <f t="shared" si="36"/>
        <v>0</v>
      </c>
    </row>
    <row r="50" spans="1:86" s="1470" customFormat="1" ht="15" customHeight="1">
      <c r="A50" s="4047" t="s">
        <v>2571</v>
      </c>
      <c r="B50" s="1737">
        <f t="shared" si="30"/>
        <v>0</v>
      </c>
      <c r="C50" s="3202">
        <f t="shared" si="37"/>
        <v>0</v>
      </c>
      <c r="D50" s="4027">
        <f t="shared" si="38"/>
        <v>0</v>
      </c>
      <c r="E50" s="4033"/>
      <c r="F50" s="4034"/>
      <c r="G50" s="4033"/>
      <c r="H50" s="4034"/>
      <c r="I50" s="4033"/>
      <c r="J50" s="4034"/>
      <c r="K50" s="4033"/>
      <c r="L50" s="4044"/>
      <c r="M50" s="4043"/>
      <c r="N50" s="4044"/>
      <c r="O50" s="4043"/>
      <c r="P50" s="4044"/>
      <c r="Q50" s="4043"/>
      <c r="R50" s="4044"/>
      <c r="S50" s="4043"/>
      <c r="T50" s="4044"/>
      <c r="U50" s="4043"/>
      <c r="V50" s="4044"/>
      <c r="W50" s="4043"/>
      <c r="X50" s="4044"/>
      <c r="Y50" s="4043"/>
      <c r="Z50" s="4044"/>
      <c r="AA50" s="4043"/>
      <c r="AB50" s="4044"/>
      <c r="AC50" s="4043"/>
      <c r="AD50" s="4044"/>
      <c r="AE50" s="4043"/>
      <c r="AF50" s="4044"/>
      <c r="AG50" s="4043"/>
      <c r="AH50" s="4044"/>
      <c r="AI50" s="4043"/>
      <c r="AJ50" s="4044"/>
      <c r="AK50" s="4043"/>
      <c r="AL50" s="4044"/>
      <c r="AM50" s="4043"/>
      <c r="AN50" s="4022"/>
      <c r="AO50" s="4036"/>
      <c r="AP50" s="4037"/>
      <c r="AQ50" s="4035"/>
      <c r="AR50" s="4038"/>
      <c r="AS50" s="1470" t="str">
        <f t="shared" si="15"/>
        <v/>
      </c>
      <c r="CA50" s="1418" t="str">
        <f t="shared" si="31"/>
        <v/>
      </c>
      <c r="CB50" s="1418" t="str">
        <f t="shared" si="32"/>
        <v/>
      </c>
      <c r="CC50" s="1418" t="str">
        <f t="shared" si="33"/>
        <v/>
      </c>
      <c r="CF50" s="1421">
        <f t="shared" si="34"/>
        <v>0</v>
      </c>
      <c r="CG50" s="1421">
        <f t="shared" si="35"/>
        <v>0</v>
      </c>
      <c r="CH50" s="1421">
        <f t="shared" si="36"/>
        <v>0</v>
      </c>
    </row>
    <row r="51" spans="1:86" s="1470" customFormat="1" ht="15" customHeight="1">
      <c r="A51" s="4048" t="s">
        <v>2572</v>
      </c>
      <c r="B51" s="3591">
        <f t="shared" si="30"/>
        <v>0</v>
      </c>
      <c r="C51" s="3574">
        <f t="shared" si="37"/>
        <v>0</v>
      </c>
      <c r="D51" s="4041">
        <f t="shared" si="38"/>
        <v>0</v>
      </c>
      <c r="E51" s="4033"/>
      <c r="F51" s="4034"/>
      <c r="G51" s="4033"/>
      <c r="H51" s="4034"/>
      <c r="I51" s="4033"/>
      <c r="J51" s="4034"/>
      <c r="K51" s="4033"/>
      <c r="L51" s="4034"/>
      <c r="M51" s="4033"/>
      <c r="N51" s="4034"/>
      <c r="O51" s="4033"/>
      <c r="P51" s="4034"/>
      <c r="Q51" s="4033"/>
      <c r="R51" s="4034"/>
      <c r="S51" s="4033"/>
      <c r="T51" s="4034"/>
      <c r="U51" s="4033"/>
      <c r="V51" s="4034"/>
      <c r="W51" s="4033"/>
      <c r="X51" s="4034"/>
      <c r="Y51" s="4033"/>
      <c r="Z51" s="4034"/>
      <c r="AA51" s="4033"/>
      <c r="AB51" s="4034"/>
      <c r="AC51" s="4033"/>
      <c r="AD51" s="4034"/>
      <c r="AE51" s="4033"/>
      <c r="AF51" s="4034"/>
      <c r="AG51" s="4033"/>
      <c r="AH51" s="4034"/>
      <c r="AI51" s="4033"/>
      <c r="AJ51" s="4034"/>
      <c r="AK51" s="4033"/>
      <c r="AL51" s="4034"/>
      <c r="AM51" s="4033"/>
      <c r="AN51" s="4035"/>
      <c r="AO51" s="4049"/>
      <c r="AP51" s="4050"/>
      <c r="AQ51" s="4051"/>
      <c r="AR51" s="4052"/>
      <c r="AS51" s="1470" t="str">
        <f t="shared" si="15"/>
        <v/>
      </c>
      <c r="CA51" s="1418" t="str">
        <f t="shared" si="31"/>
        <v/>
      </c>
      <c r="CB51" s="1418" t="str">
        <f t="shared" si="32"/>
        <v/>
      </c>
      <c r="CC51" s="1418" t="str">
        <f t="shared" si="33"/>
        <v/>
      </c>
      <c r="CF51" s="1421">
        <f t="shared" si="34"/>
        <v>0</v>
      </c>
      <c r="CG51" s="1421">
        <f t="shared" si="35"/>
        <v>0</v>
      </c>
      <c r="CH51" s="1421">
        <f t="shared" si="36"/>
        <v>0</v>
      </c>
    </row>
    <row r="52" spans="1:86" s="1470" customFormat="1" ht="15" customHeight="1">
      <c r="A52" s="4053" t="s">
        <v>2573</v>
      </c>
      <c r="B52" s="1737">
        <f t="shared" si="30"/>
        <v>0</v>
      </c>
      <c r="C52" s="3202">
        <f t="shared" si="37"/>
        <v>0</v>
      </c>
      <c r="D52" s="4027">
        <f t="shared" si="38"/>
        <v>0</v>
      </c>
      <c r="E52" s="4033"/>
      <c r="F52" s="4034"/>
      <c r="G52" s="4033"/>
      <c r="H52" s="4034"/>
      <c r="I52" s="4033"/>
      <c r="J52" s="4034"/>
      <c r="K52" s="4033"/>
      <c r="L52" s="4034"/>
      <c r="M52" s="4033"/>
      <c r="N52" s="4034"/>
      <c r="O52" s="4033"/>
      <c r="P52" s="4034"/>
      <c r="Q52" s="4033"/>
      <c r="R52" s="4034"/>
      <c r="S52" s="4033"/>
      <c r="T52" s="4034"/>
      <c r="U52" s="4033"/>
      <c r="V52" s="4034"/>
      <c r="W52" s="4033"/>
      <c r="X52" s="4034"/>
      <c r="Y52" s="4033"/>
      <c r="Z52" s="4034"/>
      <c r="AA52" s="4033"/>
      <c r="AB52" s="4034"/>
      <c r="AC52" s="4033"/>
      <c r="AD52" s="4034"/>
      <c r="AE52" s="4033"/>
      <c r="AF52" s="4034"/>
      <c r="AG52" s="4033"/>
      <c r="AH52" s="4034"/>
      <c r="AI52" s="4033"/>
      <c r="AJ52" s="4034"/>
      <c r="AK52" s="4033"/>
      <c r="AL52" s="4034"/>
      <c r="AM52" s="4033"/>
      <c r="AN52" s="4035"/>
      <c r="AO52" s="4049"/>
      <c r="AP52" s="4050"/>
      <c r="AQ52" s="4051"/>
      <c r="AR52" s="4052"/>
      <c r="AS52" s="1470" t="str">
        <f t="shared" si="15"/>
        <v/>
      </c>
      <c r="CA52" s="1418" t="str">
        <f t="shared" si="31"/>
        <v/>
      </c>
      <c r="CB52" s="1418" t="str">
        <f t="shared" si="32"/>
        <v/>
      </c>
      <c r="CC52" s="1418" t="str">
        <f t="shared" si="33"/>
        <v/>
      </c>
      <c r="CF52" s="1421">
        <f t="shared" si="34"/>
        <v>0</v>
      </c>
      <c r="CG52" s="1421">
        <f t="shared" si="35"/>
        <v>0</v>
      </c>
      <c r="CH52" s="1421">
        <f t="shared" si="36"/>
        <v>0</v>
      </c>
    </row>
    <row r="53" spans="1:86" s="1470" customFormat="1" ht="15" customHeight="1">
      <c r="A53" s="4054" t="s">
        <v>2574</v>
      </c>
      <c r="B53" s="1755">
        <f t="shared" si="30"/>
        <v>0</v>
      </c>
      <c r="C53" s="3649">
        <f t="shared" si="37"/>
        <v>0</v>
      </c>
      <c r="D53" s="4055">
        <f t="shared" si="38"/>
        <v>0</v>
      </c>
      <c r="E53" s="4056"/>
      <c r="F53" s="4057"/>
      <c r="G53" s="4056"/>
      <c r="H53" s="4057"/>
      <c r="I53" s="4056"/>
      <c r="J53" s="4057"/>
      <c r="K53" s="4056"/>
      <c r="L53" s="4057"/>
      <c r="M53" s="4056"/>
      <c r="N53" s="4057"/>
      <c r="O53" s="4056"/>
      <c r="P53" s="4057"/>
      <c r="Q53" s="4056"/>
      <c r="R53" s="4057"/>
      <c r="S53" s="4056"/>
      <c r="T53" s="4057"/>
      <c r="U53" s="4056"/>
      <c r="V53" s="4057"/>
      <c r="W53" s="4056"/>
      <c r="X53" s="4057"/>
      <c r="Y53" s="4056"/>
      <c r="Z53" s="4057"/>
      <c r="AA53" s="4056"/>
      <c r="AB53" s="4057"/>
      <c r="AC53" s="4056"/>
      <c r="AD53" s="4057"/>
      <c r="AE53" s="4056"/>
      <c r="AF53" s="4057"/>
      <c r="AG53" s="4056"/>
      <c r="AH53" s="4057"/>
      <c r="AI53" s="4056"/>
      <c r="AJ53" s="4057"/>
      <c r="AK53" s="4056"/>
      <c r="AL53" s="4057"/>
      <c r="AM53" s="4056"/>
      <c r="AN53" s="4058"/>
      <c r="AO53" s="4059"/>
      <c r="AP53" s="4060"/>
      <c r="AQ53" s="4058"/>
      <c r="AR53" s="4061"/>
      <c r="AS53" s="1470" t="str">
        <f t="shared" si="15"/>
        <v/>
      </c>
      <c r="CA53" s="1418" t="str">
        <f t="shared" si="31"/>
        <v/>
      </c>
      <c r="CB53" s="1418" t="str">
        <f t="shared" si="32"/>
        <v/>
      </c>
      <c r="CC53" s="1418" t="str">
        <f t="shared" si="33"/>
        <v/>
      </c>
      <c r="CF53" s="1421">
        <f t="shared" si="34"/>
        <v>0</v>
      </c>
      <c r="CG53" s="1421">
        <f t="shared" si="35"/>
        <v>0</v>
      </c>
      <c r="CH53" s="1421">
        <f t="shared" si="36"/>
        <v>0</v>
      </c>
    </row>
    <row r="54" spans="1:86" s="2832" customFormat="1" ht="18" customHeight="1">
      <c r="A54" s="1468" t="s">
        <v>2578</v>
      </c>
    </row>
    <row r="55" spans="1:86" s="1470" customFormat="1" ht="15" customHeight="1">
      <c r="A55" s="6154" t="s">
        <v>41</v>
      </c>
      <c r="B55" s="6152" t="s">
        <v>91</v>
      </c>
      <c r="C55" s="6153"/>
      <c r="D55" s="6153"/>
      <c r="E55" s="6875" t="s">
        <v>115</v>
      </c>
      <c r="F55" s="6219"/>
      <c r="G55" s="6219"/>
      <c r="H55" s="6219"/>
      <c r="I55" s="6219"/>
      <c r="J55" s="6219"/>
      <c r="K55" s="6219"/>
      <c r="L55" s="6219"/>
      <c r="M55" s="6219"/>
      <c r="N55" s="6219"/>
      <c r="O55" s="6219"/>
      <c r="P55" s="6219"/>
      <c r="Q55" s="6219"/>
      <c r="R55" s="6219"/>
      <c r="S55" s="6219"/>
      <c r="T55" s="6219"/>
      <c r="U55" s="6219"/>
      <c r="V55" s="6219"/>
      <c r="W55" s="6219"/>
      <c r="X55" s="6219"/>
      <c r="Y55" s="6219"/>
      <c r="Z55" s="6219"/>
      <c r="AA55" s="6219"/>
      <c r="AB55" s="6219"/>
      <c r="AC55" s="6219"/>
      <c r="AD55" s="6219"/>
      <c r="AE55" s="6219"/>
      <c r="AF55" s="6219"/>
      <c r="AG55" s="6219"/>
      <c r="AH55" s="6219"/>
      <c r="AI55" s="6219"/>
      <c r="AJ55" s="6219"/>
      <c r="AK55" s="6219"/>
      <c r="AL55" s="6219"/>
      <c r="AM55" s="6219"/>
      <c r="AN55" s="6220"/>
      <c r="AO55" s="5712" t="s">
        <v>625</v>
      </c>
    </row>
    <row r="56" spans="1:86" s="1470" customFormat="1" ht="15" customHeight="1">
      <c r="A56" s="6448"/>
      <c r="B56" s="6447"/>
      <c r="C56" s="6578"/>
      <c r="D56" s="6448"/>
      <c r="E56" s="6140" t="s">
        <v>2548</v>
      </c>
      <c r="F56" s="6154"/>
      <c r="G56" s="6153" t="s">
        <v>2549</v>
      </c>
      <c r="H56" s="6153"/>
      <c r="I56" s="6152" t="s">
        <v>2550</v>
      </c>
      <c r="J56" s="6154"/>
      <c r="K56" s="6153" t="s">
        <v>108</v>
      </c>
      <c r="L56" s="6153"/>
      <c r="M56" s="6152" t="s">
        <v>58</v>
      </c>
      <c r="N56" s="6154"/>
      <c r="O56" s="6152" t="s">
        <v>59</v>
      </c>
      <c r="P56" s="6154"/>
      <c r="Q56" s="6152" t="s">
        <v>60</v>
      </c>
      <c r="R56" s="6154"/>
      <c r="S56" s="6152" t="s">
        <v>61</v>
      </c>
      <c r="T56" s="6154"/>
      <c r="U56" s="6153" t="s">
        <v>62</v>
      </c>
      <c r="V56" s="6154"/>
      <c r="W56" s="6152" t="s">
        <v>63</v>
      </c>
      <c r="X56" s="6154"/>
      <c r="Y56" s="6153" t="s">
        <v>64</v>
      </c>
      <c r="Z56" s="6153"/>
      <c r="AA56" s="6152" t="s">
        <v>65</v>
      </c>
      <c r="AB56" s="6154"/>
      <c r="AC56" s="6153" t="s">
        <v>66</v>
      </c>
      <c r="AD56" s="6153"/>
      <c r="AE56" s="6152" t="s">
        <v>67</v>
      </c>
      <c r="AF56" s="6154"/>
      <c r="AG56" s="6153" t="s">
        <v>68</v>
      </c>
      <c r="AH56" s="6153"/>
      <c r="AI56" s="6152" t="s">
        <v>69</v>
      </c>
      <c r="AJ56" s="6154"/>
      <c r="AK56" s="6153" t="s">
        <v>70</v>
      </c>
      <c r="AL56" s="6153"/>
      <c r="AM56" s="6152" t="s">
        <v>71</v>
      </c>
      <c r="AN56" s="6388"/>
      <c r="AO56" s="5712"/>
    </row>
    <row r="57" spans="1:86" s="1470" customFormat="1" ht="15" customHeight="1">
      <c r="A57" s="6157"/>
      <c r="B57" s="396" t="s">
        <v>93</v>
      </c>
      <c r="C57" s="397" t="s">
        <v>72</v>
      </c>
      <c r="D57" s="390" t="s">
        <v>73</v>
      </c>
      <c r="E57" s="396" t="s">
        <v>72</v>
      </c>
      <c r="F57" s="390" t="s">
        <v>73</v>
      </c>
      <c r="G57" s="397" t="s">
        <v>72</v>
      </c>
      <c r="H57" s="389" t="s">
        <v>73</v>
      </c>
      <c r="I57" s="396" t="s">
        <v>72</v>
      </c>
      <c r="J57" s="390" t="s">
        <v>73</v>
      </c>
      <c r="K57" s="397" t="s">
        <v>72</v>
      </c>
      <c r="L57" s="389" t="s">
        <v>73</v>
      </c>
      <c r="M57" s="396" t="s">
        <v>72</v>
      </c>
      <c r="N57" s="390" t="s">
        <v>73</v>
      </c>
      <c r="O57" s="396" t="s">
        <v>72</v>
      </c>
      <c r="P57" s="390" t="s">
        <v>73</v>
      </c>
      <c r="Q57" s="1666" t="s">
        <v>72</v>
      </c>
      <c r="R57" s="1962" t="s">
        <v>73</v>
      </c>
      <c r="S57" s="1666" t="s">
        <v>72</v>
      </c>
      <c r="T57" s="1962" t="s">
        <v>73</v>
      </c>
      <c r="U57" s="4062" t="s">
        <v>72</v>
      </c>
      <c r="V57" s="1962" t="s">
        <v>73</v>
      </c>
      <c r="W57" s="396" t="s">
        <v>72</v>
      </c>
      <c r="X57" s="390" t="s">
        <v>73</v>
      </c>
      <c r="Y57" s="397" t="s">
        <v>72</v>
      </c>
      <c r="Z57" s="389" t="s">
        <v>73</v>
      </c>
      <c r="AA57" s="396" t="s">
        <v>72</v>
      </c>
      <c r="AB57" s="390" t="s">
        <v>73</v>
      </c>
      <c r="AC57" s="397" t="s">
        <v>72</v>
      </c>
      <c r="AD57" s="389" t="s">
        <v>73</v>
      </c>
      <c r="AE57" s="396" t="s">
        <v>72</v>
      </c>
      <c r="AF57" s="390" t="s">
        <v>73</v>
      </c>
      <c r="AG57" s="397" t="s">
        <v>72</v>
      </c>
      <c r="AH57" s="389" t="s">
        <v>73</v>
      </c>
      <c r="AI57" s="396" t="s">
        <v>72</v>
      </c>
      <c r="AJ57" s="390" t="s">
        <v>73</v>
      </c>
      <c r="AK57" s="397" t="s">
        <v>72</v>
      </c>
      <c r="AL57" s="389" t="s">
        <v>73</v>
      </c>
      <c r="AM57" s="396" t="s">
        <v>72</v>
      </c>
      <c r="AN57" s="1392" t="s">
        <v>73</v>
      </c>
      <c r="AO57" s="5712"/>
    </row>
    <row r="58" spans="1:86" s="1470" customFormat="1" ht="15" customHeight="1">
      <c r="A58" s="406" t="s">
        <v>78</v>
      </c>
      <c r="B58" s="1743">
        <f t="shared" si="30"/>
        <v>0</v>
      </c>
      <c r="C58" s="2310">
        <f t="shared" si="37"/>
        <v>0</v>
      </c>
      <c r="D58" s="1745">
        <f t="shared" si="38"/>
        <v>0</v>
      </c>
      <c r="E58" s="1475"/>
      <c r="F58" s="1539"/>
      <c r="G58" s="1585"/>
      <c r="H58" s="4063"/>
      <c r="I58" s="1475"/>
      <c r="J58" s="1786"/>
      <c r="K58" s="1585"/>
      <c r="L58" s="4063"/>
      <c r="M58" s="1475"/>
      <c r="N58" s="1786"/>
      <c r="O58" s="1475"/>
      <c r="P58" s="1786"/>
      <c r="Q58" s="1475"/>
      <c r="R58" s="1786"/>
      <c r="S58" s="1475"/>
      <c r="T58" s="1786"/>
      <c r="U58" s="1585"/>
      <c r="V58" s="4063"/>
      <c r="W58" s="1475"/>
      <c r="X58" s="1786"/>
      <c r="Y58" s="1585"/>
      <c r="Z58" s="4063"/>
      <c r="AA58" s="1475"/>
      <c r="AB58" s="1786"/>
      <c r="AC58" s="1585"/>
      <c r="AD58" s="4063"/>
      <c r="AE58" s="1475"/>
      <c r="AF58" s="1786"/>
      <c r="AG58" s="1585"/>
      <c r="AH58" s="4063"/>
      <c r="AI58" s="1475"/>
      <c r="AJ58" s="1786"/>
      <c r="AK58" s="1585"/>
      <c r="AL58" s="4063"/>
      <c r="AM58" s="1475"/>
      <c r="AN58" s="1476"/>
      <c r="AO58" s="1539"/>
      <c r="AP58" s="1470" t="str">
        <f>CA58</f>
        <v/>
      </c>
      <c r="CA58" s="1418" t="str">
        <f>IF(AND(AO58="",B58&gt;0)," * No olvide digitar la variable Beneficiarios. Digite cero si no tiene.",IF(AO58&gt;B58," * La variable Beneficiario No puede ser mayor al Total Ambos Sexos",""))</f>
        <v/>
      </c>
      <c r="CF58" s="1421">
        <f>IF(AND(AO58="",B58&gt;0),1,IF(AO58&gt;B58,1,0))</f>
        <v>0</v>
      </c>
    </row>
    <row r="59" spans="1:86" s="2832" customFormat="1" ht="18" customHeight="1">
      <c r="A59" s="1468" t="s">
        <v>2579</v>
      </c>
    </row>
    <row r="60" spans="1:86" s="1470" customFormat="1" ht="15" customHeight="1">
      <c r="A60" s="6154" t="s">
        <v>41</v>
      </c>
      <c r="B60" s="6152" t="s">
        <v>91</v>
      </c>
      <c r="C60" s="6153"/>
      <c r="D60" s="6154"/>
      <c r="E60" s="6875" t="s">
        <v>115</v>
      </c>
      <c r="F60" s="6219"/>
      <c r="G60" s="6219"/>
      <c r="H60" s="6219"/>
      <c r="I60" s="6219"/>
      <c r="J60" s="6219"/>
      <c r="K60" s="6219"/>
      <c r="L60" s="6219"/>
      <c r="M60" s="6219"/>
      <c r="N60" s="6219"/>
      <c r="O60" s="6219"/>
      <c r="P60" s="6219"/>
      <c r="Q60" s="6219"/>
      <c r="R60" s="6219"/>
      <c r="S60" s="6219"/>
      <c r="T60" s="6219"/>
      <c r="U60" s="6219"/>
      <c r="V60" s="6219"/>
      <c r="W60" s="6219"/>
      <c r="X60" s="6219"/>
      <c r="Y60" s="6219"/>
      <c r="Z60" s="6219"/>
      <c r="AA60" s="6219"/>
      <c r="AB60" s="6219"/>
      <c r="AC60" s="6219"/>
      <c r="AD60" s="6219"/>
      <c r="AE60" s="6219"/>
      <c r="AF60" s="6219"/>
      <c r="AG60" s="6219"/>
      <c r="AH60" s="6219"/>
      <c r="AI60" s="6219"/>
      <c r="AJ60" s="6219"/>
      <c r="AK60" s="6219"/>
      <c r="AL60" s="6219"/>
      <c r="AM60" s="6219"/>
      <c r="AN60" s="6220"/>
      <c r="AO60" s="6119" t="s">
        <v>625</v>
      </c>
    </row>
    <row r="61" spans="1:86" s="1470" customFormat="1" ht="15" customHeight="1">
      <c r="A61" s="6448"/>
      <c r="B61" s="6447"/>
      <c r="C61" s="6578"/>
      <c r="D61" s="6448"/>
      <c r="E61" s="6140" t="s">
        <v>2548</v>
      </c>
      <c r="F61" s="6154"/>
      <c r="G61" s="5708" t="s">
        <v>2549</v>
      </c>
      <c r="H61" s="5708"/>
      <c r="I61" s="5707" t="s">
        <v>2550</v>
      </c>
      <c r="J61" s="5709"/>
      <c r="K61" s="5708" t="s">
        <v>108</v>
      </c>
      <c r="L61" s="5708"/>
      <c r="M61" s="5707" t="s">
        <v>58</v>
      </c>
      <c r="N61" s="5709"/>
      <c r="O61" s="6106" t="s">
        <v>59</v>
      </c>
      <c r="P61" s="5708"/>
      <c r="Q61" s="6152" t="s">
        <v>60</v>
      </c>
      <c r="R61" s="6154"/>
      <c r="S61" s="6152" t="s">
        <v>61</v>
      </c>
      <c r="T61" s="6154"/>
      <c r="U61" s="6153" t="s">
        <v>62</v>
      </c>
      <c r="V61" s="6154"/>
      <c r="W61" s="5708" t="s">
        <v>63</v>
      </c>
      <c r="X61" s="5708"/>
      <c r="Y61" s="5707" t="s">
        <v>64</v>
      </c>
      <c r="Z61" s="5709"/>
      <c r="AA61" s="5708" t="s">
        <v>65</v>
      </c>
      <c r="AB61" s="5708"/>
      <c r="AC61" s="5707" t="s">
        <v>66</v>
      </c>
      <c r="AD61" s="5709"/>
      <c r="AE61" s="5708" t="s">
        <v>67</v>
      </c>
      <c r="AF61" s="5708"/>
      <c r="AG61" s="5707" t="s">
        <v>68</v>
      </c>
      <c r="AH61" s="5709"/>
      <c r="AI61" s="5708" t="s">
        <v>69</v>
      </c>
      <c r="AJ61" s="5708"/>
      <c r="AK61" s="5707" t="s">
        <v>70</v>
      </c>
      <c r="AL61" s="5709"/>
      <c r="AM61" s="5707" t="s">
        <v>71</v>
      </c>
      <c r="AN61" s="6147"/>
      <c r="AO61" s="6120"/>
    </row>
    <row r="62" spans="1:86" s="1470" customFormat="1" ht="15" customHeight="1">
      <c r="A62" s="6157"/>
      <c r="B62" s="396" t="s">
        <v>93</v>
      </c>
      <c r="C62" s="397" t="s">
        <v>72</v>
      </c>
      <c r="D62" s="390" t="s">
        <v>73</v>
      </c>
      <c r="E62" s="1666" t="s">
        <v>72</v>
      </c>
      <c r="F62" s="1962" t="s">
        <v>73</v>
      </c>
      <c r="G62" s="4062" t="s">
        <v>72</v>
      </c>
      <c r="H62" s="1961" t="s">
        <v>73</v>
      </c>
      <c r="I62" s="1666" t="s">
        <v>72</v>
      </c>
      <c r="J62" s="1962" t="s">
        <v>73</v>
      </c>
      <c r="K62" s="4062" t="s">
        <v>72</v>
      </c>
      <c r="L62" s="1961" t="s">
        <v>73</v>
      </c>
      <c r="M62" s="1666" t="s">
        <v>72</v>
      </c>
      <c r="N62" s="1962" t="s">
        <v>73</v>
      </c>
      <c r="O62" s="4062" t="s">
        <v>72</v>
      </c>
      <c r="P62" s="1961" t="s">
        <v>73</v>
      </c>
      <c r="Q62" s="1666" t="s">
        <v>72</v>
      </c>
      <c r="R62" s="1962" t="s">
        <v>73</v>
      </c>
      <c r="S62" s="1666" t="s">
        <v>72</v>
      </c>
      <c r="T62" s="1962" t="s">
        <v>73</v>
      </c>
      <c r="U62" s="4062" t="s">
        <v>72</v>
      </c>
      <c r="V62" s="1962" t="s">
        <v>73</v>
      </c>
      <c r="W62" s="4062" t="s">
        <v>72</v>
      </c>
      <c r="X62" s="1961" t="s">
        <v>73</v>
      </c>
      <c r="Y62" s="1666" t="s">
        <v>72</v>
      </c>
      <c r="Z62" s="1962" t="s">
        <v>73</v>
      </c>
      <c r="AA62" s="4062" t="s">
        <v>72</v>
      </c>
      <c r="AB62" s="1961" t="s">
        <v>73</v>
      </c>
      <c r="AC62" s="1666" t="s">
        <v>72</v>
      </c>
      <c r="AD62" s="1962" t="s">
        <v>73</v>
      </c>
      <c r="AE62" s="4062" t="s">
        <v>72</v>
      </c>
      <c r="AF62" s="1961" t="s">
        <v>73</v>
      </c>
      <c r="AG62" s="1666" t="s">
        <v>72</v>
      </c>
      <c r="AH62" s="1962" t="s">
        <v>73</v>
      </c>
      <c r="AI62" s="4062" t="s">
        <v>72</v>
      </c>
      <c r="AJ62" s="1961" t="s">
        <v>73</v>
      </c>
      <c r="AK62" s="1666" t="s">
        <v>72</v>
      </c>
      <c r="AL62" s="1962" t="s">
        <v>73</v>
      </c>
      <c r="AM62" s="1666" t="s">
        <v>72</v>
      </c>
      <c r="AN62" s="2316" t="s">
        <v>73</v>
      </c>
      <c r="AO62" s="6116"/>
    </row>
    <row r="63" spans="1:86" s="1470" customFormat="1" ht="15" customHeight="1">
      <c r="A63" s="1403" t="s">
        <v>78</v>
      </c>
      <c r="B63" s="2393">
        <f t="shared" si="30"/>
        <v>0</v>
      </c>
      <c r="C63" s="3453">
        <f t="shared" si="37"/>
        <v>0</v>
      </c>
      <c r="D63" s="1736">
        <f t="shared" si="38"/>
        <v>0</v>
      </c>
      <c r="E63" s="1424"/>
      <c r="F63" s="1436"/>
      <c r="G63" s="1425"/>
      <c r="H63" s="1427"/>
      <c r="I63" s="1424"/>
      <c r="J63" s="1676"/>
      <c r="K63" s="1425"/>
      <c r="L63" s="1427"/>
      <c r="M63" s="1424"/>
      <c r="N63" s="1676"/>
      <c r="O63" s="1425"/>
      <c r="P63" s="1427"/>
      <c r="Q63" s="1424"/>
      <c r="R63" s="1676"/>
      <c r="S63" s="1424"/>
      <c r="T63" s="1676"/>
      <c r="U63" s="1424"/>
      <c r="V63" s="1676"/>
      <c r="W63" s="1425"/>
      <c r="X63" s="1427"/>
      <c r="Y63" s="1424"/>
      <c r="Z63" s="1676"/>
      <c r="AA63" s="1425"/>
      <c r="AB63" s="1427"/>
      <c r="AC63" s="1424"/>
      <c r="AD63" s="1676"/>
      <c r="AE63" s="1425"/>
      <c r="AF63" s="1427"/>
      <c r="AG63" s="1424"/>
      <c r="AH63" s="1676"/>
      <c r="AI63" s="1425"/>
      <c r="AJ63" s="1427"/>
      <c r="AK63" s="1424"/>
      <c r="AL63" s="1676"/>
      <c r="AM63" s="1653"/>
      <c r="AN63" s="1428"/>
      <c r="AO63" s="1417"/>
      <c r="AP63" s="1470" t="str">
        <f t="shared" ref="AP63:AP65" si="39">CA63</f>
        <v/>
      </c>
      <c r="CA63" s="1418" t="str">
        <f>IF(AND(AO63="",B63&gt;0)," * No olvide digitar la variable Beneficiarios. Digite cero si no tiene.",IF(AO63&gt;B63," *La variable Beneficiario No puede ser mayor al Total Ambos Sexos",""))</f>
        <v/>
      </c>
      <c r="CF63" s="1421">
        <f t="shared" ref="CF63:CF72" si="40">IF(AND(AO63="",B63&gt;0),1,IF(AO63&gt;B63,1,0))</f>
        <v>0</v>
      </c>
    </row>
    <row r="64" spans="1:86" s="1470" customFormat="1" ht="15" customHeight="1">
      <c r="A64" s="1947" t="s">
        <v>112</v>
      </c>
      <c r="B64" s="1737">
        <f t="shared" si="30"/>
        <v>0</v>
      </c>
      <c r="C64" s="3202">
        <f t="shared" si="37"/>
        <v>0</v>
      </c>
      <c r="D64" s="1739">
        <f t="shared" si="38"/>
        <v>0</v>
      </c>
      <c r="E64" s="1440"/>
      <c r="F64" s="1452"/>
      <c r="G64" s="1441"/>
      <c r="H64" s="1443"/>
      <c r="I64" s="1440"/>
      <c r="J64" s="1680"/>
      <c r="K64" s="1441"/>
      <c r="L64" s="1443"/>
      <c r="M64" s="1440"/>
      <c r="N64" s="1680"/>
      <c r="O64" s="1441"/>
      <c r="P64" s="1443"/>
      <c r="Q64" s="1440"/>
      <c r="R64" s="1680"/>
      <c r="S64" s="1440"/>
      <c r="T64" s="1680"/>
      <c r="U64" s="1440"/>
      <c r="V64" s="1680"/>
      <c r="W64" s="1441"/>
      <c r="X64" s="1443"/>
      <c r="Y64" s="1440"/>
      <c r="Z64" s="1680"/>
      <c r="AA64" s="1441"/>
      <c r="AB64" s="1443"/>
      <c r="AC64" s="1440"/>
      <c r="AD64" s="1680"/>
      <c r="AE64" s="1441"/>
      <c r="AF64" s="1443"/>
      <c r="AG64" s="1440"/>
      <c r="AH64" s="1680"/>
      <c r="AI64" s="1441"/>
      <c r="AJ64" s="1443"/>
      <c r="AK64" s="1440"/>
      <c r="AL64" s="1680"/>
      <c r="AM64" s="1657"/>
      <c r="AN64" s="1444"/>
      <c r="AO64" s="1452"/>
      <c r="AP64" s="1470" t="str">
        <f t="shared" si="39"/>
        <v/>
      </c>
      <c r="CA64" s="1418" t="str">
        <f t="shared" ref="CA64:CA65" si="41">IF(AND(AO64="",B64&gt;0)," * No olvide digitar la variable Beneficiarios. Digite cero si no tiene.",IF(AO64&gt;B64," * La variable Beneficiario No puede ser mayor al Total Ambos Sexos",""))</f>
        <v/>
      </c>
      <c r="CF64" s="1421">
        <f t="shared" si="40"/>
        <v>0</v>
      </c>
    </row>
    <row r="65" spans="1:85" s="1470" customFormat="1" ht="15" customHeight="1">
      <c r="A65" s="1516" t="s">
        <v>1471</v>
      </c>
      <c r="B65" s="1773">
        <f t="shared" si="30"/>
        <v>0</v>
      </c>
      <c r="C65" s="3471">
        <f t="shared" si="37"/>
        <v>0</v>
      </c>
      <c r="D65" s="1775">
        <f t="shared" si="38"/>
        <v>0</v>
      </c>
      <c r="E65" s="1485"/>
      <c r="F65" s="1692"/>
      <c r="G65" s="1826"/>
      <c r="H65" s="2352"/>
      <c r="I65" s="1485"/>
      <c r="J65" s="1824"/>
      <c r="K65" s="1826"/>
      <c r="L65" s="2352"/>
      <c r="M65" s="1485"/>
      <c r="N65" s="1824"/>
      <c r="O65" s="1826"/>
      <c r="P65" s="2352"/>
      <c r="Q65" s="1485"/>
      <c r="R65" s="1824"/>
      <c r="S65" s="1485"/>
      <c r="T65" s="1824"/>
      <c r="U65" s="1485"/>
      <c r="V65" s="1824"/>
      <c r="W65" s="1826"/>
      <c r="X65" s="2352"/>
      <c r="Y65" s="1485"/>
      <c r="Z65" s="1824"/>
      <c r="AA65" s="1826"/>
      <c r="AB65" s="2352"/>
      <c r="AC65" s="1485"/>
      <c r="AD65" s="1824"/>
      <c r="AE65" s="1826"/>
      <c r="AF65" s="2352"/>
      <c r="AG65" s="1485"/>
      <c r="AH65" s="1824"/>
      <c r="AI65" s="1826"/>
      <c r="AJ65" s="2352"/>
      <c r="AK65" s="1485"/>
      <c r="AL65" s="1824"/>
      <c r="AM65" s="2121"/>
      <c r="AN65" s="1486"/>
      <c r="AO65" s="1523"/>
      <c r="AP65" s="1470" t="str">
        <f t="shared" si="39"/>
        <v/>
      </c>
      <c r="CA65" s="1418" t="str">
        <f t="shared" si="41"/>
        <v/>
      </c>
      <c r="CF65" s="1421">
        <f t="shared" si="40"/>
        <v>0</v>
      </c>
    </row>
    <row r="66" spans="1:85" s="1470" customFormat="1" ht="15" customHeight="1">
      <c r="A66" s="1715" t="s">
        <v>91</v>
      </c>
      <c r="B66" s="1743">
        <f t="shared" ref="B66:K66" si="42">SUM(B63:B65)</f>
        <v>0</v>
      </c>
      <c r="C66" s="2310">
        <f t="shared" si="42"/>
        <v>0</v>
      </c>
      <c r="D66" s="1745">
        <f t="shared" si="42"/>
        <v>0</v>
      </c>
      <c r="E66" s="401">
        <f t="shared" si="42"/>
        <v>0</v>
      </c>
      <c r="F66" s="392">
        <f t="shared" si="42"/>
        <v>0</v>
      </c>
      <c r="G66" s="402">
        <f t="shared" si="42"/>
        <v>0</v>
      </c>
      <c r="H66" s="4064">
        <f t="shared" si="42"/>
        <v>0</v>
      </c>
      <c r="I66" s="401">
        <f t="shared" si="42"/>
        <v>0</v>
      </c>
      <c r="J66" s="403">
        <f t="shared" si="42"/>
        <v>0</v>
      </c>
      <c r="K66" s="402">
        <f t="shared" si="42"/>
        <v>0</v>
      </c>
      <c r="L66" s="4064">
        <f t="shared" ref="L66:AO66" si="43">SUM(L63:L65)</f>
        <v>0</v>
      </c>
      <c r="M66" s="401">
        <f t="shared" si="43"/>
        <v>0</v>
      </c>
      <c r="N66" s="403">
        <f t="shared" si="43"/>
        <v>0</v>
      </c>
      <c r="O66" s="402">
        <f t="shared" si="43"/>
        <v>0</v>
      </c>
      <c r="P66" s="4064">
        <f t="shared" si="43"/>
        <v>0</v>
      </c>
      <c r="Q66" s="401">
        <f t="shared" si="43"/>
        <v>0</v>
      </c>
      <c r="R66" s="403">
        <f t="shared" si="43"/>
        <v>0</v>
      </c>
      <c r="S66" s="401">
        <f t="shared" ref="S66:T66" si="44">SUM(S63:S65)</f>
        <v>0</v>
      </c>
      <c r="T66" s="403">
        <f t="shared" si="44"/>
        <v>0</v>
      </c>
      <c r="U66" s="401">
        <f t="shared" ref="U66:V66" si="45">SUM(U63:U65)</f>
        <v>0</v>
      </c>
      <c r="V66" s="403">
        <f t="shared" si="45"/>
        <v>0</v>
      </c>
      <c r="W66" s="402">
        <f t="shared" si="43"/>
        <v>0</v>
      </c>
      <c r="X66" s="4064">
        <f t="shared" si="43"/>
        <v>0</v>
      </c>
      <c r="Y66" s="401">
        <f t="shared" si="43"/>
        <v>0</v>
      </c>
      <c r="Z66" s="403">
        <f t="shared" si="43"/>
        <v>0</v>
      </c>
      <c r="AA66" s="402">
        <f t="shared" si="43"/>
        <v>0</v>
      </c>
      <c r="AB66" s="4064">
        <f t="shared" si="43"/>
        <v>0</v>
      </c>
      <c r="AC66" s="401">
        <f t="shared" si="43"/>
        <v>0</v>
      </c>
      <c r="AD66" s="403">
        <f t="shared" si="43"/>
        <v>0</v>
      </c>
      <c r="AE66" s="402">
        <f t="shared" si="43"/>
        <v>0</v>
      </c>
      <c r="AF66" s="4064">
        <f t="shared" si="43"/>
        <v>0</v>
      </c>
      <c r="AG66" s="401">
        <f t="shared" si="43"/>
        <v>0</v>
      </c>
      <c r="AH66" s="403">
        <f t="shared" si="43"/>
        <v>0</v>
      </c>
      <c r="AI66" s="402">
        <f t="shared" si="43"/>
        <v>0</v>
      </c>
      <c r="AJ66" s="4064">
        <f t="shared" si="43"/>
        <v>0</v>
      </c>
      <c r="AK66" s="401">
        <f t="shared" si="43"/>
        <v>0</v>
      </c>
      <c r="AL66" s="403">
        <f t="shared" si="43"/>
        <v>0</v>
      </c>
      <c r="AM66" s="1555">
        <f t="shared" si="43"/>
        <v>0</v>
      </c>
      <c r="AN66" s="440">
        <f t="shared" si="43"/>
        <v>0</v>
      </c>
      <c r="AO66" s="392">
        <f t="shared" si="43"/>
        <v>0</v>
      </c>
    </row>
    <row r="67" spans="1:85" s="2832" customFormat="1" ht="18" customHeight="1">
      <c r="A67" s="1468" t="s">
        <v>2580</v>
      </c>
    </row>
    <row r="68" spans="1:85" s="1470" customFormat="1" ht="15" customHeight="1">
      <c r="A68" s="6154" t="s">
        <v>41</v>
      </c>
      <c r="B68" s="6152" t="s">
        <v>91</v>
      </c>
      <c r="C68" s="6153"/>
      <c r="D68" s="6154"/>
      <c r="E68" s="5707" t="s">
        <v>115</v>
      </c>
      <c r="F68" s="5708"/>
      <c r="G68" s="5708"/>
      <c r="H68" s="5708"/>
      <c r="I68" s="5708"/>
      <c r="J68" s="5708"/>
      <c r="K68" s="5708"/>
      <c r="L68" s="5708"/>
      <c r="M68" s="5708"/>
      <c r="N68" s="5708"/>
      <c r="O68" s="5708"/>
      <c r="P68" s="5708"/>
      <c r="Q68" s="5708"/>
      <c r="R68" s="5708"/>
      <c r="S68" s="5708"/>
      <c r="T68" s="5708"/>
      <c r="U68" s="5708"/>
      <c r="V68" s="5708"/>
      <c r="W68" s="5708"/>
      <c r="X68" s="5708"/>
      <c r="Y68" s="5708"/>
      <c r="Z68" s="5708"/>
      <c r="AA68" s="5708"/>
      <c r="AB68" s="5708"/>
      <c r="AC68" s="5708"/>
      <c r="AD68" s="5708"/>
      <c r="AE68" s="5708"/>
      <c r="AF68" s="5708"/>
      <c r="AG68" s="5708"/>
      <c r="AH68" s="5708"/>
      <c r="AI68" s="5708"/>
      <c r="AJ68" s="5708"/>
      <c r="AK68" s="5708"/>
      <c r="AL68" s="5708"/>
      <c r="AM68" s="5708"/>
      <c r="AN68" s="6147"/>
      <c r="AO68" s="6762" t="s">
        <v>625</v>
      </c>
      <c r="AP68" s="5718" t="s">
        <v>494</v>
      </c>
    </row>
    <row r="69" spans="1:85" s="1470" customFormat="1" ht="15" customHeight="1">
      <c r="A69" s="6448"/>
      <c r="B69" s="6155"/>
      <c r="C69" s="6156"/>
      <c r="D69" s="6157"/>
      <c r="E69" s="6140" t="s">
        <v>2548</v>
      </c>
      <c r="F69" s="6154"/>
      <c r="G69" s="5707" t="s">
        <v>2549</v>
      </c>
      <c r="H69" s="5709"/>
      <c r="I69" s="5707" t="s">
        <v>2550</v>
      </c>
      <c r="J69" s="5709"/>
      <c r="K69" s="5710" t="s">
        <v>108</v>
      </c>
      <c r="L69" s="5709"/>
      <c r="M69" s="5707" t="s">
        <v>58</v>
      </c>
      <c r="N69" s="5709"/>
      <c r="O69" s="5707" t="s">
        <v>59</v>
      </c>
      <c r="P69" s="5709"/>
      <c r="Q69" s="6152" t="s">
        <v>60</v>
      </c>
      <c r="R69" s="6154"/>
      <c r="S69" s="6152" t="s">
        <v>61</v>
      </c>
      <c r="T69" s="6154"/>
      <c r="U69" s="6153" t="s">
        <v>62</v>
      </c>
      <c r="V69" s="6154"/>
      <c r="W69" s="5707" t="s">
        <v>63</v>
      </c>
      <c r="X69" s="5709"/>
      <c r="Y69" s="5707" t="s">
        <v>64</v>
      </c>
      <c r="Z69" s="5709"/>
      <c r="AA69" s="5707" t="s">
        <v>65</v>
      </c>
      <c r="AB69" s="5709"/>
      <c r="AC69" s="5707" t="s">
        <v>66</v>
      </c>
      <c r="AD69" s="5709"/>
      <c r="AE69" s="5707" t="s">
        <v>67</v>
      </c>
      <c r="AF69" s="5709"/>
      <c r="AG69" s="5707" t="s">
        <v>68</v>
      </c>
      <c r="AH69" s="5709"/>
      <c r="AI69" s="5707" t="s">
        <v>69</v>
      </c>
      <c r="AJ69" s="5709"/>
      <c r="AK69" s="5707" t="s">
        <v>70</v>
      </c>
      <c r="AL69" s="5709"/>
      <c r="AM69" s="5707" t="s">
        <v>71</v>
      </c>
      <c r="AN69" s="6147"/>
      <c r="AO69" s="6763"/>
      <c r="AP69" s="6110"/>
    </row>
    <row r="70" spans="1:85" s="1470" customFormat="1" ht="15" customHeight="1">
      <c r="A70" s="6157"/>
      <c r="B70" s="396" t="s">
        <v>93</v>
      </c>
      <c r="C70" s="397" t="s">
        <v>72</v>
      </c>
      <c r="D70" s="390" t="s">
        <v>73</v>
      </c>
      <c r="E70" s="1395" t="s">
        <v>72</v>
      </c>
      <c r="F70" s="393" t="s">
        <v>73</v>
      </c>
      <c r="G70" s="1396" t="s">
        <v>72</v>
      </c>
      <c r="H70" s="1495" t="s">
        <v>73</v>
      </c>
      <c r="I70" s="1395" t="s">
        <v>72</v>
      </c>
      <c r="J70" s="393" t="s">
        <v>73</v>
      </c>
      <c r="K70" s="1395" t="s">
        <v>72</v>
      </c>
      <c r="L70" s="393" t="s">
        <v>73</v>
      </c>
      <c r="M70" s="1396" t="s">
        <v>72</v>
      </c>
      <c r="N70" s="1495" t="s">
        <v>73</v>
      </c>
      <c r="O70" s="1395" t="s">
        <v>72</v>
      </c>
      <c r="P70" s="393" t="s">
        <v>73</v>
      </c>
      <c r="Q70" s="396" t="s">
        <v>72</v>
      </c>
      <c r="R70" s="390" t="s">
        <v>73</v>
      </c>
      <c r="S70" s="396" t="s">
        <v>72</v>
      </c>
      <c r="T70" s="390" t="s">
        <v>73</v>
      </c>
      <c r="U70" s="397" t="s">
        <v>72</v>
      </c>
      <c r="V70" s="390" t="s">
        <v>73</v>
      </c>
      <c r="W70" s="1395" t="s">
        <v>72</v>
      </c>
      <c r="X70" s="393" t="s">
        <v>73</v>
      </c>
      <c r="Y70" s="1396" t="s">
        <v>72</v>
      </c>
      <c r="Z70" s="1495" t="s">
        <v>73</v>
      </c>
      <c r="AA70" s="1395" t="s">
        <v>72</v>
      </c>
      <c r="AB70" s="393" t="s">
        <v>73</v>
      </c>
      <c r="AC70" s="1396" t="s">
        <v>72</v>
      </c>
      <c r="AD70" s="1495" t="s">
        <v>73</v>
      </c>
      <c r="AE70" s="1395" t="s">
        <v>72</v>
      </c>
      <c r="AF70" s="393" t="s">
        <v>73</v>
      </c>
      <c r="AG70" s="1396" t="s">
        <v>72</v>
      </c>
      <c r="AH70" s="1495" t="s">
        <v>73</v>
      </c>
      <c r="AI70" s="1395" t="s">
        <v>72</v>
      </c>
      <c r="AJ70" s="393" t="s">
        <v>73</v>
      </c>
      <c r="AK70" s="1396" t="s">
        <v>72</v>
      </c>
      <c r="AL70" s="1495" t="s">
        <v>73</v>
      </c>
      <c r="AM70" s="1395" t="s">
        <v>72</v>
      </c>
      <c r="AN70" s="394" t="s">
        <v>73</v>
      </c>
      <c r="AO70" s="6764"/>
      <c r="AP70" s="5719"/>
    </row>
    <row r="71" spans="1:85" s="1470" customFormat="1" ht="15" customHeight="1">
      <c r="A71" s="1502" t="s">
        <v>112</v>
      </c>
      <c r="B71" s="1751">
        <f t="shared" ref="B71:B72" si="46">SUM(C71+D71)</f>
        <v>0</v>
      </c>
      <c r="C71" s="4046">
        <f t="shared" ref="C71:C72" si="47">SUM(E71+G71+I71+K71+M71+O71+Q71+S71+U71+W71+Y71+AA71+AC71+AE71+AG71+AI71+AK71+AM71)</f>
        <v>0</v>
      </c>
      <c r="D71" s="1753">
        <f t="shared" ref="D71:D72" si="48">SUM(F71+H71+J71+L71+N71+P71+R71+T71+V71+X71+Z71+AB71+AD71+AF71+AH71+AJ71+AL71+AN71)</f>
        <v>0</v>
      </c>
      <c r="E71" s="1480"/>
      <c r="F71" s="1545"/>
      <c r="G71" s="1796"/>
      <c r="H71" s="1959"/>
      <c r="I71" s="1480"/>
      <c r="J71" s="1769"/>
      <c r="K71" s="1480"/>
      <c r="L71" s="1769"/>
      <c r="M71" s="1796"/>
      <c r="N71" s="1959"/>
      <c r="O71" s="1480"/>
      <c r="P71" s="1769"/>
      <c r="Q71" s="1480"/>
      <c r="R71" s="1769"/>
      <c r="S71" s="1480"/>
      <c r="T71" s="1769"/>
      <c r="U71" s="1796"/>
      <c r="V71" s="1959"/>
      <c r="W71" s="1480"/>
      <c r="X71" s="1769"/>
      <c r="Y71" s="1796"/>
      <c r="Z71" s="1959"/>
      <c r="AA71" s="1480"/>
      <c r="AB71" s="1769"/>
      <c r="AC71" s="1796"/>
      <c r="AD71" s="1959"/>
      <c r="AE71" s="1480"/>
      <c r="AF71" s="1769"/>
      <c r="AG71" s="1796"/>
      <c r="AH71" s="1959"/>
      <c r="AI71" s="1480"/>
      <c r="AJ71" s="1769"/>
      <c r="AK71" s="1796"/>
      <c r="AL71" s="1959"/>
      <c r="AM71" s="1768"/>
      <c r="AN71" s="1481"/>
      <c r="AO71" s="1545"/>
      <c r="AP71" s="3106"/>
      <c r="AQ71" s="1470" t="str">
        <f>CA71</f>
        <v/>
      </c>
      <c r="CA71" s="1418" t="str">
        <f t="shared" ref="CA71:CA72" si="49">IF(AND(AO71="",B71&gt;0)," * No olvide digitar la variable Beneficiarios. Digite cero si no tiene.",IF(AO71&gt;B71," *La variable Beneficiario No puede ser mayor al Total Ambos Sexos",""))</f>
        <v/>
      </c>
      <c r="CF71" s="1421">
        <f t="shared" si="40"/>
        <v>0</v>
      </c>
    </row>
    <row r="72" spans="1:85" s="1470" customFormat="1" ht="15" customHeight="1">
      <c r="A72" s="1505" t="s">
        <v>1471</v>
      </c>
      <c r="B72" s="3591">
        <f t="shared" si="46"/>
        <v>0</v>
      </c>
      <c r="C72" s="3574">
        <f t="shared" si="47"/>
        <v>0</v>
      </c>
      <c r="D72" s="4065">
        <f t="shared" si="48"/>
        <v>0</v>
      </c>
      <c r="E72" s="1485"/>
      <c r="F72" s="1692"/>
      <c r="G72" s="1826"/>
      <c r="H72" s="2352"/>
      <c r="I72" s="1485"/>
      <c r="J72" s="1824"/>
      <c r="K72" s="1485"/>
      <c r="L72" s="1824"/>
      <c r="M72" s="1826"/>
      <c r="N72" s="2352"/>
      <c r="O72" s="1485"/>
      <c r="P72" s="1824"/>
      <c r="Q72" s="1485"/>
      <c r="R72" s="1824"/>
      <c r="S72" s="1485"/>
      <c r="T72" s="1824"/>
      <c r="U72" s="1826"/>
      <c r="V72" s="2352"/>
      <c r="W72" s="1485"/>
      <c r="X72" s="1824"/>
      <c r="Y72" s="1826"/>
      <c r="Z72" s="2352"/>
      <c r="AA72" s="1485"/>
      <c r="AB72" s="1824"/>
      <c r="AC72" s="1826"/>
      <c r="AD72" s="2352"/>
      <c r="AE72" s="1485"/>
      <c r="AF72" s="1824"/>
      <c r="AG72" s="1826"/>
      <c r="AH72" s="2352"/>
      <c r="AI72" s="1455"/>
      <c r="AJ72" s="1684"/>
      <c r="AK72" s="1826"/>
      <c r="AL72" s="2352"/>
      <c r="AM72" s="2121"/>
      <c r="AN72" s="1486"/>
      <c r="AO72" s="1523"/>
      <c r="AP72" s="1522"/>
      <c r="AQ72" s="1470" t="str">
        <f>CA72&amp;CB72</f>
        <v/>
      </c>
      <c r="CA72" s="1418" t="str">
        <f t="shared" si="49"/>
        <v/>
      </c>
      <c r="CB72" s="1418" t="str">
        <f>IF(AND(AP72="",B72&gt;0)," * No olvide digitar la variable Por campaña de Invierno. Digite CERO si no tiene.",IF(AP72&gt;B72," * La variable Por campaña de Invierno no puede ser mayor que el Total Ambos Sexos.",""))</f>
        <v/>
      </c>
      <c r="CE72" s="3986"/>
      <c r="CF72" s="1421">
        <f t="shared" si="40"/>
        <v>0</v>
      </c>
      <c r="CG72" s="1420" t="str">
        <f>IF(AND(AP72="",B72&gt;0),1,IF(AP72&gt;B72,1,""))</f>
        <v/>
      </c>
    </row>
    <row r="73" spans="1:85" s="1470" customFormat="1" ht="15" customHeight="1">
      <c r="A73" s="3846" t="s">
        <v>91</v>
      </c>
      <c r="B73" s="1743">
        <f t="shared" ref="B73:AO73" si="50">SUM(B71:B72)</f>
        <v>0</v>
      </c>
      <c r="C73" s="2310">
        <f>SUM(C71:C72)</f>
        <v>0</v>
      </c>
      <c r="D73" s="1745">
        <f t="shared" si="50"/>
        <v>0</v>
      </c>
      <c r="E73" s="401">
        <f>SUM(E71:E72)</f>
        <v>0</v>
      </c>
      <c r="F73" s="392">
        <f t="shared" si="50"/>
        <v>0</v>
      </c>
      <c r="G73" s="402">
        <f t="shared" si="50"/>
        <v>0</v>
      </c>
      <c r="H73" s="4064">
        <f t="shared" si="50"/>
        <v>0</v>
      </c>
      <c r="I73" s="401">
        <f t="shared" si="50"/>
        <v>0</v>
      </c>
      <c r="J73" s="403">
        <f t="shared" si="50"/>
        <v>0</v>
      </c>
      <c r="K73" s="401">
        <f t="shared" si="50"/>
        <v>0</v>
      </c>
      <c r="L73" s="403">
        <f t="shared" si="50"/>
        <v>0</v>
      </c>
      <c r="M73" s="402">
        <f t="shared" si="50"/>
        <v>0</v>
      </c>
      <c r="N73" s="4064">
        <f t="shared" si="50"/>
        <v>0</v>
      </c>
      <c r="O73" s="401">
        <f t="shared" si="50"/>
        <v>0</v>
      </c>
      <c r="P73" s="403">
        <f t="shared" si="50"/>
        <v>0</v>
      </c>
      <c r="Q73" s="401">
        <f t="shared" si="50"/>
        <v>0</v>
      </c>
      <c r="R73" s="403">
        <f t="shared" si="50"/>
        <v>0</v>
      </c>
      <c r="S73" s="401">
        <f t="shared" si="50"/>
        <v>0</v>
      </c>
      <c r="T73" s="403">
        <f t="shared" si="50"/>
        <v>0</v>
      </c>
      <c r="U73" s="402">
        <f t="shared" ref="U73:V73" si="51">SUM(U71:U72)</f>
        <v>0</v>
      </c>
      <c r="V73" s="4064">
        <f t="shared" si="51"/>
        <v>0</v>
      </c>
      <c r="W73" s="401">
        <f t="shared" si="50"/>
        <v>0</v>
      </c>
      <c r="X73" s="403">
        <f t="shared" si="50"/>
        <v>0</v>
      </c>
      <c r="Y73" s="402">
        <f t="shared" si="50"/>
        <v>0</v>
      </c>
      <c r="Z73" s="4064">
        <f t="shared" si="50"/>
        <v>0</v>
      </c>
      <c r="AA73" s="401">
        <f t="shared" si="50"/>
        <v>0</v>
      </c>
      <c r="AB73" s="403">
        <f t="shared" si="50"/>
        <v>0</v>
      </c>
      <c r="AC73" s="402">
        <f t="shared" si="50"/>
        <v>0</v>
      </c>
      <c r="AD73" s="4064">
        <f t="shared" si="50"/>
        <v>0</v>
      </c>
      <c r="AE73" s="401">
        <f t="shared" si="50"/>
        <v>0</v>
      </c>
      <c r="AF73" s="403">
        <f t="shared" si="50"/>
        <v>0</v>
      </c>
      <c r="AG73" s="402">
        <f t="shared" si="50"/>
        <v>0</v>
      </c>
      <c r="AH73" s="1501">
        <f t="shared" si="50"/>
        <v>0</v>
      </c>
      <c r="AI73" s="1501">
        <f t="shared" si="50"/>
        <v>0</v>
      </c>
      <c r="AJ73" s="1501">
        <f t="shared" si="50"/>
        <v>0</v>
      </c>
      <c r="AK73" s="1501">
        <f t="shared" si="50"/>
        <v>0</v>
      </c>
      <c r="AL73" s="4064">
        <f t="shared" si="50"/>
        <v>0</v>
      </c>
      <c r="AM73" s="1555">
        <f t="shared" si="50"/>
        <v>0</v>
      </c>
      <c r="AN73" s="440">
        <f t="shared" si="50"/>
        <v>0</v>
      </c>
      <c r="AO73" s="392">
        <f t="shared" si="50"/>
        <v>0</v>
      </c>
      <c r="AP73" s="406">
        <f>SUM(AP71:AP72)</f>
        <v>0</v>
      </c>
    </row>
    <row r="74" spans="1:85" s="2832" customFormat="1" ht="18" customHeight="1">
      <c r="A74" s="1468" t="s">
        <v>2581</v>
      </c>
    </row>
    <row r="75" spans="1:85" s="1470" customFormat="1" ht="15" customHeight="1">
      <c r="A75" s="6154" t="s">
        <v>2547</v>
      </c>
      <c r="B75" s="6152" t="s">
        <v>91</v>
      </c>
      <c r="C75" s="6153"/>
      <c r="D75" s="6154"/>
      <c r="E75" s="6875" t="s">
        <v>115</v>
      </c>
      <c r="F75" s="6219"/>
      <c r="G75" s="6219"/>
      <c r="H75" s="6219"/>
      <c r="I75" s="6219"/>
      <c r="J75" s="6219"/>
      <c r="K75" s="6219"/>
      <c r="L75" s="6219"/>
      <c r="M75" s="6219"/>
      <c r="N75" s="6219"/>
      <c r="O75" s="6219"/>
      <c r="P75" s="6219"/>
      <c r="Q75" s="6219"/>
      <c r="R75" s="6219"/>
      <c r="S75" s="6219"/>
      <c r="T75" s="6219"/>
      <c r="U75" s="6219"/>
      <c r="V75" s="6219"/>
      <c r="W75" s="6219"/>
      <c r="X75" s="6219"/>
      <c r="Y75" s="6219"/>
      <c r="Z75" s="6219"/>
      <c r="AA75" s="6219"/>
      <c r="AB75" s="6219"/>
      <c r="AC75" s="6219"/>
      <c r="AD75" s="6219"/>
      <c r="AE75" s="6219"/>
      <c r="AF75" s="6219"/>
      <c r="AG75" s="6219"/>
      <c r="AH75" s="6219"/>
      <c r="AI75" s="6219"/>
      <c r="AJ75" s="6219"/>
      <c r="AK75" s="6219"/>
      <c r="AL75" s="6219"/>
      <c r="AM75" s="6219"/>
      <c r="AN75" s="6876"/>
    </row>
    <row r="76" spans="1:85" s="1470" customFormat="1" ht="15" customHeight="1">
      <c r="A76" s="6448"/>
      <c r="B76" s="6155"/>
      <c r="C76" s="6156"/>
      <c r="D76" s="6157"/>
      <c r="E76" s="6140" t="s">
        <v>2548</v>
      </c>
      <c r="F76" s="6154"/>
      <c r="G76" s="5708" t="s">
        <v>2549</v>
      </c>
      <c r="H76" s="5708"/>
      <c r="I76" s="5707" t="s">
        <v>2550</v>
      </c>
      <c r="J76" s="5709"/>
      <c r="K76" s="5708" t="s">
        <v>108</v>
      </c>
      <c r="L76" s="5708"/>
      <c r="M76" s="5707" t="s">
        <v>58</v>
      </c>
      <c r="N76" s="5709"/>
      <c r="O76" s="6153" t="s">
        <v>59</v>
      </c>
      <c r="P76" s="6153"/>
      <c r="Q76" s="6152" t="s">
        <v>60</v>
      </c>
      <c r="R76" s="6154"/>
      <c r="S76" s="6152" t="s">
        <v>61</v>
      </c>
      <c r="T76" s="6154"/>
      <c r="U76" s="6153" t="s">
        <v>62</v>
      </c>
      <c r="V76" s="6154"/>
      <c r="W76" s="6152" t="s">
        <v>63</v>
      </c>
      <c r="X76" s="6154"/>
      <c r="Y76" s="6153" t="s">
        <v>64</v>
      </c>
      <c r="Z76" s="6153"/>
      <c r="AA76" s="6152" t="s">
        <v>65</v>
      </c>
      <c r="AB76" s="6154"/>
      <c r="AC76" s="6153" t="s">
        <v>66</v>
      </c>
      <c r="AD76" s="6153"/>
      <c r="AE76" s="6152" t="s">
        <v>67</v>
      </c>
      <c r="AF76" s="6154"/>
      <c r="AG76" s="6153" t="s">
        <v>68</v>
      </c>
      <c r="AH76" s="6153"/>
      <c r="AI76" s="6152" t="s">
        <v>69</v>
      </c>
      <c r="AJ76" s="6154"/>
      <c r="AK76" s="6153" t="s">
        <v>70</v>
      </c>
      <c r="AL76" s="6153"/>
      <c r="AM76" s="5707" t="s">
        <v>71</v>
      </c>
      <c r="AN76" s="5709"/>
    </row>
    <row r="77" spans="1:85" s="1470" customFormat="1" ht="15" customHeight="1">
      <c r="A77" s="6157"/>
      <c r="B77" s="396" t="s">
        <v>93</v>
      </c>
      <c r="C77" s="397" t="s">
        <v>72</v>
      </c>
      <c r="D77" s="1778" t="s">
        <v>73</v>
      </c>
      <c r="E77" s="396" t="s">
        <v>72</v>
      </c>
      <c r="F77" s="390" t="s">
        <v>73</v>
      </c>
      <c r="G77" s="397" t="s">
        <v>72</v>
      </c>
      <c r="H77" s="389" t="s">
        <v>73</v>
      </c>
      <c r="I77" s="396" t="s">
        <v>72</v>
      </c>
      <c r="J77" s="390" t="s">
        <v>73</v>
      </c>
      <c r="K77" s="397" t="s">
        <v>72</v>
      </c>
      <c r="L77" s="389" t="s">
        <v>73</v>
      </c>
      <c r="M77" s="396" t="s">
        <v>72</v>
      </c>
      <c r="N77" s="390" t="s">
        <v>73</v>
      </c>
      <c r="O77" s="397" t="s">
        <v>72</v>
      </c>
      <c r="P77" s="389" t="s">
        <v>73</v>
      </c>
      <c r="Q77" s="396" t="s">
        <v>72</v>
      </c>
      <c r="R77" s="390" t="s">
        <v>73</v>
      </c>
      <c r="S77" s="396" t="s">
        <v>72</v>
      </c>
      <c r="T77" s="390" t="s">
        <v>73</v>
      </c>
      <c r="U77" s="397" t="s">
        <v>72</v>
      </c>
      <c r="V77" s="390" t="s">
        <v>73</v>
      </c>
      <c r="W77" s="396" t="s">
        <v>72</v>
      </c>
      <c r="X77" s="390" t="s">
        <v>73</v>
      </c>
      <c r="Y77" s="397" t="s">
        <v>72</v>
      </c>
      <c r="Z77" s="389" t="s">
        <v>73</v>
      </c>
      <c r="AA77" s="396" t="s">
        <v>72</v>
      </c>
      <c r="AB77" s="390" t="s">
        <v>73</v>
      </c>
      <c r="AC77" s="397" t="s">
        <v>72</v>
      </c>
      <c r="AD77" s="389" t="s">
        <v>73</v>
      </c>
      <c r="AE77" s="396" t="s">
        <v>72</v>
      </c>
      <c r="AF77" s="390" t="s">
        <v>73</v>
      </c>
      <c r="AG77" s="397" t="s">
        <v>72</v>
      </c>
      <c r="AH77" s="389" t="s">
        <v>73</v>
      </c>
      <c r="AI77" s="396" t="s">
        <v>72</v>
      </c>
      <c r="AJ77" s="390" t="s">
        <v>73</v>
      </c>
      <c r="AK77" s="397" t="s">
        <v>72</v>
      </c>
      <c r="AL77" s="389" t="s">
        <v>73</v>
      </c>
      <c r="AM77" s="396" t="s">
        <v>72</v>
      </c>
      <c r="AN77" s="390" t="s">
        <v>73</v>
      </c>
    </row>
    <row r="78" spans="1:85" s="1470" customFormat="1" ht="15" customHeight="1">
      <c r="A78" s="4066" t="s">
        <v>2582</v>
      </c>
      <c r="B78" s="1751">
        <f t="shared" ref="B78:B83" si="52">SUM(C78+D78)</f>
        <v>0</v>
      </c>
      <c r="C78" s="4046">
        <f>SUM(E78+G78)</f>
        <v>0</v>
      </c>
      <c r="D78" s="1739">
        <f>SUM(F78+H78)</f>
        <v>0</v>
      </c>
      <c r="E78" s="1424"/>
      <c r="F78" s="1436"/>
      <c r="G78" s="1425"/>
      <c r="H78" s="1427"/>
      <c r="I78" s="3994"/>
      <c r="J78" s="4067"/>
      <c r="K78" s="4068"/>
      <c r="L78" s="4069"/>
      <c r="M78" s="3994"/>
      <c r="N78" s="4067"/>
      <c r="O78" s="4068"/>
      <c r="P78" s="4069"/>
      <c r="Q78" s="3994"/>
      <c r="R78" s="4067"/>
      <c r="S78" s="3994"/>
      <c r="T78" s="4067"/>
      <c r="U78" s="3994"/>
      <c r="V78" s="4067"/>
      <c r="W78" s="3994"/>
      <c r="X78" s="4067"/>
      <c r="Y78" s="4068"/>
      <c r="Z78" s="4069"/>
      <c r="AA78" s="3994"/>
      <c r="AB78" s="4067"/>
      <c r="AC78" s="4068"/>
      <c r="AD78" s="4069"/>
      <c r="AE78" s="3994"/>
      <c r="AF78" s="4067"/>
      <c r="AG78" s="4068"/>
      <c r="AH78" s="4069"/>
      <c r="AI78" s="3994"/>
      <c r="AJ78" s="4067"/>
      <c r="AK78" s="4068"/>
      <c r="AL78" s="4069"/>
      <c r="AM78" s="4070"/>
      <c r="AN78" s="4067"/>
    </row>
    <row r="79" spans="1:85" s="1470" customFormat="1" ht="15" customHeight="1">
      <c r="A79" s="3970" t="s">
        <v>2570</v>
      </c>
      <c r="B79" s="1737">
        <f t="shared" si="52"/>
        <v>0</v>
      </c>
      <c r="C79" s="3202">
        <f t="shared" ref="C79:C80" si="53">SUM(E79+G79+I79+K79+M79+O79+Q79+S79+U79+W79+Y79+AA79+AC79+AE79+AG79+AI79+AK79+AM79)</f>
        <v>0</v>
      </c>
      <c r="D79" s="1739">
        <f t="shared" ref="D79:D80" si="54">SUM(F79+H79+J79+L79+N79+P79+R79+T79+V79+X79+Z79+AB79+AD79+AF79+AH79+AJ79+AL79+AN79)</f>
        <v>0</v>
      </c>
      <c r="E79" s="1440"/>
      <c r="F79" s="1452"/>
      <c r="G79" s="1441"/>
      <c r="H79" s="1443"/>
      <c r="I79" s="1440"/>
      <c r="J79" s="1680"/>
      <c r="K79" s="1441"/>
      <c r="L79" s="1443"/>
      <c r="M79" s="1440"/>
      <c r="N79" s="1680"/>
      <c r="O79" s="1441"/>
      <c r="P79" s="1443"/>
      <c r="Q79" s="1440"/>
      <c r="R79" s="1680"/>
      <c r="S79" s="1440"/>
      <c r="T79" s="1680"/>
      <c r="U79" s="1440"/>
      <c r="V79" s="1680"/>
      <c r="W79" s="1440"/>
      <c r="X79" s="1680"/>
      <c r="Y79" s="1441"/>
      <c r="Z79" s="1443"/>
      <c r="AA79" s="1440"/>
      <c r="AB79" s="1680"/>
      <c r="AC79" s="1441"/>
      <c r="AD79" s="1443"/>
      <c r="AE79" s="1440"/>
      <c r="AF79" s="1680"/>
      <c r="AG79" s="1441"/>
      <c r="AH79" s="1443"/>
      <c r="AI79" s="1440"/>
      <c r="AJ79" s="1680"/>
      <c r="AK79" s="1441"/>
      <c r="AL79" s="1443"/>
      <c r="AM79" s="1657"/>
      <c r="AN79" s="1680"/>
    </row>
    <row r="80" spans="1:85" s="1470" customFormat="1" ht="15" customHeight="1">
      <c r="A80" s="3970" t="s">
        <v>2571</v>
      </c>
      <c r="B80" s="1737">
        <f t="shared" si="52"/>
        <v>0</v>
      </c>
      <c r="C80" s="3202">
        <f t="shared" si="53"/>
        <v>0</v>
      </c>
      <c r="D80" s="1739">
        <f t="shared" si="54"/>
        <v>0</v>
      </c>
      <c r="E80" s="1440"/>
      <c r="F80" s="1452"/>
      <c r="G80" s="1441"/>
      <c r="H80" s="1443"/>
      <c r="I80" s="1440"/>
      <c r="J80" s="1680"/>
      <c r="K80" s="1441"/>
      <c r="L80" s="1443"/>
      <c r="M80" s="1440"/>
      <c r="N80" s="1680"/>
      <c r="O80" s="1441"/>
      <c r="P80" s="1443"/>
      <c r="Q80" s="1440"/>
      <c r="R80" s="1680"/>
      <c r="S80" s="1440"/>
      <c r="T80" s="1680"/>
      <c r="U80" s="1440"/>
      <c r="V80" s="1680"/>
      <c r="W80" s="1440"/>
      <c r="X80" s="1680"/>
      <c r="Y80" s="1441"/>
      <c r="Z80" s="1443"/>
      <c r="AA80" s="1440"/>
      <c r="AB80" s="1680"/>
      <c r="AC80" s="1441"/>
      <c r="AD80" s="1443"/>
      <c r="AE80" s="1440"/>
      <c r="AF80" s="1680"/>
      <c r="AG80" s="1441"/>
      <c r="AH80" s="1443"/>
      <c r="AI80" s="1440"/>
      <c r="AJ80" s="1680"/>
      <c r="AK80" s="1441"/>
      <c r="AL80" s="1443"/>
      <c r="AM80" s="1657"/>
      <c r="AN80" s="1680"/>
    </row>
    <row r="81" spans="1:40" s="1470" customFormat="1" ht="15" customHeight="1">
      <c r="A81" s="3970" t="s">
        <v>2583</v>
      </c>
      <c r="B81" s="1737">
        <f t="shared" si="52"/>
        <v>0</v>
      </c>
      <c r="C81" s="3202">
        <f>SUM(G81+I81+K81+M81+O81+Q81+S81+U81+W81+Y81+AA81+AC81+AE81+AG81+AI81+AK81+AM81)</f>
        <v>0</v>
      </c>
      <c r="D81" s="1739">
        <f>SUM(H81+J81+L81+N81+P81+R81+T81+V81+X81+Z81+AB81+AD81+AF81+AH81+AJ81+AL81+AN81)</f>
        <v>0</v>
      </c>
      <c r="E81" s="3996"/>
      <c r="F81" s="3997"/>
      <c r="G81" s="1441"/>
      <c r="H81" s="1443"/>
      <c r="I81" s="1440"/>
      <c r="J81" s="1680"/>
      <c r="K81" s="1441"/>
      <c r="L81" s="1443"/>
      <c r="M81" s="1440"/>
      <c r="N81" s="1680"/>
      <c r="O81" s="1441"/>
      <c r="P81" s="1443"/>
      <c r="Q81" s="1440"/>
      <c r="R81" s="1680"/>
      <c r="S81" s="1440"/>
      <c r="T81" s="1680"/>
      <c r="U81" s="1440"/>
      <c r="V81" s="1680"/>
      <c r="W81" s="1440"/>
      <c r="X81" s="1680"/>
      <c r="Y81" s="1441"/>
      <c r="Z81" s="1443"/>
      <c r="AA81" s="1440"/>
      <c r="AB81" s="1680"/>
      <c r="AC81" s="1441"/>
      <c r="AD81" s="1443"/>
      <c r="AE81" s="1440"/>
      <c r="AF81" s="1680"/>
      <c r="AG81" s="1441"/>
      <c r="AH81" s="1443"/>
      <c r="AI81" s="1440"/>
      <c r="AJ81" s="1680"/>
      <c r="AK81" s="1441"/>
      <c r="AL81" s="1443"/>
      <c r="AM81" s="1657"/>
      <c r="AN81" s="1680"/>
    </row>
    <row r="82" spans="1:40" s="1470" customFormat="1" ht="15" customHeight="1">
      <c r="A82" s="3970" t="s">
        <v>2584</v>
      </c>
      <c r="B82" s="1737">
        <f t="shared" si="52"/>
        <v>0</v>
      </c>
      <c r="C82" s="3202">
        <f>SUM(W82+Y82+AA82+AC82+AE82+AG82+AI82+AK82+AM82)</f>
        <v>0</v>
      </c>
      <c r="D82" s="1739">
        <f>SUM(X82+Z82+AB82+AD82+AF82+AH82+AJ82+AL82+AN82)</f>
        <v>0</v>
      </c>
      <c r="E82" s="3996"/>
      <c r="F82" s="3997"/>
      <c r="G82" s="4071"/>
      <c r="H82" s="4072"/>
      <c r="I82" s="3996"/>
      <c r="J82" s="4073"/>
      <c r="K82" s="4071"/>
      <c r="L82" s="4072"/>
      <c r="M82" s="3996"/>
      <c r="N82" s="4073"/>
      <c r="O82" s="4071"/>
      <c r="P82" s="4072"/>
      <c r="Q82" s="3996"/>
      <c r="R82" s="4073"/>
      <c r="S82" s="3996"/>
      <c r="T82" s="4073"/>
      <c r="U82" s="3996"/>
      <c r="V82" s="4073"/>
      <c r="W82" s="1440"/>
      <c r="X82" s="1680"/>
      <c r="Y82" s="1441"/>
      <c r="Z82" s="1443"/>
      <c r="AA82" s="1440"/>
      <c r="AB82" s="1680"/>
      <c r="AC82" s="1441"/>
      <c r="AD82" s="1443"/>
      <c r="AE82" s="1440"/>
      <c r="AF82" s="1680"/>
      <c r="AG82" s="1441"/>
      <c r="AH82" s="1443"/>
      <c r="AI82" s="1440"/>
      <c r="AJ82" s="1680"/>
      <c r="AK82" s="1441"/>
      <c r="AL82" s="1443"/>
      <c r="AM82" s="1657"/>
      <c r="AN82" s="1680"/>
    </row>
    <row r="83" spans="1:40" s="1470" customFormat="1" ht="15" customHeight="1">
      <c r="A83" s="4074" t="s">
        <v>2574</v>
      </c>
      <c r="B83" s="1740">
        <f t="shared" si="52"/>
        <v>0</v>
      </c>
      <c r="C83" s="3618">
        <f>SUM(E83+G83+I83+K83+M83+O83+Q83+S83+U83+W83+Y83+AA83+AC83+AE83+AG83+AI83+AK83+AM83)</f>
        <v>0</v>
      </c>
      <c r="D83" s="1739">
        <f>SUM(F83+H83+J83+L83+N83+P83+R83+T83+V83+X83+Z83+AB83+AD83+AF83+AH83+AJ83+AL83+AN83)</f>
        <v>0</v>
      </c>
      <c r="E83" s="1455"/>
      <c r="F83" s="1467"/>
      <c r="G83" s="1456"/>
      <c r="H83" s="1458"/>
      <c r="I83" s="1455"/>
      <c r="J83" s="1684"/>
      <c r="K83" s="1456"/>
      <c r="L83" s="1458"/>
      <c r="M83" s="1455"/>
      <c r="N83" s="1684"/>
      <c r="O83" s="1456"/>
      <c r="P83" s="1458"/>
      <c r="Q83" s="1455"/>
      <c r="R83" s="1684"/>
      <c r="S83" s="1455"/>
      <c r="T83" s="1684"/>
      <c r="U83" s="1455"/>
      <c r="V83" s="1684"/>
      <c r="W83" s="1455"/>
      <c r="X83" s="1684"/>
      <c r="Y83" s="1456"/>
      <c r="Z83" s="1458"/>
      <c r="AA83" s="1455"/>
      <c r="AB83" s="1684"/>
      <c r="AC83" s="1456"/>
      <c r="AD83" s="1458"/>
      <c r="AE83" s="1455"/>
      <c r="AF83" s="1684"/>
      <c r="AG83" s="1456"/>
      <c r="AH83" s="1458"/>
      <c r="AI83" s="1455"/>
      <c r="AJ83" s="1684"/>
      <c r="AK83" s="1456"/>
      <c r="AL83" s="1458"/>
      <c r="AM83" s="1664"/>
      <c r="AN83" s="1684"/>
    </row>
    <row r="84" spans="1:40" s="1470" customFormat="1" ht="15" customHeight="1">
      <c r="A84" s="3846" t="s">
        <v>91</v>
      </c>
      <c r="B84" s="1743">
        <f t="shared" ref="B84:AN84" si="55">SUM(B78:B83)</f>
        <v>0</v>
      </c>
      <c r="C84" s="2310">
        <f t="shared" si="55"/>
        <v>0</v>
      </c>
      <c r="D84" s="1745">
        <f t="shared" si="55"/>
        <v>0</v>
      </c>
      <c r="E84" s="401">
        <f>SUM(E78:E83)</f>
        <v>0</v>
      </c>
      <c r="F84" s="392">
        <f t="shared" si="55"/>
        <v>0</v>
      </c>
      <c r="G84" s="402">
        <f t="shared" si="55"/>
        <v>0</v>
      </c>
      <c r="H84" s="4064">
        <f t="shared" si="55"/>
        <v>0</v>
      </c>
      <c r="I84" s="401">
        <f t="shared" si="55"/>
        <v>0</v>
      </c>
      <c r="J84" s="403">
        <f t="shared" si="55"/>
        <v>0</v>
      </c>
      <c r="K84" s="402">
        <f t="shared" si="55"/>
        <v>0</v>
      </c>
      <c r="L84" s="4064">
        <f t="shared" si="55"/>
        <v>0</v>
      </c>
      <c r="M84" s="401">
        <f t="shared" si="55"/>
        <v>0</v>
      </c>
      <c r="N84" s="403">
        <f t="shared" si="55"/>
        <v>0</v>
      </c>
      <c r="O84" s="402">
        <f t="shared" si="55"/>
        <v>0</v>
      </c>
      <c r="P84" s="4064">
        <f t="shared" si="55"/>
        <v>0</v>
      </c>
      <c r="Q84" s="401">
        <f t="shared" si="55"/>
        <v>0</v>
      </c>
      <c r="R84" s="403">
        <f t="shared" si="55"/>
        <v>0</v>
      </c>
      <c r="S84" s="401">
        <f t="shared" ref="S84:T84" si="56">SUM(S78:S83)</f>
        <v>0</v>
      </c>
      <c r="T84" s="403">
        <f t="shared" si="56"/>
        <v>0</v>
      </c>
      <c r="U84" s="401">
        <f t="shared" ref="U84:V84" si="57">SUM(U78:U83)</f>
        <v>0</v>
      </c>
      <c r="V84" s="403">
        <f t="shared" si="57"/>
        <v>0</v>
      </c>
      <c r="W84" s="401">
        <f t="shared" si="55"/>
        <v>0</v>
      </c>
      <c r="X84" s="403">
        <f t="shared" si="55"/>
        <v>0</v>
      </c>
      <c r="Y84" s="402">
        <f t="shared" si="55"/>
        <v>0</v>
      </c>
      <c r="Z84" s="4064">
        <f t="shared" si="55"/>
        <v>0</v>
      </c>
      <c r="AA84" s="401">
        <f t="shared" si="55"/>
        <v>0</v>
      </c>
      <c r="AB84" s="403">
        <f t="shared" si="55"/>
        <v>0</v>
      </c>
      <c r="AC84" s="402">
        <f t="shared" si="55"/>
        <v>0</v>
      </c>
      <c r="AD84" s="4064">
        <f t="shared" si="55"/>
        <v>0</v>
      </c>
      <c r="AE84" s="401">
        <f t="shared" si="55"/>
        <v>0</v>
      </c>
      <c r="AF84" s="403">
        <f t="shared" si="55"/>
        <v>0</v>
      </c>
      <c r="AG84" s="402">
        <f t="shared" si="55"/>
        <v>0</v>
      </c>
      <c r="AH84" s="4064">
        <f t="shared" si="55"/>
        <v>0</v>
      </c>
      <c r="AI84" s="401">
        <f t="shared" si="55"/>
        <v>0</v>
      </c>
      <c r="AJ84" s="403">
        <f t="shared" si="55"/>
        <v>0</v>
      </c>
      <c r="AK84" s="402">
        <f t="shared" si="55"/>
        <v>0</v>
      </c>
      <c r="AL84" s="4064">
        <f t="shared" si="55"/>
        <v>0</v>
      </c>
      <c r="AM84" s="1555">
        <f t="shared" si="55"/>
        <v>0</v>
      </c>
      <c r="AN84" s="403">
        <f t="shared" si="55"/>
        <v>0</v>
      </c>
    </row>
    <row r="85" spans="1:40" s="2832" customFormat="1" ht="18" customHeight="1">
      <c r="A85" s="2102" t="s">
        <v>2585</v>
      </c>
    </row>
    <row r="86" spans="1:40" s="1470" customFormat="1" ht="21">
      <c r="A86" s="6142" t="s">
        <v>41</v>
      </c>
      <c r="B86" s="6142"/>
      <c r="C86" s="396" t="s">
        <v>91</v>
      </c>
      <c r="D86" s="1396" t="s">
        <v>733</v>
      </c>
      <c r="E86" s="393" t="s">
        <v>2586</v>
      </c>
    </row>
    <row r="87" spans="1:40" s="1470" customFormat="1" ht="15" customHeight="1">
      <c r="A87" s="6561" t="s">
        <v>78</v>
      </c>
      <c r="B87" s="6563"/>
      <c r="C87" s="3971">
        <f t="shared" ref="C87:C89" si="58">SUM(D87+E87)</f>
        <v>0</v>
      </c>
      <c r="D87" s="411"/>
      <c r="E87" s="412"/>
    </row>
    <row r="88" spans="1:40" s="1470" customFormat="1" ht="15" customHeight="1">
      <c r="A88" s="6181" t="s">
        <v>1471</v>
      </c>
      <c r="B88" s="6182"/>
      <c r="C88" s="3971">
        <f t="shared" si="58"/>
        <v>0</v>
      </c>
      <c r="D88" s="423"/>
      <c r="E88" s="424"/>
    </row>
    <row r="89" spans="1:40" s="1470" customFormat="1" ht="15" customHeight="1">
      <c r="A89" s="6386" t="s">
        <v>112</v>
      </c>
      <c r="B89" s="6387"/>
      <c r="C89" s="3971">
        <f t="shared" si="58"/>
        <v>0</v>
      </c>
      <c r="D89" s="423"/>
      <c r="E89" s="424"/>
    </row>
    <row r="90" spans="1:40" s="1470" customFormat="1" ht="15" customHeight="1">
      <c r="A90" s="6875" t="s">
        <v>91</v>
      </c>
      <c r="B90" s="6876"/>
      <c r="C90" s="4075">
        <f>SUM(C87:C89)</f>
        <v>0</v>
      </c>
      <c r="D90" s="2310">
        <f>SUM(D87:D89)</f>
        <v>0</v>
      </c>
      <c r="E90" s="2297">
        <f>SUM(E87:E89)</f>
        <v>0</v>
      </c>
    </row>
    <row r="91" spans="1:40" s="2832" customFormat="1" ht="18" customHeight="1">
      <c r="A91" s="4076" t="s">
        <v>2587</v>
      </c>
    </row>
    <row r="92" spans="1:40" s="1470" customFormat="1" ht="15" customHeight="1">
      <c r="A92" s="6154" t="s">
        <v>2588</v>
      </c>
      <c r="B92" s="6709" t="s">
        <v>91</v>
      </c>
      <c r="C92" s="6486"/>
      <c r="D92" s="6487"/>
      <c r="E92" s="6586" t="s">
        <v>115</v>
      </c>
      <c r="F92" s="6574"/>
      <c r="G92" s="6574"/>
      <c r="H92" s="6574"/>
      <c r="I92" s="6574"/>
      <c r="J92" s="6574"/>
      <c r="K92" s="6574"/>
      <c r="L92" s="6574"/>
      <c r="M92" s="6574"/>
      <c r="N92" s="6574"/>
      <c r="O92" s="6574"/>
      <c r="P92" s="6574"/>
      <c r="Q92" s="6574"/>
      <c r="R92" s="6574"/>
      <c r="S92" s="6574"/>
      <c r="T92" s="6574"/>
      <c r="U92" s="6574"/>
      <c r="V92" s="6574"/>
      <c r="W92" s="6574"/>
      <c r="X92" s="6574"/>
      <c r="Y92" s="6574"/>
      <c r="Z92" s="6574"/>
      <c r="AA92" s="6574"/>
      <c r="AB92" s="6574"/>
      <c r="AC92" s="6574"/>
      <c r="AD92" s="6574"/>
      <c r="AE92" s="6574"/>
      <c r="AF92" s="6574"/>
      <c r="AG92" s="6574"/>
      <c r="AH92" s="6574"/>
      <c r="AI92" s="6574"/>
      <c r="AJ92" s="6574"/>
      <c r="AK92" s="6574"/>
      <c r="AL92" s="6574"/>
      <c r="AM92" s="6574"/>
      <c r="AN92" s="6575"/>
    </row>
    <row r="93" spans="1:40" s="1470" customFormat="1" ht="15" customHeight="1">
      <c r="A93" s="6448"/>
      <c r="B93" s="6853"/>
      <c r="C93" s="6489"/>
      <c r="D93" s="6490"/>
      <c r="E93" s="6140" t="s">
        <v>2548</v>
      </c>
      <c r="F93" s="6154"/>
      <c r="G93" s="5707" t="s">
        <v>2549</v>
      </c>
      <c r="H93" s="5709"/>
      <c r="I93" s="5707" t="s">
        <v>2550</v>
      </c>
      <c r="J93" s="5709"/>
      <c r="K93" s="5708" t="s">
        <v>108</v>
      </c>
      <c r="L93" s="5708"/>
      <c r="M93" s="5707" t="s">
        <v>58</v>
      </c>
      <c r="N93" s="5709"/>
      <c r="O93" s="5708" t="s">
        <v>59</v>
      </c>
      <c r="P93" s="5708"/>
      <c r="Q93" s="6152" t="s">
        <v>60</v>
      </c>
      <c r="R93" s="6154"/>
      <c r="S93" s="6152" t="s">
        <v>61</v>
      </c>
      <c r="T93" s="6154"/>
      <c r="U93" s="6153" t="s">
        <v>62</v>
      </c>
      <c r="V93" s="6154"/>
      <c r="W93" s="5708" t="s">
        <v>63</v>
      </c>
      <c r="X93" s="5708"/>
      <c r="Y93" s="5707" t="s">
        <v>64</v>
      </c>
      <c r="Z93" s="5709"/>
      <c r="AA93" s="5708" t="s">
        <v>65</v>
      </c>
      <c r="AB93" s="5708"/>
      <c r="AC93" s="5707" t="s">
        <v>66</v>
      </c>
      <c r="AD93" s="5709"/>
      <c r="AE93" s="5708" t="s">
        <v>67</v>
      </c>
      <c r="AF93" s="5708"/>
      <c r="AG93" s="5707" t="s">
        <v>68</v>
      </c>
      <c r="AH93" s="5709"/>
      <c r="AI93" s="5708" t="s">
        <v>69</v>
      </c>
      <c r="AJ93" s="5708"/>
      <c r="AK93" s="5707" t="s">
        <v>70</v>
      </c>
      <c r="AL93" s="5709"/>
      <c r="AM93" s="5707" t="s">
        <v>71</v>
      </c>
      <c r="AN93" s="5709"/>
    </row>
    <row r="94" spans="1:40" s="1470" customFormat="1" ht="15" customHeight="1">
      <c r="A94" s="6157"/>
      <c r="B94" s="396" t="s">
        <v>93</v>
      </c>
      <c r="C94" s="397" t="s">
        <v>72</v>
      </c>
      <c r="D94" s="390" t="s">
        <v>73</v>
      </c>
      <c r="E94" s="396" t="s">
        <v>72</v>
      </c>
      <c r="F94" s="390" t="s">
        <v>73</v>
      </c>
      <c r="G94" s="396" t="s">
        <v>72</v>
      </c>
      <c r="H94" s="390" t="s">
        <v>73</v>
      </c>
      <c r="I94" s="396" t="s">
        <v>72</v>
      </c>
      <c r="J94" s="390" t="s">
        <v>73</v>
      </c>
      <c r="K94" s="397" t="s">
        <v>72</v>
      </c>
      <c r="L94" s="389" t="s">
        <v>73</v>
      </c>
      <c r="M94" s="396" t="s">
        <v>72</v>
      </c>
      <c r="N94" s="390" t="s">
        <v>73</v>
      </c>
      <c r="O94" s="397" t="s">
        <v>72</v>
      </c>
      <c r="P94" s="389" t="s">
        <v>73</v>
      </c>
      <c r="Q94" s="396" t="s">
        <v>72</v>
      </c>
      <c r="R94" s="390" t="s">
        <v>73</v>
      </c>
      <c r="S94" s="396" t="s">
        <v>72</v>
      </c>
      <c r="T94" s="390" t="s">
        <v>73</v>
      </c>
      <c r="U94" s="397" t="s">
        <v>72</v>
      </c>
      <c r="V94" s="390" t="s">
        <v>73</v>
      </c>
      <c r="W94" s="397" t="s">
        <v>72</v>
      </c>
      <c r="X94" s="389" t="s">
        <v>73</v>
      </c>
      <c r="Y94" s="396" t="s">
        <v>72</v>
      </c>
      <c r="Z94" s="390" t="s">
        <v>73</v>
      </c>
      <c r="AA94" s="397" t="s">
        <v>72</v>
      </c>
      <c r="AB94" s="389" t="s">
        <v>73</v>
      </c>
      <c r="AC94" s="396" t="s">
        <v>72</v>
      </c>
      <c r="AD94" s="390" t="s">
        <v>73</v>
      </c>
      <c r="AE94" s="397" t="s">
        <v>72</v>
      </c>
      <c r="AF94" s="389" t="s">
        <v>73</v>
      </c>
      <c r="AG94" s="396" t="s">
        <v>72</v>
      </c>
      <c r="AH94" s="390" t="s">
        <v>73</v>
      </c>
      <c r="AI94" s="397" t="s">
        <v>72</v>
      </c>
      <c r="AJ94" s="389" t="s">
        <v>73</v>
      </c>
      <c r="AK94" s="396" t="s">
        <v>72</v>
      </c>
      <c r="AL94" s="390" t="s">
        <v>73</v>
      </c>
      <c r="AM94" s="396" t="s">
        <v>72</v>
      </c>
      <c r="AN94" s="390" t="s">
        <v>73</v>
      </c>
    </row>
    <row r="95" spans="1:40" s="1470" customFormat="1" ht="15" customHeight="1">
      <c r="A95" s="4066" t="s">
        <v>2589</v>
      </c>
      <c r="B95" s="2393">
        <f t="shared" ref="B95:B103" si="59">SUM(C95+D95)</f>
        <v>0</v>
      </c>
      <c r="C95" s="3453">
        <f t="shared" ref="C95:C101" si="60">SUM(I95+K95+M95+O95+Q95+S95+U95+W95+Y95+AA95+AC95+AE95+AG95+AI95+AK95+AM95)</f>
        <v>0</v>
      </c>
      <c r="D95" s="1736">
        <f t="shared" ref="D95:D100" si="61">SUM(J95+L95+N95+P95+R95+T95+V95+X95+Z95+AB95+AD95+AF95+AH95+AJ95+AL95+AN95)</f>
        <v>0</v>
      </c>
      <c r="E95" s="2375"/>
      <c r="F95" s="4077"/>
      <c r="G95" s="2375"/>
      <c r="H95" s="4077"/>
      <c r="I95" s="448"/>
      <c r="J95" s="449"/>
      <c r="K95" s="2307"/>
      <c r="L95" s="3616"/>
      <c r="M95" s="448"/>
      <c r="N95" s="449"/>
      <c r="O95" s="2307"/>
      <c r="P95" s="3616"/>
      <c r="Q95" s="448"/>
      <c r="R95" s="449"/>
      <c r="S95" s="448"/>
      <c r="T95" s="449"/>
      <c r="U95" s="448"/>
      <c r="V95" s="449"/>
      <c r="W95" s="2307"/>
      <c r="X95" s="3616"/>
      <c r="Y95" s="448"/>
      <c r="Z95" s="449"/>
      <c r="AA95" s="2307"/>
      <c r="AB95" s="3616"/>
      <c r="AC95" s="448"/>
      <c r="AD95" s="449"/>
      <c r="AE95" s="2307"/>
      <c r="AF95" s="3616"/>
      <c r="AG95" s="448"/>
      <c r="AH95" s="449"/>
      <c r="AI95" s="2307"/>
      <c r="AJ95" s="3616"/>
      <c r="AK95" s="448"/>
      <c r="AL95" s="449"/>
      <c r="AM95" s="3528"/>
      <c r="AN95" s="449"/>
    </row>
    <row r="96" spans="1:40" s="1470" customFormat="1" ht="15" customHeight="1">
      <c r="A96" s="3970" t="s">
        <v>2590</v>
      </c>
      <c r="B96" s="1751">
        <f t="shared" si="59"/>
        <v>0</v>
      </c>
      <c r="C96" s="4046">
        <f t="shared" si="60"/>
        <v>0</v>
      </c>
      <c r="D96" s="1753">
        <f t="shared" si="61"/>
        <v>0</v>
      </c>
      <c r="E96" s="3368"/>
      <c r="F96" s="3675"/>
      <c r="G96" s="3368"/>
      <c r="H96" s="3675"/>
      <c r="I96" s="413"/>
      <c r="J96" s="412"/>
      <c r="K96" s="411"/>
      <c r="L96" s="3665"/>
      <c r="M96" s="413"/>
      <c r="N96" s="412"/>
      <c r="O96" s="411"/>
      <c r="P96" s="3665"/>
      <c r="Q96" s="413"/>
      <c r="R96" s="412"/>
      <c r="S96" s="413"/>
      <c r="T96" s="412"/>
      <c r="U96" s="413"/>
      <c r="V96" s="412"/>
      <c r="W96" s="411"/>
      <c r="X96" s="3665"/>
      <c r="Y96" s="413"/>
      <c r="Z96" s="412"/>
      <c r="AA96" s="411"/>
      <c r="AB96" s="3665"/>
      <c r="AC96" s="413"/>
      <c r="AD96" s="412"/>
      <c r="AE96" s="411"/>
      <c r="AF96" s="3665"/>
      <c r="AG96" s="413"/>
      <c r="AH96" s="412"/>
      <c r="AI96" s="411"/>
      <c r="AJ96" s="3665"/>
      <c r="AK96" s="413"/>
      <c r="AL96" s="412"/>
      <c r="AM96" s="3543"/>
      <c r="AN96" s="412"/>
    </row>
    <row r="97" spans="1:40" s="1470" customFormat="1" ht="15" customHeight="1">
      <c r="A97" s="3970" t="s">
        <v>2591</v>
      </c>
      <c r="B97" s="1737">
        <f t="shared" si="59"/>
        <v>0</v>
      </c>
      <c r="C97" s="3202">
        <f t="shared" si="60"/>
        <v>0</v>
      </c>
      <c r="D97" s="1739">
        <f t="shared" si="61"/>
        <v>0</v>
      </c>
      <c r="E97" s="3368"/>
      <c r="F97" s="3675"/>
      <c r="G97" s="3368"/>
      <c r="H97" s="3675"/>
      <c r="I97" s="413"/>
      <c r="J97" s="412"/>
      <c r="K97" s="411"/>
      <c r="L97" s="3665"/>
      <c r="M97" s="413"/>
      <c r="N97" s="412"/>
      <c r="O97" s="411"/>
      <c r="P97" s="3665"/>
      <c r="Q97" s="413"/>
      <c r="R97" s="412"/>
      <c r="S97" s="413"/>
      <c r="T97" s="412"/>
      <c r="U97" s="413"/>
      <c r="V97" s="412"/>
      <c r="W97" s="411"/>
      <c r="X97" s="3665"/>
      <c r="Y97" s="413"/>
      <c r="Z97" s="412"/>
      <c r="AA97" s="411"/>
      <c r="AB97" s="3665"/>
      <c r="AC97" s="413"/>
      <c r="AD97" s="412"/>
      <c r="AE97" s="411"/>
      <c r="AF97" s="3665"/>
      <c r="AG97" s="413"/>
      <c r="AH97" s="412"/>
      <c r="AI97" s="411"/>
      <c r="AJ97" s="3665"/>
      <c r="AK97" s="413"/>
      <c r="AL97" s="412"/>
      <c r="AM97" s="3543"/>
      <c r="AN97" s="412"/>
    </row>
    <row r="98" spans="1:40" s="1470" customFormat="1" ht="15" customHeight="1">
      <c r="A98" s="3970" t="s">
        <v>2592</v>
      </c>
      <c r="B98" s="1737">
        <f t="shared" si="59"/>
        <v>0</v>
      </c>
      <c r="C98" s="3202">
        <f t="shared" si="60"/>
        <v>0</v>
      </c>
      <c r="D98" s="1739">
        <f t="shared" si="61"/>
        <v>0</v>
      </c>
      <c r="E98" s="3368"/>
      <c r="F98" s="3675"/>
      <c r="G98" s="3368"/>
      <c r="H98" s="3675"/>
      <c r="I98" s="413"/>
      <c r="J98" s="412"/>
      <c r="K98" s="411"/>
      <c r="L98" s="3665"/>
      <c r="M98" s="413"/>
      <c r="N98" s="412"/>
      <c r="O98" s="411"/>
      <c r="P98" s="3665"/>
      <c r="Q98" s="413"/>
      <c r="R98" s="412"/>
      <c r="S98" s="413"/>
      <c r="T98" s="412"/>
      <c r="U98" s="413"/>
      <c r="V98" s="412"/>
      <c r="W98" s="411"/>
      <c r="X98" s="3665"/>
      <c r="Y98" s="413"/>
      <c r="Z98" s="412"/>
      <c r="AA98" s="411"/>
      <c r="AB98" s="3665"/>
      <c r="AC98" s="413"/>
      <c r="AD98" s="412"/>
      <c r="AE98" s="411"/>
      <c r="AF98" s="3665"/>
      <c r="AG98" s="413"/>
      <c r="AH98" s="412"/>
      <c r="AI98" s="411"/>
      <c r="AJ98" s="3665"/>
      <c r="AK98" s="413"/>
      <c r="AL98" s="412"/>
      <c r="AM98" s="3543"/>
      <c r="AN98" s="412"/>
    </row>
    <row r="99" spans="1:40" s="1470" customFormat="1" ht="15" customHeight="1">
      <c r="A99" s="3970" t="s">
        <v>2593</v>
      </c>
      <c r="B99" s="1737">
        <f t="shared" si="59"/>
        <v>0</v>
      </c>
      <c r="C99" s="3202">
        <f t="shared" si="60"/>
        <v>0</v>
      </c>
      <c r="D99" s="1739">
        <f t="shared" si="61"/>
        <v>0</v>
      </c>
      <c r="E99" s="2381"/>
      <c r="F99" s="2861"/>
      <c r="G99" s="2381"/>
      <c r="H99" s="2861"/>
      <c r="I99" s="425"/>
      <c r="J99" s="424"/>
      <c r="K99" s="423"/>
      <c r="L99" s="3588"/>
      <c r="M99" s="425"/>
      <c r="N99" s="424"/>
      <c r="O99" s="423"/>
      <c r="P99" s="3588"/>
      <c r="Q99" s="425"/>
      <c r="R99" s="424"/>
      <c r="S99" s="425"/>
      <c r="T99" s="424"/>
      <c r="U99" s="425"/>
      <c r="V99" s="424"/>
      <c r="W99" s="423"/>
      <c r="X99" s="3588"/>
      <c r="Y99" s="425"/>
      <c r="Z99" s="424"/>
      <c r="AA99" s="423"/>
      <c r="AB99" s="3588"/>
      <c r="AC99" s="425"/>
      <c r="AD99" s="424"/>
      <c r="AE99" s="423"/>
      <c r="AF99" s="3588"/>
      <c r="AG99" s="425"/>
      <c r="AH99" s="424"/>
      <c r="AI99" s="423"/>
      <c r="AJ99" s="3588"/>
      <c r="AK99" s="425"/>
      <c r="AL99" s="424"/>
      <c r="AM99" s="2249"/>
      <c r="AN99" s="424"/>
    </row>
    <row r="100" spans="1:40" s="1470" customFormat="1" ht="15" customHeight="1">
      <c r="A100" s="3970" t="s">
        <v>2594</v>
      </c>
      <c r="B100" s="1737">
        <f t="shared" si="59"/>
        <v>0</v>
      </c>
      <c r="C100" s="3202">
        <f>SUM(I100+K100+M100+O100+Q100+S100+U100+W100+Y100+AA100+AC100+AE100+AG100+AI100+AK100+AM100)</f>
        <v>0</v>
      </c>
      <c r="D100" s="1739">
        <f t="shared" si="61"/>
        <v>0</v>
      </c>
      <c r="E100" s="2381"/>
      <c r="F100" s="2861"/>
      <c r="G100" s="2381"/>
      <c r="H100" s="2861"/>
      <c r="I100" s="425"/>
      <c r="J100" s="424"/>
      <c r="K100" s="423"/>
      <c r="L100" s="3588"/>
      <c r="M100" s="425"/>
      <c r="N100" s="424"/>
      <c r="O100" s="423"/>
      <c r="P100" s="3588"/>
      <c r="Q100" s="425"/>
      <c r="R100" s="424"/>
      <c r="S100" s="425"/>
      <c r="T100" s="424"/>
      <c r="U100" s="425"/>
      <c r="V100" s="424"/>
      <c r="W100" s="423"/>
      <c r="X100" s="3588"/>
      <c r="Y100" s="425"/>
      <c r="Z100" s="424"/>
      <c r="AA100" s="423"/>
      <c r="AB100" s="3588"/>
      <c r="AC100" s="425"/>
      <c r="AD100" s="424"/>
      <c r="AE100" s="423"/>
      <c r="AF100" s="3588"/>
      <c r="AG100" s="425"/>
      <c r="AH100" s="424"/>
      <c r="AI100" s="423"/>
      <c r="AJ100" s="3588"/>
      <c r="AK100" s="425"/>
      <c r="AL100" s="424"/>
      <c r="AM100" s="2249"/>
      <c r="AN100" s="424"/>
    </row>
    <row r="101" spans="1:40" s="1470" customFormat="1" ht="15" customHeight="1">
      <c r="A101" s="3970" t="s">
        <v>2595</v>
      </c>
      <c r="B101" s="1737">
        <f t="shared" si="59"/>
        <v>0</v>
      </c>
      <c r="C101" s="3202">
        <f t="shared" si="60"/>
        <v>0</v>
      </c>
      <c r="D101" s="1739">
        <f>SUM(J101+L101+N101+P101+R101+T101+V101+X101+Z101+AB101+AD101+AF101+AH101+AJ101+AL101+AN101)</f>
        <v>0</v>
      </c>
      <c r="E101" s="2381"/>
      <c r="F101" s="2861"/>
      <c r="G101" s="2381"/>
      <c r="H101" s="2861"/>
      <c r="I101" s="425"/>
      <c r="J101" s="424"/>
      <c r="K101" s="423"/>
      <c r="L101" s="3588"/>
      <c r="M101" s="425"/>
      <c r="N101" s="424"/>
      <c r="O101" s="423"/>
      <c r="P101" s="3588"/>
      <c r="Q101" s="425"/>
      <c r="R101" s="424"/>
      <c r="S101" s="425"/>
      <c r="T101" s="424"/>
      <c r="U101" s="425"/>
      <c r="V101" s="424"/>
      <c r="W101" s="423"/>
      <c r="X101" s="3588"/>
      <c r="Y101" s="425"/>
      <c r="Z101" s="424"/>
      <c r="AA101" s="423"/>
      <c r="AB101" s="3588"/>
      <c r="AC101" s="425"/>
      <c r="AD101" s="424"/>
      <c r="AE101" s="423"/>
      <c r="AF101" s="3588"/>
      <c r="AG101" s="425"/>
      <c r="AH101" s="424"/>
      <c r="AI101" s="423"/>
      <c r="AJ101" s="3588"/>
      <c r="AK101" s="425"/>
      <c r="AL101" s="424"/>
      <c r="AM101" s="2249"/>
      <c r="AN101" s="424"/>
    </row>
    <row r="102" spans="1:40" s="1470" customFormat="1" ht="15" customHeight="1">
      <c r="A102" s="4078" t="s">
        <v>2596</v>
      </c>
      <c r="B102" s="1737">
        <f t="shared" si="59"/>
        <v>0</v>
      </c>
      <c r="C102" s="3189">
        <f t="shared" ref="C102:C103" si="62">SUM(E102+G102+I102+K102+M102+O102+Q102+S102+U102+W102+Y102+AA102+AC102+AE102+AG102+AI102+AK102+AM102)</f>
        <v>0</v>
      </c>
      <c r="D102" s="1739">
        <f t="shared" ref="D102:D103" si="63">SUM(F102+H102+J102+L102+N102+P102+R102+T102+V102+X102+Z102+AB102+AD102+AF102+AH102+AJ102+AL102+AN102)</f>
        <v>0</v>
      </c>
      <c r="E102" s="3419"/>
      <c r="F102" s="3441"/>
      <c r="G102" s="3419"/>
      <c r="H102" s="3441"/>
      <c r="I102" s="3419"/>
      <c r="J102" s="3441"/>
      <c r="K102" s="3424"/>
      <c r="L102" s="3440"/>
      <c r="M102" s="3419"/>
      <c r="N102" s="3441"/>
      <c r="O102" s="3424"/>
      <c r="P102" s="3440"/>
      <c r="Q102" s="3419"/>
      <c r="R102" s="3441"/>
      <c r="S102" s="3419"/>
      <c r="T102" s="3441"/>
      <c r="U102" s="3419"/>
      <c r="V102" s="3441"/>
      <c r="W102" s="3424"/>
      <c r="X102" s="3440"/>
      <c r="Y102" s="3419"/>
      <c r="Z102" s="3441"/>
      <c r="AA102" s="3424"/>
      <c r="AB102" s="3440"/>
      <c r="AC102" s="3419"/>
      <c r="AD102" s="3441"/>
      <c r="AE102" s="3424"/>
      <c r="AF102" s="3440"/>
      <c r="AG102" s="3419"/>
      <c r="AH102" s="3441"/>
      <c r="AI102" s="3424"/>
      <c r="AJ102" s="3440"/>
      <c r="AK102" s="3419"/>
      <c r="AL102" s="3441"/>
      <c r="AM102" s="4079"/>
      <c r="AN102" s="3441"/>
    </row>
    <row r="103" spans="1:40" s="1470" customFormat="1" ht="15" customHeight="1">
      <c r="A103" s="4080" t="s">
        <v>2597</v>
      </c>
      <c r="B103" s="3198">
        <f t="shared" si="59"/>
        <v>0</v>
      </c>
      <c r="C103" s="3172">
        <f t="shared" si="62"/>
        <v>0</v>
      </c>
      <c r="D103" s="1775">
        <f t="shared" si="63"/>
        <v>0</v>
      </c>
      <c r="E103" s="432"/>
      <c r="F103" s="433"/>
      <c r="G103" s="432"/>
      <c r="H103" s="433"/>
      <c r="I103" s="432"/>
      <c r="J103" s="433"/>
      <c r="K103" s="3385"/>
      <c r="L103" s="3443"/>
      <c r="M103" s="432"/>
      <c r="N103" s="433"/>
      <c r="O103" s="3385"/>
      <c r="P103" s="3443"/>
      <c r="Q103" s="432"/>
      <c r="R103" s="433"/>
      <c r="S103" s="432"/>
      <c r="T103" s="433"/>
      <c r="U103" s="432"/>
      <c r="V103" s="433"/>
      <c r="W103" s="3385"/>
      <c r="X103" s="3443"/>
      <c r="Y103" s="432"/>
      <c r="Z103" s="433"/>
      <c r="AA103" s="3385"/>
      <c r="AB103" s="3443"/>
      <c r="AC103" s="432"/>
      <c r="AD103" s="433"/>
      <c r="AE103" s="3385"/>
      <c r="AF103" s="3443"/>
      <c r="AG103" s="432"/>
      <c r="AH103" s="433"/>
      <c r="AI103" s="3385"/>
      <c r="AJ103" s="3443"/>
      <c r="AK103" s="432"/>
      <c r="AL103" s="433"/>
      <c r="AM103" s="3387"/>
      <c r="AN103" s="433"/>
    </row>
    <row r="104" spans="1:40" s="2832" customFormat="1" ht="18" customHeight="1">
      <c r="A104" s="2271" t="s">
        <v>2598</v>
      </c>
    </row>
    <row r="105" spans="1:40" s="1470" customFormat="1" ht="15" customHeight="1">
      <c r="A105" s="6154" t="s">
        <v>2599</v>
      </c>
      <c r="B105" s="6709" t="s">
        <v>91</v>
      </c>
      <c r="C105" s="6486"/>
      <c r="D105" s="6487"/>
      <c r="E105" s="6586" t="s">
        <v>115</v>
      </c>
      <c r="F105" s="6574"/>
      <c r="G105" s="6574"/>
      <c r="H105" s="6574"/>
      <c r="I105" s="6574"/>
      <c r="J105" s="6574"/>
      <c r="K105" s="6574"/>
      <c r="L105" s="6574"/>
      <c r="M105" s="6574"/>
      <c r="N105" s="6574"/>
      <c r="O105" s="6574"/>
      <c r="P105" s="6574"/>
      <c r="Q105" s="6574"/>
      <c r="R105" s="6574"/>
      <c r="S105" s="6574"/>
      <c r="T105" s="6574"/>
      <c r="U105" s="6574"/>
      <c r="V105" s="6574"/>
      <c r="W105" s="6574"/>
      <c r="X105" s="6574"/>
      <c r="Y105" s="6574"/>
      <c r="Z105" s="6574"/>
      <c r="AA105" s="6574"/>
      <c r="AB105" s="6574"/>
      <c r="AC105" s="6574"/>
      <c r="AD105" s="6574"/>
      <c r="AE105" s="6574"/>
      <c r="AF105" s="6574"/>
      <c r="AG105" s="6574"/>
      <c r="AH105" s="6574"/>
      <c r="AI105" s="6574"/>
      <c r="AJ105" s="6574"/>
      <c r="AK105" s="6574"/>
      <c r="AL105" s="6574"/>
      <c r="AM105" s="6574"/>
      <c r="AN105" s="6575"/>
    </row>
    <row r="106" spans="1:40" s="1470" customFormat="1" ht="15" customHeight="1">
      <c r="A106" s="6448"/>
      <c r="B106" s="6853"/>
      <c r="C106" s="6489"/>
      <c r="D106" s="6490"/>
      <c r="E106" s="6140" t="s">
        <v>2548</v>
      </c>
      <c r="F106" s="6154"/>
      <c r="G106" s="5707" t="s">
        <v>2549</v>
      </c>
      <c r="H106" s="5709"/>
      <c r="I106" s="5707" t="s">
        <v>2550</v>
      </c>
      <c r="J106" s="5709"/>
      <c r="K106" s="5708" t="s">
        <v>108</v>
      </c>
      <c r="L106" s="5708"/>
      <c r="M106" s="5707" t="s">
        <v>58</v>
      </c>
      <c r="N106" s="5709"/>
      <c r="O106" s="5708" t="s">
        <v>59</v>
      </c>
      <c r="P106" s="5708"/>
      <c r="Q106" s="6152" t="s">
        <v>60</v>
      </c>
      <c r="R106" s="6154"/>
      <c r="S106" s="6152" t="s">
        <v>61</v>
      </c>
      <c r="T106" s="6154"/>
      <c r="U106" s="6153" t="s">
        <v>62</v>
      </c>
      <c r="V106" s="6154"/>
      <c r="W106" s="5708" t="s">
        <v>63</v>
      </c>
      <c r="X106" s="5708"/>
      <c r="Y106" s="5707" t="s">
        <v>64</v>
      </c>
      <c r="Z106" s="5709"/>
      <c r="AA106" s="5708" t="s">
        <v>65</v>
      </c>
      <c r="AB106" s="5708"/>
      <c r="AC106" s="5707" t="s">
        <v>66</v>
      </c>
      <c r="AD106" s="5709"/>
      <c r="AE106" s="5708" t="s">
        <v>67</v>
      </c>
      <c r="AF106" s="5708"/>
      <c r="AG106" s="5707" t="s">
        <v>68</v>
      </c>
      <c r="AH106" s="5709"/>
      <c r="AI106" s="5708" t="s">
        <v>69</v>
      </c>
      <c r="AJ106" s="5708"/>
      <c r="AK106" s="5707" t="s">
        <v>70</v>
      </c>
      <c r="AL106" s="5709"/>
      <c r="AM106" s="5707" t="s">
        <v>71</v>
      </c>
      <c r="AN106" s="5709"/>
    </row>
    <row r="107" spans="1:40" s="1470" customFormat="1" ht="15" customHeight="1">
      <c r="A107" s="6157"/>
      <c r="B107" s="396" t="s">
        <v>93</v>
      </c>
      <c r="C107" s="397" t="s">
        <v>72</v>
      </c>
      <c r="D107" s="390" t="s">
        <v>73</v>
      </c>
      <c r="E107" s="396" t="s">
        <v>72</v>
      </c>
      <c r="F107" s="390" t="s">
        <v>73</v>
      </c>
      <c r="G107" s="396" t="s">
        <v>72</v>
      </c>
      <c r="H107" s="390" t="s">
        <v>73</v>
      </c>
      <c r="I107" s="396" t="s">
        <v>72</v>
      </c>
      <c r="J107" s="390" t="s">
        <v>73</v>
      </c>
      <c r="K107" s="397" t="s">
        <v>72</v>
      </c>
      <c r="L107" s="389" t="s">
        <v>73</v>
      </c>
      <c r="M107" s="396" t="s">
        <v>72</v>
      </c>
      <c r="N107" s="390" t="s">
        <v>73</v>
      </c>
      <c r="O107" s="397" t="s">
        <v>72</v>
      </c>
      <c r="P107" s="389" t="s">
        <v>73</v>
      </c>
      <c r="Q107" s="396" t="s">
        <v>72</v>
      </c>
      <c r="R107" s="390" t="s">
        <v>73</v>
      </c>
      <c r="S107" s="396" t="s">
        <v>72</v>
      </c>
      <c r="T107" s="390" t="s">
        <v>73</v>
      </c>
      <c r="U107" s="397" t="s">
        <v>72</v>
      </c>
      <c r="V107" s="390" t="s">
        <v>73</v>
      </c>
      <c r="W107" s="397" t="s">
        <v>72</v>
      </c>
      <c r="X107" s="389" t="s">
        <v>73</v>
      </c>
      <c r="Y107" s="396" t="s">
        <v>72</v>
      </c>
      <c r="Z107" s="390" t="s">
        <v>73</v>
      </c>
      <c r="AA107" s="397" t="s">
        <v>72</v>
      </c>
      <c r="AB107" s="389" t="s">
        <v>73</v>
      </c>
      <c r="AC107" s="396" t="s">
        <v>72</v>
      </c>
      <c r="AD107" s="390" t="s">
        <v>73</v>
      </c>
      <c r="AE107" s="397" t="s">
        <v>72</v>
      </c>
      <c r="AF107" s="389" t="s">
        <v>73</v>
      </c>
      <c r="AG107" s="396" t="s">
        <v>72</v>
      </c>
      <c r="AH107" s="390" t="s">
        <v>73</v>
      </c>
      <c r="AI107" s="397" t="s">
        <v>72</v>
      </c>
      <c r="AJ107" s="389" t="s">
        <v>73</v>
      </c>
      <c r="AK107" s="396" t="s">
        <v>72</v>
      </c>
      <c r="AL107" s="390" t="s">
        <v>73</v>
      </c>
      <c r="AM107" s="397" t="s">
        <v>72</v>
      </c>
      <c r="AN107" s="390" t="s">
        <v>73</v>
      </c>
    </row>
    <row r="108" spans="1:40" s="1470" customFormat="1" ht="15" customHeight="1">
      <c r="A108" s="2108" t="s">
        <v>2600</v>
      </c>
      <c r="B108" s="3967">
        <f t="shared" ref="B108:B110" si="64">SUM(C108:D108)</f>
        <v>0</v>
      </c>
      <c r="C108" s="3968">
        <f t="shared" ref="C108:C119" si="65">+E108+G108+I108+K108+M108+O108+Q108+S108+U108+W108+Y108+AA108+AC108+AE108+AG108+AI108+AK108+AM108</f>
        <v>0</v>
      </c>
      <c r="D108" s="3973">
        <f t="shared" ref="D108:D119" si="66">+F108+H108+J108+L108+N108+P108+R108+T108+V108+X108+Z108+AB108+AD108+AF108+AH108+AJ108+AL108+AN108</f>
        <v>0</v>
      </c>
      <c r="E108" s="413"/>
      <c r="F108" s="412"/>
      <c r="G108" s="413"/>
      <c r="H108" s="412"/>
      <c r="I108" s="413"/>
      <c r="J108" s="412"/>
      <c r="K108" s="413"/>
      <c r="L108" s="412"/>
      <c r="M108" s="413"/>
      <c r="N108" s="412"/>
      <c r="O108" s="413"/>
      <c r="P108" s="412"/>
      <c r="Q108" s="413"/>
      <c r="R108" s="412"/>
      <c r="S108" s="413"/>
      <c r="T108" s="412"/>
      <c r="U108" s="413"/>
      <c r="V108" s="412"/>
      <c r="W108" s="413"/>
      <c r="X108" s="412"/>
      <c r="Y108" s="413"/>
      <c r="Z108" s="412"/>
      <c r="AA108" s="413"/>
      <c r="AB108" s="412"/>
      <c r="AC108" s="413"/>
      <c r="AD108" s="412"/>
      <c r="AE108" s="413"/>
      <c r="AF108" s="412"/>
      <c r="AG108" s="413"/>
      <c r="AH108" s="412"/>
      <c r="AI108" s="413"/>
      <c r="AJ108" s="412"/>
      <c r="AK108" s="413"/>
      <c r="AL108" s="412"/>
      <c r="AM108" s="413"/>
      <c r="AN108" s="412"/>
    </row>
    <row r="109" spans="1:40" s="1470" customFormat="1" ht="15" customHeight="1">
      <c r="A109" s="2114" t="s">
        <v>2601</v>
      </c>
      <c r="B109" s="3971">
        <f t="shared" si="64"/>
        <v>0</v>
      </c>
      <c r="C109" s="3972">
        <f t="shared" si="65"/>
        <v>0</v>
      </c>
      <c r="D109" s="3973">
        <f t="shared" si="66"/>
        <v>0</v>
      </c>
      <c r="E109" s="413"/>
      <c r="F109" s="412"/>
      <c r="G109" s="413"/>
      <c r="H109" s="412"/>
      <c r="I109" s="413"/>
      <c r="J109" s="412"/>
      <c r="K109" s="413"/>
      <c r="L109" s="412"/>
      <c r="M109" s="413"/>
      <c r="N109" s="412"/>
      <c r="O109" s="413"/>
      <c r="P109" s="412"/>
      <c r="Q109" s="413"/>
      <c r="R109" s="412"/>
      <c r="S109" s="413"/>
      <c r="T109" s="412"/>
      <c r="U109" s="413"/>
      <c r="V109" s="412"/>
      <c r="W109" s="413"/>
      <c r="X109" s="412"/>
      <c r="Y109" s="413"/>
      <c r="Z109" s="412"/>
      <c r="AA109" s="413"/>
      <c r="AB109" s="412"/>
      <c r="AC109" s="413"/>
      <c r="AD109" s="412"/>
      <c r="AE109" s="413"/>
      <c r="AF109" s="412"/>
      <c r="AG109" s="413"/>
      <c r="AH109" s="412"/>
      <c r="AI109" s="413"/>
      <c r="AJ109" s="412"/>
      <c r="AK109" s="413"/>
      <c r="AL109" s="412"/>
      <c r="AM109" s="413"/>
      <c r="AN109" s="412"/>
    </row>
    <row r="110" spans="1:40" s="1470" customFormat="1" ht="15" customHeight="1">
      <c r="A110" s="1505" t="s">
        <v>2602</v>
      </c>
      <c r="B110" s="4004">
        <f t="shared" si="64"/>
        <v>0</v>
      </c>
      <c r="C110" s="4081">
        <f t="shared" si="65"/>
        <v>0</v>
      </c>
      <c r="D110" s="3980">
        <f t="shared" si="66"/>
        <v>0</v>
      </c>
      <c r="E110" s="432"/>
      <c r="F110" s="433"/>
      <c r="G110" s="432"/>
      <c r="H110" s="433"/>
      <c r="I110" s="432"/>
      <c r="J110" s="433"/>
      <c r="K110" s="432"/>
      <c r="L110" s="433"/>
      <c r="M110" s="432"/>
      <c r="N110" s="433"/>
      <c r="O110" s="432"/>
      <c r="P110" s="433"/>
      <c r="Q110" s="432"/>
      <c r="R110" s="433"/>
      <c r="S110" s="432"/>
      <c r="T110" s="433"/>
      <c r="U110" s="432"/>
      <c r="V110" s="433"/>
      <c r="W110" s="432"/>
      <c r="X110" s="433"/>
      <c r="Y110" s="432"/>
      <c r="Z110" s="433"/>
      <c r="AA110" s="432"/>
      <c r="AB110" s="433"/>
      <c r="AC110" s="432"/>
      <c r="AD110" s="433"/>
      <c r="AE110" s="432"/>
      <c r="AF110" s="433"/>
      <c r="AG110" s="432"/>
      <c r="AH110" s="433"/>
      <c r="AI110" s="432"/>
      <c r="AJ110" s="433"/>
      <c r="AK110" s="432"/>
      <c r="AL110" s="433"/>
      <c r="AM110" s="432"/>
      <c r="AN110" s="433"/>
    </row>
    <row r="111" spans="1:40" s="2832" customFormat="1" ht="18" customHeight="1">
      <c r="A111" s="2271" t="s">
        <v>2603</v>
      </c>
    </row>
    <row r="112" spans="1:40" s="1470" customFormat="1" ht="15" customHeight="1">
      <c r="A112" s="6154" t="s">
        <v>2599</v>
      </c>
      <c r="B112" s="6709" t="s">
        <v>91</v>
      </c>
      <c r="C112" s="6486"/>
      <c r="D112" s="6487"/>
      <c r="E112" s="6586" t="s">
        <v>115</v>
      </c>
      <c r="F112" s="6574"/>
      <c r="G112" s="6574"/>
      <c r="H112" s="6574"/>
      <c r="I112" s="6574"/>
      <c r="J112" s="6574"/>
      <c r="K112" s="6574"/>
      <c r="L112" s="6574"/>
      <c r="M112" s="6574"/>
      <c r="N112" s="6574"/>
      <c r="O112" s="6574"/>
      <c r="P112" s="6574"/>
      <c r="Q112" s="6574"/>
      <c r="R112" s="6574"/>
      <c r="S112" s="6574"/>
      <c r="T112" s="6574"/>
      <c r="U112" s="6574"/>
      <c r="V112" s="6574"/>
      <c r="W112" s="6574"/>
      <c r="X112" s="6574"/>
      <c r="Y112" s="6574"/>
      <c r="Z112" s="6574"/>
      <c r="AA112" s="6574"/>
      <c r="AB112" s="6574"/>
      <c r="AC112" s="6574"/>
      <c r="AD112" s="6574"/>
      <c r="AE112" s="6574"/>
      <c r="AF112" s="6574"/>
      <c r="AG112" s="6574"/>
      <c r="AH112" s="6574"/>
      <c r="AI112" s="6574"/>
      <c r="AJ112" s="6574"/>
      <c r="AK112" s="6574"/>
      <c r="AL112" s="6574"/>
      <c r="AM112" s="6574"/>
      <c r="AN112" s="6575"/>
    </row>
    <row r="113" spans="1:84" s="1470" customFormat="1" ht="15" customHeight="1">
      <c r="A113" s="6448"/>
      <c r="B113" s="6853"/>
      <c r="C113" s="6489"/>
      <c r="D113" s="6490"/>
      <c r="E113" s="6140" t="s">
        <v>2548</v>
      </c>
      <c r="F113" s="6154"/>
      <c r="G113" s="5707" t="s">
        <v>2549</v>
      </c>
      <c r="H113" s="5709"/>
      <c r="I113" s="5707" t="s">
        <v>2550</v>
      </c>
      <c r="J113" s="5709"/>
      <c r="K113" s="5707" t="s">
        <v>108</v>
      </c>
      <c r="L113" s="5709"/>
      <c r="M113" s="5707" t="s">
        <v>58</v>
      </c>
      <c r="N113" s="5709"/>
      <c r="O113" s="6106" t="s">
        <v>59</v>
      </c>
      <c r="P113" s="5708"/>
      <c r="Q113" s="6152" t="s">
        <v>60</v>
      </c>
      <c r="R113" s="6154"/>
      <c r="S113" s="6152" t="s">
        <v>61</v>
      </c>
      <c r="T113" s="6154"/>
      <c r="U113" s="6153" t="s">
        <v>62</v>
      </c>
      <c r="V113" s="6154"/>
      <c r="W113" s="5708" t="s">
        <v>63</v>
      </c>
      <c r="X113" s="5708"/>
      <c r="Y113" s="5707" t="s">
        <v>64</v>
      </c>
      <c r="Z113" s="5709"/>
      <c r="AA113" s="5708" t="s">
        <v>65</v>
      </c>
      <c r="AB113" s="5708"/>
      <c r="AC113" s="5707" t="s">
        <v>66</v>
      </c>
      <c r="AD113" s="5709"/>
      <c r="AE113" s="5707" t="s">
        <v>67</v>
      </c>
      <c r="AF113" s="5709"/>
      <c r="AG113" s="5707" t="s">
        <v>68</v>
      </c>
      <c r="AH113" s="5709"/>
      <c r="AI113" s="5708" t="s">
        <v>69</v>
      </c>
      <c r="AJ113" s="5708"/>
      <c r="AK113" s="5707" t="s">
        <v>70</v>
      </c>
      <c r="AL113" s="5709"/>
      <c r="AM113" s="5707" t="s">
        <v>71</v>
      </c>
      <c r="AN113" s="5709"/>
    </row>
    <row r="114" spans="1:84" s="1470" customFormat="1" ht="15" customHeight="1">
      <c r="A114" s="6157"/>
      <c r="B114" s="396" t="s">
        <v>93</v>
      </c>
      <c r="C114" s="397" t="s">
        <v>72</v>
      </c>
      <c r="D114" s="390" t="s">
        <v>73</v>
      </c>
      <c r="E114" s="396" t="s">
        <v>72</v>
      </c>
      <c r="F114" s="390" t="s">
        <v>73</v>
      </c>
      <c r="G114" s="396" t="s">
        <v>72</v>
      </c>
      <c r="H114" s="390" t="s">
        <v>73</v>
      </c>
      <c r="I114" s="396" t="s">
        <v>72</v>
      </c>
      <c r="J114" s="390" t="s">
        <v>73</v>
      </c>
      <c r="K114" s="397" t="s">
        <v>72</v>
      </c>
      <c r="L114" s="389" t="s">
        <v>73</v>
      </c>
      <c r="M114" s="396" t="s">
        <v>72</v>
      </c>
      <c r="N114" s="390" t="s">
        <v>73</v>
      </c>
      <c r="O114" s="397" t="s">
        <v>72</v>
      </c>
      <c r="P114" s="389" t="s">
        <v>73</v>
      </c>
      <c r="Q114" s="396" t="s">
        <v>72</v>
      </c>
      <c r="R114" s="390" t="s">
        <v>73</v>
      </c>
      <c r="S114" s="396" t="s">
        <v>72</v>
      </c>
      <c r="T114" s="390" t="s">
        <v>73</v>
      </c>
      <c r="U114" s="397" t="s">
        <v>72</v>
      </c>
      <c r="V114" s="390" t="s">
        <v>73</v>
      </c>
      <c r="W114" s="396" t="s">
        <v>72</v>
      </c>
      <c r="X114" s="390" t="s">
        <v>73</v>
      </c>
      <c r="Y114" s="396" t="s">
        <v>72</v>
      </c>
      <c r="Z114" s="390" t="s">
        <v>73</v>
      </c>
      <c r="AA114" s="396" t="s">
        <v>72</v>
      </c>
      <c r="AB114" s="390" t="s">
        <v>73</v>
      </c>
      <c r="AC114" s="397" t="s">
        <v>72</v>
      </c>
      <c r="AD114" s="389" t="s">
        <v>73</v>
      </c>
      <c r="AE114" s="396" t="s">
        <v>72</v>
      </c>
      <c r="AF114" s="390" t="s">
        <v>73</v>
      </c>
      <c r="AG114" s="397" t="s">
        <v>72</v>
      </c>
      <c r="AH114" s="389" t="s">
        <v>73</v>
      </c>
      <c r="AI114" s="396" t="s">
        <v>72</v>
      </c>
      <c r="AJ114" s="390" t="s">
        <v>73</v>
      </c>
      <c r="AK114" s="397" t="s">
        <v>72</v>
      </c>
      <c r="AL114" s="389" t="s">
        <v>73</v>
      </c>
      <c r="AM114" s="396" t="s">
        <v>72</v>
      </c>
      <c r="AN114" s="390" t="s">
        <v>73</v>
      </c>
    </row>
    <row r="115" spans="1:84" s="1470" customFormat="1" ht="15" customHeight="1">
      <c r="A115" s="2108" t="s">
        <v>2600</v>
      </c>
      <c r="B115" s="4000">
        <f t="shared" ref="B115:B129" si="67">SUM(C115+D115)</f>
        <v>0</v>
      </c>
      <c r="C115" s="3972">
        <f t="shared" si="65"/>
        <v>0</v>
      </c>
      <c r="D115" s="3973">
        <f t="shared" si="66"/>
        <v>0</v>
      </c>
      <c r="E115" s="448"/>
      <c r="F115" s="2229"/>
      <c r="G115" s="448"/>
      <c r="H115" s="2229"/>
      <c r="I115" s="448"/>
      <c r="J115" s="2229"/>
      <c r="K115" s="448"/>
      <c r="L115" s="2229"/>
      <c r="M115" s="448"/>
      <c r="N115" s="2229"/>
      <c r="O115" s="448"/>
      <c r="P115" s="2229"/>
      <c r="Q115" s="448"/>
      <c r="R115" s="2229"/>
      <c r="S115" s="448"/>
      <c r="T115" s="2229"/>
      <c r="U115" s="448"/>
      <c r="V115" s="2229"/>
      <c r="W115" s="448"/>
      <c r="X115" s="2229"/>
      <c r="Y115" s="448"/>
      <c r="Z115" s="2229"/>
      <c r="AA115" s="448"/>
      <c r="AB115" s="2229"/>
      <c r="AC115" s="448"/>
      <c r="AD115" s="2229"/>
      <c r="AE115" s="448"/>
      <c r="AF115" s="2229"/>
      <c r="AG115" s="448"/>
      <c r="AH115" s="2229"/>
      <c r="AI115" s="448"/>
      <c r="AJ115" s="2229"/>
      <c r="AK115" s="448"/>
      <c r="AL115" s="2229"/>
      <c r="AM115" s="448"/>
      <c r="AN115" s="2229"/>
    </row>
    <row r="116" spans="1:84" s="1470" customFormat="1" ht="15" customHeight="1">
      <c r="A116" s="2114" t="s">
        <v>2604</v>
      </c>
      <c r="B116" s="3971">
        <f t="shared" si="67"/>
        <v>0</v>
      </c>
      <c r="C116" s="3972">
        <f t="shared" si="65"/>
        <v>0</v>
      </c>
      <c r="D116" s="3973">
        <f t="shared" si="66"/>
        <v>0</v>
      </c>
      <c r="E116" s="425"/>
      <c r="F116" s="2231"/>
      <c r="G116" s="425"/>
      <c r="H116" s="2231"/>
      <c r="I116" s="425"/>
      <c r="J116" s="2231"/>
      <c r="K116" s="425"/>
      <c r="L116" s="2231"/>
      <c r="M116" s="425"/>
      <c r="N116" s="2231"/>
      <c r="O116" s="425"/>
      <c r="P116" s="2231"/>
      <c r="Q116" s="425"/>
      <c r="R116" s="2231"/>
      <c r="S116" s="425"/>
      <c r="T116" s="2231"/>
      <c r="U116" s="425"/>
      <c r="V116" s="2231"/>
      <c r="W116" s="425"/>
      <c r="X116" s="2231"/>
      <c r="Y116" s="425"/>
      <c r="Z116" s="2231"/>
      <c r="AA116" s="425"/>
      <c r="AB116" s="2231"/>
      <c r="AC116" s="425"/>
      <c r="AD116" s="2231"/>
      <c r="AE116" s="425"/>
      <c r="AF116" s="2231"/>
      <c r="AG116" s="425"/>
      <c r="AH116" s="2231"/>
      <c r="AI116" s="425"/>
      <c r="AJ116" s="2231"/>
      <c r="AK116" s="425"/>
      <c r="AL116" s="2231"/>
      <c r="AM116" s="425"/>
      <c r="AN116" s="2231"/>
    </row>
    <row r="117" spans="1:84" s="1470" customFormat="1" ht="15" customHeight="1">
      <c r="A117" s="2114" t="s">
        <v>2605</v>
      </c>
      <c r="B117" s="3971">
        <f t="shared" si="67"/>
        <v>0</v>
      </c>
      <c r="C117" s="3972">
        <f t="shared" si="65"/>
        <v>0</v>
      </c>
      <c r="D117" s="3973">
        <f t="shared" si="66"/>
        <v>0</v>
      </c>
      <c r="E117" s="3419"/>
      <c r="F117" s="3422"/>
      <c r="G117" s="3419"/>
      <c r="H117" s="3422"/>
      <c r="I117" s="3419"/>
      <c r="J117" s="3422"/>
      <c r="K117" s="3419"/>
      <c r="L117" s="3422"/>
      <c r="M117" s="3419"/>
      <c r="N117" s="3422"/>
      <c r="O117" s="3419"/>
      <c r="P117" s="3422"/>
      <c r="Q117" s="3419"/>
      <c r="R117" s="3422"/>
      <c r="S117" s="3419"/>
      <c r="T117" s="3422"/>
      <c r="U117" s="3419"/>
      <c r="V117" s="3422"/>
      <c r="W117" s="3419"/>
      <c r="X117" s="3422"/>
      <c r="Y117" s="3419"/>
      <c r="Z117" s="3422"/>
      <c r="AA117" s="3419"/>
      <c r="AB117" s="3422"/>
      <c r="AC117" s="3419"/>
      <c r="AD117" s="3422"/>
      <c r="AE117" s="3419"/>
      <c r="AF117" s="3422"/>
      <c r="AG117" s="3419"/>
      <c r="AH117" s="3422"/>
      <c r="AI117" s="3419"/>
      <c r="AJ117" s="3422"/>
      <c r="AK117" s="3419"/>
      <c r="AL117" s="3422"/>
      <c r="AM117" s="3419"/>
      <c r="AN117" s="3422"/>
    </row>
    <row r="118" spans="1:84" s="1470" customFormat="1" ht="15" customHeight="1">
      <c r="A118" s="2284" t="s">
        <v>2602</v>
      </c>
      <c r="B118" s="3971">
        <f t="shared" si="67"/>
        <v>0</v>
      </c>
      <c r="C118" s="3972">
        <f t="shared" si="65"/>
        <v>0</v>
      </c>
      <c r="D118" s="3973">
        <f t="shared" si="66"/>
        <v>0</v>
      </c>
      <c r="E118" s="3419"/>
      <c r="F118" s="3422"/>
      <c r="G118" s="3419"/>
      <c r="H118" s="3422"/>
      <c r="I118" s="3419"/>
      <c r="J118" s="3422"/>
      <c r="K118" s="3419"/>
      <c r="L118" s="3422"/>
      <c r="M118" s="3419"/>
      <c r="N118" s="3422"/>
      <c r="O118" s="3419"/>
      <c r="P118" s="3422"/>
      <c r="Q118" s="3419"/>
      <c r="R118" s="3422"/>
      <c r="S118" s="3419"/>
      <c r="T118" s="3422"/>
      <c r="U118" s="3419"/>
      <c r="V118" s="3422"/>
      <c r="W118" s="3419"/>
      <c r="X118" s="3422"/>
      <c r="Y118" s="3419"/>
      <c r="Z118" s="3422"/>
      <c r="AA118" s="3419"/>
      <c r="AB118" s="3422"/>
      <c r="AC118" s="3419"/>
      <c r="AD118" s="3422"/>
      <c r="AE118" s="3419"/>
      <c r="AF118" s="3422"/>
      <c r="AG118" s="3419"/>
      <c r="AH118" s="3422"/>
      <c r="AI118" s="3419"/>
      <c r="AJ118" s="3422"/>
      <c r="AK118" s="3419"/>
      <c r="AL118" s="3422"/>
      <c r="AM118" s="3419"/>
      <c r="AN118" s="3422"/>
    </row>
    <row r="119" spans="1:84" s="1470" customFormat="1" ht="15" customHeight="1">
      <c r="A119" s="3656" t="s">
        <v>2606</v>
      </c>
      <c r="B119" s="4082">
        <f t="shared" si="67"/>
        <v>0</v>
      </c>
      <c r="C119" s="4081">
        <f t="shared" si="65"/>
        <v>0</v>
      </c>
      <c r="D119" s="3980">
        <f t="shared" si="66"/>
        <v>0</v>
      </c>
      <c r="E119" s="432"/>
      <c r="F119" s="2235"/>
      <c r="G119" s="432"/>
      <c r="H119" s="2235"/>
      <c r="I119" s="432"/>
      <c r="J119" s="2235"/>
      <c r="K119" s="432"/>
      <c r="L119" s="2235"/>
      <c r="M119" s="432"/>
      <c r="N119" s="2235"/>
      <c r="O119" s="432"/>
      <c r="P119" s="2235"/>
      <c r="Q119" s="432"/>
      <c r="R119" s="2235"/>
      <c r="S119" s="432"/>
      <c r="T119" s="2235"/>
      <c r="U119" s="432"/>
      <c r="V119" s="2235"/>
      <c r="W119" s="432"/>
      <c r="X119" s="2235"/>
      <c r="Y119" s="432"/>
      <c r="Z119" s="2235"/>
      <c r="AA119" s="432"/>
      <c r="AB119" s="2235"/>
      <c r="AC119" s="432"/>
      <c r="AD119" s="2235"/>
      <c r="AE119" s="432"/>
      <c r="AF119" s="2235"/>
      <c r="AG119" s="432"/>
      <c r="AH119" s="2235"/>
      <c r="AI119" s="432"/>
      <c r="AJ119" s="2235"/>
      <c r="AK119" s="432"/>
      <c r="AL119" s="2235"/>
      <c r="AM119" s="432"/>
      <c r="AN119" s="2235"/>
    </row>
    <row r="120" spans="1:84" s="2832" customFormat="1" ht="18" customHeight="1">
      <c r="A120" s="2102" t="s">
        <v>2607</v>
      </c>
    </row>
    <row r="121" spans="1:84" s="1470" customFormat="1" ht="15" customHeight="1">
      <c r="A121" s="6298" t="s">
        <v>2547</v>
      </c>
      <c r="B121" s="6153" t="s">
        <v>91</v>
      </c>
      <c r="C121" s="6153"/>
      <c r="D121" s="6154"/>
      <c r="E121" s="5707" t="s">
        <v>115</v>
      </c>
      <c r="F121" s="5708"/>
      <c r="G121" s="5708"/>
      <c r="H121" s="5708"/>
      <c r="I121" s="5708"/>
      <c r="J121" s="5708"/>
      <c r="K121" s="5708"/>
      <c r="L121" s="5708"/>
      <c r="M121" s="5708"/>
      <c r="N121" s="5708"/>
      <c r="O121" s="5708"/>
      <c r="P121" s="5708"/>
      <c r="Q121" s="5708"/>
      <c r="R121" s="5708"/>
      <c r="S121" s="5708"/>
      <c r="T121" s="5708"/>
      <c r="U121" s="5708"/>
      <c r="V121" s="5708"/>
      <c r="W121" s="5708"/>
      <c r="X121" s="5708"/>
      <c r="Y121" s="5708"/>
      <c r="Z121" s="5708"/>
      <c r="AA121" s="5708"/>
      <c r="AB121" s="5708"/>
      <c r="AC121" s="5708"/>
      <c r="AD121" s="5708"/>
      <c r="AE121" s="5708"/>
      <c r="AF121" s="5708"/>
      <c r="AG121" s="5708"/>
      <c r="AH121" s="5708"/>
      <c r="AI121" s="5708"/>
      <c r="AJ121" s="5708"/>
      <c r="AK121" s="5708"/>
      <c r="AL121" s="5708"/>
      <c r="AM121" s="5708"/>
      <c r="AN121" s="6147"/>
      <c r="AO121" s="6762" t="s">
        <v>494</v>
      </c>
    </row>
    <row r="122" spans="1:84" s="1470" customFormat="1" ht="15" customHeight="1">
      <c r="A122" s="6299"/>
      <c r="B122" s="6156"/>
      <c r="C122" s="6156"/>
      <c r="D122" s="6157"/>
      <c r="E122" s="6140" t="s">
        <v>2548</v>
      </c>
      <c r="F122" s="6154"/>
      <c r="G122" s="5707" t="s">
        <v>2549</v>
      </c>
      <c r="H122" s="5709"/>
      <c r="I122" s="5708" t="s">
        <v>2550</v>
      </c>
      <c r="J122" s="5708"/>
      <c r="K122" s="5707" t="s">
        <v>108</v>
      </c>
      <c r="L122" s="5709"/>
      <c r="M122" s="5707" t="s">
        <v>58</v>
      </c>
      <c r="N122" s="5709"/>
      <c r="O122" s="6152" t="s">
        <v>59</v>
      </c>
      <c r="P122" s="6154"/>
      <c r="Q122" s="6152" t="s">
        <v>60</v>
      </c>
      <c r="R122" s="6154"/>
      <c r="S122" s="6152" t="s">
        <v>61</v>
      </c>
      <c r="T122" s="6154"/>
      <c r="U122" s="6153" t="s">
        <v>62</v>
      </c>
      <c r="V122" s="6154"/>
      <c r="W122" s="6152" t="s">
        <v>63</v>
      </c>
      <c r="X122" s="6154"/>
      <c r="Y122" s="6153" t="s">
        <v>64</v>
      </c>
      <c r="Z122" s="6153"/>
      <c r="AA122" s="6152" t="s">
        <v>65</v>
      </c>
      <c r="AB122" s="6154"/>
      <c r="AC122" s="6153" t="s">
        <v>66</v>
      </c>
      <c r="AD122" s="6153"/>
      <c r="AE122" s="6152" t="s">
        <v>67</v>
      </c>
      <c r="AF122" s="6154"/>
      <c r="AG122" s="6153" t="s">
        <v>68</v>
      </c>
      <c r="AH122" s="6153"/>
      <c r="AI122" s="6152" t="s">
        <v>69</v>
      </c>
      <c r="AJ122" s="6154"/>
      <c r="AK122" s="6153" t="s">
        <v>70</v>
      </c>
      <c r="AL122" s="6153"/>
      <c r="AM122" s="5707" t="s">
        <v>71</v>
      </c>
      <c r="AN122" s="6147"/>
      <c r="AO122" s="6763"/>
    </row>
    <row r="123" spans="1:84" s="1470" customFormat="1" ht="15" customHeight="1">
      <c r="A123" s="6300"/>
      <c r="B123" s="396" t="s">
        <v>93</v>
      </c>
      <c r="C123" s="397" t="s">
        <v>72</v>
      </c>
      <c r="D123" s="390" t="s">
        <v>73</v>
      </c>
      <c r="E123" s="396" t="s">
        <v>72</v>
      </c>
      <c r="F123" s="390" t="s">
        <v>73</v>
      </c>
      <c r="G123" s="396" t="s">
        <v>72</v>
      </c>
      <c r="H123" s="390" t="s">
        <v>73</v>
      </c>
      <c r="I123" s="397" t="s">
        <v>72</v>
      </c>
      <c r="J123" s="389" t="s">
        <v>73</v>
      </c>
      <c r="K123" s="396" t="s">
        <v>72</v>
      </c>
      <c r="L123" s="390" t="s">
        <v>73</v>
      </c>
      <c r="M123" s="397" t="s">
        <v>72</v>
      </c>
      <c r="N123" s="389" t="s">
        <v>73</v>
      </c>
      <c r="O123" s="396" t="s">
        <v>72</v>
      </c>
      <c r="P123" s="390" t="s">
        <v>73</v>
      </c>
      <c r="Q123" s="396" t="s">
        <v>72</v>
      </c>
      <c r="R123" s="390" t="s">
        <v>73</v>
      </c>
      <c r="S123" s="396" t="s">
        <v>72</v>
      </c>
      <c r="T123" s="390" t="s">
        <v>73</v>
      </c>
      <c r="U123" s="397" t="s">
        <v>72</v>
      </c>
      <c r="V123" s="390" t="s">
        <v>73</v>
      </c>
      <c r="W123" s="396" t="s">
        <v>72</v>
      </c>
      <c r="X123" s="390" t="s">
        <v>73</v>
      </c>
      <c r="Y123" s="397" t="s">
        <v>72</v>
      </c>
      <c r="Z123" s="389" t="s">
        <v>73</v>
      </c>
      <c r="AA123" s="396" t="s">
        <v>72</v>
      </c>
      <c r="AB123" s="390" t="s">
        <v>73</v>
      </c>
      <c r="AC123" s="397" t="s">
        <v>72</v>
      </c>
      <c r="AD123" s="389" t="s">
        <v>73</v>
      </c>
      <c r="AE123" s="396" t="s">
        <v>72</v>
      </c>
      <c r="AF123" s="390" t="s">
        <v>73</v>
      </c>
      <c r="AG123" s="397" t="s">
        <v>72</v>
      </c>
      <c r="AH123" s="389" t="s">
        <v>73</v>
      </c>
      <c r="AI123" s="396" t="s">
        <v>72</v>
      </c>
      <c r="AJ123" s="390" t="s">
        <v>73</v>
      </c>
      <c r="AK123" s="397" t="s">
        <v>72</v>
      </c>
      <c r="AL123" s="389" t="s">
        <v>73</v>
      </c>
      <c r="AM123" s="396" t="s">
        <v>72</v>
      </c>
      <c r="AN123" s="389" t="s">
        <v>73</v>
      </c>
      <c r="AO123" s="6764"/>
    </row>
    <row r="124" spans="1:84" s="1470" customFormat="1" ht="15" customHeight="1">
      <c r="A124" s="4083" t="s">
        <v>2608</v>
      </c>
      <c r="B124" s="3251">
        <f t="shared" si="67"/>
        <v>0</v>
      </c>
      <c r="C124" s="3189">
        <f>SUM(E124+G124+I124+K124+M124+O124+Q124+S124+U124+W124+Y124+AA124+AC124+AE124+AG124+AI124+AK124+AM124)</f>
        <v>0</v>
      </c>
      <c r="D124" s="3100">
        <f>SUM(F124+H124+J124+L124+N124+P124+R124+T124+V124+X124+Z124+AB124+AD124+AF124+AH124+AJ124+AL124+AN124)</f>
        <v>0</v>
      </c>
      <c r="E124" s="448"/>
      <c r="F124" s="2229"/>
      <c r="G124" s="448"/>
      <c r="H124" s="449"/>
      <c r="I124" s="2307"/>
      <c r="J124" s="3616"/>
      <c r="K124" s="448"/>
      <c r="L124" s="449"/>
      <c r="M124" s="2307"/>
      <c r="N124" s="3616"/>
      <c r="O124" s="448"/>
      <c r="P124" s="449"/>
      <c r="Q124" s="448"/>
      <c r="R124" s="449"/>
      <c r="S124" s="448"/>
      <c r="T124" s="449"/>
      <c r="U124" s="2307"/>
      <c r="V124" s="3616"/>
      <c r="W124" s="448"/>
      <c r="X124" s="449"/>
      <c r="Y124" s="2307"/>
      <c r="Z124" s="3616"/>
      <c r="AA124" s="448"/>
      <c r="AB124" s="449"/>
      <c r="AC124" s="2307"/>
      <c r="AD124" s="3616"/>
      <c r="AE124" s="448"/>
      <c r="AF124" s="449"/>
      <c r="AG124" s="2307"/>
      <c r="AH124" s="3616"/>
      <c r="AI124" s="2246"/>
      <c r="AJ124" s="449"/>
      <c r="AK124" s="2307"/>
      <c r="AL124" s="3616"/>
      <c r="AM124" s="2246"/>
      <c r="AN124" s="3616"/>
      <c r="AO124" s="3391"/>
      <c r="AP124" s="1470" t="str">
        <f t="shared" ref="AP124:AP129" si="68">CA124</f>
        <v/>
      </c>
      <c r="CA124" s="1418" t="str">
        <f t="shared" ref="CA124:CA129" si="69">IF(AND(AO124="",B124&gt;0)," * No olvide digitar la variable Por campaña de Invierno. Digite CERO si no tiene.",IF(AO124&gt;B124," *La variable Por campaña de Invierno no puede ser mayor que el Total Ambos Sexos.",""))</f>
        <v/>
      </c>
      <c r="CF124" s="1420">
        <f t="shared" ref="CF124:CF129" si="70">IF(AND(AO124="",B124&gt;0),1,IF(AO124&gt;B124,1,0))</f>
        <v>0</v>
      </c>
    </row>
    <row r="125" spans="1:84" s="1470" customFormat="1" ht="15" customHeight="1">
      <c r="A125" s="4084" t="s">
        <v>2609</v>
      </c>
      <c r="B125" s="4085">
        <f t="shared" si="67"/>
        <v>0</v>
      </c>
      <c r="C125" s="4086">
        <f>SUM(E125+G125)</f>
        <v>0</v>
      </c>
      <c r="D125" s="3100">
        <f>SUM(F125+H125)</f>
        <v>0</v>
      </c>
      <c r="E125" s="425"/>
      <c r="F125" s="2231"/>
      <c r="G125" s="425"/>
      <c r="H125" s="424"/>
      <c r="I125" s="2880"/>
      <c r="J125" s="3977"/>
      <c r="K125" s="2381"/>
      <c r="L125" s="2382"/>
      <c r="M125" s="2880"/>
      <c r="N125" s="3977"/>
      <c r="O125" s="2381"/>
      <c r="P125" s="2382"/>
      <c r="Q125" s="2381"/>
      <c r="R125" s="2382"/>
      <c r="S125" s="2381"/>
      <c r="T125" s="2382"/>
      <c r="U125" s="2880"/>
      <c r="V125" s="3977"/>
      <c r="W125" s="2381"/>
      <c r="X125" s="2382"/>
      <c r="Y125" s="2880"/>
      <c r="Z125" s="3977"/>
      <c r="AA125" s="2381"/>
      <c r="AB125" s="2382"/>
      <c r="AC125" s="2880"/>
      <c r="AD125" s="3977"/>
      <c r="AE125" s="2381"/>
      <c r="AF125" s="2382"/>
      <c r="AG125" s="2880"/>
      <c r="AH125" s="3977"/>
      <c r="AI125" s="3595"/>
      <c r="AJ125" s="2382"/>
      <c r="AK125" s="2880"/>
      <c r="AL125" s="3977"/>
      <c r="AM125" s="3595"/>
      <c r="AN125" s="3977"/>
      <c r="AO125" s="3392"/>
      <c r="AP125" s="1470" t="str">
        <f t="shared" si="68"/>
        <v/>
      </c>
      <c r="CA125" s="1418" t="str">
        <f t="shared" si="69"/>
        <v/>
      </c>
      <c r="CF125" s="1420">
        <f t="shared" si="70"/>
        <v>0</v>
      </c>
    </row>
    <row r="126" spans="1:84" s="1470" customFormat="1" ht="15" customHeight="1">
      <c r="A126" s="4084" t="s">
        <v>2610</v>
      </c>
      <c r="B126" s="4085">
        <f t="shared" si="67"/>
        <v>0</v>
      </c>
      <c r="C126" s="4086">
        <f>SUM(G126+I126+K126+M126+O126+Q126+S126+U126+W126+Y126+AA126+AC126+AE126+AG126+AI126+AK126+AM126)</f>
        <v>0</v>
      </c>
      <c r="D126" s="3100">
        <f>SUM(H126+J126+L126+N126+P126+R126+T126+V126+X126+Z126+AB126+AD126+AF126+AH126+AJ126+AL126+AN126)</f>
        <v>0</v>
      </c>
      <c r="E126" s="3996"/>
      <c r="F126" s="3997"/>
      <c r="G126" s="425"/>
      <c r="H126" s="424"/>
      <c r="I126" s="423"/>
      <c r="J126" s="3588"/>
      <c r="K126" s="425"/>
      <c r="L126" s="424"/>
      <c r="M126" s="423"/>
      <c r="N126" s="3588"/>
      <c r="O126" s="425"/>
      <c r="P126" s="424"/>
      <c r="Q126" s="425"/>
      <c r="R126" s="424"/>
      <c r="S126" s="425"/>
      <c r="T126" s="424"/>
      <c r="U126" s="423"/>
      <c r="V126" s="3588"/>
      <c r="W126" s="425"/>
      <c r="X126" s="424"/>
      <c r="Y126" s="423"/>
      <c r="Z126" s="3588"/>
      <c r="AA126" s="425"/>
      <c r="AB126" s="424"/>
      <c r="AC126" s="423"/>
      <c r="AD126" s="3588"/>
      <c r="AE126" s="425"/>
      <c r="AF126" s="424"/>
      <c r="AG126" s="423"/>
      <c r="AH126" s="3588"/>
      <c r="AI126" s="3568"/>
      <c r="AJ126" s="424"/>
      <c r="AK126" s="423"/>
      <c r="AL126" s="3588"/>
      <c r="AM126" s="3568"/>
      <c r="AN126" s="3588"/>
      <c r="AO126" s="3392"/>
      <c r="AP126" s="1470" t="str">
        <f t="shared" si="68"/>
        <v/>
      </c>
      <c r="CA126" s="1418" t="str">
        <f t="shared" si="69"/>
        <v/>
      </c>
      <c r="CF126" s="1420">
        <f t="shared" si="70"/>
        <v>0</v>
      </c>
    </row>
    <row r="127" spans="1:84" s="1470" customFormat="1" ht="15" customHeight="1">
      <c r="A127" s="4084" t="s">
        <v>2611</v>
      </c>
      <c r="B127" s="4085">
        <f t="shared" si="67"/>
        <v>0</v>
      </c>
      <c r="C127" s="4086">
        <f>SUM(E127+G127+I127+K127+M127+O127+Q127+S127+U127+W127+Y127+AA127+AC127+AE127+AG127+AI127+AK127+AM127)</f>
        <v>0</v>
      </c>
      <c r="D127" s="3100">
        <f>SUM(F127+H127+J127+L127+N127+P127+R127+T127+V127+X127+Z127+AB127+AD127+AF127+AH127+AJ127+AL127+AN127)</f>
        <v>0</v>
      </c>
      <c r="E127" s="425"/>
      <c r="F127" s="2231"/>
      <c r="G127" s="425"/>
      <c r="H127" s="424"/>
      <c r="I127" s="423"/>
      <c r="J127" s="3588"/>
      <c r="K127" s="425"/>
      <c r="L127" s="424"/>
      <c r="M127" s="423"/>
      <c r="N127" s="3588"/>
      <c r="O127" s="425"/>
      <c r="P127" s="424"/>
      <c r="Q127" s="425"/>
      <c r="R127" s="424"/>
      <c r="S127" s="425"/>
      <c r="T127" s="424"/>
      <c r="U127" s="423"/>
      <c r="V127" s="3588"/>
      <c r="W127" s="425"/>
      <c r="X127" s="424"/>
      <c r="Y127" s="423"/>
      <c r="Z127" s="3588"/>
      <c r="AA127" s="425"/>
      <c r="AB127" s="424"/>
      <c r="AC127" s="423"/>
      <c r="AD127" s="3588"/>
      <c r="AE127" s="425"/>
      <c r="AF127" s="424"/>
      <c r="AG127" s="423"/>
      <c r="AH127" s="3588"/>
      <c r="AI127" s="3568"/>
      <c r="AJ127" s="424"/>
      <c r="AK127" s="423"/>
      <c r="AL127" s="3588"/>
      <c r="AM127" s="3568"/>
      <c r="AN127" s="3588"/>
      <c r="AO127" s="3392"/>
      <c r="AP127" s="1470" t="str">
        <f t="shared" si="68"/>
        <v/>
      </c>
      <c r="CA127" s="1418" t="str">
        <f t="shared" si="69"/>
        <v/>
      </c>
      <c r="CF127" s="1420">
        <f t="shared" si="70"/>
        <v>0</v>
      </c>
    </row>
    <row r="128" spans="1:84" s="1470" customFormat="1" ht="15" customHeight="1">
      <c r="A128" s="4084" t="s">
        <v>2612</v>
      </c>
      <c r="B128" s="4085">
        <f t="shared" si="67"/>
        <v>0</v>
      </c>
      <c r="C128" s="4086">
        <f>SUM(W128+Y128+AA128+AC128+AE128+AG128+AI128+AK128+AM128)</f>
        <v>0</v>
      </c>
      <c r="D128" s="3100">
        <f>SUM(X128+Z128+AB128+AD128+AF128+AH128+AJ128+AL128+AN128)</f>
        <v>0</v>
      </c>
      <c r="E128" s="2381"/>
      <c r="F128" s="2861"/>
      <c r="G128" s="2381"/>
      <c r="H128" s="2382"/>
      <c r="I128" s="2880"/>
      <c r="J128" s="3977"/>
      <c r="K128" s="2381"/>
      <c r="L128" s="2382"/>
      <c r="M128" s="2880"/>
      <c r="N128" s="3977"/>
      <c r="O128" s="2381"/>
      <c r="P128" s="2382"/>
      <c r="Q128" s="2381"/>
      <c r="R128" s="2382"/>
      <c r="S128" s="2381"/>
      <c r="T128" s="2382"/>
      <c r="U128" s="2880"/>
      <c r="V128" s="3977"/>
      <c r="W128" s="425"/>
      <c r="X128" s="424"/>
      <c r="Y128" s="423"/>
      <c r="Z128" s="3588"/>
      <c r="AA128" s="425"/>
      <c r="AB128" s="424"/>
      <c r="AC128" s="423"/>
      <c r="AD128" s="3588"/>
      <c r="AE128" s="425"/>
      <c r="AF128" s="424"/>
      <c r="AG128" s="423"/>
      <c r="AH128" s="3588"/>
      <c r="AI128" s="3568"/>
      <c r="AJ128" s="424"/>
      <c r="AK128" s="423"/>
      <c r="AL128" s="3588"/>
      <c r="AM128" s="3568"/>
      <c r="AN128" s="3588"/>
      <c r="AO128" s="3392"/>
      <c r="AP128" s="1470" t="str">
        <f t="shared" si="68"/>
        <v/>
      </c>
      <c r="CA128" s="1418" t="str">
        <f t="shared" si="69"/>
        <v/>
      </c>
      <c r="CF128" s="1420">
        <f t="shared" si="70"/>
        <v>0</v>
      </c>
    </row>
    <row r="129" spans="1:84" s="1470" customFormat="1" ht="15" customHeight="1">
      <c r="A129" s="4087" t="s">
        <v>2613</v>
      </c>
      <c r="B129" s="4085">
        <f t="shared" si="67"/>
        <v>0</v>
      </c>
      <c r="C129" s="4086">
        <f>SUM(E129+G129+I129+K129+M129+O129+Q129+S129+U129+W129+Y129+AA129+AC129+AE129+AG129+AI129+AK129+AM129)</f>
        <v>0</v>
      </c>
      <c r="D129" s="3100">
        <f>SUM(F129+H129+J129+L129+N129+P129+R129+T129+V129+X129+Z129+AB129+AD129+AF129+AH129+AJ129+AL129+AN129)</f>
        <v>0</v>
      </c>
      <c r="E129" s="432"/>
      <c r="F129" s="2235"/>
      <c r="G129" s="432"/>
      <c r="H129" s="433"/>
      <c r="I129" s="3385"/>
      <c r="J129" s="3443"/>
      <c r="K129" s="432"/>
      <c r="L129" s="433"/>
      <c r="M129" s="3385"/>
      <c r="N129" s="3443"/>
      <c r="O129" s="432"/>
      <c r="P129" s="433"/>
      <c r="Q129" s="432"/>
      <c r="R129" s="433"/>
      <c r="S129" s="432"/>
      <c r="T129" s="433"/>
      <c r="U129" s="3385"/>
      <c r="V129" s="3443"/>
      <c r="W129" s="432"/>
      <c r="X129" s="433"/>
      <c r="Y129" s="3385"/>
      <c r="Z129" s="3443"/>
      <c r="AA129" s="432"/>
      <c r="AB129" s="433"/>
      <c r="AC129" s="3385"/>
      <c r="AD129" s="3443"/>
      <c r="AE129" s="432"/>
      <c r="AF129" s="433"/>
      <c r="AG129" s="3385"/>
      <c r="AH129" s="3443"/>
      <c r="AI129" s="3578"/>
      <c r="AJ129" s="433"/>
      <c r="AK129" s="3385"/>
      <c r="AL129" s="3443"/>
      <c r="AM129" s="3578"/>
      <c r="AN129" s="3443"/>
      <c r="AO129" s="3393"/>
      <c r="AP129" s="1470" t="str">
        <f t="shared" si="68"/>
        <v/>
      </c>
      <c r="CA129" s="1418" t="str">
        <f t="shared" si="69"/>
        <v/>
      </c>
      <c r="CF129" s="1420">
        <f t="shared" si="70"/>
        <v>0</v>
      </c>
    </row>
    <row r="130" spans="1:84" s="1470" customFormat="1" ht="15" customHeight="1">
      <c r="A130" s="388" t="s">
        <v>91</v>
      </c>
      <c r="B130" s="1743">
        <f t="shared" ref="B130:AN130" si="71">SUM(B124:B129)</f>
        <v>0</v>
      </c>
      <c r="C130" s="2310">
        <f t="shared" si="71"/>
        <v>0</v>
      </c>
      <c r="D130" s="1745">
        <f t="shared" si="71"/>
        <v>0</v>
      </c>
      <c r="E130" s="1743">
        <f>SUM(E124:E129)</f>
        <v>0</v>
      </c>
      <c r="F130" s="1745">
        <f t="shared" si="71"/>
        <v>0</v>
      </c>
      <c r="G130" s="1743">
        <f>SUM(G124:G129)</f>
        <v>0</v>
      </c>
      <c r="H130" s="1745">
        <f t="shared" si="71"/>
        <v>0</v>
      </c>
      <c r="I130" s="2310">
        <f t="shared" si="71"/>
        <v>0</v>
      </c>
      <c r="J130" s="3029">
        <f t="shared" si="71"/>
        <v>0</v>
      </c>
      <c r="K130" s="1743">
        <f t="shared" si="71"/>
        <v>0</v>
      </c>
      <c r="L130" s="2297">
        <f t="shared" si="71"/>
        <v>0</v>
      </c>
      <c r="M130" s="2310">
        <f t="shared" si="71"/>
        <v>0</v>
      </c>
      <c r="N130" s="2297">
        <f t="shared" si="71"/>
        <v>0</v>
      </c>
      <c r="O130" s="2310">
        <f t="shared" si="71"/>
        <v>0</v>
      </c>
      <c r="P130" s="2297">
        <f t="shared" si="71"/>
        <v>0</v>
      </c>
      <c r="Q130" s="1743">
        <f t="shared" si="71"/>
        <v>0</v>
      </c>
      <c r="R130" s="2297">
        <f t="shared" si="71"/>
        <v>0</v>
      </c>
      <c r="S130" s="1743">
        <f t="shared" ref="S130:T142" si="72">SUM(S124:S129)</f>
        <v>0</v>
      </c>
      <c r="T130" s="2297">
        <f t="shared" si="72"/>
        <v>0</v>
      </c>
      <c r="U130" s="2310">
        <f t="shared" ref="U130:V142" si="73">SUM(U124:U129)</f>
        <v>0</v>
      </c>
      <c r="V130" s="3029">
        <f t="shared" si="73"/>
        <v>0</v>
      </c>
      <c r="W130" s="1743">
        <f t="shared" si="71"/>
        <v>0</v>
      </c>
      <c r="X130" s="2297">
        <f t="shared" si="71"/>
        <v>0</v>
      </c>
      <c r="Y130" s="2310">
        <f t="shared" si="71"/>
        <v>0</v>
      </c>
      <c r="Z130" s="3029">
        <f t="shared" si="71"/>
        <v>0</v>
      </c>
      <c r="AA130" s="1743">
        <f t="shared" si="71"/>
        <v>0</v>
      </c>
      <c r="AB130" s="2297">
        <f t="shared" si="71"/>
        <v>0</v>
      </c>
      <c r="AC130" s="2310">
        <f t="shared" si="71"/>
        <v>0</v>
      </c>
      <c r="AD130" s="3029">
        <f t="shared" si="71"/>
        <v>0</v>
      </c>
      <c r="AE130" s="1743">
        <f t="shared" si="71"/>
        <v>0</v>
      </c>
      <c r="AF130" s="2297">
        <f t="shared" si="71"/>
        <v>0</v>
      </c>
      <c r="AG130" s="2310">
        <f t="shared" si="71"/>
        <v>0</v>
      </c>
      <c r="AH130" s="3029">
        <f t="shared" si="71"/>
        <v>0</v>
      </c>
      <c r="AI130" s="1743">
        <f t="shared" si="71"/>
        <v>0</v>
      </c>
      <c r="AJ130" s="2297">
        <f t="shared" si="71"/>
        <v>0</v>
      </c>
      <c r="AK130" s="2310">
        <f t="shared" si="71"/>
        <v>0</v>
      </c>
      <c r="AL130" s="3029">
        <f t="shared" si="71"/>
        <v>0</v>
      </c>
      <c r="AM130" s="4006">
        <f t="shared" si="71"/>
        <v>0</v>
      </c>
      <c r="AN130" s="3029">
        <f t="shared" si="71"/>
        <v>0</v>
      </c>
      <c r="AO130" s="4088">
        <f>SUM(AO124:AO129)</f>
        <v>0</v>
      </c>
    </row>
    <row r="131" spans="1:84" s="2832" customFormat="1" ht="18" customHeight="1">
      <c r="A131" s="2101" t="s">
        <v>2614</v>
      </c>
      <c r="B131" s="2101"/>
      <c r="C131" s="2101"/>
      <c r="D131" s="2101"/>
      <c r="E131" s="4089"/>
    </row>
    <row r="132" spans="1:84" s="2832" customFormat="1" ht="18" customHeight="1">
      <c r="A132" s="6878" t="s">
        <v>2615</v>
      </c>
      <c r="B132" s="6878"/>
      <c r="C132" s="6878"/>
      <c r="D132" s="6878"/>
      <c r="E132" s="6878"/>
    </row>
    <row r="133" spans="1:84" s="1470" customFormat="1" ht="15" customHeight="1">
      <c r="A133" s="6154" t="s">
        <v>2599</v>
      </c>
      <c r="B133" s="6486" t="s">
        <v>91</v>
      </c>
      <c r="C133" s="6486"/>
      <c r="D133" s="6487"/>
      <c r="E133" s="5707" t="s">
        <v>115</v>
      </c>
      <c r="F133" s="5708"/>
      <c r="G133" s="5708"/>
      <c r="H133" s="5708"/>
      <c r="I133" s="5708"/>
      <c r="J133" s="5708"/>
      <c r="K133" s="5708"/>
      <c r="L133" s="5708"/>
      <c r="M133" s="5708"/>
      <c r="N133" s="5708"/>
      <c r="O133" s="5708"/>
      <c r="P133" s="5708"/>
      <c r="Q133" s="5708"/>
      <c r="R133" s="5708"/>
      <c r="S133" s="5708"/>
      <c r="T133" s="5708"/>
      <c r="U133" s="5708"/>
      <c r="V133" s="5708"/>
      <c r="W133" s="5708"/>
      <c r="X133" s="5708"/>
      <c r="Y133" s="5708"/>
      <c r="Z133" s="5708"/>
      <c r="AA133" s="5708"/>
      <c r="AB133" s="5708"/>
      <c r="AC133" s="5708"/>
      <c r="AD133" s="5708"/>
      <c r="AE133" s="5708"/>
      <c r="AF133" s="5708"/>
      <c r="AG133" s="5708"/>
      <c r="AH133" s="5708"/>
      <c r="AI133" s="5708"/>
      <c r="AJ133" s="5708"/>
      <c r="AK133" s="5708"/>
      <c r="AL133" s="5708"/>
      <c r="AM133" s="5708"/>
      <c r="AN133" s="5709"/>
    </row>
    <row r="134" spans="1:84" s="1470" customFormat="1" ht="15" customHeight="1">
      <c r="A134" s="6448"/>
      <c r="B134" s="6489"/>
      <c r="C134" s="6489"/>
      <c r="D134" s="6490"/>
      <c r="E134" s="6140" t="s">
        <v>2548</v>
      </c>
      <c r="F134" s="6154"/>
      <c r="G134" s="5707" t="s">
        <v>2549</v>
      </c>
      <c r="H134" s="5709"/>
      <c r="I134" s="5708" t="s">
        <v>2550</v>
      </c>
      <c r="J134" s="5708"/>
      <c r="K134" s="5707" t="s">
        <v>108</v>
      </c>
      <c r="L134" s="5709"/>
      <c r="M134" s="5707" t="s">
        <v>58</v>
      </c>
      <c r="N134" s="5709"/>
      <c r="O134" s="6152" t="s">
        <v>59</v>
      </c>
      <c r="P134" s="6154"/>
      <c r="Q134" s="6152" t="s">
        <v>60</v>
      </c>
      <c r="R134" s="6154"/>
      <c r="S134" s="6152" t="s">
        <v>61</v>
      </c>
      <c r="T134" s="6154"/>
      <c r="U134" s="6153" t="s">
        <v>62</v>
      </c>
      <c r="V134" s="6154"/>
      <c r="W134" s="6152" t="s">
        <v>63</v>
      </c>
      <c r="X134" s="6154"/>
      <c r="Y134" s="6153" t="s">
        <v>64</v>
      </c>
      <c r="Z134" s="6153"/>
      <c r="AA134" s="6152" t="s">
        <v>65</v>
      </c>
      <c r="AB134" s="6154"/>
      <c r="AC134" s="6153" t="s">
        <v>66</v>
      </c>
      <c r="AD134" s="6153"/>
      <c r="AE134" s="6152" t="s">
        <v>67</v>
      </c>
      <c r="AF134" s="6154"/>
      <c r="AG134" s="6153" t="s">
        <v>68</v>
      </c>
      <c r="AH134" s="6153"/>
      <c r="AI134" s="6152" t="s">
        <v>69</v>
      </c>
      <c r="AJ134" s="6154"/>
      <c r="AK134" s="6153" t="s">
        <v>70</v>
      </c>
      <c r="AL134" s="6153"/>
      <c r="AM134" s="5707" t="s">
        <v>71</v>
      </c>
      <c r="AN134" s="5709"/>
    </row>
    <row r="135" spans="1:84" s="1470" customFormat="1" ht="15" customHeight="1">
      <c r="A135" s="6157"/>
      <c r="B135" s="396" t="s">
        <v>93</v>
      </c>
      <c r="C135" s="397" t="s">
        <v>72</v>
      </c>
      <c r="D135" s="390" t="s">
        <v>73</v>
      </c>
      <c r="E135" s="396" t="s">
        <v>72</v>
      </c>
      <c r="F135" s="390" t="s">
        <v>73</v>
      </c>
      <c r="G135" s="396" t="s">
        <v>72</v>
      </c>
      <c r="H135" s="390" t="s">
        <v>73</v>
      </c>
      <c r="I135" s="397" t="s">
        <v>72</v>
      </c>
      <c r="J135" s="389" t="s">
        <v>73</v>
      </c>
      <c r="K135" s="396" t="s">
        <v>72</v>
      </c>
      <c r="L135" s="390" t="s">
        <v>73</v>
      </c>
      <c r="M135" s="397" t="s">
        <v>72</v>
      </c>
      <c r="N135" s="389" t="s">
        <v>73</v>
      </c>
      <c r="O135" s="396" t="s">
        <v>72</v>
      </c>
      <c r="P135" s="390" t="s">
        <v>73</v>
      </c>
      <c r="Q135" s="396" t="s">
        <v>72</v>
      </c>
      <c r="R135" s="390" t="s">
        <v>73</v>
      </c>
      <c r="S135" s="396" t="s">
        <v>72</v>
      </c>
      <c r="T135" s="390" t="s">
        <v>73</v>
      </c>
      <c r="U135" s="397" t="s">
        <v>72</v>
      </c>
      <c r="V135" s="390" t="s">
        <v>73</v>
      </c>
      <c r="W135" s="396" t="s">
        <v>72</v>
      </c>
      <c r="X135" s="390" t="s">
        <v>73</v>
      </c>
      <c r="Y135" s="397" t="s">
        <v>72</v>
      </c>
      <c r="Z135" s="389" t="s">
        <v>73</v>
      </c>
      <c r="AA135" s="396" t="s">
        <v>72</v>
      </c>
      <c r="AB135" s="390" t="s">
        <v>73</v>
      </c>
      <c r="AC135" s="397" t="s">
        <v>72</v>
      </c>
      <c r="AD135" s="389" t="s">
        <v>73</v>
      </c>
      <c r="AE135" s="396" t="s">
        <v>72</v>
      </c>
      <c r="AF135" s="390" t="s">
        <v>73</v>
      </c>
      <c r="AG135" s="397" t="s">
        <v>72</v>
      </c>
      <c r="AH135" s="389" t="s">
        <v>73</v>
      </c>
      <c r="AI135" s="396" t="s">
        <v>72</v>
      </c>
      <c r="AJ135" s="390" t="s">
        <v>73</v>
      </c>
      <c r="AK135" s="397" t="s">
        <v>72</v>
      </c>
      <c r="AL135" s="389" t="s">
        <v>73</v>
      </c>
      <c r="AM135" s="396" t="s">
        <v>72</v>
      </c>
      <c r="AN135" s="390" t="s">
        <v>73</v>
      </c>
    </row>
    <row r="136" spans="1:84" s="1470" customFormat="1" ht="15" customHeight="1">
      <c r="A136" s="1422" t="s">
        <v>2616</v>
      </c>
      <c r="B136" s="447">
        <f t="shared" ref="B136:B141" si="74">SUM(C136+D136)</f>
        <v>0</v>
      </c>
      <c r="C136" s="4086">
        <f t="shared" ref="C136:C141" si="75">SUM(E136+G136+I136+K136+M136+O136+Q136+S136+U136+W136+Y136+AA136+AC136+AE136+AG136+AI136+AK136+AM136)</f>
        <v>0</v>
      </c>
      <c r="D136" s="3100">
        <f t="shared" ref="D136:D141" si="76">SUM(F136+H136+J136+L136+N136+P136+R136+T136+V136+X136+Z136+AB136+AD136+AF136+AH136+AJ136+AL136+AN136)</f>
        <v>0</v>
      </c>
      <c r="E136" s="1517"/>
      <c r="F136" s="1523"/>
      <c r="G136" s="1517"/>
      <c r="H136" s="1523"/>
      <c r="I136" s="1517"/>
      <c r="J136" s="1523"/>
      <c r="K136" s="1517"/>
      <c r="L136" s="1523"/>
      <c r="M136" s="1517"/>
      <c r="N136" s="1523"/>
      <c r="O136" s="1517"/>
      <c r="P136" s="1523"/>
      <c r="Q136" s="1517"/>
      <c r="R136" s="1523"/>
      <c r="S136" s="1517"/>
      <c r="T136" s="1523"/>
      <c r="U136" s="1517"/>
      <c r="V136" s="1523"/>
      <c r="W136" s="1517"/>
      <c r="X136" s="1523"/>
      <c r="Y136" s="1517"/>
      <c r="Z136" s="1523"/>
      <c r="AA136" s="1517"/>
      <c r="AB136" s="1523"/>
      <c r="AC136" s="1517"/>
      <c r="AD136" s="1523"/>
      <c r="AE136" s="1517"/>
      <c r="AF136" s="1523"/>
      <c r="AG136" s="1517"/>
      <c r="AH136" s="1523"/>
      <c r="AI136" s="1517"/>
      <c r="AJ136" s="1523"/>
      <c r="AK136" s="1517"/>
      <c r="AL136" s="1523"/>
      <c r="AM136" s="1517"/>
      <c r="AN136" s="1523"/>
    </row>
    <row r="137" spans="1:84" s="1470" customFormat="1" ht="15" customHeight="1">
      <c r="A137" s="1691" t="s">
        <v>2617</v>
      </c>
      <c r="B137" s="3975">
        <f t="shared" si="74"/>
        <v>0</v>
      </c>
      <c r="C137" s="4086">
        <f t="shared" si="75"/>
        <v>0</v>
      </c>
      <c r="D137" s="3100">
        <f t="shared" si="76"/>
        <v>0</v>
      </c>
      <c r="E137" s="1485"/>
      <c r="F137" s="1692"/>
      <c r="G137" s="1485"/>
      <c r="H137" s="1692"/>
      <c r="I137" s="1485"/>
      <c r="J137" s="1692"/>
      <c r="K137" s="1485"/>
      <c r="L137" s="1692"/>
      <c r="M137" s="1485"/>
      <c r="N137" s="1692"/>
      <c r="O137" s="1485"/>
      <c r="P137" s="1692"/>
      <c r="Q137" s="1485"/>
      <c r="R137" s="1692"/>
      <c r="S137" s="1485"/>
      <c r="T137" s="1692"/>
      <c r="U137" s="1485"/>
      <c r="V137" s="1692"/>
      <c r="W137" s="1485"/>
      <c r="X137" s="1692"/>
      <c r="Y137" s="1485"/>
      <c r="Z137" s="1692"/>
      <c r="AA137" s="1485"/>
      <c r="AB137" s="1692"/>
      <c r="AC137" s="1485"/>
      <c r="AD137" s="1692"/>
      <c r="AE137" s="1485"/>
      <c r="AF137" s="1692"/>
      <c r="AG137" s="1485"/>
      <c r="AH137" s="1692"/>
      <c r="AI137" s="1485"/>
      <c r="AJ137" s="1692"/>
      <c r="AK137" s="1485"/>
      <c r="AL137" s="1692"/>
      <c r="AM137" s="1485"/>
      <c r="AN137" s="1692"/>
    </row>
    <row r="138" spans="1:84" s="1470" customFormat="1" ht="15" customHeight="1">
      <c r="A138" s="1512" t="s">
        <v>2618</v>
      </c>
      <c r="B138" s="3975">
        <f t="shared" si="74"/>
        <v>0</v>
      </c>
      <c r="C138" s="4086">
        <f t="shared" si="75"/>
        <v>0</v>
      </c>
      <c r="D138" s="3100">
        <f t="shared" si="76"/>
        <v>0</v>
      </c>
      <c r="E138" s="1485"/>
      <c r="F138" s="1692"/>
      <c r="G138" s="1485"/>
      <c r="H138" s="1692"/>
      <c r="I138" s="1485"/>
      <c r="J138" s="1692"/>
      <c r="K138" s="1485"/>
      <c r="L138" s="1692"/>
      <c r="M138" s="1485"/>
      <c r="N138" s="1692"/>
      <c r="O138" s="1485"/>
      <c r="P138" s="1692"/>
      <c r="Q138" s="1485"/>
      <c r="R138" s="1692"/>
      <c r="S138" s="1485"/>
      <c r="T138" s="1692"/>
      <c r="U138" s="1485"/>
      <c r="V138" s="1692"/>
      <c r="W138" s="1485"/>
      <c r="X138" s="1692"/>
      <c r="Y138" s="1485"/>
      <c r="Z138" s="1692"/>
      <c r="AA138" s="1485"/>
      <c r="AB138" s="1692"/>
      <c r="AC138" s="1485"/>
      <c r="AD138" s="1692"/>
      <c r="AE138" s="1485"/>
      <c r="AF138" s="1692"/>
      <c r="AG138" s="1485"/>
      <c r="AH138" s="1692"/>
      <c r="AI138" s="1485"/>
      <c r="AJ138" s="1692"/>
      <c r="AK138" s="1485"/>
      <c r="AL138" s="1680"/>
      <c r="AM138" s="1485"/>
      <c r="AN138" s="1692"/>
    </row>
    <row r="139" spans="1:84" s="1470" customFormat="1" ht="15" customHeight="1">
      <c r="A139" s="1691" t="s">
        <v>2619</v>
      </c>
      <c r="B139" s="3975">
        <f t="shared" si="74"/>
        <v>0</v>
      </c>
      <c r="C139" s="4086">
        <f t="shared" si="75"/>
        <v>0</v>
      </c>
      <c r="D139" s="3100">
        <f t="shared" si="76"/>
        <v>0</v>
      </c>
      <c r="E139" s="1485"/>
      <c r="F139" s="1692"/>
      <c r="G139" s="1485"/>
      <c r="H139" s="1692"/>
      <c r="I139" s="1485"/>
      <c r="J139" s="1692"/>
      <c r="K139" s="1485"/>
      <c r="L139" s="1692"/>
      <c r="M139" s="1485"/>
      <c r="N139" s="1692"/>
      <c r="O139" s="1485"/>
      <c r="P139" s="1692"/>
      <c r="Q139" s="1485"/>
      <c r="R139" s="1692"/>
      <c r="S139" s="1485"/>
      <c r="T139" s="1692"/>
      <c r="U139" s="1485"/>
      <c r="V139" s="1692"/>
      <c r="W139" s="1485"/>
      <c r="X139" s="1692"/>
      <c r="Y139" s="1485"/>
      <c r="Z139" s="1692"/>
      <c r="AA139" s="1485"/>
      <c r="AB139" s="1692"/>
      <c r="AC139" s="1485"/>
      <c r="AD139" s="1692"/>
      <c r="AE139" s="1485"/>
      <c r="AF139" s="1692"/>
      <c r="AG139" s="1485"/>
      <c r="AH139" s="1692"/>
      <c r="AI139" s="1485"/>
      <c r="AJ139" s="1692"/>
      <c r="AK139" s="1485"/>
      <c r="AL139" s="1692"/>
      <c r="AM139" s="1485"/>
      <c r="AN139" s="1692"/>
    </row>
    <row r="140" spans="1:84" s="1470" customFormat="1" ht="15" customHeight="1">
      <c r="A140" s="1691" t="s">
        <v>2620</v>
      </c>
      <c r="B140" s="3975">
        <f t="shared" si="74"/>
        <v>0</v>
      </c>
      <c r="C140" s="4086">
        <f t="shared" si="75"/>
        <v>0</v>
      </c>
      <c r="D140" s="3100">
        <f t="shared" si="76"/>
        <v>0</v>
      </c>
      <c r="E140" s="1485"/>
      <c r="F140" s="1692"/>
      <c r="G140" s="1485"/>
      <c r="H140" s="1692"/>
      <c r="I140" s="1485"/>
      <c r="J140" s="1692"/>
      <c r="K140" s="1485"/>
      <c r="L140" s="1692"/>
      <c r="M140" s="1485"/>
      <c r="N140" s="1692"/>
      <c r="O140" s="1485"/>
      <c r="P140" s="1692"/>
      <c r="Q140" s="1485"/>
      <c r="R140" s="1692"/>
      <c r="S140" s="1485"/>
      <c r="T140" s="1692"/>
      <c r="U140" s="1485"/>
      <c r="V140" s="1692"/>
      <c r="W140" s="1485"/>
      <c r="X140" s="1692"/>
      <c r="Y140" s="1485"/>
      <c r="Z140" s="1692"/>
      <c r="AA140" s="1485"/>
      <c r="AB140" s="1692"/>
      <c r="AC140" s="1485"/>
      <c r="AD140" s="1692"/>
      <c r="AE140" s="1485"/>
      <c r="AF140" s="1692"/>
      <c r="AG140" s="1485"/>
      <c r="AH140" s="1692"/>
      <c r="AI140" s="1485"/>
      <c r="AJ140" s="1692"/>
      <c r="AK140" s="1485"/>
      <c r="AL140" s="1692"/>
      <c r="AM140" s="1485"/>
      <c r="AN140" s="1692"/>
    </row>
    <row r="141" spans="1:84" s="1470" customFormat="1" ht="15" customHeight="1">
      <c r="A141" s="1506" t="s">
        <v>930</v>
      </c>
      <c r="B141" s="3975">
        <f t="shared" si="74"/>
        <v>0</v>
      </c>
      <c r="C141" s="4086">
        <f t="shared" si="75"/>
        <v>0</v>
      </c>
      <c r="D141" s="3100">
        <f t="shared" si="76"/>
        <v>0</v>
      </c>
      <c r="E141" s="1485"/>
      <c r="F141" s="1692"/>
      <c r="G141" s="1485"/>
      <c r="H141" s="1692"/>
      <c r="I141" s="1485"/>
      <c r="J141" s="1692"/>
      <c r="K141" s="1485"/>
      <c r="L141" s="1692"/>
      <c r="M141" s="1485"/>
      <c r="N141" s="1692"/>
      <c r="O141" s="1485"/>
      <c r="P141" s="1692"/>
      <c r="Q141" s="1485"/>
      <c r="R141" s="1692"/>
      <c r="S141" s="1485"/>
      <c r="T141" s="1692"/>
      <c r="U141" s="1485"/>
      <c r="V141" s="1692"/>
      <c r="W141" s="1485"/>
      <c r="X141" s="1692"/>
      <c r="Y141" s="1485"/>
      <c r="Z141" s="1692"/>
      <c r="AA141" s="1485"/>
      <c r="AB141" s="1692"/>
      <c r="AC141" s="1485"/>
      <c r="AD141" s="1692"/>
      <c r="AE141" s="1485"/>
      <c r="AF141" s="1692"/>
      <c r="AG141" s="1485"/>
      <c r="AH141" s="1692"/>
      <c r="AI141" s="1485"/>
      <c r="AJ141" s="1692"/>
      <c r="AK141" s="1485"/>
      <c r="AL141" s="1692"/>
      <c r="AM141" s="1485"/>
      <c r="AN141" s="1692"/>
    </row>
    <row r="142" spans="1:84" s="1470" customFormat="1" ht="15" customHeight="1">
      <c r="A142" s="1715" t="s">
        <v>91</v>
      </c>
      <c r="B142" s="401">
        <f>SUM(B136:B141)</f>
        <v>0</v>
      </c>
      <c r="C142" s="402">
        <f>SUM(C136:C141)</f>
        <v>0</v>
      </c>
      <c r="D142" s="392">
        <f>SUM(D136:D141)</f>
        <v>0</v>
      </c>
      <c r="E142" s="401">
        <f>SUM(E136:E141)</f>
        <v>0</v>
      </c>
      <c r="F142" s="403">
        <f t="shared" ref="F142:AN142" si="77">SUM(F136:F141)</f>
        <v>0</v>
      </c>
      <c r="G142" s="401">
        <f t="shared" si="77"/>
        <v>0</v>
      </c>
      <c r="H142" s="403">
        <f t="shared" si="77"/>
        <v>0</v>
      </c>
      <c r="I142" s="401">
        <f t="shared" si="77"/>
        <v>0</v>
      </c>
      <c r="J142" s="403">
        <f t="shared" si="77"/>
        <v>0</v>
      </c>
      <c r="K142" s="401">
        <f t="shared" si="77"/>
        <v>0</v>
      </c>
      <c r="L142" s="403">
        <f t="shared" si="77"/>
        <v>0</v>
      </c>
      <c r="M142" s="401">
        <f t="shared" si="77"/>
        <v>0</v>
      </c>
      <c r="N142" s="403">
        <f t="shared" si="77"/>
        <v>0</v>
      </c>
      <c r="O142" s="401">
        <f t="shared" si="77"/>
        <v>0</v>
      </c>
      <c r="P142" s="403">
        <f t="shared" si="77"/>
        <v>0</v>
      </c>
      <c r="Q142" s="401">
        <f t="shared" si="77"/>
        <v>0</v>
      </c>
      <c r="R142" s="403">
        <f t="shared" si="77"/>
        <v>0</v>
      </c>
      <c r="S142" s="401">
        <f t="shared" si="72"/>
        <v>0</v>
      </c>
      <c r="T142" s="403">
        <f t="shared" si="72"/>
        <v>0</v>
      </c>
      <c r="U142" s="401">
        <f t="shared" si="73"/>
        <v>0</v>
      </c>
      <c r="V142" s="403">
        <f t="shared" si="73"/>
        <v>0</v>
      </c>
      <c r="W142" s="401">
        <f t="shared" si="77"/>
        <v>0</v>
      </c>
      <c r="X142" s="403">
        <f t="shared" si="77"/>
        <v>0</v>
      </c>
      <c r="Y142" s="401">
        <f t="shared" si="77"/>
        <v>0</v>
      </c>
      <c r="Z142" s="403">
        <f t="shared" si="77"/>
        <v>0</v>
      </c>
      <c r="AA142" s="401">
        <f t="shared" si="77"/>
        <v>0</v>
      </c>
      <c r="AB142" s="403">
        <f t="shared" si="77"/>
        <v>0</v>
      </c>
      <c r="AC142" s="401">
        <f t="shared" si="77"/>
        <v>0</v>
      </c>
      <c r="AD142" s="403">
        <f t="shared" si="77"/>
        <v>0</v>
      </c>
      <c r="AE142" s="401">
        <f t="shared" si="77"/>
        <v>0</v>
      </c>
      <c r="AF142" s="403">
        <f t="shared" si="77"/>
        <v>0</v>
      </c>
      <c r="AG142" s="401">
        <f t="shared" si="77"/>
        <v>0</v>
      </c>
      <c r="AH142" s="403">
        <f t="shared" si="77"/>
        <v>0</v>
      </c>
      <c r="AI142" s="401">
        <f t="shared" si="77"/>
        <v>0</v>
      </c>
      <c r="AJ142" s="403">
        <f t="shared" si="77"/>
        <v>0</v>
      </c>
      <c r="AK142" s="401">
        <f t="shared" si="77"/>
        <v>0</v>
      </c>
      <c r="AL142" s="403">
        <f t="shared" si="77"/>
        <v>0</v>
      </c>
      <c r="AM142" s="401">
        <f t="shared" si="77"/>
        <v>0</v>
      </c>
      <c r="AN142" s="403">
        <f t="shared" si="77"/>
        <v>0</v>
      </c>
    </row>
    <row r="143" spans="1:84" s="2832" customFormat="1" ht="18" customHeight="1">
      <c r="A143" s="2102" t="s">
        <v>2621</v>
      </c>
    </row>
    <row r="144" spans="1:84" s="1470" customFormat="1" ht="15" customHeight="1">
      <c r="A144" s="6879" t="s">
        <v>2622</v>
      </c>
      <c r="B144" s="6231"/>
      <c r="C144" s="3696" t="s">
        <v>2623</v>
      </c>
      <c r="D144" s="3700" t="s">
        <v>2624</v>
      </c>
    </row>
    <row r="145" spans="1:40" s="1470" customFormat="1" ht="15" customHeight="1">
      <c r="A145" s="6580" t="s">
        <v>2625</v>
      </c>
      <c r="B145" s="2042" t="s">
        <v>2626</v>
      </c>
      <c r="C145" s="448"/>
      <c r="D145" s="449"/>
    </row>
    <row r="146" spans="1:40" s="1470" customFormat="1" ht="15" customHeight="1">
      <c r="A146" s="6573"/>
      <c r="B146" s="2038" t="s">
        <v>2627</v>
      </c>
      <c r="C146" s="425"/>
      <c r="D146" s="424"/>
    </row>
    <row r="147" spans="1:40" s="1470" customFormat="1" ht="15" customHeight="1">
      <c r="A147" s="6573"/>
      <c r="B147" s="2038" t="s">
        <v>2224</v>
      </c>
      <c r="C147" s="425"/>
      <c r="D147" s="424"/>
    </row>
    <row r="148" spans="1:40" s="1470" customFormat="1" ht="15" customHeight="1">
      <c r="A148" s="6880"/>
      <c r="B148" s="2045" t="s">
        <v>1039</v>
      </c>
      <c r="C148" s="432"/>
      <c r="D148" s="433"/>
    </row>
    <row r="149" spans="1:40" s="1470" customFormat="1" ht="15" customHeight="1">
      <c r="A149" s="6580" t="s">
        <v>2628</v>
      </c>
      <c r="B149" s="2042" t="s">
        <v>2626</v>
      </c>
      <c r="C149" s="413"/>
      <c r="D149" s="412"/>
    </row>
    <row r="150" spans="1:40" s="1470" customFormat="1" ht="15" customHeight="1">
      <c r="A150" s="6573"/>
      <c r="B150" s="2038" t="s">
        <v>2627</v>
      </c>
      <c r="C150" s="425"/>
      <c r="D150" s="424"/>
    </row>
    <row r="151" spans="1:40" s="1470" customFormat="1" ht="15" customHeight="1">
      <c r="A151" s="6573"/>
      <c r="B151" s="2038" t="s">
        <v>2224</v>
      </c>
      <c r="C151" s="425"/>
      <c r="D151" s="424"/>
    </row>
    <row r="152" spans="1:40" s="1470" customFormat="1" ht="15" customHeight="1">
      <c r="A152" s="6880"/>
      <c r="B152" s="2045" t="s">
        <v>1039</v>
      </c>
      <c r="C152" s="432"/>
      <c r="D152" s="433"/>
    </row>
    <row r="153" spans="1:40" s="1470" customFormat="1" ht="15" customHeight="1">
      <c r="A153" s="6858" t="s">
        <v>91</v>
      </c>
      <c r="B153" s="6877"/>
      <c r="C153" s="4091">
        <f>SUM(C145:C152)</f>
        <v>0</v>
      </c>
      <c r="D153" s="4092">
        <f>SUM(D145:D152)</f>
        <v>0</v>
      </c>
    </row>
    <row r="154" spans="1:40" s="2832" customFormat="1" ht="18" customHeight="1">
      <c r="A154" s="2162" t="s">
        <v>2629</v>
      </c>
    </row>
    <row r="155" spans="1:40" s="1470" customFormat="1" ht="15" customHeight="1">
      <c r="A155" s="6583" t="s">
        <v>678</v>
      </c>
      <c r="B155" s="6486" t="s">
        <v>91</v>
      </c>
      <c r="C155" s="6486"/>
      <c r="D155" s="6487"/>
      <c r="E155" s="6586" t="s">
        <v>115</v>
      </c>
      <c r="F155" s="6574"/>
      <c r="G155" s="6574"/>
      <c r="H155" s="6574"/>
      <c r="I155" s="6574"/>
      <c r="J155" s="6574"/>
      <c r="K155" s="6574"/>
      <c r="L155" s="6574"/>
      <c r="M155" s="6574"/>
      <c r="N155" s="6574"/>
      <c r="O155" s="6574"/>
      <c r="P155" s="6574"/>
      <c r="Q155" s="6574"/>
      <c r="R155" s="6574"/>
      <c r="S155" s="6574"/>
      <c r="T155" s="6574"/>
      <c r="U155" s="6574"/>
      <c r="V155" s="6574"/>
      <c r="W155" s="6574"/>
      <c r="X155" s="6574"/>
      <c r="Y155" s="6574"/>
      <c r="Z155" s="6574"/>
      <c r="AA155" s="6574"/>
      <c r="AB155" s="6574"/>
      <c r="AC155" s="6574"/>
      <c r="AD155" s="6574"/>
      <c r="AE155" s="6574"/>
      <c r="AF155" s="6574"/>
      <c r="AG155" s="6574"/>
      <c r="AH155" s="6574"/>
      <c r="AI155" s="6574"/>
      <c r="AJ155" s="6574"/>
      <c r="AK155" s="6574"/>
      <c r="AL155" s="6574"/>
      <c r="AM155" s="6574"/>
      <c r="AN155" s="6575"/>
    </row>
    <row r="156" spans="1:40" s="1470" customFormat="1" ht="15" customHeight="1">
      <c r="A156" s="6584"/>
      <c r="B156" s="6489"/>
      <c r="C156" s="6489"/>
      <c r="D156" s="6490"/>
      <c r="E156" s="6140" t="s">
        <v>2548</v>
      </c>
      <c r="F156" s="6154"/>
      <c r="G156" s="5708" t="s">
        <v>2549</v>
      </c>
      <c r="H156" s="5708"/>
      <c r="I156" s="5707" t="s">
        <v>2550</v>
      </c>
      <c r="J156" s="5709"/>
      <c r="K156" s="5707" t="s">
        <v>108</v>
      </c>
      <c r="L156" s="5709"/>
      <c r="M156" s="5707" t="s">
        <v>58</v>
      </c>
      <c r="N156" s="5709"/>
      <c r="O156" s="6153" t="s">
        <v>59</v>
      </c>
      <c r="P156" s="6153"/>
      <c r="Q156" s="6152" t="s">
        <v>60</v>
      </c>
      <c r="R156" s="6154"/>
      <c r="S156" s="6152" t="s">
        <v>61</v>
      </c>
      <c r="T156" s="6154"/>
      <c r="U156" s="6153" t="s">
        <v>62</v>
      </c>
      <c r="V156" s="6154"/>
      <c r="W156" s="6152" t="s">
        <v>63</v>
      </c>
      <c r="X156" s="6154"/>
      <c r="Y156" s="6153" t="s">
        <v>64</v>
      </c>
      <c r="Z156" s="6153"/>
      <c r="AA156" s="6152" t="s">
        <v>65</v>
      </c>
      <c r="AB156" s="6154"/>
      <c r="AC156" s="6153" t="s">
        <v>66</v>
      </c>
      <c r="AD156" s="6153"/>
      <c r="AE156" s="6152" t="s">
        <v>67</v>
      </c>
      <c r="AF156" s="6154"/>
      <c r="AG156" s="6153" t="s">
        <v>68</v>
      </c>
      <c r="AH156" s="6153"/>
      <c r="AI156" s="6152" t="s">
        <v>69</v>
      </c>
      <c r="AJ156" s="6154"/>
      <c r="AK156" s="6153" t="s">
        <v>70</v>
      </c>
      <c r="AL156" s="6153"/>
      <c r="AM156" s="5707" t="s">
        <v>71</v>
      </c>
      <c r="AN156" s="5709"/>
    </row>
    <row r="157" spans="1:40" s="1470" customFormat="1" ht="15" customHeight="1">
      <c r="A157" s="6585"/>
      <c r="B157" s="4093" t="s">
        <v>93</v>
      </c>
      <c r="C157" s="4094" t="s">
        <v>72</v>
      </c>
      <c r="D157" s="4095" t="s">
        <v>73</v>
      </c>
      <c r="E157" s="397" t="s">
        <v>72</v>
      </c>
      <c r="F157" s="398" t="s">
        <v>73</v>
      </c>
      <c r="G157" s="397" t="s">
        <v>72</v>
      </c>
      <c r="H157" s="398" t="s">
        <v>73</v>
      </c>
      <c r="I157" s="397" t="s">
        <v>72</v>
      </c>
      <c r="J157" s="398" t="s">
        <v>73</v>
      </c>
      <c r="K157" s="397" t="s">
        <v>72</v>
      </c>
      <c r="L157" s="398" t="s">
        <v>73</v>
      </c>
      <c r="M157" s="397" t="s">
        <v>72</v>
      </c>
      <c r="N157" s="398" t="s">
        <v>73</v>
      </c>
      <c r="O157" s="397" t="s">
        <v>72</v>
      </c>
      <c r="P157" s="398" t="s">
        <v>73</v>
      </c>
      <c r="Q157" s="396" t="s">
        <v>72</v>
      </c>
      <c r="R157" s="390" t="s">
        <v>73</v>
      </c>
      <c r="S157" s="396" t="s">
        <v>72</v>
      </c>
      <c r="T157" s="390" t="s">
        <v>73</v>
      </c>
      <c r="U157" s="397" t="s">
        <v>72</v>
      </c>
      <c r="V157" s="390" t="s">
        <v>73</v>
      </c>
      <c r="W157" s="397" t="s">
        <v>72</v>
      </c>
      <c r="X157" s="398" t="s">
        <v>73</v>
      </c>
      <c r="Y157" s="397" t="s">
        <v>72</v>
      </c>
      <c r="Z157" s="398" t="s">
        <v>73</v>
      </c>
      <c r="AA157" s="397" t="s">
        <v>72</v>
      </c>
      <c r="AB157" s="398" t="s">
        <v>73</v>
      </c>
      <c r="AC157" s="397" t="s">
        <v>72</v>
      </c>
      <c r="AD157" s="398" t="s">
        <v>73</v>
      </c>
      <c r="AE157" s="397" t="s">
        <v>72</v>
      </c>
      <c r="AF157" s="398" t="s">
        <v>73</v>
      </c>
      <c r="AG157" s="397" t="s">
        <v>72</v>
      </c>
      <c r="AH157" s="398" t="s">
        <v>73</v>
      </c>
      <c r="AI157" s="397" t="s">
        <v>72</v>
      </c>
      <c r="AJ157" s="398" t="s">
        <v>73</v>
      </c>
      <c r="AK157" s="397" t="s">
        <v>72</v>
      </c>
      <c r="AL157" s="398" t="s">
        <v>73</v>
      </c>
      <c r="AM157" s="397" t="s">
        <v>72</v>
      </c>
      <c r="AN157" s="390" t="s">
        <v>73</v>
      </c>
    </row>
    <row r="158" spans="1:40" s="1470" customFormat="1" ht="15" customHeight="1">
      <c r="A158" s="4096" t="s">
        <v>2630</v>
      </c>
      <c r="B158" s="3225">
        <f t="shared" ref="B158:B162" si="78">SUM(C158:D158)</f>
        <v>0</v>
      </c>
      <c r="C158" s="4097">
        <f t="shared" ref="C158:C162" si="79">+E158+G158+I158+K158+M158+O158+Q158+S158+U158+W158+Y158+AA158+AC158+AE158+AG158+AI158+AK158+AM158</f>
        <v>0</v>
      </c>
      <c r="D158" s="4098">
        <f t="shared" ref="D158:D162" si="80">+F158+H158+J158+L158+N158+P158+R158+T158+V158+X158+Z158+AB158+AD158+AF158+AH158+AJ158+AL158+AN158</f>
        <v>0</v>
      </c>
      <c r="E158" s="2307"/>
      <c r="F158" s="412"/>
      <c r="G158" s="2307"/>
      <c r="H158" s="412"/>
      <c r="I158" s="2307"/>
      <c r="J158" s="412"/>
      <c r="K158" s="2307"/>
      <c r="L158" s="412"/>
      <c r="M158" s="2307"/>
      <c r="N158" s="412"/>
      <c r="O158" s="2307"/>
      <c r="P158" s="412"/>
      <c r="Q158" s="2307"/>
      <c r="R158" s="412"/>
      <c r="S158" s="2307"/>
      <c r="T158" s="412"/>
      <c r="U158" s="2307"/>
      <c r="V158" s="412"/>
      <c r="W158" s="2307"/>
      <c r="X158" s="412"/>
      <c r="Y158" s="2307"/>
      <c r="Z158" s="412"/>
      <c r="AA158" s="2307"/>
      <c r="AB158" s="412"/>
      <c r="AC158" s="2307"/>
      <c r="AD158" s="412"/>
      <c r="AE158" s="2307"/>
      <c r="AF158" s="412"/>
      <c r="AG158" s="2307"/>
      <c r="AH158" s="412"/>
      <c r="AI158" s="2307"/>
      <c r="AJ158" s="412"/>
      <c r="AK158" s="2307"/>
      <c r="AL158" s="412"/>
      <c r="AM158" s="411"/>
      <c r="AN158" s="412"/>
    </row>
    <row r="159" spans="1:40" s="1470" customFormat="1" ht="15" customHeight="1">
      <c r="A159" s="3654" t="s">
        <v>2631</v>
      </c>
      <c r="B159" s="3290">
        <f t="shared" si="78"/>
        <v>0</v>
      </c>
      <c r="C159" s="4099">
        <f t="shared" si="79"/>
        <v>0</v>
      </c>
      <c r="D159" s="4100">
        <f t="shared" si="80"/>
        <v>0</v>
      </c>
      <c r="E159" s="423"/>
      <c r="F159" s="424"/>
      <c r="G159" s="423"/>
      <c r="H159" s="424"/>
      <c r="I159" s="423"/>
      <c r="J159" s="424"/>
      <c r="K159" s="423"/>
      <c r="L159" s="424"/>
      <c r="M159" s="423"/>
      <c r="N159" s="424"/>
      <c r="O159" s="423"/>
      <c r="P159" s="424"/>
      <c r="Q159" s="423"/>
      <c r="R159" s="424"/>
      <c r="S159" s="423"/>
      <c r="T159" s="424"/>
      <c r="U159" s="423"/>
      <c r="V159" s="424"/>
      <c r="W159" s="423"/>
      <c r="X159" s="424"/>
      <c r="Y159" s="423"/>
      <c r="Z159" s="424"/>
      <c r="AA159" s="423"/>
      <c r="AB159" s="424"/>
      <c r="AC159" s="423"/>
      <c r="AD159" s="424"/>
      <c r="AE159" s="423"/>
      <c r="AF159" s="424"/>
      <c r="AG159" s="423"/>
      <c r="AH159" s="424"/>
      <c r="AI159" s="423"/>
      <c r="AJ159" s="424"/>
      <c r="AK159" s="423"/>
      <c r="AL159" s="424"/>
      <c r="AM159" s="423"/>
      <c r="AN159" s="424"/>
    </row>
    <row r="160" spans="1:40" s="1470" customFormat="1" ht="15" customHeight="1">
      <c r="A160" s="4078" t="s">
        <v>2632</v>
      </c>
      <c r="B160" s="3290">
        <f t="shared" si="78"/>
        <v>0</v>
      </c>
      <c r="C160" s="4101">
        <f t="shared" si="79"/>
        <v>0</v>
      </c>
      <c r="D160" s="4102">
        <f t="shared" si="80"/>
        <v>0</v>
      </c>
      <c r="E160" s="3424"/>
      <c r="F160" s="3441"/>
      <c r="G160" s="3424"/>
      <c r="H160" s="3441"/>
      <c r="I160" s="3424"/>
      <c r="J160" s="3441"/>
      <c r="K160" s="3424"/>
      <c r="L160" s="3441"/>
      <c r="M160" s="3424"/>
      <c r="N160" s="3441"/>
      <c r="O160" s="3424"/>
      <c r="P160" s="3441"/>
      <c r="Q160" s="3424"/>
      <c r="R160" s="3441"/>
      <c r="S160" s="3424"/>
      <c r="T160" s="3441"/>
      <c r="U160" s="3424"/>
      <c r="V160" s="3441"/>
      <c r="W160" s="3424"/>
      <c r="X160" s="3441"/>
      <c r="Y160" s="3424"/>
      <c r="Z160" s="3441"/>
      <c r="AA160" s="3424"/>
      <c r="AB160" s="3441"/>
      <c r="AC160" s="3424"/>
      <c r="AD160" s="3441"/>
      <c r="AE160" s="3424"/>
      <c r="AF160" s="3441"/>
      <c r="AG160" s="3424"/>
      <c r="AH160" s="3441"/>
      <c r="AI160" s="3424"/>
      <c r="AJ160" s="3441"/>
      <c r="AK160" s="3424"/>
      <c r="AL160" s="3441"/>
      <c r="AM160" s="3424"/>
      <c r="AN160" s="3441"/>
    </row>
    <row r="161" spans="1:40" s="1470" customFormat="1" ht="15" customHeight="1">
      <c r="A161" s="4078" t="s">
        <v>2633</v>
      </c>
      <c r="B161" s="3290">
        <f t="shared" si="78"/>
        <v>0</v>
      </c>
      <c r="C161" s="4101">
        <f t="shared" si="79"/>
        <v>0</v>
      </c>
      <c r="D161" s="4102">
        <f t="shared" si="80"/>
        <v>0</v>
      </c>
      <c r="E161" s="3424"/>
      <c r="F161" s="3441"/>
      <c r="G161" s="3424"/>
      <c r="H161" s="3441"/>
      <c r="I161" s="3424"/>
      <c r="J161" s="3441"/>
      <c r="K161" s="3424"/>
      <c r="L161" s="3441"/>
      <c r="M161" s="3424"/>
      <c r="N161" s="3441"/>
      <c r="O161" s="3424"/>
      <c r="P161" s="3441"/>
      <c r="Q161" s="3424"/>
      <c r="R161" s="3441"/>
      <c r="S161" s="3424"/>
      <c r="T161" s="3441"/>
      <c r="U161" s="3424"/>
      <c r="V161" s="3441"/>
      <c r="W161" s="3424"/>
      <c r="X161" s="3441"/>
      <c r="Y161" s="3424"/>
      <c r="Z161" s="3441"/>
      <c r="AA161" s="3424"/>
      <c r="AB161" s="3441"/>
      <c r="AC161" s="3424"/>
      <c r="AD161" s="3441"/>
      <c r="AE161" s="3424"/>
      <c r="AF161" s="3441"/>
      <c r="AG161" s="3424"/>
      <c r="AH161" s="3441"/>
      <c r="AI161" s="3424"/>
      <c r="AJ161" s="3441"/>
      <c r="AK161" s="3424"/>
      <c r="AL161" s="3441"/>
      <c r="AM161" s="3424"/>
      <c r="AN161" s="3441"/>
    </row>
    <row r="162" spans="1:40" s="1470" customFormat="1" ht="15" customHeight="1">
      <c r="A162" s="3656" t="s">
        <v>2634</v>
      </c>
      <c r="B162" s="3198">
        <f t="shared" si="78"/>
        <v>0</v>
      </c>
      <c r="C162" s="4103">
        <f t="shared" si="79"/>
        <v>0</v>
      </c>
      <c r="D162" s="4104">
        <f t="shared" si="80"/>
        <v>0</v>
      </c>
      <c r="E162" s="3385"/>
      <c r="F162" s="433"/>
      <c r="G162" s="3385"/>
      <c r="H162" s="433"/>
      <c r="I162" s="3385"/>
      <c r="J162" s="433"/>
      <c r="K162" s="3385"/>
      <c r="L162" s="433"/>
      <c r="M162" s="3385"/>
      <c r="N162" s="433"/>
      <c r="O162" s="3385"/>
      <c r="P162" s="433"/>
      <c r="Q162" s="3385"/>
      <c r="R162" s="433"/>
      <c r="S162" s="3385"/>
      <c r="T162" s="433"/>
      <c r="U162" s="3385"/>
      <c r="V162" s="433"/>
      <c r="W162" s="3385"/>
      <c r="X162" s="433"/>
      <c r="Y162" s="3385"/>
      <c r="Z162" s="433"/>
      <c r="AA162" s="3385"/>
      <c r="AB162" s="433"/>
      <c r="AC162" s="3385"/>
      <c r="AD162" s="433"/>
      <c r="AE162" s="3385"/>
      <c r="AF162" s="433"/>
      <c r="AG162" s="3385"/>
      <c r="AH162" s="433"/>
      <c r="AI162" s="3385"/>
      <c r="AJ162" s="433"/>
      <c r="AK162" s="3385"/>
      <c r="AL162" s="433"/>
      <c r="AM162" s="3385"/>
      <c r="AN162" s="433"/>
    </row>
    <row r="163" spans="1:40" s="2832" customFormat="1" ht="18" customHeight="1">
      <c r="A163" s="6881" t="s">
        <v>2635</v>
      </c>
      <c r="B163" s="6881"/>
      <c r="C163" s="6881"/>
    </row>
    <row r="164" spans="1:40" s="1470" customFormat="1" ht="21">
      <c r="A164" s="6882" t="s">
        <v>1124</v>
      </c>
      <c r="B164" s="6882"/>
      <c r="C164" s="2848" t="s">
        <v>2636</v>
      </c>
      <c r="D164" s="4105" t="s">
        <v>2637</v>
      </c>
      <c r="E164" s="4106" t="s">
        <v>2638</v>
      </c>
      <c r="F164" s="4106" t="s">
        <v>2583</v>
      </c>
      <c r="G164" s="2550" t="s">
        <v>619</v>
      </c>
    </row>
    <row r="165" spans="1:40" s="1470" customFormat="1" ht="15" customHeight="1">
      <c r="A165" s="6883" t="s">
        <v>2639</v>
      </c>
      <c r="B165" s="3318" t="s">
        <v>2640</v>
      </c>
      <c r="C165" s="4107">
        <f t="shared" ref="C165:C170" si="81">SUM(D165:G165)</f>
        <v>0</v>
      </c>
      <c r="D165" s="3394"/>
      <c r="E165" s="3395"/>
      <c r="F165" s="3395"/>
      <c r="G165" s="3563"/>
    </row>
    <row r="166" spans="1:40" s="1470" customFormat="1" ht="15" customHeight="1">
      <c r="A166" s="6569"/>
      <c r="B166" s="3250" t="s">
        <v>2641</v>
      </c>
      <c r="C166" s="4108">
        <f t="shared" si="81"/>
        <v>0</v>
      </c>
      <c r="D166" s="3419"/>
      <c r="E166" s="3420"/>
      <c r="F166" s="3420"/>
      <c r="G166" s="3422"/>
    </row>
    <row r="167" spans="1:40" s="1470" customFormat="1" ht="15" customHeight="1">
      <c r="A167" s="6570"/>
      <c r="B167" s="4090" t="s">
        <v>2642</v>
      </c>
      <c r="C167" s="3545">
        <f t="shared" si="81"/>
        <v>0</v>
      </c>
      <c r="D167" s="432"/>
      <c r="E167" s="3384"/>
      <c r="F167" s="3384"/>
      <c r="G167" s="2235"/>
    </row>
    <row r="168" spans="1:40" s="1470" customFormat="1" ht="15" customHeight="1">
      <c r="A168" s="6883" t="s">
        <v>2643</v>
      </c>
      <c r="B168" s="3318" t="s">
        <v>2644</v>
      </c>
      <c r="C168" s="3542">
        <f t="shared" si="81"/>
        <v>0</v>
      </c>
      <c r="D168" s="3437"/>
      <c r="E168" s="3438"/>
      <c r="F168" s="3438"/>
      <c r="G168" s="3396"/>
    </row>
    <row r="169" spans="1:40" s="1470" customFormat="1" ht="15" customHeight="1">
      <c r="A169" s="6569"/>
      <c r="B169" s="3250" t="s">
        <v>2645</v>
      </c>
      <c r="C169" s="3542">
        <f t="shared" si="81"/>
        <v>0</v>
      </c>
      <c r="D169" s="3419"/>
      <c r="E169" s="3420"/>
      <c r="F169" s="3420"/>
      <c r="G169" s="3422"/>
    </row>
    <row r="170" spans="1:40" s="1470" customFormat="1" ht="15" customHeight="1">
      <c r="A170" s="6570"/>
      <c r="B170" s="3352" t="s">
        <v>2646</v>
      </c>
      <c r="C170" s="3545">
        <f t="shared" si="81"/>
        <v>0</v>
      </c>
      <c r="D170" s="432"/>
      <c r="E170" s="3384"/>
      <c r="F170" s="3384"/>
      <c r="G170" s="2235"/>
    </row>
    <row r="171" spans="1:40" s="2832" customFormat="1" ht="18" customHeight="1">
      <c r="A171" s="6881" t="s">
        <v>2647</v>
      </c>
      <c r="B171" s="6881"/>
      <c r="C171" s="6356"/>
    </row>
    <row r="172" spans="1:40" s="1470" customFormat="1" ht="15" customHeight="1">
      <c r="A172" s="6486" t="s">
        <v>1124</v>
      </c>
      <c r="B172" s="6487"/>
      <c r="C172" s="6709" t="s">
        <v>91</v>
      </c>
      <c r="D172" s="6486"/>
      <c r="E172" s="6487"/>
      <c r="F172" s="5707" t="s">
        <v>115</v>
      </c>
      <c r="G172" s="5708"/>
      <c r="H172" s="5708"/>
      <c r="I172" s="5708"/>
      <c r="J172" s="5708"/>
      <c r="K172" s="5709"/>
    </row>
    <row r="173" spans="1:40" s="1470" customFormat="1" ht="15" customHeight="1">
      <c r="A173" s="6862"/>
      <c r="B173" s="6812"/>
      <c r="C173" s="6853"/>
      <c r="D173" s="6489"/>
      <c r="E173" s="6490"/>
      <c r="F173" s="5708" t="s">
        <v>2423</v>
      </c>
      <c r="G173" s="5709"/>
      <c r="H173" s="5707" t="s">
        <v>2648</v>
      </c>
      <c r="I173" s="5709"/>
      <c r="J173" s="6574" t="s">
        <v>691</v>
      </c>
      <c r="K173" s="6575"/>
    </row>
    <row r="174" spans="1:40" s="1470" customFormat="1" ht="15" customHeight="1">
      <c r="A174" s="6489"/>
      <c r="B174" s="6490"/>
      <c r="C174" s="3696" t="s">
        <v>93</v>
      </c>
      <c r="D174" s="3699" t="s">
        <v>72</v>
      </c>
      <c r="E174" s="1644" t="s">
        <v>73</v>
      </c>
      <c r="F174" s="4093" t="s">
        <v>72</v>
      </c>
      <c r="G174" s="2837" t="s">
        <v>73</v>
      </c>
      <c r="H174" s="4093" t="s">
        <v>72</v>
      </c>
      <c r="I174" s="2837" t="s">
        <v>73</v>
      </c>
      <c r="J174" s="4094" t="s">
        <v>72</v>
      </c>
      <c r="K174" s="2837" t="s">
        <v>73</v>
      </c>
    </row>
    <row r="175" spans="1:40" s="1470" customFormat="1" ht="15" customHeight="1">
      <c r="A175" s="6127" t="s">
        <v>2649</v>
      </c>
      <c r="B175" s="2237" t="s">
        <v>2644</v>
      </c>
      <c r="C175" s="4109">
        <f t="shared" ref="C175:C178" si="82">SUM(D175:E175)</f>
        <v>0</v>
      </c>
      <c r="D175" s="4097">
        <f>SUM(F175+H175+J175)</f>
        <v>0</v>
      </c>
      <c r="E175" s="4110">
        <f t="shared" ref="D175:E178" si="83">SUM(G175+I175+K175)</f>
        <v>0</v>
      </c>
      <c r="F175" s="3437"/>
      <c r="G175" s="3396"/>
      <c r="H175" s="3437"/>
      <c r="I175" s="3396"/>
      <c r="J175" s="3600"/>
      <c r="K175" s="3396"/>
    </row>
    <row r="176" spans="1:40" s="1470" customFormat="1" ht="15" customHeight="1">
      <c r="A176" s="6128"/>
      <c r="B176" s="2237" t="s">
        <v>2640</v>
      </c>
      <c r="C176" s="4109">
        <f t="shared" si="82"/>
        <v>0</v>
      </c>
      <c r="D176" s="4097">
        <f t="shared" si="83"/>
        <v>0</v>
      </c>
      <c r="E176" s="4110">
        <f t="shared" si="83"/>
        <v>0</v>
      </c>
      <c r="F176" s="3419"/>
      <c r="G176" s="3422"/>
      <c r="H176" s="3419"/>
      <c r="I176" s="3422"/>
      <c r="J176" s="3424"/>
      <c r="K176" s="3422"/>
    </row>
    <row r="177" spans="1:42" s="1470" customFormat="1" ht="15" customHeight="1">
      <c r="A177" s="6128"/>
      <c r="B177" s="2237" t="s">
        <v>2641</v>
      </c>
      <c r="C177" s="4109">
        <f t="shared" si="82"/>
        <v>0</v>
      </c>
      <c r="D177" s="4097">
        <f t="shared" si="83"/>
        <v>0</v>
      </c>
      <c r="E177" s="4110">
        <f t="shared" si="83"/>
        <v>0</v>
      </c>
      <c r="F177" s="3419"/>
      <c r="G177" s="3422"/>
      <c r="H177" s="3419"/>
      <c r="I177" s="3422"/>
      <c r="J177" s="3424"/>
      <c r="K177" s="3422"/>
    </row>
    <row r="178" spans="1:42" s="1470" customFormat="1" ht="15" customHeight="1">
      <c r="A178" s="6129"/>
      <c r="B178" s="453" t="s">
        <v>2650</v>
      </c>
      <c r="C178" s="4111">
        <f t="shared" si="82"/>
        <v>0</v>
      </c>
      <c r="D178" s="4103">
        <f t="shared" si="83"/>
        <v>0</v>
      </c>
      <c r="E178" s="3529">
        <f t="shared" si="83"/>
        <v>0</v>
      </c>
      <c r="F178" s="432"/>
      <c r="G178" s="2235"/>
      <c r="H178" s="432"/>
      <c r="I178" s="2235"/>
      <c r="J178" s="3385"/>
      <c r="K178" s="2235"/>
    </row>
    <row r="179" spans="1:42" s="2832" customFormat="1" ht="18" customHeight="1">
      <c r="A179" s="2101" t="s">
        <v>2651</v>
      </c>
    </row>
    <row r="180" spans="1:42" s="1470" customFormat="1" ht="15" customHeight="1">
      <c r="A180" s="6890" t="s">
        <v>2652</v>
      </c>
      <c r="B180" s="6890"/>
      <c r="C180" s="6494" t="s">
        <v>2653</v>
      </c>
      <c r="D180" s="6486" t="s">
        <v>91</v>
      </c>
      <c r="E180" s="6486"/>
      <c r="F180" s="6487"/>
      <c r="G180" s="6586" t="s">
        <v>115</v>
      </c>
      <c r="H180" s="6574"/>
      <c r="I180" s="6574"/>
      <c r="J180" s="6574"/>
      <c r="K180" s="6574"/>
      <c r="L180" s="6574"/>
      <c r="M180" s="6574"/>
      <c r="N180" s="6574"/>
      <c r="O180" s="6574"/>
      <c r="P180" s="6574"/>
      <c r="Q180" s="6574"/>
      <c r="R180" s="6574"/>
      <c r="S180" s="6574"/>
      <c r="T180" s="6574"/>
      <c r="U180" s="6574"/>
      <c r="V180" s="6574"/>
      <c r="W180" s="6574"/>
      <c r="X180" s="6574"/>
      <c r="Y180" s="6574"/>
      <c r="Z180" s="6574"/>
      <c r="AA180" s="6574"/>
      <c r="AB180" s="6574"/>
      <c r="AC180" s="6574"/>
      <c r="AD180" s="6574"/>
      <c r="AE180" s="6574"/>
      <c r="AF180" s="6574"/>
      <c r="AG180" s="6574"/>
      <c r="AH180" s="6574"/>
      <c r="AI180" s="6574"/>
      <c r="AJ180" s="6574"/>
      <c r="AK180" s="6574"/>
      <c r="AL180" s="6574"/>
      <c r="AM180" s="6574"/>
      <c r="AN180" s="6574"/>
      <c r="AO180" s="6574"/>
      <c r="AP180" s="6575"/>
    </row>
    <row r="181" spans="1:42" s="1470" customFormat="1" ht="15" customHeight="1">
      <c r="A181" s="6891"/>
      <c r="B181" s="6891"/>
      <c r="C181" s="6494"/>
      <c r="D181" s="6489"/>
      <c r="E181" s="6489"/>
      <c r="F181" s="6490"/>
      <c r="G181" s="6140" t="s">
        <v>2548</v>
      </c>
      <c r="H181" s="6154"/>
      <c r="I181" s="5708" t="s">
        <v>2549</v>
      </c>
      <c r="J181" s="5708"/>
      <c r="K181" s="5707" t="s">
        <v>2550</v>
      </c>
      <c r="L181" s="5709"/>
      <c r="M181" s="5707" t="s">
        <v>108</v>
      </c>
      <c r="N181" s="5709"/>
      <c r="O181" s="5707" t="s">
        <v>58</v>
      </c>
      <c r="P181" s="5709"/>
      <c r="Q181" s="6153" t="s">
        <v>59</v>
      </c>
      <c r="R181" s="6153"/>
      <c r="S181" s="6152" t="s">
        <v>60</v>
      </c>
      <c r="T181" s="6154"/>
      <c r="U181" s="6152" t="s">
        <v>61</v>
      </c>
      <c r="V181" s="6154"/>
      <c r="W181" s="6153" t="s">
        <v>62</v>
      </c>
      <c r="X181" s="6154"/>
      <c r="Y181" s="6152" t="s">
        <v>63</v>
      </c>
      <c r="Z181" s="6154"/>
      <c r="AA181" s="6153" t="s">
        <v>64</v>
      </c>
      <c r="AB181" s="6153"/>
      <c r="AC181" s="6152" t="s">
        <v>65</v>
      </c>
      <c r="AD181" s="6154"/>
      <c r="AE181" s="6153" t="s">
        <v>66</v>
      </c>
      <c r="AF181" s="6153"/>
      <c r="AG181" s="6152" t="s">
        <v>67</v>
      </c>
      <c r="AH181" s="6154"/>
      <c r="AI181" s="6153" t="s">
        <v>68</v>
      </c>
      <c r="AJ181" s="6153"/>
      <c r="AK181" s="6152" t="s">
        <v>69</v>
      </c>
      <c r="AL181" s="6154"/>
      <c r="AM181" s="6153" t="s">
        <v>70</v>
      </c>
      <c r="AN181" s="6153"/>
      <c r="AO181" s="5707" t="s">
        <v>71</v>
      </c>
      <c r="AP181" s="5709"/>
    </row>
    <row r="182" spans="1:42" s="1470" customFormat="1" ht="15" customHeight="1">
      <c r="A182" s="6892"/>
      <c r="B182" s="6892"/>
      <c r="C182" s="6494"/>
      <c r="D182" s="4093" t="s">
        <v>93</v>
      </c>
      <c r="E182" s="4094" t="s">
        <v>72</v>
      </c>
      <c r="F182" s="2837" t="s">
        <v>73</v>
      </c>
      <c r="G182" s="397" t="s">
        <v>72</v>
      </c>
      <c r="H182" s="398" t="s">
        <v>73</v>
      </c>
      <c r="I182" s="397" t="s">
        <v>72</v>
      </c>
      <c r="J182" s="398" t="s">
        <v>73</v>
      </c>
      <c r="K182" s="397" t="s">
        <v>72</v>
      </c>
      <c r="L182" s="398" t="s">
        <v>73</v>
      </c>
      <c r="M182" s="397" t="s">
        <v>72</v>
      </c>
      <c r="N182" s="398" t="s">
        <v>73</v>
      </c>
      <c r="O182" s="397" t="s">
        <v>72</v>
      </c>
      <c r="P182" s="398" t="s">
        <v>73</v>
      </c>
      <c r="Q182" s="397" t="s">
        <v>72</v>
      </c>
      <c r="R182" s="398" t="s">
        <v>73</v>
      </c>
      <c r="S182" s="396" t="s">
        <v>72</v>
      </c>
      <c r="T182" s="390" t="s">
        <v>73</v>
      </c>
      <c r="U182" s="396" t="s">
        <v>72</v>
      </c>
      <c r="V182" s="390" t="s">
        <v>73</v>
      </c>
      <c r="W182" s="397" t="s">
        <v>72</v>
      </c>
      <c r="X182" s="390" t="s">
        <v>73</v>
      </c>
      <c r="Y182" s="397" t="s">
        <v>72</v>
      </c>
      <c r="Z182" s="398" t="s">
        <v>73</v>
      </c>
      <c r="AA182" s="397" t="s">
        <v>72</v>
      </c>
      <c r="AB182" s="398" t="s">
        <v>73</v>
      </c>
      <c r="AC182" s="397" t="s">
        <v>72</v>
      </c>
      <c r="AD182" s="398" t="s">
        <v>73</v>
      </c>
      <c r="AE182" s="397" t="s">
        <v>72</v>
      </c>
      <c r="AF182" s="398" t="s">
        <v>73</v>
      </c>
      <c r="AG182" s="397" t="s">
        <v>72</v>
      </c>
      <c r="AH182" s="398" t="s">
        <v>73</v>
      </c>
      <c r="AI182" s="397" t="s">
        <v>72</v>
      </c>
      <c r="AJ182" s="398" t="s">
        <v>73</v>
      </c>
      <c r="AK182" s="397" t="s">
        <v>72</v>
      </c>
      <c r="AL182" s="398" t="s">
        <v>73</v>
      </c>
      <c r="AM182" s="397" t="s">
        <v>72</v>
      </c>
      <c r="AN182" s="398" t="s">
        <v>73</v>
      </c>
      <c r="AO182" s="397" t="s">
        <v>72</v>
      </c>
      <c r="AP182" s="390" t="s">
        <v>73</v>
      </c>
    </row>
    <row r="183" spans="1:42" s="1470" customFormat="1" ht="15" customHeight="1">
      <c r="A183" s="6467" t="s">
        <v>2654</v>
      </c>
      <c r="B183" s="6467"/>
      <c r="C183" s="3318" t="s">
        <v>867</v>
      </c>
      <c r="D183" s="2041">
        <f t="shared" ref="D183:D188" si="84">SUM(E183:F183)</f>
        <v>0</v>
      </c>
      <c r="E183" s="2042">
        <f t="shared" ref="E183:E188" si="85">SUM(G183+I183+K183+M183+O183+Q183+S183+U183+W183+Y183+AA183+AC183+AE183+AG183+AI183+AK183+AM183+AO183)</f>
        <v>0</v>
      </c>
      <c r="F183" s="4113">
        <f t="shared" ref="F183:F188" si="86">SUM(H183+J183+L183+N183+P183+R183+T183+V183+X183+Z183+AB183+AD183+AF183+AH183+AJ183+AL183+AN183+AP183)</f>
        <v>0</v>
      </c>
      <c r="G183" s="448"/>
      <c r="H183" s="449"/>
      <c r="I183" s="448"/>
      <c r="J183" s="449"/>
      <c r="K183" s="448"/>
      <c r="L183" s="449"/>
      <c r="M183" s="448"/>
      <c r="N183" s="449"/>
      <c r="O183" s="448"/>
      <c r="P183" s="449"/>
      <c r="Q183" s="448"/>
      <c r="R183" s="449"/>
      <c r="S183" s="448"/>
      <c r="T183" s="449"/>
      <c r="U183" s="448"/>
      <c r="V183" s="449"/>
      <c r="W183" s="448"/>
      <c r="X183" s="449"/>
      <c r="Y183" s="448"/>
      <c r="Z183" s="449"/>
      <c r="AA183" s="448"/>
      <c r="AB183" s="449"/>
      <c r="AC183" s="448"/>
      <c r="AD183" s="449"/>
      <c r="AE183" s="448"/>
      <c r="AF183" s="449"/>
      <c r="AG183" s="448"/>
      <c r="AH183" s="449"/>
      <c r="AI183" s="448"/>
      <c r="AJ183" s="449"/>
      <c r="AK183" s="448"/>
      <c r="AL183" s="449"/>
      <c r="AM183" s="448"/>
      <c r="AN183" s="449"/>
      <c r="AO183" s="448"/>
      <c r="AP183" s="449"/>
    </row>
    <row r="184" spans="1:42" s="1470" customFormat="1" ht="15" customHeight="1">
      <c r="A184" s="6468"/>
      <c r="B184" s="6468"/>
      <c r="C184" s="4090" t="s">
        <v>2655</v>
      </c>
      <c r="D184" s="2044">
        <f t="shared" si="84"/>
        <v>0</v>
      </c>
      <c r="E184" s="2045">
        <f t="shared" si="85"/>
        <v>0</v>
      </c>
      <c r="F184" s="4114">
        <f t="shared" si="86"/>
        <v>0</v>
      </c>
      <c r="G184" s="432"/>
      <c r="H184" s="433"/>
      <c r="I184" s="432"/>
      <c r="J184" s="433"/>
      <c r="K184" s="432"/>
      <c r="L184" s="433"/>
      <c r="M184" s="432"/>
      <c r="N184" s="433"/>
      <c r="O184" s="432"/>
      <c r="P184" s="433"/>
      <c r="Q184" s="432"/>
      <c r="R184" s="433"/>
      <c r="S184" s="432"/>
      <c r="T184" s="433"/>
      <c r="U184" s="432"/>
      <c r="V184" s="433"/>
      <c r="W184" s="432"/>
      <c r="X184" s="433"/>
      <c r="Y184" s="432"/>
      <c r="Z184" s="433"/>
      <c r="AA184" s="432"/>
      <c r="AB184" s="433"/>
      <c r="AC184" s="432"/>
      <c r="AD184" s="433"/>
      <c r="AE184" s="432"/>
      <c r="AF184" s="433"/>
      <c r="AG184" s="432"/>
      <c r="AH184" s="433"/>
      <c r="AI184" s="432"/>
      <c r="AJ184" s="433"/>
      <c r="AK184" s="432"/>
      <c r="AL184" s="433"/>
      <c r="AM184" s="432"/>
      <c r="AN184" s="433"/>
      <c r="AO184" s="432"/>
      <c r="AP184" s="433"/>
    </row>
    <row r="185" spans="1:42" s="1470" customFormat="1" ht="15" customHeight="1">
      <c r="A185" s="6884" t="s">
        <v>2583</v>
      </c>
      <c r="B185" s="6884"/>
      <c r="C185" s="3318" t="s">
        <v>867</v>
      </c>
      <c r="D185" s="2041">
        <f t="shared" si="84"/>
        <v>0</v>
      </c>
      <c r="E185" s="2042">
        <f t="shared" si="85"/>
        <v>0</v>
      </c>
      <c r="F185" s="4113">
        <f t="shared" si="86"/>
        <v>0</v>
      </c>
      <c r="G185" s="448"/>
      <c r="H185" s="449"/>
      <c r="I185" s="448"/>
      <c r="J185" s="449"/>
      <c r="K185" s="448"/>
      <c r="L185" s="449"/>
      <c r="M185" s="448"/>
      <c r="N185" s="449"/>
      <c r="O185" s="448"/>
      <c r="P185" s="449"/>
      <c r="Q185" s="448"/>
      <c r="R185" s="449"/>
      <c r="S185" s="448"/>
      <c r="T185" s="449"/>
      <c r="U185" s="448"/>
      <c r="V185" s="449"/>
      <c r="W185" s="448"/>
      <c r="X185" s="449"/>
      <c r="Y185" s="448"/>
      <c r="Z185" s="449"/>
      <c r="AA185" s="448"/>
      <c r="AB185" s="449"/>
      <c r="AC185" s="448"/>
      <c r="AD185" s="449"/>
      <c r="AE185" s="448"/>
      <c r="AF185" s="449"/>
      <c r="AG185" s="448"/>
      <c r="AH185" s="449"/>
      <c r="AI185" s="448"/>
      <c r="AJ185" s="449"/>
      <c r="AK185" s="448"/>
      <c r="AL185" s="449"/>
      <c r="AM185" s="448"/>
      <c r="AN185" s="449"/>
      <c r="AO185" s="448"/>
      <c r="AP185" s="449"/>
    </row>
    <row r="186" spans="1:42" s="1470" customFormat="1" ht="15" customHeight="1">
      <c r="A186" s="6885"/>
      <c r="B186" s="6885"/>
      <c r="C186" s="4090" t="s">
        <v>2655</v>
      </c>
      <c r="D186" s="2044">
        <f t="shared" si="84"/>
        <v>0</v>
      </c>
      <c r="E186" s="2045">
        <f t="shared" si="85"/>
        <v>0</v>
      </c>
      <c r="F186" s="4114">
        <f t="shared" si="86"/>
        <v>0</v>
      </c>
      <c r="G186" s="432"/>
      <c r="H186" s="433"/>
      <c r="I186" s="432"/>
      <c r="J186" s="433"/>
      <c r="K186" s="432"/>
      <c r="L186" s="433"/>
      <c r="M186" s="432"/>
      <c r="N186" s="433"/>
      <c r="O186" s="432"/>
      <c r="P186" s="433"/>
      <c r="Q186" s="432"/>
      <c r="R186" s="433"/>
      <c r="S186" s="432"/>
      <c r="T186" s="433"/>
      <c r="U186" s="432"/>
      <c r="V186" s="433"/>
      <c r="W186" s="432"/>
      <c r="X186" s="433"/>
      <c r="Y186" s="432"/>
      <c r="Z186" s="433"/>
      <c r="AA186" s="432"/>
      <c r="AB186" s="433"/>
      <c r="AC186" s="432"/>
      <c r="AD186" s="433"/>
      <c r="AE186" s="432"/>
      <c r="AF186" s="433"/>
      <c r="AG186" s="432"/>
      <c r="AH186" s="433"/>
      <c r="AI186" s="432"/>
      <c r="AJ186" s="433"/>
      <c r="AK186" s="432"/>
      <c r="AL186" s="433"/>
      <c r="AM186" s="432"/>
      <c r="AN186" s="433"/>
      <c r="AO186" s="432"/>
      <c r="AP186" s="433"/>
    </row>
    <row r="187" spans="1:42" s="1470" customFormat="1" ht="15" customHeight="1">
      <c r="A187" s="6886" t="s">
        <v>2656</v>
      </c>
      <c r="B187" s="6887"/>
      <c r="C187" s="3241" t="s">
        <v>867</v>
      </c>
      <c r="D187" s="2023">
        <f t="shared" si="84"/>
        <v>0</v>
      </c>
      <c r="E187" s="4115">
        <f t="shared" si="85"/>
        <v>0</v>
      </c>
      <c r="F187" s="4116">
        <f t="shared" si="86"/>
        <v>0</v>
      </c>
      <c r="G187" s="413"/>
      <c r="H187" s="412"/>
      <c r="I187" s="413"/>
      <c r="J187" s="412"/>
      <c r="K187" s="413"/>
      <c r="L187" s="412"/>
      <c r="M187" s="413"/>
      <c r="N187" s="412"/>
      <c r="O187" s="413"/>
      <c r="P187" s="412"/>
      <c r="Q187" s="413"/>
      <c r="R187" s="412"/>
      <c r="S187" s="413"/>
      <c r="T187" s="412"/>
      <c r="U187" s="413"/>
      <c r="V187" s="412"/>
      <c r="W187" s="413"/>
      <c r="X187" s="412"/>
      <c r="Y187" s="413"/>
      <c r="Z187" s="412"/>
      <c r="AA187" s="413"/>
      <c r="AB187" s="412"/>
      <c r="AC187" s="413"/>
      <c r="AD187" s="412"/>
      <c r="AE187" s="413"/>
      <c r="AF187" s="412"/>
      <c r="AG187" s="413"/>
      <c r="AH187" s="412"/>
      <c r="AI187" s="413"/>
      <c r="AJ187" s="412"/>
      <c r="AK187" s="413"/>
      <c r="AL187" s="412"/>
      <c r="AM187" s="413"/>
      <c r="AN187" s="412"/>
      <c r="AO187" s="413"/>
      <c r="AP187" s="412"/>
    </row>
    <row r="188" spans="1:42" s="1470" customFormat="1" ht="15" customHeight="1">
      <c r="A188" s="6888"/>
      <c r="B188" s="6889"/>
      <c r="C188" s="4090" t="s">
        <v>2655</v>
      </c>
      <c r="D188" s="2044">
        <f t="shared" si="84"/>
        <v>0</v>
      </c>
      <c r="E188" s="2045">
        <f t="shared" si="85"/>
        <v>0</v>
      </c>
      <c r="F188" s="4114">
        <f t="shared" si="86"/>
        <v>0</v>
      </c>
      <c r="G188" s="432"/>
      <c r="H188" s="433"/>
      <c r="I188" s="432"/>
      <c r="J188" s="433"/>
      <c r="K188" s="432"/>
      <c r="L188" s="433"/>
      <c r="M188" s="432"/>
      <c r="N188" s="433"/>
      <c r="O188" s="432"/>
      <c r="P188" s="433"/>
      <c r="Q188" s="432"/>
      <c r="R188" s="433"/>
      <c r="S188" s="432"/>
      <c r="T188" s="433"/>
      <c r="U188" s="432"/>
      <c r="V188" s="433"/>
      <c r="W188" s="432"/>
      <c r="X188" s="433"/>
      <c r="Y188" s="432"/>
      <c r="Z188" s="433"/>
      <c r="AA188" s="432"/>
      <c r="AB188" s="433"/>
      <c r="AC188" s="432"/>
      <c r="AD188" s="433"/>
      <c r="AE188" s="432"/>
      <c r="AF188" s="433"/>
      <c r="AG188" s="432"/>
      <c r="AH188" s="433"/>
      <c r="AI188" s="432"/>
      <c r="AJ188" s="433"/>
      <c r="AK188" s="432"/>
      <c r="AL188" s="433"/>
      <c r="AM188" s="432"/>
      <c r="AN188" s="433"/>
      <c r="AO188" s="432"/>
      <c r="AP188" s="433"/>
    </row>
    <row r="215" spans="1:2" hidden="1">
      <c r="A215" s="4117">
        <f>SUM(B12:B23,C28:C41,B46:B53,B58,B63:B65,B71:B72,B78:B83,C87:C89,B95:B103,B108:B110,B115:B119,B124:B129,B136:B141,C153:D153,B158:B162,C165:C170,C175:C178,D183:D188)</f>
        <v>0</v>
      </c>
      <c r="B215" s="4118">
        <f>SUM(CF12:CH129)</f>
        <v>0</v>
      </c>
    </row>
  </sheetData>
  <sheetProtection algorithmName="SHA-512" hashValue="Hkfpfe60BSxiSAYAZi9/4WyzSCNxIdKSGvvImtcULHLFMgSRDboLSawMTAtNQHXSzvDxmTFMaSBanDu7ToFFKA==" saltValue="5t95KJ8huBICqC7Ydg75vA==" spinCount="100000" sheet="1" objects="1" scenarios="1"/>
  <mergeCells count="344">
    <mergeCell ref="AR43:AR45"/>
    <mergeCell ref="E122:F122"/>
    <mergeCell ref="G122:H122"/>
    <mergeCell ref="E75:AN75"/>
    <mergeCell ref="E92:AN92"/>
    <mergeCell ref="E105:AN105"/>
    <mergeCell ref="E133:AN133"/>
    <mergeCell ref="AK106:AL106"/>
    <mergeCell ref="AM106:AN106"/>
    <mergeCell ref="AC106:AD106"/>
    <mergeCell ref="AE106:AF106"/>
    <mergeCell ref="Q61:R61"/>
    <mergeCell ref="W61:X61"/>
    <mergeCell ref="Y61:Z61"/>
    <mergeCell ref="K93:L93"/>
    <mergeCell ref="M93:N93"/>
    <mergeCell ref="O93:P93"/>
    <mergeCell ref="Q93:R93"/>
    <mergeCell ref="AA61:AB61"/>
    <mergeCell ref="AC61:AD61"/>
    <mergeCell ref="AE61:AF61"/>
    <mergeCell ref="U61:V61"/>
    <mergeCell ref="S76:T76"/>
    <mergeCell ref="AQ43:AQ45"/>
    <mergeCell ref="AO121:AO123"/>
    <mergeCell ref="AM113:AN113"/>
    <mergeCell ref="W93:X93"/>
    <mergeCell ref="Y93:Z93"/>
    <mergeCell ref="AM93:AN93"/>
    <mergeCell ref="AA93:AB93"/>
    <mergeCell ref="AC93:AD93"/>
    <mergeCell ref="AE93:AF93"/>
    <mergeCell ref="AG93:AH93"/>
    <mergeCell ref="AI93:AJ93"/>
    <mergeCell ref="AK93:AL93"/>
    <mergeCell ref="AG106:AH106"/>
    <mergeCell ref="AI106:AJ106"/>
    <mergeCell ref="AI113:AJ113"/>
    <mergeCell ref="AK113:AL113"/>
    <mergeCell ref="AO60:AO62"/>
    <mergeCell ref="E60:AN60"/>
    <mergeCell ref="S93:T93"/>
    <mergeCell ref="I122:J122"/>
    <mergeCell ref="K122:L122"/>
    <mergeCell ref="M122:N122"/>
    <mergeCell ref="O122:P122"/>
    <mergeCell ref="Q122:R122"/>
    <mergeCell ref="AG10:AH10"/>
    <mergeCell ref="W10:X10"/>
    <mergeCell ref="Y10:Z10"/>
    <mergeCell ref="AI10:AJ10"/>
    <mergeCell ref="AK10:AL10"/>
    <mergeCell ref="AM10:AN10"/>
    <mergeCell ref="U93:V93"/>
    <mergeCell ref="S106:T106"/>
    <mergeCell ref="U106:V106"/>
    <mergeCell ref="V26:W26"/>
    <mergeCell ref="S44:T44"/>
    <mergeCell ref="U44:V44"/>
    <mergeCell ref="S56:T56"/>
    <mergeCell ref="U56:V56"/>
    <mergeCell ref="F25:AO25"/>
    <mergeCell ref="E43:AN43"/>
    <mergeCell ref="AQ25:AQ27"/>
    <mergeCell ref="AR25:AR27"/>
    <mergeCell ref="AL26:AM26"/>
    <mergeCell ref="AN26:AO26"/>
    <mergeCell ref="AQ9:AQ11"/>
    <mergeCell ref="E10:F10"/>
    <mergeCell ref="G10:H10"/>
    <mergeCell ref="I10:J10"/>
    <mergeCell ref="K10:L10"/>
    <mergeCell ref="M10:N10"/>
    <mergeCell ref="AF26:AG26"/>
    <mergeCell ref="AH26:AI26"/>
    <mergeCell ref="AJ26:AK26"/>
    <mergeCell ref="R26:S26"/>
    <mergeCell ref="X26:Y26"/>
    <mergeCell ref="Z26:AA26"/>
    <mergeCell ref="AB26:AC26"/>
    <mergeCell ref="AD26:AE26"/>
    <mergeCell ref="AO9:AO11"/>
    <mergeCell ref="AP9:AP11"/>
    <mergeCell ref="AA10:AB10"/>
    <mergeCell ref="AC10:AD10"/>
    <mergeCell ref="AE10:AF10"/>
    <mergeCell ref="AP25:AP27"/>
    <mergeCell ref="A185:B186"/>
    <mergeCell ref="A187:B188"/>
    <mergeCell ref="AG181:AH181"/>
    <mergeCell ref="AI181:AJ181"/>
    <mergeCell ref="AK181:AL181"/>
    <mergeCell ref="AM181:AN181"/>
    <mergeCell ref="AO181:AP181"/>
    <mergeCell ref="A183:B184"/>
    <mergeCell ref="Q181:R181"/>
    <mergeCell ref="S181:T181"/>
    <mergeCell ref="Y181:Z181"/>
    <mergeCell ref="AA181:AB181"/>
    <mergeCell ref="AC181:AD181"/>
    <mergeCell ref="AE181:AF181"/>
    <mergeCell ref="A180:B182"/>
    <mergeCell ref="C180:C182"/>
    <mergeCell ref="D180:F181"/>
    <mergeCell ref="G181:H181"/>
    <mergeCell ref="I181:J181"/>
    <mergeCell ref="K181:L181"/>
    <mergeCell ref="M181:N181"/>
    <mergeCell ref="O181:P181"/>
    <mergeCell ref="U181:V181"/>
    <mergeCell ref="W181:X181"/>
    <mergeCell ref="G180:AP180"/>
    <mergeCell ref="A163:C163"/>
    <mergeCell ref="A164:B164"/>
    <mergeCell ref="Q156:R156"/>
    <mergeCell ref="W156:X156"/>
    <mergeCell ref="Y156:Z156"/>
    <mergeCell ref="AA156:AB156"/>
    <mergeCell ref="AC156:AD156"/>
    <mergeCell ref="AE156:AF156"/>
    <mergeCell ref="A165:A167"/>
    <mergeCell ref="S156:T156"/>
    <mergeCell ref="U156:V156"/>
    <mergeCell ref="A168:A170"/>
    <mergeCell ref="A171:C171"/>
    <mergeCell ref="A172:B174"/>
    <mergeCell ref="C172:E173"/>
    <mergeCell ref="F172:K172"/>
    <mergeCell ref="F173:G173"/>
    <mergeCell ref="H173:I173"/>
    <mergeCell ref="J173:K173"/>
    <mergeCell ref="A175:A178"/>
    <mergeCell ref="A121:A123"/>
    <mergeCell ref="U134:V134"/>
    <mergeCell ref="A153:B153"/>
    <mergeCell ref="A155:A157"/>
    <mergeCell ref="B155:D156"/>
    <mergeCell ref="E156:F156"/>
    <mergeCell ref="G156:H156"/>
    <mergeCell ref="I156:J156"/>
    <mergeCell ref="K156:L156"/>
    <mergeCell ref="M156:N156"/>
    <mergeCell ref="O156:P156"/>
    <mergeCell ref="E155:AN155"/>
    <mergeCell ref="AG156:AH156"/>
    <mergeCell ref="AI156:AJ156"/>
    <mergeCell ref="AK156:AL156"/>
    <mergeCell ref="AM156:AN156"/>
    <mergeCell ref="A132:E132"/>
    <mergeCell ref="AI134:AJ134"/>
    <mergeCell ref="AK134:AL134"/>
    <mergeCell ref="AM134:AN134"/>
    <mergeCell ref="A144:B144"/>
    <mergeCell ref="A145:A148"/>
    <mergeCell ref="A149:A152"/>
    <mergeCell ref="W134:X134"/>
    <mergeCell ref="Y134:Z134"/>
    <mergeCell ref="AA134:AB134"/>
    <mergeCell ref="AC134:AD134"/>
    <mergeCell ref="AE134:AF134"/>
    <mergeCell ref="AG134:AH134"/>
    <mergeCell ref="A133:A135"/>
    <mergeCell ref="B133:D134"/>
    <mergeCell ref="E134:F134"/>
    <mergeCell ref="G134:H134"/>
    <mergeCell ref="I134:J134"/>
    <mergeCell ref="K134:L134"/>
    <mergeCell ref="M134:N134"/>
    <mergeCell ref="O134:P134"/>
    <mergeCell ref="Q134:R134"/>
    <mergeCell ref="S134:T134"/>
    <mergeCell ref="B121:D122"/>
    <mergeCell ref="U122:V122"/>
    <mergeCell ref="E121:AN121"/>
    <mergeCell ref="A112:A114"/>
    <mergeCell ref="B112:D113"/>
    <mergeCell ref="E113:F113"/>
    <mergeCell ref="G113:H113"/>
    <mergeCell ref="I113:J113"/>
    <mergeCell ref="W113:X113"/>
    <mergeCell ref="Y113:Z113"/>
    <mergeCell ref="AE122:AF122"/>
    <mergeCell ref="AG122:AH122"/>
    <mergeCell ref="AI122:AJ122"/>
    <mergeCell ref="AK122:AL122"/>
    <mergeCell ref="AM122:AN122"/>
    <mergeCell ref="Q113:R113"/>
    <mergeCell ref="S113:T113"/>
    <mergeCell ref="U113:V113"/>
    <mergeCell ref="Y122:Z122"/>
    <mergeCell ref="AA122:AB122"/>
    <mergeCell ref="AC122:AD122"/>
    <mergeCell ref="AA113:AB113"/>
    <mergeCell ref="S122:T122"/>
    <mergeCell ref="W122:X122"/>
    <mergeCell ref="A105:A107"/>
    <mergeCell ref="B105:D106"/>
    <mergeCell ref="E106:F106"/>
    <mergeCell ref="G106:H106"/>
    <mergeCell ref="I106:J106"/>
    <mergeCell ref="K113:L113"/>
    <mergeCell ref="M113:N113"/>
    <mergeCell ref="O113:P113"/>
    <mergeCell ref="K106:L106"/>
    <mergeCell ref="M106:N106"/>
    <mergeCell ref="O106:P106"/>
    <mergeCell ref="E112:AN112"/>
    <mergeCell ref="AC113:AD113"/>
    <mergeCell ref="AE113:AF113"/>
    <mergeCell ref="AG113:AH113"/>
    <mergeCell ref="Q106:R106"/>
    <mergeCell ref="W106:X106"/>
    <mergeCell ref="Y106:Z106"/>
    <mergeCell ref="AA106:AB106"/>
    <mergeCell ref="A92:A94"/>
    <mergeCell ref="B92:D93"/>
    <mergeCell ref="AK76:AL76"/>
    <mergeCell ref="AM76:AN76"/>
    <mergeCell ref="A86:B86"/>
    <mergeCell ref="Y76:Z76"/>
    <mergeCell ref="AA76:AB76"/>
    <mergeCell ref="AC76:AD76"/>
    <mergeCell ref="AE76:AF76"/>
    <mergeCell ref="AG76:AH76"/>
    <mergeCell ref="AI76:AJ76"/>
    <mergeCell ref="I76:J76"/>
    <mergeCell ref="K76:L76"/>
    <mergeCell ref="M76:N76"/>
    <mergeCell ref="O76:P76"/>
    <mergeCell ref="Q76:R76"/>
    <mergeCell ref="W76:X76"/>
    <mergeCell ref="E93:F93"/>
    <mergeCell ref="G93:H93"/>
    <mergeCell ref="I93:J93"/>
    <mergeCell ref="A75:A77"/>
    <mergeCell ref="B75:D76"/>
    <mergeCell ref="E76:F76"/>
    <mergeCell ref="G76:H76"/>
    <mergeCell ref="A88:B88"/>
    <mergeCell ref="A89:B89"/>
    <mergeCell ref="A90:B90"/>
    <mergeCell ref="AO68:AO70"/>
    <mergeCell ref="AP68:AP70"/>
    <mergeCell ref="E69:F69"/>
    <mergeCell ref="G69:H69"/>
    <mergeCell ref="I69:J69"/>
    <mergeCell ref="K69:L69"/>
    <mergeCell ref="M69:N69"/>
    <mergeCell ref="O69:P69"/>
    <mergeCell ref="Q69:R69"/>
    <mergeCell ref="W69:X69"/>
    <mergeCell ref="AE69:AF69"/>
    <mergeCell ref="AG69:AH69"/>
    <mergeCell ref="AI69:AJ69"/>
    <mergeCell ref="AK69:AL69"/>
    <mergeCell ref="AM69:AN69"/>
    <mergeCell ref="A68:A70"/>
    <mergeCell ref="B68:D69"/>
    <mergeCell ref="Y69:Z69"/>
    <mergeCell ref="AA69:AB69"/>
    <mergeCell ref="AC69:AD69"/>
    <mergeCell ref="U76:V76"/>
    <mergeCell ref="A60:A62"/>
    <mergeCell ref="B60:D61"/>
    <mergeCell ref="AG61:AH61"/>
    <mergeCell ref="AI61:AJ61"/>
    <mergeCell ref="AK61:AL61"/>
    <mergeCell ref="AM61:AN61"/>
    <mergeCell ref="A87:B87"/>
    <mergeCell ref="U69:V69"/>
    <mergeCell ref="E61:F61"/>
    <mergeCell ref="G61:H61"/>
    <mergeCell ref="I61:J61"/>
    <mergeCell ref="K61:L61"/>
    <mergeCell ref="M61:N61"/>
    <mergeCell ref="S61:T61"/>
    <mergeCell ref="S69:T69"/>
    <mergeCell ref="O61:P61"/>
    <mergeCell ref="E68:AN68"/>
    <mergeCell ref="A55:A57"/>
    <mergeCell ref="B55:D56"/>
    <mergeCell ref="AO55:AO57"/>
    <mergeCell ref="E56:F56"/>
    <mergeCell ref="G56:H56"/>
    <mergeCell ref="I56:J56"/>
    <mergeCell ref="K56:L56"/>
    <mergeCell ref="AC56:AD56"/>
    <mergeCell ref="AE56:AF56"/>
    <mergeCell ref="AG56:AH56"/>
    <mergeCell ref="AI56:AJ56"/>
    <mergeCell ref="AK56:AL56"/>
    <mergeCell ref="AM56:AN56"/>
    <mergeCell ref="M56:N56"/>
    <mergeCell ref="O56:P56"/>
    <mergeCell ref="Q56:R56"/>
    <mergeCell ref="W56:X56"/>
    <mergeCell ref="Y56:Z56"/>
    <mergeCell ref="E55:AN55"/>
    <mergeCell ref="AA56:AB56"/>
    <mergeCell ref="A40:B40"/>
    <mergeCell ref="A41:B41"/>
    <mergeCell ref="A43:A45"/>
    <mergeCell ref="B43:D44"/>
    <mergeCell ref="AO43:AP44"/>
    <mergeCell ref="E44:F44"/>
    <mergeCell ref="G44:H44"/>
    <mergeCell ref="I44:J44"/>
    <mergeCell ref="K44:L44"/>
    <mergeCell ref="AC44:AD44"/>
    <mergeCell ref="AE44:AF44"/>
    <mergeCell ref="AG44:AH44"/>
    <mergeCell ref="AI44:AJ44"/>
    <mergeCell ref="AK44:AL44"/>
    <mergeCell ref="AM44:AN44"/>
    <mergeCell ref="M44:N44"/>
    <mergeCell ref="O44:P44"/>
    <mergeCell ref="Q44:R44"/>
    <mergeCell ref="W44:X44"/>
    <mergeCell ref="Y44:Z44"/>
    <mergeCell ref="AA44:AB44"/>
    <mergeCell ref="A6:V6"/>
    <mergeCell ref="A9:A11"/>
    <mergeCell ref="B9:D10"/>
    <mergeCell ref="A31:A33"/>
    <mergeCell ref="A34:A35"/>
    <mergeCell ref="A36:B36"/>
    <mergeCell ref="A37:B37"/>
    <mergeCell ref="A38:B38"/>
    <mergeCell ref="A39:B39"/>
    <mergeCell ref="O10:P10"/>
    <mergeCell ref="Q10:R10"/>
    <mergeCell ref="E9:AN9"/>
    <mergeCell ref="A28:A30"/>
    <mergeCell ref="A25:B27"/>
    <mergeCell ref="C25:E26"/>
    <mergeCell ref="F26:G26"/>
    <mergeCell ref="H26:I26"/>
    <mergeCell ref="J26:K26"/>
    <mergeCell ref="L26:M26"/>
    <mergeCell ref="N26:O26"/>
    <mergeCell ref="P26:Q26"/>
    <mergeCell ref="S10:T10"/>
    <mergeCell ref="U10:V10"/>
    <mergeCell ref="T26:U26"/>
  </mergeCells>
  <dataValidations count="2">
    <dataValidation type="whole" operator="greaterThanOrEqual" allowBlank="1" showInputMessage="1" showErrorMessage="1" sqref="E78:AN83 E136:AN141 E158:AN162 D165:G170 F28:AR40 E46:AR53 E58:AO58 E63:AO65 E71:AP72 D87:E89 E95:AN103 E108:AN110 E115:AN119 E124:AO129 C145:D152 F175:K178 G183:AP188" xr:uid="{007A006C-008B-40C1-B579-004F002600E4}">
      <formula1>0</formula1>
    </dataValidation>
    <dataValidation type="whole" operator="greaterThanOrEqual" allowBlank="1" showInputMessage="1" showErrorMessage="1" errorTitle="Ingrese Sólo Números" error="Ingrese Sólo Números" sqref="E12:AQ22" xr:uid="{00580088-00A7-492B-A4E7-002400B600EC}">
      <formula1>0</formula1>
    </dataValidation>
  </dataValidations>
  <pageMargins left="0.7" right="0.7" top="0.75" bottom="0.75" header="0.3" footer="0.3"/>
  <pageSetup paperSize="9" orientation="portrait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Hoja17"/>
  <dimension ref="A1:CZ179"/>
  <sheetViews>
    <sheetView showGridLines="0" workbookViewId="0">
      <selection activeCell="A14" sqref="A14:B14"/>
    </sheetView>
  </sheetViews>
  <sheetFormatPr baseColWidth="10" defaultColWidth="11.42578125" defaultRowHeight="15"/>
  <cols>
    <col min="1" max="1" width="53.5703125" style="48" customWidth="1"/>
    <col min="2" max="2" width="23.42578125" style="48" bestFit="1" customWidth="1"/>
    <col min="3" max="3" width="14.7109375" style="48" customWidth="1"/>
    <col min="4" max="4" width="14" style="48" customWidth="1"/>
    <col min="5" max="5" width="15.28515625" style="48" customWidth="1"/>
    <col min="6" max="7" width="14" style="48" customWidth="1"/>
    <col min="8" max="8" width="15" style="48" customWidth="1"/>
    <col min="9" max="10" width="14" style="48" customWidth="1"/>
    <col min="11" max="11" width="13.42578125" style="48" customWidth="1"/>
    <col min="12" max="12" width="13.140625" style="48" customWidth="1"/>
    <col min="13" max="13" width="14" style="48" customWidth="1"/>
    <col min="14" max="14" width="15.28515625" style="48" customWidth="1"/>
    <col min="15" max="15" width="13" style="48" customWidth="1"/>
    <col min="16" max="16" width="12" style="48" customWidth="1"/>
    <col min="17" max="18" width="13.42578125" style="48" customWidth="1"/>
    <col min="19" max="19" width="11.28515625" style="48" customWidth="1"/>
    <col min="20" max="20" width="12.42578125" style="48" customWidth="1"/>
    <col min="21" max="21" width="11.42578125" style="48"/>
    <col min="22" max="22" width="12.85546875" style="48" customWidth="1"/>
    <col min="23" max="27" width="11.28515625" style="48" customWidth="1"/>
    <col min="28" max="28" width="11.7109375" style="48" customWidth="1"/>
    <col min="29" max="29" width="11.42578125" style="48"/>
    <col min="30" max="30" width="13.7109375" style="48" customWidth="1"/>
    <col min="31" max="54" width="11.42578125" style="48"/>
    <col min="55" max="55" width="20.28515625" style="48" bestFit="1" customWidth="1"/>
    <col min="56" max="64" width="11.42578125" style="48"/>
    <col min="65" max="65" width="20.28515625" style="48" bestFit="1" customWidth="1"/>
    <col min="66" max="76" width="11.42578125" style="48"/>
    <col min="77" max="77" width="11.42578125" style="48" customWidth="1"/>
    <col min="78" max="78" width="11.42578125" style="48" hidden="1" customWidth="1"/>
    <col min="79" max="80" width="11.85546875" style="1361" hidden="1" customWidth="1"/>
    <col min="81" max="83" width="11.42578125" style="1361" hidden="1" customWidth="1"/>
    <col min="84" max="86" width="8.7109375" style="1361" hidden="1" customWidth="1"/>
    <col min="87" max="90" width="11.42578125" style="1361" hidden="1" customWidth="1"/>
    <col min="91" max="91" width="15.140625" style="1361" hidden="1" customWidth="1"/>
    <col min="92" max="92" width="11.42578125" style="1361" hidden="1" customWidth="1"/>
    <col min="93" max="94" width="11.42578125" style="1361" customWidth="1"/>
    <col min="95" max="95" width="20.28515625" style="1361" customWidth="1"/>
    <col min="96" max="96" width="11.42578125" style="1361" customWidth="1"/>
    <col min="97" max="100" width="11.42578125" style="1361"/>
    <col min="101" max="16384" width="11.42578125" style="48"/>
  </cols>
  <sheetData>
    <row r="1" spans="1:104">
      <c r="A1" s="49" t="s">
        <v>37</v>
      </c>
    </row>
    <row r="2" spans="1:104">
      <c r="A2" s="49" t="str">
        <f>CONCATENATE("COMUNA: ",NOMBRE!B2, " (",NOMBRE!C2,NOMBRE!D2,NOMBRE!E2,NOMBRE!F2,NOMBRE!G2,")")</f>
        <v>COMUNA: MAIPU (13119)</v>
      </c>
    </row>
    <row r="3" spans="1:104">
      <c r="A3" s="49" t="str">
        <f>CONCATENATE("ESTABLECIMIENTO/ESTRATEGIA: ", NOMBRE!B3, " (",NOMBRE!C3,NOMBRE!D3,NOMBRE!E3,NOMBRE!F3,NOMBRE!G3,NOMBRE!H3,")")</f>
        <v>ESTABLECIMIENTO/ESTRATEGIA: CESFAM DR. CARLOS GODOY (111380)</v>
      </c>
    </row>
    <row r="4" spans="1:104">
      <c r="A4" s="49" t="str">
        <f>CONCATENATE("MES: ",NOMBRE!B6, " (",NOMBRE!C6,NOMBRE!D6,")")</f>
        <v>MES: MARZO (03)</v>
      </c>
    </row>
    <row r="5" spans="1:104">
      <c r="A5" s="49" t="str">
        <f>CONCATENATE("AÑO: ",NOMBRE!B7)</f>
        <v>AÑO: 2026</v>
      </c>
    </row>
    <row r="6" spans="1:104" ht="18" customHeight="1">
      <c r="A6" s="5610" t="s">
        <v>2657</v>
      </c>
      <c r="B6" s="5610"/>
      <c r="C6" s="5610"/>
      <c r="D6" s="5610"/>
      <c r="E6" s="5610"/>
      <c r="F6" s="5610"/>
      <c r="G6" s="5610"/>
      <c r="H6" s="5610"/>
      <c r="I6" s="5610"/>
      <c r="J6" s="5610"/>
      <c r="K6" s="5610"/>
      <c r="L6" s="5610"/>
    </row>
    <row r="8" spans="1:104" s="1361" customFormat="1" ht="18" customHeight="1">
      <c r="A8" s="4119" t="s">
        <v>2658</v>
      </c>
      <c r="B8" s="55"/>
      <c r="C8" s="55"/>
      <c r="D8" s="55"/>
      <c r="E8" s="55"/>
      <c r="F8" s="55"/>
      <c r="G8" s="55"/>
      <c r="H8" s="55"/>
      <c r="I8" s="55"/>
      <c r="J8" s="55"/>
      <c r="K8" s="55"/>
      <c r="L8" s="55"/>
      <c r="M8" s="55"/>
      <c r="N8" s="55"/>
      <c r="O8" s="55"/>
      <c r="P8" s="2558"/>
      <c r="Q8" s="2558"/>
      <c r="R8" s="2558"/>
      <c r="S8" s="2558"/>
      <c r="T8" s="2558"/>
      <c r="U8" s="2558"/>
      <c r="V8" s="2558"/>
      <c r="W8" s="2563"/>
      <c r="X8" s="2563"/>
      <c r="Y8" s="2563"/>
      <c r="Z8" s="2563"/>
      <c r="AA8" s="2563"/>
      <c r="AB8" s="2563"/>
    </row>
    <row r="9" spans="1:104" ht="15" customHeight="1">
      <c r="A9" s="5642" t="s">
        <v>2659</v>
      </c>
      <c r="B9" s="5624"/>
      <c r="C9" s="6042" t="s">
        <v>91</v>
      </c>
      <c r="D9" s="5650" t="s">
        <v>2660</v>
      </c>
      <c r="E9" s="6946"/>
      <c r="F9" s="6946"/>
      <c r="G9" s="5651"/>
      <c r="H9" s="5615" t="s">
        <v>2661</v>
      </c>
      <c r="I9" s="5616"/>
      <c r="J9" s="5616"/>
      <c r="K9" s="5652"/>
      <c r="L9" s="5646" t="s">
        <v>2662</v>
      </c>
      <c r="M9" s="5615" t="s">
        <v>2663</v>
      </c>
      <c r="N9" s="5616"/>
      <c r="O9" s="5616"/>
      <c r="P9" s="5616"/>
      <c r="Q9" s="5616"/>
      <c r="R9" s="5617"/>
      <c r="S9" s="5642" t="s">
        <v>2664</v>
      </c>
      <c r="T9" s="6948" t="s">
        <v>2665</v>
      </c>
      <c r="U9" s="5787"/>
      <c r="V9" s="5787"/>
      <c r="W9" s="5775"/>
      <c r="X9" s="5631" t="s">
        <v>2666</v>
      </c>
      <c r="Y9" s="5633" t="s">
        <v>2667</v>
      </c>
      <c r="Z9" s="5627" t="s">
        <v>2668</v>
      </c>
      <c r="AA9" s="5657" t="s">
        <v>50</v>
      </c>
      <c r="AB9" s="5611" t="s">
        <v>51</v>
      </c>
      <c r="AC9" s="5613" t="s">
        <v>1790</v>
      </c>
      <c r="AD9" s="6038" t="s">
        <v>2669</v>
      </c>
      <c r="AE9" s="6954" t="s">
        <v>762</v>
      </c>
      <c r="AF9" s="5947"/>
      <c r="CA9" s="48"/>
      <c r="CB9" s="48"/>
      <c r="CC9" s="48"/>
      <c r="CD9" s="48"/>
      <c r="CW9" s="1361"/>
      <c r="CX9" s="1361"/>
      <c r="CY9" s="1361"/>
      <c r="CZ9" s="1361"/>
    </row>
    <row r="10" spans="1:104" ht="27" customHeight="1">
      <c r="A10" s="5643"/>
      <c r="B10" s="5645"/>
      <c r="C10" s="6043"/>
      <c r="D10" s="5956" t="s">
        <v>2670</v>
      </c>
      <c r="E10" s="6949" t="s">
        <v>58</v>
      </c>
      <c r="F10" s="6949" t="s">
        <v>2511</v>
      </c>
      <c r="G10" s="5734" t="s">
        <v>2671</v>
      </c>
      <c r="H10" s="6951" t="s">
        <v>2672</v>
      </c>
      <c r="I10" s="6949" t="s">
        <v>2673</v>
      </c>
      <c r="J10" s="6949" t="s">
        <v>2674</v>
      </c>
      <c r="K10" s="5655" t="s">
        <v>2675</v>
      </c>
      <c r="L10" s="5646"/>
      <c r="M10" s="5956" t="s">
        <v>2676</v>
      </c>
      <c r="N10" s="5633" t="s">
        <v>2677</v>
      </c>
      <c r="O10" s="5633" t="s">
        <v>2678</v>
      </c>
      <c r="P10" s="5633" t="s">
        <v>2679</v>
      </c>
      <c r="Q10" s="5633" t="s">
        <v>2680</v>
      </c>
      <c r="R10" s="6947" t="s">
        <v>2681</v>
      </c>
      <c r="S10" s="5643"/>
      <c r="T10" s="6948" t="s">
        <v>2682</v>
      </c>
      <c r="U10" s="5786"/>
      <c r="V10" s="5787" t="s">
        <v>2683</v>
      </c>
      <c r="W10" s="5775"/>
      <c r="X10" s="5733"/>
      <c r="Y10" s="5965"/>
      <c r="Z10" s="5644"/>
      <c r="AA10" s="5665"/>
      <c r="AB10" s="5641"/>
      <c r="AC10" s="5671"/>
      <c r="AD10" s="6953"/>
      <c r="AE10" s="6955"/>
      <c r="AF10" s="5951"/>
      <c r="CA10" s="48"/>
      <c r="CB10" s="48"/>
      <c r="CC10" s="48"/>
      <c r="CD10" s="48"/>
      <c r="CW10" s="1361"/>
      <c r="CX10" s="1361"/>
      <c r="CY10" s="1361"/>
      <c r="CZ10" s="1361"/>
    </row>
    <row r="11" spans="1:104" ht="39" customHeight="1">
      <c r="A11" s="5659"/>
      <c r="B11" s="5625"/>
      <c r="C11" s="6044"/>
      <c r="D11" s="5958"/>
      <c r="E11" s="6950"/>
      <c r="F11" s="6950"/>
      <c r="G11" s="5736"/>
      <c r="H11" s="6952"/>
      <c r="I11" s="6950"/>
      <c r="J11" s="6950"/>
      <c r="K11" s="5656"/>
      <c r="L11" s="5646"/>
      <c r="M11" s="5958"/>
      <c r="N11" s="5634"/>
      <c r="O11" s="5634"/>
      <c r="P11" s="5634"/>
      <c r="Q11" s="5634"/>
      <c r="R11" s="5882"/>
      <c r="S11" s="5659"/>
      <c r="T11" s="293" t="s">
        <v>2684</v>
      </c>
      <c r="U11" s="76" t="s">
        <v>2685</v>
      </c>
      <c r="V11" s="196" t="s">
        <v>2684</v>
      </c>
      <c r="W11" s="60" t="s">
        <v>2685</v>
      </c>
      <c r="X11" s="5632"/>
      <c r="Y11" s="5634"/>
      <c r="Z11" s="5731"/>
      <c r="AA11" s="5658"/>
      <c r="AB11" s="5612"/>
      <c r="AC11" s="5614"/>
      <c r="AD11" s="6039"/>
      <c r="AE11" s="275" t="s">
        <v>74</v>
      </c>
      <c r="AF11" s="232" t="s">
        <v>76</v>
      </c>
      <c r="CA11" s="48"/>
      <c r="CB11" s="48"/>
      <c r="CC11" s="48"/>
      <c r="CD11" s="48"/>
      <c r="CW11" s="1361"/>
      <c r="CX11" s="1361"/>
      <c r="CY11" s="1361"/>
      <c r="CZ11" s="1361"/>
    </row>
    <row r="12" spans="1:104" s="1" customFormat="1" ht="15" customHeight="1">
      <c r="A12" s="5647" t="s">
        <v>2686</v>
      </c>
      <c r="B12" s="5648"/>
      <c r="C12" s="4120">
        <f>SUM(C13:C16)</f>
        <v>0</v>
      </c>
      <c r="D12" s="4121">
        <f t="shared" ref="D12:AD12" si="0">SUM(D13:D16)</f>
        <v>0</v>
      </c>
      <c r="E12" s="4122">
        <f t="shared" si="0"/>
        <v>0</v>
      </c>
      <c r="F12" s="4123">
        <f t="shared" si="0"/>
        <v>0</v>
      </c>
      <c r="G12" s="4124">
        <f t="shared" si="0"/>
        <v>0</v>
      </c>
      <c r="H12" s="4121">
        <f t="shared" si="0"/>
        <v>0</v>
      </c>
      <c r="I12" s="4122">
        <f t="shared" si="0"/>
        <v>0</v>
      </c>
      <c r="J12" s="4125">
        <f t="shared" si="0"/>
        <v>0</v>
      </c>
      <c r="K12" s="4126">
        <f t="shared" si="0"/>
        <v>0</v>
      </c>
      <c r="L12" s="4127">
        <f t="shared" si="0"/>
        <v>0</v>
      </c>
      <c r="M12" s="4121">
        <f t="shared" si="0"/>
        <v>0</v>
      </c>
      <c r="N12" s="4122">
        <f t="shared" si="0"/>
        <v>0</v>
      </c>
      <c r="O12" s="4125">
        <f t="shared" si="0"/>
        <v>0</v>
      </c>
      <c r="P12" s="4122">
        <f t="shared" si="0"/>
        <v>0</v>
      </c>
      <c r="Q12" s="4125">
        <f t="shared" si="0"/>
        <v>0</v>
      </c>
      <c r="R12" s="4128">
        <f t="shared" si="0"/>
        <v>0</v>
      </c>
      <c r="S12" s="4124">
        <f t="shared" si="0"/>
        <v>0</v>
      </c>
      <c r="T12" s="4129">
        <f t="shared" si="0"/>
        <v>0</v>
      </c>
      <c r="U12" s="4124">
        <f t="shared" si="0"/>
        <v>0</v>
      </c>
      <c r="V12" s="4121">
        <f t="shared" si="0"/>
        <v>0</v>
      </c>
      <c r="W12" s="4130">
        <f t="shared" si="0"/>
        <v>0</v>
      </c>
      <c r="X12" s="4129">
        <f t="shared" si="0"/>
        <v>0</v>
      </c>
      <c r="Y12" s="4122">
        <f t="shared" si="0"/>
        <v>0</v>
      </c>
      <c r="Z12" s="4131">
        <f t="shared" si="0"/>
        <v>0</v>
      </c>
      <c r="AA12" s="4132">
        <f t="shared" si="0"/>
        <v>0</v>
      </c>
      <c r="AB12" s="4127">
        <f t="shared" si="0"/>
        <v>0</v>
      </c>
      <c r="AC12" s="4127">
        <f t="shared" si="0"/>
        <v>0</v>
      </c>
      <c r="AD12" s="4130">
        <f t="shared" si="0"/>
        <v>0</v>
      </c>
      <c r="AE12" s="4123">
        <f>SUM(AE13:AE16)</f>
        <v>0</v>
      </c>
      <c r="AF12" s="4124">
        <f>SUM(AF13:AF16)</f>
        <v>0</v>
      </c>
      <c r="CE12" s="1361"/>
      <c r="CF12" s="1361"/>
      <c r="CG12" s="1361"/>
      <c r="CH12" s="1361"/>
      <c r="CI12" s="1361"/>
      <c r="CJ12" s="1361"/>
      <c r="CK12" s="1361"/>
      <c r="CL12" s="1361"/>
      <c r="CM12" s="1361"/>
      <c r="CN12" s="1361"/>
      <c r="CO12" s="1361"/>
      <c r="CP12" s="1361"/>
      <c r="CQ12" s="1361"/>
      <c r="CR12" s="1361"/>
      <c r="CS12" s="1361"/>
      <c r="CT12" s="1361"/>
      <c r="CU12" s="1361"/>
      <c r="CV12" s="1361"/>
      <c r="CW12" s="1361"/>
      <c r="CX12" s="1361"/>
      <c r="CY12" s="1361"/>
      <c r="CZ12" s="1361"/>
    </row>
    <row r="13" spans="1:104" s="1" customFormat="1" ht="15" customHeight="1">
      <c r="A13" s="5791" t="s">
        <v>2687</v>
      </c>
      <c r="B13" s="5792"/>
      <c r="C13" s="2649"/>
      <c r="D13" s="1003"/>
      <c r="E13" s="1066"/>
      <c r="F13" s="1066"/>
      <c r="G13" s="1004"/>
      <c r="H13" s="1003"/>
      <c r="I13" s="1365"/>
      <c r="J13" s="1365"/>
      <c r="K13" s="1004"/>
      <c r="L13" s="1180"/>
      <c r="M13" s="1365"/>
      <c r="N13" s="1365"/>
      <c r="O13" s="1365"/>
      <c r="P13" s="1365"/>
      <c r="Q13" s="1365"/>
      <c r="R13" s="1068"/>
      <c r="S13" s="1004"/>
      <c r="T13" s="4133"/>
      <c r="U13" s="1005"/>
      <c r="V13" s="1066"/>
      <c r="W13" s="1316"/>
      <c r="X13" s="4133"/>
      <c r="Y13" s="1365"/>
      <c r="Z13" s="1067"/>
      <c r="AA13" s="4134"/>
      <c r="AB13" s="1180"/>
      <c r="AC13" s="1180"/>
      <c r="AD13" s="1316"/>
      <c r="AE13" s="1066"/>
      <c r="AF13" s="1004"/>
      <c r="AG13" s="240" t="str">
        <f t="shared" ref="AG13:AG23" si="1">$CA13&amp;CB13&amp;CC13&amp;CD13&amp;CE13</f>
        <v/>
      </c>
      <c r="AH13" s="48"/>
      <c r="AI13" s="48"/>
      <c r="AJ13" s="48"/>
      <c r="AK13" s="48"/>
      <c r="AL13" s="48"/>
      <c r="AM13" s="48"/>
      <c r="AN13" s="48"/>
      <c r="AO13" s="48"/>
      <c r="AP13" s="48"/>
      <c r="AQ13" s="48"/>
      <c r="AR13" s="48"/>
      <c r="AS13" s="48"/>
      <c r="AT13" s="48"/>
      <c r="AU13" s="48"/>
      <c r="AV13" s="48"/>
      <c r="AW13" s="48"/>
      <c r="AX13" s="48"/>
      <c r="AY13" s="48"/>
      <c r="AZ13" s="48"/>
      <c r="BA13" s="48"/>
      <c r="BB13" s="48"/>
      <c r="BC13" s="48"/>
      <c r="BD13" s="48"/>
      <c r="BE13" s="48"/>
      <c r="BF13" s="48"/>
      <c r="BG13" s="48"/>
      <c r="BH13" s="48"/>
      <c r="BI13" s="48"/>
      <c r="BJ13" s="48"/>
      <c r="BK13" s="48"/>
      <c r="BL13" s="48"/>
      <c r="BM13" s="48"/>
      <c r="BN13" s="48"/>
      <c r="BO13" s="48"/>
      <c r="BP13" s="48"/>
      <c r="BQ13" s="48"/>
      <c r="BR13" s="48"/>
      <c r="BS13" s="48"/>
      <c r="BT13" s="48"/>
      <c r="BU13" s="48"/>
      <c r="BV13" s="48"/>
      <c r="BW13" s="48"/>
      <c r="BX13" s="48"/>
      <c r="BY13" s="48"/>
      <c r="BZ13" s="48"/>
      <c r="CA13" s="4135" t="str">
        <f t="shared" ref="CA13:CA23" si="2">IF(AND(C13&gt;0,AA13="")," * No olvide digitar la variable Pueblos originarios. Digite Cero si no tiene.",IF(AA13&gt;C13," * La variable Pueblos originarios no puede ser mayor al Total.",""))</f>
        <v/>
      </c>
      <c r="CB13" s="4135" t="str">
        <f t="shared" ref="CB13:CB23" si="3">IF(AND(C13&gt;0,AB13="")," * No olvide digitar la variable Migrantes. Digite Cero si no tiene.",IF(AB13&gt;C13," * La variable Migrantes no puede ser mayor al Total.",""))</f>
        <v/>
      </c>
      <c r="CC13" s="4135" t="str">
        <f t="shared" ref="CC13:CC23" si="4">IF(AND($C13&gt;0,OR(AC13=""))," * No olvide digitar la variable "&amp;$AC$9&amp;""&amp;". Digite Cero si no tiene.",IF(OR(AC13&gt;$C13)," * La variable Discapacidad no puede ser mayor al Total.",""))</f>
        <v/>
      </c>
      <c r="CD13" s="4135" t="str">
        <f t="shared" ref="CD13:CD23" si="5">IF(AND($C13&gt;0,OR(AD13=""))," * No olvide digitar la variable "&amp;$AD$9&amp;""&amp;". Digite Cero si no tiene.",IF(OR(AD13&gt;$C13)," * La variable "&amp;$AD$9&amp;""&amp;" no puede ser mayor al Total.",""))</f>
        <v/>
      </c>
      <c r="CE13" s="4135" t="str">
        <f t="shared" ref="CE13:CE23" si="6">IF(AND($C13&gt;0,OR(AE13="",AF13=""))," * No olvide digitar la variable "&amp;$AE$9&amp;""&amp;". Digite Cero si no tiene.",IF(OR(AE13+AF13&gt;$C13)," * La variable "&amp;$AE$9&amp;""&amp;" no puede ser mayor al Total.",""))</f>
        <v/>
      </c>
      <c r="CI13" s="102">
        <f t="shared" ref="CI13:CI23" si="7">IF(AND($C13&gt;0,AA13=""),1,IF(AA13&gt;$C13,1,0))</f>
        <v>0</v>
      </c>
      <c r="CJ13" s="102">
        <f t="shared" ref="CJ13:CJ23" si="8">IF(AND($C13&gt;0,AB13=""),1,IF(AB13&gt;$C13,1,0))</f>
        <v>0</v>
      </c>
      <c r="CK13" s="102">
        <f t="shared" ref="CK13:CK23" si="9">IF(AND($C13&gt;0,AC13=""),1,IF(AC13&gt;$C13,1,0))</f>
        <v>0</v>
      </c>
      <c r="CL13" s="102">
        <f t="shared" ref="CL13:CL23" si="10">IF(AND($C13&gt;0,AD13=""),1,IF(AD13&gt;$C13,1,0))</f>
        <v>0</v>
      </c>
      <c r="CM13" s="102">
        <f t="shared" ref="CM13:CM23" si="11">IF(AND($C13&gt;0,AE13="",AF13=""),1,IF(AE13+AF13&gt;$C13,1,0))</f>
        <v>0</v>
      </c>
      <c r="CN13" s="970"/>
      <c r="CO13" s="970"/>
      <c r="CS13" s="48"/>
      <c r="CT13" s="241"/>
      <c r="CU13" s="1361"/>
      <c r="CV13" s="1361"/>
      <c r="CW13" s="1361"/>
      <c r="CX13" s="1361"/>
      <c r="CY13" s="1361"/>
      <c r="CZ13" s="1361"/>
    </row>
    <row r="14" spans="1:104" s="1" customFormat="1" ht="15" customHeight="1">
      <c r="A14" s="6538" t="s">
        <v>2688</v>
      </c>
      <c r="B14" s="6539"/>
      <c r="C14" s="1023"/>
      <c r="D14" s="1013"/>
      <c r="E14" s="1077"/>
      <c r="F14" s="1077"/>
      <c r="G14" s="1014"/>
      <c r="H14" s="1013"/>
      <c r="I14" s="1368"/>
      <c r="J14" s="1368"/>
      <c r="K14" s="1014"/>
      <c r="L14" s="1183"/>
      <c r="M14" s="1368"/>
      <c r="N14" s="1368"/>
      <c r="O14" s="1368"/>
      <c r="P14" s="1368"/>
      <c r="Q14" s="1368"/>
      <c r="R14" s="1024"/>
      <c r="S14" s="1014"/>
      <c r="T14" s="4136"/>
      <c r="U14" s="1015"/>
      <c r="V14" s="1077"/>
      <c r="W14" s="1318"/>
      <c r="X14" s="4136"/>
      <c r="Y14" s="1368"/>
      <c r="Z14" s="1078"/>
      <c r="AA14" s="4137"/>
      <c r="AB14" s="1183"/>
      <c r="AC14" s="1183"/>
      <c r="AD14" s="1318"/>
      <c r="AE14" s="1077"/>
      <c r="AF14" s="1014"/>
      <c r="AG14" s="240" t="str">
        <f t="shared" si="1"/>
        <v/>
      </c>
      <c r="AH14" s="48"/>
      <c r="AI14" s="48"/>
      <c r="AJ14" s="48"/>
      <c r="AK14" s="48"/>
      <c r="AL14" s="48"/>
      <c r="AM14" s="48"/>
      <c r="AN14" s="48"/>
      <c r="AO14" s="48"/>
      <c r="AP14" s="48"/>
      <c r="AQ14" s="48"/>
      <c r="AR14" s="48"/>
      <c r="AS14" s="48"/>
      <c r="AT14" s="48"/>
      <c r="AU14" s="48"/>
      <c r="AV14" s="48"/>
      <c r="AW14" s="48"/>
      <c r="AX14" s="48"/>
      <c r="AY14" s="48"/>
      <c r="AZ14" s="48"/>
      <c r="BA14" s="48"/>
      <c r="BB14" s="48"/>
      <c r="BC14" s="48"/>
      <c r="BD14" s="48"/>
      <c r="BE14" s="48"/>
      <c r="BF14" s="48"/>
      <c r="BG14" s="48"/>
      <c r="BH14" s="48"/>
      <c r="BI14" s="48"/>
      <c r="BJ14" s="48"/>
      <c r="BK14" s="48"/>
      <c r="BL14" s="48"/>
      <c r="BM14" s="48"/>
      <c r="BN14" s="48"/>
      <c r="BO14" s="48"/>
      <c r="BP14" s="48"/>
      <c r="BQ14" s="48"/>
      <c r="BR14" s="48"/>
      <c r="BS14" s="48"/>
      <c r="BT14" s="48"/>
      <c r="BU14" s="48"/>
      <c r="BV14" s="48"/>
      <c r="BW14" s="48"/>
      <c r="BX14" s="48"/>
      <c r="BY14" s="48"/>
      <c r="BZ14" s="48"/>
      <c r="CA14" s="4135" t="str">
        <f t="shared" si="2"/>
        <v/>
      </c>
      <c r="CB14" s="4135" t="str">
        <f t="shared" si="3"/>
        <v/>
      </c>
      <c r="CC14" s="4135" t="str">
        <f t="shared" si="4"/>
        <v/>
      </c>
      <c r="CD14" s="4135" t="str">
        <f t="shared" si="5"/>
        <v/>
      </c>
      <c r="CE14" s="4135" t="str">
        <f t="shared" si="6"/>
        <v/>
      </c>
      <c r="CI14" s="102">
        <f t="shared" si="7"/>
        <v>0</v>
      </c>
      <c r="CJ14" s="102">
        <f t="shared" si="8"/>
        <v>0</v>
      </c>
      <c r="CK14" s="102">
        <f t="shared" si="9"/>
        <v>0</v>
      </c>
      <c r="CL14" s="102">
        <f t="shared" si="10"/>
        <v>0</v>
      </c>
      <c r="CM14" s="102">
        <f t="shared" si="11"/>
        <v>0</v>
      </c>
      <c r="CN14" s="970"/>
      <c r="CO14" s="970"/>
      <c r="CS14" s="48"/>
      <c r="CT14" s="241"/>
      <c r="CU14" s="1361"/>
      <c r="CV14" s="1361"/>
      <c r="CW14" s="1361"/>
      <c r="CX14" s="1361"/>
      <c r="CY14" s="1361"/>
      <c r="CZ14" s="1361"/>
    </row>
    <row r="15" spans="1:104" s="1" customFormat="1" ht="15" customHeight="1">
      <c r="A15" s="6538" t="s">
        <v>2689</v>
      </c>
      <c r="B15" s="6539"/>
      <c r="C15" s="1023"/>
      <c r="D15" s="1013"/>
      <c r="E15" s="1077"/>
      <c r="F15" s="1077"/>
      <c r="G15" s="1014"/>
      <c r="H15" s="1013"/>
      <c r="I15" s="1368"/>
      <c r="J15" s="1368"/>
      <c r="K15" s="1014"/>
      <c r="L15" s="1183"/>
      <c r="M15" s="1368"/>
      <c r="N15" s="1368"/>
      <c r="O15" s="1368"/>
      <c r="P15" s="1368"/>
      <c r="Q15" s="1368"/>
      <c r="R15" s="1024"/>
      <c r="S15" s="1014"/>
      <c r="T15" s="4136"/>
      <c r="U15" s="1015"/>
      <c r="V15" s="1077"/>
      <c r="W15" s="1318"/>
      <c r="X15" s="4136"/>
      <c r="Y15" s="1368"/>
      <c r="Z15" s="1078"/>
      <c r="AA15" s="4137"/>
      <c r="AB15" s="1183"/>
      <c r="AC15" s="1183"/>
      <c r="AD15" s="1318"/>
      <c r="AE15" s="1077"/>
      <c r="AF15" s="1014"/>
      <c r="AG15" s="240" t="str">
        <f t="shared" si="1"/>
        <v/>
      </c>
      <c r="AH15" s="48"/>
      <c r="AI15" s="48"/>
      <c r="AJ15" s="48"/>
      <c r="AK15" s="48"/>
      <c r="AL15" s="48"/>
      <c r="AM15" s="48"/>
      <c r="AN15" s="48"/>
      <c r="AO15" s="48"/>
      <c r="AP15" s="48"/>
      <c r="AQ15" s="48"/>
      <c r="AR15" s="48"/>
      <c r="AS15" s="48"/>
      <c r="AT15" s="48"/>
      <c r="AU15" s="48"/>
      <c r="AV15" s="48"/>
      <c r="AW15" s="48"/>
      <c r="AX15" s="48"/>
      <c r="AY15" s="48"/>
      <c r="AZ15" s="48"/>
      <c r="BA15" s="48"/>
      <c r="BB15" s="48"/>
      <c r="BC15" s="48"/>
      <c r="BD15" s="48"/>
      <c r="BE15" s="48"/>
      <c r="BF15" s="48"/>
      <c r="BG15" s="48"/>
      <c r="BH15" s="48"/>
      <c r="BI15" s="48"/>
      <c r="BJ15" s="48"/>
      <c r="BK15" s="48"/>
      <c r="BL15" s="48"/>
      <c r="BM15" s="48"/>
      <c r="BN15" s="48"/>
      <c r="BO15" s="48"/>
      <c r="BP15" s="48"/>
      <c r="BQ15" s="48"/>
      <c r="BR15" s="48"/>
      <c r="BS15" s="48"/>
      <c r="BT15" s="48"/>
      <c r="BU15" s="48"/>
      <c r="BV15" s="48"/>
      <c r="BW15" s="48"/>
      <c r="BX15" s="48"/>
      <c r="BY15" s="48"/>
      <c r="BZ15" s="48"/>
      <c r="CA15" s="4135" t="str">
        <f t="shared" si="2"/>
        <v/>
      </c>
      <c r="CB15" s="4135" t="str">
        <f t="shared" si="3"/>
        <v/>
      </c>
      <c r="CC15" s="4135" t="str">
        <f t="shared" si="4"/>
        <v/>
      </c>
      <c r="CD15" s="4135" t="str">
        <f t="shared" si="5"/>
        <v/>
      </c>
      <c r="CE15" s="4135" t="str">
        <f t="shared" si="6"/>
        <v/>
      </c>
      <c r="CI15" s="102">
        <f t="shared" si="7"/>
        <v>0</v>
      </c>
      <c r="CJ15" s="102">
        <f t="shared" si="8"/>
        <v>0</v>
      </c>
      <c r="CK15" s="102">
        <f t="shared" si="9"/>
        <v>0</v>
      </c>
      <c r="CL15" s="102">
        <f t="shared" si="10"/>
        <v>0</v>
      </c>
      <c r="CM15" s="102">
        <f t="shared" si="11"/>
        <v>0</v>
      </c>
      <c r="CN15" s="970"/>
      <c r="CO15" s="970"/>
      <c r="CS15" s="48"/>
      <c r="CT15" s="241"/>
      <c r="CU15" s="1361"/>
      <c r="CV15" s="1361"/>
      <c r="CW15" s="1361"/>
      <c r="CX15" s="1361"/>
      <c r="CY15" s="1361"/>
      <c r="CZ15" s="1361"/>
    </row>
    <row r="16" spans="1:104" s="1" customFormat="1" ht="15" customHeight="1">
      <c r="A16" s="6536" t="s">
        <v>2690</v>
      </c>
      <c r="B16" s="6537"/>
      <c r="C16" s="1056"/>
      <c r="D16" s="1053"/>
      <c r="E16" s="1271"/>
      <c r="F16" s="1271"/>
      <c r="G16" s="1054"/>
      <c r="H16" s="1053"/>
      <c r="I16" s="1377"/>
      <c r="J16" s="1377"/>
      <c r="K16" s="1054"/>
      <c r="L16" s="1136"/>
      <c r="M16" s="1377"/>
      <c r="N16" s="1377"/>
      <c r="O16" s="1377"/>
      <c r="P16" s="1377"/>
      <c r="Q16" s="1377"/>
      <c r="R16" s="1057"/>
      <c r="S16" s="1054"/>
      <c r="T16" s="4138"/>
      <c r="U16" s="1052"/>
      <c r="V16" s="1271"/>
      <c r="W16" s="1322"/>
      <c r="X16" s="4138"/>
      <c r="Y16" s="1377"/>
      <c r="Z16" s="1137"/>
      <c r="AA16" s="1139"/>
      <c r="AB16" s="1136"/>
      <c r="AC16" s="1136"/>
      <c r="AD16" s="1322"/>
      <c r="AE16" s="1271"/>
      <c r="AF16" s="1054"/>
      <c r="AG16" s="240" t="str">
        <f t="shared" si="1"/>
        <v/>
      </c>
      <c r="AH16" s="48"/>
      <c r="AI16" s="48"/>
      <c r="AJ16" s="48"/>
      <c r="AK16" s="48"/>
      <c r="AL16" s="48"/>
      <c r="AM16" s="48"/>
      <c r="AN16" s="48"/>
      <c r="AO16" s="48"/>
      <c r="AP16" s="48"/>
      <c r="AQ16" s="48"/>
      <c r="AR16" s="48"/>
      <c r="AS16" s="48"/>
      <c r="AT16" s="48"/>
      <c r="AU16" s="48"/>
      <c r="AV16" s="48"/>
      <c r="AW16" s="48"/>
      <c r="AX16" s="48"/>
      <c r="AY16" s="48"/>
      <c r="AZ16" s="48"/>
      <c r="BA16" s="48"/>
      <c r="BB16" s="48"/>
      <c r="BC16" s="48"/>
      <c r="BD16" s="48"/>
      <c r="BE16" s="48"/>
      <c r="BF16" s="48"/>
      <c r="BG16" s="48"/>
      <c r="BH16" s="48"/>
      <c r="BI16" s="48"/>
      <c r="BJ16" s="48"/>
      <c r="BK16" s="48"/>
      <c r="BL16" s="48"/>
      <c r="BM16" s="48"/>
      <c r="BN16" s="48"/>
      <c r="BO16" s="48"/>
      <c r="BP16" s="48"/>
      <c r="BQ16" s="48"/>
      <c r="BR16" s="48"/>
      <c r="BS16" s="48"/>
      <c r="BT16" s="48"/>
      <c r="BU16" s="48"/>
      <c r="BV16" s="48"/>
      <c r="BW16" s="48"/>
      <c r="BX16" s="48"/>
      <c r="BY16" s="48"/>
      <c r="BZ16" s="48"/>
      <c r="CA16" s="4135" t="str">
        <f t="shared" si="2"/>
        <v/>
      </c>
      <c r="CB16" s="4135" t="str">
        <f t="shared" si="3"/>
        <v/>
      </c>
      <c r="CC16" s="4135" t="str">
        <f t="shared" si="4"/>
        <v/>
      </c>
      <c r="CD16" s="4135" t="str">
        <f t="shared" si="5"/>
        <v/>
      </c>
      <c r="CE16" s="4135" t="str">
        <f t="shared" si="6"/>
        <v/>
      </c>
      <c r="CI16" s="102">
        <f t="shared" si="7"/>
        <v>0</v>
      </c>
      <c r="CJ16" s="102">
        <f t="shared" si="8"/>
        <v>0</v>
      </c>
      <c r="CK16" s="102">
        <f t="shared" si="9"/>
        <v>0</v>
      </c>
      <c r="CL16" s="102">
        <f t="shared" si="10"/>
        <v>0</v>
      </c>
      <c r="CM16" s="102">
        <f t="shared" si="11"/>
        <v>0</v>
      </c>
      <c r="CN16" s="970"/>
      <c r="CO16" s="970"/>
      <c r="CS16" s="48"/>
      <c r="CT16" s="241"/>
      <c r="CU16" s="1361"/>
      <c r="CV16" s="1361"/>
      <c r="CW16" s="1361"/>
      <c r="CX16" s="1361"/>
      <c r="CY16" s="1361"/>
      <c r="CZ16" s="1361"/>
    </row>
    <row r="17" spans="1:104" s="1" customFormat="1" ht="15" customHeight="1">
      <c r="A17" s="5886" t="s">
        <v>2691</v>
      </c>
      <c r="B17" s="5887"/>
      <c r="C17" s="2649"/>
      <c r="D17" s="1003"/>
      <c r="E17" s="1066"/>
      <c r="F17" s="1066"/>
      <c r="G17" s="1004"/>
      <c r="H17" s="1003"/>
      <c r="I17" s="1365"/>
      <c r="J17" s="1365"/>
      <c r="K17" s="1004"/>
      <c r="L17" s="1180"/>
      <c r="M17" s="1365"/>
      <c r="N17" s="1365"/>
      <c r="O17" s="1365"/>
      <c r="P17" s="1365"/>
      <c r="Q17" s="1365"/>
      <c r="R17" s="1068"/>
      <c r="S17" s="1004"/>
      <c r="T17" s="4133"/>
      <c r="U17" s="1005"/>
      <c r="V17" s="1066"/>
      <c r="W17" s="1316"/>
      <c r="X17" s="4133"/>
      <c r="Y17" s="1365"/>
      <c r="Z17" s="1067"/>
      <c r="AA17" s="4134"/>
      <c r="AB17" s="1180"/>
      <c r="AC17" s="1180"/>
      <c r="AD17" s="1316"/>
      <c r="AE17" s="1066"/>
      <c r="AF17" s="1004"/>
      <c r="AG17" s="240" t="str">
        <f t="shared" si="1"/>
        <v/>
      </c>
      <c r="AH17" s="48"/>
      <c r="AI17" s="48"/>
      <c r="AJ17" s="48"/>
      <c r="AK17" s="48"/>
      <c r="AL17" s="48"/>
      <c r="AM17" s="48"/>
      <c r="AN17" s="48"/>
      <c r="AO17" s="48"/>
      <c r="AP17" s="48"/>
      <c r="AQ17" s="48"/>
      <c r="AR17" s="48"/>
      <c r="AS17" s="48"/>
      <c r="AT17" s="48"/>
      <c r="AU17" s="48"/>
      <c r="AV17" s="48"/>
      <c r="AW17" s="48"/>
      <c r="AX17" s="48"/>
      <c r="AY17" s="48"/>
      <c r="AZ17" s="48"/>
      <c r="BA17" s="48"/>
      <c r="BB17" s="48"/>
      <c r="BC17" s="48"/>
      <c r="BD17" s="48"/>
      <c r="BE17" s="48"/>
      <c r="BF17" s="48"/>
      <c r="BG17" s="48"/>
      <c r="BH17" s="48"/>
      <c r="BI17" s="48"/>
      <c r="BJ17" s="48"/>
      <c r="BK17" s="48"/>
      <c r="BL17" s="48"/>
      <c r="BM17" s="48"/>
      <c r="BN17" s="48"/>
      <c r="BO17" s="48"/>
      <c r="BP17" s="48"/>
      <c r="BQ17" s="48"/>
      <c r="BR17" s="48"/>
      <c r="BS17" s="48"/>
      <c r="BT17" s="48"/>
      <c r="BU17" s="48"/>
      <c r="BV17" s="48"/>
      <c r="BW17" s="48"/>
      <c r="BX17" s="48"/>
      <c r="BY17" s="48"/>
      <c r="BZ17" s="48"/>
      <c r="CA17" s="4135" t="str">
        <f t="shared" si="2"/>
        <v/>
      </c>
      <c r="CB17" s="4135" t="str">
        <f t="shared" si="3"/>
        <v/>
      </c>
      <c r="CC17" s="4135" t="str">
        <f t="shared" si="4"/>
        <v/>
      </c>
      <c r="CD17" s="4135" t="str">
        <f t="shared" si="5"/>
        <v/>
      </c>
      <c r="CE17" s="4135" t="str">
        <f t="shared" si="6"/>
        <v/>
      </c>
      <c r="CI17" s="102">
        <f t="shared" si="7"/>
        <v>0</v>
      </c>
      <c r="CJ17" s="102">
        <f t="shared" si="8"/>
        <v>0</v>
      </c>
      <c r="CK17" s="102">
        <f t="shared" si="9"/>
        <v>0</v>
      </c>
      <c r="CL17" s="102">
        <f t="shared" si="10"/>
        <v>0</v>
      </c>
      <c r="CM17" s="102">
        <f t="shared" si="11"/>
        <v>0</v>
      </c>
      <c r="CN17" s="970"/>
      <c r="CO17" s="970"/>
      <c r="CS17" s="48"/>
      <c r="CT17" s="241"/>
      <c r="CU17" s="1361"/>
      <c r="CV17" s="1361"/>
      <c r="CW17" s="1361"/>
      <c r="CX17" s="1361"/>
      <c r="CY17" s="1361"/>
      <c r="CZ17" s="1361"/>
    </row>
    <row r="18" spans="1:104" s="1" customFormat="1" ht="15" customHeight="1">
      <c r="A18" s="6941" t="s">
        <v>2692</v>
      </c>
      <c r="B18" s="6942"/>
      <c r="C18" s="4139"/>
      <c r="D18" s="1045"/>
      <c r="E18" s="1087"/>
      <c r="F18" s="1087"/>
      <c r="G18" s="1046"/>
      <c r="H18" s="1045"/>
      <c r="I18" s="4140"/>
      <c r="J18" s="4140"/>
      <c r="K18" s="1046"/>
      <c r="L18" s="1321"/>
      <c r="M18" s="4140"/>
      <c r="N18" s="4140"/>
      <c r="O18" s="4140"/>
      <c r="P18" s="4140"/>
      <c r="Q18" s="4140"/>
      <c r="R18" s="1042"/>
      <c r="S18" s="1046"/>
      <c r="T18" s="4141"/>
      <c r="U18" s="1034"/>
      <c r="V18" s="1087"/>
      <c r="W18" s="1319"/>
      <c r="X18" s="4141"/>
      <c r="Y18" s="4140"/>
      <c r="Z18" s="1320"/>
      <c r="AA18" s="4142"/>
      <c r="AB18" s="1321"/>
      <c r="AC18" s="1321"/>
      <c r="AD18" s="1319"/>
      <c r="AE18" s="1087"/>
      <c r="AF18" s="1046"/>
      <c r="AG18" s="240" t="str">
        <f t="shared" si="1"/>
        <v/>
      </c>
      <c r="AH18" s="48"/>
      <c r="AI18" s="48"/>
      <c r="AJ18" s="48"/>
      <c r="AK18" s="48"/>
      <c r="AL18" s="48"/>
      <c r="AM18" s="48"/>
      <c r="AN18" s="48"/>
      <c r="AO18" s="48"/>
      <c r="AP18" s="48"/>
      <c r="AQ18" s="48"/>
      <c r="AR18" s="48"/>
      <c r="AS18" s="48"/>
      <c r="AT18" s="48"/>
      <c r="AU18" s="48"/>
      <c r="AV18" s="48"/>
      <c r="AW18" s="48"/>
      <c r="AX18" s="48"/>
      <c r="AY18" s="48"/>
      <c r="AZ18" s="48"/>
      <c r="BA18" s="48"/>
      <c r="BB18" s="48"/>
      <c r="BC18" s="48"/>
      <c r="BD18" s="48"/>
      <c r="BE18" s="48"/>
      <c r="BF18" s="48"/>
      <c r="BG18" s="48"/>
      <c r="BH18" s="48"/>
      <c r="BI18" s="48"/>
      <c r="BJ18" s="48"/>
      <c r="BK18" s="48"/>
      <c r="BL18" s="48"/>
      <c r="BM18" s="48"/>
      <c r="BN18" s="48"/>
      <c r="BO18" s="48"/>
      <c r="BP18" s="48"/>
      <c r="BQ18" s="48"/>
      <c r="BR18" s="48"/>
      <c r="BS18" s="48"/>
      <c r="BT18" s="48"/>
      <c r="BU18" s="48"/>
      <c r="BV18" s="48"/>
      <c r="BW18" s="48"/>
      <c r="BX18" s="48"/>
      <c r="BY18" s="48"/>
      <c r="BZ18" s="48"/>
      <c r="CA18" s="4135" t="str">
        <f t="shared" si="2"/>
        <v/>
      </c>
      <c r="CB18" s="4135" t="str">
        <f t="shared" si="3"/>
        <v/>
      </c>
      <c r="CC18" s="4135" t="str">
        <f t="shared" si="4"/>
        <v/>
      </c>
      <c r="CD18" s="4135" t="str">
        <f t="shared" si="5"/>
        <v/>
      </c>
      <c r="CE18" s="4135" t="str">
        <f t="shared" si="6"/>
        <v/>
      </c>
      <c r="CI18" s="102">
        <f t="shared" si="7"/>
        <v>0</v>
      </c>
      <c r="CJ18" s="102">
        <f t="shared" si="8"/>
        <v>0</v>
      </c>
      <c r="CK18" s="102">
        <f t="shared" si="9"/>
        <v>0</v>
      </c>
      <c r="CL18" s="102">
        <f t="shared" si="10"/>
        <v>0</v>
      </c>
      <c r="CM18" s="102">
        <f t="shared" si="11"/>
        <v>0</v>
      </c>
      <c r="CN18" s="970"/>
      <c r="CO18" s="970"/>
      <c r="CS18" s="48"/>
      <c r="CT18" s="241"/>
      <c r="CU18" s="1361"/>
      <c r="CV18" s="1361"/>
      <c r="CW18" s="1361"/>
      <c r="CX18" s="1361"/>
      <c r="CY18" s="1361"/>
      <c r="CZ18" s="1361"/>
    </row>
    <row r="19" spans="1:104" s="1" customFormat="1" ht="15" customHeight="1">
      <c r="A19" s="5726" t="s">
        <v>2693</v>
      </c>
      <c r="B19" s="5727"/>
      <c r="C19" s="2754"/>
      <c r="D19" s="4143"/>
      <c r="E19" s="4144"/>
      <c r="F19" s="4144"/>
      <c r="G19" s="2762"/>
      <c r="H19" s="4143"/>
      <c r="I19" s="4145"/>
      <c r="J19" s="4145"/>
      <c r="K19" s="2762"/>
      <c r="L19" s="2754"/>
      <c r="M19" s="4145"/>
      <c r="N19" s="4145"/>
      <c r="O19" s="4145"/>
      <c r="P19" s="4145"/>
      <c r="Q19" s="4145"/>
      <c r="R19" s="4146"/>
      <c r="S19" s="2762"/>
      <c r="T19" s="4147"/>
      <c r="U19" s="4148"/>
      <c r="V19" s="4144"/>
      <c r="W19" s="4149"/>
      <c r="X19" s="4147"/>
      <c r="Y19" s="4145"/>
      <c r="Z19" s="4150"/>
      <c r="AA19" s="4151"/>
      <c r="AB19" s="2754"/>
      <c r="AC19" s="2754"/>
      <c r="AD19" s="4149"/>
      <c r="AE19" s="4144"/>
      <c r="AF19" s="2762"/>
      <c r="AG19" s="240" t="str">
        <f t="shared" si="1"/>
        <v/>
      </c>
      <c r="AH19" s="48"/>
      <c r="AI19" s="48"/>
      <c r="AJ19" s="48"/>
      <c r="AK19" s="48"/>
      <c r="AL19" s="48"/>
      <c r="AM19" s="48"/>
      <c r="AN19" s="48"/>
      <c r="AO19" s="48"/>
      <c r="AP19" s="48"/>
      <c r="AQ19" s="48"/>
      <c r="AR19" s="48"/>
      <c r="AS19" s="48"/>
      <c r="AT19" s="48"/>
      <c r="AU19" s="48"/>
      <c r="AV19" s="48"/>
      <c r="AW19" s="48"/>
      <c r="AX19" s="48"/>
      <c r="AY19" s="48"/>
      <c r="AZ19" s="48"/>
      <c r="BA19" s="48"/>
      <c r="BB19" s="48"/>
      <c r="BC19" s="48"/>
      <c r="BD19" s="48"/>
      <c r="BE19" s="48"/>
      <c r="BF19" s="48"/>
      <c r="BG19" s="48"/>
      <c r="BH19" s="48"/>
      <c r="BI19" s="48"/>
      <c r="BJ19" s="48"/>
      <c r="BK19" s="48"/>
      <c r="BL19" s="48"/>
      <c r="BM19" s="48"/>
      <c r="BN19" s="48"/>
      <c r="BO19" s="48"/>
      <c r="BP19" s="48"/>
      <c r="BQ19" s="48"/>
      <c r="BR19" s="48"/>
      <c r="BS19" s="48"/>
      <c r="BT19" s="48"/>
      <c r="BU19" s="48"/>
      <c r="BV19" s="48"/>
      <c r="BW19" s="48"/>
      <c r="BX19" s="48"/>
      <c r="BY19" s="48"/>
      <c r="BZ19" s="48"/>
      <c r="CA19" s="4135" t="str">
        <f t="shared" si="2"/>
        <v/>
      </c>
      <c r="CB19" s="4135" t="str">
        <f t="shared" si="3"/>
        <v/>
      </c>
      <c r="CC19" s="4135" t="str">
        <f t="shared" si="4"/>
        <v/>
      </c>
      <c r="CD19" s="4135" t="str">
        <f t="shared" si="5"/>
        <v/>
      </c>
      <c r="CE19" s="4135" t="str">
        <f t="shared" si="6"/>
        <v/>
      </c>
      <c r="CI19" s="102">
        <f t="shared" si="7"/>
        <v>0</v>
      </c>
      <c r="CJ19" s="102">
        <f t="shared" si="8"/>
        <v>0</v>
      </c>
      <c r="CK19" s="102">
        <f t="shared" si="9"/>
        <v>0</v>
      </c>
      <c r="CL19" s="102">
        <f t="shared" si="10"/>
        <v>0</v>
      </c>
      <c r="CM19" s="102">
        <f t="shared" si="11"/>
        <v>0</v>
      </c>
      <c r="CN19" s="970"/>
      <c r="CO19" s="970"/>
      <c r="CS19" s="48"/>
      <c r="CT19" s="241"/>
      <c r="CU19" s="1361"/>
      <c r="CV19" s="1361"/>
      <c r="CW19" s="1361"/>
      <c r="CX19" s="1361"/>
      <c r="CY19" s="1361"/>
      <c r="CZ19" s="1361"/>
    </row>
    <row r="20" spans="1:104" s="1" customFormat="1" ht="15" customHeight="1">
      <c r="A20" s="5791" t="s">
        <v>2694</v>
      </c>
      <c r="B20" s="5792"/>
      <c r="C20" s="2649"/>
      <c r="D20" s="1003"/>
      <c r="E20" s="1365"/>
      <c r="F20" s="1365"/>
      <c r="G20" s="1005"/>
      <c r="H20" s="4152"/>
      <c r="I20" s="4153"/>
      <c r="J20" s="4153"/>
      <c r="K20" s="4154"/>
      <c r="L20" s="4155"/>
      <c r="M20" s="4153"/>
      <c r="N20" s="4153"/>
      <c r="O20" s="4153"/>
      <c r="P20" s="4153"/>
      <c r="Q20" s="4153"/>
      <c r="R20" s="4156"/>
      <c r="S20" s="4154"/>
      <c r="T20" s="4157"/>
      <c r="U20" s="4158"/>
      <c r="V20" s="4159"/>
      <c r="W20" s="4160"/>
      <c r="X20" s="4157"/>
      <c r="Y20" s="4153"/>
      <c r="Z20" s="4161"/>
      <c r="AA20" s="4162"/>
      <c r="AB20" s="4155"/>
      <c r="AC20" s="4155"/>
      <c r="AD20" s="4160"/>
      <c r="AE20" s="4159"/>
      <c r="AF20" s="4154"/>
      <c r="AG20" s="240" t="str">
        <f t="shared" si="1"/>
        <v/>
      </c>
      <c r="AH20" s="48"/>
      <c r="AI20" s="48"/>
      <c r="AJ20" s="48"/>
      <c r="AK20" s="48"/>
      <c r="AL20" s="48"/>
      <c r="AM20" s="48"/>
      <c r="AN20" s="48"/>
      <c r="AO20" s="48"/>
      <c r="AP20" s="48"/>
      <c r="AQ20" s="48"/>
      <c r="AR20" s="48"/>
      <c r="AS20" s="48"/>
      <c r="AT20" s="48"/>
      <c r="AU20" s="48"/>
      <c r="AV20" s="48"/>
      <c r="AW20" s="48"/>
      <c r="AX20" s="48"/>
      <c r="AY20" s="48"/>
      <c r="AZ20" s="48"/>
      <c r="BA20" s="48"/>
      <c r="BB20" s="48"/>
      <c r="BC20" s="48"/>
      <c r="BD20" s="48"/>
      <c r="BE20" s="48"/>
      <c r="BF20" s="48"/>
      <c r="BG20" s="48"/>
      <c r="BH20" s="48"/>
      <c r="BI20" s="48"/>
      <c r="BJ20" s="48"/>
      <c r="BK20" s="48"/>
      <c r="BL20" s="48"/>
      <c r="BM20" s="48"/>
      <c r="BN20" s="48"/>
      <c r="BO20" s="48"/>
      <c r="BP20" s="48"/>
      <c r="BQ20" s="48"/>
      <c r="BR20" s="48"/>
      <c r="BS20" s="48"/>
      <c r="BT20" s="48"/>
      <c r="BU20" s="48"/>
      <c r="BV20" s="48"/>
      <c r="BW20" s="48"/>
      <c r="BX20" s="48"/>
      <c r="BY20" s="48"/>
      <c r="BZ20" s="48"/>
      <c r="CA20" s="4135" t="str">
        <f t="shared" si="2"/>
        <v/>
      </c>
      <c r="CB20" s="4135" t="str">
        <f t="shared" si="3"/>
        <v/>
      </c>
      <c r="CC20" s="4135" t="str">
        <f t="shared" si="4"/>
        <v/>
      </c>
      <c r="CD20" s="4135" t="str">
        <f t="shared" si="5"/>
        <v/>
      </c>
      <c r="CE20" s="4135" t="str">
        <f t="shared" si="6"/>
        <v/>
      </c>
      <c r="CI20" s="102">
        <f t="shared" si="7"/>
        <v>0</v>
      </c>
      <c r="CJ20" s="102">
        <f t="shared" si="8"/>
        <v>0</v>
      </c>
      <c r="CK20" s="102">
        <f t="shared" si="9"/>
        <v>0</v>
      </c>
      <c r="CL20" s="102">
        <f t="shared" si="10"/>
        <v>0</v>
      </c>
      <c r="CM20" s="102">
        <f t="shared" si="11"/>
        <v>0</v>
      </c>
      <c r="CN20" s="970"/>
      <c r="CO20" s="970"/>
      <c r="CS20" s="48"/>
      <c r="CT20" s="241"/>
      <c r="CU20" s="1361"/>
      <c r="CV20" s="1361"/>
      <c r="CW20" s="1361"/>
      <c r="CX20" s="1361"/>
      <c r="CY20" s="1361"/>
      <c r="CZ20" s="1361"/>
    </row>
    <row r="21" spans="1:104" s="1" customFormat="1" ht="15" customHeight="1">
      <c r="A21" s="6536" t="s">
        <v>2695</v>
      </c>
      <c r="B21" s="6537"/>
      <c r="C21" s="1056"/>
      <c r="D21" s="1053"/>
      <c r="E21" s="1377"/>
      <c r="F21" s="1377"/>
      <c r="G21" s="1052"/>
      <c r="H21" s="1053"/>
      <c r="I21" s="1377"/>
      <c r="J21" s="1377"/>
      <c r="K21" s="1054"/>
      <c r="L21" s="1136"/>
      <c r="M21" s="1377"/>
      <c r="N21" s="1377"/>
      <c r="O21" s="1377"/>
      <c r="P21" s="1377"/>
      <c r="Q21" s="1377"/>
      <c r="R21" s="1057"/>
      <c r="S21" s="1054"/>
      <c r="T21" s="4138"/>
      <c r="U21" s="1052"/>
      <c r="V21" s="1271"/>
      <c r="W21" s="1322"/>
      <c r="X21" s="4138"/>
      <c r="Y21" s="1377"/>
      <c r="Z21" s="1137"/>
      <c r="AA21" s="1139"/>
      <c r="AB21" s="1136"/>
      <c r="AC21" s="1136"/>
      <c r="AD21" s="1322"/>
      <c r="AE21" s="1271"/>
      <c r="AF21" s="1054"/>
      <c r="AG21" s="240" t="str">
        <f t="shared" si="1"/>
        <v/>
      </c>
      <c r="AH21" s="48"/>
      <c r="AI21" s="48"/>
      <c r="AJ21" s="48"/>
      <c r="AK21" s="48"/>
      <c r="AL21" s="48"/>
      <c r="AM21" s="48"/>
      <c r="AN21" s="48"/>
      <c r="AO21" s="48"/>
      <c r="AP21" s="48"/>
      <c r="AQ21" s="48"/>
      <c r="AR21" s="48"/>
      <c r="AS21" s="48"/>
      <c r="AT21" s="48"/>
      <c r="AU21" s="48"/>
      <c r="AV21" s="48"/>
      <c r="AW21" s="48"/>
      <c r="AX21" s="48"/>
      <c r="AY21" s="48"/>
      <c r="AZ21" s="48"/>
      <c r="BA21" s="48"/>
      <c r="BB21" s="48"/>
      <c r="BC21" s="48"/>
      <c r="BD21" s="48"/>
      <c r="BE21" s="48"/>
      <c r="BF21" s="48"/>
      <c r="BG21" s="48"/>
      <c r="BH21" s="48"/>
      <c r="BI21" s="48"/>
      <c r="BJ21" s="48"/>
      <c r="BK21" s="48"/>
      <c r="BL21" s="48"/>
      <c r="BM21" s="48"/>
      <c r="BN21" s="48"/>
      <c r="BO21" s="48"/>
      <c r="BP21" s="48"/>
      <c r="BQ21" s="48"/>
      <c r="BR21" s="48"/>
      <c r="BS21" s="48"/>
      <c r="BT21" s="48"/>
      <c r="BU21" s="48"/>
      <c r="BV21" s="48"/>
      <c r="BW21" s="48"/>
      <c r="BX21" s="48"/>
      <c r="BY21" s="48"/>
      <c r="BZ21" s="48"/>
      <c r="CA21" s="4135" t="str">
        <f t="shared" si="2"/>
        <v/>
      </c>
      <c r="CB21" s="4135" t="str">
        <f t="shared" si="3"/>
        <v/>
      </c>
      <c r="CC21" s="4135" t="str">
        <f t="shared" si="4"/>
        <v/>
      </c>
      <c r="CD21" s="4135" t="str">
        <f t="shared" si="5"/>
        <v/>
      </c>
      <c r="CE21" s="4135" t="str">
        <f t="shared" si="6"/>
        <v/>
      </c>
      <c r="CI21" s="102">
        <f t="shared" si="7"/>
        <v>0</v>
      </c>
      <c r="CJ21" s="102">
        <f t="shared" si="8"/>
        <v>0</v>
      </c>
      <c r="CK21" s="102">
        <f t="shared" si="9"/>
        <v>0</v>
      </c>
      <c r="CL21" s="102">
        <f t="shared" si="10"/>
        <v>0</v>
      </c>
      <c r="CM21" s="102">
        <f t="shared" si="11"/>
        <v>0</v>
      </c>
      <c r="CN21" s="970"/>
      <c r="CO21" s="970"/>
      <c r="CS21" s="48"/>
      <c r="CT21" s="241"/>
      <c r="CU21" s="1361"/>
      <c r="CV21" s="1361"/>
      <c r="CW21" s="1361"/>
      <c r="CX21" s="1361"/>
      <c r="CY21" s="1361"/>
      <c r="CZ21" s="1361"/>
    </row>
    <row r="22" spans="1:104" s="1" customFormat="1" ht="15" customHeight="1">
      <c r="A22" s="5618" t="s">
        <v>2696</v>
      </c>
      <c r="B22" s="4163" t="s">
        <v>2697</v>
      </c>
      <c r="C22" s="4139"/>
      <c r="D22" s="4164"/>
      <c r="E22" s="4165"/>
      <c r="F22" s="4165"/>
      <c r="G22" s="4166"/>
      <c r="H22" s="4164"/>
      <c r="I22" s="4167"/>
      <c r="J22" s="4167"/>
      <c r="K22" s="4166"/>
      <c r="L22" s="4168"/>
      <c r="M22" s="4167"/>
      <c r="N22" s="4167"/>
      <c r="O22" s="4167"/>
      <c r="P22" s="4167"/>
      <c r="Q22" s="4167"/>
      <c r="R22" s="4169"/>
      <c r="S22" s="4166"/>
      <c r="T22" s="4170"/>
      <c r="U22" s="1267"/>
      <c r="V22" s="4165"/>
      <c r="W22" s="4171"/>
      <c r="X22" s="4172"/>
      <c r="Y22" s="4167"/>
      <c r="Z22" s="4173"/>
      <c r="AA22" s="4174"/>
      <c r="AB22" s="4168"/>
      <c r="AC22" s="4168"/>
      <c r="AD22" s="4171"/>
      <c r="AE22" s="4165"/>
      <c r="AF22" s="4166"/>
      <c r="AG22" s="240" t="str">
        <f t="shared" si="1"/>
        <v/>
      </c>
      <c r="AH22" s="48"/>
      <c r="AI22" s="48"/>
      <c r="AJ22" s="48"/>
      <c r="AK22" s="48"/>
      <c r="AL22" s="48"/>
      <c r="AM22" s="48"/>
      <c r="AN22" s="48"/>
      <c r="AO22" s="48"/>
      <c r="AP22" s="48"/>
      <c r="AQ22" s="48"/>
      <c r="AR22" s="48"/>
      <c r="AS22" s="48"/>
      <c r="AT22" s="48"/>
      <c r="AU22" s="48"/>
      <c r="AV22" s="48"/>
      <c r="AW22" s="48"/>
      <c r="AX22" s="48"/>
      <c r="AY22" s="48"/>
      <c r="AZ22" s="48"/>
      <c r="BA22" s="48"/>
      <c r="BB22" s="48"/>
      <c r="BC22" s="48"/>
      <c r="BD22" s="48"/>
      <c r="BE22" s="48"/>
      <c r="BF22" s="48"/>
      <c r="BG22" s="48"/>
      <c r="BH22" s="48"/>
      <c r="BI22" s="48"/>
      <c r="BJ22" s="48"/>
      <c r="BK22" s="48"/>
      <c r="BL22" s="48"/>
      <c r="BM22" s="48"/>
      <c r="BN22" s="48"/>
      <c r="BO22" s="48"/>
      <c r="BP22" s="48"/>
      <c r="BQ22" s="48"/>
      <c r="BR22" s="48"/>
      <c r="BS22" s="48"/>
      <c r="BT22" s="48"/>
      <c r="BU22" s="48"/>
      <c r="BV22" s="48"/>
      <c r="BW22" s="48"/>
      <c r="BX22" s="48"/>
      <c r="BY22" s="48"/>
      <c r="BZ22" s="48"/>
      <c r="CA22" s="4135" t="str">
        <f t="shared" si="2"/>
        <v/>
      </c>
      <c r="CB22" s="4135" t="str">
        <f t="shared" si="3"/>
        <v/>
      </c>
      <c r="CC22" s="4135" t="str">
        <f t="shared" si="4"/>
        <v/>
      </c>
      <c r="CD22" s="4135" t="str">
        <f t="shared" si="5"/>
        <v/>
      </c>
      <c r="CE22" s="4135" t="str">
        <f t="shared" si="6"/>
        <v/>
      </c>
      <c r="CI22" s="102">
        <f t="shared" si="7"/>
        <v>0</v>
      </c>
      <c r="CJ22" s="102">
        <f t="shared" si="8"/>
        <v>0</v>
      </c>
      <c r="CK22" s="102">
        <f t="shared" si="9"/>
        <v>0</v>
      </c>
      <c r="CL22" s="102">
        <f t="shared" si="10"/>
        <v>0</v>
      </c>
      <c r="CM22" s="102">
        <f t="shared" si="11"/>
        <v>0</v>
      </c>
      <c r="CN22" s="970"/>
      <c r="CO22" s="970"/>
      <c r="CS22" s="48"/>
      <c r="CT22" s="241"/>
      <c r="CU22" s="1361"/>
      <c r="CV22" s="1361"/>
      <c r="CW22" s="1361"/>
      <c r="CX22" s="1361"/>
      <c r="CY22" s="1361"/>
      <c r="CZ22" s="1361"/>
    </row>
    <row r="23" spans="1:104" s="1" customFormat="1" ht="15" customHeight="1">
      <c r="A23" s="5620"/>
      <c r="B23" s="4175" t="s">
        <v>2698</v>
      </c>
      <c r="C23" s="1056"/>
      <c r="D23" s="1056"/>
      <c r="E23" s="1377"/>
      <c r="F23" s="1377"/>
      <c r="G23" s="1054"/>
      <c r="H23" s="1053"/>
      <c r="I23" s="1377"/>
      <c r="J23" s="1377"/>
      <c r="K23" s="1054"/>
      <c r="L23" s="1136"/>
      <c r="M23" s="1377"/>
      <c r="N23" s="1377"/>
      <c r="O23" s="1377"/>
      <c r="P23" s="1377"/>
      <c r="Q23" s="1377"/>
      <c r="R23" s="1057"/>
      <c r="S23" s="1054"/>
      <c r="T23" s="4138"/>
      <c r="U23" s="1052"/>
      <c r="V23" s="1271"/>
      <c r="W23" s="1322"/>
      <c r="X23" s="4138"/>
      <c r="Y23" s="1377"/>
      <c r="Z23" s="1137"/>
      <c r="AA23" s="1139"/>
      <c r="AB23" s="1136"/>
      <c r="AC23" s="1136"/>
      <c r="AD23" s="1322"/>
      <c r="AE23" s="1271"/>
      <c r="AF23" s="1054"/>
      <c r="AG23" s="240" t="str">
        <f t="shared" si="1"/>
        <v/>
      </c>
      <c r="AH23" s="48"/>
      <c r="AI23" s="48"/>
      <c r="AJ23" s="48"/>
      <c r="AK23" s="48"/>
      <c r="AL23" s="48"/>
      <c r="AM23" s="48"/>
      <c r="AN23" s="48"/>
      <c r="AO23" s="48"/>
      <c r="AP23" s="48"/>
      <c r="AQ23" s="48"/>
      <c r="AR23" s="48"/>
      <c r="AS23" s="48"/>
      <c r="AT23" s="48"/>
      <c r="AU23" s="48"/>
      <c r="AV23" s="48"/>
      <c r="AW23" s="48"/>
      <c r="AX23" s="48"/>
      <c r="AY23" s="48"/>
      <c r="AZ23" s="48"/>
      <c r="BA23" s="48"/>
      <c r="BB23" s="48"/>
      <c r="BC23" s="48"/>
      <c r="BD23" s="48"/>
      <c r="BE23" s="48"/>
      <c r="BF23" s="48"/>
      <c r="BG23" s="48"/>
      <c r="BH23" s="48"/>
      <c r="BI23" s="48"/>
      <c r="BJ23" s="48"/>
      <c r="BK23" s="48"/>
      <c r="BL23" s="48"/>
      <c r="BM23" s="48"/>
      <c r="BN23" s="48"/>
      <c r="BO23" s="48"/>
      <c r="BP23" s="48"/>
      <c r="BQ23" s="48"/>
      <c r="BR23" s="48"/>
      <c r="BS23" s="48"/>
      <c r="BT23" s="48"/>
      <c r="BU23" s="48"/>
      <c r="BV23" s="48"/>
      <c r="BW23" s="48"/>
      <c r="BX23" s="48"/>
      <c r="BY23" s="48"/>
      <c r="BZ23" s="48"/>
      <c r="CA23" s="4135" t="str">
        <f t="shared" si="2"/>
        <v/>
      </c>
      <c r="CB23" s="4135" t="str">
        <f t="shared" si="3"/>
        <v/>
      </c>
      <c r="CC23" s="4135" t="str">
        <f t="shared" si="4"/>
        <v/>
      </c>
      <c r="CD23" s="4135" t="str">
        <f t="shared" si="5"/>
        <v/>
      </c>
      <c r="CE23" s="4135" t="str">
        <f t="shared" si="6"/>
        <v/>
      </c>
      <c r="CI23" s="102">
        <f t="shared" si="7"/>
        <v>0</v>
      </c>
      <c r="CJ23" s="102">
        <f t="shared" si="8"/>
        <v>0</v>
      </c>
      <c r="CK23" s="102">
        <f t="shared" si="9"/>
        <v>0</v>
      </c>
      <c r="CL23" s="102">
        <f t="shared" si="10"/>
        <v>0</v>
      </c>
      <c r="CM23" s="102">
        <f t="shared" si="11"/>
        <v>0</v>
      </c>
      <c r="CN23" s="970"/>
      <c r="CO23" s="970"/>
      <c r="CS23" s="48"/>
      <c r="CT23" s="241"/>
      <c r="CU23" s="1361"/>
      <c r="CV23" s="1361"/>
      <c r="CW23" s="1361"/>
      <c r="CX23" s="1361"/>
      <c r="CY23" s="1361"/>
      <c r="CZ23" s="1361"/>
    </row>
    <row r="24" spans="1:104" s="1361" customFormat="1" ht="18" customHeight="1">
      <c r="A24" s="55" t="s">
        <v>2699</v>
      </c>
      <c r="B24" s="55"/>
      <c r="C24" s="4176"/>
      <c r="D24" s="4177"/>
      <c r="E24" s="4177"/>
      <c r="F24" s="4178"/>
    </row>
    <row r="25" spans="1:104" s="1" customFormat="1" ht="21">
      <c r="A25" s="5647" t="s">
        <v>2700</v>
      </c>
      <c r="B25" s="5648"/>
      <c r="C25" s="2645" t="s">
        <v>91</v>
      </c>
      <c r="D25" s="2767" t="s">
        <v>2701</v>
      </c>
      <c r="E25" s="4179" t="s">
        <v>2702</v>
      </c>
      <c r="F25" s="192" t="s">
        <v>2703</v>
      </c>
      <c r="CA25" s="1361"/>
      <c r="CB25" s="1361"/>
      <c r="CC25" s="1361"/>
      <c r="CD25" s="1361"/>
      <c r="CE25" s="1361"/>
      <c r="CF25" s="1361"/>
      <c r="CG25" s="1361"/>
      <c r="CH25" s="1361"/>
      <c r="CI25" s="1361"/>
      <c r="CJ25" s="1361"/>
      <c r="CK25" s="1361"/>
      <c r="CL25" s="1361"/>
      <c r="CM25" s="1361"/>
      <c r="CN25" s="1361"/>
      <c r="CO25" s="1361"/>
      <c r="CP25" s="1361"/>
      <c r="CQ25" s="1361"/>
      <c r="CR25" s="1361"/>
      <c r="CS25" s="1361"/>
      <c r="CT25" s="1361"/>
      <c r="CU25" s="1361"/>
      <c r="CV25" s="1361"/>
    </row>
    <row r="26" spans="1:104" s="1" customFormat="1" ht="15" customHeight="1">
      <c r="A26" s="6956" t="s">
        <v>2704</v>
      </c>
      <c r="B26" s="6957"/>
      <c r="C26" s="4180">
        <f t="shared" ref="C26:C38" si="12">SUM(D26:F26)</f>
        <v>0</v>
      </c>
      <c r="D26" s="4181"/>
      <c r="E26" s="4182"/>
      <c r="F26" s="4183"/>
      <c r="CA26" s="1361"/>
      <c r="CB26" s="1361"/>
      <c r="CC26" s="1361"/>
      <c r="CD26" s="1361"/>
      <c r="CE26" s="1361"/>
      <c r="CF26" s="1361"/>
      <c r="CG26" s="1361"/>
      <c r="CH26" s="1361"/>
      <c r="CI26" s="1361"/>
      <c r="CJ26" s="1361"/>
      <c r="CK26" s="1361"/>
      <c r="CL26" s="1361"/>
      <c r="CM26" s="1361"/>
      <c r="CN26" s="1361"/>
      <c r="CO26" s="1361"/>
      <c r="CP26" s="1361"/>
      <c r="CQ26" s="1361"/>
      <c r="CR26" s="1361"/>
      <c r="CS26" s="1361"/>
      <c r="CT26" s="1361"/>
      <c r="CU26" s="1361"/>
      <c r="CV26" s="1361"/>
    </row>
    <row r="27" spans="1:104" s="1" customFormat="1" ht="15" customHeight="1">
      <c r="A27" s="6943" t="s">
        <v>2705</v>
      </c>
      <c r="B27" s="485" t="s">
        <v>2706</v>
      </c>
      <c r="C27" s="78">
        <f t="shared" si="12"/>
        <v>0</v>
      </c>
      <c r="D27" s="4184"/>
      <c r="E27" s="4185"/>
      <c r="F27" s="4186"/>
      <c r="CA27" s="1361"/>
      <c r="CB27" s="1361"/>
      <c r="CC27" s="1361"/>
      <c r="CD27" s="1361"/>
      <c r="CE27" s="1361"/>
      <c r="CF27" s="1361"/>
      <c r="CG27" s="1361"/>
      <c r="CH27" s="1361"/>
      <c r="CI27" s="1361"/>
      <c r="CJ27" s="1361"/>
      <c r="CK27" s="1361"/>
      <c r="CL27" s="1361"/>
      <c r="CM27" s="1361"/>
      <c r="CN27" s="1361"/>
      <c r="CO27" s="1361"/>
      <c r="CP27" s="1361"/>
      <c r="CQ27" s="1361"/>
      <c r="CR27" s="1361"/>
      <c r="CS27" s="1361"/>
      <c r="CT27" s="1361"/>
      <c r="CU27" s="1361"/>
      <c r="CV27" s="1361"/>
    </row>
    <row r="28" spans="1:104" s="1" customFormat="1" ht="15" customHeight="1">
      <c r="A28" s="5628"/>
      <c r="B28" s="105" t="s">
        <v>2707</v>
      </c>
      <c r="C28" s="106">
        <f t="shared" si="12"/>
        <v>0</v>
      </c>
      <c r="D28" s="4187"/>
      <c r="E28" s="4188"/>
      <c r="F28" s="4189"/>
      <c r="CA28" s="1361"/>
      <c r="CB28" s="1361"/>
      <c r="CC28" s="1361"/>
      <c r="CD28" s="1361"/>
      <c r="CE28" s="1361"/>
      <c r="CF28" s="1361"/>
      <c r="CG28" s="1361"/>
      <c r="CH28" s="1361"/>
      <c r="CI28" s="1361"/>
      <c r="CJ28" s="1361"/>
      <c r="CK28" s="1361"/>
      <c r="CL28" s="1361"/>
      <c r="CM28" s="1361"/>
      <c r="CN28" s="1361"/>
      <c r="CO28" s="1361"/>
      <c r="CP28" s="1361"/>
      <c r="CQ28" s="1361"/>
      <c r="CR28" s="1361"/>
      <c r="CS28" s="1361"/>
      <c r="CT28" s="1361"/>
      <c r="CU28" s="1361"/>
      <c r="CV28" s="1361"/>
    </row>
    <row r="29" spans="1:104" s="1" customFormat="1" ht="15" customHeight="1">
      <c r="A29" s="5791" t="s">
        <v>2708</v>
      </c>
      <c r="B29" s="5792"/>
      <c r="C29" s="78">
        <f t="shared" si="12"/>
        <v>0</v>
      </c>
      <c r="D29" s="4184"/>
      <c r="E29" s="4185"/>
      <c r="F29" s="4186"/>
      <c r="CA29" s="1361"/>
      <c r="CB29" s="1361"/>
      <c r="CC29" s="1361"/>
      <c r="CD29" s="1361"/>
      <c r="CE29" s="1361"/>
      <c r="CF29" s="1361"/>
      <c r="CG29" s="1361"/>
      <c r="CH29" s="1361"/>
      <c r="CI29" s="1361"/>
      <c r="CJ29" s="1361"/>
      <c r="CK29" s="1361"/>
      <c r="CL29" s="1361"/>
      <c r="CM29" s="1361"/>
      <c r="CN29" s="1361"/>
      <c r="CO29" s="1361"/>
      <c r="CP29" s="1361"/>
      <c r="CQ29" s="1361"/>
      <c r="CR29" s="1361"/>
      <c r="CS29" s="1361"/>
      <c r="CT29" s="1361"/>
      <c r="CU29" s="1361"/>
      <c r="CV29" s="1361"/>
    </row>
    <row r="30" spans="1:104" s="1" customFormat="1" ht="15" customHeight="1">
      <c r="A30" s="6538" t="s">
        <v>2709</v>
      </c>
      <c r="B30" s="6539"/>
      <c r="C30" s="206">
        <f t="shared" si="12"/>
        <v>0</v>
      </c>
      <c r="D30" s="4190"/>
      <c r="E30" s="4191"/>
      <c r="F30" s="4192"/>
      <c r="CA30" s="1361"/>
      <c r="CB30" s="1361"/>
      <c r="CC30" s="1361"/>
      <c r="CD30" s="1361"/>
      <c r="CE30" s="1361"/>
      <c r="CF30" s="1361"/>
      <c r="CG30" s="1361"/>
      <c r="CH30" s="1361"/>
      <c r="CI30" s="1361"/>
      <c r="CJ30" s="1361"/>
      <c r="CK30" s="1361"/>
      <c r="CL30" s="1361"/>
      <c r="CM30" s="1361"/>
      <c r="CN30" s="1361"/>
      <c r="CO30" s="1361"/>
      <c r="CP30" s="1361"/>
      <c r="CQ30" s="1361"/>
      <c r="CR30" s="1361"/>
      <c r="CS30" s="1361"/>
      <c r="CT30" s="1361"/>
      <c r="CU30" s="1361"/>
      <c r="CV30" s="1361"/>
    </row>
    <row r="31" spans="1:104" s="1" customFormat="1" ht="15" customHeight="1">
      <c r="A31" s="6536" t="s">
        <v>2710</v>
      </c>
      <c r="B31" s="6537"/>
      <c r="C31" s="106">
        <f t="shared" si="12"/>
        <v>0</v>
      </c>
      <c r="D31" s="4187"/>
      <c r="E31" s="4188"/>
      <c r="F31" s="4189"/>
      <c r="CA31" s="1361"/>
      <c r="CB31" s="1361"/>
      <c r="CC31" s="1361"/>
      <c r="CD31" s="1361"/>
      <c r="CE31" s="1361"/>
      <c r="CF31" s="1361"/>
      <c r="CG31" s="1361"/>
      <c r="CH31" s="1361"/>
      <c r="CI31" s="1361"/>
      <c r="CJ31" s="1361"/>
      <c r="CK31" s="1361"/>
      <c r="CL31" s="1361"/>
      <c r="CM31" s="1361"/>
      <c r="CN31" s="1361"/>
      <c r="CO31" s="1361"/>
      <c r="CP31" s="1361"/>
      <c r="CQ31" s="1361"/>
      <c r="CR31" s="1361"/>
      <c r="CS31" s="1361"/>
      <c r="CT31" s="1361"/>
      <c r="CU31" s="1361"/>
      <c r="CV31" s="1361"/>
    </row>
    <row r="32" spans="1:104" s="1" customFormat="1" ht="15" customHeight="1">
      <c r="A32" s="5619" t="s">
        <v>2711</v>
      </c>
      <c r="B32" s="4193" t="s">
        <v>2712</v>
      </c>
      <c r="C32" s="78">
        <f t="shared" si="12"/>
        <v>0</v>
      </c>
      <c r="D32" s="4184"/>
      <c r="E32" s="4185"/>
      <c r="F32" s="4186"/>
      <c r="CA32" s="1361"/>
      <c r="CB32" s="1361"/>
      <c r="CC32" s="1361"/>
      <c r="CD32" s="1361"/>
      <c r="CE32" s="1361"/>
      <c r="CF32" s="1361"/>
      <c r="CG32" s="1361"/>
      <c r="CH32" s="1361"/>
      <c r="CI32" s="1361"/>
      <c r="CJ32" s="1361"/>
      <c r="CK32" s="1361"/>
      <c r="CL32" s="1361"/>
      <c r="CM32" s="1361"/>
      <c r="CN32" s="1361"/>
      <c r="CO32" s="1361"/>
      <c r="CP32" s="1361"/>
      <c r="CQ32" s="1361"/>
      <c r="CR32" s="1361"/>
      <c r="CS32" s="1361"/>
      <c r="CT32" s="1361"/>
      <c r="CU32" s="1361"/>
      <c r="CV32" s="1361"/>
    </row>
    <row r="33" spans="1:100" s="1" customFormat="1" ht="15" customHeight="1">
      <c r="A33" s="5620"/>
      <c r="B33" s="747" t="s">
        <v>2713</v>
      </c>
      <c r="C33" s="106">
        <f t="shared" si="12"/>
        <v>0</v>
      </c>
      <c r="D33" s="4187"/>
      <c r="E33" s="4188"/>
      <c r="F33" s="4189"/>
      <c r="CA33" s="1361"/>
      <c r="CB33" s="1361"/>
      <c r="CC33" s="1361"/>
      <c r="CD33" s="1361"/>
      <c r="CE33" s="1361"/>
      <c r="CF33" s="1361"/>
      <c r="CG33" s="1361"/>
      <c r="CH33" s="1361"/>
      <c r="CI33" s="1361"/>
      <c r="CJ33" s="1361"/>
      <c r="CK33" s="1361"/>
      <c r="CL33" s="1361"/>
      <c r="CM33" s="1361"/>
      <c r="CN33" s="1361"/>
      <c r="CO33" s="1361"/>
      <c r="CP33" s="1361"/>
      <c r="CQ33" s="1361"/>
      <c r="CR33" s="1361"/>
      <c r="CS33" s="1361"/>
      <c r="CT33" s="1361"/>
      <c r="CU33" s="1361"/>
      <c r="CV33" s="1361"/>
    </row>
    <row r="34" spans="1:100" s="1" customFormat="1" ht="15" customHeight="1">
      <c r="A34" s="5619" t="s">
        <v>2714</v>
      </c>
      <c r="B34" s="4193" t="s">
        <v>2715</v>
      </c>
      <c r="C34" s="78">
        <f t="shared" si="12"/>
        <v>0</v>
      </c>
      <c r="D34" s="4184"/>
      <c r="E34" s="4185"/>
      <c r="F34" s="4186"/>
      <c r="CA34" s="1361"/>
      <c r="CB34" s="1361"/>
      <c r="CC34" s="1361"/>
      <c r="CD34" s="1361"/>
      <c r="CE34" s="1361"/>
      <c r="CF34" s="1361"/>
      <c r="CG34" s="1361"/>
      <c r="CH34" s="1361"/>
      <c r="CI34" s="1361"/>
      <c r="CJ34" s="1361"/>
      <c r="CK34" s="1361"/>
      <c r="CL34" s="1361"/>
      <c r="CM34" s="1361"/>
      <c r="CN34" s="1361"/>
      <c r="CO34" s="1361"/>
      <c r="CP34" s="1361"/>
      <c r="CQ34" s="1361"/>
      <c r="CR34" s="1361"/>
      <c r="CS34" s="1361"/>
      <c r="CT34" s="1361"/>
      <c r="CU34" s="1361"/>
      <c r="CV34" s="1361"/>
    </row>
    <row r="35" spans="1:100" s="1" customFormat="1" ht="15" customHeight="1">
      <c r="A35" s="5620"/>
      <c r="B35" s="747" t="s">
        <v>2716</v>
      </c>
      <c r="C35" s="106">
        <f t="shared" si="12"/>
        <v>0</v>
      </c>
      <c r="D35" s="4187"/>
      <c r="E35" s="4188"/>
      <c r="F35" s="4189"/>
      <c r="CA35" s="1361"/>
      <c r="CB35" s="1361"/>
      <c r="CC35" s="1361"/>
      <c r="CD35" s="1361"/>
      <c r="CE35" s="1361"/>
      <c r="CF35" s="1361"/>
      <c r="CG35" s="1361"/>
      <c r="CH35" s="1361"/>
      <c r="CI35" s="1361"/>
      <c r="CJ35" s="1361"/>
      <c r="CK35" s="1361"/>
      <c r="CL35" s="1361"/>
      <c r="CM35" s="1361"/>
      <c r="CN35" s="1361"/>
      <c r="CO35" s="1361"/>
      <c r="CP35" s="1361"/>
      <c r="CQ35" s="1361"/>
      <c r="CR35" s="1361"/>
      <c r="CS35" s="1361"/>
      <c r="CT35" s="1361"/>
      <c r="CU35" s="1361"/>
      <c r="CV35" s="1361"/>
    </row>
    <row r="36" spans="1:100" s="1" customFormat="1" ht="15" customHeight="1">
      <c r="A36" s="6944" t="s">
        <v>2717</v>
      </c>
      <c r="B36" s="6945"/>
      <c r="C36" s="287">
        <f t="shared" si="12"/>
        <v>0</v>
      </c>
      <c r="D36" s="4181"/>
      <c r="E36" s="4182"/>
      <c r="F36" s="4183"/>
      <c r="CA36" s="1361"/>
      <c r="CB36" s="1361"/>
      <c r="CC36" s="1361"/>
      <c r="CD36" s="1361"/>
      <c r="CE36" s="1361"/>
      <c r="CF36" s="1361"/>
      <c r="CG36" s="1361"/>
      <c r="CH36" s="1361"/>
      <c r="CI36" s="1361"/>
      <c r="CJ36" s="1361"/>
      <c r="CK36" s="1361"/>
      <c r="CL36" s="1361"/>
      <c r="CM36" s="1361"/>
      <c r="CN36" s="1361"/>
      <c r="CO36" s="1361"/>
      <c r="CP36" s="1361"/>
      <c r="CQ36" s="1361"/>
      <c r="CR36" s="1361"/>
      <c r="CS36" s="1361"/>
      <c r="CT36" s="1361"/>
      <c r="CU36" s="1361"/>
      <c r="CV36" s="1361"/>
    </row>
    <row r="37" spans="1:100" s="1" customFormat="1" ht="15" customHeight="1">
      <c r="A37" s="5619" t="s">
        <v>2718</v>
      </c>
      <c r="B37" s="277" t="s">
        <v>2719</v>
      </c>
      <c r="C37" s="612">
        <f t="shared" si="12"/>
        <v>0</v>
      </c>
      <c r="D37" s="4184"/>
      <c r="E37" s="4185"/>
      <c r="F37" s="4186"/>
      <c r="CA37" s="1361"/>
      <c r="CB37" s="1361"/>
      <c r="CC37" s="1361"/>
      <c r="CD37" s="1361"/>
      <c r="CE37" s="1361"/>
      <c r="CF37" s="1361"/>
      <c r="CG37" s="1361"/>
      <c r="CH37" s="1361"/>
      <c r="CI37" s="1361"/>
      <c r="CJ37" s="1361"/>
      <c r="CK37" s="1361"/>
      <c r="CL37" s="1361"/>
      <c r="CM37" s="1361"/>
      <c r="CN37" s="1361"/>
      <c r="CO37" s="1361"/>
      <c r="CP37" s="1361"/>
      <c r="CQ37" s="1361"/>
      <c r="CR37" s="1361"/>
      <c r="CS37" s="1361"/>
      <c r="CT37" s="1361"/>
      <c r="CU37" s="1361"/>
      <c r="CV37" s="1361"/>
    </row>
    <row r="38" spans="1:100" s="1" customFormat="1" ht="15" customHeight="1">
      <c r="A38" s="5620"/>
      <c r="B38" s="105" t="s">
        <v>2720</v>
      </c>
      <c r="C38" s="106">
        <f t="shared" si="12"/>
        <v>0</v>
      </c>
      <c r="D38" s="4187"/>
      <c r="E38" s="4188"/>
      <c r="F38" s="4189"/>
      <c r="CA38" s="1361"/>
      <c r="CB38" s="1361"/>
      <c r="CC38" s="1361"/>
      <c r="CD38" s="1361"/>
      <c r="CE38" s="1361"/>
      <c r="CF38" s="1361"/>
      <c r="CG38" s="1361"/>
      <c r="CH38" s="1361"/>
      <c r="CI38" s="1361"/>
      <c r="CJ38" s="1361"/>
      <c r="CK38" s="1361"/>
      <c r="CL38" s="1361"/>
      <c r="CM38" s="1361"/>
      <c r="CN38" s="1361"/>
      <c r="CO38" s="1361"/>
      <c r="CP38" s="1361"/>
      <c r="CQ38" s="1361"/>
      <c r="CR38" s="1361"/>
      <c r="CS38" s="1361"/>
      <c r="CT38" s="1361"/>
      <c r="CU38" s="1361"/>
      <c r="CV38" s="1361"/>
    </row>
    <row r="39" spans="1:100" s="4194" customFormat="1" ht="15" customHeight="1">
      <c r="A39" s="2559" t="s">
        <v>2721</v>
      </c>
      <c r="CA39" s="1361"/>
      <c r="CB39" s="1361"/>
      <c r="CC39" s="1361"/>
      <c r="CD39" s="1361"/>
      <c r="CE39" s="1361"/>
      <c r="CF39" s="1361"/>
      <c r="CG39" s="1361"/>
      <c r="CH39" s="1361"/>
      <c r="CI39" s="1361"/>
      <c r="CJ39" s="1361"/>
      <c r="CK39" s="1361"/>
      <c r="CL39" s="1361"/>
      <c r="CM39" s="1361"/>
      <c r="CN39" s="1361"/>
      <c r="CO39" s="1361"/>
      <c r="CP39" s="1361"/>
      <c r="CQ39" s="1361"/>
      <c r="CR39" s="1361"/>
      <c r="CS39" s="1361"/>
      <c r="CT39" s="1361"/>
      <c r="CU39" s="1361"/>
      <c r="CV39" s="1361"/>
    </row>
    <row r="40" spans="1:100" s="1361" customFormat="1" ht="18" customHeight="1">
      <c r="A40" s="1378" t="s">
        <v>2722</v>
      </c>
      <c r="B40" s="4195"/>
      <c r="C40" s="4196"/>
      <c r="D40" s="4197"/>
    </row>
    <row r="41" spans="1:100">
      <c r="A41" s="5971" t="s">
        <v>2723</v>
      </c>
      <c r="B41" s="5973"/>
      <c r="C41" s="66" t="s">
        <v>2724</v>
      </c>
      <c r="D41" s="742" t="s">
        <v>576</v>
      </c>
    </row>
    <row r="42" spans="1:100" ht="15" customHeight="1">
      <c r="A42" s="6937" t="s">
        <v>2725</v>
      </c>
      <c r="B42" s="6938"/>
      <c r="C42" s="4143"/>
      <c r="D42" s="2762"/>
    </row>
    <row r="43" spans="1:100" ht="21.95" customHeight="1">
      <c r="A43" s="6918" t="s">
        <v>2726</v>
      </c>
      <c r="B43" s="4198" t="s">
        <v>2727</v>
      </c>
      <c r="C43" s="1088"/>
      <c r="D43" s="1187"/>
    </row>
    <row r="44" spans="1:100" ht="15" customHeight="1">
      <c r="A44" s="6919"/>
      <c r="B44" s="4200" t="s">
        <v>2728</v>
      </c>
      <c r="C44" s="1053"/>
      <c r="D44" s="2628"/>
    </row>
    <row r="45" spans="1:100" ht="24.95" customHeight="1">
      <c r="A45" s="6937" t="s">
        <v>2729</v>
      </c>
      <c r="B45" s="6938"/>
      <c r="C45" s="4143"/>
      <c r="D45" s="2762"/>
    </row>
    <row r="46" spans="1:100" ht="21.95" customHeight="1">
      <c r="A46" s="6939" t="s">
        <v>2730</v>
      </c>
      <c r="B46" s="4198" t="s">
        <v>2727</v>
      </c>
      <c r="C46" s="4201"/>
      <c r="D46" s="1004"/>
    </row>
    <row r="47" spans="1:100" ht="15" customHeight="1">
      <c r="A47" s="6940"/>
      <c r="B47" s="4200" t="s">
        <v>2728</v>
      </c>
      <c r="C47" s="1055"/>
      <c r="D47" s="4202"/>
    </row>
    <row r="48" spans="1:100" ht="15" customHeight="1">
      <c r="A48" s="6918" t="s">
        <v>2731</v>
      </c>
      <c r="B48" s="4203" t="s">
        <v>2732</v>
      </c>
      <c r="C48" s="1030"/>
      <c r="D48" s="1187"/>
    </row>
    <row r="49" spans="1:102" ht="21">
      <c r="A49" s="6919"/>
      <c r="B49" s="4199" t="s">
        <v>2733</v>
      </c>
      <c r="C49" s="1053"/>
      <c r="D49" s="1054"/>
    </row>
    <row r="50" spans="1:102" ht="24.95" customHeight="1">
      <c r="A50" s="6937" t="s">
        <v>2734</v>
      </c>
      <c r="B50" s="6938"/>
      <c r="C50" s="4143"/>
      <c r="D50" s="2762"/>
    </row>
    <row r="51" spans="1:102" ht="15" customHeight="1">
      <c r="A51" s="6937" t="s">
        <v>2735</v>
      </c>
      <c r="B51" s="6938"/>
      <c r="C51" s="4143"/>
      <c r="D51" s="2762"/>
    </row>
    <row r="52" spans="1:102" ht="24.95" customHeight="1">
      <c r="A52" s="6937" t="s">
        <v>2736</v>
      </c>
      <c r="B52" s="6938"/>
      <c r="C52" s="4143"/>
      <c r="D52" s="2762"/>
    </row>
    <row r="53" spans="1:102" ht="24.95" customHeight="1">
      <c r="A53" s="6937" t="s">
        <v>2737</v>
      </c>
      <c r="B53" s="6938"/>
      <c r="C53" s="4143"/>
      <c r="D53" s="2762"/>
    </row>
    <row r="54" spans="1:102" ht="24.75" customHeight="1">
      <c r="A54" s="6937" t="s">
        <v>2738</v>
      </c>
      <c r="B54" s="6938"/>
      <c r="C54" s="4143"/>
      <c r="D54" s="2762"/>
    </row>
    <row r="55" spans="1:102" ht="15" customHeight="1">
      <c r="A55" s="6918" t="s">
        <v>2739</v>
      </c>
      <c r="B55" s="4203" t="s">
        <v>2740</v>
      </c>
      <c r="C55" s="1030"/>
      <c r="D55" s="1089"/>
    </row>
    <row r="56" spans="1:102" ht="15" customHeight="1">
      <c r="A56" s="6919"/>
      <c r="B56" s="4199" t="s">
        <v>2741</v>
      </c>
      <c r="C56" s="1053"/>
      <c r="D56" s="2628"/>
    </row>
    <row r="57" spans="1:102" ht="15" customHeight="1">
      <c r="A57" s="6897" t="s">
        <v>2742</v>
      </c>
      <c r="B57" s="6897"/>
      <c r="C57" s="1055"/>
      <c r="D57" s="1093"/>
    </row>
    <row r="58" spans="1:102" s="1361" customFormat="1" ht="18" customHeight="1">
      <c r="A58" s="1378" t="s">
        <v>2743</v>
      </c>
      <c r="B58" s="4195"/>
      <c r="C58" s="4196"/>
      <c r="D58" s="4197"/>
    </row>
    <row r="59" spans="1:102" ht="24.95" customHeight="1">
      <c r="A59" s="6920" t="s">
        <v>2744</v>
      </c>
      <c r="B59" s="6921"/>
      <c r="C59" s="5974" t="s">
        <v>2745</v>
      </c>
      <c r="D59" s="5975"/>
      <c r="E59" s="5976"/>
      <c r="F59" s="5723" t="s">
        <v>2696</v>
      </c>
      <c r="CA59" s="48"/>
      <c r="CB59" s="48"/>
      <c r="CW59" s="1361"/>
      <c r="CX59" s="1361"/>
    </row>
    <row r="60" spans="1:102" ht="24.95" customHeight="1">
      <c r="A60" s="6922"/>
      <c r="B60" s="6923"/>
      <c r="C60" s="66" t="s">
        <v>2746</v>
      </c>
      <c r="D60" s="67" t="s">
        <v>2747</v>
      </c>
      <c r="E60" s="742" t="s">
        <v>2748</v>
      </c>
      <c r="F60" s="5725"/>
      <c r="CA60" s="48"/>
      <c r="CB60" s="48"/>
      <c r="CW60" s="1361"/>
      <c r="CX60" s="1361"/>
    </row>
    <row r="61" spans="1:102" ht="15" customHeight="1">
      <c r="A61" s="5621" t="s">
        <v>2749</v>
      </c>
      <c r="B61" s="4204" t="s">
        <v>2750</v>
      </c>
      <c r="C61" s="1030"/>
      <c r="D61" s="1371"/>
      <c r="E61" s="1187"/>
      <c r="F61" s="1127"/>
      <c r="CA61" s="48"/>
      <c r="CB61" s="48"/>
      <c r="CW61" s="1361"/>
      <c r="CX61" s="1361"/>
    </row>
    <row r="62" spans="1:102" ht="15" customHeight="1">
      <c r="A62" s="5621"/>
      <c r="B62" s="4205" t="s">
        <v>2751</v>
      </c>
      <c r="C62" s="1030"/>
      <c r="D62" s="1371"/>
      <c r="E62" s="1187"/>
      <c r="F62" s="1127"/>
      <c r="CA62" s="48"/>
      <c r="CB62" s="48"/>
      <c r="CW62" s="1361"/>
      <c r="CX62" s="1361"/>
    </row>
    <row r="63" spans="1:102" ht="15" customHeight="1">
      <c r="A63" s="5621"/>
      <c r="B63" s="4205" t="s">
        <v>2752</v>
      </c>
      <c r="C63" s="1030"/>
      <c r="D63" s="1371"/>
      <c r="E63" s="1187"/>
      <c r="F63" s="1127"/>
      <c r="CA63" s="48"/>
      <c r="CB63" s="48"/>
      <c r="CW63" s="1361"/>
      <c r="CX63" s="1361"/>
    </row>
    <row r="64" spans="1:102" ht="15" customHeight="1">
      <c r="A64" s="5621"/>
      <c r="B64" s="4205" t="s">
        <v>2753</v>
      </c>
      <c r="C64" s="1030"/>
      <c r="D64" s="1371"/>
      <c r="E64" s="1187"/>
      <c r="F64" s="1127"/>
      <c r="CA64" s="48"/>
      <c r="CB64" s="48"/>
      <c r="CW64" s="1361"/>
      <c r="CX64" s="1361"/>
    </row>
    <row r="65" spans="1:103" ht="21">
      <c r="A65" s="5628"/>
      <c r="B65" s="4206" t="s">
        <v>2754</v>
      </c>
      <c r="C65" s="1055"/>
      <c r="D65" s="1373"/>
      <c r="E65" s="1093"/>
      <c r="F65" s="1189"/>
      <c r="CA65" s="48"/>
      <c r="CB65" s="48"/>
      <c r="CW65" s="1361"/>
      <c r="CX65" s="1361"/>
    </row>
    <row r="66" spans="1:103" ht="15" customHeight="1">
      <c r="A66" s="5791" t="s">
        <v>2755</v>
      </c>
      <c r="B66" s="5792"/>
      <c r="C66" s="1030"/>
      <c r="D66" s="1371"/>
      <c r="E66" s="1187"/>
      <c r="F66" s="1127"/>
      <c r="CA66" s="48"/>
      <c r="CB66" s="48"/>
      <c r="CW66" s="1361"/>
      <c r="CX66" s="1361"/>
    </row>
    <row r="67" spans="1:103" ht="15" customHeight="1">
      <c r="A67" s="6538" t="s">
        <v>1551</v>
      </c>
      <c r="B67" s="6539"/>
      <c r="C67" s="1030"/>
      <c r="D67" s="1371"/>
      <c r="E67" s="1187"/>
      <c r="F67" s="1127"/>
      <c r="CA67" s="48"/>
      <c r="CB67" s="48"/>
      <c r="CW67" s="1361"/>
      <c r="CX67" s="1361"/>
    </row>
    <row r="68" spans="1:103" ht="15" customHeight="1">
      <c r="A68" s="6538" t="s">
        <v>2756</v>
      </c>
      <c r="B68" s="6539"/>
      <c r="C68" s="1030"/>
      <c r="D68" s="1371"/>
      <c r="E68" s="1187"/>
      <c r="F68" s="1127"/>
      <c r="CA68" s="48"/>
      <c r="CB68" s="48"/>
      <c r="CW68" s="1361"/>
      <c r="CX68" s="1361"/>
    </row>
    <row r="69" spans="1:103" ht="15" customHeight="1">
      <c r="A69" s="6516" t="s">
        <v>2757</v>
      </c>
      <c r="B69" s="6517"/>
      <c r="C69" s="1030"/>
      <c r="D69" s="1371"/>
      <c r="E69" s="1187"/>
      <c r="F69" s="1127"/>
      <c r="CA69" s="48"/>
      <c r="CB69" s="48"/>
      <c r="CW69" s="1361"/>
      <c r="CX69" s="1361"/>
    </row>
    <row r="70" spans="1:103" ht="15" customHeight="1">
      <c r="A70" s="6538" t="s">
        <v>2758</v>
      </c>
      <c r="B70" s="6539"/>
      <c r="C70" s="1030"/>
      <c r="D70" s="1371"/>
      <c r="E70" s="1187"/>
      <c r="F70" s="1127"/>
      <c r="CA70" s="48"/>
      <c r="CB70" s="48"/>
      <c r="CW70" s="1361"/>
      <c r="CX70" s="1361"/>
    </row>
    <row r="71" spans="1:103" ht="15" customHeight="1">
      <c r="A71" s="6536" t="s">
        <v>2759</v>
      </c>
      <c r="B71" s="6537"/>
      <c r="C71" s="1053"/>
      <c r="D71" s="1377"/>
      <c r="E71" s="1054"/>
      <c r="F71" s="1136"/>
      <c r="CA71" s="48"/>
      <c r="CB71" s="48"/>
      <c r="CW71" s="1361"/>
      <c r="CX71" s="1361"/>
    </row>
    <row r="72" spans="1:103" s="1361" customFormat="1" ht="18" customHeight="1">
      <c r="A72" s="4207" t="s">
        <v>2760</v>
      </c>
      <c r="B72" s="4208"/>
      <c r="C72" s="4209"/>
      <c r="D72" s="4209"/>
      <c r="E72" s="4210"/>
      <c r="F72" s="4177"/>
      <c r="G72" s="4177"/>
      <c r="H72" s="4177"/>
      <c r="I72" s="4211"/>
      <c r="J72" s="4178"/>
      <c r="K72" s="4177"/>
      <c r="L72" s="4177"/>
      <c r="M72" s="2644"/>
      <c r="N72" s="2558"/>
      <c r="O72" s="2558"/>
      <c r="P72" s="2558"/>
      <c r="Q72" s="2558"/>
      <c r="R72" s="2558"/>
      <c r="S72" s="2558"/>
      <c r="T72" s="2558"/>
    </row>
    <row r="73" spans="1:103" s="1361" customFormat="1" ht="18" customHeight="1">
      <c r="A73" s="6924" t="s">
        <v>2761</v>
      </c>
      <c r="B73" s="6926" t="s">
        <v>2762</v>
      </c>
      <c r="C73" s="6927"/>
      <c r="D73" s="6927"/>
      <c r="E73" s="6928" t="s">
        <v>2763</v>
      </c>
      <c r="F73" s="6929"/>
      <c r="G73" s="6930"/>
      <c r="H73" s="6931" t="s">
        <v>2764</v>
      </c>
      <c r="I73" s="5624" t="s">
        <v>50</v>
      </c>
      <c r="J73" s="6934" t="s">
        <v>51</v>
      </c>
      <c r="K73" s="6898" t="s">
        <v>74</v>
      </c>
      <c r="L73" s="5626" t="s">
        <v>1790</v>
      </c>
      <c r="M73" s="4212"/>
      <c r="N73" s="2558"/>
      <c r="O73" s="2558"/>
      <c r="P73" s="2558"/>
      <c r="Q73" s="2558"/>
      <c r="R73" s="2558"/>
    </row>
    <row r="74" spans="1:103" ht="15" customHeight="1">
      <c r="A74" s="6924"/>
      <c r="B74" s="5647" t="s">
        <v>2765</v>
      </c>
      <c r="C74" s="5649"/>
      <c r="D74" s="5649"/>
      <c r="E74" s="5647" t="s">
        <v>2765</v>
      </c>
      <c r="F74" s="5649"/>
      <c r="G74" s="6040"/>
      <c r="H74" s="6932"/>
      <c r="I74" s="5645"/>
      <c r="J74" s="6935"/>
      <c r="K74" s="6899"/>
      <c r="L74" s="6547"/>
      <c r="M74" s="1383"/>
      <c r="BS74" s="1361"/>
      <c r="BT74" s="1361"/>
      <c r="BU74" s="1361"/>
      <c r="BV74" s="1361"/>
      <c r="BW74" s="1361"/>
      <c r="BX74" s="1361"/>
      <c r="BY74" s="1361"/>
      <c r="BZ74" s="1361"/>
      <c r="CO74" s="48"/>
      <c r="CP74" s="48"/>
      <c r="CQ74" s="48"/>
      <c r="CR74" s="48"/>
      <c r="CS74" s="48"/>
      <c r="CT74" s="48"/>
      <c r="CU74" s="48"/>
      <c r="CV74" s="48"/>
    </row>
    <row r="75" spans="1:103" ht="21.95" customHeight="1">
      <c r="A75" s="6925"/>
      <c r="B75" s="75" t="s">
        <v>2766</v>
      </c>
      <c r="C75" s="68" t="s">
        <v>2767</v>
      </c>
      <c r="D75" s="1146" t="s">
        <v>1139</v>
      </c>
      <c r="E75" s="75" t="s">
        <v>2766</v>
      </c>
      <c r="F75" s="68" t="s">
        <v>2767</v>
      </c>
      <c r="G75" s="962" t="s">
        <v>1139</v>
      </c>
      <c r="H75" s="6933"/>
      <c r="I75" s="5625"/>
      <c r="J75" s="6936"/>
      <c r="K75" s="6900"/>
      <c r="L75" s="5639"/>
      <c r="M75" s="1383"/>
      <c r="BS75" s="1361"/>
      <c r="BT75" s="1361"/>
      <c r="BU75" s="1361"/>
      <c r="BV75" s="1361"/>
      <c r="BW75" s="1361"/>
      <c r="BX75" s="1361"/>
      <c r="BY75" s="1361"/>
      <c r="BZ75" s="1361"/>
      <c r="CO75" s="48"/>
      <c r="CP75" s="48"/>
      <c r="CQ75" s="48"/>
      <c r="CR75" s="48"/>
      <c r="CS75" s="48"/>
      <c r="CT75" s="48"/>
      <c r="CU75" s="48"/>
      <c r="CV75" s="48"/>
    </row>
    <row r="76" spans="1:103">
      <c r="A76" s="4213" t="s">
        <v>91</v>
      </c>
      <c r="B76" s="4214">
        <f t="shared" ref="B76:L76" si="13">SUM(B77:B79)</f>
        <v>0</v>
      </c>
      <c r="C76" s="4215">
        <f t="shared" si="13"/>
        <v>0</v>
      </c>
      <c r="D76" s="4216">
        <f>SUM(D77:D79)</f>
        <v>0</v>
      </c>
      <c r="E76" s="4214">
        <f t="shared" si="13"/>
        <v>0</v>
      </c>
      <c r="F76" s="4215">
        <f t="shared" si="13"/>
        <v>0</v>
      </c>
      <c r="G76" s="4217">
        <f t="shared" si="13"/>
        <v>0</v>
      </c>
      <c r="H76" s="4218">
        <f t="shared" si="13"/>
        <v>0</v>
      </c>
      <c r="I76" s="4219">
        <f t="shared" si="13"/>
        <v>0</v>
      </c>
      <c r="J76" s="4220">
        <f t="shared" si="13"/>
        <v>0</v>
      </c>
      <c r="K76" s="4220">
        <f t="shared" si="13"/>
        <v>0</v>
      </c>
      <c r="L76" s="4221">
        <f t="shared" si="13"/>
        <v>0</v>
      </c>
      <c r="M76" s="1383"/>
      <c r="BS76" s="1361"/>
      <c r="BT76" s="1361"/>
      <c r="BU76" s="1361"/>
      <c r="BV76" s="1361"/>
      <c r="BW76" s="1361"/>
      <c r="BX76" s="1361"/>
      <c r="BY76" s="1361"/>
      <c r="BZ76" s="1361"/>
      <c r="CO76" s="48"/>
      <c r="CP76" s="48"/>
      <c r="CQ76" s="48"/>
      <c r="CR76" s="48"/>
      <c r="CS76" s="48"/>
      <c r="CT76" s="48"/>
      <c r="CU76" s="48"/>
      <c r="CV76" s="48"/>
    </row>
    <row r="77" spans="1:103" ht="15" customHeight="1">
      <c r="A77" s="4222" t="s">
        <v>2768</v>
      </c>
      <c r="B77" s="1003"/>
      <c r="C77" s="4159"/>
      <c r="D77" s="4223"/>
      <c r="E77" s="4224"/>
      <c r="F77" s="4153"/>
      <c r="G77" s="4225"/>
      <c r="H77" s="4226"/>
      <c r="I77" s="4227"/>
      <c r="J77" s="4223"/>
      <c r="K77" s="4223"/>
      <c r="L77" s="4161"/>
      <c r="M77" s="4228" t="str">
        <f t="shared" ref="M77:M79" si="14">$CA77&amp;CB77&amp;CC77&amp;CD77&amp;CE77</f>
        <v/>
      </c>
      <c r="CA77" s="4135" t="str">
        <f t="shared" ref="CA77:CA79" si="15">IF(AND(SUM(B77:G77)&gt;0,H77="")," *No olvide digitar la variable "&amp;$H$73&amp;". Digite Cero si no tiene.",
IF(H77&gt;SUM(B77:G77),"*La variable "&amp;$H$73&amp;" no puede ser mayor a la Suma de las variables "&amp;$B$73&amp;" + "&amp;E$73&amp;".",""))</f>
        <v/>
      </c>
      <c r="CB77" s="4135" t="str">
        <f t="shared" ref="CB77:CB79" si="16">IF(AND(SUM(B77:G77)&gt;0,I77="")," *No olvide digitar la variable "&amp;$I$73&amp;". Digite Cero si tiene.",IF(I77&gt;SUM(B77:G77),"*La variable "&amp;$I$73&amp;" no puede ser mayor a la Suma de las variables "&amp;$B$73&amp;" + "&amp;E$73&amp;".",""))</f>
        <v/>
      </c>
      <c r="CC77" s="4135" t="str">
        <f t="shared" ref="CC77:CC79" si="17">IF(AND(SUM(B77:G77)&gt;0,J77="")," * No olvide digitar la variable "&amp;$J$73&amp;". Digite Cero si tiene.",IF(J77&gt;SUM(B77:G77)," * La variable "&amp;$J$73&amp;" no puede ser mayor a la suma de las variables "&amp;$B$73&amp;" + "&amp;""&amp;$E$73&amp;""&amp;".",""))</f>
        <v/>
      </c>
      <c r="CD77" s="4135" t="str">
        <f t="shared" ref="CD77:CD79" si="18">IF(AND(SUM($B77:$G77)&gt;0,K77="")," * No olvide digitar la variable Trans Masculino. Digite Cero si no tiene.",IF(K77&gt;SUM($B77:$G77)," *La variable Trans Masculino no puede ser mayor a la suma de las variables "&amp;$B$73&amp;" + "&amp;""&amp;$E$73&amp;""&amp;".",""))</f>
        <v/>
      </c>
      <c r="CE77" s="4135" t="str">
        <f t="shared" ref="CE77:CE79" si="19">IF(AND(SUM($B77:$G77)&gt;0,OR(L77=""))," * No olvide digitar la variable "&amp;$L$73&amp;""&amp;". Digite Cero si no tiene.",IF(L77&gt;SUM($B77:$G77)," * La variable Discapacidadno puede ser mayor a la suma de las variables "&amp;$B$73&amp;" + "&amp;""&amp;$E$73&amp;""&amp;".",""))</f>
        <v/>
      </c>
      <c r="CF77" s="205"/>
      <c r="CG77" s="205"/>
      <c r="CH77" s="205"/>
      <c r="CI77" s="102">
        <f t="shared" ref="CI77:CI79" si="20">IF(AND(SUM(B77:G77)&gt;0,OR(ISBLANK(H77),H77&gt;SUM(B77:G77))),1,0)</f>
        <v>0</v>
      </c>
      <c r="CJ77" s="102">
        <f t="shared" ref="CJ77:CJ79" si="21">IF(AND(SUM(B77:G77)&gt;0,I77=""),1,IF(I77&gt;SUM(B77:G77),1,0))</f>
        <v>0</v>
      </c>
      <c r="CK77" s="102">
        <f t="shared" ref="CK77:CK79" si="22">IF(AND(SUM(B77:G77)&gt;0,J77=""),1,IF(J77&gt;SUM(B77:G77),1,0))</f>
        <v>0</v>
      </c>
      <c r="CL77" s="102">
        <f t="shared" ref="CL77:CM79" si="23">IF(AND(SUM($B77:$G77)&gt;0,OR(K77="")),1,IF(K77&gt;SUM($B77:$G77),1,0))</f>
        <v>0</v>
      </c>
      <c r="CM77" s="102">
        <f t="shared" si="23"/>
        <v>0</v>
      </c>
      <c r="CN77" s="48"/>
      <c r="CO77" s="48"/>
      <c r="CP77" s="48"/>
      <c r="CQ77" s="48"/>
      <c r="CR77" s="48"/>
      <c r="CS77" s="48"/>
      <c r="CT77" s="48"/>
      <c r="CU77" s="48"/>
      <c r="CV77" s="48"/>
    </row>
    <row r="78" spans="1:103" ht="15" customHeight="1">
      <c r="A78" s="4229" t="s">
        <v>2769</v>
      </c>
      <c r="B78" s="1030"/>
      <c r="C78" s="1077"/>
      <c r="D78" s="2620"/>
      <c r="E78" s="4230"/>
      <c r="F78" s="1368"/>
      <c r="G78" s="4231"/>
      <c r="H78" s="4232"/>
      <c r="I78" s="4233"/>
      <c r="J78" s="2620"/>
      <c r="K78" s="2620"/>
      <c r="L78" s="4233"/>
      <c r="M78" s="240" t="str">
        <f t="shared" si="14"/>
        <v/>
      </c>
      <c r="CA78" s="4135" t="str">
        <f t="shared" si="15"/>
        <v/>
      </c>
      <c r="CB78" s="4135" t="str">
        <f t="shared" si="16"/>
        <v/>
      </c>
      <c r="CC78" s="4135" t="str">
        <f t="shared" si="17"/>
        <v/>
      </c>
      <c r="CD78" s="4135" t="str">
        <f t="shared" si="18"/>
        <v/>
      </c>
      <c r="CE78" s="4135" t="str">
        <f t="shared" si="19"/>
        <v/>
      </c>
      <c r="CF78" s="205"/>
      <c r="CG78" s="205"/>
      <c r="CH78" s="205"/>
      <c r="CI78" s="102">
        <f t="shared" si="20"/>
        <v>0</v>
      </c>
      <c r="CJ78" s="102">
        <f t="shared" si="21"/>
        <v>0</v>
      </c>
      <c r="CK78" s="102">
        <f t="shared" si="22"/>
        <v>0</v>
      </c>
      <c r="CL78" s="102">
        <f t="shared" si="23"/>
        <v>0</v>
      </c>
      <c r="CM78" s="102">
        <f t="shared" si="23"/>
        <v>0</v>
      </c>
      <c r="CN78" s="48"/>
      <c r="CO78" s="48"/>
      <c r="CP78" s="48"/>
      <c r="CQ78" s="48"/>
      <c r="CR78" s="48"/>
      <c r="CS78" s="48"/>
      <c r="CT78" s="48"/>
      <c r="CU78" s="48"/>
      <c r="CV78" s="48"/>
    </row>
    <row r="79" spans="1:103" ht="15" customHeight="1">
      <c r="A79" s="4234" t="s">
        <v>2770</v>
      </c>
      <c r="B79" s="1053"/>
      <c r="C79" s="1271"/>
      <c r="D79" s="4235"/>
      <c r="E79" s="4236"/>
      <c r="F79" s="1377"/>
      <c r="G79" s="4237"/>
      <c r="H79" s="4238"/>
      <c r="I79" s="4239"/>
      <c r="J79" s="4235"/>
      <c r="K79" s="4235"/>
      <c r="L79" s="4239"/>
      <c r="M79" s="240" t="str">
        <f t="shared" si="14"/>
        <v/>
      </c>
      <c r="CA79" s="4135" t="str">
        <f t="shared" si="15"/>
        <v/>
      </c>
      <c r="CB79" s="4135" t="str">
        <f t="shared" si="16"/>
        <v/>
      </c>
      <c r="CC79" s="4135" t="str">
        <f t="shared" si="17"/>
        <v/>
      </c>
      <c r="CD79" s="4135" t="str">
        <f t="shared" si="18"/>
        <v/>
      </c>
      <c r="CE79" s="4135" t="str">
        <f t="shared" si="19"/>
        <v/>
      </c>
      <c r="CF79" s="205"/>
      <c r="CG79" s="205"/>
      <c r="CH79" s="205"/>
      <c r="CI79" s="102">
        <f t="shared" si="20"/>
        <v>0</v>
      </c>
      <c r="CJ79" s="102">
        <f t="shared" si="21"/>
        <v>0</v>
      </c>
      <c r="CK79" s="102">
        <f t="shared" si="22"/>
        <v>0</v>
      </c>
      <c r="CL79" s="102">
        <f t="shared" si="23"/>
        <v>0</v>
      </c>
      <c r="CM79" s="102">
        <f t="shared" si="23"/>
        <v>0</v>
      </c>
      <c r="CN79" s="48"/>
      <c r="CO79" s="48"/>
      <c r="CP79" s="48"/>
      <c r="CQ79" s="48"/>
      <c r="CR79" s="48"/>
      <c r="CS79" s="48"/>
      <c r="CT79" s="48"/>
      <c r="CU79" s="48"/>
      <c r="CV79" s="48"/>
    </row>
    <row r="80" spans="1:103" ht="15" customHeight="1">
      <c r="A80" s="4195" t="s">
        <v>2771</v>
      </c>
      <c r="K80" s="2635"/>
      <c r="L80" s="2635"/>
      <c r="M80" s="2635"/>
      <c r="N80" s="2635"/>
      <c r="O80" s="2635"/>
      <c r="P80" s="2635"/>
      <c r="Q80" s="2635"/>
      <c r="R80" s="2635"/>
      <c r="S80" s="2635"/>
      <c r="T80" s="2635"/>
      <c r="U80" s="2635"/>
      <c r="V80" s="2635"/>
      <c r="W80" s="2635"/>
      <c r="X80" s="240"/>
      <c r="CA80" s="48"/>
      <c r="CB80" s="48"/>
      <c r="CC80" s="48"/>
      <c r="CD80" s="205"/>
      <c r="CE80" s="205"/>
      <c r="CF80" s="205"/>
      <c r="CG80" s="205"/>
      <c r="CH80" s="205"/>
      <c r="CI80" s="205"/>
      <c r="CJ80" s="205"/>
      <c r="CK80" s="205"/>
      <c r="CL80" s="205"/>
      <c r="CM80" s="970"/>
      <c r="CN80" s="970"/>
      <c r="CO80" s="48"/>
      <c r="CP80" s="48"/>
      <c r="CQ80" s="48"/>
      <c r="CR80" s="48"/>
      <c r="CS80" s="48"/>
      <c r="CW80" s="1361"/>
      <c r="CX80" s="1361"/>
      <c r="CY80" s="1361"/>
    </row>
    <row r="81" spans="1:94" ht="15" customHeight="1">
      <c r="A81" s="5642" t="s">
        <v>2772</v>
      </c>
      <c r="B81" s="5647" t="s">
        <v>43</v>
      </c>
      <c r="C81" s="5649"/>
      <c r="D81" s="5649"/>
      <c r="E81" s="6035" t="s">
        <v>2773</v>
      </c>
      <c r="F81" s="6035"/>
      <c r="G81" s="6035"/>
      <c r="H81" s="2635"/>
      <c r="I81" s="2635"/>
      <c r="J81" s="2635"/>
      <c r="K81" s="2635"/>
      <c r="L81" s="2635"/>
      <c r="M81" s="2635"/>
      <c r="N81" s="2635"/>
      <c r="O81" s="2635"/>
      <c r="P81" s="2635"/>
      <c r="Q81" s="2635"/>
      <c r="R81" s="2635"/>
      <c r="S81" s="2635"/>
      <c r="T81" s="2635"/>
      <c r="U81" s="240"/>
      <c r="CA81" s="205"/>
      <c r="CB81" s="205"/>
      <c r="CC81" s="205"/>
      <c r="CD81" s="205"/>
      <c r="CE81" s="205"/>
      <c r="CF81" s="205"/>
      <c r="CG81" s="205"/>
      <c r="CH81" s="205"/>
      <c r="CI81" s="205"/>
      <c r="CJ81" s="970"/>
      <c r="CK81" s="970"/>
      <c r="CL81" s="48"/>
      <c r="CM81" s="48"/>
      <c r="CN81" s="48"/>
      <c r="CO81" s="48"/>
      <c r="CP81" s="48"/>
    </row>
    <row r="82" spans="1:94" ht="15" customHeight="1">
      <c r="A82" s="5614"/>
      <c r="B82" s="75" t="s">
        <v>2766</v>
      </c>
      <c r="C82" s="68" t="s">
        <v>2767</v>
      </c>
      <c r="D82" s="1146" t="s">
        <v>1139</v>
      </c>
      <c r="E82" s="75" t="s">
        <v>2774</v>
      </c>
      <c r="F82" s="68" t="s">
        <v>2775</v>
      </c>
      <c r="G82" s="76" t="s">
        <v>2776</v>
      </c>
      <c r="H82" s="2635"/>
      <c r="I82" s="2635"/>
      <c r="J82" s="2635"/>
      <c r="K82" s="2635"/>
      <c r="L82" s="2635"/>
      <c r="M82" s="2635"/>
      <c r="N82" s="2635"/>
      <c r="O82" s="2635"/>
      <c r="P82" s="2635"/>
      <c r="Q82" s="2635"/>
      <c r="R82" s="2635"/>
      <c r="S82" s="2635"/>
      <c r="T82" s="2635"/>
      <c r="U82" s="240"/>
      <c r="CA82" s="205"/>
      <c r="CB82" s="205"/>
      <c r="CC82" s="205"/>
      <c r="CD82" s="205"/>
      <c r="CE82" s="205"/>
      <c r="CF82" s="205"/>
      <c r="CG82" s="205"/>
      <c r="CH82" s="205"/>
      <c r="CI82" s="205"/>
      <c r="CJ82" s="970"/>
      <c r="CK82" s="970"/>
      <c r="CL82" s="48"/>
      <c r="CM82" s="48"/>
      <c r="CN82" s="48"/>
      <c r="CO82" s="48"/>
      <c r="CP82" s="48"/>
    </row>
    <row r="83" spans="1:94" ht="15" customHeight="1">
      <c r="A83" s="230" t="s">
        <v>91</v>
      </c>
      <c r="B83" s="4240">
        <f t="shared" ref="B83:G83" si="24">B84+B85+B86+B87+B88</f>
        <v>0</v>
      </c>
      <c r="C83" s="4241">
        <f t="shared" si="24"/>
        <v>0</v>
      </c>
      <c r="D83" s="4242">
        <f t="shared" si="24"/>
        <v>0</v>
      </c>
      <c r="E83" s="4240">
        <f t="shared" si="24"/>
        <v>0</v>
      </c>
      <c r="F83" s="4243">
        <f t="shared" si="24"/>
        <v>0</v>
      </c>
      <c r="G83" s="4244">
        <f t="shared" si="24"/>
        <v>0</v>
      </c>
      <c r="H83" s="2635"/>
      <c r="I83" s="2635"/>
      <c r="J83" s="2635"/>
      <c r="K83" s="2635"/>
      <c r="L83" s="2635"/>
      <c r="M83" s="2635"/>
      <c r="N83" s="2635"/>
      <c r="O83" s="2635"/>
      <c r="P83" s="2635"/>
      <c r="Q83" s="2635"/>
      <c r="R83" s="2635"/>
      <c r="S83" s="2635"/>
      <c r="T83" s="2635"/>
      <c r="U83" s="240"/>
      <c r="CA83" s="205"/>
      <c r="CB83" s="205"/>
      <c r="CC83" s="205"/>
      <c r="CD83" s="205"/>
      <c r="CE83" s="205"/>
      <c r="CF83" s="205"/>
      <c r="CG83" s="205"/>
      <c r="CH83" s="205"/>
      <c r="CI83" s="205"/>
      <c r="CJ83" s="970"/>
      <c r="CK83" s="970"/>
      <c r="CL83" s="48"/>
      <c r="CM83" s="48"/>
      <c r="CN83" s="48"/>
      <c r="CO83" s="48"/>
      <c r="CP83" s="48"/>
    </row>
    <row r="84" spans="1:94" ht="15" customHeight="1">
      <c r="A84" s="485" t="s">
        <v>2777</v>
      </c>
      <c r="B84" s="1003"/>
      <c r="C84" s="1066"/>
      <c r="D84" s="2648"/>
      <c r="E84" s="1003"/>
      <c r="F84" s="1365"/>
      <c r="G84" s="1004"/>
      <c r="H84" s="2635"/>
      <c r="I84" s="2635"/>
      <c r="J84" s="2635"/>
      <c r="K84" s="2635"/>
      <c r="L84" s="2635"/>
      <c r="M84" s="2635"/>
      <c r="N84" s="2635"/>
      <c r="O84" s="2635"/>
      <c r="P84" s="2635"/>
      <c r="Q84" s="2635"/>
      <c r="R84" s="2635"/>
      <c r="S84" s="2635"/>
      <c r="T84" s="2635"/>
      <c r="U84" s="240"/>
      <c r="CA84" s="205"/>
      <c r="CB84" s="205"/>
      <c r="CC84" s="205"/>
      <c r="CD84" s="205"/>
      <c r="CE84" s="205"/>
      <c r="CF84" s="205"/>
      <c r="CG84" s="205"/>
      <c r="CH84" s="205"/>
      <c r="CI84" s="205"/>
      <c r="CJ84" s="970"/>
      <c r="CK84" s="970"/>
      <c r="CL84" s="48"/>
      <c r="CM84" s="48"/>
      <c r="CN84" s="48"/>
      <c r="CO84" s="48"/>
      <c r="CP84" s="48"/>
    </row>
    <row r="85" spans="1:94" ht="15" customHeight="1">
      <c r="A85" s="648" t="s">
        <v>2778</v>
      </c>
      <c r="B85" s="1030"/>
      <c r="C85" s="1268"/>
      <c r="D85" s="4245"/>
      <c r="E85" s="1030"/>
      <c r="F85" s="1371"/>
      <c r="G85" s="1187"/>
      <c r="H85" s="2635"/>
      <c r="I85" s="2635"/>
      <c r="J85" s="2635"/>
      <c r="K85" s="2635"/>
      <c r="L85" s="2635"/>
      <c r="M85" s="2635"/>
      <c r="N85" s="2635"/>
      <c r="O85" s="2635"/>
      <c r="P85" s="2635"/>
      <c r="Q85" s="2635"/>
      <c r="R85" s="2635"/>
      <c r="S85" s="2635"/>
      <c r="T85" s="2635"/>
      <c r="U85" s="240"/>
      <c r="CA85" s="205"/>
      <c r="CB85" s="205"/>
      <c r="CC85" s="205"/>
      <c r="CD85" s="205"/>
      <c r="CE85" s="205"/>
      <c r="CF85" s="205"/>
      <c r="CG85" s="205"/>
      <c r="CH85" s="205"/>
      <c r="CI85" s="205"/>
      <c r="CJ85" s="970"/>
      <c r="CK85" s="970"/>
      <c r="CL85" s="48"/>
      <c r="CM85" s="48"/>
      <c r="CN85" s="48"/>
      <c r="CO85" s="48"/>
      <c r="CP85" s="48"/>
    </row>
    <row r="86" spans="1:94" ht="15" customHeight="1">
      <c r="A86" s="648" t="s">
        <v>2779</v>
      </c>
      <c r="B86" s="1013"/>
      <c r="C86" s="1368"/>
      <c r="D86" s="4246"/>
      <c r="E86" s="1013"/>
      <c r="F86" s="1368"/>
      <c r="G86" s="1014"/>
      <c r="H86" s="2635"/>
      <c r="I86" s="2635"/>
      <c r="J86" s="2635"/>
      <c r="K86" s="2635"/>
      <c r="L86" s="2635"/>
      <c r="M86" s="2635"/>
      <c r="N86" s="2635"/>
      <c r="O86" s="2635"/>
      <c r="P86" s="2635"/>
      <c r="Q86" s="2635"/>
      <c r="R86" s="2635"/>
      <c r="S86" s="2635"/>
      <c r="T86" s="2635"/>
      <c r="U86" s="240"/>
      <c r="CA86" s="205"/>
      <c r="CB86" s="205"/>
      <c r="CC86" s="205"/>
      <c r="CD86" s="205"/>
      <c r="CE86" s="205"/>
      <c r="CF86" s="205"/>
      <c r="CG86" s="205"/>
      <c r="CH86" s="205"/>
      <c r="CI86" s="205"/>
      <c r="CJ86" s="970"/>
      <c r="CK86" s="970"/>
      <c r="CL86" s="48"/>
      <c r="CM86" s="48"/>
      <c r="CN86" s="48"/>
      <c r="CO86" s="48"/>
      <c r="CP86" s="48"/>
    </row>
    <row r="87" spans="1:94" ht="15" customHeight="1">
      <c r="A87" s="4247" t="s">
        <v>2780</v>
      </c>
      <c r="B87" s="1055"/>
      <c r="C87" s="1375"/>
      <c r="D87" s="1052"/>
      <c r="E87" s="1055"/>
      <c r="F87" s="1373"/>
      <c r="G87" s="1093"/>
      <c r="H87" s="2635"/>
      <c r="I87" s="2635"/>
      <c r="J87" s="2635"/>
      <c r="K87" s="2635"/>
      <c r="L87" s="2635"/>
      <c r="M87" s="2635"/>
      <c r="N87" s="2635"/>
      <c r="O87" s="2635"/>
      <c r="P87" s="2635"/>
      <c r="Q87" s="2635"/>
      <c r="R87" s="2635"/>
      <c r="S87" s="2635"/>
      <c r="T87" s="2635"/>
      <c r="U87" s="240"/>
      <c r="CA87" s="205"/>
      <c r="CB87" s="205"/>
      <c r="CC87" s="205"/>
      <c r="CD87" s="205"/>
      <c r="CE87" s="205"/>
      <c r="CF87" s="205"/>
      <c r="CG87" s="205"/>
      <c r="CH87" s="205"/>
      <c r="CI87" s="205"/>
      <c r="CJ87" s="970"/>
      <c r="CK87" s="970"/>
      <c r="CL87" s="48"/>
      <c r="CM87" s="48"/>
      <c r="CN87" s="48"/>
      <c r="CO87" s="48"/>
      <c r="CP87" s="48"/>
    </row>
    <row r="88" spans="1:94" ht="15" customHeight="1">
      <c r="A88" s="1173" t="s">
        <v>2781</v>
      </c>
      <c r="B88" s="1055"/>
      <c r="C88" s="1375"/>
      <c r="D88" s="4248"/>
      <c r="E88" s="1055"/>
      <c r="F88" s="1373"/>
      <c r="G88" s="1093"/>
      <c r="H88" s="2635"/>
      <c r="I88" s="2635"/>
      <c r="J88" s="2635"/>
      <c r="K88" s="2635"/>
      <c r="L88" s="2635"/>
      <c r="M88" s="2635"/>
      <c r="N88" s="2635"/>
      <c r="O88" s="2635"/>
      <c r="P88" s="2635"/>
      <c r="Q88" s="2635"/>
      <c r="R88" s="2635"/>
      <c r="S88" s="2635"/>
      <c r="T88" s="2635"/>
      <c r="U88" s="240"/>
      <c r="CA88" s="205"/>
      <c r="CB88" s="205"/>
      <c r="CC88" s="205"/>
      <c r="CD88" s="205"/>
      <c r="CE88" s="205"/>
      <c r="CF88" s="205"/>
      <c r="CG88" s="205"/>
      <c r="CH88" s="205"/>
      <c r="CI88" s="205"/>
      <c r="CJ88" s="970"/>
      <c r="CK88" s="970"/>
      <c r="CL88" s="48"/>
      <c r="CM88" s="48"/>
      <c r="CN88" s="48"/>
      <c r="CO88" s="48"/>
      <c r="CP88" s="48"/>
    </row>
    <row r="89" spans="1:94" s="1361" customFormat="1" ht="18" customHeight="1">
      <c r="A89" s="1378" t="s">
        <v>2782</v>
      </c>
      <c r="B89" s="4195"/>
      <c r="C89" s="2563"/>
      <c r="D89" s="2563"/>
      <c r="E89" s="2563"/>
      <c r="F89" s="4249"/>
      <c r="G89" s="4250"/>
      <c r="H89" s="2563"/>
    </row>
    <row r="90" spans="1:94" ht="15" customHeight="1">
      <c r="A90" s="6901" t="s">
        <v>2783</v>
      </c>
      <c r="B90" s="6902"/>
      <c r="C90" s="6905" t="s">
        <v>82</v>
      </c>
      <c r="D90" s="6907" t="s">
        <v>2784</v>
      </c>
      <c r="E90" s="6907" t="s">
        <v>81</v>
      </c>
      <c r="F90" s="6909" t="s">
        <v>2785</v>
      </c>
      <c r="G90" s="5787" t="s">
        <v>43</v>
      </c>
      <c r="H90" s="5787"/>
      <c r="I90" s="5786"/>
    </row>
    <row r="91" spans="1:94" ht="15" customHeight="1">
      <c r="A91" s="6903"/>
      <c r="B91" s="6904"/>
      <c r="C91" s="6906"/>
      <c r="D91" s="6908"/>
      <c r="E91" s="6908"/>
      <c r="F91" s="6910"/>
      <c r="G91" s="499" t="s">
        <v>2670</v>
      </c>
      <c r="H91" s="67" t="s">
        <v>325</v>
      </c>
      <c r="I91" s="742" t="s">
        <v>734</v>
      </c>
    </row>
    <row r="92" spans="1:94" ht="15" customHeight="1">
      <c r="A92" s="5791" t="s">
        <v>2786</v>
      </c>
      <c r="B92" s="5792"/>
      <c r="C92" s="1003"/>
      <c r="D92" s="4251"/>
      <c r="E92" s="1365"/>
      <c r="F92" s="1005"/>
      <c r="G92" s="1003"/>
      <c r="H92" s="1365"/>
      <c r="I92" s="1004"/>
    </row>
    <row r="93" spans="1:94" ht="15" customHeight="1">
      <c r="A93" s="6518" t="s">
        <v>2787</v>
      </c>
      <c r="B93" s="5790"/>
      <c r="C93" s="1055"/>
      <c r="D93" s="1328"/>
      <c r="E93" s="1373"/>
      <c r="F93" s="1386"/>
      <c r="G93" s="1055"/>
      <c r="H93" s="1373"/>
      <c r="I93" s="1093"/>
    </row>
    <row r="94" spans="1:94" ht="15" customHeight="1">
      <c r="A94" s="6895" t="s">
        <v>770</v>
      </c>
      <c r="B94" s="767" t="s">
        <v>771</v>
      </c>
      <c r="C94" s="1030"/>
      <c r="D94" s="4252"/>
      <c r="E94" s="1371"/>
      <c r="F94" s="1267"/>
      <c r="G94" s="1030"/>
      <c r="H94" s="1371"/>
      <c r="I94" s="1187"/>
    </row>
    <row r="95" spans="1:94" ht="15" customHeight="1">
      <c r="A95" s="6896"/>
      <c r="B95" s="4204" t="s">
        <v>772</v>
      </c>
      <c r="C95" s="1013"/>
      <c r="D95" s="4253"/>
      <c r="E95" s="1368"/>
      <c r="F95" s="1015"/>
      <c r="G95" s="1013"/>
      <c r="H95" s="1368"/>
      <c r="I95" s="1014"/>
    </row>
    <row r="96" spans="1:94" ht="15" customHeight="1">
      <c r="A96" s="6896"/>
      <c r="B96" s="4254" t="s">
        <v>773</v>
      </c>
      <c r="C96" s="1013"/>
      <c r="D96" s="4253"/>
      <c r="E96" s="1368"/>
      <c r="F96" s="1015"/>
      <c r="G96" s="1013"/>
      <c r="H96" s="1368"/>
      <c r="I96" s="1014"/>
    </row>
    <row r="97" spans="1:102" ht="15" customHeight="1">
      <c r="A97" s="6896"/>
      <c r="B97" s="4255" t="s">
        <v>774</v>
      </c>
      <c r="C97" s="1013"/>
      <c r="D97" s="4253"/>
      <c r="E97" s="1368"/>
      <c r="F97" s="1015"/>
      <c r="G97" s="1013"/>
      <c r="H97" s="1368"/>
      <c r="I97" s="1014"/>
    </row>
    <row r="98" spans="1:102" ht="21">
      <c r="A98" s="6896"/>
      <c r="B98" s="4256" t="s">
        <v>775</v>
      </c>
      <c r="C98" s="1013"/>
      <c r="D98" s="4253"/>
      <c r="E98" s="1368"/>
      <c r="F98" s="1015"/>
      <c r="G98" s="1013"/>
      <c r="H98" s="1368"/>
      <c r="I98" s="1014"/>
    </row>
    <row r="99" spans="1:102" ht="21">
      <c r="A99" s="6896"/>
      <c r="B99" s="4256" t="s">
        <v>776</v>
      </c>
      <c r="C99" s="1013"/>
      <c r="D99" s="4253"/>
      <c r="E99" s="1368"/>
      <c r="F99" s="1015"/>
      <c r="G99" s="1013"/>
      <c r="H99" s="1368"/>
      <c r="I99" s="1014"/>
    </row>
    <row r="100" spans="1:102" ht="15" customHeight="1">
      <c r="A100" s="6897"/>
      <c r="B100" s="619" t="s">
        <v>2788</v>
      </c>
      <c r="C100" s="1053"/>
      <c r="D100" s="1328"/>
      <c r="E100" s="1377"/>
      <c r="F100" s="1052"/>
      <c r="G100" s="1053"/>
      <c r="H100" s="1377"/>
      <c r="I100" s="1054"/>
    </row>
    <row r="101" spans="1:102" ht="15" customHeight="1">
      <c r="A101" s="5791" t="s">
        <v>2789</v>
      </c>
      <c r="B101" s="5792"/>
      <c r="C101" s="1003"/>
      <c r="D101" s="4251"/>
      <c r="E101" s="1365"/>
      <c r="F101" s="1005"/>
      <c r="G101" s="1003"/>
      <c r="H101" s="1365"/>
      <c r="I101" s="1004"/>
    </row>
    <row r="102" spans="1:102" ht="15" customHeight="1">
      <c r="A102" s="6911" t="s">
        <v>2790</v>
      </c>
      <c r="B102" s="6912"/>
      <c r="C102" s="1030"/>
      <c r="D102" s="1371"/>
      <c r="E102" s="1371"/>
      <c r="F102" s="1267"/>
      <c r="G102" s="1030"/>
      <c r="H102" s="1371"/>
      <c r="I102" s="1187"/>
    </row>
    <row r="103" spans="1:102" ht="15" customHeight="1">
      <c r="A103" s="6913" t="s">
        <v>2791</v>
      </c>
      <c r="B103" s="6914"/>
      <c r="C103" s="4143"/>
      <c r="D103" s="4257"/>
      <c r="E103" s="4145"/>
      <c r="F103" s="4148"/>
      <c r="G103" s="4143"/>
      <c r="H103" s="4145"/>
      <c r="I103" s="2762"/>
    </row>
    <row r="104" spans="1:102" ht="15" customHeight="1">
      <c r="A104" s="5971" t="s">
        <v>2792</v>
      </c>
      <c r="B104" s="5973"/>
      <c r="C104" s="4258">
        <f>SUM(C92:C103)</f>
        <v>0</v>
      </c>
      <c r="D104" s="4259">
        <f>D102</f>
        <v>0</v>
      </c>
      <c r="E104" s="4259">
        <f t="shared" ref="E104:I104" si="25">SUM(E92:E103)</f>
        <v>0</v>
      </c>
      <c r="F104" s="4260">
        <f t="shared" si="25"/>
        <v>0</v>
      </c>
      <c r="G104" s="4258">
        <f t="shared" si="25"/>
        <v>0</v>
      </c>
      <c r="H104" s="4259">
        <f t="shared" si="25"/>
        <v>0</v>
      </c>
      <c r="I104" s="4261">
        <f t="shared" si="25"/>
        <v>0</v>
      </c>
    </row>
    <row r="105" spans="1:102" s="1361" customFormat="1" ht="18" customHeight="1">
      <c r="A105" s="6915" t="s">
        <v>2793</v>
      </c>
      <c r="B105" s="5754"/>
      <c r="C105" s="5754"/>
      <c r="D105" s="5754"/>
      <c r="E105" s="5754"/>
      <c r="F105" s="5754"/>
      <c r="G105" s="5754"/>
      <c r="H105" s="4262"/>
      <c r="I105" s="4262"/>
      <c r="J105" s="4262"/>
      <c r="K105" s="4262"/>
      <c r="L105" s="609"/>
    </row>
    <row r="106" spans="1:102" s="1361" customFormat="1" ht="18" customHeight="1">
      <c r="A106" s="6916" t="s">
        <v>2794</v>
      </c>
      <c r="B106" s="6917"/>
      <c r="C106" s="6917"/>
      <c r="D106" s="6917"/>
      <c r="E106" s="6917"/>
      <c r="F106" s="6917"/>
      <c r="G106" s="6917"/>
      <c r="H106" s="2558"/>
      <c r="I106" s="2558"/>
      <c r="J106" s="2558"/>
      <c r="K106" s="2558"/>
      <c r="L106" s="2558"/>
    </row>
    <row r="107" spans="1:102">
      <c r="A107" s="5642" t="s">
        <v>296</v>
      </c>
      <c r="B107" s="5624"/>
      <c r="C107" s="5611" t="s">
        <v>91</v>
      </c>
      <c r="D107" s="5615" t="s">
        <v>2795</v>
      </c>
      <c r="E107" s="5616"/>
      <c r="F107" s="5616"/>
      <c r="G107" s="5616"/>
      <c r="H107" s="5616"/>
      <c r="I107" s="5616"/>
      <c r="J107" s="5616"/>
      <c r="K107" s="5617"/>
      <c r="L107" s="5624" t="s">
        <v>2796</v>
      </c>
    </row>
    <row r="108" spans="1:102" ht="21">
      <c r="A108" s="5659"/>
      <c r="B108" s="5625"/>
      <c r="C108" s="5612"/>
      <c r="D108" s="75" t="s">
        <v>2797</v>
      </c>
      <c r="E108" s="196" t="s">
        <v>2798</v>
      </c>
      <c r="F108" s="68" t="s">
        <v>2799</v>
      </c>
      <c r="G108" s="68" t="s">
        <v>2800</v>
      </c>
      <c r="H108" s="68" t="s">
        <v>2801</v>
      </c>
      <c r="I108" s="68" t="s">
        <v>2802</v>
      </c>
      <c r="J108" s="68" t="s">
        <v>2803</v>
      </c>
      <c r="K108" s="70" t="s">
        <v>2804</v>
      </c>
      <c r="L108" s="5625"/>
    </row>
    <row r="109" spans="1:102" ht="15" customHeight="1">
      <c r="A109" s="5884" t="s">
        <v>2805</v>
      </c>
      <c r="B109" s="5885"/>
      <c r="C109" s="4127">
        <f>SUM(D109:K109)</f>
        <v>0</v>
      </c>
      <c r="D109" s="4143"/>
      <c r="E109" s="4144"/>
      <c r="F109" s="4145"/>
      <c r="G109" s="4145"/>
      <c r="H109" s="4145"/>
      <c r="I109" s="4145"/>
      <c r="J109" s="4145"/>
      <c r="K109" s="4146"/>
      <c r="L109" s="2762"/>
      <c r="M109" s="610" t="str">
        <f>CA109</f>
        <v/>
      </c>
      <c r="N109" s="4263"/>
      <c r="O109" s="610"/>
      <c r="P109" s="1256"/>
      <c r="Q109" s="1256"/>
      <c r="R109" s="1256"/>
      <c r="S109" s="50"/>
      <c r="T109" s="50"/>
      <c r="U109" s="50"/>
      <c r="V109" s="53"/>
      <c r="W109" s="53"/>
      <c r="X109" s="53"/>
      <c r="Y109" s="53"/>
      <c r="Z109" s="53"/>
      <c r="AA109" s="53"/>
      <c r="AB109" s="53"/>
      <c r="AC109" s="53"/>
      <c r="AD109" s="53"/>
      <c r="AE109" s="53"/>
      <c r="AF109" s="53"/>
      <c r="AG109" s="53"/>
      <c r="AH109" s="53"/>
      <c r="AI109" s="53"/>
      <c r="AJ109" s="53"/>
      <c r="AK109" s="53"/>
      <c r="AL109" s="53"/>
      <c r="AM109" s="53"/>
      <c r="AN109" s="53"/>
      <c r="AO109" s="53"/>
      <c r="AP109" s="53"/>
      <c r="AQ109" s="53"/>
      <c r="AR109" s="53"/>
      <c r="AS109" s="53"/>
      <c r="AT109" s="53"/>
      <c r="AU109" s="53"/>
      <c r="AV109" s="53"/>
      <c r="AW109" s="53"/>
      <c r="AX109" s="53"/>
      <c r="AY109" s="53"/>
      <c r="AZ109" s="53"/>
      <c r="BA109" s="53"/>
      <c r="BB109" s="53"/>
      <c r="BC109" s="53"/>
      <c r="BD109" s="53"/>
      <c r="BE109" s="53"/>
      <c r="BF109" s="53"/>
      <c r="BG109" s="53"/>
      <c r="BH109" s="53"/>
      <c r="BI109" s="53"/>
      <c r="BJ109" s="53"/>
      <c r="BK109" s="53"/>
      <c r="BL109" s="53"/>
      <c r="BM109" s="53"/>
      <c r="BN109" s="53"/>
      <c r="BO109" s="53"/>
      <c r="BP109" s="53"/>
      <c r="BQ109" s="53"/>
      <c r="BR109" s="53"/>
      <c r="BS109" s="53"/>
      <c r="BT109" s="53"/>
      <c r="BU109" s="53"/>
      <c r="BV109" s="53"/>
      <c r="BW109" s="53"/>
      <c r="BX109" s="53"/>
      <c r="BY109" s="53"/>
      <c r="BZ109" s="2557"/>
      <c r="CA109" s="100" t="str">
        <f>IF(AND($C109&lt;&gt;0,L109=""),"* No olvide ingresar la variable  "&amp;L$107&amp;""&amp;". Si no tiene digite CERO.  ",IF(L109&gt;$C109,"* El Número de Anomalía Congenita no puede superar el Total. ",""))</f>
        <v/>
      </c>
      <c r="CI109" s="102">
        <f>IF(AND($C109&lt;&gt;0,L109=""),1,IF(L109&gt;$C109,1,0))</f>
        <v>0</v>
      </c>
      <c r="CT109" s="48"/>
      <c r="CU109" s="48"/>
      <c r="CV109" s="48"/>
    </row>
    <row r="110" spans="1:102" s="1361" customFormat="1" ht="18" customHeight="1">
      <c r="A110" s="55" t="s">
        <v>2806</v>
      </c>
      <c r="B110" s="55"/>
      <c r="C110" s="2558"/>
      <c r="D110" s="2558"/>
      <c r="E110" s="2558"/>
      <c r="F110" s="2558"/>
      <c r="G110" s="4264"/>
      <c r="H110" s="2558"/>
      <c r="I110" s="2558"/>
      <c r="J110" s="2558"/>
      <c r="K110" s="2558"/>
      <c r="L110" s="4265"/>
      <c r="M110" s="2558"/>
    </row>
    <row r="111" spans="1:102" ht="15" customHeight="1">
      <c r="A111" s="6035" t="s">
        <v>296</v>
      </c>
      <c r="B111" s="6035"/>
      <c r="C111" s="5650" t="s">
        <v>2807</v>
      </c>
      <c r="D111" s="5651"/>
      <c r="E111" s="5615" t="s">
        <v>2808</v>
      </c>
      <c r="F111" s="5616"/>
      <c r="G111" s="5616"/>
      <c r="H111" s="5652"/>
      <c r="I111" s="6541" t="s">
        <v>2809</v>
      </c>
      <c r="J111" s="6541"/>
      <c r="K111" s="5653" t="s">
        <v>2810</v>
      </c>
      <c r="L111" s="5653" t="s">
        <v>2811</v>
      </c>
      <c r="M111" s="5613" t="s">
        <v>2812</v>
      </c>
      <c r="N111" s="5613" t="s">
        <v>2813</v>
      </c>
      <c r="O111" s="5613" t="s">
        <v>2814</v>
      </c>
      <c r="CA111" s="48"/>
      <c r="CB111" s="48"/>
      <c r="CW111" s="1361"/>
      <c r="CX111" s="1361"/>
    </row>
    <row r="112" spans="1:102" ht="31.5">
      <c r="A112" s="6035"/>
      <c r="B112" s="6035"/>
      <c r="C112" s="2767" t="s">
        <v>2815</v>
      </c>
      <c r="D112" s="192" t="s">
        <v>2816</v>
      </c>
      <c r="E112" s="2767" t="s">
        <v>2817</v>
      </c>
      <c r="F112" s="4179" t="s">
        <v>2818</v>
      </c>
      <c r="G112" s="4179" t="s">
        <v>2819</v>
      </c>
      <c r="H112" s="192" t="s">
        <v>2820</v>
      </c>
      <c r="I112" s="499" t="s">
        <v>2821</v>
      </c>
      <c r="J112" s="76" t="s">
        <v>2822</v>
      </c>
      <c r="K112" s="5654"/>
      <c r="L112" s="5654"/>
      <c r="M112" s="5614"/>
      <c r="N112" s="5614"/>
      <c r="O112" s="5614"/>
      <c r="CA112" s="48"/>
      <c r="CB112" s="48"/>
      <c r="CW112" s="1361"/>
      <c r="CX112" s="1361"/>
    </row>
    <row r="113" spans="1:102" ht="15" customHeight="1">
      <c r="A113" s="5726" t="s">
        <v>2805</v>
      </c>
      <c r="B113" s="5727"/>
      <c r="C113" s="4266"/>
      <c r="D113" s="4267"/>
      <c r="E113" s="4266"/>
      <c r="F113" s="4268"/>
      <c r="G113" s="4268"/>
      <c r="H113" s="4267"/>
      <c r="I113" s="4266"/>
      <c r="J113" s="4267"/>
      <c r="K113" s="4267"/>
      <c r="L113" s="4267"/>
      <c r="M113" s="4267"/>
      <c r="N113" s="4267"/>
      <c r="O113" s="4267"/>
      <c r="CA113" s="48"/>
      <c r="CB113" s="48"/>
      <c r="CW113" s="1361"/>
      <c r="CX113" s="1361"/>
    </row>
    <row r="114" spans="1:102" s="1361" customFormat="1" ht="18" customHeight="1">
      <c r="A114" s="6958" t="s">
        <v>2823</v>
      </c>
      <c r="B114" s="6959"/>
      <c r="C114" s="6959"/>
      <c r="D114" s="6959"/>
      <c r="E114" s="6959"/>
      <c r="F114" s="6959"/>
      <c r="G114" s="6959"/>
      <c r="H114" s="2558"/>
      <c r="I114" s="2558"/>
      <c r="J114" s="2558"/>
      <c r="K114" s="2558"/>
      <c r="L114" s="2558"/>
      <c r="M114" s="2558"/>
      <c r="N114" s="2558"/>
      <c r="O114" s="2558"/>
    </row>
    <row r="115" spans="1:102" ht="15" customHeight="1">
      <c r="A115" s="5613" t="s">
        <v>296</v>
      </c>
      <c r="B115" s="5641" t="s">
        <v>91</v>
      </c>
      <c r="C115" s="5615" t="s">
        <v>2795</v>
      </c>
      <c r="D115" s="5616"/>
      <c r="E115" s="5616"/>
      <c r="F115" s="5616"/>
      <c r="G115" s="5616"/>
      <c r="H115" s="5616"/>
      <c r="I115" s="5616"/>
      <c r="J115" s="5652"/>
      <c r="K115" s="5653" t="s">
        <v>2824</v>
      </c>
      <c r="L115" s="5774" t="s">
        <v>2825</v>
      </c>
      <c r="M115" s="5787"/>
      <c r="N115" s="5787"/>
      <c r="O115" s="5786"/>
    </row>
    <row r="116" spans="1:102" ht="42">
      <c r="A116" s="5614"/>
      <c r="B116" s="5612"/>
      <c r="C116" s="75" t="s">
        <v>2797</v>
      </c>
      <c r="D116" s="196" t="s">
        <v>2798</v>
      </c>
      <c r="E116" s="68" t="s">
        <v>2799</v>
      </c>
      <c r="F116" s="68" t="s">
        <v>2800</v>
      </c>
      <c r="G116" s="68" t="s">
        <v>2801</v>
      </c>
      <c r="H116" s="68" t="s">
        <v>2802</v>
      </c>
      <c r="I116" s="68" t="s">
        <v>2803</v>
      </c>
      <c r="J116" s="232" t="s">
        <v>2804</v>
      </c>
      <c r="K116" s="5654"/>
      <c r="L116" s="66" t="s">
        <v>2826</v>
      </c>
      <c r="M116" s="67" t="s">
        <v>2827</v>
      </c>
      <c r="N116" s="67" t="s">
        <v>2828</v>
      </c>
      <c r="O116" s="742" t="s">
        <v>2829</v>
      </c>
    </row>
    <row r="117" spans="1:102" ht="15" customHeight="1">
      <c r="A117" s="551" t="s">
        <v>2830</v>
      </c>
      <c r="B117" s="4269">
        <f>SUM(C117)</f>
        <v>0</v>
      </c>
      <c r="C117" s="1030"/>
      <c r="D117" s="4251"/>
      <c r="E117" s="4251"/>
      <c r="F117" s="4251"/>
      <c r="G117" s="4251"/>
      <c r="H117" s="4251"/>
      <c r="I117" s="4251"/>
      <c r="J117" s="1089"/>
      <c r="K117" s="1267"/>
      <c r="L117" s="1030"/>
      <c r="M117" s="1371"/>
      <c r="N117" s="1371"/>
      <c r="O117" s="1187"/>
    </row>
    <row r="118" spans="1:102" ht="15" customHeight="1">
      <c r="A118" s="4270" t="s">
        <v>2831</v>
      </c>
      <c r="B118" s="2751">
        <f t="shared" ref="B118:B119" si="26">SUM(C118:J118)</f>
        <v>0</v>
      </c>
      <c r="C118" s="1030"/>
      <c r="D118" s="1371"/>
      <c r="E118" s="1371"/>
      <c r="F118" s="1371"/>
      <c r="G118" s="1371"/>
      <c r="H118" s="1371"/>
      <c r="I118" s="1371"/>
      <c r="J118" s="1187"/>
      <c r="K118" s="1267"/>
      <c r="L118" s="1030"/>
      <c r="M118" s="1371"/>
      <c r="N118" s="1371"/>
      <c r="O118" s="1187"/>
    </row>
    <row r="119" spans="1:102" ht="15" customHeight="1">
      <c r="A119" s="4271" t="s">
        <v>2832</v>
      </c>
      <c r="B119" s="755">
        <f t="shared" si="26"/>
        <v>0</v>
      </c>
      <c r="C119" s="1053"/>
      <c r="D119" s="1377"/>
      <c r="E119" s="1377"/>
      <c r="F119" s="1377"/>
      <c r="G119" s="1377"/>
      <c r="H119" s="1377"/>
      <c r="I119" s="1377"/>
      <c r="J119" s="1054"/>
      <c r="K119" s="1054"/>
      <c r="L119" s="1053"/>
      <c r="M119" s="1377"/>
      <c r="N119" s="1377"/>
      <c r="O119" s="1054"/>
    </row>
    <row r="120" spans="1:102" s="1361" customFormat="1" ht="18" customHeight="1">
      <c r="A120" s="465" t="s">
        <v>2833</v>
      </c>
      <c r="B120" s="2558"/>
      <c r="C120" s="2558"/>
      <c r="D120" s="2558"/>
      <c r="E120" s="2558"/>
    </row>
    <row r="121" spans="1:102" ht="21.75" customHeight="1">
      <c r="A121" s="971" t="s">
        <v>2834</v>
      </c>
      <c r="B121" s="1323" t="s">
        <v>2835</v>
      </c>
      <c r="C121" s="60" t="s">
        <v>2836</v>
      </c>
      <c r="D121" s="293" t="s">
        <v>343</v>
      </c>
      <c r="E121" s="76" t="s">
        <v>51</v>
      </c>
    </row>
    <row r="122" spans="1:102" ht="15" customHeight="1">
      <c r="A122" s="4127" t="s">
        <v>2837</v>
      </c>
      <c r="B122" s="4143"/>
      <c r="C122" s="4149"/>
      <c r="D122" s="4147"/>
      <c r="E122" s="2762"/>
      <c r="F122" s="240" t="str">
        <f t="shared" ref="F122:F130" si="27">CA122&amp;CB122</f>
        <v/>
      </c>
      <c r="CA122" s="4272" t="str">
        <f t="shared" ref="CA122:CA130" si="28">IF(AND(OR(B122&gt;0,C122&gt;0),D122="")," * No olvide digitar la variable Pueblos originarios. Digite Cero si no tiene.",IF(D122&gt;(B122+C122)," * La variable pueblos originarios No puede ser mayor a los egresados en Servicio Gineco-obstétrico y Neonatología..",""))</f>
        <v/>
      </c>
      <c r="CB122" s="4272" t="str">
        <f t="shared" ref="CB122:CB130" si="29">IF(AND(OR(B122&gt;0,C122&gt;0),E122="")," * No olvide digitar la variable Migrantes. Digite Cero si no tiene.",IF(E122&gt;(B122+C122)," * La variable Migrantes No puede ser mayor a los egresados en Servicio Gineco-obstétrico y Neonatología.",""))</f>
        <v/>
      </c>
      <c r="CC122" s="970"/>
      <c r="CD122" s="970"/>
      <c r="CI122" s="4273">
        <f t="shared" ref="CI122:CI130" si="30">IF(AND(OR(B122&gt;0,C122&gt;0),D122=""),1,IF(D122&gt;(B122+C122),1,0))</f>
        <v>0</v>
      </c>
      <c r="CJ122" s="4273">
        <f t="shared" ref="CJ122:CJ130" si="31">IF(AND(OR(B122&gt;0,C122&gt;0),E122=""),1,IF(E122&gt;(B122+C122),1,0))</f>
        <v>0</v>
      </c>
      <c r="CK122" s="970"/>
      <c r="CL122" s="970"/>
      <c r="CR122" s="48"/>
      <c r="CS122" s="48"/>
      <c r="CT122" s="48"/>
      <c r="CU122" s="48"/>
      <c r="CV122" s="48"/>
    </row>
    <row r="123" spans="1:102" ht="21.95" customHeight="1">
      <c r="A123" s="620" t="s">
        <v>2838</v>
      </c>
      <c r="B123" s="1030"/>
      <c r="C123" s="1317"/>
      <c r="D123" s="4170"/>
      <c r="E123" s="1187"/>
      <c r="F123" s="240" t="str">
        <f t="shared" si="27"/>
        <v/>
      </c>
      <c r="CA123" s="4272" t="str">
        <f t="shared" si="28"/>
        <v/>
      </c>
      <c r="CB123" s="4272" t="str">
        <f t="shared" si="29"/>
        <v/>
      </c>
      <c r="CC123" s="970"/>
      <c r="CD123" s="970"/>
      <c r="CG123" s="970"/>
      <c r="CH123" s="970"/>
      <c r="CI123" s="4273">
        <f t="shared" si="30"/>
        <v>0</v>
      </c>
      <c r="CJ123" s="4273">
        <f t="shared" si="31"/>
        <v>0</v>
      </c>
      <c r="CK123" s="970"/>
      <c r="CL123" s="970"/>
      <c r="CR123" s="48"/>
      <c r="CS123" s="48"/>
      <c r="CT123" s="48"/>
      <c r="CU123" s="48"/>
      <c r="CV123" s="48"/>
    </row>
    <row r="124" spans="1:102" ht="21.95" customHeight="1">
      <c r="A124" s="1384" t="s">
        <v>2839</v>
      </c>
      <c r="B124" s="1013"/>
      <c r="C124" s="1318"/>
      <c r="D124" s="4136"/>
      <c r="E124" s="1014"/>
      <c r="F124" s="240" t="str">
        <f t="shared" si="27"/>
        <v/>
      </c>
      <c r="CA124" s="4272" t="str">
        <f t="shared" si="28"/>
        <v/>
      </c>
      <c r="CB124" s="4272" t="str">
        <f t="shared" si="29"/>
        <v/>
      </c>
      <c r="CC124" s="970"/>
      <c r="CD124" s="970"/>
      <c r="CI124" s="4273">
        <f t="shared" si="30"/>
        <v>0</v>
      </c>
      <c r="CJ124" s="4273">
        <f t="shared" si="31"/>
        <v>0</v>
      </c>
      <c r="CK124" s="970"/>
      <c r="CL124" s="970"/>
      <c r="CR124" s="48"/>
      <c r="CS124" s="48"/>
      <c r="CT124" s="48"/>
      <c r="CU124" s="48"/>
      <c r="CV124" s="48"/>
    </row>
    <row r="125" spans="1:102" ht="21.95" customHeight="1">
      <c r="A125" s="4274" t="s">
        <v>2840</v>
      </c>
      <c r="B125" s="1013"/>
      <c r="C125" s="1318"/>
      <c r="D125" s="4136"/>
      <c r="E125" s="1014"/>
      <c r="F125" s="240" t="str">
        <f t="shared" si="27"/>
        <v/>
      </c>
      <c r="CA125" s="4272" t="str">
        <f t="shared" si="28"/>
        <v/>
      </c>
      <c r="CB125" s="4272" t="str">
        <f t="shared" si="29"/>
        <v/>
      </c>
      <c r="CC125" s="970"/>
      <c r="CD125" s="970"/>
      <c r="CI125" s="4273">
        <f t="shared" si="30"/>
        <v>0</v>
      </c>
      <c r="CJ125" s="4273">
        <f t="shared" si="31"/>
        <v>0</v>
      </c>
      <c r="CK125" s="970"/>
      <c r="CL125" s="970"/>
      <c r="CR125" s="48"/>
      <c r="CS125" s="48"/>
      <c r="CT125" s="48"/>
      <c r="CU125" s="48"/>
      <c r="CV125" s="48"/>
    </row>
    <row r="126" spans="1:102" ht="42">
      <c r="A126" s="1384" t="s">
        <v>2841</v>
      </c>
      <c r="B126" s="1013"/>
      <c r="C126" s="1318"/>
      <c r="D126" s="4136"/>
      <c r="E126" s="1014"/>
      <c r="F126" s="240" t="str">
        <f t="shared" si="27"/>
        <v/>
      </c>
      <c r="CA126" s="4272" t="str">
        <f t="shared" si="28"/>
        <v/>
      </c>
      <c r="CB126" s="4272" t="str">
        <f t="shared" si="29"/>
        <v/>
      </c>
      <c r="CC126" s="970"/>
      <c r="CD126" s="970"/>
      <c r="CI126" s="4273">
        <f t="shared" si="30"/>
        <v>0</v>
      </c>
      <c r="CJ126" s="4273">
        <f t="shared" si="31"/>
        <v>0</v>
      </c>
      <c r="CK126" s="970"/>
      <c r="CL126" s="970"/>
      <c r="CR126" s="48"/>
      <c r="CS126" s="48"/>
      <c r="CT126" s="48"/>
      <c r="CU126" s="48"/>
      <c r="CV126" s="48"/>
    </row>
    <row r="127" spans="1:102" ht="21.95" customHeight="1">
      <c r="A127" s="4274" t="s">
        <v>2842</v>
      </c>
      <c r="B127" s="1013"/>
      <c r="C127" s="4171"/>
      <c r="D127" s="4172"/>
      <c r="E127" s="4166"/>
      <c r="F127" s="240" t="str">
        <f t="shared" si="27"/>
        <v/>
      </c>
      <c r="CA127" s="4272" t="str">
        <f t="shared" si="28"/>
        <v/>
      </c>
      <c r="CB127" s="4272" t="str">
        <f t="shared" si="29"/>
        <v/>
      </c>
      <c r="CC127" s="970"/>
      <c r="CD127" s="970"/>
      <c r="CG127" s="970"/>
      <c r="CH127" s="970"/>
      <c r="CI127" s="4273">
        <f t="shared" si="30"/>
        <v>0</v>
      </c>
      <c r="CJ127" s="4273">
        <f t="shared" si="31"/>
        <v>0</v>
      </c>
      <c r="CK127" s="970"/>
      <c r="CL127" s="970"/>
      <c r="CR127" s="48"/>
      <c r="CS127" s="48"/>
      <c r="CT127" s="48"/>
      <c r="CU127" s="48"/>
      <c r="CV127" s="48"/>
    </row>
    <row r="128" spans="1:102" ht="21.95" customHeight="1">
      <c r="A128" s="1384" t="s">
        <v>2843</v>
      </c>
      <c r="B128" s="1030"/>
      <c r="C128" s="1318"/>
      <c r="D128" s="4136"/>
      <c r="E128" s="1014"/>
      <c r="F128" s="240" t="str">
        <f t="shared" si="27"/>
        <v/>
      </c>
      <c r="CA128" s="4272" t="str">
        <f t="shared" si="28"/>
        <v/>
      </c>
      <c r="CB128" s="4272" t="str">
        <f t="shared" si="29"/>
        <v/>
      </c>
      <c r="CC128" s="970"/>
      <c r="CD128" s="970"/>
      <c r="CI128" s="4273">
        <f t="shared" si="30"/>
        <v>0</v>
      </c>
      <c r="CJ128" s="4273">
        <f t="shared" si="31"/>
        <v>0</v>
      </c>
      <c r="CK128" s="970"/>
      <c r="CL128" s="970"/>
      <c r="CR128" s="48"/>
      <c r="CS128" s="48"/>
      <c r="CT128" s="48"/>
      <c r="CU128" s="48"/>
      <c r="CV128" s="48"/>
    </row>
    <row r="129" spans="1:101" ht="21.95" customHeight="1">
      <c r="A129" s="1384" t="s">
        <v>2844</v>
      </c>
      <c r="B129" s="1013"/>
      <c r="C129" s="1318"/>
      <c r="D129" s="4136"/>
      <c r="E129" s="1014"/>
      <c r="F129" s="240" t="str">
        <f t="shared" si="27"/>
        <v/>
      </c>
      <c r="CA129" s="4272" t="str">
        <f t="shared" si="28"/>
        <v/>
      </c>
      <c r="CB129" s="4272" t="str">
        <f t="shared" si="29"/>
        <v/>
      </c>
      <c r="CC129" s="970"/>
      <c r="CD129" s="970"/>
      <c r="CG129" s="970"/>
      <c r="CH129" s="970"/>
      <c r="CI129" s="4273">
        <f t="shared" si="30"/>
        <v>0</v>
      </c>
      <c r="CJ129" s="4273">
        <f t="shared" si="31"/>
        <v>0</v>
      </c>
      <c r="CK129" s="970"/>
      <c r="CL129" s="970"/>
      <c r="CR129" s="48"/>
      <c r="CS129" s="48"/>
      <c r="CT129" s="48"/>
      <c r="CU129" s="48"/>
      <c r="CV129" s="48"/>
    </row>
    <row r="130" spans="1:101" ht="35.1" customHeight="1">
      <c r="A130" s="4275" t="s">
        <v>2845</v>
      </c>
      <c r="B130" s="1055"/>
      <c r="C130" s="1094"/>
      <c r="D130" s="4276"/>
      <c r="E130" s="1093"/>
      <c r="F130" s="240" t="str">
        <f t="shared" si="27"/>
        <v/>
      </c>
      <c r="CA130" s="4272" t="str">
        <f t="shared" si="28"/>
        <v/>
      </c>
      <c r="CB130" s="4272" t="str">
        <f t="shared" si="29"/>
        <v/>
      </c>
      <c r="CC130" s="970"/>
      <c r="CD130" s="970"/>
      <c r="CG130" s="970"/>
      <c r="CH130" s="970"/>
      <c r="CI130" s="4273">
        <f t="shared" si="30"/>
        <v>0</v>
      </c>
      <c r="CJ130" s="4273">
        <f t="shared" si="31"/>
        <v>0</v>
      </c>
      <c r="CK130" s="970"/>
      <c r="CL130" s="970"/>
      <c r="CR130" s="48"/>
      <c r="CS130" s="48"/>
      <c r="CT130" s="48"/>
      <c r="CU130" s="48"/>
      <c r="CV130" s="48"/>
    </row>
    <row r="131" spans="1:101" ht="15" customHeight="1">
      <c r="A131" s="6960" t="s">
        <v>2846</v>
      </c>
      <c r="B131" s="6960"/>
    </row>
    <row r="132" spans="1:101" s="1361" customFormat="1" ht="18" customHeight="1">
      <c r="A132" s="609" t="s">
        <v>2847</v>
      </c>
      <c r="B132" s="609"/>
      <c r="C132" s="609"/>
    </row>
    <row r="133" spans="1:101" ht="37.5" customHeight="1">
      <c r="A133" s="5978" t="s">
        <v>630</v>
      </c>
      <c r="B133" s="5978"/>
      <c r="C133" s="4277" t="s">
        <v>2835</v>
      </c>
      <c r="D133" s="76" t="s">
        <v>2836</v>
      </c>
    </row>
    <row r="134" spans="1:101">
      <c r="A134" s="6918" t="s">
        <v>2848</v>
      </c>
      <c r="B134" s="4278" t="s">
        <v>2849</v>
      </c>
      <c r="C134" s="1003"/>
      <c r="D134" s="1004"/>
    </row>
    <row r="135" spans="1:101">
      <c r="A135" s="6919"/>
      <c r="B135" s="4279" t="s">
        <v>2850</v>
      </c>
      <c r="C135" s="1055"/>
      <c r="D135" s="1093"/>
    </row>
    <row r="136" spans="1:101" ht="15" customHeight="1">
      <c r="A136" s="6918" t="s">
        <v>2851</v>
      </c>
      <c r="B136" s="4280" t="s">
        <v>987</v>
      </c>
      <c r="C136" s="1003"/>
      <c r="D136" s="1004"/>
    </row>
    <row r="137" spans="1:101" ht="15" customHeight="1">
      <c r="A137" s="6961"/>
      <c r="B137" s="4281" t="s">
        <v>2852</v>
      </c>
      <c r="C137" s="1013"/>
      <c r="D137" s="1014"/>
    </row>
    <row r="138" spans="1:101" ht="15" customHeight="1">
      <c r="A138" s="6961"/>
      <c r="B138" s="4281" t="s">
        <v>112</v>
      </c>
      <c r="C138" s="1013"/>
      <c r="D138" s="1014"/>
    </row>
    <row r="139" spans="1:101" ht="15" customHeight="1">
      <c r="A139" s="6919"/>
      <c r="B139" s="4282" t="s">
        <v>119</v>
      </c>
      <c r="C139" s="1055"/>
      <c r="D139" s="1093"/>
    </row>
    <row r="140" spans="1:101" s="1361" customFormat="1" ht="18" customHeight="1">
      <c r="A140" s="2803" t="s">
        <v>2853</v>
      </c>
      <c r="B140" s="2660"/>
      <c r="C140" s="2660"/>
      <c r="D140" s="465"/>
      <c r="E140" s="2558"/>
      <c r="F140" s="2558"/>
      <c r="G140" s="2558"/>
      <c r="H140" s="2558"/>
      <c r="I140" s="2558"/>
      <c r="J140" s="2558"/>
      <c r="K140" s="2558"/>
      <c r="L140" s="2558"/>
      <c r="M140" s="2558"/>
    </row>
    <row r="141" spans="1:101" ht="27.95" customHeight="1">
      <c r="A141" s="5962" t="s">
        <v>305</v>
      </c>
      <c r="B141" s="5613" t="s">
        <v>91</v>
      </c>
      <c r="C141" s="5974" t="s">
        <v>43</v>
      </c>
      <c r="D141" s="5975"/>
      <c r="E141" s="5975"/>
      <c r="F141" s="5975"/>
      <c r="G141" s="5975"/>
      <c r="H141" s="5975"/>
      <c r="I141" s="5975"/>
      <c r="J141" s="5975"/>
      <c r="K141" s="5977"/>
      <c r="L141" s="5892" t="s">
        <v>50</v>
      </c>
      <c r="M141" s="5994" t="s">
        <v>51</v>
      </c>
      <c r="N141" s="5901" t="s">
        <v>2854</v>
      </c>
      <c r="CA141" s="48"/>
      <c r="CW141" s="1361"/>
    </row>
    <row r="142" spans="1:101" ht="27.95" customHeight="1">
      <c r="A142" s="5758"/>
      <c r="B142" s="5659"/>
      <c r="C142" s="1323" t="s">
        <v>108</v>
      </c>
      <c r="D142" s="1324" t="s">
        <v>58</v>
      </c>
      <c r="E142" s="1324" t="s">
        <v>59</v>
      </c>
      <c r="F142" s="1324" t="s">
        <v>60</v>
      </c>
      <c r="G142" s="1324" t="s">
        <v>61</v>
      </c>
      <c r="H142" s="1324" t="s">
        <v>62</v>
      </c>
      <c r="I142" s="1324" t="s">
        <v>63</v>
      </c>
      <c r="J142" s="1324" t="s">
        <v>64</v>
      </c>
      <c r="K142" s="4283" t="s">
        <v>65</v>
      </c>
      <c r="L142" s="5895"/>
      <c r="M142" s="5995"/>
      <c r="N142" s="5902"/>
      <c r="CA142" s="48"/>
      <c r="CW142" s="1361"/>
    </row>
    <row r="143" spans="1:101" ht="21">
      <c r="A143" s="618" t="s">
        <v>2855</v>
      </c>
      <c r="B143" s="1180"/>
      <c r="C143" s="4201"/>
      <c r="D143" s="4251"/>
      <c r="E143" s="4251"/>
      <c r="F143" s="4251"/>
      <c r="G143" s="4251"/>
      <c r="H143" s="4251"/>
      <c r="I143" s="4251"/>
      <c r="J143" s="4251"/>
      <c r="K143" s="4284"/>
      <c r="L143" s="4285"/>
      <c r="M143" s="4286"/>
      <c r="N143" s="4286"/>
      <c r="CA143" s="48"/>
      <c r="CW143" s="1361"/>
    </row>
    <row r="144" spans="1:101" ht="21">
      <c r="A144" s="619" t="s">
        <v>2856</v>
      </c>
      <c r="B144" s="180">
        <f>SUM(C144:K144)</f>
        <v>0</v>
      </c>
      <c r="C144" s="1055"/>
      <c r="D144" s="1373"/>
      <c r="E144" s="1373"/>
      <c r="F144" s="1373"/>
      <c r="G144" s="1373"/>
      <c r="H144" s="1373"/>
      <c r="I144" s="1373"/>
      <c r="J144" s="1373"/>
      <c r="K144" s="1374"/>
      <c r="L144" s="2624"/>
      <c r="M144" s="1189"/>
      <c r="N144" s="1189"/>
      <c r="O144" s="240" t="str">
        <f>$CA144&amp;CB144&amp;CC144</f>
        <v/>
      </c>
      <c r="CA144" s="4272" t="str">
        <f>IF(AND($B144&lt;&gt;0,L144=""),"* No olvide ingresar la variable "&amp;L$141&amp;""&amp;". Digite CERO si no tiene.  ",IF(L144&gt;$B144,"* La variable "&amp;L$141&amp;""&amp;" no puede superar el Total. ",""))</f>
        <v/>
      </c>
      <c r="CB144" s="4272" t="str">
        <f>IF(AND($B144&lt;&gt;0,M144=""),"* No olvide ingresar la variable "&amp;L$141&amp;""&amp;". Digite CERO si no tiene. ",IF(M144&gt;$B144,"* La variable "&amp;L$141&amp;""&amp;" no puede superar el Total. ",""))</f>
        <v/>
      </c>
      <c r="CC144" s="4272" t="str">
        <f>IF(AND($B144&lt;&gt;0,N144=""),"* No olvide ingresar la variable "&amp;N$141&amp;""&amp;". Digite CERO si no tiene. ",IF(N144&gt;$B144,"* La variable "&amp;N$141&amp;""&amp;" no puede superar el Total. ",""))</f>
        <v/>
      </c>
      <c r="CI144" s="4273">
        <f>IF(AND($B144&lt;&gt;0,L144=""),1,IF(L144&gt;$B144,1,0))</f>
        <v>0</v>
      </c>
      <c r="CJ144" s="4273">
        <f>IF(AND($B144&lt;&gt;0,N144=""),1,IF(N144&gt;$B144,1,0))</f>
        <v>0</v>
      </c>
      <c r="CU144" s="48"/>
      <c r="CV144" s="48"/>
    </row>
    <row r="145" spans="1:100" s="1361" customFormat="1" ht="18" customHeight="1">
      <c r="A145" s="609" t="s">
        <v>2857</v>
      </c>
      <c r="B145" s="609"/>
      <c r="C145" s="2558"/>
      <c r="D145" s="2558"/>
      <c r="E145" s="2558"/>
      <c r="F145" s="2558"/>
    </row>
    <row r="146" spans="1:100" s="1361" customFormat="1" ht="18" customHeight="1">
      <c r="A146" s="609" t="s">
        <v>2858</v>
      </c>
      <c r="B146" s="609"/>
      <c r="C146" s="2558"/>
      <c r="D146" s="2558"/>
      <c r="E146" s="2558"/>
      <c r="F146" s="2558"/>
    </row>
    <row r="147" spans="1:100" ht="21">
      <c r="A147" s="6521" t="s">
        <v>2859</v>
      </c>
      <c r="B147" s="5651" t="s">
        <v>2860</v>
      </c>
      <c r="C147" s="5640"/>
      <c r="D147" s="5640"/>
      <c r="E147" s="5640"/>
      <c r="F147" s="193" t="s">
        <v>2861</v>
      </c>
    </row>
    <row r="148" spans="1:100" ht="21">
      <c r="A148" s="6522"/>
      <c r="B148" s="196" t="s">
        <v>2862</v>
      </c>
      <c r="C148" s="68" t="s">
        <v>2863</v>
      </c>
      <c r="D148" s="196" t="s">
        <v>2864</v>
      </c>
      <c r="E148" s="76" t="s">
        <v>2865</v>
      </c>
      <c r="F148" s="193" t="s">
        <v>2866</v>
      </c>
    </row>
    <row r="149" spans="1:100">
      <c r="A149" s="713" t="s">
        <v>2867</v>
      </c>
      <c r="B149" s="4144"/>
      <c r="C149" s="4257"/>
      <c r="D149" s="4287"/>
      <c r="E149" s="2762"/>
      <c r="F149" s="4288"/>
    </row>
    <row r="150" spans="1:100" s="1361" customFormat="1" ht="18" customHeight="1">
      <c r="A150" s="609" t="s">
        <v>2868</v>
      </c>
      <c r="B150" s="2558"/>
      <c r="C150" s="2558"/>
      <c r="D150" s="2558"/>
      <c r="E150" s="2558"/>
    </row>
    <row r="151" spans="1:100" ht="21">
      <c r="A151" s="971" t="s">
        <v>2869</v>
      </c>
      <c r="B151" s="230" t="s">
        <v>2870</v>
      </c>
      <c r="C151" s="75" t="s">
        <v>2871</v>
      </c>
      <c r="D151" s="60" t="s">
        <v>2425</v>
      </c>
      <c r="E151" s="76" t="s">
        <v>50</v>
      </c>
    </row>
    <row r="152" spans="1:100" ht="15" customHeight="1">
      <c r="A152" s="277" t="s">
        <v>2872</v>
      </c>
      <c r="B152" s="1180"/>
      <c r="C152" s="1003"/>
      <c r="D152" s="1316"/>
      <c r="E152" s="1004"/>
      <c r="F152" s="240" t="str">
        <f>$CA152</f>
        <v/>
      </c>
      <c r="CA152" s="4272" t="str">
        <f t="shared" ref="CA152:CA154" si="32">IF(AND($B152&lt;&gt;0,E152=""),"* No olvide ingresar la variable "&amp;E$151&amp;""&amp;". Digite CERO si no tiene. ",IF(E152&gt;$B152,"* La variable "&amp;E$151&amp;""&amp;" no puede superar el Total de Tamizaje. ",""))</f>
        <v/>
      </c>
      <c r="CB152" s="970"/>
      <c r="CI152" s="4273">
        <f t="shared" ref="CI152:CI154" si="33">IF(AND($B152&lt;&gt;0,E152=""),1,IF(E152&gt;$B152,1,0))</f>
        <v>0</v>
      </c>
      <c r="CJ152" s="970"/>
      <c r="CT152" s="48"/>
      <c r="CU152" s="48"/>
      <c r="CV152" s="48"/>
    </row>
    <row r="153" spans="1:100" ht="15" customHeight="1">
      <c r="A153" s="284" t="s">
        <v>2873</v>
      </c>
      <c r="B153" s="1183"/>
      <c r="C153" s="1013"/>
      <c r="D153" s="1318"/>
      <c r="E153" s="1014"/>
      <c r="F153" s="240" t="str">
        <f t="shared" ref="F153:F154" si="34">$CL153&amp;CA153</f>
        <v/>
      </c>
      <c r="CA153" s="4272" t="str">
        <f t="shared" si="32"/>
        <v/>
      </c>
      <c r="CB153" s="970"/>
      <c r="CI153" s="4273">
        <f t="shared" si="33"/>
        <v>0</v>
      </c>
      <c r="CT153" s="48"/>
      <c r="CU153" s="48"/>
      <c r="CV153" s="48"/>
    </row>
    <row r="154" spans="1:100" ht="15" customHeight="1">
      <c r="A154" s="490" t="s">
        <v>2874</v>
      </c>
      <c r="B154" s="1136"/>
      <c r="C154" s="1053"/>
      <c r="D154" s="1322"/>
      <c r="E154" s="1054"/>
      <c r="F154" s="240" t="str">
        <f t="shared" si="34"/>
        <v/>
      </c>
      <c r="CA154" s="4272" t="str">
        <f t="shared" si="32"/>
        <v/>
      </c>
      <c r="CB154" s="970"/>
      <c r="CI154" s="4273">
        <f t="shared" si="33"/>
        <v>0</v>
      </c>
      <c r="CT154" s="48"/>
      <c r="CU154" s="48"/>
      <c r="CV154" s="48"/>
    </row>
    <row r="155" spans="1:100" ht="21">
      <c r="A155" s="64" t="s">
        <v>2875</v>
      </c>
      <c r="B155" s="65" t="s">
        <v>2876</v>
      </c>
      <c r="C155" s="2755" t="s">
        <v>2877</v>
      </c>
      <c r="D155" s="74" t="s">
        <v>50</v>
      </c>
      <c r="E155" s="50"/>
      <c r="CT155" s="48"/>
      <c r="CU155" s="48"/>
      <c r="CV155" s="48"/>
    </row>
    <row r="156" spans="1:100">
      <c r="A156" s="277" t="s">
        <v>2878</v>
      </c>
      <c r="B156" s="1180"/>
      <c r="C156" s="2756"/>
      <c r="D156" s="1004"/>
      <c r="E156" s="240" t="str">
        <f t="shared" ref="E156:E158" si="35">$CA156</f>
        <v/>
      </c>
      <c r="CA156" s="4272" t="str">
        <f t="shared" ref="CA156:CA158" si="36">IF(AND($B156&lt;&gt;0,D156=""),"* No olvide ingresar la variable Pueblos Originarios. Digite CERO si no tiene. ",IF(D156&gt;$B156,"* La variable Pueblos Originarios no puede superar el Total de EOA. ",""))</f>
        <v/>
      </c>
      <c r="CB156" s="970"/>
      <c r="CI156" s="4273">
        <f t="shared" ref="CI156:CI158" si="37">IF(AND($B156&lt;&gt;0,D156=""),1,IF(D156&gt;$B156,1,0))</f>
        <v>0</v>
      </c>
      <c r="CT156" s="48"/>
      <c r="CU156" s="48"/>
      <c r="CV156" s="48"/>
    </row>
    <row r="157" spans="1:100">
      <c r="A157" s="284" t="s">
        <v>1241</v>
      </c>
      <c r="B157" s="1183"/>
      <c r="C157" s="2765"/>
      <c r="D157" s="1014"/>
      <c r="E157" s="240" t="str">
        <f t="shared" si="35"/>
        <v/>
      </c>
      <c r="CA157" s="4272" t="str">
        <f t="shared" si="36"/>
        <v/>
      </c>
      <c r="CB157" s="970"/>
      <c r="CI157" s="4273">
        <f t="shared" si="37"/>
        <v>0</v>
      </c>
      <c r="CT157" s="48"/>
      <c r="CU157" s="48"/>
      <c r="CV157" s="48"/>
    </row>
    <row r="158" spans="1:100" ht="21">
      <c r="A158" s="490" t="s">
        <v>2879</v>
      </c>
      <c r="B158" s="1136"/>
      <c r="C158" s="1138"/>
      <c r="D158" s="1054"/>
      <c r="E158" s="240" t="str">
        <f t="shared" si="35"/>
        <v/>
      </c>
      <c r="CA158" s="4272" t="str">
        <f t="shared" si="36"/>
        <v/>
      </c>
      <c r="CB158" s="970"/>
      <c r="CI158" s="4273">
        <f t="shared" si="37"/>
        <v>0</v>
      </c>
      <c r="CT158" s="48"/>
      <c r="CU158" s="48"/>
      <c r="CV158" s="48"/>
    </row>
    <row r="159" spans="1:100">
      <c r="A159" s="609" t="s">
        <v>2880</v>
      </c>
      <c r="B159" s="611"/>
      <c r="C159" s="50"/>
    </row>
    <row r="160" spans="1:100" ht="31.5">
      <c r="A160" s="189" t="s">
        <v>2875</v>
      </c>
      <c r="B160" s="75" t="s">
        <v>2881</v>
      </c>
      <c r="C160" s="62" t="s">
        <v>2882</v>
      </c>
    </row>
    <row r="161" spans="1:3">
      <c r="A161" s="613" t="s">
        <v>2878</v>
      </c>
      <c r="B161" s="1003"/>
      <c r="C161" s="1004"/>
    </row>
    <row r="162" spans="1:3">
      <c r="A162" s="300" t="s">
        <v>1241</v>
      </c>
      <c r="B162" s="1055"/>
      <c r="C162" s="1093"/>
    </row>
    <row r="179" spans="1:2" ht="33.75" hidden="1" customHeight="1">
      <c r="A179" s="377">
        <f>SUM(C13:Z23,C26:C38,C42:D57,C61:F71,B77:G79,B84:G88,C92:I103,C109,C113:O113,B117:B119,B122:C130,C134:D139,B143:B144,B149:F149,B152:D154,B156:C158,B161:C162)</f>
        <v>0</v>
      </c>
      <c r="B179" s="377">
        <f>SUM(CI13:CM158)</f>
        <v>0</v>
      </c>
    </row>
  </sheetData>
  <sheetProtection algorithmName="SHA-512" hashValue="oRjFsBHvdkiMVxnRanlwlEhnWJaE/tfYUJXV0S8qyzhqB3IObC7bFn7XCaHaRIwBsl4FuYQLgs+PyNXrZLTQxQ==" saltValue="ytQ7HIJ6vbeElYYbQcTg2w==" spinCount="100000" sheet="1" objects="1" scenarios="1"/>
  <mergeCells count="138">
    <mergeCell ref="A147:A148"/>
    <mergeCell ref="B147:E147"/>
    <mergeCell ref="A133:B133"/>
    <mergeCell ref="A134:A135"/>
    <mergeCell ref="A136:A139"/>
    <mergeCell ref="A141:A142"/>
    <mergeCell ref="B141:B142"/>
    <mergeCell ref="C141:K141"/>
    <mergeCell ref="L141:L142"/>
    <mergeCell ref="M111:M112"/>
    <mergeCell ref="M141:M142"/>
    <mergeCell ref="N141:N142"/>
    <mergeCell ref="N111:N112"/>
    <mergeCell ref="O111:O112"/>
    <mergeCell ref="A113:B113"/>
    <mergeCell ref="A114:G114"/>
    <mergeCell ref="B115:B116"/>
    <mergeCell ref="C115:J115"/>
    <mergeCell ref="K115:K116"/>
    <mergeCell ref="L115:O115"/>
    <mergeCell ref="A131:B131"/>
    <mergeCell ref="C107:C108"/>
    <mergeCell ref="D107:K107"/>
    <mergeCell ref="L107:L108"/>
    <mergeCell ref="A109:B109"/>
    <mergeCell ref="A111:B112"/>
    <mergeCell ref="C111:D111"/>
    <mergeCell ref="E111:H111"/>
    <mergeCell ref="I111:J111"/>
    <mergeCell ref="K111:K112"/>
    <mergeCell ref="L111:L112"/>
    <mergeCell ref="AB9:AB11"/>
    <mergeCell ref="AC9:AC11"/>
    <mergeCell ref="AD9:AD11"/>
    <mergeCell ref="AE9:AF10"/>
    <mergeCell ref="T10:U10"/>
    <mergeCell ref="V10:W10"/>
    <mergeCell ref="A21:B21"/>
    <mergeCell ref="A22:A23"/>
    <mergeCell ref="A26:B26"/>
    <mergeCell ref="A13:B13"/>
    <mergeCell ref="A14:B14"/>
    <mergeCell ref="A15:B15"/>
    <mergeCell ref="X9:X11"/>
    <mergeCell ref="Y9:Y11"/>
    <mergeCell ref="Z9:Z11"/>
    <mergeCell ref="AA9:AA11"/>
    <mergeCell ref="A25:B25"/>
    <mergeCell ref="A12:B12"/>
    <mergeCell ref="A6:L6"/>
    <mergeCell ref="A9:B11"/>
    <mergeCell ref="C9:C11"/>
    <mergeCell ref="D9:G9"/>
    <mergeCell ref="H9:K9"/>
    <mergeCell ref="L9:L11"/>
    <mergeCell ref="R10:R11"/>
    <mergeCell ref="S9:S11"/>
    <mergeCell ref="T9:W9"/>
    <mergeCell ref="D10:D11"/>
    <mergeCell ref="E10:E11"/>
    <mergeCell ref="F10:F11"/>
    <mergeCell ref="G10:G11"/>
    <mergeCell ref="H10:H11"/>
    <mergeCell ref="I10:I11"/>
    <mergeCell ref="J10:J11"/>
    <mergeCell ref="K10:K11"/>
    <mergeCell ref="M10:M11"/>
    <mergeCell ref="M9:R9"/>
    <mergeCell ref="N10:N11"/>
    <mergeCell ref="O10:O11"/>
    <mergeCell ref="P10:P11"/>
    <mergeCell ref="Q10:Q11"/>
    <mergeCell ref="A29:B29"/>
    <mergeCell ref="A30:B30"/>
    <mergeCell ref="A16:B16"/>
    <mergeCell ref="A17:B17"/>
    <mergeCell ref="A18:B18"/>
    <mergeCell ref="A19:B19"/>
    <mergeCell ref="A20:B20"/>
    <mergeCell ref="A27:A28"/>
    <mergeCell ref="A42:B42"/>
    <mergeCell ref="A34:A35"/>
    <mergeCell ref="A31:B31"/>
    <mergeCell ref="A32:A33"/>
    <mergeCell ref="A36:B36"/>
    <mergeCell ref="A37:A38"/>
    <mergeCell ref="A41:B41"/>
    <mergeCell ref="A43:A44"/>
    <mergeCell ref="A45:B45"/>
    <mergeCell ref="A46:A47"/>
    <mergeCell ref="A48:A49"/>
    <mergeCell ref="A50:B50"/>
    <mergeCell ref="A51:B51"/>
    <mergeCell ref="A53:B53"/>
    <mergeCell ref="A52:B52"/>
    <mergeCell ref="A54:B54"/>
    <mergeCell ref="A55:A56"/>
    <mergeCell ref="A57:B57"/>
    <mergeCell ref="A59:B60"/>
    <mergeCell ref="A73:A75"/>
    <mergeCell ref="B73:D73"/>
    <mergeCell ref="E73:G73"/>
    <mergeCell ref="H73:H75"/>
    <mergeCell ref="I73:I75"/>
    <mergeCell ref="J73:J75"/>
    <mergeCell ref="C59:E59"/>
    <mergeCell ref="F59:F60"/>
    <mergeCell ref="A61:A65"/>
    <mergeCell ref="A66:B66"/>
    <mergeCell ref="A67:B67"/>
    <mergeCell ref="A68:B68"/>
    <mergeCell ref="A69:B69"/>
    <mergeCell ref="A70:B70"/>
    <mergeCell ref="A71:B71"/>
    <mergeCell ref="A92:B92"/>
    <mergeCell ref="A93:B93"/>
    <mergeCell ref="A94:A100"/>
    <mergeCell ref="A115:A116"/>
    <mergeCell ref="K73:K75"/>
    <mergeCell ref="L73:L75"/>
    <mergeCell ref="B74:D74"/>
    <mergeCell ref="E74:G74"/>
    <mergeCell ref="A81:A82"/>
    <mergeCell ref="B81:D81"/>
    <mergeCell ref="E81:G81"/>
    <mergeCell ref="A90:B91"/>
    <mergeCell ref="C90:C91"/>
    <mergeCell ref="D90:D91"/>
    <mergeCell ref="E90:E91"/>
    <mergeCell ref="F90:F91"/>
    <mergeCell ref="G90:I90"/>
    <mergeCell ref="A101:B101"/>
    <mergeCell ref="A102:B102"/>
    <mergeCell ref="A103:B103"/>
    <mergeCell ref="A104:B104"/>
    <mergeCell ref="A105:G105"/>
    <mergeCell ref="A106:G106"/>
    <mergeCell ref="A107:B108"/>
  </mergeCells>
  <dataValidations count="8">
    <dataValidation allowBlank="1" showInputMessage="1" showErrorMessage="1" error="Valor no Permitido" sqref="A6:L6 C9:C10 U11:U12 A9:A10 V10 M9 H9 H10:K10 C148:E148 A8:AB8 B144 W11:W12 V12 F25 A27 B27:B28 A36:A37 B37:B38 A24:F24 A34 A42:A43 B48:B49 A48 A40:D40 X12:AF12 M109:BZ109 A92:A94 A101:A107 F90:G90 H91:I91 B89 A109:A115 B105:L106 L107 D107:K108 B110:M110 E111 I111:J112 M116:O116 L115:L116 B114:O114 K115 S9 C115:J116 C89:E90 C120:E121 A159:C159 T9:T10 B115:B120 D140:M140 M10:R10 C104:I104 D142:K142 C107:C109 B147:B148 A179:B179 A145:F146 F89:H89 F147:F148 B140:C142 A150:A158 B150:E151 B155:E155 A76:A90 B82:D82 D133 L141:N141 A12:A22 X9:X10 C26:C38 A29:A32 A45:A46 A50:A55 F59 B55:B56 B58:D58 C60:E60 A57:A59 A61 K111:O111 AE11 Y9:AD9 B72:T72 F75:G76 C75:D76 B73:B76 A66:A73 A118:A131 C12:T12 E73:E76 H73:R73 A140:A143 H76:L76 B81" xr:uid="{00000000-0002-0000-1000-000000000000}"/>
    <dataValidation operator="greaterThanOrEqual" allowBlank="1" showInputMessage="1" showErrorMessage="1" error="Valor no Permitido" sqref="E81:G81" xr:uid="{00000000-0002-0000-1000-000001000000}"/>
    <dataValidation type="whole" operator="greaterThanOrEqual" allowBlank="1" showInputMessage="1" showErrorMessage="1" error="Valor no Permitido" sqref="H81:T88 C13:AF23 C61:F71 B80:W80 B156:D158 C113:O113 B83:D83 B152:E154 B122:E130 C134:D139 C144:N144 B149:F149 E82:G83 D26:F38 B77:L79 D109:L109 C44:C45 C47:C57 D45:D46 D42:D43 C42 D48:D54 D57" xr:uid="{005F0061-0095-4466-AB97-009A00620042}">
      <formula1>0</formula1>
    </dataValidation>
    <dataValidation type="whole" operator="greaterThanOrEqual" allowBlank="1" showInputMessage="1" showErrorMessage="1" sqref="B84:G88 B161:C162" xr:uid="{00900079-0000-4063-AA63-003D007B00F4}">
      <formula1>0</formula1>
    </dataValidation>
    <dataValidation type="whole" allowBlank="1" showInputMessage="1" showErrorMessage="1" sqref="C92:I103" xr:uid="{00A60010-00A7-4EB8-AB98-001F00260078}">
      <formula1>0</formula1>
      <formula2>9.99999999999999E+35</formula2>
    </dataValidation>
    <dataValidation type="whole" allowBlank="1" showInputMessage="1" showErrorMessage="1" sqref="C117:O119" xr:uid="{008C00AE-00DD-4F1F-9F77-005300DC0023}">
      <formula1>0</formula1>
      <formula2>9.99999999999999E+37</formula2>
    </dataValidation>
    <dataValidation type="whole" allowBlank="1" showInputMessage="1" showErrorMessage="1" sqref="B143:N143" xr:uid="{00E2009D-000A-49F5-A8BA-007300EA00B3}">
      <formula1>0</formula1>
      <formula2>9.99999999999999E+38</formula2>
    </dataValidation>
    <dataValidation type="whole" operator="equal" allowBlank="1" showInputMessage="1" showErrorMessage="1" error="Valor no Permitido" sqref="D47 C46 D44 C43 D55:D56" xr:uid="{007C006C-0027-4ABC-B907-001B00F100C6}">
      <formula1>0</formula1>
    </dataValidation>
  </dataValidations>
  <pageMargins left="0.7" right="0.7" top="0.75" bottom="0.75" header="0.3" footer="0.3"/>
  <pageSetup paperSize="9" orientation="portrait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Hoja18"/>
  <dimension ref="A1:AD319"/>
  <sheetViews>
    <sheetView showGridLines="0" workbookViewId="0">
      <selection activeCell="P31" sqref="P31"/>
    </sheetView>
  </sheetViews>
  <sheetFormatPr baseColWidth="10" defaultColWidth="11.42578125" defaultRowHeight="15"/>
  <cols>
    <col min="1" max="1" width="44.85546875" style="48" customWidth="1"/>
    <col min="2" max="2" width="18.140625" style="48" customWidth="1"/>
    <col min="3" max="3" width="23.85546875" style="48" customWidth="1"/>
    <col min="4" max="4" width="18.5703125" style="48" customWidth="1"/>
    <col min="5" max="5" width="12.85546875" style="48" customWidth="1"/>
    <col min="6" max="6" width="12.7109375" style="48" customWidth="1"/>
    <col min="7" max="7" width="15.7109375" style="48" customWidth="1"/>
    <col min="8" max="8" width="16.42578125" style="48" customWidth="1"/>
    <col min="9" max="16384" width="11.42578125" style="48"/>
  </cols>
  <sheetData>
    <row r="1" spans="1:30">
      <c r="A1" s="49" t="s">
        <v>37</v>
      </c>
    </row>
    <row r="2" spans="1:30">
      <c r="A2" s="49" t="str">
        <f>CONCATENATE("COMUNA: ",NOMBRE!B2, " (",NOMBRE!C2,NOMBRE!D2,NOMBRE!E2,NOMBRE!F2,NOMBRE!G2,")")</f>
        <v>COMUNA: MAIPU (13119)</v>
      </c>
    </row>
    <row r="3" spans="1:30">
      <c r="A3" s="49" t="str">
        <f>CONCATENATE("ESTABLECIMIENTO/ESTRATEGIA: ", NOMBRE!B3, " (",NOMBRE!C3,NOMBRE!D3,NOMBRE!E3,NOMBRE!F3,NOMBRE!G3,NOMBRE!H3,")")</f>
        <v>ESTABLECIMIENTO/ESTRATEGIA: CESFAM DR. CARLOS GODOY (111380)</v>
      </c>
    </row>
    <row r="4" spans="1:30">
      <c r="A4" s="49" t="str">
        <f>CONCATENATE("MES: ",NOMBRE!B6, " (",NOMBRE!C6,NOMBRE!D6,")")</f>
        <v>MES: MARZO (03)</v>
      </c>
    </row>
    <row r="5" spans="1:30">
      <c r="A5" s="49" t="str">
        <f>CONCATENATE("AÑO: ",NOMBRE!B7)</f>
        <v>AÑO: 2026</v>
      </c>
    </row>
    <row r="6" spans="1:30" ht="18" customHeight="1">
      <c r="A6" s="7070" t="s">
        <v>2883</v>
      </c>
      <c r="B6" s="7070"/>
      <c r="C6" s="7070"/>
      <c r="D6" s="7070"/>
      <c r="E6" s="7070"/>
      <c r="F6" s="7070"/>
      <c r="G6" s="7070"/>
      <c r="H6" s="7070"/>
      <c r="I6" s="7070"/>
      <c r="J6" s="7070"/>
      <c r="K6" s="7070"/>
      <c r="L6" s="7070"/>
      <c r="M6" s="7070"/>
      <c r="N6" s="7070"/>
      <c r="O6" s="7070"/>
      <c r="P6" s="7070"/>
      <c r="Q6" s="7070"/>
      <c r="R6" s="7070"/>
      <c r="S6" s="7070"/>
      <c r="T6" s="7070"/>
      <c r="U6" s="7070"/>
      <c r="V6" s="7070"/>
    </row>
    <row r="8" spans="1:30" s="508" customFormat="1" ht="18" customHeight="1">
      <c r="A8" s="5622" t="s">
        <v>2884</v>
      </c>
      <c r="B8" s="5622"/>
      <c r="C8" s="5622"/>
    </row>
    <row r="9" spans="1:30" s="1" customFormat="1" ht="15" customHeight="1">
      <c r="A9" s="5646" t="s">
        <v>2885</v>
      </c>
      <c r="B9" s="5646" t="s">
        <v>2886</v>
      </c>
      <c r="C9" s="5646"/>
      <c r="D9" s="5642" t="s">
        <v>91</v>
      </c>
      <c r="E9" s="5627"/>
      <c r="F9" s="5624"/>
      <c r="G9" s="5615" t="s">
        <v>115</v>
      </c>
      <c r="H9" s="5616"/>
      <c r="I9" s="5616"/>
      <c r="J9" s="5616"/>
      <c r="K9" s="5616"/>
      <c r="L9" s="5616"/>
      <c r="M9" s="5616"/>
      <c r="N9" s="5616"/>
      <c r="O9" s="5616"/>
      <c r="P9" s="5616"/>
      <c r="Q9" s="5616"/>
      <c r="R9" s="5616"/>
      <c r="S9" s="5616"/>
      <c r="T9" s="5616"/>
      <c r="U9" s="5616"/>
      <c r="V9" s="5616"/>
      <c r="W9" s="5616"/>
      <c r="X9" s="5616"/>
      <c r="Y9" s="5616"/>
      <c r="Z9" s="5616"/>
      <c r="AA9" s="5616"/>
      <c r="AB9" s="5616"/>
      <c r="AC9" s="5616"/>
      <c r="AD9" s="5652"/>
    </row>
    <row r="10" spans="1:30" s="1" customFormat="1" ht="15" customHeight="1">
      <c r="A10" s="5646"/>
      <c r="B10" s="5646"/>
      <c r="C10" s="5646"/>
      <c r="D10" s="5659"/>
      <c r="E10" s="5731"/>
      <c r="F10" s="5625"/>
      <c r="G10" s="5647" t="s">
        <v>2887</v>
      </c>
      <c r="H10" s="5648"/>
      <c r="I10" s="5647" t="s">
        <v>1356</v>
      </c>
      <c r="J10" s="5648"/>
      <c r="K10" s="6035" t="s">
        <v>326</v>
      </c>
      <c r="L10" s="6035"/>
      <c r="M10" s="6035" t="s">
        <v>1003</v>
      </c>
      <c r="N10" s="6035"/>
      <c r="O10" s="6035" t="s">
        <v>656</v>
      </c>
      <c r="P10" s="6035"/>
      <c r="Q10" s="6035" t="s">
        <v>2138</v>
      </c>
      <c r="R10" s="6035"/>
      <c r="S10" s="6035" t="s">
        <v>657</v>
      </c>
      <c r="T10" s="6035"/>
      <c r="U10" s="6035" t="s">
        <v>2139</v>
      </c>
      <c r="V10" s="6035"/>
      <c r="W10" s="6035" t="s">
        <v>2140</v>
      </c>
      <c r="X10" s="6035"/>
      <c r="Y10" s="6035" t="s">
        <v>2022</v>
      </c>
      <c r="Z10" s="6035"/>
      <c r="AA10" s="6035" t="s">
        <v>1650</v>
      </c>
      <c r="AB10" s="6035"/>
      <c r="AC10" s="6035" t="s">
        <v>691</v>
      </c>
      <c r="AD10" s="6035"/>
    </row>
    <row r="11" spans="1:30" s="1" customFormat="1" ht="15" customHeight="1">
      <c r="A11" s="5646"/>
      <c r="B11" s="5646"/>
      <c r="C11" s="5646"/>
      <c r="D11" s="75" t="s">
        <v>93</v>
      </c>
      <c r="E11" s="68" t="s">
        <v>72</v>
      </c>
      <c r="F11" s="76" t="s">
        <v>73</v>
      </c>
      <c r="G11" s="194" t="s">
        <v>72</v>
      </c>
      <c r="H11" s="191" t="s">
        <v>73</v>
      </c>
      <c r="I11" s="194" t="s">
        <v>72</v>
      </c>
      <c r="J11" s="191" t="s">
        <v>73</v>
      </c>
      <c r="K11" s="478" t="s">
        <v>72</v>
      </c>
      <c r="L11" s="638" t="s">
        <v>73</v>
      </c>
      <c r="M11" s="478" t="s">
        <v>72</v>
      </c>
      <c r="N11" s="638" t="s">
        <v>73</v>
      </c>
      <c r="O11" s="478" t="s">
        <v>72</v>
      </c>
      <c r="P11" s="638" t="s">
        <v>73</v>
      </c>
      <c r="Q11" s="478" t="s">
        <v>72</v>
      </c>
      <c r="R11" s="638" t="s">
        <v>73</v>
      </c>
      <c r="S11" s="478" t="s">
        <v>72</v>
      </c>
      <c r="T11" s="638" t="s">
        <v>73</v>
      </c>
      <c r="U11" s="478" t="s">
        <v>72</v>
      </c>
      <c r="V11" s="638" t="s">
        <v>73</v>
      </c>
      <c r="W11" s="478" t="s">
        <v>72</v>
      </c>
      <c r="X11" s="638" t="s">
        <v>73</v>
      </c>
      <c r="Y11" s="478" t="s">
        <v>72</v>
      </c>
      <c r="Z11" s="638" t="s">
        <v>73</v>
      </c>
      <c r="AA11" s="478" t="s">
        <v>72</v>
      </c>
      <c r="AB11" s="638" t="s">
        <v>73</v>
      </c>
      <c r="AC11" s="478" t="s">
        <v>72</v>
      </c>
      <c r="AD11" s="638" t="s">
        <v>73</v>
      </c>
    </row>
    <row r="12" spans="1:30" s="1" customFormat="1" ht="15" customHeight="1">
      <c r="A12" s="6943" t="s">
        <v>2888</v>
      </c>
      <c r="B12" s="277" t="s">
        <v>2889</v>
      </c>
      <c r="C12" s="485" t="s">
        <v>2890</v>
      </c>
      <c r="D12" s="1065">
        <f t="shared" ref="D12:D27" si="0">SUM(E12+F12)</f>
        <v>0</v>
      </c>
      <c r="E12" s="487">
        <f t="shared" ref="E12:F27" si="1">SUM(G12+I12+K12+M12+O12+Q12+S12+U12+W12+Y12+AA12+AC12)</f>
        <v>0</v>
      </c>
      <c r="F12" s="2565">
        <f t="shared" ref="F12:F15" si="2">SUM(H12+J12+L12+N12+P12+R12+T12+V12+X12+Z12+AB12+AD12)</f>
        <v>0</v>
      </c>
      <c r="G12" s="1003"/>
      <c r="H12" s="1004"/>
      <c r="I12" s="1003"/>
      <c r="J12" s="1004"/>
      <c r="K12" s="1003"/>
      <c r="L12" s="1004"/>
      <c r="M12" s="1003"/>
      <c r="N12" s="1004"/>
      <c r="O12" s="1003"/>
      <c r="P12" s="1004"/>
      <c r="Q12" s="1003"/>
      <c r="R12" s="1004"/>
      <c r="S12" s="1003"/>
      <c r="T12" s="1004"/>
      <c r="U12" s="1003"/>
      <c r="V12" s="1004"/>
      <c r="W12" s="1003"/>
      <c r="X12" s="1004"/>
      <c r="Y12" s="1003"/>
      <c r="Z12" s="1004"/>
      <c r="AA12" s="1003"/>
      <c r="AB12" s="1004"/>
      <c r="AC12" s="1003"/>
      <c r="AD12" s="1004"/>
    </row>
    <row r="13" spans="1:30" s="1" customFormat="1" ht="15" customHeight="1">
      <c r="A13" s="7069"/>
      <c r="B13" s="135" t="s">
        <v>2891</v>
      </c>
      <c r="C13" s="4289" t="s">
        <v>2890</v>
      </c>
      <c r="D13" s="1043">
        <f t="shared" si="0"/>
        <v>0</v>
      </c>
      <c r="E13" s="4290">
        <f t="shared" si="1"/>
        <v>0</v>
      </c>
      <c r="F13" s="4291">
        <f t="shared" si="2"/>
        <v>0</v>
      </c>
      <c r="G13" s="1055"/>
      <c r="H13" s="1093"/>
      <c r="I13" s="1055"/>
      <c r="J13" s="1093"/>
      <c r="K13" s="1030"/>
      <c r="L13" s="1187"/>
      <c r="M13" s="1030"/>
      <c r="N13" s="1187"/>
      <c r="O13" s="1030"/>
      <c r="P13" s="1187"/>
      <c r="Q13" s="1030"/>
      <c r="R13" s="1187"/>
      <c r="S13" s="1030"/>
      <c r="T13" s="1187"/>
      <c r="U13" s="1030"/>
      <c r="V13" s="1187"/>
      <c r="W13" s="1030"/>
      <c r="X13" s="1187"/>
      <c r="Y13" s="1030"/>
      <c r="Z13" s="1187"/>
      <c r="AA13" s="1030"/>
      <c r="AB13" s="1187"/>
      <c r="AC13" s="1030"/>
      <c r="AD13" s="1187"/>
    </row>
    <row r="14" spans="1:30" s="1" customFormat="1" ht="15" customHeight="1">
      <c r="A14" s="6533" t="s">
        <v>2892</v>
      </c>
      <c r="B14" s="5727"/>
      <c r="C14" s="705" t="s">
        <v>2890</v>
      </c>
      <c r="D14" s="480">
        <f t="shared" si="0"/>
        <v>0</v>
      </c>
      <c r="E14" s="2807">
        <f t="shared" si="1"/>
        <v>0</v>
      </c>
      <c r="F14" s="4292">
        <f t="shared" si="2"/>
        <v>0</v>
      </c>
      <c r="G14" s="4143"/>
      <c r="H14" s="2762"/>
      <c r="I14" s="4143"/>
      <c r="J14" s="2762"/>
      <c r="K14" s="4143"/>
      <c r="L14" s="2762"/>
      <c r="M14" s="4143"/>
      <c r="N14" s="2762"/>
      <c r="O14" s="4143"/>
      <c r="P14" s="2762"/>
      <c r="Q14" s="4143"/>
      <c r="R14" s="2762"/>
      <c r="S14" s="4143"/>
      <c r="T14" s="2762"/>
      <c r="U14" s="4143"/>
      <c r="V14" s="2762"/>
      <c r="W14" s="4143"/>
      <c r="X14" s="2762"/>
      <c r="Y14" s="4143"/>
      <c r="Z14" s="2762"/>
      <c r="AA14" s="4143"/>
      <c r="AB14" s="2762"/>
      <c r="AC14" s="4143"/>
      <c r="AD14" s="2762"/>
    </row>
    <row r="15" spans="1:30" s="1" customFormat="1" ht="15" customHeight="1">
      <c r="A15" s="7002" t="s">
        <v>91</v>
      </c>
      <c r="B15" s="7003"/>
      <c r="C15" s="7067"/>
      <c r="D15" s="480">
        <f t="shared" si="0"/>
        <v>0</v>
      </c>
      <c r="E15" s="2807">
        <f t="shared" si="1"/>
        <v>0</v>
      </c>
      <c r="F15" s="482">
        <f t="shared" si="2"/>
        <v>0</v>
      </c>
      <c r="G15" s="570">
        <f t="shared" ref="G15:H15" si="3">SUM(G12:G14)</f>
        <v>0</v>
      </c>
      <c r="H15" s="574">
        <f t="shared" si="3"/>
        <v>0</v>
      </c>
      <c r="I15" s="570">
        <f t="shared" ref="I15:AD15" si="4">SUM(I12:I14)</f>
        <v>0</v>
      </c>
      <c r="J15" s="574">
        <f t="shared" si="4"/>
        <v>0</v>
      </c>
      <c r="K15" s="288">
        <f t="shared" si="4"/>
        <v>0</v>
      </c>
      <c r="L15" s="289">
        <f t="shared" si="4"/>
        <v>0</v>
      </c>
      <c r="M15" s="570">
        <f t="shared" si="4"/>
        <v>0</v>
      </c>
      <c r="N15" s="289">
        <f t="shared" si="4"/>
        <v>0</v>
      </c>
      <c r="O15" s="570">
        <f t="shared" si="4"/>
        <v>0</v>
      </c>
      <c r="P15" s="289">
        <f t="shared" si="4"/>
        <v>0</v>
      </c>
      <c r="Q15" s="570">
        <f t="shared" si="4"/>
        <v>0</v>
      </c>
      <c r="R15" s="289">
        <f t="shared" si="4"/>
        <v>0</v>
      </c>
      <c r="S15" s="570">
        <f t="shared" si="4"/>
        <v>0</v>
      </c>
      <c r="T15" s="289">
        <f t="shared" si="4"/>
        <v>0</v>
      </c>
      <c r="U15" s="570">
        <f t="shared" si="4"/>
        <v>0</v>
      </c>
      <c r="V15" s="289">
        <f t="shared" si="4"/>
        <v>0</v>
      </c>
      <c r="W15" s="570">
        <f t="shared" si="4"/>
        <v>0</v>
      </c>
      <c r="X15" s="289">
        <f t="shared" si="4"/>
        <v>0</v>
      </c>
      <c r="Y15" s="570">
        <f t="shared" si="4"/>
        <v>0</v>
      </c>
      <c r="Z15" s="289">
        <f t="shared" si="4"/>
        <v>0</v>
      </c>
      <c r="AA15" s="570">
        <f t="shared" si="4"/>
        <v>0</v>
      </c>
      <c r="AB15" s="289">
        <f t="shared" si="4"/>
        <v>0</v>
      </c>
      <c r="AC15" s="570">
        <f t="shared" si="4"/>
        <v>0</v>
      </c>
      <c r="AD15" s="289">
        <f t="shared" si="4"/>
        <v>0</v>
      </c>
    </row>
    <row r="16" spans="1:30" s="1" customFormat="1" ht="15" customHeight="1">
      <c r="A16" s="7068" t="s">
        <v>2893</v>
      </c>
      <c r="B16" s="5743"/>
      <c r="C16" s="5744"/>
      <c r="D16" s="1003"/>
      <c r="E16" s="4293"/>
      <c r="F16" s="4294"/>
      <c r="G16" s="4295"/>
      <c r="H16" s="4295"/>
      <c r="I16" s="4296"/>
      <c r="J16" s="4294"/>
      <c r="K16" s="4296"/>
      <c r="L16" s="4294"/>
      <c r="M16" s="4296"/>
      <c r="N16" s="4294"/>
      <c r="O16" s="4296"/>
      <c r="P16" s="4294"/>
      <c r="Q16" s="4296"/>
      <c r="R16" s="4294"/>
      <c r="S16" s="4296"/>
      <c r="T16" s="4294"/>
      <c r="U16" s="4296"/>
      <c r="V16" s="4294"/>
      <c r="W16" s="4296"/>
      <c r="X16" s="4294"/>
      <c r="Y16" s="4296"/>
      <c r="Z16" s="4294"/>
      <c r="AA16" s="4296"/>
      <c r="AB16" s="2759"/>
      <c r="AC16" s="4297"/>
      <c r="AD16" s="4298"/>
    </row>
    <row r="17" spans="1:30" s="1" customFormat="1" ht="15" customHeight="1">
      <c r="A17" s="7026" t="s">
        <v>2894</v>
      </c>
      <c r="B17" s="5751"/>
      <c r="C17" s="5752"/>
      <c r="D17" s="1055"/>
      <c r="E17" s="4299"/>
      <c r="F17" s="4300"/>
      <c r="G17" s="4301"/>
      <c r="H17" s="4301"/>
      <c r="I17" s="4302"/>
      <c r="J17" s="4300"/>
      <c r="K17" s="4302"/>
      <c r="L17" s="4300"/>
      <c r="M17" s="4302"/>
      <c r="N17" s="4300"/>
      <c r="O17" s="4302"/>
      <c r="P17" s="4300"/>
      <c r="Q17" s="4302"/>
      <c r="R17" s="4300"/>
      <c r="S17" s="4302"/>
      <c r="T17" s="4300"/>
      <c r="U17" s="4302"/>
      <c r="V17" s="4300"/>
      <c r="W17" s="4302"/>
      <c r="X17" s="4300"/>
      <c r="Y17" s="4302"/>
      <c r="Z17" s="4300"/>
      <c r="AA17" s="4302"/>
      <c r="AB17" s="2760"/>
      <c r="AC17" s="4299"/>
      <c r="AD17" s="2760"/>
    </row>
    <row r="18" spans="1:30" s="508" customFormat="1" ht="18" customHeight="1">
      <c r="A18" s="5691" t="s">
        <v>2895</v>
      </c>
      <c r="B18" s="5691"/>
      <c r="C18" s="5691"/>
    </row>
    <row r="19" spans="1:30" ht="15" customHeight="1">
      <c r="A19" s="5646" t="s">
        <v>2885</v>
      </c>
      <c r="B19" s="5646" t="s">
        <v>2886</v>
      </c>
      <c r="C19" s="5646"/>
      <c r="D19" s="5642" t="s">
        <v>91</v>
      </c>
      <c r="E19" s="5627"/>
      <c r="F19" s="5624"/>
      <c r="G19" s="5615" t="s">
        <v>115</v>
      </c>
      <c r="H19" s="5616"/>
      <c r="I19" s="5616"/>
      <c r="J19" s="5616"/>
      <c r="K19" s="5616"/>
      <c r="L19" s="5616"/>
      <c r="M19" s="5616"/>
      <c r="N19" s="5616"/>
      <c r="O19" s="5616"/>
      <c r="P19" s="5616"/>
      <c r="Q19" s="5616"/>
      <c r="R19" s="5616"/>
      <c r="S19" s="5616"/>
      <c r="T19" s="5616"/>
      <c r="U19" s="5616"/>
      <c r="V19" s="5616"/>
      <c r="W19" s="5616"/>
      <c r="X19" s="5616"/>
      <c r="Y19" s="5616"/>
      <c r="Z19" s="5616"/>
      <c r="AA19" s="5616"/>
      <c r="AB19" s="5616"/>
      <c r="AC19" s="5616"/>
      <c r="AD19" s="5652"/>
    </row>
    <row r="20" spans="1:30" ht="15" customHeight="1">
      <c r="A20" s="5646"/>
      <c r="B20" s="5646"/>
      <c r="C20" s="5646"/>
      <c r="D20" s="5659"/>
      <c r="E20" s="5731"/>
      <c r="F20" s="5731"/>
      <c r="G20" s="5647" t="s">
        <v>2887</v>
      </c>
      <c r="H20" s="5648"/>
      <c r="I20" s="6035" t="s">
        <v>1356</v>
      </c>
      <c r="J20" s="6035"/>
      <c r="K20" s="6035" t="s">
        <v>326</v>
      </c>
      <c r="L20" s="6035"/>
      <c r="M20" s="6035" t="s">
        <v>1003</v>
      </c>
      <c r="N20" s="6035"/>
      <c r="O20" s="6035" t="s">
        <v>656</v>
      </c>
      <c r="P20" s="6035"/>
      <c r="Q20" s="6035" t="s">
        <v>2138</v>
      </c>
      <c r="R20" s="6035"/>
      <c r="S20" s="6035" t="s">
        <v>657</v>
      </c>
      <c r="T20" s="6035"/>
      <c r="U20" s="6035" t="s">
        <v>2139</v>
      </c>
      <c r="V20" s="6035"/>
      <c r="W20" s="6035" t="s">
        <v>2140</v>
      </c>
      <c r="X20" s="6035"/>
      <c r="Y20" s="6035" t="s">
        <v>2022</v>
      </c>
      <c r="Z20" s="6035"/>
      <c r="AA20" s="6035" t="s">
        <v>1650</v>
      </c>
      <c r="AB20" s="6035"/>
      <c r="AC20" s="6035" t="s">
        <v>691</v>
      </c>
      <c r="AD20" s="6035"/>
    </row>
    <row r="21" spans="1:30" ht="15" customHeight="1">
      <c r="A21" s="5646"/>
      <c r="B21" s="5646"/>
      <c r="C21" s="5646"/>
      <c r="D21" s="75" t="s">
        <v>93</v>
      </c>
      <c r="E21" s="68" t="s">
        <v>72</v>
      </c>
      <c r="F21" s="59" t="s">
        <v>73</v>
      </c>
      <c r="G21" s="194" t="s">
        <v>72</v>
      </c>
      <c r="H21" s="191" t="s">
        <v>73</v>
      </c>
      <c r="I21" s="194" t="s">
        <v>72</v>
      </c>
      <c r="J21" s="191" t="s">
        <v>73</v>
      </c>
      <c r="K21" s="194" t="s">
        <v>72</v>
      </c>
      <c r="L21" s="190" t="s">
        <v>73</v>
      </c>
      <c r="M21" s="194" t="s">
        <v>72</v>
      </c>
      <c r="N21" s="191" t="s">
        <v>73</v>
      </c>
      <c r="O21" s="194" t="s">
        <v>72</v>
      </c>
      <c r="P21" s="191" t="s">
        <v>73</v>
      </c>
      <c r="Q21" s="194" t="s">
        <v>72</v>
      </c>
      <c r="R21" s="191" t="s">
        <v>73</v>
      </c>
      <c r="S21" s="194" t="s">
        <v>72</v>
      </c>
      <c r="T21" s="191" t="s">
        <v>73</v>
      </c>
      <c r="U21" s="194" t="s">
        <v>72</v>
      </c>
      <c r="V21" s="191" t="s">
        <v>73</v>
      </c>
      <c r="W21" s="194" t="s">
        <v>72</v>
      </c>
      <c r="X21" s="191" t="s">
        <v>73</v>
      </c>
      <c r="Y21" s="194" t="s">
        <v>72</v>
      </c>
      <c r="Z21" s="191" t="s">
        <v>73</v>
      </c>
      <c r="AA21" s="194" t="s">
        <v>72</v>
      </c>
      <c r="AB21" s="191" t="s">
        <v>73</v>
      </c>
      <c r="AC21" s="194" t="s">
        <v>72</v>
      </c>
      <c r="AD21" s="191" t="s">
        <v>73</v>
      </c>
    </row>
    <row r="22" spans="1:30" ht="15" customHeight="1">
      <c r="A22" s="5621" t="s">
        <v>2888</v>
      </c>
      <c r="B22" s="5619" t="s">
        <v>2889</v>
      </c>
      <c r="C22" s="4303" t="s">
        <v>2896</v>
      </c>
      <c r="D22" s="518">
        <f t="shared" si="0"/>
        <v>0</v>
      </c>
      <c r="E22" s="514">
        <f t="shared" si="1"/>
        <v>0</v>
      </c>
      <c r="F22" s="488">
        <f t="shared" si="1"/>
        <v>0</v>
      </c>
      <c r="G22" s="1030"/>
      <c r="H22" s="1267"/>
      <c r="I22" s="1030"/>
      <c r="J22" s="1267"/>
      <c r="K22" s="1003"/>
      <c r="L22" s="1004"/>
      <c r="M22" s="2649"/>
      <c r="N22" s="1005"/>
      <c r="O22" s="2649"/>
      <c r="P22" s="1005"/>
      <c r="Q22" s="2649"/>
      <c r="R22" s="1005"/>
      <c r="S22" s="2649"/>
      <c r="T22" s="1005"/>
      <c r="U22" s="2649"/>
      <c r="V22" s="1005"/>
      <c r="W22" s="2649"/>
      <c r="X22" s="1005"/>
      <c r="Y22" s="2649"/>
      <c r="Z22" s="1005"/>
      <c r="AA22" s="1003"/>
      <c r="AB22" s="1005"/>
      <c r="AC22" s="1003"/>
      <c r="AD22" s="1005"/>
    </row>
    <row r="23" spans="1:30" ht="15" customHeight="1">
      <c r="A23" s="5621"/>
      <c r="B23" s="5620"/>
      <c r="C23" s="4304" t="s">
        <v>2897</v>
      </c>
      <c r="D23" s="491">
        <f t="shared" si="0"/>
        <v>0</v>
      </c>
      <c r="E23" s="526">
        <f t="shared" si="1"/>
        <v>0</v>
      </c>
      <c r="F23" s="2622">
        <f t="shared" si="1"/>
        <v>0</v>
      </c>
      <c r="G23" s="1053"/>
      <c r="H23" s="1052"/>
      <c r="I23" s="1053"/>
      <c r="J23" s="1052"/>
      <c r="K23" s="1055"/>
      <c r="L23" s="1093"/>
      <c r="M23" s="1051"/>
      <c r="N23" s="1386"/>
      <c r="O23" s="1051"/>
      <c r="P23" s="1386"/>
      <c r="Q23" s="1051"/>
      <c r="R23" s="1386"/>
      <c r="S23" s="1051"/>
      <c r="T23" s="1386"/>
      <c r="U23" s="1051"/>
      <c r="V23" s="1386"/>
      <c r="W23" s="1051"/>
      <c r="X23" s="1386"/>
      <c r="Y23" s="1051"/>
      <c r="Z23" s="1386"/>
      <c r="AA23" s="1051"/>
      <c r="AB23" s="1386"/>
      <c r="AC23" s="1051"/>
      <c r="AD23" s="1386"/>
    </row>
    <row r="24" spans="1:30" ht="15" customHeight="1">
      <c r="A24" s="5621"/>
      <c r="B24" s="5619" t="s">
        <v>2891</v>
      </c>
      <c r="C24" s="4303" t="s">
        <v>2896</v>
      </c>
      <c r="D24" s="523">
        <f t="shared" si="0"/>
        <v>0</v>
      </c>
      <c r="E24" s="514">
        <f t="shared" si="1"/>
        <v>0</v>
      </c>
      <c r="F24" s="488">
        <f t="shared" si="1"/>
        <v>0</v>
      </c>
      <c r="G24" s="1013"/>
      <c r="H24" s="1015"/>
      <c r="I24" s="1013"/>
      <c r="J24" s="1015"/>
      <c r="K24" s="1013"/>
      <c r="L24" s="1014"/>
      <c r="M24" s="1023"/>
      <c r="N24" s="1015"/>
      <c r="O24" s="1023"/>
      <c r="P24" s="1015"/>
      <c r="Q24" s="1023"/>
      <c r="R24" s="1015"/>
      <c r="S24" s="1023"/>
      <c r="T24" s="1015"/>
      <c r="U24" s="1023"/>
      <c r="V24" s="1015"/>
      <c r="W24" s="1023"/>
      <c r="X24" s="1015"/>
      <c r="Y24" s="1023"/>
      <c r="Z24" s="1015"/>
      <c r="AA24" s="1023"/>
      <c r="AB24" s="1015"/>
      <c r="AC24" s="1023"/>
      <c r="AD24" s="1015"/>
    </row>
    <row r="25" spans="1:30" ht="15" customHeight="1">
      <c r="A25" s="5628"/>
      <c r="B25" s="5620"/>
      <c r="C25" s="4304" t="s">
        <v>2897</v>
      </c>
      <c r="D25" s="491">
        <f t="shared" si="0"/>
        <v>0</v>
      </c>
      <c r="E25" s="526">
        <f t="shared" si="1"/>
        <v>0</v>
      </c>
      <c r="F25" s="2622">
        <f t="shared" si="1"/>
        <v>0</v>
      </c>
      <c r="G25" s="1053"/>
      <c r="H25" s="1052"/>
      <c r="I25" s="1053"/>
      <c r="J25" s="1052"/>
      <c r="K25" s="1053"/>
      <c r="L25" s="1054"/>
      <c r="M25" s="1056"/>
      <c r="N25" s="1052"/>
      <c r="O25" s="1056"/>
      <c r="P25" s="1052"/>
      <c r="Q25" s="1056"/>
      <c r="R25" s="1052"/>
      <c r="S25" s="1056"/>
      <c r="T25" s="1052"/>
      <c r="U25" s="1056"/>
      <c r="V25" s="1052"/>
      <c r="W25" s="1056"/>
      <c r="X25" s="1052"/>
      <c r="Y25" s="1056"/>
      <c r="Z25" s="1052"/>
      <c r="AA25" s="1056"/>
      <c r="AB25" s="1052"/>
      <c r="AC25" s="1056"/>
      <c r="AD25" s="1052"/>
    </row>
    <row r="26" spans="1:30" ht="15" customHeight="1">
      <c r="A26" s="5728" t="s">
        <v>2892</v>
      </c>
      <c r="B26" s="6532"/>
      <c r="C26" s="4270" t="s">
        <v>2896</v>
      </c>
      <c r="D26" s="541">
        <f t="shared" si="0"/>
        <v>0</v>
      </c>
      <c r="E26" s="514">
        <f t="shared" si="1"/>
        <v>0</v>
      </c>
      <c r="F26" s="488">
        <f t="shared" si="1"/>
        <v>0</v>
      </c>
      <c r="G26" s="4139"/>
      <c r="H26" s="4305"/>
      <c r="I26" s="4139"/>
      <c r="J26" s="4305"/>
      <c r="K26" s="4164"/>
      <c r="L26" s="4166"/>
      <c r="M26" s="4139"/>
      <c r="N26" s="4305"/>
      <c r="O26" s="4139"/>
      <c r="P26" s="4305"/>
      <c r="Q26" s="4139"/>
      <c r="R26" s="4305"/>
      <c r="S26" s="4139"/>
      <c r="T26" s="4305"/>
      <c r="U26" s="4139"/>
      <c r="V26" s="4305"/>
      <c r="W26" s="4139"/>
      <c r="X26" s="4305"/>
      <c r="Y26" s="4139"/>
      <c r="Z26" s="4305"/>
      <c r="AA26" s="4139"/>
      <c r="AB26" s="4305"/>
      <c r="AC26" s="4139"/>
      <c r="AD26" s="4305"/>
    </row>
    <row r="27" spans="1:30" ht="15" customHeight="1">
      <c r="A27" s="6533"/>
      <c r="B27" s="5739"/>
      <c r="C27" s="4306" t="s">
        <v>2897</v>
      </c>
      <c r="D27" s="491">
        <f t="shared" si="0"/>
        <v>0</v>
      </c>
      <c r="E27" s="526">
        <f t="shared" si="1"/>
        <v>0</v>
      </c>
      <c r="F27" s="2622">
        <f t="shared" si="1"/>
        <v>0</v>
      </c>
      <c r="G27" s="1056"/>
      <c r="H27" s="1052"/>
      <c r="I27" s="1056"/>
      <c r="J27" s="1052"/>
      <c r="K27" s="1053"/>
      <c r="L27" s="1054"/>
      <c r="M27" s="1056"/>
      <c r="N27" s="1052"/>
      <c r="O27" s="1056"/>
      <c r="P27" s="1052"/>
      <c r="Q27" s="1056"/>
      <c r="R27" s="1052"/>
      <c r="S27" s="1056"/>
      <c r="T27" s="1052"/>
      <c r="U27" s="1056"/>
      <c r="V27" s="1052"/>
      <c r="W27" s="1056"/>
      <c r="X27" s="1052"/>
      <c r="Y27" s="1056"/>
      <c r="Z27" s="1052"/>
      <c r="AA27" s="1056"/>
      <c r="AB27" s="1052"/>
      <c r="AC27" s="1056"/>
      <c r="AD27" s="1052"/>
    </row>
    <row r="28" spans="1:30" ht="15" customHeight="1">
      <c r="A28" s="7045" t="s">
        <v>91</v>
      </c>
      <c r="B28" s="7046"/>
      <c r="C28" s="7047"/>
      <c r="D28" s="1092">
        <f t="shared" ref="D28:AD28" si="5">SUM(D22:D27)</f>
        <v>0</v>
      </c>
      <c r="E28" s="2799">
        <f>SUM(E22:E27)</f>
        <v>0</v>
      </c>
      <c r="F28" s="4307">
        <f t="shared" si="5"/>
        <v>0</v>
      </c>
      <c r="G28" s="180">
        <f t="shared" si="5"/>
        <v>0</v>
      </c>
      <c r="H28" s="4308">
        <f t="shared" si="5"/>
        <v>0</v>
      </c>
      <c r="I28" s="180">
        <f t="shared" si="5"/>
        <v>0</v>
      </c>
      <c r="J28" s="4308">
        <f t="shared" si="5"/>
        <v>0</v>
      </c>
      <c r="K28" s="1287">
        <f t="shared" si="5"/>
        <v>0</v>
      </c>
      <c r="L28" s="563">
        <f t="shared" si="5"/>
        <v>0</v>
      </c>
      <c r="M28" s="180">
        <f t="shared" si="5"/>
        <v>0</v>
      </c>
      <c r="N28" s="4308">
        <f t="shared" si="5"/>
        <v>0</v>
      </c>
      <c r="O28" s="180">
        <f t="shared" si="5"/>
        <v>0</v>
      </c>
      <c r="P28" s="4308">
        <f t="shared" si="5"/>
        <v>0</v>
      </c>
      <c r="Q28" s="180">
        <f t="shared" si="5"/>
        <v>0</v>
      </c>
      <c r="R28" s="4308">
        <f t="shared" si="5"/>
        <v>0</v>
      </c>
      <c r="S28" s="180">
        <f t="shared" si="5"/>
        <v>0</v>
      </c>
      <c r="T28" s="4308">
        <f t="shared" si="5"/>
        <v>0</v>
      </c>
      <c r="U28" s="180">
        <f t="shared" si="5"/>
        <v>0</v>
      </c>
      <c r="V28" s="4308">
        <f t="shared" si="5"/>
        <v>0</v>
      </c>
      <c r="W28" s="180">
        <f t="shared" si="5"/>
        <v>0</v>
      </c>
      <c r="X28" s="4308">
        <f t="shared" si="5"/>
        <v>0</v>
      </c>
      <c r="Y28" s="180">
        <f t="shared" si="5"/>
        <v>0</v>
      </c>
      <c r="Z28" s="4308">
        <f t="shared" si="5"/>
        <v>0</v>
      </c>
      <c r="AA28" s="180">
        <f t="shared" si="5"/>
        <v>0</v>
      </c>
      <c r="AB28" s="4308">
        <f t="shared" si="5"/>
        <v>0</v>
      </c>
      <c r="AC28" s="180">
        <f t="shared" si="5"/>
        <v>0</v>
      </c>
      <c r="AD28" s="4308">
        <f t="shared" si="5"/>
        <v>0</v>
      </c>
    </row>
    <row r="29" spans="1:30" s="508" customFormat="1" ht="18" customHeight="1">
      <c r="A29" s="7048" t="s">
        <v>2898</v>
      </c>
      <c r="B29" s="7048"/>
      <c r="C29" s="7048"/>
      <c r="D29" s="7048"/>
      <c r="E29" s="7048"/>
      <c r="F29" s="7048"/>
    </row>
    <row r="30" spans="1:30" ht="15" customHeight="1">
      <c r="A30" s="4309" t="s">
        <v>624</v>
      </c>
      <c r="B30" s="4309" t="s">
        <v>296</v>
      </c>
      <c r="C30" s="7060" t="s">
        <v>2899</v>
      </c>
      <c r="D30" s="7061"/>
      <c r="E30" s="4310" t="s">
        <v>91</v>
      </c>
      <c r="F30" s="4311" t="s">
        <v>2900</v>
      </c>
      <c r="G30" s="4312" t="s">
        <v>2892</v>
      </c>
    </row>
    <row r="31" spans="1:30" ht="15" customHeight="1">
      <c r="A31" s="6918" t="s">
        <v>2901</v>
      </c>
      <c r="B31" s="7062" t="s">
        <v>2902</v>
      </c>
      <c r="C31" s="7063" t="s">
        <v>2903</v>
      </c>
      <c r="D31" s="7064"/>
      <c r="E31" s="2586">
        <f t="shared" ref="E31:E61" si="6">SUM(F31:G31)</f>
        <v>0</v>
      </c>
      <c r="F31" s="95"/>
      <c r="G31" s="204"/>
    </row>
    <row r="32" spans="1:30" ht="15" customHeight="1">
      <c r="A32" s="6961"/>
      <c r="B32" s="7062"/>
      <c r="C32" s="7065" t="s">
        <v>2904</v>
      </c>
      <c r="D32" s="7066"/>
      <c r="E32" s="4314">
        <f t="shared" si="6"/>
        <v>0</v>
      </c>
      <c r="F32" s="207"/>
      <c r="G32" s="279"/>
    </row>
    <row r="33" spans="1:7" ht="15" customHeight="1">
      <c r="A33" s="6961"/>
      <c r="B33" s="7062"/>
      <c r="C33" s="7040" t="s">
        <v>2905</v>
      </c>
      <c r="D33" s="7041"/>
      <c r="E33" s="4315">
        <f t="shared" si="6"/>
        <v>0</v>
      </c>
      <c r="F33" s="122"/>
      <c r="G33" s="121"/>
    </row>
    <row r="34" spans="1:7" ht="15" customHeight="1">
      <c r="A34" s="6961"/>
      <c r="B34" s="6918" t="s">
        <v>2906</v>
      </c>
      <c r="C34" s="7038" t="s">
        <v>2907</v>
      </c>
      <c r="D34" s="7039"/>
      <c r="E34" s="4316">
        <f t="shared" si="6"/>
        <v>0</v>
      </c>
      <c r="F34" s="164"/>
      <c r="G34" s="94"/>
    </row>
    <row r="35" spans="1:7" ht="15" customHeight="1">
      <c r="A35" s="6961"/>
      <c r="B35" s="6919"/>
      <c r="C35" s="7040" t="s">
        <v>2908</v>
      </c>
      <c r="D35" s="7041"/>
      <c r="E35" s="4315">
        <f t="shared" si="6"/>
        <v>0</v>
      </c>
      <c r="F35" s="122"/>
      <c r="G35" s="121"/>
    </row>
    <row r="36" spans="1:7" ht="15" customHeight="1">
      <c r="A36" s="6961"/>
      <c r="B36" s="7042" t="s">
        <v>2909</v>
      </c>
      <c r="C36" s="7038" t="s">
        <v>2910</v>
      </c>
      <c r="D36" s="7039"/>
      <c r="E36" s="4316">
        <f t="shared" si="6"/>
        <v>0</v>
      </c>
      <c r="F36" s="164"/>
      <c r="G36" s="94"/>
    </row>
    <row r="37" spans="1:7" ht="15" customHeight="1">
      <c r="A37" s="6961"/>
      <c r="B37" s="7043"/>
      <c r="C37" s="7034" t="s">
        <v>2911</v>
      </c>
      <c r="D37" s="7035"/>
      <c r="E37" s="4315">
        <f t="shared" si="6"/>
        <v>0</v>
      </c>
      <c r="F37" s="122"/>
      <c r="G37" s="121"/>
    </row>
    <row r="38" spans="1:7" ht="15" customHeight="1">
      <c r="A38" s="6961"/>
      <c r="B38" s="7042" t="s">
        <v>2912</v>
      </c>
      <c r="C38" s="7030" t="s">
        <v>2913</v>
      </c>
      <c r="D38" s="7031"/>
      <c r="E38" s="4316">
        <f t="shared" si="6"/>
        <v>0</v>
      </c>
      <c r="F38" s="164"/>
      <c r="G38" s="94"/>
    </row>
    <row r="39" spans="1:7" ht="15" customHeight="1">
      <c r="A39" s="6961"/>
      <c r="B39" s="7044"/>
      <c r="C39" s="7032" t="s">
        <v>2914</v>
      </c>
      <c r="D39" s="7033"/>
      <c r="E39" s="4314">
        <f t="shared" si="6"/>
        <v>0</v>
      </c>
      <c r="F39" s="207"/>
      <c r="G39" s="279"/>
    </row>
    <row r="40" spans="1:7" ht="15" customHeight="1">
      <c r="A40" s="6961"/>
      <c r="B40" s="7044"/>
      <c r="C40" s="7032" t="s">
        <v>2915</v>
      </c>
      <c r="D40" s="7033"/>
      <c r="E40" s="4314">
        <f t="shared" si="6"/>
        <v>0</v>
      </c>
      <c r="F40" s="207"/>
      <c r="G40" s="279"/>
    </row>
    <row r="41" spans="1:7" ht="15" customHeight="1">
      <c r="A41" s="6919"/>
      <c r="B41" s="7043"/>
      <c r="C41" s="7034" t="s">
        <v>2916</v>
      </c>
      <c r="D41" s="7035"/>
      <c r="E41" s="4315">
        <f t="shared" si="6"/>
        <v>0</v>
      </c>
      <c r="F41" s="122"/>
      <c r="G41" s="121"/>
    </row>
    <row r="42" spans="1:7" ht="15" customHeight="1">
      <c r="A42" s="6918" t="s">
        <v>2917</v>
      </c>
      <c r="B42" s="6918" t="s">
        <v>2918</v>
      </c>
      <c r="C42" s="6940" t="s">
        <v>2919</v>
      </c>
      <c r="D42" s="7027"/>
      <c r="E42" s="4317">
        <f t="shared" si="6"/>
        <v>0</v>
      </c>
      <c r="F42" s="483"/>
      <c r="G42" s="484"/>
    </row>
    <row r="43" spans="1:7" ht="21">
      <c r="A43" s="6961"/>
      <c r="B43" s="6961"/>
      <c r="C43" s="6918" t="s">
        <v>2920</v>
      </c>
      <c r="D43" s="4318" t="s">
        <v>2921</v>
      </c>
      <c r="E43" s="4319">
        <f t="shared" si="6"/>
        <v>0</v>
      </c>
      <c r="F43" s="157"/>
      <c r="G43" s="564"/>
    </row>
    <row r="44" spans="1:7" ht="31.5">
      <c r="A44" s="6961"/>
      <c r="B44" s="6961"/>
      <c r="C44" s="6919"/>
      <c r="D44" s="4320" t="s">
        <v>2922</v>
      </c>
      <c r="E44" s="4319">
        <f t="shared" si="6"/>
        <v>0</v>
      </c>
      <c r="F44" s="157"/>
      <c r="G44" s="564"/>
    </row>
    <row r="45" spans="1:7" ht="15" customHeight="1">
      <c r="A45" s="6961"/>
      <c r="B45" s="6961"/>
      <c r="C45" s="7028" t="s">
        <v>2923</v>
      </c>
      <c r="D45" s="7029"/>
      <c r="E45" s="4316">
        <f t="shared" si="6"/>
        <v>0</v>
      </c>
      <c r="F45" s="164"/>
      <c r="G45" s="94"/>
    </row>
    <row r="46" spans="1:7" ht="15" customHeight="1">
      <c r="A46" s="6961"/>
      <c r="B46" s="6961"/>
      <c r="C46" s="7036" t="s">
        <v>2924</v>
      </c>
      <c r="D46" s="7037"/>
      <c r="E46" s="4314">
        <f t="shared" si="6"/>
        <v>0</v>
      </c>
      <c r="F46" s="207"/>
      <c r="G46" s="279"/>
    </row>
    <row r="47" spans="1:7" ht="15" customHeight="1">
      <c r="A47" s="6961"/>
      <c r="B47" s="6961"/>
      <c r="C47" s="7036" t="s">
        <v>2925</v>
      </c>
      <c r="D47" s="7037"/>
      <c r="E47" s="4314">
        <f t="shared" si="6"/>
        <v>0</v>
      </c>
      <c r="F47" s="207"/>
      <c r="G47" s="279"/>
    </row>
    <row r="48" spans="1:7" ht="15" customHeight="1">
      <c r="A48" s="6919"/>
      <c r="B48" s="6919"/>
      <c r="C48" s="6940" t="s">
        <v>2926</v>
      </c>
      <c r="D48" s="7027"/>
      <c r="E48" s="4315">
        <f t="shared" si="6"/>
        <v>0</v>
      </c>
      <c r="F48" s="122"/>
      <c r="G48" s="121"/>
    </row>
    <row r="49" spans="1:8" ht="15" customHeight="1">
      <c r="A49" s="6918" t="s">
        <v>2927</v>
      </c>
      <c r="B49" s="7028" t="s">
        <v>2928</v>
      </c>
      <c r="C49" s="7050"/>
      <c r="D49" s="7029"/>
      <c r="E49" s="2586">
        <f t="shared" si="6"/>
        <v>0</v>
      </c>
      <c r="F49" s="95"/>
      <c r="G49" s="204"/>
    </row>
    <row r="50" spans="1:8" ht="15" customHeight="1">
      <c r="A50" s="6961"/>
      <c r="B50" s="7036" t="s">
        <v>2929</v>
      </c>
      <c r="C50" s="7051"/>
      <c r="D50" s="7037"/>
      <c r="E50" s="4314">
        <f t="shared" si="6"/>
        <v>0</v>
      </c>
      <c r="F50" s="207"/>
      <c r="G50" s="279"/>
    </row>
    <row r="51" spans="1:8" ht="15" customHeight="1">
      <c r="A51" s="6961"/>
      <c r="B51" s="7036" t="s">
        <v>2930</v>
      </c>
      <c r="C51" s="7051"/>
      <c r="D51" s="7037"/>
      <c r="E51" s="4314">
        <f t="shared" si="6"/>
        <v>0</v>
      </c>
      <c r="F51" s="207"/>
      <c r="G51" s="279"/>
    </row>
    <row r="52" spans="1:8" ht="15" customHeight="1">
      <c r="A52" s="6919"/>
      <c r="B52" s="7054" t="s">
        <v>2931</v>
      </c>
      <c r="C52" s="7055"/>
      <c r="D52" s="7056"/>
      <c r="E52" s="4315">
        <f t="shared" si="6"/>
        <v>0</v>
      </c>
      <c r="F52" s="122"/>
      <c r="G52" s="121"/>
    </row>
    <row r="53" spans="1:8" ht="15" customHeight="1">
      <c r="A53" s="6961" t="s">
        <v>2932</v>
      </c>
      <c r="B53" s="7057" t="s">
        <v>2933</v>
      </c>
      <c r="C53" s="7058"/>
      <c r="D53" s="7059"/>
      <c r="E53" s="4316">
        <f t="shared" si="6"/>
        <v>0</v>
      </c>
      <c r="F53" s="164"/>
      <c r="G53" s="94"/>
    </row>
    <row r="54" spans="1:8" ht="15" customHeight="1">
      <c r="A54" s="6919"/>
      <c r="B54" s="7054" t="s">
        <v>2934</v>
      </c>
      <c r="C54" s="7055"/>
      <c r="D54" s="7056"/>
      <c r="E54" s="4315">
        <f t="shared" si="6"/>
        <v>0</v>
      </c>
      <c r="F54" s="122"/>
      <c r="G54" s="121"/>
    </row>
    <row r="55" spans="1:8" ht="15" customHeight="1">
      <c r="A55" s="6918" t="s">
        <v>2935</v>
      </c>
      <c r="B55" s="7028" t="s">
        <v>2936</v>
      </c>
      <c r="C55" s="7050"/>
      <c r="D55" s="7029"/>
      <c r="E55" s="4316">
        <f t="shared" si="6"/>
        <v>0</v>
      </c>
      <c r="F55" s="164"/>
      <c r="G55" s="94"/>
    </row>
    <row r="56" spans="1:8" ht="15" customHeight="1">
      <c r="A56" s="6961"/>
      <c r="B56" s="7036" t="s">
        <v>2937</v>
      </c>
      <c r="C56" s="7051"/>
      <c r="D56" s="7037"/>
      <c r="E56" s="4314">
        <f t="shared" si="6"/>
        <v>0</v>
      </c>
      <c r="F56" s="207"/>
      <c r="G56" s="279"/>
    </row>
    <row r="57" spans="1:8" ht="15" customHeight="1">
      <c r="A57" s="6961"/>
      <c r="B57" s="7036" t="s">
        <v>2938</v>
      </c>
      <c r="C57" s="7051"/>
      <c r="D57" s="7037"/>
      <c r="E57" s="4314">
        <f t="shared" si="6"/>
        <v>0</v>
      </c>
      <c r="F57" s="207"/>
      <c r="G57" s="279"/>
    </row>
    <row r="58" spans="1:8" ht="15" customHeight="1">
      <c r="A58" s="6961"/>
      <c r="B58" s="7036" t="s">
        <v>2939</v>
      </c>
      <c r="C58" s="7051"/>
      <c r="D58" s="7037"/>
      <c r="E58" s="4314">
        <f t="shared" si="6"/>
        <v>0</v>
      </c>
      <c r="F58" s="207"/>
      <c r="G58" s="279"/>
    </row>
    <row r="59" spans="1:8" ht="15" customHeight="1">
      <c r="A59" s="6961"/>
      <c r="B59" s="7036" t="s">
        <v>2940</v>
      </c>
      <c r="C59" s="7051"/>
      <c r="D59" s="7037"/>
      <c r="E59" s="4314">
        <f t="shared" si="6"/>
        <v>0</v>
      </c>
      <c r="F59" s="207"/>
      <c r="G59" s="279"/>
    </row>
    <row r="60" spans="1:8" ht="15" customHeight="1">
      <c r="A60" s="6919"/>
      <c r="B60" s="6940" t="s">
        <v>2941</v>
      </c>
      <c r="C60" s="7052"/>
      <c r="D60" s="7027"/>
      <c r="E60" s="4315">
        <f t="shared" si="6"/>
        <v>0</v>
      </c>
      <c r="F60" s="122"/>
      <c r="G60" s="121"/>
    </row>
    <row r="61" spans="1:8" ht="15" customHeight="1">
      <c r="A61" s="4313" t="s">
        <v>2942</v>
      </c>
      <c r="B61" s="6937" t="s">
        <v>2943</v>
      </c>
      <c r="C61" s="7053"/>
      <c r="D61" s="6938"/>
      <c r="E61" s="4317">
        <f t="shared" si="6"/>
        <v>0</v>
      </c>
      <c r="F61" s="483"/>
      <c r="G61" s="484"/>
    </row>
    <row r="62" spans="1:8" s="508" customFormat="1" ht="18" customHeight="1">
      <c r="A62" s="7049" t="s">
        <v>2944</v>
      </c>
      <c r="B62" s="7049"/>
      <c r="C62" s="7049"/>
      <c r="D62" s="7049"/>
      <c r="E62" s="4321"/>
      <c r="F62" s="4321"/>
      <c r="G62" s="4321"/>
      <c r="H62" s="4321"/>
    </row>
    <row r="63" spans="1:8" ht="15" customHeight="1">
      <c r="A63" s="276" t="s">
        <v>2945</v>
      </c>
      <c r="B63" s="4322" t="s">
        <v>91</v>
      </c>
    </row>
    <row r="64" spans="1:8" ht="15" customHeight="1">
      <c r="A64" s="277" t="s">
        <v>2946</v>
      </c>
      <c r="B64" s="1180"/>
    </row>
    <row r="65" spans="1:3" ht="15" customHeight="1">
      <c r="A65" s="490" t="s">
        <v>2947</v>
      </c>
      <c r="B65" s="1136"/>
    </row>
    <row r="66" spans="1:3" ht="15" customHeight="1">
      <c r="A66" s="65" t="s">
        <v>91</v>
      </c>
      <c r="B66" s="4323">
        <f>SUM(B64+B65)</f>
        <v>0</v>
      </c>
    </row>
    <row r="67" spans="1:3" s="508" customFormat="1" ht="18" customHeight="1">
      <c r="A67" s="7008" t="s">
        <v>2948</v>
      </c>
      <c r="B67" s="7008"/>
      <c r="C67" s="7008"/>
    </row>
    <row r="68" spans="1:3" s="1" customFormat="1" ht="15" customHeight="1">
      <c r="A68" s="57" t="s">
        <v>2949</v>
      </c>
      <c r="B68" s="62" t="s">
        <v>2886</v>
      </c>
      <c r="C68" s="57" t="s">
        <v>91</v>
      </c>
    </row>
    <row r="69" spans="1:3" s="1" customFormat="1" ht="15" customHeight="1">
      <c r="A69" s="5619" t="s">
        <v>2950</v>
      </c>
      <c r="B69" s="277" t="s">
        <v>2951</v>
      </c>
      <c r="C69" s="1180"/>
    </row>
    <row r="70" spans="1:3" s="1" customFormat="1" ht="15" customHeight="1">
      <c r="A70" s="5618"/>
      <c r="B70" s="4163" t="s">
        <v>2952</v>
      </c>
      <c r="C70" s="1183"/>
    </row>
    <row r="71" spans="1:3" s="1" customFormat="1" ht="15" customHeight="1">
      <c r="A71" s="5618"/>
      <c r="B71" s="284" t="s">
        <v>2953</v>
      </c>
      <c r="C71" s="1321"/>
    </row>
    <row r="72" spans="1:3" s="1" customFormat="1" ht="15" customHeight="1">
      <c r="A72" s="5618"/>
      <c r="B72" s="284" t="s">
        <v>2954</v>
      </c>
      <c r="C72" s="1321"/>
    </row>
    <row r="73" spans="1:3" s="1" customFormat="1" ht="15" customHeight="1">
      <c r="A73" s="5619" t="s">
        <v>2955</v>
      </c>
      <c r="B73" s="277" t="s">
        <v>2956</v>
      </c>
      <c r="C73" s="1180"/>
    </row>
    <row r="74" spans="1:3" s="1" customFormat="1" ht="15" customHeight="1">
      <c r="A74" s="5618"/>
      <c r="B74" s="4163" t="s">
        <v>2957</v>
      </c>
      <c r="C74" s="1183"/>
    </row>
    <row r="75" spans="1:3" s="1" customFormat="1" ht="15" customHeight="1">
      <c r="A75" s="5618"/>
      <c r="B75" s="284" t="s">
        <v>2958</v>
      </c>
      <c r="C75" s="1183"/>
    </row>
    <row r="76" spans="1:3" s="1" customFormat="1" ht="15" customHeight="1">
      <c r="A76" s="5618"/>
      <c r="B76" s="284" t="s">
        <v>2954</v>
      </c>
      <c r="C76" s="1321"/>
    </row>
    <row r="77" spans="1:3" s="1" customFormat="1" ht="15" customHeight="1">
      <c r="A77" s="5620"/>
      <c r="B77" s="284" t="s">
        <v>2953</v>
      </c>
      <c r="C77" s="1321"/>
    </row>
    <row r="78" spans="1:3" ht="31.5">
      <c r="A78" s="5619" t="s">
        <v>2959</v>
      </c>
      <c r="B78" s="4324" t="s">
        <v>2960</v>
      </c>
      <c r="C78" s="1180"/>
    </row>
    <row r="79" spans="1:3" ht="21">
      <c r="A79" s="5618"/>
      <c r="B79" s="284" t="s">
        <v>2961</v>
      </c>
      <c r="C79" s="1183"/>
    </row>
    <row r="80" spans="1:3" s="1" customFormat="1" ht="15" customHeight="1">
      <c r="A80" s="5620"/>
      <c r="B80" s="489" t="s">
        <v>2954</v>
      </c>
      <c r="C80" s="1189"/>
    </row>
    <row r="81" spans="1:12" s="1" customFormat="1" ht="15" customHeight="1">
      <c r="A81" s="7022" t="s">
        <v>2962</v>
      </c>
      <c r="B81" s="7023"/>
      <c r="C81" s="1189"/>
    </row>
    <row r="82" spans="1:12" s="508" customFormat="1" ht="18" customHeight="1">
      <c r="A82" s="7017" t="s">
        <v>2963</v>
      </c>
      <c r="B82" s="7017"/>
      <c r="C82" s="7017"/>
      <c r="D82" s="7017"/>
      <c r="E82" s="7017"/>
      <c r="F82" s="7017"/>
      <c r="G82" s="7017"/>
      <c r="H82" s="7017"/>
      <c r="I82" s="4321"/>
    </row>
    <row r="83" spans="1:12" ht="15" customHeight="1">
      <c r="A83" s="5640" t="s">
        <v>2964</v>
      </c>
      <c r="B83" s="5640"/>
      <c r="C83" s="7024" t="s">
        <v>2965</v>
      </c>
      <c r="D83" s="7018" t="s">
        <v>2966</v>
      </c>
      <c r="E83" s="7020" t="s">
        <v>2955</v>
      </c>
      <c r="F83" s="7021"/>
      <c r="G83" s="7021"/>
      <c r="H83" s="7021" t="s">
        <v>2962</v>
      </c>
    </row>
    <row r="84" spans="1:12" ht="15" customHeight="1">
      <c r="A84" s="5640"/>
      <c r="B84" s="5640"/>
      <c r="C84" s="7025"/>
      <c r="D84" s="7019"/>
      <c r="E84" s="4326" t="s">
        <v>2956</v>
      </c>
      <c r="F84" s="4327" t="s">
        <v>2967</v>
      </c>
      <c r="G84" s="4325" t="s">
        <v>2954</v>
      </c>
      <c r="H84" s="7020"/>
    </row>
    <row r="85" spans="1:12" ht="15" customHeight="1">
      <c r="A85" s="7009" t="s">
        <v>2968</v>
      </c>
      <c r="B85" s="7010"/>
      <c r="C85" s="4328"/>
      <c r="D85" s="4329"/>
      <c r="E85" s="4328"/>
      <c r="F85" s="4330"/>
      <c r="G85" s="4329"/>
      <c r="H85" s="4329"/>
    </row>
    <row r="86" spans="1:12" ht="15" customHeight="1">
      <c r="A86" s="6524" t="s">
        <v>2969</v>
      </c>
      <c r="B86" s="6525"/>
      <c r="C86" s="4331"/>
      <c r="D86" s="4332"/>
      <c r="E86" s="4331"/>
      <c r="F86" s="4333"/>
      <c r="G86" s="4332"/>
      <c r="H86" s="4332"/>
    </row>
    <row r="87" spans="1:12" ht="15" customHeight="1">
      <c r="A87" s="6524" t="s">
        <v>2970</v>
      </c>
      <c r="B87" s="6525"/>
      <c r="C87" s="4334"/>
      <c r="D87" s="4335"/>
      <c r="E87" s="4334"/>
      <c r="F87" s="4336"/>
      <c r="G87" s="4335"/>
      <c r="H87" s="4335"/>
    </row>
    <row r="88" spans="1:12" ht="15" customHeight="1">
      <c r="A88" s="6524" t="s">
        <v>2971</v>
      </c>
      <c r="B88" s="6525"/>
      <c r="C88" s="4334"/>
      <c r="D88" s="4335"/>
      <c r="E88" s="4334"/>
      <c r="F88" s="4336"/>
      <c r="G88" s="4335"/>
      <c r="H88" s="4335"/>
    </row>
    <row r="89" spans="1:12" ht="15" customHeight="1">
      <c r="A89" s="7026" t="s">
        <v>619</v>
      </c>
      <c r="B89" s="5752"/>
      <c r="C89" s="1045"/>
      <c r="D89" s="1046"/>
      <c r="E89" s="1053"/>
      <c r="F89" s="1377"/>
      <c r="G89" s="1046"/>
      <c r="H89" s="1046"/>
    </row>
    <row r="90" spans="1:12" ht="15" customHeight="1">
      <c r="A90" s="7015" t="s">
        <v>91</v>
      </c>
      <c r="B90" s="7015"/>
      <c r="C90" s="570">
        <f t="shared" ref="C90:H100" si="7">SUM(C85:C89)</f>
        <v>0</v>
      </c>
      <c r="D90" s="1062">
        <f t="shared" si="7"/>
        <v>0</v>
      </c>
      <c r="E90" s="570">
        <f t="shared" si="7"/>
        <v>0</v>
      </c>
      <c r="F90" s="781">
        <f t="shared" si="7"/>
        <v>0</v>
      </c>
      <c r="G90" s="1062">
        <f t="shared" si="7"/>
        <v>0</v>
      </c>
      <c r="H90" s="287">
        <f t="shared" si="7"/>
        <v>0</v>
      </c>
    </row>
    <row r="91" spans="1:12" ht="15" customHeight="1">
      <c r="A91" s="2559" t="s">
        <v>2972</v>
      </c>
    </row>
    <row r="92" spans="1:12" s="508" customFormat="1" ht="18" customHeight="1">
      <c r="A92" s="7017" t="s">
        <v>2973</v>
      </c>
      <c r="B92" s="7017"/>
      <c r="C92" s="7017"/>
      <c r="D92" s="7017"/>
      <c r="E92" s="7017"/>
      <c r="F92" s="7017"/>
      <c r="G92" s="7017"/>
      <c r="H92" s="7017"/>
      <c r="I92" s="4321"/>
      <c r="J92" s="4321"/>
      <c r="K92" s="4321"/>
      <c r="L92" s="4321"/>
    </row>
    <row r="93" spans="1:12" ht="15" customHeight="1">
      <c r="A93" s="5640" t="s">
        <v>2964</v>
      </c>
      <c r="B93" s="5640"/>
      <c r="C93" s="7024" t="s">
        <v>2965</v>
      </c>
      <c r="D93" s="7018" t="s">
        <v>2966</v>
      </c>
      <c r="E93" s="7020" t="s">
        <v>2955</v>
      </c>
      <c r="F93" s="7021"/>
      <c r="G93" s="7021"/>
      <c r="H93" s="7021" t="s">
        <v>2962</v>
      </c>
    </row>
    <row r="94" spans="1:12" ht="15" customHeight="1">
      <c r="A94" s="5640"/>
      <c r="B94" s="5640"/>
      <c r="C94" s="7025"/>
      <c r="D94" s="7019"/>
      <c r="E94" s="4326" t="s">
        <v>2956</v>
      </c>
      <c r="F94" s="4327" t="s">
        <v>2967</v>
      </c>
      <c r="G94" s="4325" t="s">
        <v>2954</v>
      </c>
      <c r="H94" s="7020"/>
    </row>
    <row r="95" spans="1:12" ht="15" customHeight="1">
      <c r="A95" s="7009" t="s">
        <v>2969</v>
      </c>
      <c r="B95" s="7010"/>
      <c r="C95" s="4328"/>
      <c r="D95" s="4329"/>
      <c r="E95" s="4337"/>
      <c r="F95" s="4330"/>
      <c r="G95" s="4338"/>
      <c r="H95" s="4329"/>
    </row>
    <row r="96" spans="1:12" ht="15" customHeight="1">
      <c r="A96" s="6524" t="s">
        <v>2974</v>
      </c>
      <c r="B96" s="6525"/>
      <c r="C96" s="1013"/>
      <c r="D96" s="1014"/>
      <c r="E96" s="1077"/>
      <c r="F96" s="1368"/>
      <c r="G96" s="1015"/>
      <c r="H96" s="1014"/>
    </row>
    <row r="97" spans="1:9" ht="15" customHeight="1">
      <c r="A97" s="7011" t="s">
        <v>2975</v>
      </c>
      <c r="B97" s="7012"/>
      <c r="C97" s="1013"/>
      <c r="D97" s="1014"/>
      <c r="E97" s="1077"/>
      <c r="F97" s="1368"/>
      <c r="G97" s="1015"/>
      <c r="H97" s="1014"/>
    </row>
    <row r="98" spans="1:9" ht="15" customHeight="1">
      <c r="A98" s="6524" t="s">
        <v>2976</v>
      </c>
      <c r="B98" s="6525"/>
      <c r="C98" s="1013"/>
      <c r="D98" s="1014"/>
      <c r="E98" s="1077"/>
      <c r="F98" s="1368"/>
      <c r="G98" s="1015"/>
      <c r="H98" s="1014"/>
    </row>
    <row r="99" spans="1:9" ht="15" customHeight="1">
      <c r="A99" s="7013" t="s">
        <v>619</v>
      </c>
      <c r="B99" s="7014"/>
      <c r="C99" s="1045"/>
      <c r="D99" s="1054"/>
      <c r="E99" s="1271"/>
      <c r="F99" s="1377"/>
      <c r="G99" s="1052"/>
      <c r="H99" s="1046"/>
    </row>
    <row r="100" spans="1:9" ht="15" customHeight="1">
      <c r="A100" s="7015" t="s">
        <v>91</v>
      </c>
      <c r="B100" s="7015"/>
      <c r="C100" s="570">
        <f t="shared" si="7"/>
        <v>0</v>
      </c>
      <c r="D100" s="289">
        <f t="shared" si="7"/>
        <v>0</v>
      </c>
      <c r="E100" s="570">
        <f t="shared" si="7"/>
        <v>0</v>
      </c>
      <c r="F100" s="288">
        <f t="shared" si="7"/>
        <v>0</v>
      </c>
      <c r="G100" s="289">
        <f t="shared" si="7"/>
        <v>0</v>
      </c>
      <c r="H100" s="289">
        <f t="shared" si="7"/>
        <v>0</v>
      </c>
    </row>
    <row r="101" spans="1:9" ht="15" customHeight="1">
      <c r="A101" s="2559" t="s">
        <v>2972</v>
      </c>
    </row>
    <row r="102" spans="1:9" ht="18" customHeight="1">
      <c r="A102" s="7017" t="s">
        <v>2977</v>
      </c>
      <c r="B102" s="7017"/>
      <c r="C102" s="7017"/>
      <c r="D102" s="7017"/>
      <c r="E102" s="7017"/>
      <c r="F102" s="7017"/>
      <c r="G102" s="7017"/>
      <c r="H102" s="7017"/>
      <c r="I102" s="7017"/>
    </row>
    <row r="103" spans="1:9" ht="42">
      <c r="A103" s="5650" t="s">
        <v>2411</v>
      </c>
      <c r="B103" s="5651"/>
      <c r="C103" s="4339" t="s">
        <v>91</v>
      </c>
      <c r="D103" s="4326" t="s">
        <v>2978</v>
      </c>
      <c r="E103" s="4327" t="s">
        <v>2979</v>
      </c>
      <c r="F103" s="4327" t="s">
        <v>2980</v>
      </c>
      <c r="G103" s="4327" t="s">
        <v>2981</v>
      </c>
      <c r="H103" s="4340" t="s">
        <v>2982</v>
      </c>
      <c r="I103" s="4312" t="s">
        <v>2983</v>
      </c>
    </row>
    <row r="104" spans="1:9" s="1" customFormat="1" ht="15" customHeight="1">
      <c r="A104" s="6944" t="s">
        <v>2984</v>
      </c>
      <c r="B104" s="6945"/>
      <c r="C104" s="4341">
        <f t="shared" ref="C104:C107" si="8">SUM(D104:I104)</f>
        <v>0</v>
      </c>
      <c r="D104" s="4342"/>
      <c r="E104" s="4343"/>
      <c r="F104" s="4343"/>
      <c r="G104" s="4343"/>
      <c r="H104" s="4343"/>
      <c r="I104" s="4344"/>
    </row>
    <row r="105" spans="1:9" s="1" customFormat="1" ht="15" customHeight="1">
      <c r="A105" s="5619" t="s">
        <v>2955</v>
      </c>
      <c r="B105" s="4345" t="s">
        <v>2956</v>
      </c>
      <c r="C105" s="1193">
        <f t="shared" si="8"/>
        <v>0</v>
      </c>
      <c r="D105" s="4346"/>
      <c r="E105" s="4347"/>
      <c r="F105" s="4347"/>
      <c r="G105" s="4347"/>
      <c r="H105" s="4347"/>
      <c r="I105" s="4348"/>
    </row>
    <row r="106" spans="1:9" s="1" customFormat="1" ht="15" customHeight="1">
      <c r="A106" s="5618"/>
      <c r="B106" s="4349" t="s">
        <v>2967</v>
      </c>
      <c r="C106" s="1194">
        <f t="shared" si="8"/>
        <v>0</v>
      </c>
      <c r="D106" s="4331"/>
      <c r="E106" s="4333"/>
      <c r="F106" s="4333"/>
      <c r="G106" s="4333"/>
      <c r="H106" s="4333"/>
      <c r="I106" s="4348"/>
    </row>
    <row r="107" spans="1:9" s="1" customFormat="1" ht="15" customHeight="1">
      <c r="A107" s="5620"/>
      <c r="B107" s="4350" t="s">
        <v>2954</v>
      </c>
      <c r="C107" s="1195">
        <f t="shared" si="8"/>
        <v>0</v>
      </c>
      <c r="D107" s="4351"/>
      <c r="E107" s="4352"/>
      <c r="F107" s="4352"/>
      <c r="G107" s="4352"/>
      <c r="H107" s="4352"/>
      <c r="I107" s="4353"/>
    </row>
    <row r="108" spans="1:9" s="1" customFormat="1" ht="15" customHeight="1">
      <c r="A108" s="7009" t="s">
        <v>2966</v>
      </c>
      <c r="B108" s="7010"/>
      <c r="C108" s="1193">
        <f t="shared" ref="C108:C109" si="9">SUM(D108:H108)</f>
        <v>0</v>
      </c>
      <c r="D108" s="4346"/>
      <c r="E108" s="4347"/>
      <c r="F108" s="4347"/>
      <c r="G108" s="4347"/>
      <c r="H108" s="4347"/>
      <c r="I108" s="4354"/>
    </row>
    <row r="109" spans="1:9" s="1" customFormat="1" ht="15" customHeight="1">
      <c r="A109" s="7000" t="s">
        <v>2962</v>
      </c>
      <c r="B109" s="7001"/>
      <c r="C109" s="1196">
        <f t="shared" si="9"/>
        <v>0</v>
      </c>
      <c r="D109" s="1053"/>
      <c r="E109" s="1377"/>
      <c r="F109" s="1377"/>
      <c r="G109" s="1377"/>
      <c r="H109" s="1377"/>
      <c r="I109" s="4355"/>
    </row>
    <row r="110" spans="1:9" ht="15" customHeight="1">
      <c r="A110" s="2559" t="s">
        <v>2972</v>
      </c>
    </row>
    <row r="111" spans="1:9" s="508" customFormat="1" ht="18" customHeight="1">
      <c r="A111" s="7016" t="s">
        <v>2985</v>
      </c>
      <c r="B111" s="7016"/>
      <c r="C111" s="7016"/>
      <c r="D111" s="7016"/>
      <c r="E111" s="7016"/>
      <c r="F111" s="7016"/>
      <c r="G111" s="7016"/>
      <c r="H111" s="7016"/>
      <c r="I111" s="7016"/>
    </row>
    <row r="112" spans="1:9" ht="42">
      <c r="A112" s="5650" t="s">
        <v>2411</v>
      </c>
      <c r="B112" s="5651"/>
      <c r="C112" s="4339" t="s">
        <v>91</v>
      </c>
      <c r="D112" s="4326" t="s">
        <v>2978</v>
      </c>
      <c r="E112" s="4327" t="s">
        <v>2979</v>
      </c>
      <c r="F112" s="4327" t="s">
        <v>2980</v>
      </c>
      <c r="G112" s="4327" t="s">
        <v>2981</v>
      </c>
      <c r="H112" s="4340" t="s">
        <v>2982</v>
      </c>
      <c r="I112" s="4312" t="s">
        <v>2986</v>
      </c>
    </row>
    <row r="113" spans="1:9" ht="15" customHeight="1">
      <c r="A113" s="6944" t="s">
        <v>2984</v>
      </c>
      <c r="B113" s="6945"/>
      <c r="C113" s="4341">
        <f t="shared" ref="C113:C118" si="10">SUM(D113:I113)</f>
        <v>0</v>
      </c>
      <c r="D113" s="4342"/>
      <c r="E113" s="4343"/>
      <c r="F113" s="4343"/>
      <c r="G113" s="4343"/>
      <c r="H113" s="4343"/>
      <c r="I113" s="4356"/>
    </row>
    <row r="114" spans="1:9" ht="15" customHeight="1">
      <c r="A114" s="5619" t="s">
        <v>2955</v>
      </c>
      <c r="B114" s="4345" t="s">
        <v>2956</v>
      </c>
      <c r="C114" s="1193">
        <f t="shared" si="10"/>
        <v>0</v>
      </c>
      <c r="D114" s="4346"/>
      <c r="E114" s="4347"/>
      <c r="F114" s="4347"/>
      <c r="G114" s="4347"/>
      <c r="H114" s="4347"/>
      <c r="I114" s="4348"/>
    </row>
    <row r="115" spans="1:9" ht="15" customHeight="1">
      <c r="A115" s="5618"/>
      <c r="B115" s="4349" t="s">
        <v>2967</v>
      </c>
      <c r="C115" s="1194">
        <f t="shared" si="10"/>
        <v>0</v>
      </c>
      <c r="D115" s="4346"/>
      <c r="E115" s="4347"/>
      <c r="F115" s="4347"/>
      <c r="G115" s="4347"/>
      <c r="H115" s="4347"/>
      <c r="I115" s="4348"/>
    </row>
    <row r="116" spans="1:9" ht="15" customHeight="1">
      <c r="A116" s="5620"/>
      <c r="B116" s="4350" t="s">
        <v>2954</v>
      </c>
      <c r="C116" s="1195">
        <f t="shared" si="10"/>
        <v>0</v>
      </c>
      <c r="D116" s="4351"/>
      <c r="E116" s="4352"/>
      <c r="F116" s="4352"/>
      <c r="G116" s="4352"/>
      <c r="H116" s="4352"/>
      <c r="I116" s="4353"/>
    </row>
    <row r="117" spans="1:9" ht="15" customHeight="1">
      <c r="A117" s="7009" t="s">
        <v>2966</v>
      </c>
      <c r="B117" s="7010"/>
      <c r="C117" s="1193">
        <f t="shared" si="10"/>
        <v>0</v>
      </c>
      <c r="D117" s="4346"/>
      <c r="E117" s="4347"/>
      <c r="F117" s="4347"/>
      <c r="G117" s="4347"/>
      <c r="H117" s="4347"/>
      <c r="I117" s="4348"/>
    </row>
    <row r="118" spans="1:9" ht="15" customHeight="1">
      <c r="A118" s="7000" t="s">
        <v>2962</v>
      </c>
      <c r="B118" s="7001"/>
      <c r="C118" s="1196">
        <f t="shared" si="10"/>
        <v>0</v>
      </c>
      <c r="D118" s="4351"/>
      <c r="E118" s="4352"/>
      <c r="F118" s="4352"/>
      <c r="G118" s="4352"/>
      <c r="H118" s="4352"/>
      <c r="I118" s="4353"/>
    </row>
    <row r="119" spans="1:9" ht="15" customHeight="1">
      <c r="A119" s="2559" t="s">
        <v>2972</v>
      </c>
    </row>
    <row r="120" spans="1:9" s="508" customFormat="1" ht="18" customHeight="1">
      <c r="A120" s="4357" t="s">
        <v>2987</v>
      </c>
      <c r="B120" s="4357"/>
      <c r="C120" s="4357"/>
      <c r="D120" s="4358"/>
      <c r="E120" s="4358"/>
    </row>
    <row r="121" spans="1:9" ht="21">
      <c r="A121" s="193" t="s">
        <v>2988</v>
      </c>
      <c r="B121" s="193" t="s">
        <v>2989</v>
      </c>
    </row>
    <row r="122" spans="1:9" ht="15" customHeight="1">
      <c r="A122" s="4349" t="s">
        <v>2990</v>
      </c>
      <c r="B122" s="4359"/>
    </row>
    <row r="123" spans="1:9" ht="15" customHeight="1">
      <c r="A123" s="4349" t="s">
        <v>2991</v>
      </c>
      <c r="B123" s="4360"/>
    </row>
    <row r="124" spans="1:9" ht="15" customHeight="1">
      <c r="A124" s="4349" t="s">
        <v>2992</v>
      </c>
      <c r="B124" s="4360"/>
    </row>
    <row r="125" spans="1:9" ht="15" customHeight="1">
      <c r="A125" s="4349" t="s">
        <v>2993</v>
      </c>
      <c r="B125" s="4360"/>
    </row>
    <row r="126" spans="1:9" ht="15" customHeight="1">
      <c r="A126" s="4350" t="s">
        <v>2994</v>
      </c>
      <c r="B126" s="4361"/>
    </row>
    <row r="127" spans="1:9" s="508" customFormat="1" ht="18" customHeight="1">
      <c r="A127" s="4357" t="s">
        <v>2995</v>
      </c>
      <c r="B127" s="4357"/>
      <c r="C127" s="4357"/>
      <c r="D127" s="4362"/>
    </row>
    <row r="128" spans="1:9" ht="21">
      <c r="A128" s="193" t="s">
        <v>2988</v>
      </c>
      <c r="B128" s="193" t="s">
        <v>2996</v>
      </c>
    </row>
    <row r="129" spans="1:9">
      <c r="A129" s="4349" t="s">
        <v>2990</v>
      </c>
      <c r="B129" s="4359"/>
    </row>
    <row r="130" spans="1:9">
      <c r="A130" s="4349" t="s">
        <v>2991</v>
      </c>
      <c r="B130" s="4360"/>
    </row>
    <row r="131" spans="1:9">
      <c r="A131" s="4349" t="s">
        <v>2992</v>
      </c>
      <c r="B131" s="4360"/>
    </row>
    <row r="132" spans="1:9">
      <c r="A132" s="4349" t="s">
        <v>2993</v>
      </c>
      <c r="B132" s="4360"/>
    </row>
    <row r="133" spans="1:9">
      <c r="A133" s="4350" t="s">
        <v>2994</v>
      </c>
      <c r="B133" s="4361"/>
    </row>
    <row r="134" spans="1:9" s="508" customFormat="1" ht="18" customHeight="1">
      <c r="A134" s="4363" t="s">
        <v>2997</v>
      </c>
    </row>
    <row r="135" spans="1:9">
      <c r="A135" s="5650" t="s">
        <v>2886</v>
      </c>
      <c r="B135" s="5651"/>
      <c r="C135" s="4339" t="s">
        <v>91</v>
      </c>
      <c r="D135" s="4326" t="s">
        <v>2998</v>
      </c>
      <c r="E135" s="4327" t="s">
        <v>2999</v>
      </c>
      <c r="F135" s="4325" t="s">
        <v>3000</v>
      </c>
    </row>
    <row r="136" spans="1:9">
      <c r="A136" s="6944" t="s">
        <v>2984</v>
      </c>
      <c r="B136" s="6945"/>
      <c r="C136" s="4364">
        <f t="shared" ref="C136:C141" si="11">SUM(D136:F136)</f>
        <v>0</v>
      </c>
      <c r="D136" s="4365"/>
      <c r="E136" s="4366"/>
      <c r="F136" s="4367"/>
    </row>
    <row r="137" spans="1:9">
      <c r="A137" s="5619" t="s">
        <v>2955</v>
      </c>
      <c r="B137" s="4345" t="s">
        <v>2956</v>
      </c>
      <c r="C137" s="4368">
        <f t="shared" si="11"/>
        <v>0</v>
      </c>
      <c r="D137" s="4328"/>
      <c r="E137" s="4330"/>
      <c r="F137" s="4329"/>
    </row>
    <row r="138" spans="1:9">
      <c r="A138" s="5618"/>
      <c r="B138" s="4349" t="s">
        <v>2967</v>
      </c>
      <c r="C138" s="296">
        <f t="shared" si="11"/>
        <v>0</v>
      </c>
      <c r="D138" s="1013"/>
      <c r="E138" s="1368"/>
      <c r="F138" s="1014"/>
    </row>
    <row r="139" spans="1:9">
      <c r="A139" s="5620"/>
      <c r="B139" s="4350" t="s">
        <v>2954</v>
      </c>
      <c r="C139" s="4369">
        <f t="shared" si="11"/>
        <v>0</v>
      </c>
      <c r="D139" s="1053"/>
      <c r="E139" s="1377"/>
      <c r="F139" s="1054"/>
    </row>
    <row r="140" spans="1:9">
      <c r="A140" s="7009" t="s">
        <v>2966</v>
      </c>
      <c r="B140" s="7010"/>
      <c r="C140" s="125">
        <f t="shared" si="11"/>
        <v>0</v>
      </c>
      <c r="D140" s="1030"/>
      <c r="E140" s="1371"/>
      <c r="F140" s="1187"/>
    </row>
    <row r="141" spans="1:9">
      <c r="A141" s="7000" t="s">
        <v>2962</v>
      </c>
      <c r="B141" s="7001"/>
      <c r="C141" s="4369">
        <f t="shared" si="11"/>
        <v>0</v>
      </c>
      <c r="D141" s="1053"/>
      <c r="E141" s="1377"/>
      <c r="F141" s="1054"/>
    </row>
    <row r="142" spans="1:9">
      <c r="A142" s="2559" t="s">
        <v>2972</v>
      </c>
      <c r="B142" s="4265"/>
      <c r="C142" s="4370"/>
      <c r="D142" s="4370"/>
      <c r="E142" s="52"/>
      <c r="F142" s="1256"/>
    </row>
    <row r="143" spans="1:9">
      <c r="A143" s="2559" t="s">
        <v>3001</v>
      </c>
      <c r="B143" s="4264"/>
      <c r="C143" s="4370"/>
      <c r="D143" s="4370"/>
      <c r="E143" s="4370"/>
      <c r="F143" s="4370"/>
    </row>
    <row r="144" spans="1:9" s="508" customFormat="1" ht="18" customHeight="1">
      <c r="A144" s="5622" t="s">
        <v>3002</v>
      </c>
      <c r="B144" s="5622"/>
      <c r="C144" s="5622"/>
      <c r="D144" s="5622"/>
      <c r="E144" s="5622"/>
      <c r="F144" s="5622"/>
      <c r="G144" s="5622"/>
      <c r="H144" s="5622"/>
      <c r="I144" s="465"/>
    </row>
    <row r="145" spans="1:9">
      <c r="A145" s="5642" t="s">
        <v>3003</v>
      </c>
      <c r="B145" s="5624"/>
      <c r="C145" s="5615" t="s">
        <v>1233</v>
      </c>
      <c r="D145" s="5616"/>
      <c r="E145" s="5652"/>
      <c r="F145" s="5615" t="s">
        <v>1234</v>
      </c>
      <c r="G145" s="5616"/>
      <c r="H145" s="5652"/>
    </row>
    <row r="146" spans="1:9">
      <c r="A146" s="5659"/>
      <c r="B146" s="5625"/>
      <c r="C146" s="75" t="s">
        <v>2956</v>
      </c>
      <c r="D146" s="68" t="s">
        <v>3004</v>
      </c>
      <c r="E146" s="76" t="s">
        <v>2986</v>
      </c>
      <c r="F146" s="75" t="s">
        <v>2956</v>
      </c>
      <c r="G146" s="68" t="s">
        <v>3004</v>
      </c>
      <c r="H146" s="76" t="s">
        <v>2986</v>
      </c>
    </row>
    <row r="147" spans="1:9">
      <c r="A147" s="6944" t="s">
        <v>2950</v>
      </c>
      <c r="B147" s="6945"/>
      <c r="C147" s="4371"/>
      <c r="D147" s="4372"/>
      <c r="E147" s="1008"/>
      <c r="F147" s="4371"/>
      <c r="G147" s="4372"/>
      <c r="H147" s="1008"/>
    </row>
    <row r="148" spans="1:9">
      <c r="A148" s="5619" t="s">
        <v>2955</v>
      </c>
      <c r="B148" s="4345" t="s">
        <v>2956</v>
      </c>
      <c r="C148" s="4371"/>
      <c r="D148" s="4372"/>
      <c r="E148" s="1008"/>
      <c r="F148" s="4371"/>
      <c r="G148" s="4372"/>
      <c r="H148" s="1008"/>
    </row>
    <row r="149" spans="1:9">
      <c r="A149" s="5618"/>
      <c r="B149" s="4349" t="s">
        <v>3005</v>
      </c>
      <c r="C149" s="4373"/>
      <c r="D149" s="4374"/>
      <c r="E149" s="1021"/>
      <c r="F149" s="4373"/>
      <c r="G149" s="4374"/>
      <c r="H149" s="1021"/>
    </row>
    <row r="150" spans="1:9">
      <c r="A150" s="5620"/>
      <c r="B150" s="4350" t="s">
        <v>2954</v>
      </c>
      <c r="C150" s="4375"/>
      <c r="D150" s="4376"/>
      <c r="E150" s="1060"/>
      <c r="F150" s="4375"/>
      <c r="G150" s="4376"/>
      <c r="H150" s="1060"/>
    </row>
    <row r="151" spans="1:9">
      <c r="A151" s="7009" t="s">
        <v>2959</v>
      </c>
      <c r="B151" s="7010"/>
      <c r="C151" s="1003"/>
      <c r="D151" s="4251"/>
      <c r="E151" s="4377"/>
      <c r="F151" s="1003"/>
      <c r="G151" s="4251"/>
      <c r="H151" s="4377"/>
    </row>
    <row r="152" spans="1:9">
      <c r="A152" s="7000" t="s">
        <v>2962</v>
      </c>
      <c r="B152" s="7001"/>
      <c r="C152" s="1055"/>
      <c r="D152" s="4378"/>
      <c r="E152" s="4202"/>
      <c r="F152" s="1055"/>
      <c r="G152" s="4378"/>
      <c r="H152" s="4202"/>
    </row>
    <row r="153" spans="1:9">
      <c r="A153" s="7002" t="s">
        <v>91</v>
      </c>
      <c r="B153" s="7003"/>
      <c r="C153" s="570">
        <f>SUM(C147:C152)</f>
        <v>0</v>
      </c>
      <c r="D153" s="781">
        <f>SUM(D147:D150)</f>
        <v>0</v>
      </c>
      <c r="E153" s="289">
        <f>SUM(E147:E150)</f>
        <v>0</v>
      </c>
      <c r="F153" s="480">
        <f>SUM(F147:F152)</f>
        <v>0</v>
      </c>
      <c r="G153" s="2807">
        <f>SUM(G147:G150)</f>
        <v>0</v>
      </c>
      <c r="H153" s="482">
        <f>SUM(H147:H150)</f>
        <v>0</v>
      </c>
    </row>
    <row r="154" spans="1:9" s="508" customFormat="1" ht="18" customHeight="1">
      <c r="A154" s="5690" t="s">
        <v>3006</v>
      </c>
      <c r="B154" s="5690"/>
      <c r="C154" s="5690"/>
    </row>
    <row r="155" spans="1:9" ht="15" customHeight="1">
      <c r="A155" s="5642" t="s">
        <v>296</v>
      </c>
      <c r="B155" s="7004"/>
      <c r="C155" s="57" t="s">
        <v>91</v>
      </c>
    </row>
    <row r="156" spans="1:9" ht="15" customHeight="1">
      <c r="A156" s="5619" t="s">
        <v>3007</v>
      </c>
      <c r="B156" s="4379" t="s">
        <v>3008</v>
      </c>
      <c r="C156" s="4380"/>
    </row>
    <row r="157" spans="1:9" ht="15" customHeight="1">
      <c r="A157" s="5620"/>
      <c r="B157" s="4381" t="s">
        <v>3009</v>
      </c>
      <c r="C157" s="4382"/>
    </row>
    <row r="158" spans="1:9" s="508" customFormat="1" ht="18" customHeight="1">
      <c r="A158" s="6534" t="s">
        <v>3010</v>
      </c>
      <c r="B158" s="6534"/>
      <c r="C158" s="6534"/>
      <c r="D158" s="6534"/>
      <c r="E158" s="6534"/>
      <c r="F158" s="6534"/>
      <c r="G158" s="7008"/>
      <c r="H158" s="7008"/>
      <c r="I158" s="7008"/>
    </row>
    <row r="159" spans="1:9" ht="21" customHeight="1">
      <c r="A159" s="4383" t="s">
        <v>3011</v>
      </c>
      <c r="B159" s="4383" t="s">
        <v>3012</v>
      </c>
      <c r="C159" s="6507" t="s">
        <v>296</v>
      </c>
      <c r="D159" s="6508"/>
      <c r="E159" s="6509"/>
      <c r="F159" s="230" t="s">
        <v>91</v>
      </c>
      <c r="G159" s="4277" t="s">
        <v>2950</v>
      </c>
      <c r="H159" s="4384" t="s">
        <v>3013</v>
      </c>
      <c r="I159" s="854" t="s">
        <v>2955</v>
      </c>
    </row>
    <row r="160" spans="1:9">
      <c r="A160" s="6988" t="s">
        <v>3014</v>
      </c>
      <c r="B160" s="6988" t="s">
        <v>3015</v>
      </c>
      <c r="C160" s="6989" t="s">
        <v>3016</v>
      </c>
      <c r="D160" s="6990"/>
      <c r="E160" s="6991"/>
      <c r="F160" s="2751">
        <f t="shared" ref="F160:F184" si="12">SUM(G160:I160)</f>
        <v>0</v>
      </c>
      <c r="G160" s="4385"/>
      <c r="H160" s="4386"/>
      <c r="I160" s="1076"/>
    </row>
    <row r="161" spans="1:9">
      <c r="A161" s="6988"/>
      <c r="B161" s="6988"/>
      <c r="C161" s="6985" t="s">
        <v>3017</v>
      </c>
      <c r="D161" s="6986"/>
      <c r="E161" s="6987"/>
      <c r="F161" s="761">
        <f t="shared" si="12"/>
        <v>0</v>
      </c>
      <c r="G161" s="4373"/>
      <c r="H161" s="4374"/>
      <c r="I161" s="1021"/>
    </row>
    <row r="162" spans="1:9">
      <c r="A162" s="6988"/>
      <c r="B162" s="6988"/>
      <c r="C162" s="6985" t="s">
        <v>2932</v>
      </c>
      <c r="D162" s="6986"/>
      <c r="E162" s="6987"/>
      <c r="F162" s="761">
        <f t="shared" si="12"/>
        <v>0</v>
      </c>
      <c r="G162" s="4373"/>
      <c r="H162" s="4374"/>
      <c r="I162" s="1021"/>
    </row>
    <row r="163" spans="1:9">
      <c r="A163" s="6988"/>
      <c r="B163" s="6988"/>
      <c r="C163" s="6985" t="s">
        <v>3018</v>
      </c>
      <c r="D163" s="6986"/>
      <c r="E163" s="6987"/>
      <c r="F163" s="761">
        <f t="shared" si="12"/>
        <v>0</v>
      </c>
      <c r="G163" s="4373"/>
      <c r="H163" s="4374"/>
      <c r="I163" s="1021"/>
    </row>
    <row r="164" spans="1:9">
      <c r="A164" s="6988"/>
      <c r="B164" s="6988"/>
      <c r="C164" s="6985" t="s">
        <v>3019</v>
      </c>
      <c r="D164" s="6986"/>
      <c r="E164" s="6987"/>
      <c r="F164" s="761">
        <f t="shared" si="12"/>
        <v>0</v>
      </c>
      <c r="G164" s="4373"/>
      <c r="H164" s="4374"/>
      <c r="I164" s="1021"/>
    </row>
    <row r="165" spans="1:9">
      <c r="A165" s="6988"/>
      <c r="B165" s="6988"/>
      <c r="C165" s="6985" t="s">
        <v>3020</v>
      </c>
      <c r="D165" s="6986"/>
      <c r="E165" s="6987"/>
      <c r="F165" s="761">
        <f t="shared" si="12"/>
        <v>0</v>
      </c>
      <c r="G165" s="4373"/>
      <c r="H165" s="4374"/>
      <c r="I165" s="1021"/>
    </row>
    <row r="166" spans="1:9">
      <c r="A166" s="6988"/>
      <c r="B166" s="6988"/>
      <c r="C166" s="6985" t="s">
        <v>3021</v>
      </c>
      <c r="D166" s="6986"/>
      <c r="E166" s="6987"/>
      <c r="F166" s="761">
        <f t="shared" si="12"/>
        <v>0</v>
      </c>
      <c r="G166" s="4373"/>
      <c r="H166" s="4374"/>
      <c r="I166" s="1021"/>
    </row>
    <row r="167" spans="1:9">
      <c r="A167" s="6988"/>
      <c r="B167" s="6988"/>
      <c r="C167" s="7005" t="s">
        <v>3022</v>
      </c>
      <c r="D167" s="7006"/>
      <c r="E167" s="7007"/>
      <c r="F167" s="755">
        <f t="shared" si="12"/>
        <v>0</v>
      </c>
      <c r="G167" s="4375"/>
      <c r="H167" s="4376"/>
      <c r="I167" s="1060"/>
    </row>
    <row r="168" spans="1:9">
      <c r="A168" s="6988"/>
      <c r="B168" s="6978" t="s">
        <v>3023</v>
      </c>
      <c r="C168" s="6989" t="s">
        <v>3024</v>
      </c>
      <c r="D168" s="6990"/>
      <c r="E168" s="6991"/>
      <c r="F168" s="2751">
        <f t="shared" si="12"/>
        <v>0</v>
      </c>
      <c r="G168" s="4385"/>
      <c r="H168" s="4386"/>
      <c r="I168" s="1076"/>
    </row>
    <row r="169" spans="1:9">
      <c r="A169" s="6988"/>
      <c r="B169" s="6978"/>
      <c r="C169" s="6985" t="s">
        <v>3025</v>
      </c>
      <c r="D169" s="6986"/>
      <c r="E169" s="6987"/>
      <c r="F169" s="2751">
        <f t="shared" si="12"/>
        <v>0</v>
      </c>
      <c r="G169" s="4373"/>
      <c r="H169" s="4374"/>
      <c r="I169" s="1021"/>
    </row>
    <row r="170" spans="1:9">
      <c r="A170" s="6988"/>
      <c r="B170" s="6978"/>
      <c r="C170" s="7005" t="s">
        <v>3026</v>
      </c>
      <c r="D170" s="7006"/>
      <c r="E170" s="7007"/>
      <c r="F170" s="4390">
        <f t="shared" si="12"/>
        <v>0</v>
      </c>
      <c r="G170" s="4375"/>
      <c r="H170" s="4376"/>
      <c r="I170" s="1060"/>
    </row>
    <row r="171" spans="1:9">
      <c r="A171" s="6988" t="s">
        <v>3027</v>
      </c>
      <c r="B171" s="6978" t="s">
        <v>3015</v>
      </c>
      <c r="C171" s="6989" t="s">
        <v>3028</v>
      </c>
      <c r="D171" s="6990"/>
      <c r="E171" s="6991"/>
      <c r="F171" s="2750">
        <f t="shared" si="12"/>
        <v>0</v>
      </c>
      <c r="G171" s="4385"/>
      <c r="H171" s="4386"/>
      <c r="I171" s="1076"/>
    </row>
    <row r="172" spans="1:9">
      <c r="A172" s="6988"/>
      <c r="B172" s="6978"/>
      <c r="C172" s="6985" t="s">
        <v>3029</v>
      </c>
      <c r="D172" s="6986"/>
      <c r="E172" s="6987"/>
      <c r="F172" s="2751">
        <f t="shared" si="12"/>
        <v>0</v>
      </c>
      <c r="G172" s="4373"/>
      <c r="H172" s="4374"/>
      <c r="I172" s="1021"/>
    </row>
    <row r="173" spans="1:9">
      <c r="A173" s="6988"/>
      <c r="B173" s="6978"/>
      <c r="C173" s="6985" t="s">
        <v>3030</v>
      </c>
      <c r="D173" s="6986"/>
      <c r="E173" s="6987"/>
      <c r="F173" s="2751">
        <f t="shared" si="12"/>
        <v>0</v>
      </c>
      <c r="G173" s="4373"/>
      <c r="H173" s="4374"/>
      <c r="I173" s="1021"/>
    </row>
    <row r="174" spans="1:9">
      <c r="A174" s="6988"/>
      <c r="B174" s="6978"/>
      <c r="C174" s="6997" t="s">
        <v>3031</v>
      </c>
      <c r="D174" s="6998"/>
      <c r="E174" s="6999"/>
      <c r="F174" s="4391">
        <f t="shared" si="12"/>
        <v>0</v>
      </c>
      <c r="G174" s="4375"/>
      <c r="H174" s="4376"/>
      <c r="I174" s="1060"/>
    </row>
    <row r="175" spans="1:9">
      <c r="A175" s="6988"/>
      <c r="B175" s="6978" t="s">
        <v>3023</v>
      </c>
      <c r="C175" s="6979" t="s">
        <v>3032</v>
      </c>
      <c r="D175" s="6980"/>
      <c r="E175" s="6981"/>
      <c r="F175" s="2751">
        <f t="shared" si="12"/>
        <v>0</v>
      </c>
      <c r="G175" s="4385"/>
      <c r="H175" s="4386"/>
      <c r="I175" s="1076"/>
    </row>
    <row r="176" spans="1:9" ht="24.95" customHeight="1">
      <c r="A176" s="6988"/>
      <c r="B176" s="6978"/>
      <c r="C176" s="6982" t="s">
        <v>3033</v>
      </c>
      <c r="D176" s="6983"/>
      <c r="E176" s="6984"/>
      <c r="F176" s="2751">
        <f t="shared" si="12"/>
        <v>0</v>
      </c>
      <c r="G176" s="4373"/>
      <c r="H176" s="4374"/>
      <c r="I176" s="1021"/>
    </row>
    <row r="177" spans="1:9">
      <c r="A177" s="6988"/>
      <c r="B177" s="6978"/>
      <c r="C177" s="6985" t="s">
        <v>3034</v>
      </c>
      <c r="D177" s="6986"/>
      <c r="E177" s="6987"/>
      <c r="F177" s="2751">
        <f t="shared" si="12"/>
        <v>0</v>
      </c>
      <c r="G177" s="4373"/>
      <c r="H177" s="4374"/>
      <c r="I177" s="1021"/>
    </row>
    <row r="178" spans="1:9">
      <c r="A178" s="6988"/>
      <c r="B178" s="6978"/>
      <c r="C178" s="6985" t="s">
        <v>3035</v>
      </c>
      <c r="D178" s="6986"/>
      <c r="E178" s="6987"/>
      <c r="F178" s="2751">
        <f t="shared" si="12"/>
        <v>0</v>
      </c>
      <c r="G178" s="4373"/>
      <c r="H178" s="4374"/>
      <c r="I178" s="1021"/>
    </row>
    <row r="179" spans="1:9">
      <c r="A179" s="6988"/>
      <c r="B179" s="6978"/>
      <c r="C179" s="6985" t="s">
        <v>3036</v>
      </c>
      <c r="D179" s="6986"/>
      <c r="E179" s="6987"/>
      <c r="F179" s="2751">
        <f t="shared" si="12"/>
        <v>0</v>
      </c>
      <c r="G179" s="4373"/>
      <c r="H179" s="4374"/>
      <c r="I179" s="1021"/>
    </row>
    <row r="180" spans="1:9">
      <c r="A180" s="6988"/>
      <c r="B180" s="6978"/>
      <c r="C180" s="6985" t="s">
        <v>3037</v>
      </c>
      <c r="D180" s="6986"/>
      <c r="E180" s="6987"/>
      <c r="F180" s="2751">
        <f t="shared" si="12"/>
        <v>0</v>
      </c>
      <c r="G180" s="4373"/>
      <c r="H180" s="4374"/>
      <c r="I180" s="1021"/>
    </row>
    <row r="181" spans="1:9">
      <c r="A181" s="6988"/>
      <c r="B181" s="6978"/>
      <c r="C181" s="6985" t="s">
        <v>3038</v>
      </c>
      <c r="D181" s="6986"/>
      <c r="E181" s="6987"/>
      <c r="F181" s="2751">
        <f t="shared" si="12"/>
        <v>0</v>
      </c>
      <c r="G181" s="4373"/>
      <c r="H181" s="4374"/>
      <c r="I181" s="1021"/>
    </row>
    <row r="182" spans="1:9">
      <c r="A182" s="6988"/>
      <c r="B182" s="6978"/>
      <c r="C182" s="6985" t="s">
        <v>3039</v>
      </c>
      <c r="D182" s="6986"/>
      <c r="E182" s="6987"/>
      <c r="F182" s="2751">
        <f t="shared" si="12"/>
        <v>0</v>
      </c>
      <c r="G182" s="4373"/>
      <c r="H182" s="4374"/>
      <c r="I182" s="1021"/>
    </row>
    <row r="183" spans="1:9">
      <c r="A183" s="6988"/>
      <c r="B183" s="6978"/>
      <c r="C183" s="6985" t="s">
        <v>3040</v>
      </c>
      <c r="D183" s="6986"/>
      <c r="E183" s="6987"/>
      <c r="F183" s="2751">
        <f t="shared" si="12"/>
        <v>0</v>
      </c>
      <c r="G183" s="4373"/>
      <c r="H183" s="4374"/>
      <c r="I183" s="1021"/>
    </row>
    <row r="184" spans="1:9" ht="24.95" customHeight="1">
      <c r="A184" s="6988"/>
      <c r="B184" s="6978"/>
      <c r="C184" s="6992" t="s">
        <v>3041</v>
      </c>
      <c r="D184" s="6993"/>
      <c r="E184" s="6994"/>
      <c r="F184" s="2751">
        <f t="shared" si="12"/>
        <v>0</v>
      </c>
      <c r="G184" s="4373"/>
      <c r="H184" s="4374"/>
      <c r="I184" s="1021"/>
    </row>
    <row r="185" spans="1:9">
      <c r="A185" s="4392"/>
      <c r="B185" s="4393"/>
      <c r="C185" s="4387" t="s">
        <v>91</v>
      </c>
      <c r="D185" s="4388"/>
      <c r="E185" s="4389"/>
      <c r="F185" s="4394">
        <f>+SUM(F160:F184)</f>
        <v>0</v>
      </c>
      <c r="G185" s="2811">
        <f>+SUM(G160:G184)</f>
        <v>0</v>
      </c>
      <c r="H185" s="4395">
        <f>+SUM(H160:H184)</f>
        <v>0</v>
      </c>
      <c r="I185" s="2812">
        <f>+SUM(I160:I184)</f>
        <v>0</v>
      </c>
    </row>
    <row r="186" spans="1:9">
      <c r="A186" s="49" t="s">
        <v>3042</v>
      </c>
      <c r="B186" s="49"/>
      <c r="C186" s="1256"/>
      <c r="D186" s="1256"/>
      <c r="E186" s="1256"/>
      <c r="F186" s="1256"/>
      <c r="G186" s="1256"/>
      <c r="H186" s="1256"/>
      <c r="I186" s="1256"/>
    </row>
    <row r="187" spans="1:9" s="508" customFormat="1" ht="18" customHeight="1">
      <c r="A187" s="847" t="s">
        <v>3043</v>
      </c>
    </row>
    <row r="188" spans="1:9" s="508" customFormat="1" ht="18" customHeight="1">
      <c r="A188" s="6995" t="s">
        <v>3044</v>
      </c>
      <c r="B188" s="6995"/>
      <c r="C188" s="6996"/>
      <c r="D188" s="6996"/>
    </row>
    <row r="189" spans="1:9" ht="15" customHeight="1">
      <c r="A189" s="4396" t="s">
        <v>3045</v>
      </c>
      <c r="B189" s="1100" t="s">
        <v>91</v>
      </c>
      <c r="C189" s="1323" t="s">
        <v>1972</v>
      </c>
      <c r="D189" s="1334" t="s">
        <v>3046</v>
      </c>
    </row>
    <row r="190" spans="1:9" ht="15" customHeight="1">
      <c r="A190" s="4397" t="s">
        <v>3047</v>
      </c>
      <c r="B190" s="761">
        <f t="shared" ref="B190:B199" si="13">SUM(C190:D190)</f>
        <v>0</v>
      </c>
      <c r="C190" s="4385"/>
      <c r="D190" s="1076"/>
    </row>
    <row r="191" spans="1:9" ht="15" customHeight="1">
      <c r="A191" s="4398" t="s">
        <v>3048</v>
      </c>
      <c r="B191" s="761">
        <f t="shared" si="13"/>
        <v>0</v>
      </c>
      <c r="C191" s="4373"/>
      <c r="D191" s="1021"/>
    </row>
    <row r="192" spans="1:9" ht="15" customHeight="1">
      <c r="A192" s="4398" t="s">
        <v>3049</v>
      </c>
      <c r="B192" s="761">
        <f t="shared" si="13"/>
        <v>0</v>
      </c>
      <c r="C192" s="4373"/>
      <c r="D192" s="1021"/>
    </row>
    <row r="193" spans="1:5" ht="15" customHeight="1">
      <c r="A193" s="4398" t="s">
        <v>3050</v>
      </c>
      <c r="B193" s="761">
        <f t="shared" si="13"/>
        <v>0</v>
      </c>
      <c r="C193" s="4373"/>
      <c r="D193" s="1021"/>
    </row>
    <row r="194" spans="1:5" ht="15" customHeight="1">
      <c r="A194" s="4398" t="s">
        <v>3051</v>
      </c>
      <c r="B194" s="761">
        <f t="shared" si="13"/>
        <v>0</v>
      </c>
      <c r="C194" s="4373"/>
      <c r="D194" s="1021"/>
    </row>
    <row r="195" spans="1:5" ht="15" customHeight="1">
      <c r="A195" s="4398" t="s">
        <v>3052</v>
      </c>
      <c r="B195" s="761">
        <f t="shared" si="13"/>
        <v>0</v>
      </c>
      <c r="C195" s="4373"/>
      <c r="D195" s="1021"/>
    </row>
    <row r="196" spans="1:5" ht="15" customHeight="1">
      <c r="A196" s="4398" t="s">
        <v>3053</v>
      </c>
      <c r="B196" s="761">
        <f t="shared" si="13"/>
        <v>0</v>
      </c>
      <c r="C196" s="4373"/>
      <c r="D196" s="1021"/>
    </row>
    <row r="197" spans="1:5" ht="15" customHeight="1">
      <c r="A197" s="4398" t="s">
        <v>3054</v>
      </c>
      <c r="B197" s="761">
        <f t="shared" si="13"/>
        <v>0</v>
      </c>
      <c r="C197" s="4373"/>
      <c r="D197" s="1021"/>
    </row>
    <row r="198" spans="1:5" ht="15" customHeight="1">
      <c r="A198" s="4398" t="s">
        <v>3055</v>
      </c>
      <c r="B198" s="761">
        <f t="shared" si="13"/>
        <v>0</v>
      </c>
      <c r="C198" s="4373"/>
      <c r="D198" s="1021"/>
    </row>
    <row r="199" spans="1:5" ht="15" customHeight="1">
      <c r="A199" s="4399" t="s">
        <v>3056</v>
      </c>
      <c r="B199" s="761">
        <f t="shared" si="13"/>
        <v>0</v>
      </c>
      <c r="C199" s="4373"/>
      <c r="D199" s="1021"/>
    </row>
    <row r="200" spans="1:5" ht="15" customHeight="1">
      <c r="A200" s="4400" t="s">
        <v>91</v>
      </c>
      <c r="B200" s="287">
        <f>+SUM(B190:B199)</f>
        <v>0</v>
      </c>
      <c r="C200" s="570">
        <f>+SUM(C190:C199)</f>
        <v>0</v>
      </c>
      <c r="D200" s="289">
        <f>+SUM(D190:D199)</f>
        <v>0</v>
      </c>
    </row>
    <row r="201" spans="1:5" s="508" customFormat="1" ht="18" customHeight="1">
      <c r="A201" s="847" t="s">
        <v>3057</v>
      </c>
    </row>
    <row r="202" spans="1:5" ht="15" customHeight="1">
      <c r="A202" s="4396" t="s">
        <v>3058</v>
      </c>
      <c r="B202" s="1323" t="s">
        <v>1972</v>
      </c>
      <c r="C202" s="1324" t="s">
        <v>3046</v>
      </c>
      <c r="D202" s="1334" t="s">
        <v>3059</v>
      </c>
    </row>
    <row r="203" spans="1:5" ht="15" customHeight="1">
      <c r="A203" s="4401" t="s">
        <v>3060</v>
      </c>
      <c r="B203" s="4373"/>
      <c r="C203" s="4374"/>
      <c r="D203" s="1021"/>
    </row>
    <row r="204" spans="1:5" ht="15" customHeight="1">
      <c r="A204" s="540" t="s">
        <v>3061</v>
      </c>
      <c r="B204" s="4373"/>
      <c r="C204" s="4374"/>
      <c r="D204" s="1021"/>
    </row>
    <row r="205" spans="1:5" ht="15" customHeight="1">
      <c r="A205" s="300" t="s">
        <v>3062</v>
      </c>
      <c r="B205" s="4373"/>
      <c r="C205" s="4374"/>
      <c r="D205" s="1060"/>
    </row>
    <row r="206" spans="1:5" ht="15" customHeight="1">
      <c r="A206" s="4396" t="s">
        <v>91</v>
      </c>
      <c r="B206" s="570">
        <f>+SUM(B203:B205)</f>
        <v>0</v>
      </c>
      <c r="C206" s="781">
        <f>+SUM(C203:C205)</f>
        <v>0</v>
      </c>
      <c r="D206" s="289">
        <f>+SUM(D203:D205)</f>
        <v>0</v>
      </c>
    </row>
    <row r="207" spans="1:5" s="508" customFormat="1" ht="18" customHeight="1">
      <c r="A207" s="6995" t="s">
        <v>3063</v>
      </c>
      <c r="B207" s="6995"/>
      <c r="C207" s="6995"/>
      <c r="D207" s="6995"/>
      <c r="E207" s="6995"/>
    </row>
    <row r="208" spans="1:5" s="1" customFormat="1" ht="15" customHeight="1">
      <c r="A208" s="4400" t="s">
        <v>3064</v>
      </c>
      <c r="B208" s="4400" t="s">
        <v>3065</v>
      </c>
      <c r="C208" s="1323" t="s">
        <v>1972</v>
      </c>
      <c r="D208" s="1324" t="s">
        <v>3046</v>
      </c>
      <c r="E208" s="1334" t="s">
        <v>3059</v>
      </c>
    </row>
    <row r="209" spans="1:5" s="1" customFormat="1" ht="15" customHeight="1">
      <c r="A209" s="6962" t="s">
        <v>3066</v>
      </c>
      <c r="B209" s="4402" t="s">
        <v>3067</v>
      </c>
      <c r="C209" s="4373"/>
      <c r="D209" s="4374"/>
      <c r="E209" s="1008"/>
    </row>
    <row r="210" spans="1:5" s="1" customFormat="1" ht="15" customHeight="1">
      <c r="A210" s="6973"/>
      <c r="B210" s="4403" t="s">
        <v>3068</v>
      </c>
      <c r="C210" s="4373"/>
      <c r="D210" s="4374"/>
      <c r="E210" s="1076"/>
    </row>
    <row r="211" spans="1:5" s="1" customFormat="1" ht="15" customHeight="1">
      <c r="A211" s="6973"/>
      <c r="B211" s="4404" t="s">
        <v>3069</v>
      </c>
      <c r="C211" s="4385"/>
      <c r="D211" s="4386"/>
      <c r="E211" s="1021"/>
    </row>
    <row r="212" spans="1:5" s="1" customFormat="1" ht="15" customHeight="1">
      <c r="A212" s="6963"/>
      <c r="B212" s="4405" t="s">
        <v>3070</v>
      </c>
      <c r="C212" s="4375"/>
      <c r="D212" s="4376"/>
      <c r="E212" s="1060"/>
    </row>
    <row r="213" spans="1:5" s="1" customFormat="1" ht="15" customHeight="1">
      <c r="A213" s="4406" t="s">
        <v>3071</v>
      </c>
      <c r="B213" s="4406" t="s">
        <v>3072</v>
      </c>
      <c r="C213" s="4407"/>
      <c r="D213" s="4408"/>
      <c r="E213" s="1098"/>
    </row>
    <row r="214" spans="1:5" s="1" customFormat="1" ht="15" customHeight="1">
      <c r="A214" s="6962" t="s">
        <v>3073</v>
      </c>
      <c r="B214" s="4402" t="s">
        <v>3074</v>
      </c>
      <c r="C214" s="4371"/>
      <c r="D214" s="4372"/>
      <c r="E214" s="1008"/>
    </row>
    <row r="215" spans="1:5" s="1" customFormat="1" ht="15" customHeight="1">
      <c r="A215" s="6973"/>
      <c r="B215" s="4404" t="s">
        <v>3075</v>
      </c>
      <c r="C215" s="4385"/>
      <c r="D215" s="4386"/>
      <c r="E215" s="1076"/>
    </row>
    <row r="216" spans="1:5" s="1" customFormat="1" ht="15" customHeight="1">
      <c r="A216" s="6973"/>
      <c r="B216" s="4403" t="s">
        <v>3076</v>
      </c>
      <c r="C216" s="4373"/>
      <c r="D216" s="4374"/>
      <c r="E216" s="1021"/>
    </row>
    <row r="217" spans="1:5" s="1" customFormat="1" ht="15" customHeight="1">
      <c r="A217" s="6973"/>
      <c r="B217" s="4404" t="s">
        <v>3077</v>
      </c>
      <c r="C217" s="4385"/>
      <c r="D217" s="4386"/>
      <c r="E217" s="1076"/>
    </row>
    <row r="218" spans="1:5" s="1" customFormat="1" ht="15" customHeight="1">
      <c r="A218" s="6963"/>
      <c r="B218" s="4405" t="s">
        <v>3078</v>
      </c>
      <c r="C218" s="4375"/>
      <c r="D218" s="4376"/>
      <c r="E218" s="1060"/>
    </row>
    <row r="219" spans="1:5" s="1" customFormat="1" ht="15" customHeight="1">
      <c r="A219" s="6962" t="s">
        <v>3079</v>
      </c>
      <c r="B219" s="4402" t="s">
        <v>3080</v>
      </c>
      <c r="C219" s="4385"/>
      <c r="D219" s="4386"/>
      <c r="E219" s="1076"/>
    </row>
    <row r="220" spans="1:5" s="1" customFormat="1" ht="15" customHeight="1">
      <c r="A220" s="6963"/>
      <c r="B220" s="4405" t="s">
        <v>3081</v>
      </c>
      <c r="C220" s="4375"/>
      <c r="D220" s="4376"/>
      <c r="E220" s="1060"/>
    </row>
    <row r="221" spans="1:5" s="1" customFormat="1" ht="15" customHeight="1">
      <c r="A221" s="6962" t="s">
        <v>3082</v>
      </c>
      <c r="B221" s="4402" t="s">
        <v>3083</v>
      </c>
      <c r="C221" s="4371"/>
      <c r="D221" s="4372"/>
      <c r="E221" s="1008"/>
    </row>
    <row r="222" spans="1:5" s="1" customFormat="1" ht="15" customHeight="1">
      <c r="A222" s="6973"/>
      <c r="B222" s="4403" t="s">
        <v>3084</v>
      </c>
      <c r="C222" s="4385"/>
      <c r="D222" s="4386"/>
      <c r="E222" s="1076"/>
    </row>
    <row r="223" spans="1:5" s="1" customFormat="1" ht="15" customHeight="1">
      <c r="A223" s="6963"/>
      <c r="B223" s="4404" t="s">
        <v>3085</v>
      </c>
      <c r="C223" s="4409"/>
      <c r="D223" s="4410"/>
      <c r="E223" s="1098"/>
    </row>
    <row r="224" spans="1:5" s="1" customFormat="1" ht="15" customHeight="1">
      <c r="A224" s="6962" t="s">
        <v>3086</v>
      </c>
      <c r="B224" s="4402" t="s">
        <v>3087</v>
      </c>
      <c r="C224" s="4385"/>
      <c r="D224" s="4386"/>
      <c r="E224" s="1076"/>
    </row>
    <row r="225" spans="1:5" s="1" customFormat="1" ht="15" customHeight="1">
      <c r="A225" s="6963"/>
      <c r="B225" s="4405" t="s">
        <v>3088</v>
      </c>
      <c r="C225" s="4375"/>
      <c r="D225" s="4376"/>
      <c r="E225" s="1060"/>
    </row>
    <row r="226" spans="1:5" s="1" customFormat="1" ht="15" customHeight="1">
      <c r="A226" s="6962" t="s">
        <v>3089</v>
      </c>
      <c r="B226" s="4402" t="s">
        <v>3090</v>
      </c>
      <c r="C226" s="4385"/>
      <c r="D226" s="4386"/>
      <c r="E226" s="1076"/>
    </row>
    <row r="227" spans="1:5" s="1" customFormat="1" ht="15" customHeight="1">
      <c r="A227" s="6963"/>
      <c r="B227" s="4405" t="s">
        <v>3091</v>
      </c>
      <c r="C227" s="4375"/>
      <c r="D227" s="4376"/>
      <c r="E227" s="1060"/>
    </row>
    <row r="228" spans="1:5" s="1" customFormat="1" ht="15" customHeight="1">
      <c r="A228" s="6962" t="s">
        <v>3092</v>
      </c>
      <c r="B228" s="4402" t="s">
        <v>3093</v>
      </c>
      <c r="C228" s="4385"/>
      <c r="D228" s="4386"/>
      <c r="E228" s="1076"/>
    </row>
    <row r="229" spans="1:5" s="1" customFormat="1" ht="15" customHeight="1">
      <c r="A229" s="6963"/>
      <c r="B229" s="4405" t="s">
        <v>3094</v>
      </c>
      <c r="C229" s="4375"/>
      <c r="D229" s="4376"/>
      <c r="E229" s="1060"/>
    </row>
    <row r="230" spans="1:5" s="1" customFormat="1" ht="15" customHeight="1">
      <c r="A230" s="6962" t="s">
        <v>3095</v>
      </c>
      <c r="B230" s="4402" t="s">
        <v>3096</v>
      </c>
      <c r="C230" s="4385"/>
      <c r="D230" s="4386"/>
      <c r="E230" s="1076"/>
    </row>
    <row r="231" spans="1:5" s="1" customFormat="1" ht="15" customHeight="1">
      <c r="A231" s="6963"/>
      <c r="B231" s="4411" t="s">
        <v>3097</v>
      </c>
      <c r="C231" s="4375"/>
      <c r="D231" s="4376"/>
      <c r="E231" s="1060"/>
    </row>
    <row r="232" spans="1:5" s="1" customFormat="1" ht="15" customHeight="1">
      <c r="A232" s="6964" t="s">
        <v>3098</v>
      </c>
      <c r="B232" s="6965"/>
      <c r="C232" s="4385"/>
      <c r="D232" s="4386"/>
      <c r="E232" s="1076"/>
    </row>
    <row r="233" spans="1:5" s="1" customFormat="1" ht="15" customHeight="1">
      <c r="A233" s="6966" t="s">
        <v>619</v>
      </c>
      <c r="B233" s="6967"/>
      <c r="C233" s="4373"/>
      <c r="D233" s="4374"/>
      <c r="E233" s="1021"/>
    </row>
    <row r="234" spans="1:5" s="1" customFormat="1" ht="15" customHeight="1">
      <c r="A234" s="5974" t="s">
        <v>91</v>
      </c>
      <c r="B234" s="5976"/>
      <c r="C234" s="570">
        <f>+SUM(C209:C233)</f>
        <v>0</v>
      </c>
      <c r="D234" s="781">
        <f>+SUM(D209:D233)</f>
        <v>0</v>
      </c>
      <c r="E234" s="289">
        <f>+SUM(E209:E233)</f>
        <v>0</v>
      </c>
    </row>
    <row r="235" spans="1:5" s="508" customFormat="1" ht="18" customHeight="1">
      <c r="A235" s="6970" t="s">
        <v>3099</v>
      </c>
      <c r="B235" s="6970"/>
      <c r="C235" s="6970"/>
      <c r="D235" s="6970"/>
      <c r="E235" s="6970"/>
    </row>
    <row r="236" spans="1:5" s="1" customFormat="1" ht="21">
      <c r="A236" s="6968" t="s">
        <v>3100</v>
      </c>
      <c r="B236" s="6968"/>
      <c r="C236" s="1323" t="s">
        <v>91</v>
      </c>
      <c r="D236" s="4384" t="s">
        <v>1233</v>
      </c>
      <c r="E236" s="854" t="s">
        <v>3101</v>
      </c>
    </row>
    <row r="237" spans="1:5" s="1" customFormat="1" ht="15" customHeight="1">
      <c r="A237" s="6969" t="s">
        <v>3102</v>
      </c>
      <c r="B237" s="6969"/>
      <c r="C237" s="4412">
        <f t="shared" ref="C237:C238" si="14">SUM(D237:E237)</f>
        <v>0</v>
      </c>
      <c r="D237" s="4413"/>
      <c r="E237" s="1021"/>
    </row>
    <row r="238" spans="1:5" s="1" customFormat="1" ht="15" customHeight="1">
      <c r="A238" s="6971" t="s">
        <v>3103</v>
      </c>
      <c r="B238" s="6971"/>
      <c r="C238" s="4412">
        <f t="shared" si="14"/>
        <v>0</v>
      </c>
      <c r="D238" s="4413"/>
      <c r="E238" s="1021"/>
    </row>
    <row r="239" spans="1:5" s="1" customFormat="1" ht="15" customHeight="1">
      <c r="A239" s="6972" t="s">
        <v>91</v>
      </c>
      <c r="B239" s="6972"/>
      <c r="C239" s="570">
        <f>+SUM(C237:C238)</f>
        <v>0</v>
      </c>
      <c r="D239" s="288">
        <f>+SUM(D237:D238)</f>
        <v>0</v>
      </c>
      <c r="E239" s="289">
        <f>+SUM(E237:E238)</f>
        <v>0</v>
      </c>
    </row>
    <row r="240" spans="1:5" s="508" customFormat="1" ht="18" customHeight="1">
      <c r="A240" s="6970" t="s">
        <v>3104</v>
      </c>
      <c r="B240" s="6970"/>
      <c r="C240" s="6970"/>
      <c r="D240" s="6970"/>
    </row>
    <row r="241" spans="1:4" ht="15" customHeight="1">
      <c r="A241" s="4400" t="s">
        <v>3064</v>
      </c>
      <c r="B241" s="4400" t="s">
        <v>3045</v>
      </c>
      <c r="C241" s="1323" t="s">
        <v>1972</v>
      </c>
      <c r="D241" s="1334" t="s">
        <v>3046</v>
      </c>
    </row>
    <row r="242" spans="1:4" ht="15" customHeight="1">
      <c r="A242" s="6962" t="s">
        <v>3073</v>
      </c>
      <c r="B242" s="4402" t="s">
        <v>3105</v>
      </c>
      <c r="C242" s="4373"/>
      <c r="D242" s="1008"/>
    </row>
    <row r="243" spans="1:4" ht="15" customHeight="1">
      <c r="A243" s="6973"/>
      <c r="B243" s="4403" t="s">
        <v>3106</v>
      </c>
      <c r="C243" s="4373"/>
      <c r="D243" s="1021"/>
    </row>
    <row r="244" spans="1:4" ht="15" customHeight="1">
      <c r="A244" s="6973"/>
      <c r="B244" s="4403" t="s">
        <v>3107</v>
      </c>
      <c r="C244" s="4373"/>
      <c r="D244" s="1021"/>
    </row>
    <row r="245" spans="1:4" ht="15" customHeight="1">
      <c r="A245" s="6973"/>
      <c r="B245" s="4403" t="s">
        <v>3108</v>
      </c>
      <c r="C245" s="4373"/>
      <c r="D245" s="1021"/>
    </row>
    <row r="246" spans="1:4" ht="15" customHeight="1">
      <c r="A246" s="6973"/>
      <c r="B246" s="4403" t="s">
        <v>3109</v>
      </c>
      <c r="C246" s="4373"/>
      <c r="D246" s="1021"/>
    </row>
    <row r="247" spans="1:4" ht="15" customHeight="1">
      <c r="A247" s="6973"/>
      <c r="B247" s="4403" t="s">
        <v>3110</v>
      </c>
      <c r="C247" s="4373"/>
      <c r="D247" s="1021"/>
    </row>
    <row r="248" spans="1:4" ht="15" customHeight="1">
      <c r="A248" s="6973"/>
      <c r="B248" s="4403" t="s">
        <v>3111</v>
      </c>
      <c r="C248" s="4373"/>
      <c r="D248" s="1021"/>
    </row>
    <row r="249" spans="1:4" ht="15" customHeight="1">
      <c r="A249" s="6973"/>
      <c r="B249" s="4403" t="s">
        <v>3112</v>
      </c>
      <c r="C249" s="4373"/>
      <c r="D249" s="1021"/>
    </row>
    <row r="250" spans="1:4" ht="15" customHeight="1">
      <c r="A250" s="6973"/>
      <c r="B250" s="4403" t="s">
        <v>3113</v>
      </c>
      <c r="C250" s="4373"/>
      <c r="D250" s="1021"/>
    </row>
    <row r="251" spans="1:4" ht="15" customHeight="1">
      <c r="A251" s="6973"/>
      <c r="B251" s="4403" t="s">
        <v>3114</v>
      </c>
      <c r="C251" s="4373"/>
      <c r="D251" s="1021"/>
    </row>
    <row r="252" spans="1:4" ht="15" customHeight="1">
      <c r="A252" s="6973"/>
      <c r="B252" s="4403" t="s">
        <v>3115</v>
      </c>
      <c r="C252" s="4373"/>
      <c r="D252" s="1021"/>
    </row>
    <row r="253" spans="1:4" ht="15" customHeight="1">
      <c r="A253" s="6973"/>
      <c r="B253" s="4403" t="s">
        <v>3116</v>
      </c>
      <c r="C253" s="4373"/>
      <c r="D253" s="1021"/>
    </row>
    <row r="254" spans="1:4" ht="15" customHeight="1">
      <c r="A254" s="6973"/>
      <c r="B254" s="4411" t="s">
        <v>3117</v>
      </c>
      <c r="C254" s="4375"/>
      <c r="D254" s="1060"/>
    </row>
    <row r="255" spans="1:4" ht="15" customHeight="1">
      <c r="A255" s="6963"/>
      <c r="B255" s="4405" t="s">
        <v>3118</v>
      </c>
      <c r="C255" s="4414">
        <f>SUM(C242:C254)</f>
        <v>0</v>
      </c>
      <c r="D255" s="4415">
        <f>SUM(D242:D254)</f>
        <v>0</v>
      </c>
    </row>
    <row r="256" spans="1:4" ht="15" customHeight="1">
      <c r="A256" s="6962" t="s">
        <v>3082</v>
      </c>
      <c r="B256" s="4404" t="s">
        <v>3119</v>
      </c>
      <c r="C256" s="4385"/>
      <c r="D256" s="1076"/>
    </row>
    <row r="257" spans="1:4" ht="15" customHeight="1">
      <c r="A257" s="6973"/>
      <c r="B257" s="4403" t="s">
        <v>3120</v>
      </c>
      <c r="C257" s="4373"/>
      <c r="D257" s="1021"/>
    </row>
    <row r="258" spans="1:4" ht="15" customHeight="1">
      <c r="A258" s="6973"/>
      <c r="B258" s="4411" t="s">
        <v>3121</v>
      </c>
      <c r="C258" s="4375"/>
      <c r="D258" s="1060"/>
    </row>
    <row r="259" spans="1:4" ht="15" customHeight="1">
      <c r="A259" s="6963"/>
      <c r="B259" s="4405" t="s">
        <v>3122</v>
      </c>
      <c r="C259" s="4414">
        <f>SUM(C256:C258)</f>
        <v>0</v>
      </c>
      <c r="D259" s="4415">
        <f>SUM(D256:D258)</f>
        <v>0</v>
      </c>
    </row>
    <row r="260" spans="1:4" ht="15" customHeight="1">
      <c r="A260" s="6962" t="s">
        <v>3089</v>
      </c>
      <c r="B260" s="4404" t="s">
        <v>3123</v>
      </c>
      <c r="C260" s="4385"/>
      <c r="D260" s="1076"/>
    </row>
    <row r="261" spans="1:4" ht="15" customHeight="1">
      <c r="A261" s="6973"/>
      <c r="B261" s="4403" t="s">
        <v>3124</v>
      </c>
      <c r="C261" s="4373"/>
      <c r="D261" s="1021"/>
    </row>
    <row r="262" spans="1:4" ht="15" customHeight="1">
      <c r="A262" s="6973"/>
      <c r="B262" s="4403" t="s">
        <v>3125</v>
      </c>
      <c r="C262" s="4373"/>
      <c r="D262" s="1021"/>
    </row>
    <row r="263" spans="1:4" ht="15" customHeight="1">
      <c r="A263" s="6973"/>
      <c r="B263" s="4411" t="s">
        <v>3126</v>
      </c>
      <c r="C263" s="4375"/>
      <c r="D263" s="1060"/>
    </row>
    <row r="264" spans="1:4" ht="15" customHeight="1">
      <c r="A264" s="6963"/>
      <c r="B264" s="4405" t="s">
        <v>3127</v>
      </c>
      <c r="C264" s="4414">
        <f>SUM(C260:C263)</f>
        <v>0</v>
      </c>
      <c r="D264" s="4415">
        <f>SUM(D260:D263)</f>
        <v>0</v>
      </c>
    </row>
    <row r="265" spans="1:4" ht="15" customHeight="1">
      <c r="A265" s="6962" t="s">
        <v>3092</v>
      </c>
      <c r="B265" s="4404" t="s">
        <v>3128</v>
      </c>
      <c r="C265" s="4385"/>
      <c r="D265" s="1076"/>
    </row>
    <row r="266" spans="1:4" ht="15" customHeight="1">
      <c r="A266" s="6973"/>
      <c r="B266" s="4403" t="s">
        <v>3129</v>
      </c>
      <c r="C266" s="4373"/>
      <c r="D266" s="1021"/>
    </row>
    <row r="267" spans="1:4" ht="15" customHeight="1">
      <c r="A267" s="6973"/>
      <c r="B267" s="4411" t="s">
        <v>3130</v>
      </c>
      <c r="C267" s="4375"/>
      <c r="D267" s="1060"/>
    </row>
    <row r="268" spans="1:4" ht="15" customHeight="1">
      <c r="A268" s="6974"/>
      <c r="B268" s="4405" t="s">
        <v>3131</v>
      </c>
      <c r="C268" s="4416">
        <f>SUM(C265:C267)</f>
        <v>0</v>
      </c>
      <c r="D268" s="4415">
        <f>SUM(D265:D267)</f>
        <v>0</v>
      </c>
    </row>
    <row r="269" spans="1:4" ht="15" customHeight="1">
      <c r="A269" s="5974" t="s">
        <v>91</v>
      </c>
      <c r="B269" s="5976"/>
      <c r="C269" s="570">
        <f>+C255+C259+C264+C268</f>
        <v>0</v>
      </c>
      <c r="D269" s="289">
        <f>+D255+D259+D264+D268</f>
        <v>0</v>
      </c>
    </row>
    <row r="270" spans="1:4" s="508" customFormat="1" ht="18" customHeight="1">
      <c r="A270" s="6970" t="s">
        <v>3132</v>
      </c>
      <c r="B270" s="6970"/>
      <c r="C270" s="6970"/>
      <c r="D270" s="6970"/>
    </row>
    <row r="271" spans="1:4">
      <c r="A271" s="1314" t="s">
        <v>3133</v>
      </c>
      <c r="B271" s="1323" t="s">
        <v>3134</v>
      </c>
      <c r="C271" s="4417" t="s">
        <v>3135</v>
      </c>
      <c r="D271" s="854" t="s">
        <v>3136</v>
      </c>
    </row>
    <row r="272" spans="1:4" ht="15" customHeight="1">
      <c r="A272" s="4418" t="s">
        <v>3060</v>
      </c>
      <c r="B272" s="4373"/>
      <c r="C272" s="4374"/>
      <c r="D272" s="1021"/>
    </row>
    <row r="273" spans="1:4" ht="15" customHeight="1">
      <c r="A273" s="540" t="s">
        <v>3061</v>
      </c>
      <c r="B273" s="4373"/>
      <c r="C273" s="4374"/>
      <c r="D273" s="1021"/>
    </row>
    <row r="274" spans="1:4" ht="15" customHeight="1">
      <c r="A274" s="300" t="s">
        <v>3062</v>
      </c>
      <c r="B274" s="4373"/>
      <c r="C274" s="4374"/>
      <c r="D274" s="1021"/>
    </row>
    <row r="275" spans="1:4" ht="15" customHeight="1">
      <c r="A275" s="4396" t="s">
        <v>91</v>
      </c>
      <c r="B275" s="570">
        <f>+SUM(B272:B274)</f>
        <v>0</v>
      </c>
      <c r="C275" s="781">
        <f>+SUM(C272:C274)</f>
        <v>0</v>
      </c>
      <c r="D275" s="289">
        <f>+SUM(D272:D274)</f>
        <v>0</v>
      </c>
    </row>
    <row r="276" spans="1:4" s="508" customFormat="1" ht="18" customHeight="1">
      <c r="A276" s="847" t="s">
        <v>3137</v>
      </c>
    </row>
    <row r="277" spans="1:4" s="508" customFormat="1" ht="18" customHeight="1">
      <c r="A277" s="6995" t="s">
        <v>3138</v>
      </c>
      <c r="B277" s="6995"/>
      <c r="C277" s="6995"/>
    </row>
    <row r="278" spans="1:4">
      <c r="A278" s="5992" t="s">
        <v>3139</v>
      </c>
      <c r="B278" s="5993"/>
      <c r="C278" s="4400" t="s">
        <v>3140</v>
      </c>
    </row>
    <row r="279" spans="1:4">
      <c r="A279" s="6964" t="s">
        <v>3141</v>
      </c>
      <c r="B279" s="6975"/>
      <c r="C279" s="1020"/>
    </row>
    <row r="280" spans="1:4">
      <c r="A280" s="6976" t="s">
        <v>3142</v>
      </c>
      <c r="B280" s="6977"/>
      <c r="C280" s="1020"/>
    </row>
    <row r="281" spans="1:4">
      <c r="A281" s="6976" t="s">
        <v>3143</v>
      </c>
      <c r="B281" s="6977"/>
      <c r="C281" s="1020"/>
    </row>
    <row r="282" spans="1:4">
      <c r="A282" s="6976" t="s">
        <v>3144</v>
      </c>
      <c r="B282" s="6977"/>
      <c r="C282" s="1020"/>
    </row>
    <row r="283" spans="1:4" ht="24.95" customHeight="1">
      <c r="A283" s="5846" t="s">
        <v>3145</v>
      </c>
      <c r="B283" s="5847"/>
      <c r="C283" s="1020"/>
    </row>
    <row r="284" spans="1:4" ht="24.95" customHeight="1">
      <c r="A284" s="5846" t="s">
        <v>3146</v>
      </c>
      <c r="B284" s="5847"/>
      <c r="C284" s="1020"/>
    </row>
    <row r="285" spans="1:4" ht="24.95" customHeight="1">
      <c r="A285" s="5846" t="s">
        <v>3147</v>
      </c>
      <c r="B285" s="5847"/>
      <c r="C285" s="1020"/>
    </row>
    <row r="286" spans="1:4" ht="24.95" customHeight="1">
      <c r="A286" s="5846" t="s">
        <v>3148</v>
      </c>
      <c r="B286" s="5847"/>
      <c r="C286" s="1020"/>
    </row>
    <row r="287" spans="1:4" ht="15" customHeight="1">
      <c r="A287" s="5904" t="s">
        <v>3149</v>
      </c>
      <c r="B287" s="5906"/>
      <c r="C287" s="1020"/>
    </row>
    <row r="288" spans="1:4" ht="15" customHeight="1">
      <c r="A288" s="5894" t="s">
        <v>91</v>
      </c>
      <c r="B288" s="5896"/>
      <c r="C288" s="287">
        <f>+SUM(C279:C287)</f>
        <v>0</v>
      </c>
    </row>
    <row r="289" spans="1:2" s="508" customFormat="1" ht="18" customHeight="1">
      <c r="A289" s="847" t="s">
        <v>3150</v>
      </c>
    </row>
    <row r="290" spans="1:2" ht="15" customHeight="1">
      <c r="A290" s="4396" t="s">
        <v>3151</v>
      </c>
      <c r="B290" s="4400" t="s">
        <v>3152</v>
      </c>
    </row>
    <row r="291" spans="1:2" ht="15" customHeight="1">
      <c r="A291" s="4397" t="s">
        <v>3153</v>
      </c>
      <c r="B291" s="1020"/>
    </row>
    <row r="292" spans="1:2" ht="15" customHeight="1">
      <c r="A292" s="4398" t="s">
        <v>3154</v>
      </c>
      <c r="B292" s="1020"/>
    </row>
    <row r="293" spans="1:2" ht="15" customHeight="1">
      <c r="A293" s="4398" t="s">
        <v>3155</v>
      </c>
      <c r="B293" s="1020"/>
    </row>
    <row r="294" spans="1:2" ht="15" customHeight="1">
      <c r="A294" s="4398" t="s">
        <v>3156</v>
      </c>
      <c r="B294" s="1020"/>
    </row>
    <row r="295" spans="1:2" ht="15" customHeight="1">
      <c r="A295" s="4398" t="s">
        <v>3157</v>
      </c>
      <c r="B295" s="1020"/>
    </row>
    <row r="296" spans="1:2" ht="15" customHeight="1">
      <c r="A296" s="4399" t="s">
        <v>3158</v>
      </c>
      <c r="B296" s="1020"/>
    </row>
    <row r="297" spans="1:2" ht="15" customHeight="1">
      <c r="A297" s="4400" t="s">
        <v>91</v>
      </c>
      <c r="B297" s="287">
        <f>+SUM(B291:B296)</f>
        <v>0</v>
      </c>
    </row>
    <row r="319" spans="1:1" hidden="1">
      <c r="A319" s="4419">
        <f>SUM(D12:F15,D16:D17,D22:D28,E31:E61,B64:B65,C69:C81,C85:H89,C100:H100,C104:C109,C113:C118,B122:B126,B129:B133,C136:C141,C153:H153,C156:C157,F160:F185,B190:B200,B206:D206,C234:E234,C237:C239,C269:D269,B275:D275,C288,B297)</f>
        <v>0</v>
      </c>
    </row>
  </sheetData>
  <sheetProtection algorithmName="SHA-512" hashValue="9znBhkBHigle6q1tYtwCTYZFZ7a22w59uacrTPjNXh5p6FWPX/BHay+6ZTRnzWHPWVeoCoXDwEO6bQ8b+auEjw==" saltValue="abmrhL8/P/Ab93N8Bb4O5g==" spinCount="100000" sheet="1" objects="1" scenarios="1"/>
  <mergeCells count="216">
    <mergeCell ref="AC10:AD10"/>
    <mergeCell ref="A12:A13"/>
    <mergeCell ref="A14:B14"/>
    <mergeCell ref="K10:L10"/>
    <mergeCell ref="M10:N10"/>
    <mergeCell ref="O10:P10"/>
    <mergeCell ref="Q10:R10"/>
    <mergeCell ref="S10:T10"/>
    <mergeCell ref="A6:V6"/>
    <mergeCell ref="A9:A11"/>
    <mergeCell ref="B9:C11"/>
    <mergeCell ref="D9:F10"/>
    <mergeCell ref="U10:V10"/>
    <mergeCell ref="G9:AD9"/>
    <mergeCell ref="A15:C15"/>
    <mergeCell ref="A16:C16"/>
    <mergeCell ref="A17:C17"/>
    <mergeCell ref="A19:A21"/>
    <mergeCell ref="B19:C21"/>
    <mergeCell ref="G10:H10"/>
    <mergeCell ref="W10:X10"/>
    <mergeCell ref="Y10:Z10"/>
    <mergeCell ref="AA10:AB10"/>
    <mergeCell ref="W20:X20"/>
    <mergeCell ref="Y20:Z20"/>
    <mergeCell ref="I10:J10"/>
    <mergeCell ref="C30:D30"/>
    <mergeCell ref="A31:A41"/>
    <mergeCell ref="B31:B33"/>
    <mergeCell ref="C31:D31"/>
    <mergeCell ref="C32:D32"/>
    <mergeCell ref="C33:D33"/>
    <mergeCell ref="AA20:AB20"/>
    <mergeCell ref="AC20:AD20"/>
    <mergeCell ref="A22:A25"/>
    <mergeCell ref="B22:B23"/>
    <mergeCell ref="B24:B25"/>
    <mergeCell ref="D19:F20"/>
    <mergeCell ref="G19:AD19"/>
    <mergeCell ref="G20:H20"/>
    <mergeCell ref="U20:V20"/>
    <mergeCell ref="I20:J20"/>
    <mergeCell ref="K20:L20"/>
    <mergeCell ref="M20:N20"/>
    <mergeCell ref="O20:P20"/>
    <mergeCell ref="Q20:R20"/>
    <mergeCell ref="S20:T20"/>
    <mergeCell ref="A62:D62"/>
    <mergeCell ref="A55:A60"/>
    <mergeCell ref="B55:D55"/>
    <mergeCell ref="B56:D56"/>
    <mergeCell ref="B57:D57"/>
    <mergeCell ref="B58:D58"/>
    <mergeCell ref="B59:D59"/>
    <mergeCell ref="B60:D60"/>
    <mergeCell ref="A49:A52"/>
    <mergeCell ref="B61:D61"/>
    <mergeCell ref="B49:D49"/>
    <mergeCell ref="B50:D50"/>
    <mergeCell ref="B51:D51"/>
    <mergeCell ref="B52:D52"/>
    <mergeCell ref="A53:A54"/>
    <mergeCell ref="B53:D53"/>
    <mergeCell ref="B54:D54"/>
    <mergeCell ref="A42:A48"/>
    <mergeCell ref="B42:B48"/>
    <mergeCell ref="C42:D42"/>
    <mergeCell ref="C43:C44"/>
    <mergeCell ref="C45:D45"/>
    <mergeCell ref="A8:C8"/>
    <mergeCell ref="C38:D38"/>
    <mergeCell ref="C39:D39"/>
    <mergeCell ref="C40:D40"/>
    <mergeCell ref="C41:D41"/>
    <mergeCell ref="A18:C18"/>
    <mergeCell ref="B34:B35"/>
    <mergeCell ref="C46:D46"/>
    <mergeCell ref="C47:D47"/>
    <mergeCell ref="C48:D48"/>
    <mergeCell ref="C34:D34"/>
    <mergeCell ref="C35:D35"/>
    <mergeCell ref="B36:B37"/>
    <mergeCell ref="C36:D36"/>
    <mergeCell ref="C37:D37"/>
    <mergeCell ref="B38:B41"/>
    <mergeCell ref="A26:B27"/>
    <mergeCell ref="A28:C28"/>
    <mergeCell ref="A29:F29"/>
    <mergeCell ref="A82:H82"/>
    <mergeCell ref="A67:C67"/>
    <mergeCell ref="A69:A72"/>
    <mergeCell ref="A73:A77"/>
    <mergeCell ref="D93:D94"/>
    <mergeCell ref="E93:G93"/>
    <mergeCell ref="H93:H94"/>
    <mergeCell ref="A85:B85"/>
    <mergeCell ref="A86:B86"/>
    <mergeCell ref="A78:A80"/>
    <mergeCell ref="A81:B81"/>
    <mergeCell ref="A83:B84"/>
    <mergeCell ref="C83:C84"/>
    <mergeCell ref="D83:D84"/>
    <mergeCell ref="E83:G83"/>
    <mergeCell ref="A92:H92"/>
    <mergeCell ref="A87:B87"/>
    <mergeCell ref="A88:B88"/>
    <mergeCell ref="A89:B89"/>
    <mergeCell ref="A90:B90"/>
    <mergeCell ref="C93:C94"/>
    <mergeCell ref="H83:H84"/>
    <mergeCell ref="F145:H145"/>
    <mergeCell ref="A147:B147"/>
    <mergeCell ref="A148:A150"/>
    <mergeCell ref="A95:B95"/>
    <mergeCell ref="A96:B96"/>
    <mergeCell ref="A97:B97"/>
    <mergeCell ref="A98:B98"/>
    <mergeCell ref="A99:B99"/>
    <mergeCell ref="A100:B100"/>
    <mergeCell ref="A144:H144"/>
    <mergeCell ref="A111:I111"/>
    <mergeCell ref="A102:I102"/>
    <mergeCell ref="A117:B117"/>
    <mergeCell ref="A118:B118"/>
    <mergeCell ref="A112:B112"/>
    <mergeCell ref="A113:B113"/>
    <mergeCell ref="A114:A116"/>
    <mergeCell ref="A103:B103"/>
    <mergeCell ref="C145:E145"/>
    <mergeCell ref="A151:B151"/>
    <mergeCell ref="A135:B135"/>
    <mergeCell ref="A136:B136"/>
    <mergeCell ref="A137:A139"/>
    <mergeCell ref="A140:B140"/>
    <mergeCell ref="A141:B141"/>
    <mergeCell ref="A145:B146"/>
    <mergeCell ref="A93:B94"/>
    <mergeCell ref="A104:B104"/>
    <mergeCell ref="A105:A107"/>
    <mergeCell ref="A108:B108"/>
    <mergeCell ref="A109:B109"/>
    <mergeCell ref="A152:B152"/>
    <mergeCell ref="A153:B153"/>
    <mergeCell ref="A155:B155"/>
    <mergeCell ref="A156:A157"/>
    <mergeCell ref="A154:C154"/>
    <mergeCell ref="A160:A170"/>
    <mergeCell ref="B160:B167"/>
    <mergeCell ref="C160:E160"/>
    <mergeCell ref="C161:E161"/>
    <mergeCell ref="C162:E162"/>
    <mergeCell ref="C159:E159"/>
    <mergeCell ref="C167:E167"/>
    <mergeCell ref="B168:B170"/>
    <mergeCell ref="C168:E168"/>
    <mergeCell ref="C169:E169"/>
    <mergeCell ref="C170:E170"/>
    <mergeCell ref="C163:E163"/>
    <mergeCell ref="C164:E164"/>
    <mergeCell ref="C165:E165"/>
    <mergeCell ref="C166:E166"/>
    <mergeCell ref="A158:I158"/>
    <mergeCell ref="A214:A218"/>
    <mergeCell ref="A219:A220"/>
    <mergeCell ref="A221:A223"/>
    <mergeCell ref="A209:A212"/>
    <mergeCell ref="A207:E207"/>
    <mergeCell ref="A188:D188"/>
    <mergeCell ref="C174:E174"/>
    <mergeCell ref="C181:E181"/>
    <mergeCell ref="C182:E182"/>
    <mergeCell ref="A288:B288"/>
    <mergeCell ref="B175:B184"/>
    <mergeCell ref="C175:E175"/>
    <mergeCell ref="C176:E176"/>
    <mergeCell ref="C177:E177"/>
    <mergeCell ref="C178:E178"/>
    <mergeCell ref="C179:E179"/>
    <mergeCell ref="C180:E180"/>
    <mergeCell ref="A224:A225"/>
    <mergeCell ref="A226:A227"/>
    <mergeCell ref="A228:A229"/>
    <mergeCell ref="A171:A184"/>
    <mergeCell ref="B171:B174"/>
    <mergeCell ref="C171:E171"/>
    <mergeCell ref="C172:E172"/>
    <mergeCell ref="C173:E173"/>
    <mergeCell ref="C183:E183"/>
    <mergeCell ref="C184:E184"/>
    <mergeCell ref="A281:B281"/>
    <mergeCell ref="A282:B282"/>
    <mergeCell ref="A277:C277"/>
    <mergeCell ref="A270:D270"/>
    <mergeCell ref="A283:B283"/>
    <mergeCell ref="A284:B284"/>
    <mergeCell ref="A285:B285"/>
    <mergeCell ref="A286:B286"/>
    <mergeCell ref="A287:B287"/>
    <mergeCell ref="A242:A255"/>
    <mergeCell ref="A256:A259"/>
    <mergeCell ref="A260:A264"/>
    <mergeCell ref="A265:A268"/>
    <mergeCell ref="A240:D240"/>
    <mergeCell ref="A269:B269"/>
    <mergeCell ref="A278:B278"/>
    <mergeCell ref="A279:B279"/>
    <mergeCell ref="A280:B280"/>
    <mergeCell ref="A230:A231"/>
    <mergeCell ref="A232:B232"/>
    <mergeCell ref="A233:B233"/>
    <mergeCell ref="A234:B234"/>
    <mergeCell ref="A236:B236"/>
    <mergeCell ref="A237:B237"/>
    <mergeCell ref="A235:E235"/>
    <mergeCell ref="A238:B238"/>
    <mergeCell ref="A239:B239"/>
  </mergeCells>
  <dataValidations count="5">
    <dataValidation type="whole" allowBlank="1" showInputMessage="1" showErrorMessage="1" sqref="A186" xr:uid="{00E3006E-0046-4A9A-BD7E-006C00670060}">
      <formula1>0</formula1>
      <formula2>1E+28</formula2>
    </dataValidation>
    <dataValidation type="whole" operator="greaterThanOrEqual" allowBlank="1" showInputMessage="1" showErrorMessage="1" sqref="C279:C287 B272:D274 B291:B296 F31:G61 G22:AD27 C69:C81 C85:H89 B64:B65 C95:H99 D113:I118 B122:B126 B129:B133 D136:F141 C265:D267 C156:C157 G160:I184 C190:D199 B203:D205 C209:E233 D237:E238 C242:D254 C256:D258 C260:D263 I12:AD14 G12:H14" xr:uid="{00D20039-0007-4AD7-9B30-008A00150069}">
      <formula1>0</formula1>
    </dataValidation>
    <dataValidation type="whole" allowBlank="1" showInputMessage="1" showErrorMessage="1" sqref="D104:I109" xr:uid="{00BA0027-0024-4F63-BBA6-001F0097002D}">
      <formula1>0</formula1>
      <formula2>9.99999999999999E+34</formula2>
    </dataValidation>
    <dataValidation type="whole" allowBlank="1" showInputMessage="1" showErrorMessage="1" sqref="C147:H152" xr:uid="{003F00D8-00E6-494E-A957-00D500DE00DA}">
      <formula1>0</formula1>
      <formula2>9.99999999999999E+37</formula2>
    </dataValidation>
    <dataValidation type="whole" allowBlank="1" showInputMessage="1" showErrorMessage="1" sqref="D16:AD17" xr:uid="{00B800AE-00AE-414D-BC34-00DF00B10006}">
      <formula1>0</formula1>
      <formula2>9.99999999999999E+28</formula2>
    </dataValidation>
  </dataValidations>
  <pageMargins left="0.7" right="0.7" top="0.75" bottom="0.75" header="0.3" footer="0.3"/>
  <pageSetup paperSize="9" orientation="portrait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Hoja19"/>
  <dimension ref="A1:CI354"/>
  <sheetViews>
    <sheetView showGridLines="0" workbookViewId="0"/>
  </sheetViews>
  <sheetFormatPr baseColWidth="10" defaultColWidth="11.42578125" defaultRowHeight="15"/>
  <cols>
    <col min="1" max="1" width="40.42578125" customWidth="1"/>
    <col min="2" max="2" width="32.7109375" customWidth="1"/>
    <col min="3" max="3" width="18.28515625" customWidth="1"/>
    <col min="4" max="9" width="16" customWidth="1"/>
    <col min="10" max="10" width="16.7109375" customWidth="1"/>
    <col min="11" max="11" width="15.28515625" customWidth="1"/>
    <col min="12" max="12" width="14.5703125" customWidth="1"/>
    <col min="13" max="13" width="15.140625" customWidth="1"/>
    <col min="14" max="19" width="14.7109375" customWidth="1"/>
    <col min="67" max="67" width="11.42578125" customWidth="1"/>
    <col min="68" max="68" width="11.42578125" hidden="1" customWidth="1"/>
    <col min="69" max="73" width="10.7109375" style="1945" hidden="1" customWidth="1"/>
    <col min="74" max="74" width="10.7109375" hidden="1" customWidth="1"/>
    <col min="75" max="78" width="10.7109375" style="419" hidden="1" customWidth="1"/>
    <col min="79" max="85" width="10.7109375" hidden="1" customWidth="1"/>
    <col min="86" max="87" width="11.42578125" hidden="1" customWidth="1"/>
    <col min="88" max="95" width="11.42578125" customWidth="1"/>
  </cols>
  <sheetData>
    <row r="1" spans="1:85">
      <c r="A1" s="378" t="s">
        <v>37</v>
      </c>
      <c r="BQ1"/>
      <c r="BR1"/>
      <c r="BS1"/>
      <c r="BT1"/>
      <c r="BU1"/>
      <c r="BW1"/>
      <c r="BX1"/>
      <c r="BY1"/>
      <c r="BZ1"/>
    </row>
    <row r="2" spans="1:85">
      <c r="A2" s="378" t="str">
        <f>CONCATENATE("COMUNA: ",NOMBRE!B2, " (",NOMBRE!C2,NOMBRE!D2,NOMBRE!E2,NOMBRE!F2,NOMBRE!G2,")")</f>
        <v>COMUNA: MAIPU (13119)</v>
      </c>
      <c r="BQ2"/>
      <c r="BR2"/>
      <c r="BS2"/>
      <c r="BT2"/>
      <c r="BU2"/>
      <c r="BW2"/>
      <c r="BX2"/>
      <c r="BY2"/>
      <c r="BZ2"/>
    </row>
    <row r="3" spans="1:85">
      <c r="A3" s="378" t="str">
        <f>CONCATENATE("ESTABLECIMIENTO/ESTRATEGIA: ", NOMBRE!B3, " (",NOMBRE!C3,NOMBRE!D3,NOMBRE!E3,NOMBRE!F3,NOMBRE!G3,NOMBRE!H3,")")</f>
        <v>ESTABLECIMIENTO/ESTRATEGIA: CESFAM DR. CARLOS GODOY (111380)</v>
      </c>
      <c r="BQ3"/>
      <c r="BR3"/>
      <c r="BS3"/>
      <c r="BT3"/>
      <c r="BU3"/>
      <c r="BW3"/>
      <c r="BX3"/>
      <c r="BY3"/>
      <c r="BZ3"/>
    </row>
    <row r="4" spans="1:85">
      <c r="A4" s="378" t="str">
        <f>CONCATENATE("MES: ",NOMBRE!B6, " (",NOMBRE!C6,NOMBRE!D6,")")</f>
        <v>MES: MARZO (03)</v>
      </c>
      <c r="BQ4"/>
      <c r="BR4"/>
      <c r="BS4"/>
      <c r="BT4"/>
      <c r="BU4"/>
      <c r="BW4"/>
      <c r="BX4"/>
      <c r="BY4"/>
      <c r="BZ4"/>
    </row>
    <row r="5" spans="1:85">
      <c r="A5" s="378" t="str">
        <f>CONCATENATE("AÑO: ",NOMBRE!B7)</f>
        <v>AÑO: 2026</v>
      </c>
      <c r="BQ5"/>
      <c r="BR5"/>
      <c r="BS5"/>
      <c r="BT5"/>
      <c r="BU5"/>
      <c r="BW5"/>
      <c r="BX5"/>
      <c r="BY5"/>
      <c r="BZ5"/>
    </row>
    <row r="6" spans="1:85" ht="18" customHeight="1">
      <c r="A6" s="7072" t="s">
        <v>3159</v>
      </c>
      <c r="B6" s="7072"/>
      <c r="C6" s="7072"/>
      <c r="D6" s="7072"/>
      <c r="E6" s="7072"/>
      <c r="F6" s="7072"/>
      <c r="G6" s="7072"/>
      <c r="H6" s="7072"/>
      <c r="I6" s="7072"/>
      <c r="J6" s="7072"/>
      <c r="K6" s="7072"/>
      <c r="L6" s="7072"/>
      <c r="M6" s="7072"/>
      <c r="N6" s="7072"/>
      <c r="O6" s="7072"/>
      <c r="P6" s="7072"/>
      <c r="BQ6"/>
      <c r="BR6"/>
      <c r="BS6"/>
      <c r="BT6"/>
      <c r="BU6"/>
      <c r="BW6"/>
      <c r="BX6"/>
      <c r="BY6"/>
      <c r="BZ6"/>
    </row>
    <row r="7" spans="1:85">
      <c r="S7" s="3037"/>
      <c r="T7" s="3037"/>
      <c r="BQ7"/>
      <c r="BR7"/>
      <c r="BS7"/>
      <c r="BT7"/>
      <c r="BU7"/>
      <c r="BW7"/>
      <c r="BX7"/>
      <c r="BY7"/>
      <c r="BZ7"/>
    </row>
    <row r="8" spans="1:85" s="2832" customFormat="1" ht="18" customHeight="1">
      <c r="A8" s="1468" t="s">
        <v>3160</v>
      </c>
      <c r="B8" s="1493"/>
      <c r="C8" s="1493"/>
      <c r="D8" s="1493"/>
      <c r="E8" s="1493"/>
      <c r="F8" s="1493"/>
      <c r="G8" s="1468"/>
      <c r="H8" s="1493"/>
      <c r="I8" s="1493"/>
      <c r="J8" s="1493"/>
      <c r="K8" s="1493"/>
      <c r="L8" s="1493"/>
      <c r="M8" s="1493"/>
      <c r="N8" s="1493"/>
      <c r="O8" s="1493"/>
      <c r="P8" s="1493"/>
      <c r="S8" s="3037"/>
      <c r="T8" s="3037"/>
    </row>
    <row r="9" spans="1:85" s="1470" customFormat="1" ht="75.75" customHeight="1">
      <c r="A9" s="5707" t="s">
        <v>678</v>
      </c>
      <c r="B9" s="5708"/>
      <c r="C9" s="1574" t="s">
        <v>91</v>
      </c>
      <c r="D9" s="391" t="s">
        <v>3161</v>
      </c>
      <c r="E9" s="1646" t="s">
        <v>3162</v>
      </c>
      <c r="F9" s="1646" t="s">
        <v>3163</v>
      </c>
      <c r="G9" s="2320" t="s">
        <v>3164</v>
      </c>
      <c r="H9" s="4420" t="s">
        <v>3165</v>
      </c>
      <c r="I9" s="4420" t="s">
        <v>3166</v>
      </c>
      <c r="J9" s="1396" t="s">
        <v>3167</v>
      </c>
      <c r="K9" s="2320" t="s">
        <v>3168</v>
      </c>
      <c r="L9" s="1398" t="s">
        <v>3169</v>
      </c>
      <c r="M9" s="1732" t="s">
        <v>3170</v>
      </c>
      <c r="N9" s="4421" t="s">
        <v>50</v>
      </c>
      <c r="O9" s="1574" t="s">
        <v>51</v>
      </c>
      <c r="P9" s="1574" t="s">
        <v>3171</v>
      </c>
      <c r="Q9" s="4422" t="s">
        <v>3172</v>
      </c>
      <c r="R9" s="1495" t="s">
        <v>48</v>
      </c>
      <c r="S9" s="1574" t="s">
        <v>49</v>
      </c>
      <c r="T9" s="3037"/>
      <c r="U9" s="3037"/>
    </row>
    <row r="10" spans="1:85" s="1470" customFormat="1" ht="15" customHeight="1">
      <c r="A10" s="6561" t="s">
        <v>3173</v>
      </c>
      <c r="B10" s="6563"/>
      <c r="C10" s="3555">
        <f t="shared" ref="C10:C35" si="0">SUM(D10:G10)</f>
        <v>0</v>
      </c>
      <c r="D10" s="4423"/>
      <c r="E10" s="4423"/>
      <c r="F10" s="4423"/>
      <c r="G10" s="4423"/>
      <c r="H10" s="4424"/>
      <c r="I10" s="4424"/>
      <c r="J10" s="4423"/>
      <c r="K10" s="4423"/>
      <c r="L10" s="4423"/>
      <c r="M10" s="4425"/>
      <c r="N10" s="4426"/>
      <c r="O10" s="443"/>
      <c r="P10" s="443"/>
      <c r="Q10" s="4427"/>
      <c r="R10" s="2249"/>
      <c r="S10" s="443"/>
      <c r="T10" s="1470" t="str">
        <f t="shared" ref="T10:T22" si="1">BQ10&amp;BS10&amp;BT10&amp;BU10&amp;BW10&amp;BX10</f>
        <v/>
      </c>
      <c r="BQ10" s="4428" t="str">
        <f t="shared" ref="BQ10:BQ35" si="2">IF((J10+K10+L10)&lt;&gt;C10," * La suma de Primera visita + Segunda visita + Tercera o más visitas de seguimiento debe ser igual al Total.","")</f>
        <v/>
      </c>
      <c r="BR10" s="1418"/>
      <c r="BS10" s="4428" t="str">
        <f>IF(AND(C10&gt;0,N10="")," * No olvide digitar la variable Pueblos Originarios. Digite Cero si no tiene.",IF(N10&gt;C10," * La variable Pueblos Originarios no puede ser mayor al Total.",""))</f>
        <v/>
      </c>
      <c r="BT10" s="4428" t="str">
        <f t="shared" ref="BT10:BT35" si="3">IF(AND(C10&gt;0,O10="")," * No olvide digitar la variable Migrantes. Digite Cero si no tiene.",IF(O10&gt;C10," * La variable Migrantes no puede ser mayor al Total.",""))</f>
        <v/>
      </c>
      <c r="BU10" s="4428" t="str">
        <f t="shared" ref="BU10:BU35" si="4">IF(AND($C10&gt;0,P10="")," * No olvide digitar la variable Espacio Amigable/Adolescente. Digite Cero si no tiene.",IF(P10&gt;$C10," * La variable Espacio Amigable/Adolescente no puede ser mayor al Total.",""))</f>
        <v/>
      </c>
      <c r="BV10" s="1418"/>
      <c r="BW10" s="4428" t="str">
        <f t="shared" ref="BW10:BW35" si="5">IF(AND($C10&gt;0,R10="")," * No olvide digitar la variable "&amp;R$9&amp;". Digite Cero si no tiene.",IF(R10&gt;$C10," * La variable "&amp;R$9&amp;" no puede ser mayor al Total.",""))</f>
        <v/>
      </c>
      <c r="BX10" s="4428" t="str">
        <f t="shared" ref="BX10:BX35" si="6">IF(AND($C10&gt;0,S10="")," * No olvide digitar la variable "&amp;S$9&amp;". Digite Cero si no tiene.",IF(S10&gt;$C10," * La variable "&amp;S$9&amp;" no puede ser mayor al Total.",""))</f>
        <v/>
      </c>
      <c r="BZ10" s="1420">
        <f t="shared" ref="BZ10:BZ35" si="7">IF((J10+K10+L10)&lt;&gt;C10,1,0)</f>
        <v>0</v>
      </c>
      <c r="CA10" s="4429"/>
      <c r="CB10" s="1420">
        <f t="shared" ref="CB10:CB35" si="8">IF(AND(C10&gt;0,N10=""),1,IF(N10&gt;C10,1,0))</f>
        <v>0</v>
      </c>
      <c r="CC10" s="1420">
        <f t="shared" ref="CC10:CC35" si="9">IF(AND(C10&gt;0,O10=""),1,IF(O10&gt;C10,1,0))</f>
        <v>0</v>
      </c>
      <c r="CD10" s="1420">
        <f t="shared" ref="CD10:CE35" si="10">IF(AND($C10&gt;0,P10=""),1,IF(P10&gt;$C10,1,0))</f>
        <v>0</v>
      </c>
      <c r="CE10" s="4429"/>
      <c r="CF10" s="1420">
        <f t="shared" ref="CF10:CF35" si="11">IF(AND($C10&gt;0,R10=""),1,IF(R10&gt;$C10,1,0))</f>
        <v>0</v>
      </c>
      <c r="CG10" s="1420">
        <f t="shared" ref="CG10:CG35" si="12">IF(AND($C10&gt;0,S10=""),1,IF(S10&gt;$C10,1,0))</f>
        <v>0</v>
      </c>
    </row>
    <row r="11" spans="1:85" s="1470" customFormat="1" ht="15" customHeight="1">
      <c r="A11" s="6181" t="s">
        <v>3174</v>
      </c>
      <c r="B11" s="6182"/>
      <c r="C11" s="3555">
        <f t="shared" si="0"/>
        <v>0</v>
      </c>
      <c r="D11" s="4423"/>
      <c r="E11" s="4423"/>
      <c r="F11" s="4423"/>
      <c r="G11" s="4423"/>
      <c r="H11" s="4424"/>
      <c r="I11" s="4424"/>
      <c r="J11" s="4423"/>
      <c r="K11" s="4423"/>
      <c r="L11" s="4423"/>
      <c r="M11" s="4430"/>
      <c r="N11" s="4426"/>
      <c r="O11" s="443"/>
      <c r="P11" s="443"/>
      <c r="Q11" s="4431"/>
      <c r="R11" s="2249"/>
      <c r="S11" s="443"/>
      <c r="T11" s="1470" t="str">
        <f t="shared" si="1"/>
        <v/>
      </c>
      <c r="BQ11" s="4428" t="str">
        <f t="shared" si="2"/>
        <v/>
      </c>
      <c r="BR11" s="1418"/>
      <c r="BS11" s="4428" t="str">
        <f t="shared" ref="BS11:BS35" si="13">IF(AND(C11&gt;0,N11="")," * No olvide digitar la variable Pueblos Originarios. Digite Cero si no tiene..",IF(N11&gt;C11," * La variable Pueblos Originarios no puede ser mayor al Total.",""))</f>
        <v/>
      </c>
      <c r="BT11" s="4428" t="str">
        <f t="shared" si="3"/>
        <v/>
      </c>
      <c r="BU11" s="4428" t="str">
        <f t="shared" si="4"/>
        <v/>
      </c>
      <c r="BV11" s="1418"/>
      <c r="BW11" s="4428" t="str">
        <f t="shared" si="5"/>
        <v/>
      </c>
      <c r="BX11" s="4428" t="str">
        <f t="shared" si="6"/>
        <v/>
      </c>
      <c r="BZ11" s="1420">
        <f t="shared" si="7"/>
        <v>0</v>
      </c>
      <c r="CA11" s="4429"/>
      <c r="CB11" s="1420">
        <f t="shared" si="8"/>
        <v>0</v>
      </c>
      <c r="CC11" s="1420">
        <f t="shared" si="9"/>
        <v>0</v>
      </c>
      <c r="CD11" s="1420">
        <f t="shared" si="10"/>
        <v>0</v>
      </c>
      <c r="CE11" s="4429"/>
      <c r="CF11" s="1420">
        <f t="shared" si="11"/>
        <v>0</v>
      </c>
      <c r="CG11" s="1420">
        <f t="shared" si="12"/>
        <v>0</v>
      </c>
    </row>
    <row r="12" spans="1:85" s="1470" customFormat="1" ht="15" customHeight="1">
      <c r="A12" s="6181" t="s">
        <v>3175</v>
      </c>
      <c r="B12" s="6182"/>
      <c r="C12" s="3555">
        <f t="shared" si="0"/>
        <v>0</v>
      </c>
      <c r="D12" s="4423"/>
      <c r="E12" s="4423"/>
      <c r="F12" s="4423"/>
      <c r="G12" s="4423"/>
      <c r="H12" s="4424"/>
      <c r="I12" s="4424"/>
      <c r="J12" s="4423"/>
      <c r="K12" s="4423"/>
      <c r="L12" s="4423"/>
      <c r="M12" s="4430"/>
      <c r="N12" s="4426"/>
      <c r="O12" s="443"/>
      <c r="P12" s="443"/>
      <c r="Q12" s="4431"/>
      <c r="R12" s="2249"/>
      <c r="S12" s="443"/>
      <c r="T12" s="1470" t="str">
        <f t="shared" si="1"/>
        <v/>
      </c>
      <c r="BQ12" s="4428" t="str">
        <f t="shared" si="2"/>
        <v/>
      </c>
      <c r="BR12" s="1418"/>
      <c r="BS12" s="4428" t="str">
        <f t="shared" si="13"/>
        <v/>
      </c>
      <c r="BT12" s="4428" t="str">
        <f t="shared" si="3"/>
        <v/>
      </c>
      <c r="BU12" s="4428" t="str">
        <f t="shared" si="4"/>
        <v/>
      </c>
      <c r="BV12" s="1418"/>
      <c r="BW12" s="4428" t="str">
        <f t="shared" si="5"/>
        <v/>
      </c>
      <c r="BX12" s="4428" t="str">
        <f t="shared" si="6"/>
        <v/>
      </c>
      <c r="BZ12" s="1420">
        <f t="shared" si="7"/>
        <v>0</v>
      </c>
      <c r="CA12" s="4429"/>
      <c r="CB12" s="1420">
        <f t="shared" si="8"/>
        <v>0</v>
      </c>
      <c r="CC12" s="1420">
        <f t="shared" si="9"/>
        <v>0</v>
      </c>
      <c r="CD12" s="1420">
        <f t="shared" si="10"/>
        <v>0</v>
      </c>
      <c r="CE12" s="4429"/>
      <c r="CF12" s="1420">
        <f t="shared" si="11"/>
        <v>0</v>
      </c>
      <c r="CG12" s="1420">
        <f t="shared" si="12"/>
        <v>0</v>
      </c>
    </row>
    <row r="13" spans="1:85" s="1470" customFormat="1" ht="15" customHeight="1">
      <c r="A13" s="6181" t="s">
        <v>3176</v>
      </c>
      <c r="B13" s="6182"/>
      <c r="C13" s="3555">
        <f t="shared" si="0"/>
        <v>0</v>
      </c>
      <c r="D13" s="4423"/>
      <c r="E13" s="4423"/>
      <c r="F13" s="4423"/>
      <c r="G13" s="4423"/>
      <c r="H13" s="4424"/>
      <c r="I13" s="4424"/>
      <c r="J13" s="4423"/>
      <c r="K13" s="4423"/>
      <c r="L13" s="4423"/>
      <c r="M13" s="4430"/>
      <c r="N13" s="4426"/>
      <c r="O13" s="443"/>
      <c r="P13" s="443"/>
      <c r="Q13" s="4431"/>
      <c r="R13" s="2249"/>
      <c r="S13" s="443"/>
      <c r="T13" s="1470" t="str">
        <f t="shared" si="1"/>
        <v/>
      </c>
      <c r="BQ13" s="4428" t="str">
        <f t="shared" si="2"/>
        <v/>
      </c>
      <c r="BR13" s="1418"/>
      <c r="BS13" s="4428" t="str">
        <f t="shared" si="13"/>
        <v/>
      </c>
      <c r="BT13" s="4428" t="str">
        <f t="shared" si="3"/>
        <v/>
      </c>
      <c r="BU13" s="4428" t="str">
        <f t="shared" si="4"/>
        <v/>
      </c>
      <c r="BV13" s="1418"/>
      <c r="BW13" s="4428" t="str">
        <f t="shared" si="5"/>
        <v/>
      </c>
      <c r="BX13" s="4428" t="str">
        <f t="shared" si="6"/>
        <v/>
      </c>
      <c r="BZ13" s="1420">
        <f t="shared" si="7"/>
        <v>0</v>
      </c>
      <c r="CA13" s="4429"/>
      <c r="CB13" s="1420">
        <f t="shared" si="8"/>
        <v>0</v>
      </c>
      <c r="CC13" s="1420">
        <f t="shared" si="9"/>
        <v>0</v>
      </c>
      <c r="CD13" s="1420">
        <f t="shared" si="10"/>
        <v>0</v>
      </c>
      <c r="CE13" s="4429"/>
      <c r="CF13" s="1420">
        <f t="shared" si="11"/>
        <v>0</v>
      </c>
      <c r="CG13" s="1420">
        <f t="shared" si="12"/>
        <v>0</v>
      </c>
    </row>
    <row r="14" spans="1:85" s="1470" customFormat="1" ht="15" customHeight="1">
      <c r="A14" s="6181" t="s">
        <v>3177</v>
      </c>
      <c r="B14" s="6182"/>
      <c r="C14" s="3555">
        <f t="shared" si="0"/>
        <v>0</v>
      </c>
      <c r="D14" s="4423"/>
      <c r="E14" s="4423"/>
      <c r="F14" s="4423"/>
      <c r="G14" s="4423"/>
      <c r="H14" s="4424"/>
      <c r="I14" s="4424"/>
      <c r="J14" s="4423"/>
      <c r="K14" s="4423"/>
      <c r="L14" s="4423"/>
      <c r="M14" s="4430"/>
      <c r="N14" s="4426"/>
      <c r="O14" s="443"/>
      <c r="P14" s="443"/>
      <c r="Q14" s="4431"/>
      <c r="R14" s="2249"/>
      <c r="S14" s="443"/>
      <c r="T14" s="1470" t="str">
        <f t="shared" si="1"/>
        <v/>
      </c>
      <c r="BQ14" s="4428" t="str">
        <f t="shared" si="2"/>
        <v/>
      </c>
      <c r="BR14" s="1418"/>
      <c r="BS14" s="4428" t="str">
        <f t="shared" si="13"/>
        <v/>
      </c>
      <c r="BT14" s="4428" t="str">
        <f t="shared" si="3"/>
        <v/>
      </c>
      <c r="BU14" s="4428" t="str">
        <f t="shared" si="4"/>
        <v/>
      </c>
      <c r="BV14" s="1418"/>
      <c r="BW14" s="4428" t="str">
        <f t="shared" si="5"/>
        <v/>
      </c>
      <c r="BX14" s="4428" t="str">
        <f t="shared" si="6"/>
        <v/>
      </c>
      <c r="BZ14" s="1420">
        <f t="shared" si="7"/>
        <v>0</v>
      </c>
      <c r="CA14" s="4429"/>
      <c r="CB14" s="1420">
        <f t="shared" si="8"/>
        <v>0</v>
      </c>
      <c r="CC14" s="1420">
        <f t="shared" si="9"/>
        <v>0</v>
      </c>
      <c r="CD14" s="1420">
        <f t="shared" si="10"/>
        <v>0</v>
      </c>
      <c r="CE14" s="4429"/>
      <c r="CF14" s="1420">
        <f t="shared" si="11"/>
        <v>0</v>
      </c>
      <c r="CG14" s="1420">
        <f t="shared" si="12"/>
        <v>0</v>
      </c>
    </row>
    <row r="15" spans="1:85" s="1470" customFormat="1" ht="15" customHeight="1">
      <c r="A15" s="6181" t="s">
        <v>3178</v>
      </c>
      <c r="B15" s="6182"/>
      <c r="C15" s="3555">
        <f t="shared" si="0"/>
        <v>0</v>
      </c>
      <c r="D15" s="4423"/>
      <c r="E15" s="4423"/>
      <c r="F15" s="4423"/>
      <c r="G15" s="4423"/>
      <c r="H15" s="4424"/>
      <c r="I15" s="4424"/>
      <c r="J15" s="4423"/>
      <c r="K15" s="4423"/>
      <c r="L15" s="4423"/>
      <c r="M15" s="4430"/>
      <c r="N15" s="4426"/>
      <c r="O15" s="443"/>
      <c r="P15" s="443"/>
      <c r="Q15" s="4431"/>
      <c r="R15" s="2249"/>
      <c r="S15" s="443"/>
      <c r="T15" s="1470" t="str">
        <f t="shared" si="1"/>
        <v/>
      </c>
      <c r="BQ15" s="4428" t="str">
        <f t="shared" si="2"/>
        <v/>
      </c>
      <c r="BR15" s="1418"/>
      <c r="BS15" s="4428" t="str">
        <f t="shared" si="13"/>
        <v/>
      </c>
      <c r="BT15" s="4428" t="str">
        <f t="shared" si="3"/>
        <v/>
      </c>
      <c r="BU15" s="4428" t="str">
        <f t="shared" si="4"/>
        <v/>
      </c>
      <c r="BV15" s="1418"/>
      <c r="BW15" s="4428" t="str">
        <f t="shared" si="5"/>
        <v/>
      </c>
      <c r="BX15" s="4428" t="str">
        <f t="shared" si="6"/>
        <v/>
      </c>
      <c r="BZ15" s="1420">
        <f t="shared" si="7"/>
        <v>0</v>
      </c>
      <c r="CA15" s="4429"/>
      <c r="CB15" s="1420">
        <f t="shared" si="8"/>
        <v>0</v>
      </c>
      <c r="CC15" s="1420">
        <f t="shared" si="9"/>
        <v>0</v>
      </c>
      <c r="CD15" s="1420">
        <f t="shared" si="10"/>
        <v>0</v>
      </c>
      <c r="CE15" s="4429"/>
      <c r="CF15" s="1420">
        <f t="shared" si="11"/>
        <v>0</v>
      </c>
      <c r="CG15" s="1420">
        <f t="shared" si="12"/>
        <v>0</v>
      </c>
    </row>
    <row r="16" spans="1:85" s="1470" customFormat="1" ht="15" customHeight="1">
      <c r="A16" s="6181" t="s">
        <v>3179</v>
      </c>
      <c r="B16" s="6182"/>
      <c r="C16" s="3555">
        <f t="shared" si="0"/>
        <v>0</v>
      </c>
      <c r="D16" s="4423"/>
      <c r="E16" s="4423"/>
      <c r="F16" s="4423"/>
      <c r="G16" s="4423"/>
      <c r="H16" s="4424"/>
      <c r="I16" s="4424"/>
      <c r="J16" s="4423"/>
      <c r="K16" s="4423"/>
      <c r="L16" s="4423"/>
      <c r="M16" s="4430"/>
      <c r="N16" s="4426"/>
      <c r="O16" s="443"/>
      <c r="P16" s="443"/>
      <c r="Q16" s="4431"/>
      <c r="R16" s="2249"/>
      <c r="S16" s="443"/>
      <c r="T16" s="1470" t="str">
        <f t="shared" si="1"/>
        <v/>
      </c>
      <c r="BQ16" s="4428" t="str">
        <f t="shared" si="2"/>
        <v/>
      </c>
      <c r="BR16" s="1418"/>
      <c r="BS16" s="4428" t="str">
        <f t="shared" si="13"/>
        <v/>
      </c>
      <c r="BT16" s="4428" t="str">
        <f t="shared" si="3"/>
        <v/>
      </c>
      <c r="BU16" s="4428" t="str">
        <f t="shared" si="4"/>
        <v/>
      </c>
      <c r="BV16" s="1418"/>
      <c r="BW16" s="4428" t="str">
        <f t="shared" si="5"/>
        <v/>
      </c>
      <c r="BX16" s="4428" t="str">
        <f t="shared" si="6"/>
        <v/>
      </c>
      <c r="BZ16" s="1420">
        <f t="shared" si="7"/>
        <v>0</v>
      </c>
      <c r="CA16" s="4429"/>
      <c r="CB16" s="1420">
        <f t="shared" si="8"/>
        <v>0</v>
      </c>
      <c r="CC16" s="1420">
        <f t="shared" si="9"/>
        <v>0</v>
      </c>
      <c r="CD16" s="1420">
        <f t="shared" si="10"/>
        <v>0</v>
      </c>
      <c r="CE16" s="4429"/>
      <c r="CF16" s="1420">
        <f t="shared" si="11"/>
        <v>0</v>
      </c>
      <c r="CG16" s="1420">
        <f t="shared" si="12"/>
        <v>0</v>
      </c>
    </row>
    <row r="17" spans="1:85" s="1470" customFormat="1" ht="15" customHeight="1">
      <c r="A17" s="6181" t="s">
        <v>3180</v>
      </c>
      <c r="B17" s="6182"/>
      <c r="C17" s="3555">
        <f t="shared" si="0"/>
        <v>0</v>
      </c>
      <c r="D17" s="4423"/>
      <c r="E17" s="4423"/>
      <c r="F17" s="4423"/>
      <c r="G17" s="4423"/>
      <c r="H17" s="4424"/>
      <c r="I17" s="4424"/>
      <c r="J17" s="4423"/>
      <c r="K17" s="4423"/>
      <c r="L17" s="4423"/>
      <c r="M17" s="4430"/>
      <c r="N17" s="4426"/>
      <c r="O17" s="443"/>
      <c r="P17" s="443"/>
      <c r="Q17" s="4431"/>
      <c r="R17" s="2249"/>
      <c r="S17" s="443"/>
      <c r="T17" s="1470" t="str">
        <f t="shared" si="1"/>
        <v/>
      </c>
      <c r="BQ17" s="4428" t="str">
        <f t="shared" si="2"/>
        <v/>
      </c>
      <c r="BR17" s="1418"/>
      <c r="BS17" s="4428" t="str">
        <f t="shared" si="13"/>
        <v/>
      </c>
      <c r="BT17" s="4428" t="str">
        <f t="shared" si="3"/>
        <v/>
      </c>
      <c r="BU17" s="4428" t="str">
        <f t="shared" si="4"/>
        <v/>
      </c>
      <c r="BV17" s="1418"/>
      <c r="BW17" s="4428" t="str">
        <f t="shared" si="5"/>
        <v/>
      </c>
      <c r="BX17" s="4428" t="str">
        <f t="shared" si="6"/>
        <v/>
      </c>
      <c r="BZ17" s="1420">
        <f t="shared" si="7"/>
        <v>0</v>
      </c>
      <c r="CA17" s="4429"/>
      <c r="CB17" s="1420">
        <f t="shared" si="8"/>
        <v>0</v>
      </c>
      <c r="CC17" s="1420">
        <f t="shared" si="9"/>
        <v>0</v>
      </c>
      <c r="CD17" s="1420">
        <f t="shared" si="10"/>
        <v>0</v>
      </c>
      <c r="CE17" s="4429"/>
      <c r="CF17" s="1420">
        <f t="shared" si="11"/>
        <v>0</v>
      </c>
      <c r="CG17" s="1420">
        <f t="shared" si="12"/>
        <v>0</v>
      </c>
    </row>
    <row r="18" spans="1:85" s="1470" customFormat="1" ht="15" customHeight="1">
      <c r="A18" s="6181" t="s">
        <v>3181</v>
      </c>
      <c r="B18" s="6182"/>
      <c r="C18" s="3555">
        <f t="shared" si="0"/>
        <v>0</v>
      </c>
      <c r="D18" s="4423"/>
      <c r="E18" s="4423"/>
      <c r="F18" s="4423"/>
      <c r="G18" s="4423"/>
      <c r="H18" s="4424"/>
      <c r="I18" s="4424"/>
      <c r="J18" s="4423"/>
      <c r="K18" s="4423"/>
      <c r="L18" s="4423"/>
      <c r="M18" s="442"/>
      <c r="N18" s="4426"/>
      <c r="O18" s="443"/>
      <c r="P18" s="443"/>
      <c r="Q18" s="4431"/>
      <c r="R18" s="2249"/>
      <c r="S18" s="443"/>
      <c r="T18" s="1470" t="str">
        <f t="shared" ref="T18:T20" si="14">BQ18&amp;BR18&amp;BS18&amp;BT18&amp;BU18&amp;BW18&amp;BX18</f>
        <v/>
      </c>
      <c r="BQ18" s="4428" t="str">
        <f t="shared" si="2"/>
        <v/>
      </c>
      <c r="BR18" s="4428" t="str">
        <f t="shared" ref="BR18:BR35" si="15">IF(AND(C18&gt;0,M18="")," * No olvide digitar la variable Programa de Acompañamiento Psicosocial en APS. Si no tiene digite Cero.",IF(M18&gt;C18," * La variable Programa de Acompañamiento Psicosocial en APS no puede ser mayor al Total.",""))</f>
        <v/>
      </c>
      <c r="BS18" s="4428" t="str">
        <f t="shared" si="13"/>
        <v/>
      </c>
      <c r="BT18" s="4428" t="str">
        <f t="shared" si="3"/>
        <v/>
      </c>
      <c r="BU18" s="4428" t="str">
        <f t="shared" si="4"/>
        <v/>
      </c>
      <c r="BV18" s="1418"/>
      <c r="BW18" s="4428" t="str">
        <f t="shared" si="5"/>
        <v/>
      </c>
      <c r="BX18" s="4428" t="str">
        <f t="shared" si="6"/>
        <v/>
      </c>
      <c r="BZ18" s="1420">
        <f t="shared" si="7"/>
        <v>0</v>
      </c>
      <c r="CA18" s="1420">
        <f t="shared" ref="CA18:CA35" si="16">IF(AND(C18&gt;0,M18=""),1,IF(M18&gt;C18,1,0))</f>
        <v>0</v>
      </c>
      <c r="CB18" s="1420">
        <f t="shared" si="8"/>
        <v>0</v>
      </c>
      <c r="CC18" s="1420">
        <f t="shared" si="9"/>
        <v>0</v>
      </c>
      <c r="CD18" s="1420">
        <f t="shared" si="10"/>
        <v>0</v>
      </c>
      <c r="CE18" s="4429"/>
      <c r="CF18" s="1420">
        <f t="shared" si="11"/>
        <v>0</v>
      </c>
      <c r="CG18" s="1420">
        <f t="shared" si="12"/>
        <v>0</v>
      </c>
    </row>
    <row r="19" spans="1:85" s="1470" customFormat="1" ht="15" customHeight="1">
      <c r="A19" s="6181" t="s">
        <v>3182</v>
      </c>
      <c r="B19" s="6182"/>
      <c r="C19" s="3555">
        <f t="shared" si="0"/>
        <v>0</v>
      </c>
      <c r="D19" s="4423"/>
      <c r="E19" s="4423"/>
      <c r="F19" s="4423"/>
      <c r="G19" s="4423"/>
      <c r="H19" s="4424"/>
      <c r="I19" s="4424"/>
      <c r="J19" s="4423"/>
      <c r="K19" s="4423"/>
      <c r="L19" s="4423"/>
      <c r="M19" s="442"/>
      <c r="N19" s="4426"/>
      <c r="O19" s="443"/>
      <c r="P19" s="443"/>
      <c r="Q19" s="4431"/>
      <c r="R19" s="2249"/>
      <c r="S19" s="443"/>
      <c r="T19" s="1470" t="str">
        <f t="shared" si="14"/>
        <v/>
      </c>
      <c r="BQ19" s="4428" t="str">
        <f t="shared" si="2"/>
        <v/>
      </c>
      <c r="BR19" s="4428" t="str">
        <f t="shared" si="15"/>
        <v/>
      </c>
      <c r="BS19" s="4428" t="str">
        <f t="shared" si="13"/>
        <v/>
      </c>
      <c r="BT19" s="4428" t="str">
        <f t="shared" si="3"/>
        <v/>
      </c>
      <c r="BU19" s="4428" t="str">
        <f t="shared" si="4"/>
        <v/>
      </c>
      <c r="BV19" s="1418"/>
      <c r="BW19" s="4428" t="str">
        <f t="shared" si="5"/>
        <v/>
      </c>
      <c r="BX19" s="4428" t="str">
        <f t="shared" si="6"/>
        <v/>
      </c>
      <c r="BZ19" s="1420">
        <f t="shared" si="7"/>
        <v>0</v>
      </c>
      <c r="CA19" s="1420">
        <f t="shared" si="16"/>
        <v>0</v>
      </c>
      <c r="CB19" s="1420">
        <f t="shared" si="8"/>
        <v>0</v>
      </c>
      <c r="CC19" s="1420">
        <f t="shared" si="9"/>
        <v>0</v>
      </c>
      <c r="CD19" s="1420">
        <f t="shared" si="10"/>
        <v>0</v>
      </c>
      <c r="CE19" s="4429"/>
      <c r="CF19" s="1420">
        <f t="shared" si="11"/>
        <v>0</v>
      </c>
      <c r="CG19" s="1420">
        <f t="shared" si="12"/>
        <v>0</v>
      </c>
    </row>
    <row r="20" spans="1:85" s="1470" customFormat="1" ht="15" customHeight="1">
      <c r="A20" s="6181" t="s">
        <v>3183</v>
      </c>
      <c r="B20" s="6182"/>
      <c r="C20" s="3555">
        <f t="shared" si="0"/>
        <v>0</v>
      </c>
      <c r="D20" s="4423"/>
      <c r="E20" s="4423"/>
      <c r="F20" s="4423"/>
      <c r="G20" s="4423"/>
      <c r="H20" s="4424"/>
      <c r="I20" s="4424"/>
      <c r="J20" s="4423"/>
      <c r="K20" s="4423"/>
      <c r="L20" s="4423"/>
      <c r="M20" s="442"/>
      <c r="N20" s="4426"/>
      <c r="O20" s="443"/>
      <c r="P20" s="443"/>
      <c r="Q20" s="4431"/>
      <c r="R20" s="2249"/>
      <c r="S20" s="443"/>
      <c r="T20" s="1470" t="str">
        <f t="shared" si="14"/>
        <v/>
      </c>
      <c r="BQ20" s="4428" t="str">
        <f t="shared" si="2"/>
        <v/>
      </c>
      <c r="BR20" s="4428" t="str">
        <f t="shared" si="15"/>
        <v/>
      </c>
      <c r="BS20" s="4428" t="str">
        <f t="shared" si="13"/>
        <v/>
      </c>
      <c r="BT20" s="4428" t="str">
        <f t="shared" si="3"/>
        <v/>
      </c>
      <c r="BU20" s="4428" t="str">
        <f t="shared" si="4"/>
        <v/>
      </c>
      <c r="BV20" s="1418"/>
      <c r="BW20" s="4428" t="str">
        <f t="shared" si="5"/>
        <v/>
      </c>
      <c r="BX20" s="4428" t="str">
        <f t="shared" si="6"/>
        <v/>
      </c>
      <c r="BZ20" s="1420">
        <f t="shared" si="7"/>
        <v>0</v>
      </c>
      <c r="CA20" s="1420">
        <f t="shared" si="16"/>
        <v>0</v>
      </c>
      <c r="CB20" s="1420">
        <f t="shared" si="8"/>
        <v>0</v>
      </c>
      <c r="CC20" s="1420">
        <f t="shared" si="9"/>
        <v>0</v>
      </c>
      <c r="CD20" s="1420">
        <f t="shared" si="10"/>
        <v>0</v>
      </c>
      <c r="CE20" s="4429"/>
      <c r="CF20" s="1420">
        <f t="shared" si="11"/>
        <v>0</v>
      </c>
      <c r="CG20" s="1420">
        <f t="shared" si="12"/>
        <v>0</v>
      </c>
    </row>
    <row r="21" spans="1:85" s="1470" customFormat="1" ht="15" customHeight="1">
      <c r="A21" s="6181" t="s">
        <v>3184</v>
      </c>
      <c r="B21" s="6182"/>
      <c r="C21" s="3555">
        <f t="shared" si="0"/>
        <v>0</v>
      </c>
      <c r="D21" s="4423"/>
      <c r="E21" s="4423"/>
      <c r="F21" s="4423"/>
      <c r="G21" s="4423"/>
      <c r="H21" s="4424"/>
      <c r="I21" s="4424"/>
      <c r="J21" s="4423"/>
      <c r="K21" s="4423"/>
      <c r="L21" s="4423"/>
      <c r="M21" s="4430"/>
      <c r="N21" s="4426"/>
      <c r="O21" s="443"/>
      <c r="P21" s="443"/>
      <c r="Q21" s="4431"/>
      <c r="R21" s="2249"/>
      <c r="S21" s="443"/>
      <c r="T21" s="1470" t="str">
        <f t="shared" si="1"/>
        <v/>
      </c>
      <c r="BQ21" s="4428" t="str">
        <f t="shared" si="2"/>
        <v/>
      </c>
      <c r="BR21" s="1418"/>
      <c r="BS21" s="4428" t="str">
        <f t="shared" si="13"/>
        <v/>
      </c>
      <c r="BT21" s="4428" t="str">
        <f t="shared" si="3"/>
        <v/>
      </c>
      <c r="BU21" s="4428" t="str">
        <f t="shared" si="4"/>
        <v/>
      </c>
      <c r="BV21" s="1418"/>
      <c r="BW21" s="4428" t="str">
        <f t="shared" si="5"/>
        <v/>
      </c>
      <c r="BX21" s="4428" t="str">
        <f t="shared" si="6"/>
        <v/>
      </c>
      <c r="BZ21" s="1420">
        <f t="shared" si="7"/>
        <v>0</v>
      </c>
      <c r="CA21" s="4429"/>
      <c r="CB21" s="1420">
        <f t="shared" si="8"/>
        <v>0</v>
      </c>
      <c r="CC21" s="1420">
        <f t="shared" si="9"/>
        <v>0</v>
      </c>
      <c r="CD21" s="1420">
        <f t="shared" si="10"/>
        <v>0</v>
      </c>
      <c r="CE21" s="4429"/>
      <c r="CF21" s="1420">
        <f t="shared" si="11"/>
        <v>0</v>
      </c>
      <c r="CG21" s="1420">
        <f t="shared" si="12"/>
        <v>0</v>
      </c>
    </row>
    <row r="22" spans="1:85" s="1470" customFormat="1" ht="15" customHeight="1">
      <c r="A22" s="6181" t="s">
        <v>3185</v>
      </c>
      <c r="B22" s="6182"/>
      <c r="C22" s="3555">
        <f t="shared" si="0"/>
        <v>0</v>
      </c>
      <c r="D22" s="4423"/>
      <c r="E22" s="4423"/>
      <c r="F22" s="4423"/>
      <c r="G22" s="4423"/>
      <c r="H22" s="4424"/>
      <c r="I22" s="4424"/>
      <c r="J22" s="4423"/>
      <c r="K22" s="4423"/>
      <c r="L22" s="4423"/>
      <c r="M22" s="4430"/>
      <c r="N22" s="4426"/>
      <c r="O22" s="443"/>
      <c r="P22" s="443"/>
      <c r="Q22" s="4431"/>
      <c r="R22" s="2249"/>
      <c r="S22" s="443"/>
      <c r="T22" s="1470" t="str">
        <f t="shared" si="1"/>
        <v/>
      </c>
      <c r="BQ22" s="4428" t="str">
        <f t="shared" si="2"/>
        <v/>
      </c>
      <c r="BR22" s="1418"/>
      <c r="BS22" s="4428" t="str">
        <f t="shared" si="13"/>
        <v/>
      </c>
      <c r="BT22" s="4428" t="str">
        <f t="shared" si="3"/>
        <v/>
      </c>
      <c r="BU22" s="4428" t="str">
        <f t="shared" si="4"/>
        <v/>
      </c>
      <c r="BV22" s="1418"/>
      <c r="BW22" s="4428" t="str">
        <f t="shared" si="5"/>
        <v/>
      </c>
      <c r="BX22" s="4428" t="str">
        <f t="shared" si="6"/>
        <v/>
      </c>
      <c r="BZ22" s="1420">
        <f t="shared" si="7"/>
        <v>0</v>
      </c>
      <c r="CA22" s="4429"/>
      <c r="CB22" s="1420">
        <f t="shared" si="8"/>
        <v>0</v>
      </c>
      <c r="CC22" s="1420">
        <f t="shared" si="9"/>
        <v>0</v>
      </c>
      <c r="CD22" s="1420">
        <f t="shared" si="10"/>
        <v>0</v>
      </c>
      <c r="CE22" s="4429"/>
      <c r="CF22" s="1420">
        <f t="shared" si="11"/>
        <v>0</v>
      </c>
      <c r="CG22" s="1420">
        <f t="shared" si="12"/>
        <v>0</v>
      </c>
    </row>
    <row r="23" spans="1:85" s="1470" customFormat="1" ht="15" customHeight="1">
      <c r="A23" s="6181" t="s">
        <v>3186</v>
      </c>
      <c r="B23" s="6182"/>
      <c r="C23" s="3555">
        <f t="shared" si="0"/>
        <v>0</v>
      </c>
      <c r="D23" s="4423"/>
      <c r="E23" s="4423"/>
      <c r="F23" s="4423"/>
      <c r="G23" s="4423"/>
      <c r="H23" s="4424"/>
      <c r="I23" s="4424"/>
      <c r="J23" s="4423"/>
      <c r="K23" s="4423"/>
      <c r="L23" s="4423"/>
      <c r="M23" s="442"/>
      <c r="N23" s="4426"/>
      <c r="O23" s="443"/>
      <c r="P23" s="443"/>
      <c r="Q23" s="4432"/>
      <c r="R23" s="2249"/>
      <c r="S23" s="443"/>
      <c r="T23" s="1470" t="str">
        <f t="shared" ref="T23:T25" si="17">BQ23&amp;BR23&amp;BS23&amp;BT23&amp;BU23&amp;BV23&amp;BW23&amp;BX23</f>
        <v/>
      </c>
      <c r="BQ23" s="4428" t="str">
        <f t="shared" si="2"/>
        <v/>
      </c>
      <c r="BR23" s="4428" t="str">
        <f t="shared" si="15"/>
        <v/>
      </c>
      <c r="BS23" s="4428" t="str">
        <f t="shared" si="13"/>
        <v/>
      </c>
      <c r="BT23" s="4428" t="str">
        <f t="shared" si="3"/>
        <v/>
      </c>
      <c r="BU23" s="4428" t="str">
        <f t="shared" si="4"/>
        <v/>
      </c>
      <c r="BV23" s="4428" t="str">
        <f t="shared" ref="BV23:BV25" si="18">IF(AND($C23&gt;0,Q23="")," * No olvide digitar la variable Gestante con 3 o más riesgos. Digite Cero si no tiene.",IF(Q23&gt;$C23," * La variable Gestante con 3 o más riesgos no puede ser mayor al Total.",""))</f>
        <v/>
      </c>
      <c r="BW23" s="4428" t="str">
        <f t="shared" si="5"/>
        <v/>
      </c>
      <c r="BX23" s="4428" t="str">
        <f t="shared" si="6"/>
        <v/>
      </c>
      <c r="BZ23" s="1420">
        <f t="shared" si="7"/>
        <v>0</v>
      </c>
      <c r="CA23" s="1420">
        <f t="shared" si="16"/>
        <v>0</v>
      </c>
      <c r="CB23" s="1420">
        <f t="shared" si="8"/>
        <v>0</v>
      </c>
      <c r="CC23" s="1420">
        <f t="shared" si="9"/>
        <v>0</v>
      </c>
      <c r="CD23" s="1420">
        <f t="shared" si="10"/>
        <v>0</v>
      </c>
      <c r="CE23" s="1420">
        <f>IF(AND($C23&gt;0,Q23=""),1,IF(Q23&gt;$C23,1,0))</f>
        <v>0</v>
      </c>
      <c r="CF23" s="1420">
        <f t="shared" si="11"/>
        <v>0</v>
      </c>
      <c r="CG23" s="1420">
        <f t="shared" si="12"/>
        <v>0</v>
      </c>
    </row>
    <row r="24" spans="1:85" s="1470" customFormat="1" ht="15" customHeight="1">
      <c r="A24" s="6181" t="s">
        <v>3187</v>
      </c>
      <c r="B24" s="6182"/>
      <c r="C24" s="3555">
        <f t="shared" si="0"/>
        <v>0</v>
      </c>
      <c r="D24" s="4423"/>
      <c r="E24" s="4423"/>
      <c r="F24" s="4423"/>
      <c r="G24" s="4423"/>
      <c r="H24" s="4424"/>
      <c r="I24" s="4424"/>
      <c r="J24" s="4423"/>
      <c r="K24" s="4423"/>
      <c r="L24" s="4423"/>
      <c r="M24" s="442"/>
      <c r="N24" s="4426"/>
      <c r="O24" s="443"/>
      <c r="P24" s="443"/>
      <c r="Q24" s="4432"/>
      <c r="R24" s="2249"/>
      <c r="S24" s="443"/>
      <c r="T24" s="1470" t="str">
        <f t="shared" si="17"/>
        <v/>
      </c>
      <c r="BQ24" s="4428" t="str">
        <f t="shared" si="2"/>
        <v/>
      </c>
      <c r="BR24" s="4428" t="str">
        <f t="shared" si="15"/>
        <v/>
      </c>
      <c r="BS24" s="4428" t="str">
        <f t="shared" si="13"/>
        <v/>
      </c>
      <c r="BT24" s="4428" t="str">
        <f t="shared" si="3"/>
        <v/>
      </c>
      <c r="BU24" s="4428" t="str">
        <f t="shared" si="4"/>
        <v/>
      </c>
      <c r="BV24" s="4428" t="str">
        <f t="shared" si="18"/>
        <v/>
      </c>
      <c r="BW24" s="4428" t="str">
        <f t="shared" si="5"/>
        <v/>
      </c>
      <c r="BX24" s="4428" t="str">
        <f t="shared" si="6"/>
        <v/>
      </c>
      <c r="BZ24" s="1420">
        <f t="shared" si="7"/>
        <v>0</v>
      </c>
      <c r="CA24" s="1420">
        <f t="shared" si="16"/>
        <v>0</v>
      </c>
      <c r="CB24" s="1420">
        <f t="shared" si="8"/>
        <v>0</v>
      </c>
      <c r="CC24" s="1420">
        <f t="shared" si="9"/>
        <v>0</v>
      </c>
      <c r="CD24" s="1420">
        <f t="shared" si="10"/>
        <v>0</v>
      </c>
      <c r="CE24" s="1420">
        <f t="shared" si="10"/>
        <v>0</v>
      </c>
      <c r="CF24" s="1420">
        <f t="shared" si="11"/>
        <v>0</v>
      </c>
      <c r="CG24" s="1420">
        <f t="shared" si="12"/>
        <v>0</v>
      </c>
    </row>
    <row r="25" spans="1:85" s="1470" customFormat="1" ht="15" customHeight="1">
      <c r="A25" s="6181" t="s">
        <v>3188</v>
      </c>
      <c r="B25" s="6182"/>
      <c r="C25" s="3555">
        <f t="shared" si="0"/>
        <v>0</v>
      </c>
      <c r="D25" s="4423"/>
      <c r="E25" s="4423"/>
      <c r="F25" s="4423"/>
      <c r="G25" s="4423"/>
      <c r="H25" s="4424"/>
      <c r="I25" s="4424"/>
      <c r="J25" s="4423"/>
      <c r="K25" s="4423"/>
      <c r="L25" s="4423"/>
      <c r="M25" s="442"/>
      <c r="N25" s="4426"/>
      <c r="O25" s="443"/>
      <c r="P25" s="443"/>
      <c r="Q25" s="4432"/>
      <c r="R25" s="2249"/>
      <c r="S25" s="443"/>
      <c r="T25" s="1470" t="str">
        <f t="shared" si="17"/>
        <v/>
      </c>
      <c r="BQ25" s="4428" t="str">
        <f t="shared" si="2"/>
        <v/>
      </c>
      <c r="BR25" s="4428" t="str">
        <f t="shared" si="15"/>
        <v/>
      </c>
      <c r="BS25" s="4428" t="str">
        <f t="shared" si="13"/>
        <v/>
      </c>
      <c r="BT25" s="4428" t="str">
        <f t="shared" si="3"/>
        <v/>
      </c>
      <c r="BU25" s="4428" t="str">
        <f t="shared" si="4"/>
        <v/>
      </c>
      <c r="BV25" s="4428" t="str">
        <f t="shared" si="18"/>
        <v/>
      </c>
      <c r="BW25" s="4428" t="str">
        <f t="shared" si="5"/>
        <v/>
      </c>
      <c r="BX25" s="4428" t="str">
        <f t="shared" si="6"/>
        <v/>
      </c>
      <c r="BZ25" s="1420">
        <f t="shared" si="7"/>
        <v>0</v>
      </c>
      <c r="CA25" s="1420">
        <f t="shared" si="16"/>
        <v>0</v>
      </c>
      <c r="CB25" s="1420">
        <f t="shared" si="8"/>
        <v>0</v>
      </c>
      <c r="CC25" s="1420">
        <f t="shared" si="9"/>
        <v>0</v>
      </c>
      <c r="CD25" s="1420">
        <f t="shared" si="10"/>
        <v>0</v>
      </c>
      <c r="CE25" s="1420">
        <f t="shared" si="10"/>
        <v>0</v>
      </c>
      <c r="CF25" s="1420">
        <f t="shared" si="11"/>
        <v>0</v>
      </c>
      <c r="CG25" s="1420">
        <f t="shared" si="12"/>
        <v>0</v>
      </c>
    </row>
    <row r="26" spans="1:85" s="1470" customFormat="1" ht="15" customHeight="1">
      <c r="A26" s="6181" t="s">
        <v>3189</v>
      </c>
      <c r="B26" s="6182"/>
      <c r="C26" s="3555">
        <f t="shared" si="0"/>
        <v>0</v>
      </c>
      <c r="D26" s="4423"/>
      <c r="E26" s="4423"/>
      <c r="F26" s="4423"/>
      <c r="G26" s="4423"/>
      <c r="H26" s="4424"/>
      <c r="I26" s="4424"/>
      <c r="J26" s="4423"/>
      <c r="K26" s="4423"/>
      <c r="L26" s="4423"/>
      <c r="M26" s="4430"/>
      <c r="N26" s="4426"/>
      <c r="O26" s="443"/>
      <c r="P26" s="443"/>
      <c r="Q26" s="4433"/>
      <c r="R26" s="2249"/>
      <c r="S26" s="443"/>
      <c r="T26" s="1470" t="str">
        <f t="shared" ref="T26:T28" si="19">BQ26&amp;BS26&amp;BT26&amp;BU26&amp;BW26&amp;BX26</f>
        <v/>
      </c>
      <c r="BQ26" s="4428" t="str">
        <f t="shared" si="2"/>
        <v/>
      </c>
      <c r="BR26" s="1418"/>
      <c r="BS26" s="4428" t="str">
        <f t="shared" si="13"/>
        <v/>
      </c>
      <c r="BT26" s="4428" t="str">
        <f t="shared" si="3"/>
        <v/>
      </c>
      <c r="BU26" s="4428" t="str">
        <f t="shared" si="4"/>
        <v/>
      </c>
      <c r="BV26" s="1418"/>
      <c r="BW26" s="4428" t="str">
        <f t="shared" si="5"/>
        <v/>
      </c>
      <c r="BX26" s="4428" t="str">
        <f t="shared" si="6"/>
        <v/>
      </c>
      <c r="BZ26" s="1420">
        <f t="shared" si="7"/>
        <v>0</v>
      </c>
      <c r="CA26" s="4429"/>
      <c r="CB26" s="1420">
        <f t="shared" si="8"/>
        <v>0</v>
      </c>
      <c r="CC26" s="1420">
        <f t="shared" si="9"/>
        <v>0</v>
      </c>
      <c r="CD26" s="1420">
        <f t="shared" si="10"/>
        <v>0</v>
      </c>
      <c r="CE26" s="4429"/>
      <c r="CF26" s="1420">
        <f t="shared" si="11"/>
        <v>0</v>
      </c>
      <c r="CG26" s="1420">
        <f t="shared" si="12"/>
        <v>0</v>
      </c>
    </row>
    <row r="27" spans="1:85" s="1470" customFormat="1" ht="15" customHeight="1">
      <c r="A27" s="6181" t="s">
        <v>3190</v>
      </c>
      <c r="B27" s="6182"/>
      <c r="C27" s="3555">
        <f t="shared" si="0"/>
        <v>0</v>
      </c>
      <c r="D27" s="4423"/>
      <c r="E27" s="4423"/>
      <c r="F27" s="4423"/>
      <c r="G27" s="4423"/>
      <c r="H27" s="4424"/>
      <c r="I27" s="4424"/>
      <c r="J27" s="4423"/>
      <c r="K27" s="4423"/>
      <c r="L27" s="4423"/>
      <c r="M27" s="4430"/>
      <c r="N27" s="4426"/>
      <c r="O27" s="443"/>
      <c r="P27" s="443"/>
      <c r="Q27" s="4433"/>
      <c r="R27" s="2249"/>
      <c r="S27" s="443"/>
      <c r="T27" s="1470" t="str">
        <f t="shared" si="19"/>
        <v/>
      </c>
      <c r="BQ27" s="4428" t="str">
        <f t="shared" si="2"/>
        <v/>
      </c>
      <c r="BR27" s="1418"/>
      <c r="BS27" s="4428" t="str">
        <f t="shared" si="13"/>
        <v/>
      </c>
      <c r="BT27" s="4428" t="str">
        <f t="shared" si="3"/>
        <v/>
      </c>
      <c r="BU27" s="4428" t="str">
        <f t="shared" si="4"/>
        <v/>
      </c>
      <c r="BV27" s="1418"/>
      <c r="BW27" s="4428" t="str">
        <f t="shared" si="5"/>
        <v/>
      </c>
      <c r="BX27" s="4428" t="str">
        <f t="shared" si="6"/>
        <v/>
      </c>
      <c r="BZ27" s="1420">
        <f t="shared" si="7"/>
        <v>0</v>
      </c>
      <c r="CA27" s="4429"/>
      <c r="CB27" s="1420">
        <f t="shared" si="8"/>
        <v>0</v>
      </c>
      <c r="CC27" s="1420">
        <f t="shared" si="9"/>
        <v>0</v>
      </c>
      <c r="CD27" s="1420">
        <f t="shared" si="10"/>
        <v>0</v>
      </c>
      <c r="CE27" s="4429"/>
      <c r="CF27" s="1420">
        <f t="shared" si="11"/>
        <v>0</v>
      </c>
      <c r="CG27" s="1420">
        <f t="shared" si="12"/>
        <v>0</v>
      </c>
    </row>
    <row r="28" spans="1:85" s="1470" customFormat="1" ht="15" customHeight="1">
      <c r="A28" s="6181" t="s">
        <v>3191</v>
      </c>
      <c r="B28" s="6182"/>
      <c r="C28" s="3555">
        <f t="shared" si="0"/>
        <v>0</v>
      </c>
      <c r="D28" s="4423"/>
      <c r="E28" s="4423"/>
      <c r="F28" s="4423"/>
      <c r="G28" s="4423"/>
      <c r="H28" s="4424"/>
      <c r="I28" s="4424"/>
      <c r="J28" s="4423"/>
      <c r="K28" s="4423"/>
      <c r="L28" s="4423"/>
      <c r="M28" s="4430"/>
      <c r="N28" s="4426"/>
      <c r="O28" s="443"/>
      <c r="P28" s="443"/>
      <c r="Q28" s="4433"/>
      <c r="R28" s="2249"/>
      <c r="S28" s="443"/>
      <c r="T28" s="1470" t="str">
        <f t="shared" si="19"/>
        <v/>
      </c>
      <c r="BQ28" s="4428" t="str">
        <f t="shared" si="2"/>
        <v/>
      </c>
      <c r="BR28" s="1418"/>
      <c r="BS28" s="4428" t="str">
        <f t="shared" si="13"/>
        <v/>
      </c>
      <c r="BT28" s="4428" t="str">
        <f t="shared" si="3"/>
        <v/>
      </c>
      <c r="BU28" s="4428" t="str">
        <f t="shared" si="4"/>
        <v/>
      </c>
      <c r="BV28" s="1418"/>
      <c r="BW28" s="4428" t="str">
        <f t="shared" si="5"/>
        <v/>
      </c>
      <c r="BX28" s="4428" t="str">
        <f t="shared" si="6"/>
        <v/>
      </c>
      <c r="BZ28" s="1420">
        <f t="shared" si="7"/>
        <v>0</v>
      </c>
      <c r="CA28" s="4429"/>
      <c r="CB28" s="1420">
        <f t="shared" si="8"/>
        <v>0</v>
      </c>
      <c r="CC28" s="1420">
        <f t="shared" si="9"/>
        <v>0</v>
      </c>
      <c r="CD28" s="1420">
        <f t="shared" si="10"/>
        <v>0</v>
      </c>
      <c r="CE28" s="4429"/>
      <c r="CF28" s="1420">
        <f t="shared" si="11"/>
        <v>0</v>
      </c>
      <c r="CG28" s="1420">
        <f t="shared" si="12"/>
        <v>0</v>
      </c>
    </row>
    <row r="29" spans="1:85" s="1470" customFormat="1" ht="15" customHeight="1">
      <c r="A29" s="6181" t="s">
        <v>3192</v>
      </c>
      <c r="B29" s="6182"/>
      <c r="C29" s="3555">
        <f t="shared" si="0"/>
        <v>0</v>
      </c>
      <c r="D29" s="4423"/>
      <c r="E29" s="4423"/>
      <c r="F29" s="4423"/>
      <c r="G29" s="4423"/>
      <c r="H29" s="4424"/>
      <c r="I29" s="4424"/>
      <c r="J29" s="4423"/>
      <c r="K29" s="4423"/>
      <c r="L29" s="4423"/>
      <c r="M29" s="442"/>
      <c r="N29" s="4426"/>
      <c r="O29" s="443"/>
      <c r="P29" s="443"/>
      <c r="Q29" s="4433"/>
      <c r="R29" s="2249"/>
      <c r="S29" s="443"/>
      <c r="T29" s="1470" t="str">
        <f t="shared" ref="T29:T35" si="20">BQ29&amp;BR29&amp;BS29&amp;BT29&amp;BU29&amp;BW29&amp;BX29</f>
        <v/>
      </c>
      <c r="BQ29" s="4428" t="str">
        <f t="shared" si="2"/>
        <v/>
      </c>
      <c r="BR29" s="4428" t="str">
        <f t="shared" si="15"/>
        <v/>
      </c>
      <c r="BS29" s="4428" t="str">
        <f t="shared" si="13"/>
        <v/>
      </c>
      <c r="BT29" s="4428" t="str">
        <f t="shared" si="3"/>
        <v/>
      </c>
      <c r="BU29" s="4428" t="str">
        <f t="shared" si="4"/>
        <v/>
      </c>
      <c r="BV29" s="1418"/>
      <c r="BW29" s="4428" t="str">
        <f t="shared" si="5"/>
        <v/>
      </c>
      <c r="BX29" s="4428" t="str">
        <f t="shared" si="6"/>
        <v/>
      </c>
      <c r="BZ29" s="1420">
        <f t="shared" si="7"/>
        <v>0</v>
      </c>
      <c r="CA29" s="1420">
        <f t="shared" si="16"/>
        <v>0</v>
      </c>
      <c r="CB29" s="1420">
        <f t="shared" si="8"/>
        <v>0</v>
      </c>
      <c r="CC29" s="1420">
        <f t="shared" si="9"/>
        <v>0</v>
      </c>
      <c r="CD29" s="1420">
        <f t="shared" si="10"/>
        <v>0</v>
      </c>
      <c r="CE29" s="4429"/>
      <c r="CF29" s="1420">
        <f t="shared" si="11"/>
        <v>0</v>
      </c>
      <c r="CG29" s="1420">
        <f t="shared" si="12"/>
        <v>0</v>
      </c>
    </row>
    <row r="30" spans="1:85" s="1470" customFormat="1" ht="15" customHeight="1">
      <c r="A30" s="6181" t="s">
        <v>3193</v>
      </c>
      <c r="B30" s="6182"/>
      <c r="C30" s="3555">
        <f t="shared" si="0"/>
        <v>0</v>
      </c>
      <c r="D30" s="4423"/>
      <c r="E30" s="4423"/>
      <c r="F30" s="4423"/>
      <c r="G30" s="4423"/>
      <c r="H30" s="4424"/>
      <c r="I30" s="4424"/>
      <c r="J30" s="4423"/>
      <c r="K30" s="4423"/>
      <c r="L30" s="4423"/>
      <c r="M30" s="442"/>
      <c r="N30" s="4426"/>
      <c r="O30" s="443"/>
      <c r="P30" s="443"/>
      <c r="Q30" s="4433"/>
      <c r="R30" s="2249"/>
      <c r="S30" s="443"/>
      <c r="T30" s="1470" t="str">
        <f t="shared" si="20"/>
        <v/>
      </c>
      <c r="BQ30" s="4428" t="str">
        <f t="shared" si="2"/>
        <v/>
      </c>
      <c r="BR30" s="4428" t="str">
        <f t="shared" si="15"/>
        <v/>
      </c>
      <c r="BS30" s="4428" t="str">
        <f t="shared" si="13"/>
        <v/>
      </c>
      <c r="BT30" s="4428" t="str">
        <f t="shared" si="3"/>
        <v/>
      </c>
      <c r="BU30" s="4428" t="str">
        <f t="shared" si="4"/>
        <v/>
      </c>
      <c r="BV30" s="1418"/>
      <c r="BW30" s="4428" t="str">
        <f t="shared" si="5"/>
        <v/>
      </c>
      <c r="BX30" s="4428" t="str">
        <f t="shared" si="6"/>
        <v/>
      </c>
      <c r="BZ30" s="1420">
        <f t="shared" si="7"/>
        <v>0</v>
      </c>
      <c r="CA30" s="1420">
        <f t="shared" si="16"/>
        <v>0</v>
      </c>
      <c r="CB30" s="1420">
        <f t="shared" si="8"/>
        <v>0</v>
      </c>
      <c r="CC30" s="1420">
        <f t="shared" si="9"/>
        <v>0</v>
      </c>
      <c r="CD30" s="1420">
        <f t="shared" si="10"/>
        <v>0</v>
      </c>
      <c r="CE30" s="4429"/>
      <c r="CF30" s="1420">
        <f t="shared" si="11"/>
        <v>0</v>
      </c>
      <c r="CG30" s="1420">
        <f t="shared" si="12"/>
        <v>0</v>
      </c>
    </row>
    <row r="31" spans="1:85" s="1470" customFormat="1" ht="15" customHeight="1">
      <c r="A31" s="6598" t="s">
        <v>3194</v>
      </c>
      <c r="B31" s="6599"/>
      <c r="C31" s="3555">
        <f t="shared" si="0"/>
        <v>0</v>
      </c>
      <c r="D31" s="4423"/>
      <c r="E31" s="4423"/>
      <c r="F31" s="4423"/>
      <c r="G31" s="4423"/>
      <c r="H31" s="4424"/>
      <c r="I31" s="4424"/>
      <c r="J31" s="4423"/>
      <c r="K31" s="4423"/>
      <c r="L31" s="4423"/>
      <c r="M31" s="442"/>
      <c r="N31" s="4426"/>
      <c r="O31" s="443"/>
      <c r="P31" s="443"/>
      <c r="Q31" s="4433"/>
      <c r="R31" s="2249"/>
      <c r="S31" s="443"/>
      <c r="T31" s="1470" t="str">
        <f t="shared" si="20"/>
        <v/>
      </c>
      <c r="BQ31" s="4428" t="str">
        <f t="shared" si="2"/>
        <v/>
      </c>
      <c r="BR31" s="4428" t="str">
        <f t="shared" si="15"/>
        <v/>
      </c>
      <c r="BS31" s="4428" t="str">
        <f t="shared" si="13"/>
        <v/>
      </c>
      <c r="BT31" s="4428" t="str">
        <f t="shared" si="3"/>
        <v/>
      </c>
      <c r="BU31" s="4428" t="str">
        <f t="shared" si="4"/>
        <v/>
      </c>
      <c r="BV31" s="1418"/>
      <c r="BW31" s="4428" t="str">
        <f t="shared" si="5"/>
        <v/>
      </c>
      <c r="BX31" s="4428" t="str">
        <f t="shared" si="6"/>
        <v/>
      </c>
      <c r="BZ31" s="1420">
        <f t="shared" si="7"/>
        <v>0</v>
      </c>
      <c r="CA31" s="1420">
        <f t="shared" si="16"/>
        <v>0</v>
      </c>
      <c r="CB31" s="1420">
        <f t="shared" si="8"/>
        <v>0</v>
      </c>
      <c r="CC31" s="1420">
        <f t="shared" si="9"/>
        <v>0</v>
      </c>
      <c r="CD31" s="1420">
        <f t="shared" si="10"/>
        <v>0</v>
      </c>
      <c r="CE31" s="4429"/>
      <c r="CF31" s="1420">
        <f t="shared" si="11"/>
        <v>0</v>
      </c>
      <c r="CG31" s="1420">
        <f t="shared" si="12"/>
        <v>0</v>
      </c>
    </row>
    <row r="32" spans="1:85" s="1470" customFormat="1" ht="15" customHeight="1">
      <c r="A32" s="6598" t="s">
        <v>3195</v>
      </c>
      <c r="B32" s="6599"/>
      <c r="C32" s="3555">
        <f t="shared" si="0"/>
        <v>0</v>
      </c>
      <c r="D32" s="4423"/>
      <c r="E32" s="4423"/>
      <c r="F32" s="4423"/>
      <c r="G32" s="4423"/>
      <c r="H32" s="4424"/>
      <c r="I32" s="4424"/>
      <c r="J32" s="4423"/>
      <c r="K32" s="4423"/>
      <c r="L32" s="4423"/>
      <c r="M32" s="4434"/>
      <c r="N32" s="4426"/>
      <c r="O32" s="443"/>
      <c r="P32" s="443"/>
      <c r="Q32" s="4433"/>
      <c r="R32" s="2249"/>
      <c r="S32" s="443"/>
      <c r="T32" s="1470" t="str">
        <f t="shared" si="20"/>
        <v/>
      </c>
      <c r="BQ32" s="4428" t="str">
        <f t="shared" si="2"/>
        <v/>
      </c>
      <c r="BR32" s="1418"/>
      <c r="BS32" s="4428" t="str">
        <f t="shared" si="13"/>
        <v/>
      </c>
      <c r="BT32" s="4428" t="str">
        <f t="shared" si="3"/>
        <v/>
      </c>
      <c r="BU32" s="4428" t="str">
        <f t="shared" si="4"/>
        <v/>
      </c>
      <c r="BV32" s="1418"/>
      <c r="BW32" s="4428" t="str">
        <f t="shared" si="5"/>
        <v/>
      </c>
      <c r="BX32" s="4428" t="str">
        <f t="shared" si="6"/>
        <v/>
      </c>
      <c r="BZ32" s="1420">
        <f t="shared" si="7"/>
        <v>0</v>
      </c>
      <c r="CA32" s="4429"/>
      <c r="CB32" s="1420">
        <f t="shared" si="8"/>
        <v>0</v>
      </c>
      <c r="CC32" s="1420">
        <f t="shared" si="9"/>
        <v>0</v>
      </c>
      <c r="CD32" s="1420">
        <f t="shared" si="10"/>
        <v>0</v>
      </c>
      <c r="CE32" s="4429"/>
      <c r="CF32" s="1420">
        <f t="shared" si="11"/>
        <v>0</v>
      </c>
      <c r="CG32" s="1420">
        <f t="shared" si="12"/>
        <v>0</v>
      </c>
    </row>
    <row r="33" spans="1:85" s="1470" customFormat="1" ht="15" customHeight="1">
      <c r="A33" s="6598" t="s">
        <v>3196</v>
      </c>
      <c r="B33" s="6599"/>
      <c r="C33" s="3555">
        <f t="shared" si="0"/>
        <v>0</v>
      </c>
      <c r="D33" s="4423"/>
      <c r="E33" s="4423"/>
      <c r="F33" s="4423"/>
      <c r="G33" s="4423"/>
      <c r="H33" s="4424"/>
      <c r="I33" s="4424"/>
      <c r="J33" s="4423"/>
      <c r="K33" s="4423"/>
      <c r="L33" s="4423"/>
      <c r="M33" s="4434"/>
      <c r="N33" s="4426"/>
      <c r="O33" s="443"/>
      <c r="P33" s="443"/>
      <c r="Q33" s="4433"/>
      <c r="R33" s="2249"/>
      <c r="S33" s="443"/>
      <c r="T33" s="1470" t="str">
        <f t="shared" si="20"/>
        <v/>
      </c>
      <c r="BQ33" s="4428" t="str">
        <f t="shared" si="2"/>
        <v/>
      </c>
      <c r="BR33" s="1418"/>
      <c r="BS33" s="4428" t="str">
        <f t="shared" si="13"/>
        <v/>
      </c>
      <c r="BT33" s="4428" t="str">
        <f t="shared" si="3"/>
        <v/>
      </c>
      <c r="BU33" s="4428" t="str">
        <f t="shared" si="4"/>
        <v/>
      </c>
      <c r="BV33" s="1418"/>
      <c r="BW33" s="4428" t="str">
        <f t="shared" si="5"/>
        <v/>
      </c>
      <c r="BX33" s="4428" t="str">
        <f t="shared" si="6"/>
        <v/>
      </c>
      <c r="BZ33" s="1420">
        <f t="shared" si="7"/>
        <v>0</v>
      </c>
      <c r="CA33" s="4429"/>
      <c r="CB33" s="1420">
        <f t="shared" si="8"/>
        <v>0</v>
      </c>
      <c r="CC33" s="1420">
        <f t="shared" si="9"/>
        <v>0</v>
      </c>
      <c r="CD33" s="1420">
        <f t="shared" si="10"/>
        <v>0</v>
      </c>
      <c r="CE33" s="4429"/>
      <c r="CF33" s="1420">
        <f t="shared" si="11"/>
        <v>0</v>
      </c>
      <c r="CG33" s="1420">
        <f t="shared" si="12"/>
        <v>0</v>
      </c>
    </row>
    <row r="34" spans="1:85" s="1470" customFormat="1" ht="15" customHeight="1">
      <c r="A34" s="6598" t="s">
        <v>3197</v>
      </c>
      <c r="B34" s="6599"/>
      <c r="C34" s="4435">
        <f t="shared" si="0"/>
        <v>0</v>
      </c>
      <c r="D34" s="4423"/>
      <c r="E34" s="4423"/>
      <c r="F34" s="4423"/>
      <c r="G34" s="4423"/>
      <c r="H34" s="4424"/>
      <c r="I34" s="4424"/>
      <c r="J34" s="4423"/>
      <c r="K34" s="4423"/>
      <c r="L34" s="4423"/>
      <c r="M34" s="442"/>
      <c r="N34" s="4436"/>
      <c r="O34" s="416"/>
      <c r="P34" s="416"/>
      <c r="Q34" s="4433"/>
      <c r="R34" s="3543"/>
      <c r="S34" s="416"/>
      <c r="T34" s="1470" t="str">
        <f t="shared" si="20"/>
        <v/>
      </c>
      <c r="BQ34" s="4428" t="str">
        <f t="shared" si="2"/>
        <v/>
      </c>
      <c r="BR34" s="4428" t="str">
        <f t="shared" si="15"/>
        <v/>
      </c>
      <c r="BS34" s="4428" t="str">
        <f t="shared" si="13"/>
        <v/>
      </c>
      <c r="BT34" s="4428" t="str">
        <f t="shared" si="3"/>
        <v/>
      </c>
      <c r="BU34" s="4428" t="str">
        <f t="shared" si="4"/>
        <v/>
      </c>
      <c r="BV34" s="1418"/>
      <c r="BW34" s="4428" t="str">
        <f t="shared" si="5"/>
        <v/>
      </c>
      <c r="BX34" s="4428" t="str">
        <f t="shared" si="6"/>
        <v/>
      </c>
      <c r="BZ34" s="1420">
        <f t="shared" si="7"/>
        <v>0</v>
      </c>
      <c r="CA34" s="1420">
        <f t="shared" si="16"/>
        <v>0</v>
      </c>
      <c r="CB34" s="1420">
        <f t="shared" si="8"/>
        <v>0</v>
      </c>
      <c r="CC34" s="1420">
        <f t="shared" si="9"/>
        <v>0</v>
      </c>
      <c r="CD34" s="1420">
        <f t="shared" si="10"/>
        <v>0</v>
      </c>
      <c r="CE34" s="4429"/>
      <c r="CF34" s="1420">
        <f t="shared" si="11"/>
        <v>0</v>
      </c>
      <c r="CG34" s="1420">
        <f t="shared" si="12"/>
        <v>0</v>
      </c>
    </row>
    <row r="35" spans="1:85" s="1470" customFormat="1" ht="15" customHeight="1">
      <c r="A35" s="7073" t="s">
        <v>3198</v>
      </c>
      <c r="B35" s="7074"/>
      <c r="C35" s="2154">
        <f t="shared" si="0"/>
        <v>0</v>
      </c>
      <c r="D35" s="4423"/>
      <c r="E35" s="4423"/>
      <c r="F35" s="4423"/>
      <c r="G35" s="4423"/>
      <c r="H35" s="4437"/>
      <c r="I35" s="4437"/>
      <c r="J35" s="4423"/>
      <c r="K35" s="4423"/>
      <c r="L35" s="4423"/>
      <c r="M35" s="437"/>
      <c r="N35" s="4438"/>
      <c r="O35" s="438"/>
      <c r="P35" s="438"/>
      <c r="Q35" s="4439"/>
      <c r="R35" s="4440"/>
      <c r="S35" s="438"/>
      <c r="T35" s="1470" t="str">
        <f t="shared" si="20"/>
        <v/>
      </c>
      <c r="BQ35" s="4428" t="str">
        <f t="shared" si="2"/>
        <v/>
      </c>
      <c r="BR35" s="4428" t="str">
        <f t="shared" si="15"/>
        <v/>
      </c>
      <c r="BS35" s="4428" t="str">
        <f t="shared" si="13"/>
        <v/>
      </c>
      <c r="BT35" s="4428" t="str">
        <f t="shared" si="3"/>
        <v/>
      </c>
      <c r="BU35" s="4428" t="str">
        <f t="shared" si="4"/>
        <v/>
      </c>
      <c r="BV35" s="1418"/>
      <c r="BW35" s="4428" t="str">
        <f t="shared" si="5"/>
        <v/>
      </c>
      <c r="BX35" s="4428" t="str">
        <f t="shared" si="6"/>
        <v/>
      </c>
      <c r="BZ35" s="1420">
        <f t="shared" si="7"/>
        <v>0</v>
      </c>
      <c r="CA35" s="1420">
        <f t="shared" si="16"/>
        <v>0</v>
      </c>
      <c r="CB35" s="1420">
        <f t="shared" si="8"/>
        <v>0</v>
      </c>
      <c r="CC35" s="1420">
        <f t="shared" si="9"/>
        <v>0</v>
      </c>
      <c r="CD35" s="1420">
        <f t="shared" si="10"/>
        <v>0</v>
      </c>
      <c r="CE35" s="4429"/>
      <c r="CF35" s="1420">
        <f t="shared" si="11"/>
        <v>0</v>
      </c>
      <c r="CG35" s="1420">
        <f t="shared" si="12"/>
        <v>0</v>
      </c>
    </row>
    <row r="36" spans="1:85" s="2832" customFormat="1" ht="18" customHeight="1">
      <c r="A36" s="6881" t="s">
        <v>3199</v>
      </c>
      <c r="B36" s="6881"/>
      <c r="C36" s="6881"/>
      <c r="D36" s="6881"/>
      <c r="E36" s="6881"/>
      <c r="F36" s="6881"/>
      <c r="G36" s="6881"/>
      <c r="H36" s="6881"/>
      <c r="I36" s="6881"/>
      <c r="J36" s="6881"/>
      <c r="K36" s="6881"/>
      <c r="L36" s="6881"/>
      <c r="M36" s="6881"/>
      <c r="N36" s="6881"/>
    </row>
    <row r="37" spans="1:85" s="1470" customFormat="1" ht="63">
      <c r="A37" s="5707" t="s">
        <v>678</v>
      </c>
      <c r="B37" s="5709"/>
      <c r="C37" s="1495" t="s">
        <v>3200</v>
      </c>
      <c r="D37" s="1395" t="s">
        <v>3201</v>
      </c>
      <c r="E37" s="1646" t="s">
        <v>3202</v>
      </c>
      <c r="F37" s="1584" t="s">
        <v>3203</v>
      </c>
      <c r="G37" s="1396" t="s">
        <v>3204</v>
      </c>
      <c r="H37" s="1646" t="s">
        <v>3205</v>
      </c>
      <c r="I37" s="1646" t="s">
        <v>3206</v>
      </c>
      <c r="J37" s="2320" t="s">
        <v>3207</v>
      </c>
      <c r="K37" s="1574" t="s">
        <v>51</v>
      </c>
      <c r="L37" s="1495" t="s">
        <v>343</v>
      </c>
      <c r="M37" s="1574" t="s">
        <v>3208</v>
      </c>
      <c r="N37" s="393" t="s">
        <v>3209</v>
      </c>
    </row>
    <row r="38" spans="1:85" s="1470" customFormat="1" ht="30" customHeight="1">
      <c r="A38" s="5718" t="s">
        <v>3210</v>
      </c>
      <c r="B38" s="4441" t="s">
        <v>3211</v>
      </c>
      <c r="C38" s="4442"/>
      <c r="D38" s="4443"/>
      <c r="E38" s="4444"/>
      <c r="F38" s="4445"/>
      <c r="G38" s="4443"/>
      <c r="H38" s="4444"/>
      <c r="I38" s="4444"/>
      <c r="J38" s="4446"/>
      <c r="K38" s="4442"/>
      <c r="L38" s="4447"/>
      <c r="M38" s="4442"/>
      <c r="N38" s="4448"/>
      <c r="O38" s="1470" t="str">
        <f t="shared" ref="O38:O46" si="21">BQ38&amp;BR38&amp;BS38&amp;BT38</f>
        <v/>
      </c>
      <c r="BQ38" s="4428" t="str">
        <f t="shared" ref="BQ38:BQ46" si="22">IF(AND(SUM($C38:$F38)&gt;0,K38="")," * No olvide digitar la variable Migrantes. Digite Cero si no tiene.",IF(K38&gt;SUM($C38:$F38)," * La variable Migrantes no puede ser mayor a la suma de las variables de Visitas.",""))</f>
        <v/>
      </c>
      <c r="BR38" s="4428" t="str">
        <f t="shared" ref="BR38:BR46" si="23">IF(AND(SUM($C38:$F38)&gt;0,L38="")," * No olvide digitar la variable Pueblos originarios. Digite Cero si no tiene.",IF(L38&gt;SUM($C38:$F38)," * La variable Pueblos originarios no puede ser mayor a la suma de las variables de Visitas.",""))</f>
        <v/>
      </c>
      <c r="BS38" s="4428" t="str">
        <f t="shared" ref="BS38:BS46" si="24">IF(AND(SUM($C38:$F38)&gt;0,M38="")," * No olvide digitar la variable Población en ECICEP. Digite Cero si no tiene.",IF(M38&gt;SUM($C38:$F38)," * La variable Población en ECICEP no puede ser mayor a la suma de las variables de Visitas.",""))</f>
        <v/>
      </c>
      <c r="BT38" s="4428" t="str">
        <f t="shared" ref="BT38:BT46" si="25">IF(AND(SUM($C38:$F38)&gt;0,N38="")," * No olvide digitar la variable Población ELEAM o institucionalizada. Digite Cero si no tiene.",IF(N38&gt;SUM($C38:$F38)," * La variable Población ELEAM o institucionalizada no puede ser mayor a la suma de las variables de Visitas.",""))</f>
        <v/>
      </c>
      <c r="BZ38" s="1420">
        <f t="shared" ref="BZ38:BZ46" si="26">IF(AND(SUM($C38:$F38)&gt;0,K38=""),1,IF(K38&gt;SUM($C38:$F38),1,0))</f>
        <v>0</v>
      </c>
      <c r="CA38" s="1420">
        <f t="shared" ref="CA38:CB46" si="27">IF(AND(SUM($C38:$F38)&gt;0,L38=""),1,IF(L38&gt;SUM($C38:$F38),1,0))</f>
        <v>0</v>
      </c>
      <c r="CB38" s="1420">
        <f t="shared" ref="CB38:CB40" si="28">IF(AND(SUM($C38:$F38)&gt;0,M38=""),1,IF(M38&gt;SUM($C38:$F38),1,0))</f>
        <v>0</v>
      </c>
      <c r="CC38" s="1420">
        <f t="shared" ref="CC38:CC46" si="29">IF(AND(SUM($C38:$F38)&gt;0,N38=""),1,IF(N38&gt;SUM($C38:$F38),1,0))</f>
        <v>0</v>
      </c>
    </row>
    <row r="39" spans="1:85" s="1470" customFormat="1" ht="42">
      <c r="A39" s="6110"/>
      <c r="B39" s="4449" t="s">
        <v>3212</v>
      </c>
      <c r="C39" s="4450"/>
      <c r="D39" s="4451"/>
      <c r="E39" s="4423"/>
      <c r="F39" s="4452"/>
      <c r="G39" s="4451"/>
      <c r="H39" s="4453"/>
      <c r="I39" s="4453"/>
      <c r="J39" s="4454"/>
      <c r="K39" s="4455"/>
      <c r="L39" s="4456"/>
      <c r="M39" s="4450"/>
      <c r="N39" s="4457"/>
      <c r="O39" s="1470" t="str">
        <f t="shared" si="21"/>
        <v/>
      </c>
      <c r="BQ39" s="4428" t="str">
        <f t="shared" si="22"/>
        <v/>
      </c>
      <c r="BR39" s="4428" t="str">
        <f t="shared" si="23"/>
        <v/>
      </c>
      <c r="BS39" s="4428" t="str">
        <f t="shared" si="24"/>
        <v/>
      </c>
      <c r="BT39" s="4428" t="str">
        <f t="shared" si="25"/>
        <v/>
      </c>
      <c r="BZ39" s="1420">
        <f t="shared" si="26"/>
        <v>0</v>
      </c>
      <c r="CA39" s="1420">
        <f t="shared" si="27"/>
        <v>0</v>
      </c>
      <c r="CB39" s="1420">
        <f t="shared" si="28"/>
        <v>0</v>
      </c>
      <c r="CC39" s="1420">
        <f t="shared" si="29"/>
        <v>0</v>
      </c>
    </row>
    <row r="40" spans="1:85" s="1470" customFormat="1" ht="42">
      <c r="A40" s="5719"/>
      <c r="B40" s="4458" t="s">
        <v>3213</v>
      </c>
      <c r="C40" s="4459"/>
      <c r="D40" s="4460"/>
      <c r="E40" s="4461"/>
      <c r="F40" s="4462"/>
      <c r="G40" s="4460"/>
      <c r="H40" s="4463"/>
      <c r="I40" s="4463"/>
      <c r="J40" s="4464"/>
      <c r="K40" s="4465"/>
      <c r="L40" s="4466"/>
      <c r="M40" s="4459"/>
      <c r="N40" s="4467"/>
      <c r="O40" s="1470" t="str">
        <f t="shared" si="21"/>
        <v/>
      </c>
      <c r="BQ40" s="4428" t="str">
        <f t="shared" si="22"/>
        <v/>
      </c>
      <c r="BR40" s="4428" t="str">
        <f t="shared" si="23"/>
        <v/>
      </c>
      <c r="BS40" s="4428" t="str">
        <f t="shared" si="24"/>
        <v/>
      </c>
      <c r="BT40" s="4428" t="str">
        <f t="shared" si="25"/>
        <v/>
      </c>
      <c r="BZ40" s="1420">
        <f t="shared" si="26"/>
        <v>0</v>
      </c>
      <c r="CA40" s="1420">
        <f t="shared" si="27"/>
        <v>0</v>
      </c>
      <c r="CB40" s="1420">
        <f t="shared" si="28"/>
        <v>0</v>
      </c>
      <c r="CC40" s="1420">
        <f t="shared" si="29"/>
        <v>0</v>
      </c>
    </row>
    <row r="41" spans="1:85" s="1470" customFormat="1" ht="15" customHeight="1">
      <c r="A41" s="6875" t="s">
        <v>91</v>
      </c>
      <c r="B41" s="6876"/>
      <c r="C41" s="1743">
        <f>SUM(C38:C40)</f>
        <v>0</v>
      </c>
      <c r="D41" s="4006">
        <f t="shared" ref="D41:N41" si="30">SUM(D38:D40)</f>
        <v>0</v>
      </c>
      <c r="E41" s="3029">
        <f t="shared" si="30"/>
        <v>0</v>
      </c>
      <c r="F41" s="2297">
        <f t="shared" si="30"/>
        <v>0</v>
      </c>
      <c r="G41" s="4006">
        <f t="shared" si="30"/>
        <v>0</v>
      </c>
      <c r="H41" s="3029">
        <f t="shared" si="30"/>
        <v>0</v>
      </c>
      <c r="I41" s="3029">
        <f t="shared" si="30"/>
        <v>0</v>
      </c>
      <c r="J41" s="3029">
        <f t="shared" si="30"/>
        <v>0</v>
      </c>
      <c r="K41" s="1750">
        <f t="shared" si="30"/>
        <v>0</v>
      </c>
      <c r="L41" s="1746">
        <f t="shared" si="30"/>
        <v>0</v>
      </c>
      <c r="M41" s="1750">
        <f t="shared" si="30"/>
        <v>0</v>
      </c>
      <c r="N41" s="1745">
        <f t="shared" si="30"/>
        <v>0</v>
      </c>
    </row>
    <row r="42" spans="1:85" s="1470" customFormat="1" ht="15" customHeight="1">
      <c r="A42" s="5718" t="s">
        <v>3214</v>
      </c>
      <c r="B42" s="4468" t="s">
        <v>2449</v>
      </c>
      <c r="C42" s="4469"/>
      <c r="D42" s="4469"/>
      <c r="E42" s="4470"/>
      <c r="F42" s="4471"/>
      <c r="G42" s="4472"/>
      <c r="H42" s="4473"/>
      <c r="I42" s="4470"/>
      <c r="J42" s="4474"/>
      <c r="K42" s="4475"/>
      <c r="L42" s="4476"/>
      <c r="M42" s="4477"/>
      <c r="N42" s="2379"/>
      <c r="O42" s="1470" t="str">
        <f t="shared" ref="O42:O45" si="31">BQ42&amp;BR42&amp;BS42</f>
        <v/>
      </c>
      <c r="BQ42" s="4428" t="str">
        <f t="shared" si="22"/>
        <v/>
      </c>
      <c r="BR42" s="4428" t="str">
        <f t="shared" si="23"/>
        <v/>
      </c>
      <c r="BS42" s="4428" t="str">
        <f t="shared" si="24"/>
        <v/>
      </c>
      <c r="BT42" s="1418"/>
      <c r="BZ42" s="1420">
        <f t="shared" si="26"/>
        <v>0</v>
      </c>
      <c r="CA42" s="1420">
        <f t="shared" si="27"/>
        <v>0</v>
      </c>
      <c r="CB42" s="1420">
        <f t="shared" si="27"/>
        <v>0</v>
      </c>
      <c r="CC42" s="4429"/>
    </row>
    <row r="43" spans="1:85" s="1470" customFormat="1" ht="15" customHeight="1">
      <c r="A43" s="6110"/>
      <c r="B43" s="4478" t="s">
        <v>3215</v>
      </c>
      <c r="C43" s="4455"/>
      <c r="D43" s="4479"/>
      <c r="E43" s="4423"/>
      <c r="F43" s="4452"/>
      <c r="G43" s="4480"/>
      <c r="H43" s="4423"/>
      <c r="I43" s="4423"/>
      <c r="J43" s="4481"/>
      <c r="K43" s="4450"/>
      <c r="L43" s="4456"/>
      <c r="M43" s="4450"/>
      <c r="N43" s="1764"/>
      <c r="O43" s="1470" t="str">
        <f t="shared" si="31"/>
        <v/>
      </c>
      <c r="BQ43" s="4428" t="str">
        <f t="shared" si="22"/>
        <v/>
      </c>
      <c r="BR43" s="4428" t="str">
        <f t="shared" si="23"/>
        <v/>
      </c>
      <c r="BS43" s="4428" t="str">
        <f t="shared" si="24"/>
        <v/>
      </c>
      <c r="BT43" s="1418"/>
      <c r="BZ43" s="1420">
        <f t="shared" si="26"/>
        <v>0</v>
      </c>
      <c r="CA43" s="1420">
        <f t="shared" si="27"/>
        <v>0</v>
      </c>
      <c r="CB43" s="1420">
        <f t="shared" ref="CB43:CB46" si="32">IF(AND(SUM($C43:$F43)&gt;0,M43=""),1,IF(M43&gt;SUM($C43:$F43),1,0))</f>
        <v>0</v>
      </c>
      <c r="CC43" s="4429"/>
    </row>
    <row r="44" spans="1:85" s="1470" customFormat="1" ht="15" customHeight="1">
      <c r="A44" s="6110"/>
      <c r="B44" s="4482" t="s">
        <v>58</v>
      </c>
      <c r="C44" s="4450"/>
      <c r="D44" s="4479"/>
      <c r="E44" s="4473"/>
      <c r="F44" s="4483"/>
      <c r="G44" s="4480"/>
      <c r="H44" s="4423"/>
      <c r="I44" s="4473"/>
      <c r="J44" s="4484"/>
      <c r="K44" s="4477"/>
      <c r="L44" s="4456"/>
      <c r="M44" s="4477"/>
      <c r="N44" s="1764"/>
      <c r="O44" s="1470" t="str">
        <f t="shared" si="31"/>
        <v/>
      </c>
      <c r="BQ44" s="4428" t="str">
        <f t="shared" si="22"/>
        <v/>
      </c>
      <c r="BR44" s="4428" t="str">
        <f t="shared" si="23"/>
        <v/>
      </c>
      <c r="BS44" s="4428" t="str">
        <f t="shared" si="24"/>
        <v/>
      </c>
      <c r="BT44" s="1418"/>
      <c r="BZ44" s="1420">
        <f t="shared" si="26"/>
        <v>0</v>
      </c>
      <c r="CA44" s="1420">
        <f t="shared" si="27"/>
        <v>0</v>
      </c>
      <c r="CB44" s="1420">
        <f t="shared" si="32"/>
        <v>0</v>
      </c>
      <c r="CC44" s="4429"/>
    </row>
    <row r="45" spans="1:85" s="1470" customFormat="1" ht="15" customHeight="1">
      <c r="A45" s="6110"/>
      <c r="B45" s="1512" t="s">
        <v>3216</v>
      </c>
      <c r="C45" s="4469"/>
      <c r="D45" s="4479"/>
      <c r="E45" s="4423"/>
      <c r="F45" s="4452"/>
      <c r="G45" s="4451"/>
      <c r="H45" s="4423"/>
      <c r="I45" s="4423"/>
      <c r="J45" s="4484"/>
      <c r="K45" s="4450"/>
      <c r="L45" s="4456"/>
      <c r="M45" s="4450"/>
      <c r="N45" s="2379"/>
      <c r="O45" s="1470" t="str">
        <f t="shared" si="31"/>
        <v/>
      </c>
      <c r="BQ45" s="4428" t="str">
        <f t="shared" si="22"/>
        <v/>
      </c>
      <c r="BR45" s="4428" t="str">
        <f t="shared" si="23"/>
        <v/>
      </c>
      <c r="BS45" s="4428" t="str">
        <f t="shared" si="24"/>
        <v/>
      </c>
      <c r="BT45" s="1418"/>
      <c r="BZ45" s="1420">
        <f t="shared" si="26"/>
        <v>0</v>
      </c>
      <c r="CA45" s="1420">
        <f t="shared" si="27"/>
        <v>0</v>
      </c>
      <c r="CB45" s="1420">
        <f t="shared" si="32"/>
        <v>0</v>
      </c>
      <c r="CC45" s="4429"/>
    </row>
    <row r="46" spans="1:85" s="1470" customFormat="1" ht="15" customHeight="1">
      <c r="A46" s="6110"/>
      <c r="B46" s="1718" t="s">
        <v>691</v>
      </c>
      <c r="C46" s="4465"/>
      <c r="D46" s="4485"/>
      <c r="E46" s="4461"/>
      <c r="F46" s="4462"/>
      <c r="G46" s="4486"/>
      <c r="H46" s="4461"/>
      <c r="I46" s="4461"/>
      <c r="J46" s="4487"/>
      <c r="K46" s="4459"/>
      <c r="L46" s="4466"/>
      <c r="M46" s="4465"/>
      <c r="N46" s="1467"/>
      <c r="O46" s="1470" t="str">
        <f t="shared" si="21"/>
        <v/>
      </c>
      <c r="BQ46" s="4428" t="str">
        <f t="shared" si="22"/>
        <v/>
      </c>
      <c r="BR46" s="4428" t="str">
        <f t="shared" si="23"/>
        <v/>
      </c>
      <c r="BS46" s="4428" t="str">
        <f t="shared" si="24"/>
        <v/>
      </c>
      <c r="BT46" s="4428" t="str">
        <f t="shared" si="25"/>
        <v/>
      </c>
      <c r="BZ46" s="1420">
        <f t="shared" si="26"/>
        <v>0</v>
      </c>
      <c r="CA46" s="1420">
        <f t="shared" si="27"/>
        <v>0</v>
      </c>
      <c r="CB46" s="1420">
        <f t="shared" si="32"/>
        <v>0</v>
      </c>
      <c r="CC46" s="1420">
        <f t="shared" si="29"/>
        <v>0</v>
      </c>
    </row>
    <row r="47" spans="1:85" s="1470" customFormat="1" ht="15" customHeight="1">
      <c r="A47" s="6875" t="s">
        <v>91</v>
      </c>
      <c r="B47" s="6876"/>
      <c r="C47" s="3838">
        <f>SUM(C42:C46)</f>
        <v>0</v>
      </c>
      <c r="D47" s="4488">
        <f>SUM(D42:D46)</f>
        <v>0</v>
      </c>
      <c r="E47" s="4489">
        <f t="shared" ref="E47:N47" si="33">SUM(E42:E46)</f>
        <v>0</v>
      </c>
      <c r="F47" s="4490">
        <f t="shared" si="33"/>
        <v>0</v>
      </c>
      <c r="G47" s="4488">
        <f t="shared" si="33"/>
        <v>0</v>
      </c>
      <c r="H47" s="4489">
        <f t="shared" si="33"/>
        <v>0</v>
      </c>
      <c r="I47" s="4489">
        <f t="shared" si="33"/>
        <v>0</v>
      </c>
      <c r="J47" s="4489">
        <f t="shared" si="33"/>
        <v>0</v>
      </c>
      <c r="K47" s="4491">
        <f t="shared" si="33"/>
        <v>0</v>
      </c>
      <c r="L47" s="4492">
        <f t="shared" si="33"/>
        <v>0</v>
      </c>
      <c r="M47" s="3838">
        <f t="shared" si="33"/>
        <v>0</v>
      </c>
      <c r="N47" s="3983">
        <f t="shared" si="33"/>
        <v>0</v>
      </c>
    </row>
    <row r="48" spans="1:85" s="2832" customFormat="1" ht="18" customHeight="1">
      <c r="A48" s="2293" t="s">
        <v>3217</v>
      </c>
    </row>
    <row r="49" spans="1:82" s="1470" customFormat="1" ht="52.5">
      <c r="A49" s="5707" t="s">
        <v>678</v>
      </c>
      <c r="B49" s="5709"/>
      <c r="C49" s="1390" t="s">
        <v>91</v>
      </c>
      <c r="D49" s="1390" t="s">
        <v>3161</v>
      </c>
      <c r="E49" s="1702" t="s">
        <v>3218</v>
      </c>
      <c r="F49" s="1646" t="s">
        <v>3219</v>
      </c>
      <c r="G49" s="4422" t="s">
        <v>3164</v>
      </c>
      <c r="H49" s="393" t="s">
        <v>3165</v>
      </c>
      <c r="I49" s="1575" t="s">
        <v>3166</v>
      </c>
      <c r="J49" s="1495" t="s">
        <v>50</v>
      </c>
      <c r="K49" s="1574" t="s">
        <v>51</v>
      </c>
      <c r="L49" s="391" t="s">
        <v>48</v>
      </c>
      <c r="M49" s="1574" t="s">
        <v>49</v>
      </c>
    </row>
    <row r="50" spans="1:82" s="1470" customFormat="1" ht="15" customHeight="1">
      <c r="A50" s="6561" t="s">
        <v>3220</v>
      </c>
      <c r="B50" s="6563"/>
      <c r="C50" s="4493">
        <f t="shared" ref="C50:C56" si="34">SUM(D50:F50)</f>
        <v>0</v>
      </c>
      <c r="D50" s="1424"/>
      <c r="E50" s="1426"/>
      <c r="F50" s="1426"/>
      <c r="G50" s="4494"/>
      <c r="H50" s="1452"/>
      <c r="I50" s="1994"/>
      <c r="J50" s="1447"/>
      <c r="K50" s="1446"/>
      <c r="L50" s="1447"/>
      <c r="M50" s="1446"/>
      <c r="N50" s="1470" t="str">
        <f t="shared" ref="N50:N58" si="35">BQ50&amp;BR50&amp;BS50&amp;BT50&amp;BU50</f>
        <v/>
      </c>
      <c r="BQ50" s="4428" t="str">
        <f t="shared" ref="BQ50:BQ58" si="36">IF(AND(C50&gt;0,J50="")," * No olvide digitar la variable Pueblos Originarios. Digite Cero si no tiene.",IF(J50&gt;C50," * La variable Pueblos Originarios No puede ser mayor al Total.",""))</f>
        <v/>
      </c>
      <c r="BR50" s="4428" t="str">
        <f t="shared" ref="BR50:BR58" si="37">IF(AND(C50&gt;0,K50="")," * No olvide digitar la variable Migrantes. Digite Cero si no tiene.",IF(K50&gt;C50," * La variable Migrantes No puede ser mayor al Total.",""))</f>
        <v/>
      </c>
      <c r="BS50" s="4428" t="str">
        <f t="shared" ref="BS50:BS58" si="38">IF(AND(C50&gt;0,L50="")," * No olvide digitar la variable "&amp;L$49&amp;". Digite Cero si no tiene.",IF(L50&gt;C50," * La variable "&amp;L$49&amp;" No puede ser mayor al Total.",""))</f>
        <v/>
      </c>
      <c r="BT50" s="4428" t="str">
        <f t="shared" ref="BT50:BT58" si="39">IF(AND(C50&gt;0,M50="")," * No olvide digitar la variable "&amp;M$49&amp;". Digite Cero si no tiene.",IF(M50&gt;C50," * La variable "&amp;M$49&amp;" No puede ser mayor al Total.",""))</f>
        <v/>
      </c>
      <c r="BZ50" s="1420">
        <f t="shared" ref="BZ50:BZ58" si="40">IF(AND(C50&gt;0,J50=""),1,IF(J50&gt;C50,1,0))</f>
        <v>0</v>
      </c>
      <c r="CA50" s="1420">
        <f t="shared" ref="CA50:CA58" si="41">IF(AND(C50&gt;0,K50=""),1,IF(K50&gt;C50,1,0))</f>
        <v>0</v>
      </c>
      <c r="CB50" s="1420">
        <f t="shared" ref="CB50:CB58" si="42">IF(AND(C50&gt;0,L50=""),1,IF(L50&gt;C50,1,0))</f>
        <v>0</v>
      </c>
      <c r="CC50" s="1420">
        <f t="shared" ref="CC50:CC58" si="43">IF(AND(C50&gt;0,M50=""),1,IF(M50&gt;C50,1,0))</f>
        <v>0</v>
      </c>
    </row>
    <row r="51" spans="1:82" s="1470" customFormat="1" ht="15" customHeight="1">
      <c r="A51" s="6181" t="s">
        <v>3221</v>
      </c>
      <c r="B51" s="6182"/>
      <c r="C51" s="4495">
        <f t="shared" si="34"/>
        <v>0</v>
      </c>
      <c r="D51" s="1440"/>
      <c r="E51" s="1442"/>
      <c r="F51" s="1442"/>
      <c r="G51" s="4496"/>
      <c r="H51" s="1452"/>
      <c r="I51" s="1994"/>
      <c r="J51" s="1447"/>
      <c r="K51" s="1446"/>
      <c r="L51" s="1447"/>
      <c r="M51" s="1446"/>
      <c r="N51" s="1470" t="str">
        <f t="shared" si="35"/>
        <v/>
      </c>
      <c r="BQ51" s="4428" t="str">
        <f t="shared" si="36"/>
        <v/>
      </c>
      <c r="BR51" s="4428" t="str">
        <f t="shared" si="37"/>
        <v/>
      </c>
      <c r="BS51" s="4428" t="str">
        <f t="shared" si="38"/>
        <v/>
      </c>
      <c r="BT51" s="4428" t="str">
        <f t="shared" si="39"/>
        <v/>
      </c>
      <c r="BZ51" s="1420">
        <f t="shared" si="40"/>
        <v>0</v>
      </c>
      <c r="CA51" s="1420">
        <f t="shared" si="41"/>
        <v>0</v>
      </c>
      <c r="CB51" s="1420">
        <f t="shared" si="42"/>
        <v>0</v>
      </c>
      <c r="CC51" s="1420">
        <f t="shared" si="43"/>
        <v>0</v>
      </c>
    </row>
    <row r="52" spans="1:82" s="1470" customFormat="1" ht="15" customHeight="1">
      <c r="A52" s="6181" t="s">
        <v>3222</v>
      </c>
      <c r="B52" s="6182"/>
      <c r="C52" s="3555">
        <f t="shared" si="34"/>
        <v>0</v>
      </c>
      <c r="D52" s="1440"/>
      <c r="E52" s="1442"/>
      <c r="F52" s="1442"/>
      <c r="G52" s="4496"/>
      <c r="H52" s="1452"/>
      <c r="I52" s="1994"/>
      <c r="J52" s="1447"/>
      <c r="K52" s="1446"/>
      <c r="L52" s="1447"/>
      <c r="M52" s="1446"/>
      <c r="N52" s="1470" t="str">
        <f t="shared" si="35"/>
        <v/>
      </c>
      <c r="BQ52" s="4428" t="str">
        <f t="shared" si="36"/>
        <v/>
      </c>
      <c r="BR52" s="4428" t="str">
        <f t="shared" si="37"/>
        <v/>
      </c>
      <c r="BS52" s="4428" t="str">
        <f t="shared" si="38"/>
        <v/>
      </c>
      <c r="BT52" s="4428" t="str">
        <f t="shared" si="39"/>
        <v/>
      </c>
      <c r="BZ52" s="1420">
        <f t="shared" si="40"/>
        <v>0</v>
      </c>
      <c r="CA52" s="1420">
        <f t="shared" si="41"/>
        <v>0</v>
      </c>
      <c r="CB52" s="1420">
        <f t="shared" si="42"/>
        <v>0</v>
      </c>
      <c r="CC52" s="1420">
        <f t="shared" si="43"/>
        <v>0</v>
      </c>
    </row>
    <row r="53" spans="1:82" s="1470" customFormat="1" ht="15" customHeight="1">
      <c r="A53" s="6618" t="s">
        <v>684</v>
      </c>
      <c r="B53" s="6620"/>
      <c r="C53" s="3555">
        <f t="shared" si="34"/>
        <v>0</v>
      </c>
      <c r="D53" s="1440"/>
      <c r="E53" s="1712"/>
      <c r="F53" s="1442"/>
      <c r="G53" s="4497"/>
      <c r="H53" s="1467"/>
      <c r="I53" s="1998"/>
      <c r="J53" s="1490"/>
      <c r="K53" s="1461"/>
      <c r="L53" s="1490"/>
      <c r="M53" s="1461"/>
      <c r="N53" s="1470" t="str">
        <f t="shared" si="35"/>
        <v/>
      </c>
      <c r="BQ53" s="4428" t="str">
        <f t="shared" si="36"/>
        <v/>
      </c>
      <c r="BR53" s="4428" t="str">
        <f t="shared" si="37"/>
        <v/>
      </c>
      <c r="BS53" s="4428" t="str">
        <f t="shared" si="38"/>
        <v/>
      </c>
      <c r="BT53" s="4428" t="str">
        <f t="shared" si="39"/>
        <v/>
      </c>
      <c r="BZ53" s="1420">
        <f t="shared" si="40"/>
        <v>0</v>
      </c>
      <c r="CA53" s="1420">
        <f t="shared" si="41"/>
        <v>0</v>
      </c>
      <c r="CB53" s="1420">
        <f t="shared" si="42"/>
        <v>0</v>
      </c>
      <c r="CC53" s="1420">
        <f t="shared" si="43"/>
        <v>0</v>
      </c>
    </row>
    <row r="54" spans="1:82" s="1470" customFormat="1" ht="15" customHeight="1">
      <c r="A54" s="6127" t="s">
        <v>3223</v>
      </c>
      <c r="B54" s="2056" t="s">
        <v>3224</v>
      </c>
      <c r="C54" s="2152">
        <f t="shared" si="34"/>
        <v>0</v>
      </c>
      <c r="D54" s="1424"/>
      <c r="E54" s="1426"/>
      <c r="F54" s="1426"/>
      <c r="G54" s="4494"/>
      <c r="H54" s="1545"/>
      <c r="I54" s="1999"/>
      <c r="J54" s="1482"/>
      <c r="K54" s="1483"/>
      <c r="L54" s="1482"/>
      <c r="M54" s="1483"/>
      <c r="N54" s="1470" t="str">
        <f t="shared" si="35"/>
        <v/>
      </c>
      <c r="BQ54" s="4428" t="str">
        <f t="shared" si="36"/>
        <v/>
      </c>
      <c r="BR54" s="4428" t="str">
        <f t="shared" si="37"/>
        <v/>
      </c>
      <c r="BS54" s="4428" t="str">
        <f t="shared" si="38"/>
        <v/>
      </c>
      <c r="BT54" s="4428" t="str">
        <f t="shared" si="39"/>
        <v/>
      </c>
      <c r="BZ54" s="1420">
        <f t="shared" si="40"/>
        <v>0</v>
      </c>
      <c r="CA54" s="1420">
        <f t="shared" si="41"/>
        <v>0</v>
      </c>
      <c r="CB54" s="1420">
        <f t="shared" si="42"/>
        <v>0</v>
      </c>
      <c r="CC54" s="1420">
        <f t="shared" si="43"/>
        <v>0</v>
      </c>
    </row>
    <row r="55" spans="1:82" s="1470" customFormat="1" ht="15" customHeight="1">
      <c r="A55" s="6128"/>
      <c r="B55" s="2057" t="s">
        <v>3225</v>
      </c>
      <c r="C55" s="3555">
        <f t="shared" si="34"/>
        <v>0</v>
      </c>
      <c r="D55" s="1440"/>
      <c r="E55" s="1442"/>
      <c r="F55" s="1442"/>
      <c r="G55" s="4496"/>
      <c r="H55" s="1545"/>
      <c r="I55" s="1999"/>
      <c r="J55" s="1482"/>
      <c r="K55" s="1483"/>
      <c r="L55" s="1482"/>
      <c r="M55" s="1483"/>
      <c r="N55" s="1470" t="str">
        <f t="shared" si="35"/>
        <v/>
      </c>
      <c r="BQ55" s="4428" t="str">
        <f t="shared" si="36"/>
        <v/>
      </c>
      <c r="BR55" s="4428" t="str">
        <f t="shared" si="37"/>
        <v/>
      </c>
      <c r="BS55" s="4428" t="str">
        <f t="shared" si="38"/>
        <v/>
      </c>
      <c r="BT55" s="4428" t="str">
        <f t="shared" si="39"/>
        <v/>
      </c>
      <c r="BZ55" s="1420">
        <f t="shared" si="40"/>
        <v>0</v>
      </c>
      <c r="CA55" s="1420">
        <f t="shared" si="41"/>
        <v>0</v>
      </c>
      <c r="CB55" s="1420">
        <f t="shared" si="42"/>
        <v>0</v>
      </c>
      <c r="CC55" s="1420">
        <f t="shared" si="43"/>
        <v>0</v>
      </c>
    </row>
    <row r="56" spans="1:82" s="1470" customFormat="1" ht="15" customHeight="1">
      <c r="A56" s="6129"/>
      <c r="B56" s="2303" t="s">
        <v>3226</v>
      </c>
      <c r="C56" s="2154">
        <f t="shared" si="34"/>
        <v>0</v>
      </c>
      <c r="D56" s="1455"/>
      <c r="E56" s="1457"/>
      <c r="F56" s="1457"/>
      <c r="G56" s="4498"/>
      <c r="H56" s="1452"/>
      <c r="I56" s="1994"/>
      <c r="J56" s="1447"/>
      <c r="K56" s="1446"/>
      <c r="L56" s="1447"/>
      <c r="M56" s="1446"/>
      <c r="N56" s="1470" t="str">
        <f t="shared" si="35"/>
        <v/>
      </c>
      <c r="BQ56" s="4428" t="str">
        <f t="shared" si="36"/>
        <v/>
      </c>
      <c r="BR56" s="4428" t="str">
        <f t="shared" si="37"/>
        <v/>
      </c>
      <c r="BS56" s="4428" t="str">
        <f t="shared" si="38"/>
        <v/>
      </c>
      <c r="BT56" s="4428" t="str">
        <f t="shared" si="39"/>
        <v/>
      </c>
      <c r="BZ56" s="1420">
        <f t="shared" si="40"/>
        <v>0</v>
      </c>
      <c r="CA56" s="1420">
        <f t="shared" si="41"/>
        <v>0</v>
      </c>
      <c r="CB56" s="1420">
        <f t="shared" si="42"/>
        <v>0</v>
      </c>
      <c r="CC56" s="1420">
        <f t="shared" si="43"/>
        <v>0</v>
      </c>
    </row>
    <row r="57" spans="1:82" s="1470" customFormat="1" ht="15" customHeight="1">
      <c r="A57" s="6561" t="s">
        <v>3227</v>
      </c>
      <c r="B57" s="6563"/>
      <c r="C57" s="2152">
        <f t="shared" ref="C57:C58" si="44">SUM(D57:G57)</f>
        <v>0</v>
      </c>
      <c r="D57" s="1424"/>
      <c r="E57" s="1426"/>
      <c r="F57" s="1426"/>
      <c r="G57" s="1965"/>
      <c r="H57" s="1436"/>
      <c r="I57" s="1990"/>
      <c r="J57" s="1652"/>
      <c r="K57" s="1430"/>
      <c r="L57" s="1652"/>
      <c r="M57" s="1430"/>
      <c r="N57" s="1470" t="str">
        <f t="shared" si="35"/>
        <v/>
      </c>
      <c r="BQ57" s="4428" t="str">
        <f t="shared" si="36"/>
        <v/>
      </c>
      <c r="BR57" s="4428" t="str">
        <f t="shared" si="37"/>
        <v/>
      </c>
      <c r="BS57" s="4428" t="str">
        <f t="shared" si="38"/>
        <v/>
      </c>
      <c r="BT57" s="4428" t="str">
        <f t="shared" si="39"/>
        <v/>
      </c>
      <c r="BZ57" s="1420">
        <f t="shared" si="40"/>
        <v>0</v>
      </c>
      <c r="CA57" s="1420">
        <f t="shared" si="41"/>
        <v>0</v>
      </c>
      <c r="CB57" s="1420">
        <f t="shared" si="42"/>
        <v>0</v>
      </c>
      <c r="CC57" s="1420">
        <f t="shared" si="43"/>
        <v>0</v>
      </c>
    </row>
    <row r="58" spans="1:82" s="1470" customFormat="1" ht="15" customHeight="1">
      <c r="A58" s="7075" t="s">
        <v>930</v>
      </c>
      <c r="B58" s="7074"/>
      <c r="C58" s="2154">
        <f t="shared" si="44"/>
        <v>0</v>
      </c>
      <c r="D58" s="1455"/>
      <c r="E58" s="1457"/>
      <c r="F58" s="1457"/>
      <c r="G58" s="1951"/>
      <c r="H58" s="1467"/>
      <c r="I58" s="1998"/>
      <c r="J58" s="1490"/>
      <c r="K58" s="1461"/>
      <c r="L58" s="1490"/>
      <c r="M58" s="1461"/>
      <c r="N58" s="1470" t="str">
        <f t="shared" si="35"/>
        <v/>
      </c>
      <c r="BQ58" s="4428" t="str">
        <f t="shared" si="36"/>
        <v/>
      </c>
      <c r="BR58" s="4428" t="str">
        <f t="shared" si="37"/>
        <v/>
      </c>
      <c r="BS58" s="4428" t="str">
        <f t="shared" si="38"/>
        <v/>
      </c>
      <c r="BT58" s="4428" t="str">
        <f t="shared" si="39"/>
        <v/>
      </c>
      <c r="BZ58" s="1420">
        <f t="shared" si="40"/>
        <v>0</v>
      </c>
      <c r="CA58" s="1420">
        <f t="shared" si="41"/>
        <v>0</v>
      </c>
      <c r="CB58" s="1420">
        <f t="shared" si="42"/>
        <v>0</v>
      </c>
      <c r="CC58" s="1420">
        <f t="shared" si="43"/>
        <v>0</v>
      </c>
    </row>
    <row r="59" spans="1:82" s="1470" customFormat="1" ht="15" customHeight="1">
      <c r="A59" s="6875" t="s">
        <v>91</v>
      </c>
      <c r="B59" s="6876"/>
      <c r="C59" s="1743">
        <f>SUM(C54:C58)+C50</f>
        <v>0</v>
      </c>
      <c r="D59" s="4006">
        <f t="shared" ref="D59:M59" si="45">SUM(D54:D58)+D50</f>
        <v>0</v>
      </c>
      <c r="E59" s="3029">
        <f t="shared" si="45"/>
        <v>0</v>
      </c>
      <c r="F59" s="3029">
        <f t="shared" si="45"/>
        <v>0</v>
      </c>
      <c r="G59" s="3031">
        <f t="shared" si="45"/>
        <v>0</v>
      </c>
      <c r="H59" s="1745">
        <f t="shared" si="45"/>
        <v>0</v>
      </c>
      <c r="I59" s="4006">
        <f t="shared" si="45"/>
        <v>0</v>
      </c>
      <c r="J59" s="1749">
        <f t="shared" si="45"/>
        <v>0</v>
      </c>
      <c r="K59" s="1750">
        <f t="shared" si="45"/>
        <v>0</v>
      </c>
      <c r="L59" s="4006">
        <f t="shared" si="45"/>
        <v>0</v>
      </c>
      <c r="M59" s="1750">
        <f t="shared" si="45"/>
        <v>0</v>
      </c>
    </row>
    <row r="60" spans="1:82" s="4499" customFormat="1" ht="15" customHeight="1">
      <c r="A60" s="4499" t="s">
        <v>3228</v>
      </c>
    </row>
    <row r="61" spans="1:82" s="2832" customFormat="1" ht="18" customHeight="1">
      <c r="A61" s="1468" t="s">
        <v>3229</v>
      </c>
    </row>
    <row r="62" spans="1:82" s="2832" customFormat="1" ht="18" customHeight="1">
      <c r="A62" s="6152" t="s">
        <v>3230</v>
      </c>
      <c r="B62" s="6154"/>
      <c r="C62" s="7071" t="s">
        <v>3231</v>
      </c>
      <c r="D62" s="7071"/>
      <c r="E62" s="7071"/>
      <c r="F62" s="7071"/>
      <c r="G62" s="7071"/>
      <c r="H62" s="7071"/>
      <c r="I62" s="7071"/>
      <c r="J62" s="7071"/>
      <c r="K62" s="7071"/>
      <c r="L62" s="7071"/>
      <c r="M62" s="7071"/>
      <c r="N62" s="7071"/>
      <c r="O62" s="7071"/>
      <c r="P62" s="7071"/>
      <c r="Q62" s="5718" t="s">
        <v>50</v>
      </c>
      <c r="R62" s="6139" t="s">
        <v>51</v>
      </c>
      <c r="S62" s="5718" t="s">
        <v>3208</v>
      </c>
      <c r="T62" s="6139" t="s">
        <v>3232</v>
      </c>
      <c r="U62" s="5718" t="s">
        <v>3233</v>
      </c>
    </row>
    <row r="63" spans="1:82" s="1470" customFormat="1" ht="24" customHeight="1">
      <c r="A63" s="6155"/>
      <c r="B63" s="6157"/>
      <c r="C63" s="393" t="s">
        <v>3234</v>
      </c>
      <c r="D63" s="1574" t="s">
        <v>3235</v>
      </c>
      <c r="E63" s="1395" t="s">
        <v>78</v>
      </c>
      <c r="F63" s="1646" t="s">
        <v>3236</v>
      </c>
      <c r="G63" s="1646" t="s">
        <v>3237</v>
      </c>
      <c r="H63" s="1646" t="s">
        <v>1105</v>
      </c>
      <c r="I63" s="1646" t="s">
        <v>1471</v>
      </c>
      <c r="J63" s="1646" t="s">
        <v>1068</v>
      </c>
      <c r="K63" s="1646" t="s">
        <v>526</v>
      </c>
      <c r="L63" s="1646" t="s">
        <v>1065</v>
      </c>
      <c r="M63" s="1646" t="s">
        <v>119</v>
      </c>
      <c r="N63" s="1646" t="s">
        <v>1066</v>
      </c>
      <c r="O63" s="1646" t="s">
        <v>113</v>
      </c>
      <c r="P63" s="1495" t="s">
        <v>1194</v>
      </c>
      <c r="Q63" s="5719"/>
      <c r="R63" s="6115"/>
      <c r="S63" s="5719"/>
      <c r="T63" s="6115"/>
      <c r="U63" s="5719"/>
    </row>
    <row r="64" spans="1:82" s="1470" customFormat="1" ht="15" customHeight="1">
      <c r="A64" s="6561" t="s">
        <v>3238</v>
      </c>
      <c r="B64" s="6563"/>
      <c r="C64" s="2873"/>
      <c r="D64" s="1423">
        <f t="shared" ref="D64:D69" si="46">SUM(E64:P64)</f>
        <v>0</v>
      </c>
      <c r="E64" s="1424"/>
      <c r="F64" s="1426"/>
      <c r="G64" s="1426"/>
      <c r="H64" s="1426"/>
      <c r="I64" s="1426"/>
      <c r="J64" s="1426"/>
      <c r="K64" s="1426"/>
      <c r="L64" s="1426"/>
      <c r="M64" s="1426"/>
      <c r="N64" s="1426"/>
      <c r="O64" s="1426"/>
      <c r="P64" s="1652"/>
      <c r="Q64" s="4442"/>
      <c r="R64" s="4447"/>
      <c r="S64" s="4442"/>
      <c r="T64" s="4447"/>
      <c r="U64" s="4442"/>
      <c r="V64" s="1470" t="str">
        <f>BQ64&amp;BR64&amp;BS64&amp;BT64&amp;BU64</f>
        <v/>
      </c>
      <c r="BQ64" s="4428" t="str">
        <f>IF(AND($D64&gt;0,Q64="")," * No olvide digitar la variable Pueblos originarios. Digite Cero si no tiene.",IF(Q64&gt;$D64," * La variable Pueblos originarios No puede ser mayor al Total.",""))</f>
        <v/>
      </c>
      <c r="BR64" s="4428" t="str">
        <f>IF(AND($D64&gt;0,R64="")," * No olvide digitar la variable Migrantes. Digite Cero si no tiene.",IF(R64&gt;$D64," * La variable Migrantes No puede ser mayor al Total.",""))</f>
        <v/>
      </c>
      <c r="BS64" s="4428" t="str">
        <f t="shared" ref="BS64:BS69" si="47">IF(AND($D64&gt;0,S64="")," * No olvide digitar la variable Población en ECICEP. Digite Cero si no tiene.",IF(S64&gt;$D64," * La variable Población en ECICEP No puede ser mayor al Total.",""))</f>
        <v/>
      </c>
      <c r="BT64" s="4428" t="str">
        <f t="shared" ref="BT64:BT69" si="48">IF(AND($D64&gt;0,T64="")," * No olvide digitar la variable Población ELEAM o Institucionalizada. Digite Cero si no tiene.",IF(T64&gt;$D64," * La variable Población ELEAM o Institucionalizada No puede ser mayor al Total.",""))</f>
        <v/>
      </c>
      <c r="BU64" s="4428" t="str">
        <f t="shared" ref="BU64:BU69" si="49">IF(AND($D64&gt;0,U64="")," * No olvide digitar la variable Atención nutricional a personas con NED. Digite Cero si no tiene.",IF(U64&gt;$D64," * La variable Atención nutricional a personas con NED No puede ser mayor al Total.",""))</f>
        <v/>
      </c>
      <c r="BZ64" s="1420">
        <f>IF(AND($D64&gt;0,Q64=""),1,IF(Q64&gt;$D64,1,0))</f>
        <v>0</v>
      </c>
      <c r="CA64" s="1420">
        <f>IF(AND($D64&gt;0,R64=""),1,IF(R64&gt;$D64,1,0))</f>
        <v>0</v>
      </c>
      <c r="CB64" s="1420">
        <f t="shared" ref="CB64:CD69" si="50">IF(AND($D64&gt;0,S64=""),1,IF(S64&gt;$D64,1,0))</f>
        <v>0</v>
      </c>
      <c r="CC64" s="1420">
        <f>IF(AND($D64&gt;0,T64=""),1,IF(T64&gt;$D64,1,0))</f>
        <v>0</v>
      </c>
      <c r="CD64" s="1420">
        <f>IF(AND($D64&gt;0,U64=""),1,IF(U64&gt;$D64,1,0))</f>
        <v>0</v>
      </c>
    </row>
    <row r="65" spans="1:82" s="1470" customFormat="1" ht="15" customHeight="1">
      <c r="A65" s="6618" t="s">
        <v>3239</v>
      </c>
      <c r="B65" s="6620"/>
      <c r="C65" s="2907"/>
      <c r="D65" s="4500">
        <f t="shared" si="46"/>
        <v>0</v>
      </c>
      <c r="E65" s="1455"/>
      <c r="F65" s="1457"/>
      <c r="G65" s="1457"/>
      <c r="H65" s="1457"/>
      <c r="I65" s="1457"/>
      <c r="J65" s="1457"/>
      <c r="K65" s="1457"/>
      <c r="L65" s="1457"/>
      <c r="M65" s="1457"/>
      <c r="N65" s="1457"/>
      <c r="O65" s="1457"/>
      <c r="P65" s="1490"/>
      <c r="Q65" s="4465"/>
      <c r="R65" s="4501"/>
      <c r="S65" s="4465"/>
      <c r="T65" s="4501"/>
      <c r="U65" s="4465"/>
      <c r="V65" s="1470" t="str">
        <f t="shared" ref="V65:V109" si="51">BQ65&amp;BR65</f>
        <v/>
      </c>
      <c r="BQ65" s="4428" t="str">
        <f t="shared" ref="BQ65:BQ69" si="52">IF(AND(D65&gt;0,Q65="")," * No olvide digitar la variable Pueblos originarios. Digite Cero si no tiene.",IF(Q65&gt;D65," * La variable Pueblos originarios No puede ser mayor al Total.",""))</f>
        <v/>
      </c>
      <c r="BR65" s="4428" t="str">
        <f t="shared" ref="BR65:BR69" si="53">IF(AND(D65&gt;0,R65="")," * No olvide digitar la variable Migrantes. Digite Cero si no tiene.",IF(R65&gt;D65," * La variable Migrantes No puede ser mayor al Total.",""))</f>
        <v/>
      </c>
      <c r="BS65" s="4428" t="str">
        <f t="shared" si="47"/>
        <v/>
      </c>
      <c r="BT65" s="4428" t="str">
        <f t="shared" si="48"/>
        <v/>
      </c>
      <c r="BU65" s="4428" t="str">
        <f t="shared" si="49"/>
        <v/>
      </c>
      <c r="BZ65" s="1420">
        <f t="shared" ref="BZ65:BZ69" si="54">IF(AND(D65&gt;0,Q65=""),1,IF(Q65&gt;D65,1,0))</f>
        <v>0</v>
      </c>
      <c r="CA65" s="1420">
        <f t="shared" ref="CA65:CA69" si="55">IF(AND(D65&gt;0,R65=""),1,IF(R65&gt;D65,1,0))</f>
        <v>0</v>
      </c>
      <c r="CB65" s="1420">
        <f t="shared" si="50"/>
        <v>0</v>
      </c>
      <c r="CC65" s="1420">
        <f t="shared" si="50"/>
        <v>0</v>
      </c>
      <c r="CD65" s="1420">
        <f t="shared" si="50"/>
        <v>0</v>
      </c>
    </row>
    <row r="66" spans="1:82" s="1470" customFormat="1" ht="15" customHeight="1">
      <c r="A66" s="5718" t="s">
        <v>3240</v>
      </c>
      <c r="B66" s="4441" t="s">
        <v>3241</v>
      </c>
      <c r="C66" s="2873"/>
      <c r="D66" s="1423">
        <f t="shared" si="46"/>
        <v>0</v>
      </c>
      <c r="E66" s="1480"/>
      <c r="F66" s="1541"/>
      <c r="G66" s="1541"/>
      <c r="H66" s="1541"/>
      <c r="I66" s="1541"/>
      <c r="J66" s="1541"/>
      <c r="K66" s="1541"/>
      <c r="L66" s="1541"/>
      <c r="M66" s="1541"/>
      <c r="N66" s="1541"/>
      <c r="O66" s="1541"/>
      <c r="P66" s="1482"/>
      <c r="Q66" s="4475"/>
      <c r="R66" s="4502"/>
      <c r="S66" s="4475"/>
      <c r="T66" s="4502"/>
      <c r="U66" s="4475"/>
      <c r="V66" s="1470" t="str">
        <f t="shared" si="51"/>
        <v/>
      </c>
      <c r="BQ66" s="4428" t="str">
        <f t="shared" si="52"/>
        <v/>
      </c>
      <c r="BR66" s="4428" t="str">
        <f t="shared" si="53"/>
        <v/>
      </c>
      <c r="BS66" s="4428" t="str">
        <f t="shared" si="47"/>
        <v/>
      </c>
      <c r="BT66" s="4428" t="str">
        <f t="shared" si="48"/>
        <v/>
      </c>
      <c r="BU66" s="4428" t="str">
        <f t="shared" si="49"/>
        <v/>
      </c>
      <c r="BZ66" s="1420">
        <f t="shared" si="54"/>
        <v>0</v>
      </c>
      <c r="CA66" s="1420">
        <f t="shared" si="55"/>
        <v>0</v>
      </c>
      <c r="CB66" s="1420">
        <f t="shared" si="50"/>
        <v>0</v>
      </c>
      <c r="CC66" s="1420">
        <f t="shared" si="50"/>
        <v>0</v>
      </c>
      <c r="CD66" s="1420">
        <f t="shared" si="50"/>
        <v>0</v>
      </c>
    </row>
    <row r="67" spans="1:82" s="1470" customFormat="1" ht="15" customHeight="1">
      <c r="A67" s="6110"/>
      <c r="B67" s="2303" t="s">
        <v>3242</v>
      </c>
      <c r="C67" s="4503"/>
      <c r="D67" s="1454">
        <f t="shared" si="46"/>
        <v>0</v>
      </c>
      <c r="E67" s="1455"/>
      <c r="F67" s="1457"/>
      <c r="G67" s="1457"/>
      <c r="H67" s="1457"/>
      <c r="I67" s="1457"/>
      <c r="J67" s="1457"/>
      <c r="K67" s="1457"/>
      <c r="L67" s="1457"/>
      <c r="M67" s="1457"/>
      <c r="N67" s="1457"/>
      <c r="O67" s="1457"/>
      <c r="P67" s="1490"/>
      <c r="Q67" s="4465"/>
      <c r="R67" s="4501"/>
      <c r="S67" s="4465"/>
      <c r="T67" s="4501"/>
      <c r="U67" s="4465"/>
      <c r="V67" s="1470" t="str">
        <f t="shared" si="51"/>
        <v/>
      </c>
      <c r="BQ67" s="4428" t="str">
        <f t="shared" si="52"/>
        <v/>
      </c>
      <c r="BR67" s="4428" t="str">
        <f t="shared" si="53"/>
        <v/>
      </c>
      <c r="BS67" s="4428" t="str">
        <f t="shared" si="47"/>
        <v/>
      </c>
      <c r="BT67" s="4428" t="str">
        <f t="shared" si="48"/>
        <v/>
      </c>
      <c r="BU67" s="4428" t="str">
        <f t="shared" si="49"/>
        <v/>
      </c>
      <c r="BZ67" s="1420">
        <f t="shared" si="54"/>
        <v>0</v>
      </c>
      <c r="CA67" s="1420">
        <f t="shared" si="55"/>
        <v>0</v>
      </c>
      <c r="CB67" s="1420">
        <f t="shared" si="50"/>
        <v>0</v>
      </c>
      <c r="CC67" s="1420">
        <f t="shared" si="50"/>
        <v>0</v>
      </c>
      <c r="CD67" s="1420">
        <f t="shared" si="50"/>
        <v>0</v>
      </c>
    </row>
    <row r="68" spans="1:82" s="1470" customFormat="1" ht="15" customHeight="1">
      <c r="A68" s="6110"/>
      <c r="B68" s="2153" t="s">
        <v>3243</v>
      </c>
      <c r="C68" s="4504"/>
      <c r="D68" s="4505">
        <f t="shared" si="46"/>
        <v>0</v>
      </c>
      <c r="E68" s="1480"/>
      <c r="F68" s="1541"/>
      <c r="G68" s="1541"/>
      <c r="H68" s="1541"/>
      <c r="I68" s="1541"/>
      <c r="J68" s="1541"/>
      <c r="K68" s="1541"/>
      <c r="L68" s="1541"/>
      <c r="M68" s="1541"/>
      <c r="N68" s="1541"/>
      <c r="O68" s="1541"/>
      <c r="P68" s="1482"/>
      <c r="Q68" s="4475"/>
      <c r="R68" s="4502"/>
      <c r="S68" s="4475"/>
      <c r="T68" s="4502"/>
      <c r="U68" s="4475"/>
      <c r="V68" s="1470" t="str">
        <f t="shared" si="51"/>
        <v/>
      </c>
      <c r="BQ68" s="4428" t="str">
        <f t="shared" si="52"/>
        <v/>
      </c>
      <c r="BR68" s="4428" t="str">
        <f t="shared" si="53"/>
        <v/>
      </c>
      <c r="BS68" s="4428" t="str">
        <f t="shared" si="47"/>
        <v/>
      </c>
      <c r="BT68" s="4428" t="str">
        <f t="shared" si="48"/>
        <v/>
      </c>
      <c r="BU68" s="4428" t="str">
        <f t="shared" si="49"/>
        <v/>
      </c>
      <c r="BZ68" s="1420">
        <f t="shared" si="54"/>
        <v>0</v>
      </c>
      <c r="CA68" s="1420">
        <f t="shared" si="55"/>
        <v>0</v>
      </c>
      <c r="CB68" s="1420">
        <f t="shared" si="50"/>
        <v>0</v>
      </c>
      <c r="CC68" s="1420">
        <f t="shared" si="50"/>
        <v>0</v>
      </c>
      <c r="CD68" s="1420">
        <f t="shared" si="50"/>
        <v>0</v>
      </c>
    </row>
    <row r="69" spans="1:82" s="1470" customFormat="1" ht="15" customHeight="1">
      <c r="A69" s="5719"/>
      <c r="B69" s="458" t="s">
        <v>3244</v>
      </c>
      <c r="C69" s="4506"/>
      <c r="D69" s="4500">
        <f t="shared" si="46"/>
        <v>0</v>
      </c>
      <c r="E69" s="1528"/>
      <c r="F69" s="1529"/>
      <c r="G69" s="1529"/>
      <c r="H69" s="1529"/>
      <c r="I69" s="1529"/>
      <c r="J69" s="1529"/>
      <c r="K69" s="1529"/>
      <c r="L69" s="1529"/>
      <c r="M69" s="1529"/>
      <c r="N69" s="1529"/>
      <c r="O69" s="1529"/>
      <c r="P69" s="1800"/>
      <c r="Q69" s="4459"/>
      <c r="R69" s="4466"/>
      <c r="S69" s="4459"/>
      <c r="T69" s="4466"/>
      <c r="U69" s="4459"/>
      <c r="V69" s="1470" t="str">
        <f t="shared" si="51"/>
        <v/>
      </c>
      <c r="BQ69" s="4428" t="str">
        <f t="shared" si="52"/>
        <v/>
      </c>
      <c r="BR69" s="4428" t="str">
        <f t="shared" si="53"/>
        <v/>
      </c>
      <c r="BS69" s="4428" t="str">
        <f t="shared" si="47"/>
        <v/>
      </c>
      <c r="BT69" s="4428" t="str">
        <f t="shared" si="48"/>
        <v/>
      </c>
      <c r="BU69" s="4428" t="str">
        <f t="shared" si="49"/>
        <v/>
      </c>
      <c r="BZ69" s="1420">
        <f t="shared" si="54"/>
        <v>0</v>
      </c>
      <c r="CA69" s="1420">
        <f t="shared" si="55"/>
        <v>0</v>
      </c>
      <c r="CB69" s="1420">
        <f t="shared" si="50"/>
        <v>0</v>
      </c>
      <c r="CC69" s="1420">
        <f t="shared" si="50"/>
        <v>0</v>
      </c>
      <c r="CD69" s="1420">
        <f t="shared" si="50"/>
        <v>0</v>
      </c>
    </row>
    <row r="70" spans="1:82" s="2832" customFormat="1" ht="18" customHeight="1">
      <c r="A70" s="2283" t="s">
        <v>3245</v>
      </c>
    </row>
    <row r="71" spans="1:82" s="1470" customFormat="1" ht="15" customHeight="1">
      <c r="A71" s="6152" t="s">
        <v>43</v>
      </c>
      <c r="B71" s="6154"/>
      <c r="C71" s="6142" t="s">
        <v>1188</v>
      </c>
      <c r="D71" s="6142"/>
      <c r="E71" s="6142"/>
      <c r="F71" s="6142"/>
      <c r="G71" s="7076"/>
      <c r="H71" s="6153" t="s">
        <v>3246</v>
      </c>
      <c r="I71" s="6137"/>
    </row>
    <row r="72" spans="1:82" s="1470" customFormat="1" ht="15" customHeight="1">
      <c r="A72" s="6447"/>
      <c r="B72" s="6448"/>
      <c r="C72" s="6152" t="s">
        <v>91</v>
      </c>
      <c r="D72" s="5707" t="s">
        <v>1191</v>
      </c>
      <c r="E72" s="5708"/>
      <c r="F72" s="5709"/>
      <c r="G72" s="6221" t="s">
        <v>1189</v>
      </c>
      <c r="H72" s="6156"/>
      <c r="I72" s="6137"/>
    </row>
    <row r="73" spans="1:82" s="1470" customFormat="1" ht="21">
      <c r="A73" s="6155"/>
      <c r="B73" s="6157"/>
      <c r="C73" s="6155"/>
      <c r="D73" s="1395" t="s">
        <v>3247</v>
      </c>
      <c r="E73" s="1646" t="s">
        <v>1193</v>
      </c>
      <c r="F73" s="1584" t="s">
        <v>1194</v>
      </c>
      <c r="G73" s="6222"/>
      <c r="H73" s="393" t="s">
        <v>1195</v>
      </c>
      <c r="I73" s="1574" t="s">
        <v>1189</v>
      </c>
    </row>
    <row r="74" spans="1:82" s="1470" customFormat="1" ht="15" customHeight="1">
      <c r="A74" s="6672" t="s">
        <v>3248</v>
      </c>
      <c r="B74" s="6673"/>
      <c r="C74" s="4493">
        <f t="shared" ref="C74:C81" si="56">SUM(D74:F74)+H74</f>
        <v>0</v>
      </c>
      <c r="D74" s="448"/>
      <c r="E74" s="3398"/>
      <c r="F74" s="449"/>
      <c r="G74" s="2246"/>
      <c r="H74" s="3391"/>
      <c r="I74" s="452"/>
    </row>
    <row r="75" spans="1:82" s="1470" customFormat="1" ht="15" customHeight="1">
      <c r="A75" s="7077" t="s">
        <v>496</v>
      </c>
      <c r="B75" s="6560"/>
      <c r="C75" s="4495">
        <f t="shared" si="56"/>
        <v>0</v>
      </c>
      <c r="D75" s="425"/>
      <c r="E75" s="3376"/>
      <c r="F75" s="424"/>
      <c r="G75" s="3568"/>
      <c r="H75" s="3392"/>
      <c r="I75" s="443"/>
    </row>
    <row r="76" spans="1:82" s="1470" customFormat="1" ht="15" customHeight="1">
      <c r="A76" s="7077" t="s">
        <v>347</v>
      </c>
      <c r="B76" s="6560"/>
      <c r="C76" s="4495">
        <f t="shared" si="56"/>
        <v>0</v>
      </c>
      <c r="D76" s="425"/>
      <c r="E76" s="3376"/>
      <c r="F76" s="424"/>
      <c r="G76" s="3568"/>
      <c r="H76" s="3392"/>
      <c r="I76" s="443"/>
    </row>
    <row r="77" spans="1:82" s="1470" customFormat="1" ht="15" customHeight="1">
      <c r="A77" s="7078" t="s">
        <v>3215</v>
      </c>
      <c r="B77" s="6560"/>
      <c r="C77" s="4495">
        <f t="shared" si="56"/>
        <v>0</v>
      </c>
      <c r="D77" s="425"/>
      <c r="E77" s="3376"/>
      <c r="F77" s="424"/>
      <c r="G77" s="3568"/>
      <c r="H77" s="3392"/>
      <c r="I77" s="443"/>
    </row>
    <row r="78" spans="1:82" s="1470" customFormat="1" ht="15" customHeight="1">
      <c r="A78" s="7078" t="s">
        <v>58</v>
      </c>
      <c r="B78" s="6560"/>
      <c r="C78" s="4495">
        <f t="shared" si="56"/>
        <v>0</v>
      </c>
      <c r="D78" s="425"/>
      <c r="E78" s="3376"/>
      <c r="F78" s="424"/>
      <c r="G78" s="3568"/>
      <c r="H78" s="3392"/>
      <c r="I78" s="443"/>
    </row>
    <row r="79" spans="1:82" s="1470" customFormat="1" ht="15" customHeight="1">
      <c r="A79" s="7077" t="s">
        <v>59</v>
      </c>
      <c r="B79" s="6560"/>
      <c r="C79" s="4495">
        <f t="shared" si="56"/>
        <v>0</v>
      </c>
      <c r="D79" s="425"/>
      <c r="E79" s="3376"/>
      <c r="F79" s="424"/>
      <c r="G79" s="3568"/>
      <c r="H79" s="3392"/>
      <c r="I79" s="443"/>
    </row>
    <row r="80" spans="1:82" s="1470" customFormat="1" ht="15" customHeight="1">
      <c r="A80" s="7077" t="s">
        <v>348</v>
      </c>
      <c r="B80" s="6560"/>
      <c r="C80" s="4495">
        <f t="shared" si="56"/>
        <v>0</v>
      </c>
      <c r="D80" s="425"/>
      <c r="E80" s="3376"/>
      <c r="F80" s="424"/>
      <c r="G80" s="3568"/>
      <c r="H80" s="3392"/>
      <c r="I80" s="443"/>
    </row>
    <row r="81" spans="1:78" s="1470" customFormat="1" ht="15" customHeight="1">
      <c r="A81" s="6263" t="s">
        <v>691</v>
      </c>
      <c r="B81" s="6264"/>
      <c r="C81" s="4508">
        <f t="shared" si="56"/>
        <v>0</v>
      </c>
      <c r="D81" s="432"/>
      <c r="E81" s="3384"/>
      <c r="F81" s="433"/>
      <c r="G81" s="3578"/>
      <c r="H81" s="3393"/>
      <c r="I81" s="438"/>
    </row>
    <row r="82" spans="1:78" s="1470" customFormat="1" ht="15" customHeight="1">
      <c r="A82" s="378" t="s">
        <v>3249</v>
      </c>
    </row>
    <row r="83" spans="1:78" s="2832" customFormat="1" ht="18" customHeight="1">
      <c r="A83" s="1468" t="s">
        <v>3250</v>
      </c>
    </row>
    <row r="84" spans="1:78" s="1470" customFormat="1" ht="15" customHeight="1">
      <c r="A84" s="6176" t="s">
        <v>3251</v>
      </c>
      <c r="B84" s="6176" t="s">
        <v>3252</v>
      </c>
      <c r="C84" s="5707" t="s">
        <v>2033</v>
      </c>
      <c r="D84" s="5708"/>
      <c r="E84" s="5708"/>
      <c r="F84" s="5708"/>
      <c r="G84" s="5709"/>
    </row>
    <row r="85" spans="1:78" s="1470" customFormat="1" ht="15" customHeight="1">
      <c r="A85" s="6178"/>
      <c r="B85" s="6178"/>
      <c r="C85" s="1395" t="s">
        <v>364</v>
      </c>
      <c r="D85" s="1396" t="s">
        <v>347</v>
      </c>
      <c r="E85" s="1646" t="s">
        <v>108</v>
      </c>
      <c r="F85" s="1646" t="s">
        <v>58</v>
      </c>
      <c r="G85" s="1584" t="s">
        <v>59</v>
      </c>
    </row>
    <row r="86" spans="1:78" s="1470" customFormat="1" ht="15" customHeight="1">
      <c r="A86" s="2065" t="s">
        <v>3253</v>
      </c>
      <c r="B86" s="3639">
        <f t="shared" ref="B86:B87" si="57">SUM(C86:G86)</f>
        <v>0</v>
      </c>
      <c r="C86" s="448"/>
      <c r="D86" s="2307"/>
      <c r="E86" s="2307"/>
      <c r="F86" s="2307"/>
      <c r="G86" s="2229"/>
    </row>
    <row r="87" spans="1:78" s="1470" customFormat="1" ht="15" customHeight="1">
      <c r="A87" s="2225" t="s">
        <v>3225</v>
      </c>
      <c r="B87" s="1762">
        <f t="shared" si="57"/>
        <v>0</v>
      </c>
      <c r="C87" s="432"/>
      <c r="D87" s="3385"/>
      <c r="E87" s="3385"/>
      <c r="F87" s="3385"/>
      <c r="G87" s="2235"/>
    </row>
    <row r="88" spans="1:78" s="385" customFormat="1" ht="18" customHeight="1">
      <c r="A88" s="1468" t="s">
        <v>3254</v>
      </c>
    </row>
    <row r="89" spans="1:78" s="1470" customFormat="1" ht="21">
      <c r="A89" s="1916" t="s">
        <v>305</v>
      </c>
      <c r="B89" s="387" t="s">
        <v>3255</v>
      </c>
      <c r="C89" s="387" t="s">
        <v>3256</v>
      </c>
    </row>
    <row r="90" spans="1:78" s="1470" customFormat="1" ht="15" customHeight="1">
      <c r="A90" s="1937" t="s">
        <v>3253</v>
      </c>
      <c r="B90" s="4509"/>
      <c r="C90" s="4509"/>
    </row>
    <row r="91" spans="1:78" s="2832" customFormat="1" ht="18" customHeight="1">
      <c r="A91" s="1468" t="s">
        <v>3257</v>
      </c>
    </row>
    <row r="92" spans="1:78" s="1470" customFormat="1" ht="15" customHeight="1">
      <c r="A92" s="7079" t="s">
        <v>1124</v>
      </c>
      <c r="B92" s="7079" t="s">
        <v>91</v>
      </c>
      <c r="C92" s="7080" t="s">
        <v>3258</v>
      </c>
      <c r="D92" s="7081"/>
      <c r="E92" s="7081"/>
      <c r="F92" s="7081"/>
      <c r="G92" s="7081"/>
      <c r="H92" s="7081"/>
      <c r="I92" s="7081"/>
      <c r="J92" s="7081"/>
      <c r="K92" s="7081"/>
      <c r="L92" s="7081"/>
      <c r="M92" s="7081"/>
      <c r="N92" s="7081"/>
      <c r="O92" s="7081"/>
      <c r="P92" s="7081"/>
      <c r="Q92" s="7081"/>
      <c r="R92" s="7081"/>
      <c r="S92" s="7082"/>
      <c r="T92" s="7083" t="s">
        <v>2422</v>
      </c>
      <c r="U92" s="7084"/>
    </row>
    <row r="93" spans="1:78" s="1470" customFormat="1" ht="15" customHeight="1">
      <c r="A93" s="7079"/>
      <c r="B93" s="7079"/>
      <c r="C93" s="7087" t="s">
        <v>43</v>
      </c>
      <c r="D93" s="7088"/>
      <c r="E93" s="7088"/>
      <c r="F93" s="7088"/>
      <c r="G93" s="7088"/>
      <c r="H93" s="7088"/>
      <c r="I93" s="7088"/>
      <c r="J93" s="7088"/>
      <c r="K93" s="7088"/>
      <c r="L93" s="7088"/>
      <c r="M93" s="7088"/>
      <c r="N93" s="7088"/>
      <c r="O93" s="7088"/>
      <c r="P93" s="7088"/>
      <c r="Q93" s="7088"/>
      <c r="R93" s="7088"/>
      <c r="S93" s="7089"/>
      <c r="T93" s="7085"/>
      <c r="U93" s="7086"/>
    </row>
    <row r="94" spans="1:78" s="1470" customFormat="1" ht="24.95" customHeight="1">
      <c r="A94" s="7079"/>
      <c r="B94" s="7079"/>
      <c r="C94" s="1395" t="s">
        <v>364</v>
      </c>
      <c r="D94" s="1646" t="s">
        <v>347</v>
      </c>
      <c r="E94" s="1646" t="s">
        <v>108</v>
      </c>
      <c r="F94" s="1646" t="s">
        <v>58</v>
      </c>
      <c r="G94" s="1646" t="s">
        <v>59</v>
      </c>
      <c r="H94" s="1646" t="s">
        <v>60</v>
      </c>
      <c r="I94" s="1646" t="s">
        <v>61</v>
      </c>
      <c r="J94" s="1646" t="s">
        <v>62</v>
      </c>
      <c r="K94" s="1646" t="s">
        <v>63</v>
      </c>
      <c r="L94" s="1646" t="s">
        <v>64</v>
      </c>
      <c r="M94" s="1646" t="s">
        <v>65</v>
      </c>
      <c r="N94" s="1646" t="s">
        <v>66</v>
      </c>
      <c r="O94" s="1397" t="s">
        <v>67</v>
      </c>
      <c r="P94" s="1646" t="s">
        <v>68</v>
      </c>
      <c r="Q94" s="1646" t="s">
        <v>69</v>
      </c>
      <c r="R94" s="1646" t="s">
        <v>70</v>
      </c>
      <c r="S94" s="1584" t="s">
        <v>71</v>
      </c>
      <c r="T94" s="4511" t="s">
        <v>72</v>
      </c>
      <c r="U94" s="4512" t="s">
        <v>73</v>
      </c>
    </row>
    <row r="95" spans="1:78" s="1470" customFormat="1" ht="21" customHeight="1">
      <c r="A95" s="4513" t="s">
        <v>3259</v>
      </c>
      <c r="B95" s="4514">
        <f t="shared" ref="B95:B109" si="58">SUM(C95:S95)</f>
        <v>0</v>
      </c>
      <c r="C95" s="448"/>
      <c r="D95" s="3398"/>
      <c r="E95" s="3398"/>
      <c r="F95" s="3398"/>
      <c r="G95" s="3398"/>
      <c r="H95" s="3398"/>
      <c r="I95" s="3398"/>
      <c r="J95" s="3398"/>
      <c r="K95" s="3398"/>
      <c r="L95" s="3398"/>
      <c r="M95" s="3398"/>
      <c r="N95" s="3398"/>
      <c r="O95" s="3398"/>
      <c r="P95" s="3398"/>
      <c r="Q95" s="3398"/>
      <c r="R95" s="3398"/>
      <c r="S95" s="449"/>
      <c r="T95" s="448"/>
      <c r="U95" s="2229"/>
      <c r="V95" s="1470" t="str">
        <f t="shared" si="51"/>
        <v/>
      </c>
      <c r="BQ95" s="4428" t="str">
        <f t="shared" ref="BQ95:BQ109" si="59">IF((T95+U95)&lt;&gt;B95," * El Total de Consultas Hombres + Mujeres debe ser igual al Total de Consultas Rango Etario","")</f>
        <v/>
      </c>
      <c r="BZ95" s="1420">
        <f t="shared" ref="BZ95:BZ109" si="60">IF((T95+U95)&lt;&gt;B95,1,0)</f>
        <v>0</v>
      </c>
    </row>
    <row r="96" spans="1:78" s="1470" customFormat="1" ht="15" customHeight="1">
      <c r="A96" s="4507" t="s">
        <v>1240</v>
      </c>
      <c r="B96" s="4514">
        <f t="shared" si="58"/>
        <v>0</v>
      </c>
      <c r="C96" s="425"/>
      <c r="D96" s="3376"/>
      <c r="E96" s="3376"/>
      <c r="F96" s="3376"/>
      <c r="G96" s="3376"/>
      <c r="H96" s="3376"/>
      <c r="I96" s="3376"/>
      <c r="J96" s="3376"/>
      <c r="K96" s="3376"/>
      <c r="L96" s="3376"/>
      <c r="M96" s="3376"/>
      <c r="N96" s="3376"/>
      <c r="O96" s="3376"/>
      <c r="P96" s="3376"/>
      <c r="Q96" s="3376"/>
      <c r="R96" s="3376"/>
      <c r="S96" s="424"/>
      <c r="T96" s="425"/>
      <c r="U96" s="2231"/>
      <c r="V96" s="1470" t="str">
        <f t="shared" si="51"/>
        <v/>
      </c>
      <c r="BQ96" s="4428" t="str">
        <f t="shared" si="59"/>
        <v/>
      </c>
      <c r="BZ96" s="1420">
        <f t="shared" si="60"/>
        <v>0</v>
      </c>
    </row>
    <row r="97" spans="1:78" s="1470" customFormat="1" ht="15" customHeight="1">
      <c r="A97" s="4507" t="s">
        <v>3260</v>
      </c>
      <c r="B97" s="4514">
        <f t="shared" si="58"/>
        <v>0</v>
      </c>
      <c r="C97" s="425"/>
      <c r="D97" s="3376"/>
      <c r="E97" s="3376"/>
      <c r="F97" s="3376"/>
      <c r="G97" s="3376"/>
      <c r="H97" s="3376"/>
      <c r="I97" s="3376"/>
      <c r="J97" s="3376"/>
      <c r="K97" s="3376"/>
      <c r="L97" s="3376"/>
      <c r="M97" s="3376"/>
      <c r="N97" s="3376"/>
      <c r="O97" s="3376"/>
      <c r="P97" s="3376"/>
      <c r="Q97" s="3376"/>
      <c r="R97" s="3376"/>
      <c r="S97" s="424"/>
      <c r="T97" s="425"/>
      <c r="U97" s="2231"/>
      <c r="V97" s="1470" t="str">
        <f t="shared" si="51"/>
        <v/>
      </c>
      <c r="BQ97" s="4428" t="str">
        <f t="shared" si="59"/>
        <v/>
      </c>
      <c r="BZ97" s="1420">
        <f t="shared" si="60"/>
        <v>0</v>
      </c>
    </row>
    <row r="98" spans="1:78" s="1470" customFormat="1" ht="21">
      <c r="A98" s="4513" t="s">
        <v>3261</v>
      </c>
      <c r="B98" s="4514">
        <f t="shared" si="58"/>
        <v>0</v>
      </c>
      <c r="C98" s="425"/>
      <c r="D98" s="3376"/>
      <c r="E98" s="3376"/>
      <c r="F98" s="3376"/>
      <c r="G98" s="3376"/>
      <c r="H98" s="3376"/>
      <c r="I98" s="3376"/>
      <c r="J98" s="3376"/>
      <c r="K98" s="3376"/>
      <c r="L98" s="3376"/>
      <c r="M98" s="3376"/>
      <c r="N98" s="3376"/>
      <c r="O98" s="3376"/>
      <c r="P98" s="3376"/>
      <c r="Q98" s="3376"/>
      <c r="R98" s="3376"/>
      <c r="S98" s="424"/>
      <c r="T98" s="425"/>
      <c r="U98" s="2231"/>
      <c r="V98" s="1470" t="str">
        <f t="shared" si="51"/>
        <v/>
      </c>
      <c r="BQ98" s="4428" t="str">
        <f t="shared" si="59"/>
        <v/>
      </c>
      <c r="BZ98" s="1420">
        <f t="shared" si="60"/>
        <v>0</v>
      </c>
    </row>
    <row r="99" spans="1:78" s="1470" customFormat="1" ht="15" customHeight="1">
      <c r="A99" s="4507" t="s">
        <v>3262</v>
      </c>
      <c r="B99" s="4514">
        <f t="shared" si="58"/>
        <v>0</v>
      </c>
      <c r="C99" s="425"/>
      <c r="D99" s="3376"/>
      <c r="E99" s="3376"/>
      <c r="F99" s="3376"/>
      <c r="G99" s="3376"/>
      <c r="H99" s="3376"/>
      <c r="I99" s="3376"/>
      <c r="J99" s="3376"/>
      <c r="K99" s="3376"/>
      <c r="L99" s="3376"/>
      <c r="M99" s="3376"/>
      <c r="N99" s="3376"/>
      <c r="O99" s="3376"/>
      <c r="P99" s="3376"/>
      <c r="Q99" s="3376"/>
      <c r="R99" s="3376"/>
      <c r="S99" s="424"/>
      <c r="T99" s="425"/>
      <c r="U99" s="2231"/>
      <c r="V99" s="1470" t="str">
        <f t="shared" si="51"/>
        <v/>
      </c>
      <c r="BQ99" s="4428" t="str">
        <f t="shared" si="59"/>
        <v/>
      </c>
      <c r="BZ99" s="1420">
        <f t="shared" si="60"/>
        <v>0</v>
      </c>
    </row>
    <row r="100" spans="1:78" s="1470" customFormat="1" ht="15" customHeight="1">
      <c r="A100" s="4507" t="s">
        <v>3263</v>
      </c>
      <c r="B100" s="4514">
        <f t="shared" si="58"/>
        <v>0</v>
      </c>
      <c r="C100" s="425"/>
      <c r="D100" s="3376"/>
      <c r="E100" s="3376"/>
      <c r="F100" s="3376"/>
      <c r="G100" s="3376"/>
      <c r="H100" s="3376"/>
      <c r="I100" s="3376"/>
      <c r="J100" s="3376"/>
      <c r="K100" s="3376"/>
      <c r="L100" s="3376"/>
      <c r="M100" s="3376"/>
      <c r="N100" s="3376"/>
      <c r="O100" s="3376"/>
      <c r="P100" s="3376"/>
      <c r="Q100" s="3376"/>
      <c r="R100" s="3376"/>
      <c r="S100" s="424"/>
      <c r="T100" s="425"/>
      <c r="U100" s="2231"/>
      <c r="V100" s="1470" t="str">
        <f t="shared" si="51"/>
        <v/>
      </c>
      <c r="BQ100" s="4428" t="str">
        <f t="shared" si="59"/>
        <v/>
      </c>
      <c r="BZ100" s="1420">
        <f t="shared" si="60"/>
        <v>0</v>
      </c>
    </row>
    <row r="101" spans="1:78" s="1470" customFormat="1" ht="15" customHeight="1">
      <c r="A101" s="4507" t="s">
        <v>3264</v>
      </c>
      <c r="B101" s="4514">
        <f t="shared" si="58"/>
        <v>0</v>
      </c>
      <c r="C101" s="425"/>
      <c r="D101" s="3376"/>
      <c r="E101" s="3376"/>
      <c r="F101" s="3376"/>
      <c r="G101" s="3376"/>
      <c r="H101" s="3376"/>
      <c r="I101" s="3376"/>
      <c r="J101" s="3376"/>
      <c r="K101" s="3376"/>
      <c r="L101" s="3376"/>
      <c r="M101" s="3376"/>
      <c r="N101" s="3376"/>
      <c r="O101" s="3376"/>
      <c r="P101" s="3376"/>
      <c r="Q101" s="3376"/>
      <c r="R101" s="3376"/>
      <c r="S101" s="424"/>
      <c r="T101" s="425"/>
      <c r="U101" s="2231"/>
      <c r="V101" s="1470" t="str">
        <f t="shared" si="51"/>
        <v/>
      </c>
      <c r="BQ101" s="4428" t="str">
        <f t="shared" si="59"/>
        <v/>
      </c>
      <c r="BZ101" s="1420">
        <f t="shared" si="60"/>
        <v>0</v>
      </c>
    </row>
    <row r="102" spans="1:78" s="1470" customFormat="1" ht="15" customHeight="1">
      <c r="A102" s="4507" t="s">
        <v>3265</v>
      </c>
      <c r="B102" s="4514">
        <f t="shared" si="58"/>
        <v>0</v>
      </c>
      <c r="C102" s="425"/>
      <c r="D102" s="3376"/>
      <c r="E102" s="3376"/>
      <c r="F102" s="3376"/>
      <c r="G102" s="3376"/>
      <c r="H102" s="3376"/>
      <c r="I102" s="3376"/>
      <c r="J102" s="3376"/>
      <c r="K102" s="3376"/>
      <c r="L102" s="3376"/>
      <c r="M102" s="3376"/>
      <c r="N102" s="3376"/>
      <c r="O102" s="3376"/>
      <c r="P102" s="3376"/>
      <c r="Q102" s="3376"/>
      <c r="R102" s="3376"/>
      <c r="S102" s="424"/>
      <c r="T102" s="425"/>
      <c r="U102" s="2231"/>
      <c r="V102" s="1470" t="str">
        <f t="shared" si="51"/>
        <v/>
      </c>
      <c r="BQ102" s="4428" t="str">
        <f t="shared" si="59"/>
        <v/>
      </c>
      <c r="BZ102" s="1420">
        <f t="shared" si="60"/>
        <v>0</v>
      </c>
    </row>
    <row r="103" spans="1:78" s="1470" customFormat="1" ht="15" customHeight="1">
      <c r="A103" s="4507" t="s">
        <v>1290</v>
      </c>
      <c r="B103" s="4514">
        <f t="shared" si="58"/>
        <v>0</v>
      </c>
      <c r="C103" s="425"/>
      <c r="D103" s="3376"/>
      <c r="E103" s="3376"/>
      <c r="F103" s="3376"/>
      <c r="G103" s="3376"/>
      <c r="H103" s="3376"/>
      <c r="I103" s="3376"/>
      <c r="J103" s="3376"/>
      <c r="K103" s="3376"/>
      <c r="L103" s="3376"/>
      <c r="M103" s="3376"/>
      <c r="N103" s="3376"/>
      <c r="O103" s="3376"/>
      <c r="P103" s="3376"/>
      <c r="Q103" s="3376"/>
      <c r="R103" s="3376"/>
      <c r="S103" s="424"/>
      <c r="T103" s="425"/>
      <c r="U103" s="2231"/>
      <c r="V103" s="1470" t="str">
        <f t="shared" si="51"/>
        <v/>
      </c>
      <c r="BQ103" s="4428" t="str">
        <f t="shared" si="59"/>
        <v/>
      </c>
      <c r="BZ103" s="1420">
        <f t="shared" si="60"/>
        <v>0</v>
      </c>
    </row>
    <row r="104" spans="1:78" s="1470" customFormat="1" ht="15" customHeight="1">
      <c r="A104" s="4507" t="s">
        <v>3266</v>
      </c>
      <c r="B104" s="4514">
        <f t="shared" si="58"/>
        <v>0</v>
      </c>
      <c r="C104" s="425"/>
      <c r="D104" s="3376"/>
      <c r="E104" s="3376"/>
      <c r="F104" s="3376"/>
      <c r="G104" s="3376"/>
      <c r="H104" s="3376"/>
      <c r="I104" s="3376"/>
      <c r="J104" s="3376"/>
      <c r="K104" s="3376"/>
      <c r="L104" s="3376"/>
      <c r="M104" s="3376"/>
      <c r="N104" s="3376"/>
      <c r="O104" s="3376"/>
      <c r="P104" s="3376"/>
      <c r="Q104" s="3376"/>
      <c r="R104" s="3376"/>
      <c r="S104" s="424"/>
      <c r="T104" s="425"/>
      <c r="U104" s="2231"/>
      <c r="V104" s="1470" t="str">
        <f t="shared" si="51"/>
        <v/>
      </c>
      <c r="BQ104" s="4428" t="str">
        <f t="shared" si="59"/>
        <v/>
      </c>
      <c r="BZ104" s="1420">
        <f t="shared" si="60"/>
        <v>0</v>
      </c>
    </row>
    <row r="105" spans="1:78" s="1470" customFormat="1" ht="15" customHeight="1">
      <c r="A105" s="4507" t="s">
        <v>1285</v>
      </c>
      <c r="B105" s="4514">
        <f t="shared" si="58"/>
        <v>0</v>
      </c>
      <c r="C105" s="425"/>
      <c r="D105" s="3376"/>
      <c r="E105" s="3376"/>
      <c r="F105" s="3376"/>
      <c r="G105" s="3376"/>
      <c r="H105" s="3376"/>
      <c r="I105" s="3376"/>
      <c r="J105" s="3376"/>
      <c r="K105" s="3376"/>
      <c r="L105" s="3376"/>
      <c r="M105" s="3376"/>
      <c r="N105" s="3376"/>
      <c r="O105" s="3376"/>
      <c r="P105" s="3376"/>
      <c r="Q105" s="3376"/>
      <c r="R105" s="3376"/>
      <c r="S105" s="424"/>
      <c r="T105" s="425"/>
      <c r="U105" s="2231"/>
      <c r="V105" s="1470" t="str">
        <f t="shared" si="51"/>
        <v/>
      </c>
      <c r="BQ105" s="4428" t="str">
        <f t="shared" si="59"/>
        <v/>
      </c>
      <c r="BZ105" s="1420">
        <f t="shared" si="60"/>
        <v>0</v>
      </c>
    </row>
    <row r="106" spans="1:78" s="1470" customFormat="1" ht="15" customHeight="1">
      <c r="A106" s="4507" t="s">
        <v>1286</v>
      </c>
      <c r="B106" s="4514">
        <f t="shared" si="58"/>
        <v>0</v>
      </c>
      <c r="C106" s="425"/>
      <c r="D106" s="3376"/>
      <c r="E106" s="3376"/>
      <c r="F106" s="3376"/>
      <c r="G106" s="3376"/>
      <c r="H106" s="3376"/>
      <c r="I106" s="3376"/>
      <c r="J106" s="3376"/>
      <c r="K106" s="3376"/>
      <c r="L106" s="3376"/>
      <c r="M106" s="3376"/>
      <c r="N106" s="3376"/>
      <c r="O106" s="3376"/>
      <c r="P106" s="3376"/>
      <c r="Q106" s="3376"/>
      <c r="R106" s="3376"/>
      <c r="S106" s="424"/>
      <c r="T106" s="425"/>
      <c r="U106" s="2231"/>
      <c r="V106" s="1470" t="str">
        <f t="shared" si="51"/>
        <v/>
      </c>
      <c r="BQ106" s="4428" t="str">
        <f t="shared" si="59"/>
        <v/>
      </c>
      <c r="BZ106" s="1420">
        <f t="shared" si="60"/>
        <v>0</v>
      </c>
    </row>
    <row r="107" spans="1:78" s="1470" customFormat="1" ht="15" customHeight="1">
      <c r="A107" s="4507" t="s">
        <v>1282</v>
      </c>
      <c r="B107" s="4514">
        <f t="shared" si="58"/>
        <v>0</v>
      </c>
      <c r="C107" s="425"/>
      <c r="D107" s="3376"/>
      <c r="E107" s="3376"/>
      <c r="F107" s="3376"/>
      <c r="G107" s="3376"/>
      <c r="H107" s="3376"/>
      <c r="I107" s="3376"/>
      <c r="J107" s="3376"/>
      <c r="K107" s="3376"/>
      <c r="L107" s="3376"/>
      <c r="M107" s="3376"/>
      <c r="N107" s="3376"/>
      <c r="O107" s="3376"/>
      <c r="P107" s="3376"/>
      <c r="Q107" s="3376"/>
      <c r="R107" s="3376"/>
      <c r="S107" s="424"/>
      <c r="T107" s="425"/>
      <c r="U107" s="2231"/>
      <c r="V107" s="1470" t="str">
        <f t="shared" si="51"/>
        <v/>
      </c>
      <c r="BQ107" s="4428" t="str">
        <f t="shared" si="59"/>
        <v/>
      </c>
      <c r="BZ107" s="1420">
        <f t="shared" si="60"/>
        <v>0</v>
      </c>
    </row>
    <row r="108" spans="1:78" s="1470" customFormat="1" ht="15" customHeight="1">
      <c r="A108" s="4507" t="s">
        <v>2493</v>
      </c>
      <c r="B108" s="4514">
        <f t="shared" si="58"/>
        <v>0</v>
      </c>
      <c r="C108" s="425"/>
      <c r="D108" s="3376"/>
      <c r="E108" s="3376"/>
      <c r="F108" s="3376"/>
      <c r="G108" s="3376"/>
      <c r="H108" s="3376"/>
      <c r="I108" s="3376"/>
      <c r="J108" s="3376"/>
      <c r="K108" s="3376"/>
      <c r="L108" s="3376"/>
      <c r="M108" s="3376"/>
      <c r="N108" s="3376"/>
      <c r="O108" s="3376"/>
      <c r="P108" s="3376"/>
      <c r="Q108" s="3376"/>
      <c r="R108" s="3376"/>
      <c r="S108" s="424"/>
      <c r="T108" s="425"/>
      <c r="U108" s="2231"/>
      <c r="V108" s="1470" t="str">
        <f t="shared" si="51"/>
        <v/>
      </c>
      <c r="BQ108" s="4428" t="str">
        <f t="shared" si="59"/>
        <v/>
      </c>
      <c r="BZ108" s="1420">
        <f t="shared" si="60"/>
        <v>0</v>
      </c>
    </row>
    <row r="109" spans="1:78" s="1470" customFormat="1" ht="15" customHeight="1">
      <c r="A109" s="4507" t="s">
        <v>3267</v>
      </c>
      <c r="B109" s="4514">
        <f t="shared" si="58"/>
        <v>0</v>
      </c>
      <c r="C109" s="432"/>
      <c r="D109" s="3384"/>
      <c r="E109" s="3384"/>
      <c r="F109" s="3384"/>
      <c r="G109" s="3384"/>
      <c r="H109" s="3384"/>
      <c r="I109" s="3384"/>
      <c r="J109" s="3384"/>
      <c r="K109" s="3384"/>
      <c r="L109" s="3384"/>
      <c r="M109" s="3384"/>
      <c r="N109" s="3384"/>
      <c r="O109" s="3384"/>
      <c r="P109" s="3384"/>
      <c r="Q109" s="3384"/>
      <c r="R109" s="3384"/>
      <c r="S109" s="433"/>
      <c r="T109" s="432"/>
      <c r="U109" s="2235"/>
      <c r="V109" s="1470" t="str">
        <f t="shared" si="51"/>
        <v/>
      </c>
      <c r="BQ109" s="4428" t="str">
        <f t="shared" si="59"/>
        <v/>
      </c>
      <c r="BZ109" s="1420">
        <f t="shared" si="60"/>
        <v>0</v>
      </c>
    </row>
    <row r="110" spans="1:78" s="1470" customFormat="1" ht="15" customHeight="1">
      <c r="A110" s="4510" t="s">
        <v>91</v>
      </c>
      <c r="B110" s="4515">
        <f>SUM(C110:S110)</f>
        <v>0</v>
      </c>
      <c r="C110" s="4516">
        <f>SUM(C95:C109)</f>
        <v>0</v>
      </c>
      <c r="D110" s="4517">
        <f t="shared" ref="D110:U110" si="61">SUM(D95:D109)</f>
        <v>0</v>
      </c>
      <c r="E110" s="4517">
        <f t="shared" si="61"/>
        <v>0</v>
      </c>
      <c r="F110" s="4517">
        <f t="shared" si="61"/>
        <v>0</v>
      </c>
      <c r="G110" s="4517">
        <f t="shared" si="61"/>
        <v>0</v>
      </c>
      <c r="H110" s="4518">
        <f t="shared" si="61"/>
        <v>0</v>
      </c>
      <c r="I110" s="4517">
        <f t="shared" si="61"/>
        <v>0</v>
      </c>
      <c r="J110" s="4517">
        <f t="shared" si="61"/>
        <v>0</v>
      </c>
      <c r="K110" s="4517">
        <f t="shared" si="61"/>
        <v>0</v>
      </c>
      <c r="L110" s="4517">
        <f t="shared" si="61"/>
        <v>0</v>
      </c>
      <c r="M110" s="4517">
        <f t="shared" si="61"/>
        <v>0</v>
      </c>
      <c r="N110" s="4517">
        <f t="shared" si="61"/>
        <v>0</v>
      </c>
      <c r="O110" s="4517">
        <f t="shared" si="61"/>
        <v>0</v>
      </c>
      <c r="P110" s="4517">
        <f t="shared" si="61"/>
        <v>0</v>
      </c>
      <c r="Q110" s="4517">
        <f t="shared" si="61"/>
        <v>0</v>
      </c>
      <c r="R110" s="4517">
        <f t="shared" si="61"/>
        <v>0</v>
      </c>
      <c r="S110" s="4519">
        <f t="shared" si="61"/>
        <v>0</v>
      </c>
      <c r="T110" s="4516">
        <f t="shared" si="61"/>
        <v>0</v>
      </c>
      <c r="U110" s="4519">
        <f t="shared" si="61"/>
        <v>0</v>
      </c>
    </row>
    <row r="111" spans="1:78" s="2832" customFormat="1" ht="18" customHeight="1">
      <c r="A111" s="2293" t="s">
        <v>3268</v>
      </c>
    </row>
    <row r="112" spans="1:78" s="1470" customFormat="1" ht="15" customHeight="1">
      <c r="A112" s="6153" t="s">
        <v>3269</v>
      </c>
      <c r="B112" s="6722" t="s">
        <v>3270</v>
      </c>
      <c r="C112" s="6140" t="s">
        <v>323</v>
      </c>
      <c r="D112" s="6139"/>
      <c r="E112" s="6119"/>
      <c r="F112" s="5707" t="s">
        <v>115</v>
      </c>
      <c r="G112" s="5708"/>
      <c r="H112" s="5708"/>
      <c r="I112" s="5708"/>
      <c r="J112" s="5708"/>
      <c r="K112" s="5708"/>
      <c r="L112" s="5708"/>
      <c r="M112" s="5708"/>
      <c r="N112" s="5708"/>
      <c r="O112" s="5708"/>
      <c r="P112" s="5708"/>
      <c r="Q112" s="5708"/>
      <c r="R112" s="5708"/>
      <c r="S112" s="5708"/>
      <c r="T112" s="4520"/>
      <c r="U112" s="3037"/>
      <c r="V112" s="3037"/>
      <c r="W112" s="3037"/>
      <c r="X112" s="3037"/>
      <c r="Y112" s="3037"/>
      <c r="Z112" s="3037"/>
      <c r="AA112" s="3037"/>
      <c r="AB112" s="3037"/>
      <c r="AC112" s="3037"/>
      <c r="AD112" s="3037"/>
      <c r="AE112" s="3037"/>
      <c r="AF112" s="3037"/>
      <c r="AG112" s="3037"/>
      <c r="AH112" s="3037"/>
      <c r="AI112" s="3037"/>
      <c r="AJ112" s="3037"/>
      <c r="AK112" s="3037"/>
      <c r="AL112" s="3037"/>
      <c r="AM112" s="3037"/>
    </row>
    <row r="113" spans="1:78" s="1470" customFormat="1" ht="15" customHeight="1">
      <c r="A113" s="6578"/>
      <c r="B113" s="6723"/>
      <c r="C113" s="6114"/>
      <c r="D113" s="6115"/>
      <c r="E113" s="6116"/>
      <c r="F113" s="6137" t="s">
        <v>3271</v>
      </c>
      <c r="G113" s="6137"/>
      <c r="H113" s="5710" t="s">
        <v>3272</v>
      </c>
      <c r="I113" s="5712"/>
      <c r="J113" s="5710" t="s">
        <v>461</v>
      </c>
      <c r="K113" s="5712"/>
      <c r="L113" s="5710" t="s">
        <v>3273</v>
      </c>
      <c r="M113" s="5712"/>
      <c r="N113" s="5710" t="s">
        <v>67</v>
      </c>
      <c r="O113" s="5712"/>
      <c r="P113" s="5710" t="s">
        <v>481</v>
      </c>
      <c r="Q113" s="5712"/>
      <c r="R113" s="5710" t="s">
        <v>71</v>
      </c>
      <c r="S113" s="5712"/>
    </row>
    <row r="114" spans="1:78" s="1470" customFormat="1" ht="15" customHeight="1">
      <c r="A114" s="6156"/>
      <c r="B114" s="6724"/>
      <c r="C114" s="1395" t="s">
        <v>93</v>
      </c>
      <c r="D114" s="1396" t="s">
        <v>72</v>
      </c>
      <c r="E114" s="393" t="s">
        <v>73</v>
      </c>
      <c r="F114" s="1395" t="s">
        <v>72</v>
      </c>
      <c r="G114" s="393" t="s">
        <v>73</v>
      </c>
      <c r="H114" s="1395" t="s">
        <v>72</v>
      </c>
      <c r="I114" s="393" t="s">
        <v>73</v>
      </c>
      <c r="J114" s="1395" t="s">
        <v>72</v>
      </c>
      <c r="K114" s="393" t="s">
        <v>73</v>
      </c>
      <c r="L114" s="1395" t="s">
        <v>72</v>
      </c>
      <c r="M114" s="393" t="s">
        <v>73</v>
      </c>
      <c r="N114" s="1395" t="s">
        <v>72</v>
      </c>
      <c r="O114" s="393" t="s">
        <v>73</v>
      </c>
      <c r="P114" s="1395" t="s">
        <v>72</v>
      </c>
      <c r="Q114" s="393" t="s">
        <v>73</v>
      </c>
      <c r="R114" s="1395" t="s">
        <v>72</v>
      </c>
      <c r="S114" s="393" t="s">
        <v>73</v>
      </c>
    </row>
    <row r="115" spans="1:78" s="1470" customFormat="1" ht="15" customHeight="1">
      <c r="A115" s="2108" t="s">
        <v>3274</v>
      </c>
      <c r="B115" s="3394"/>
      <c r="C115" s="2404">
        <f t="shared" ref="C115:C118" si="62">SUM(D115+E115)</f>
        <v>0</v>
      </c>
      <c r="D115" s="3647">
        <f t="shared" ref="D115:D118" si="63">+F115+H115+J115+L115+N115+P115+R115</f>
        <v>0</v>
      </c>
      <c r="E115" s="2294">
        <f t="shared" ref="E115:E118" si="64">+G115+I115+K115+M115+O115+Q115+S115</f>
        <v>0</v>
      </c>
      <c r="F115" s="3394"/>
      <c r="G115" s="3563"/>
      <c r="H115" s="3394"/>
      <c r="I115" s="3563"/>
      <c r="J115" s="3394"/>
      <c r="K115" s="3397"/>
      <c r="L115" s="3394"/>
      <c r="M115" s="3397"/>
      <c r="N115" s="3394"/>
      <c r="O115" s="3397"/>
      <c r="P115" s="3394"/>
      <c r="Q115" s="3397"/>
      <c r="R115" s="3394"/>
      <c r="S115" s="3397"/>
    </row>
    <row r="116" spans="1:78" s="1470" customFormat="1" ht="15" customHeight="1">
      <c r="A116" s="2114" t="s">
        <v>3275</v>
      </c>
      <c r="B116" s="425"/>
      <c r="C116" s="1737">
        <f t="shared" si="62"/>
        <v>0</v>
      </c>
      <c r="D116" s="3575">
        <f t="shared" si="63"/>
        <v>0</v>
      </c>
      <c r="E116" s="2295">
        <f t="shared" si="64"/>
        <v>0</v>
      </c>
      <c r="F116" s="3572"/>
      <c r="G116" s="1680"/>
      <c r="H116" s="425"/>
      <c r="I116" s="2231"/>
      <c r="J116" s="425"/>
      <c r="K116" s="424"/>
      <c r="L116" s="425"/>
      <c r="M116" s="424"/>
      <c r="N116" s="425"/>
      <c r="O116" s="424"/>
      <c r="P116" s="425"/>
      <c r="Q116" s="424"/>
      <c r="R116" s="425"/>
      <c r="S116" s="424"/>
    </row>
    <row r="117" spans="1:78" s="1470" customFormat="1" ht="15" customHeight="1">
      <c r="A117" s="2057" t="s">
        <v>3276</v>
      </c>
      <c r="B117" s="1545"/>
      <c r="C117" s="3591">
        <f t="shared" si="62"/>
        <v>0</v>
      </c>
      <c r="D117" s="3575">
        <f t="shared" si="63"/>
        <v>0</v>
      </c>
      <c r="E117" s="3442">
        <f t="shared" si="64"/>
        <v>0</v>
      </c>
      <c r="F117" s="1440"/>
      <c r="G117" s="1824"/>
      <c r="H117" s="1482"/>
      <c r="I117" s="1680"/>
      <c r="J117" s="1441"/>
      <c r="K117" s="1545"/>
      <c r="L117" s="1482"/>
      <c r="M117" s="1680"/>
      <c r="N117" s="1482"/>
      <c r="O117" s="1680"/>
      <c r="P117" s="1482"/>
      <c r="Q117" s="1680"/>
      <c r="R117" s="1440"/>
      <c r="S117" s="1545"/>
    </row>
    <row r="118" spans="1:78" s="1470" customFormat="1" ht="15" customHeight="1">
      <c r="A118" s="3648" t="s">
        <v>3277</v>
      </c>
      <c r="B118" s="1523"/>
      <c r="C118" s="1740">
        <f t="shared" si="62"/>
        <v>0</v>
      </c>
      <c r="D118" s="3575">
        <f t="shared" si="63"/>
        <v>0</v>
      </c>
      <c r="E118" s="3442">
        <f t="shared" si="64"/>
        <v>0</v>
      </c>
      <c r="F118" s="2355"/>
      <c r="G118" s="1824"/>
      <c r="H118" s="1487"/>
      <c r="I118" s="1824"/>
      <c r="J118" s="1826"/>
      <c r="K118" s="1523"/>
      <c r="L118" s="1770"/>
      <c r="M118" s="1824"/>
      <c r="N118" s="1485"/>
      <c r="O118" s="1523"/>
      <c r="P118" s="2121"/>
      <c r="Q118" s="1824"/>
      <c r="R118" s="2121"/>
      <c r="S118" s="1824"/>
    </row>
    <row r="119" spans="1:78" s="1470" customFormat="1" ht="15" customHeight="1">
      <c r="A119" s="4521" t="s">
        <v>3278</v>
      </c>
      <c r="B119" s="4522"/>
      <c r="C119" s="4523"/>
      <c r="D119" s="4524"/>
      <c r="E119" s="4525"/>
      <c r="F119" s="4526"/>
      <c r="G119" s="4525"/>
      <c r="H119" s="4524"/>
      <c r="I119" s="4527"/>
      <c r="J119" s="4528"/>
      <c r="K119" s="4527"/>
      <c r="L119" s="4528"/>
      <c r="M119" s="4525"/>
      <c r="N119" s="4529"/>
      <c r="O119" s="4527"/>
      <c r="P119" s="4528"/>
      <c r="Q119" s="4527"/>
      <c r="R119" s="4528"/>
      <c r="S119" s="4525"/>
    </row>
    <row r="120" spans="1:78" s="1470" customFormat="1" ht="15" customHeight="1">
      <c r="A120" s="1715" t="s">
        <v>91</v>
      </c>
      <c r="B120" s="392">
        <f>SUM(B115:B119)</f>
        <v>0</v>
      </c>
      <c r="C120" s="1743">
        <f>SUM(C115:C119)</f>
        <v>0</v>
      </c>
      <c r="D120" s="1746">
        <f>SUM(D115:D119)</f>
        <v>0</v>
      </c>
      <c r="E120" s="2297">
        <f t="shared" ref="E120:S120" si="65">SUM(E115:E119)</f>
        <v>0</v>
      </c>
      <c r="F120" s="4006">
        <f t="shared" si="65"/>
        <v>0</v>
      </c>
      <c r="G120" s="2297">
        <f t="shared" si="65"/>
        <v>0</v>
      </c>
      <c r="H120" s="4006">
        <f t="shared" si="65"/>
        <v>0</v>
      </c>
      <c r="I120" s="2297">
        <f t="shared" si="65"/>
        <v>0</v>
      </c>
      <c r="J120" s="1743">
        <f t="shared" si="65"/>
        <v>0</v>
      </c>
      <c r="K120" s="2310">
        <f t="shared" si="65"/>
        <v>0</v>
      </c>
      <c r="L120" s="4006">
        <f t="shared" si="65"/>
        <v>0</v>
      </c>
      <c r="M120" s="2297">
        <f t="shared" si="65"/>
        <v>0</v>
      </c>
      <c r="N120" s="4006">
        <f t="shared" si="65"/>
        <v>0</v>
      </c>
      <c r="O120" s="2297">
        <f t="shared" si="65"/>
        <v>0</v>
      </c>
      <c r="P120" s="4006">
        <f t="shared" si="65"/>
        <v>0</v>
      </c>
      <c r="Q120" s="2297">
        <f t="shared" si="65"/>
        <v>0</v>
      </c>
      <c r="R120" s="4006">
        <f t="shared" si="65"/>
        <v>0</v>
      </c>
      <c r="S120" s="3029">
        <f t="shared" si="65"/>
        <v>0</v>
      </c>
      <c r="T120" s="4530"/>
    </row>
    <row r="121" spans="1:78">
      <c r="BQ121"/>
      <c r="BR121"/>
      <c r="BS121"/>
      <c r="BT121"/>
      <c r="BU121"/>
      <c r="BW121"/>
      <c r="BX121"/>
      <c r="BY121"/>
      <c r="BZ121"/>
    </row>
    <row r="122" spans="1:78">
      <c r="BQ122"/>
      <c r="BR122"/>
      <c r="BS122"/>
      <c r="BT122"/>
      <c r="BU122"/>
      <c r="BW122"/>
      <c r="BX122"/>
      <c r="BY122"/>
      <c r="BZ122"/>
    </row>
    <row r="123" spans="1:78">
      <c r="BQ123"/>
      <c r="BR123"/>
      <c r="BS123"/>
      <c r="BT123"/>
      <c r="BU123"/>
      <c r="BW123"/>
      <c r="BX123"/>
      <c r="BY123"/>
      <c r="BZ123"/>
    </row>
    <row r="124" spans="1:78">
      <c r="BQ124"/>
      <c r="BR124"/>
      <c r="BS124"/>
      <c r="BT124"/>
      <c r="BU124"/>
      <c r="BW124"/>
      <c r="BX124"/>
      <c r="BY124"/>
      <c r="BZ124"/>
    </row>
    <row r="125" spans="1:78">
      <c r="BQ125"/>
      <c r="BR125"/>
      <c r="BS125"/>
      <c r="BT125"/>
      <c r="BU125"/>
      <c r="BW125"/>
      <c r="BX125"/>
      <c r="BY125"/>
      <c r="BZ125"/>
    </row>
    <row r="126" spans="1:78">
      <c r="BQ126"/>
      <c r="BR126"/>
      <c r="BS126"/>
      <c r="BT126"/>
      <c r="BU126"/>
      <c r="BW126"/>
      <c r="BX126"/>
      <c r="BY126"/>
      <c r="BZ126"/>
    </row>
    <row r="127" spans="1:78">
      <c r="BQ127"/>
      <c r="BR127"/>
      <c r="BS127"/>
      <c r="BT127"/>
      <c r="BU127"/>
      <c r="BW127"/>
      <c r="BX127"/>
      <c r="BY127"/>
      <c r="BZ127"/>
    </row>
    <row r="128" spans="1:78">
      <c r="BQ128"/>
      <c r="BR128"/>
      <c r="BS128"/>
      <c r="BT128"/>
      <c r="BU128"/>
      <c r="BW128"/>
      <c r="BX128"/>
      <c r="BY128"/>
      <c r="BZ128"/>
    </row>
    <row r="129" spans="1:78">
      <c r="BQ129"/>
      <c r="BR129"/>
      <c r="BS129"/>
      <c r="BT129"/>
      <c r="BU129"/>
      <c r="BW129"/>
      <c r="BX129"/>
      <c r="BY129"/>
      <c r="BZ129"/>
    </row>
    <row r="130" spans="1:78">
      <c r="BQ130"/>
      <c r="BR130"/>
      <c r="BS130"/>
      <c r="BT130"/>
      <c r="BU130"/>
      <c r="BW130"/>
      <c r="BX130"/>
      <c r="BY130"/>
      <c r="BZ130"/>
    </row>
    <row r="131" spans="1:78">
      <c r="BQ131"/>
      <c r="BR131"/>
      <c r="BS131"/>
      <c r="BT131"/>
      <c r="BU131"/>
      <c r="BW131"/>
      <c r="BX131"/>
      <c r="BY131"/>
      <c r="BZ131"/>
    </row>
    <row r="132" spans="1:78">
      <c r="BQ132"/>
      <c r="BR132"/>
      <c r="BS132"/>
      <c r="BT132"/>
      <c r="BU132"/>
      <c r="BW132"/>
      <c r="BX132"/>
      <c r="BY132"/>
      <c r="BZ132"/>
    </row>
    <row r="133" spans="1:78">
      <c r="BQ133"/>
      <c r="BR133"/>
      <c r="BS133"/>
      <c r="BT133"/>
      <c r="BU133"/>
      <c r="BW133"/>
      <c r="BX133"/>
      <c r="BY133"/>
      <c r="BZ133"/>
    </row>
    <row r="134" spans="1:78">
      <c r="BQ134"/>
      <c r="BR134"/>
      <c r="BS134"/>
      <c r="BT134"/>
      <c r="BU134"/>
      <c r="BW134"/>
      <c r="BX134"/>
      <c r="BY134"/>
      <c r="BZ134"/>
    </row>
    <row r="135" spans="1:78">
      <c r="BQ135"/>
      <c r="BR135"/>
      <c r="BS135"/>
      <c r="BT135"/>
      <c r="BU135"/>
      <c r="BW135"/>
      <c r="BX135"/>
      <c r="BY135"/>
      <c r="BZ135"/>
    </row>
    <row r="136" spans="1:78">
      <c r="BQ136"/>
      <c r="BR136"/>
      <c r="BS136"/>
      <c r="BT136"/>
      <c r="BU136"/>
      <c r="BW136"/>
      <c r="BX136"/>
      <c r="BY136"/>
      <c r="BZ136"/>
    </row>
    <row r="137" spans="1:78">
      <c r="BQ137"/>
      <c r="BR137"/>
      <c r="BS137"/>
      <c r="BT137"/>
      <c r="BU137"/>
      <c r="BW137"/>
      <c r="BX137"/>
      <c r="BY137"/>
      <c r="BZ137"/>
    </row>
    <row r="138" spans="1:78">
      <c r="BQ138"/>
      <c r="BR138"/>
      <c r="BS138"/>
      <c r="BT138"/>
      <c r="BU138"/>
      <c r="BW138"/>
      <c r="BX138"/>
      <c r="BY138"/>
      <c r="BZ138"/>
    </row>
    <row r="139" spans="1:78" hidden="1">
      <c r="A139" s="4117" t="e">
        <f>SUM(C10:C35,D38:J47,#REF!,C50:C59,D64:D69,C74:C81,B86:B87,B90:C90,B95:B110)</f>
        <v>#REF!</v>
      </c>
      <c r="B139" s="4118">
        <f>SUM(BW10:CA109)</f>
        <v>0</v>
      </c>
      <c r="BQ139"/>
      <c r="BR139"/>
      <c r="BS139"/>
      <c r="BT139"/>
      <c r="BU139"/>
      <c r="BW139"/>
      <c r="BX139"/>
      <c r="BY139"/>
      <c r="BZ139"/>
    </row>
    <row r="140" spans="1:78">
      <c r="BQ140"/>
      <c r="BR140"/>
      <c r="BS140"/>
      <c r="BT140"/>
      <c r="BU140"/>
      <c r="BW140"/>
      <c r="BX140"/>
      <c r="BY140"/>
      <c r="BZ140"/>
    </row>
    <row r="141" spans="1:78">
      <c r="BQ141"/>
      <c r="BR141"/>
      <c r="BS141"/>
      <c r="BT141"/>
      <c r="BU141"/>
      <c r="BW141"/>
      <c r="BX141"/>
      <c r="BY141"/>
      <c r="BZ141"/>
    </row>
    <row r="142" spans="1:78">
      <c r="BQ142"/>
      <c r="BR142"/>
      <c r="BS142"/>
      <c r="BT142"/>
      <c r="BU142"/>
      <c r="BW142"/>
      <c r="BX142"/>
      <c r="BY142"/>
      <c r="BZ142"/>
    </row>
    <row r="143" spans="1:78">
      <c r="BQ143"/>
      <c r="BR143"/>
      <c r="BS143"/>
      <c r="BT143"/>
      <c r="BU143"/>
      <c r="BW143"/>
      <c r="BX143"/>
      <c r="BY143"/>
      <c r="BZ143"/>
    </row>
    <row r="144" spans="1:78">
      <c r="BQ144"/>
      <c r="BR144"/>
      <c r="BS144"/>
      <c r="BT144"/>
      <c r="BU144"/>
      <c r="BW144"/>
      <c r="BX144"/>
      <c r="BY144"/>
      <c r="BZ144"/>
    </row>
    <row r="145" spans="1:78">
      <c r="BQ145"/>
      <c r="BR145"/>
      <c r="BS145"/>
      <c r="BT145"/>
      <c r="BU145"/>
      <c r="BW145"/>
      <c r="BX145"/>
      <c r="BY145"/>
      <c r="BZ145"/>
    </row>
    <row r="146" spans="1:78">
      <c r="BQ146"/>
      <c r="BR146"/>
      <c r="BS146"/>
      <c r="BT146"/>
      <c r="BU146"/>
      <c r="BW146"/>
      <c r="BX146"/>
      <c r="BY146"/>
      <c r="BZ146"/>
    </row>
    <row r="147" spans="1:78">
      <c r="BQ147"/>
      <c r="BR147"/>
      <c r="BS147"/>
      <c r="BT147"/>
      <c r="BU147"/>
      <c r="BW147"/>
      <c r="BX147"/>
      <c r="BY147"/>
      <c r="BZ147"/>
    </row>
    <row r="148" spans="1:78">
      <c r="BQ148"/>
      <c r="BR148"/>
      <c r="BS148"/>
      <c r="BT148"/>
      <c r="BU148"/>
      <c r="BW148"/>
      <c r="BX148"/>
      <c r="BY148"/>
      <c r="BZ148"/>
    </row>
    <row r="149" spans="1:78">
      <c r="BQ149"/>
      <c r="BR149"/>
      <c r="BS149"/>
      <c r="BT149"/>
      <c r="BU149"/>
      <c r="BW149"/>
      <c r="BX149"/>
      <c r="BY149"/>
      <c r="BZ149"/>
    </row>
    <row r="150" spans="1:78" hidden="1">
      <c r="A150" s="460">
        <f>SUM(C10:C35,C38:J40,C42:J46,C50:C58,C64:D69,C74:C81,B86:B87,B95:B109,B90:C90,B115:C119)</f>
        <v>0</v>
      </c>
      <c r="B150" s="460">
        <f>SUM(BZ10:CG109)</f>
        <v>0</v>
      </c>
      <c r="BQ150"/>
      <c r="BR150"/>
      <c r="BS150"/>
      <c r="BT150"/>
      <c r="BU150"/>
      <c r="BW150"/>
      <c r="BX150"/>
      <c r="BY150"/>
      <c r="BZ150"/>
    </row>
    <row r="151" spans="1:78">
      <c r="BQ151"/>
      <c r="BR151"/>
      <c r="BS151"/>
      <c r="BT151"/>
      <c r="BU151"/>
      <c r="BW151"/>
      <c r="BX151"/>
      <c r="BY151"/>
      <c r="BZ151"/>
    </row>
    <row r="152" spans="1:78">
      <c r="BQ152"/>
      <c r="BR152"/>
      <c r="BS152"/>
      <c r="BT152"/>
      <c r="BU152"/>
      <c r="BW152"/>
      <c r="BX152"/>
      <c r="BY152"/>
      <c r="BZ152"/>
    </row>
    <row r="153" spans="1:78">
      <c r="BQ153"/>
      <c r="BR153"/>
      <c r="BS153"/>
      <c r="BT153"/>
      <c r="BU153"/>
      <c r="BW153"/>
      <c r="BX153"/>
      <c r="BY153"/>
      <c r="BZ153"/>
    </row>
    <row r="154" spans="1:78">
      <c r="BQ154"/>
      <c r="BR154"/>
      <c r="BS154"/>
      <c r="BT154"/>
      <c r="BU154"/>
      <c r="BW154"/>
      <c r="BX154"/>
      <c r="BY154"/>
      <c r="BZ154"/>
    </row>
    <row r="155" spans="1:78">
      <c r="BQ155"/>
      <c r="BR155"/>
      <c r="BS155"/>
      <c r="BT155"/>
      <c r="BU155"/>
      <c r="BW155"/>
      <c r="BX155"/>
      <c r="BY155"/>
      <c r="BZ155"/>
    </row>
    <row r="156" spans="1:78">
      <c r="BQ156"/>
      <c r="BR156"/>
      <c r="BS156"/>
      <c r="BT156"/>
      <c r="BU156"/>
      <c r="BW156"/>
      <c r="BX156"/>
      <c r="BY156"/>
      <c r="BZ156"/>
    </row>
    <row r="157" spans="1:78">
      <c r="BQ157"/>
      <c r="BR157"/>
      <c r="BS157"/>
      <c r="BT157"/>
      <c r="BU157"/>
      <c r="BW157"/>
      <c r="BX157"/>
      <c r="BY157"/>
      <c r="BZ157"/>
    </row>
    <row r="158" spans="1:78">
      <c r="BQ158"/>
      <c r="BR158"/>
      <c r="BS158"/>
      <c r="BT158"/>
      <c r="BU158"/>
      <c r="BW158"/>
      <c r="BX158"/>
      <c r="BY158"/>
      <c r="BZ158"/>
    </row>
    <row r="159" spans="1:78">
      <c r="BQ159"/>
      <c r="BR159"/>
      <c r="BS159"/>
      <c r="BT159"/>
      <c r="BU159"/>
      <c r="BW159"/>
      <c r="BX159"/>
      <c r="BY159"/>
      <c r="BZ159"/>
    </row>
    <row r="160" spans="1:78">
      <c r="BQ160"/>
      <c r="BR160"/>
      <c r="BS160"/>
      <c r="BT160"/>
      <c r="BU160"/>
      <c r="BW160"/>
      <c r="BX160"/>
      <c r="BY160"/>
      <c r="BZ160"/>
    </row>
    <row r="161" customFormat="1"/>
    <row r="162" customFormat="1"/>
    <row r="163" customFormat="1"/>
    <row r="164" customFormat="1"/>
    <row r="165" customFormat="1"/>
    <row r="166" customFormat="1"/>
    <row r="167" customFormat="1"/>
    <row r="168" customFormat="1"/>
    <row r="169" customFormat="1"/>
    <row r="170" customFormat="1"/>
    <row r="171" customFormat="1"/>
    <row r="172" customFormat="1"/>
    <row r="173" customFormat="1"/>
    <row r="174" customFormat="1"/>
    <row r="175" customFormat="1"/>
    <row r="176" customFormat="1"/>
    <row r="177" customFormat="1"/>
    <row r="178" customFormat="1"/>
    <row r="179" customFormat="1"/>
    <row r="180" customFormat="1"/>
    <row r="181" customFormat="1"/>
    <row r="182" customFormat="1"/>
    <row r="183" customFormat="1"/>
    <row r="184" customFormat="1"/>
    <row r="185" customFormat="1"/>
    <row r="186" customFormat="1"/>
    <row r="187" customFormat="1"/>
    <row r="188" customFormat="1"/>
    <row r="189" customFormat="1"/>
    <row r="190" customFormat="1"/>
    <row r="191" customFormat="1"/>
    <row r="192" customFormat="1"/>
    <row r="193" customFormat="1"/>
    <row r="194" customFormat="1"/>
    <row r="195" customFormat="1"/>
    <row r="196" customFormat="1"/>
    <row r="197" customFormat="1"/>
    <row r="198" customFormat="1"/>
    <row r="199" customFormat="1"/>
    <row r="200" customFormat="1"/>
    <row r="201" customFormat="1"/>
    <row r="202" customFormat="1"/>
    <row r="203" customFormat="1"/>
    <row r="204" customFormat="1"/>
    <row r="205" customFormat="1"/>
    <row r="206" customFormat="1"/>
    <row r="207" customFormat="1"/>
    <row r="208" customFormat="1"/>
    <row r="209" customFormat="1"/>
    <row r="210" customFormat="1"/>
    <row r="211" customFormat="1"/>
    <row r="212" customFormat="1"/>
    <row r="213" customFormat="1"/>
    <row r="214" customFormat="1"/>
    <row r="215" customFormat="1"/>
    <row r="216" customFormat="1"/>
    <row r="217" customFormat="1"/>
    <row r="218" customFormat="1"/>
    <row r="219" customFormat="1"/>
    <row r="220" customFormat="1"/>
    <row r="221" customFormat="1"/>
    <row r="222" customFormat="1"/>
    <row r="223" customFormat="1"/>
    <row r="224" customFormat="1"/>
    <row r="225" customFormat="1"/>
    <row r="226" customFormat="1"/>
    <row r="227" customFormat="1"/>
    <row r="228" customFormat="1"/>
    <row r="229" customFormat="1"/>
    <row r="230" customFormat="1"/>
    <row r="231" customFormat="1"/>
    <row r="232" customFormat="1"/>
    <row r="233" customFormat="1"/>
    <row r="234" customFormat="1"/>
    <row r="235" customFormat="1"/>
    <row r="236" customFormat="1"/>
    <row r="237" customFormat="1"/>
    <row r="238" customFormat="1"/>
    <row r="239" customFormat="1"/>
    <row r="240" customFormat="1"/>
    <row r="241" customFormat="1"/>
    <row r="242" customFormat="1"/>
    <row r="243" customFormat="1"/>
    <row r="244" customFormat="1"/>
    <row r="245" customFormat="1"/>
    <row r="246" customFormat="1"/>
    <row r="247" customFormat="1"/>
    <row r="248" customFormat="1"/>
    <row r="249" customFormat="1"/>
    <row r="250" customFormat="1"/>
    <row r="251" customFormat="1"/>
    <row r="252" customFormat="1"/>
    <row r="253" customFormat="1"/>
    <row r="254" customFormat="1"/>
    <row r="255" customFormat="1"/>
    <row r="256" customFormat="1"/>
    <row r="257" customFormat="1"/>
    <row r="258" customFormat="1"/>
    <row r="259" customFormat="1"/>
    <row r="260" customFormat="1"/>
    <row r="261" customFormat="1"/>
    <row r="262" customFormat="1"/>
    <row r="263" customFormat="1"/>
    <row r="264" customFormat="1"/>
    <row r="265" customFormat="1"/>
    <row r="266" customFormat="1"/>
    <row r="267" customFormat="1"/>
    <row r="268" customFormat="1"/>
    <row r="269" customFormat="1"/>
    <row r="270" customFormat="1"/>
    <row r="271" customFormat="1"/>
    <row r="272" customFormat="1"/>
    <row r="273" customFormat="1"/>
    <row r="274" customFormat="1"/>
    <row r="275" customFormat="1"/>
    <row r="276" customFormat="1"/>
    <row r="277" customFormat="1"/>
    <row r="278" customFormat="1"/>
    <row r="279" customFormat="1"/>
    <row r="280" customFormat="1"/>
    <row r="281" customFormat="1"/>
    <row r="282" customFormat="1"/>
    <row r="283" customFormat="1"/>
    <row r="284" customFormat="1"/>
    <row r="285" customFormat="1"/>
    <row r="286" customFormat="1"/>
    <row r="287" customFormat="1"/>
    <row r="288" customFormat="1"/>
    <row r="289" customFormat="1"/>
    <row r="290" customFormat="1"/>
    <row r="291" customFormat="1"/>
    <row r="292" customFormat="1"/>
    <row r="293" customFormat="1"/>
    <row r="294" customFormat="1"/>
    <row r="295" customFormat="1"/>
    <row r="296" customFormat="1"/>
    <row r="297" customFormat="1"/>
    <row r="298" customFormat="1"/>
    <row r="299" customFormat="1"/>
    <row r="300" customFormat="1"/>
    <row r="301" customFormat="1"/>
    <row r="302" customFormat="1"/>
    <row r="303" customFormat="1"/>
    <row r="304" customFormat="1"/>
    <row r="305" customFormat="1"/>
    <row r="306" customFormat="1"/>
    <row r="307" customFormat="1"/>
    <row r="308" customFormat="1"/>
    <row r="309" customFormat="1"/>
    <row r="310" customFormat="1"/>
    <row r="311" customFormat="1"/>
    <row r="312" customFormat="1"/>
    <row r="313" customFormat="1"/>
    <row r="314" customFormat="1"/>
    <row r="315" customFormat="1"/>
    <row r="316" customFormat="1"/>
    <row r="317" customFormat="1"/>
    <row r="318" customFormat="1"/>
    <row r="319" customFormat="1"/>
    <row r="320" customFormat="1"/>
    <row r="321" customFormat="1"/>
    <row r="322" customFormat="1"/>
    <row r="323" customFormat="1"/>
    <row r="324" customFormat="1"/>
    <row r="325" customFormat="1"/>
    <row r="326" customFormat="1"/>
    <row r="327" customFormat="1"/>
    <row r="328" customFormat="1"/>
    <row r="329" customFormat="1"/>
    <row r="330" customFormat="1"/>
    <row r="331" customFormat="1"/>
    <row r="332" customFormat="1"/>
    <row r="333" customFormat="1"/>
    <row r="334" customFormat="1"/>
    <row r="335" customFormat="1"/>
    <row r="336" customFormat="1"/>
    <row r="337" customFormat="1"/>
    <row r="338" customFormat="1"/>
    <row r="339" customFormat="1"/>
    <row r="340" customFormat="1"/>
    <row r="341" customFormat="1"/>
    <row r="342" customFormat="1"/>
    <row r="343" customFormat="1"/>
    <row r="344" customFormat="1"/>
    <row r="345" customFormat="1"/>
    <row r="346" customFormat="1"/>
    <row r="347" customFormat="1"/>
    <row r="348" customFormat="1"/>
    <row r="349" customFormat="1"/>
    <row r="350" customFormat="1"/>
    <row r="351" customFormat="1"/>
    <row r="352" customFormat="1"/>
    <row r="353" customFormat="1"/>
    <row r="354" customFormat="1"/>
  </sheetData>
  <sheetProtection algorithmName="SHA-512" hashValue="LDz2Zvsbbzx/lkQUXbez8kMMiJ0C3v7L4KrvKOXwcOhRtjA1wsbiLvE27tRkQMe9GTUlb/Kg0GVXahgeUPyqeQ==" saltValue="RBRV+HP1AMucKQeGrOV09w==" spinCount="100000" sheet="1" objects="1" scenarios="1"/>
  <mergeCells count="86">
    <mergeCell ref="A112:A114"/>
    <mergeCell ref="B112:B114"/>
    <mergeCell ref="C112:E113"/>
    <mergeCell ref="F112:S112"/>
    <mergeCell ref="F113:G113"/>
    <mergeCell ref="H113:I113"/>
    <mergeCell ref="J113:K113"/>
    <mergeCell ref="L113:M113"/>
    <mergeCell ref="N113:O113"/>
    <mergeCell ref="P113:Q113"/>
    <mergeCell ref="R113:S113"/>
    <mergeCell ref="C84:G84"/>
    <mergeCell ref="A92:A94"/>
    <mergeCell ref="B92:B94"/>
    <mergeCell ref="C92:S92"/>
    <mergeCell ref="T92:U93"/>
    <mergeCell ref="C93:S93"/>
    <mergeCell ref="A79:B79"/>
    <mergeCell ref="A80:B80"/>
    <mergeCell ref="A81:B81"/>
    <mergeCell ref="A84:A85"/>
    <mergeCell ref="B84:B85"/>
    <mergeCell ref="A74:B74"/>
    <mergeCell ref="A75:B75"/>
    <mergeCell ref="A76:B76"/>
    <mergeCell ref="A77:B77"/>
    <mergeCell ref="A78:B78"/>
    <mergeCell ref="C71:G71"/>
    <mergeCell ref="H71:I72"/>
    <mergeCell ref="C72:C73"/>
    <mergeCell ref="D72:F72"/>
    <mergeCell ref="G72:G73"/>
    <mergeCell ref="A58:B58"/>
    <mergeCell ref="A64:B64"/>
    <mergeCell ref="A66:A69"/>
    <mergeCell ref="A71:B73"/>
    <mergeCell ref="A59:B59"/>
    <mergeCell ref="A65:B65"/>
    <mergeCell ref="A62:B63"/>
    <mergeCell ref="A47:B47"/>
    <mergeCell ref="A49:B49"/>
    <mergeCell ref="A50:B50"/>
    <mergeCell ref="A54:A56"/>
    <mergeCell ref="A57:B57"/>
    <mergeCell ref="A51:B51"/>
    <mergeCell ref="A52:B52"/>
    <mergeCell ref="A53:B53"/>
    <mergeCell ref="A38:A40"/>
    <mergeCell ref="A41:B41"/>
    <mergeCell ref="A42:A46"/>
    <mergeCell ref="A37:B37"/>
    <mergeCell ref="A26:B26"/>
    <mergeCell ref="A27:B27"/>
    <mergeCell ref="A28:B28"/>
    <mergeCell ref="A29:B29"/>
    <mergeCell ref="A30:B30"/>
    <mergeCell ref="A31:B31"/>
    <mergeCell ref="A32:B32"/>
    <mergeCell ref="A33:B33"/>
    <mergeCell ref="A34:B34"/>
    <mergeCell ref="A35:B35"/>
    <mergeCell ref="A36:N36"/>
    <mergeCell ref="A25:B25"/>
    <mergeCell ref="A14:B14"/>
    <mergeCell ref="A15:B15"/>
    <mergeCell ref="A16:B16"/>
    <mergeCell ref="A17:B17"/>
    <mergeCell ref="A18:B18"/>
    <mergeCell ref="A19:B19"/>
    <mergeCell ref="A20:B20"/>
    <mergeCell ref="A21:B21"/>
    <mergeCell ref="A22:B22"/>
    <mergeCell ref="A23:B23"/>
    <mergeCell ref="A24:B24"/>
    <mergeCell ref="A13:B13"/>
    <mergeCell ref="A6:P6"/>
    <mergeCell ref="A9:B9"/>
    <mergeCell ref="A10:B10"/>
    <mergeCell ref="A11:B11"/>
    <mergeCell ref="A12:B12"/>
    <mergeCell ref="T62:T63"/>
    <mergeCell ref="U62:U63"/>
    <mergeCell ref="C62:P62"/>
    <mergeCell ref="Q62:Q63"/>
    <mergeCell ref="R62:R63"/>
    <mergeCell ref="S62:S63"/>
  </mergeCells>
  <dataValidations count="5">
    <dataValidation type="whole" operator="greaterThanOrEqual" allowBlank="1" showInputMessage="1" showErrorMessage="1" sqref="D74:I81 C86:G87 B90:C90 C95:U109 F115:S118 C64:C69 C47:N47 C38:N41 E64:U69 B115:B119 C119" xr:uid="{00B30050-006D-423C-961C-007100280026}">
      <formula1>0</formula1>
    </dataValidation>
    <dataValidation type="whole" allowBlank="1" showInputMessage="1" showErrorMessage="1" sqref="D50:M58" xr:uid="{006E0028-002C-4396-AF67-004300300018}">
      <formula1>0</formula1>
      <formula2>9.99999999999999E+36</formula2>
    </dataValidation>
    <dataValidation type="whole" allowBlank="1" showInputMessage="1" showErrorMessage="1" sqref="C42:N46" xr:uid="{005F00E5-0085-43FF-B35E-0013000A009A}">
      <formula1>0</formula1>
      <formula2>9.99999999999999E+30</formula2>
    </dataValidation>
    <dataValidation type="whole" allowBlank="1" showInputMessage="1" showErrorMessage="1" sqref="D10:S35" xr:uid="{00AE00F9-0027-43BB-ACC0-002000CC00D0}">
      <formula1>0</formula1>
      <formula2>9.99999999999999E+34</formula2>
    </dataValidation>
    <dataValidation type="whole" operator="equal" allowBlank="1" showInputMessage="1" showErrorMessage="1" sqref="D119:S119" xr:uid="{00B6001C-0057-4F34-823F-00AF00DE00C2}">
      <formula1>0</formula1>
    </dataValidation>
  </dataValidations>
  <pageMargins left="0.7" right="0.7" top="0.75" bottom="0.75" header="0.3" footer="0.3"/>
  <pageSetup paperSize="9" orientation="portrait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Hoja20"/>
  <dimension ref="A1:CT249"/>
  <sheetViews>
    <sheetView showGridLines="0" workbookViewId="0"/>
  </sheetViews>
  <sheetFormatPr baseColWidth="10" defaultColWidth="11.42578125" defaultRowHeight="15"/>
  <cols>
    <col min="1" max="1" width="46.42578125" customWidth="1"/>
    <col min="2" max="2" width="22.85546875" customWidth="1"/>
    <col min="3" max="3" width="28.42578125" customWidth="1"/>
    <col min="4" max="4" width="17.42578125" customWidth="1"/>
    <col min="5" max="6" width="14.140625" customWidth="1"/>
    <col min="7" max="7" width="14.7109375" customWidth="1"/>
    <col min="8" max="8" width="14.140625" customWidth="1"/>
    <col min="9" max="9" width="13.5703125" customWidth="1"/>
    <col min="10" max="13" width="14.7109375" customWidth="1"/>
    <col min="26" max="26" width="10" customWidth="1"/>
    <col min="29" max="29" width="10.28515625" customWidth="1"/>
    <col min="34" max="35" width="15.7109375" customWidth="1"/>
    <col min="75" max="78" width="11.42578125" customWidth="1"/>
    <col min="79" max="98" width="11.42578125" hidden="1" customWidth="1"/>
    <col min="99" max="99" width="0" hidden="1" customWidth="1"/>
  </cols>
  <sheetData>
    <row r="1" spans="1:96">
      <c r="A1" s="378" t="s">
        <v>37</v>
      </c>
    </row>
    <row r="2" spans="1:96">
      <c r="A2" s="378" t="str">
        <f>CONCATENATE("COMUNA: ",NOMBRE!B2, " (",NOMBRE!C2,NOMBRE!D2,NOMBRE!E2,NOMBRE!F2,NOMBRE!G2,")")</f>
        <v>COMUNA: MAIPU (13119)</v>
      </c>
    </row>
    <row r="3" spans="1:96">
      <c r="A3" s="378" t="str">
        <f>CONCATENATE("ESTABLECIMIENTO/ESTRATEGIA: ", NOMBRE!B3, " (",NOMBRE!C3,NOMBRE!D3,NOMBRE!E3,NOMBRE!F3,NOMBRE!G3,NOMBRE!H3,")")</f>
        <v>ESTABLECIMIENTO/ESTRATEGIA: CESFAM DR. CARLOS GODOY (111380)</v>
      </c>
    </row>
    <row r="4" spans="1:96">
      <c r="A4" s="378" t="str">
        <f>CONCATENATE("MES: ",NOMBRE!B6, " (",NOMBRE!C6,NOMBRE!D6,")")</f>
        <v>MES: MARZO (03)</v>
      </c>
    </row>
    <row r="5" spans="1:96">
      <c r="A5" s="378" t="str">
        <f>CONCATENATE("AÑO: ",NOMBRE!B7)</f>
        <v>AÑO: 2026</v>
      </c>
    </row>
    <row r="6" spans="1:96" ht="18" customHeight="1">
      <c r="A6" s="6227" t="s">
        <v>3279</v>
      </c>
      <c r="B6" s="6227"/>
      <c r="C6" s="6227"/>
      <c r="D6" s="6227"/>
      <c r="E6" s="6227"/>
      <c r="F6" s="6227"/>
      <c r="G6" s="6227"/>
      <c r="H6" s="6227"/>
      <c r="I6" s="6227"/>
      <c r="J6" s="6227"/>
      <c r="K6" s="6227"/>
      <c r="L6" s="6227"/>
      <c r="M6" s="6227"/>
      <c r="N6" s="6227"/>
      <c r="O6" s="6227"/>
      <c r="P6" s="6227"/>
      <c r="Q6" s="6227"/>
      <c r="R6" s="6227"/>
      <c r="S6" s="6227"/>
      <c r="T6" s="6227"/>
      <c r="U6" s="6227"/>
      <c r="V6" s="6227"/>
      <c r="W6" s="6227"/>
      <c r="X6" s="6227"/>
    </row>
    <row r="8" spans="1:96" s="385" customFormat="1" ht="18" customHeight="1">
      <c r="A8" s="2288" t="s">
        <v>3280</v>
      </c>
      <c r="B8" s="2103"/>
      <c r="C8" s="2103"/>
      <c r="D8" s="2103"/>
      <c r="E8" s="2103"/>
      <c r="F8" s="2103"/>
      <c r="G8" s="2103"/>
      <c r="H8" s="2103"/>
      <c r="I8" s="2103"/>
      <c r="J8" s="2103"/>
      <c r="K8" s="2103"/>
      <c r="L8" s="2103"/>
      <c r="M8" s="2103"/>
      <c r="N8" s="2103"/>
      <c r="O8" s="2103"/>
      <c r="P8" s="2102"/>
      <c r="Q8" s="1582"/>
      <c r="R8" s="1582"/>
      <c r="S8" s="1582"/>
      <c r="T8" s="1582"/>
      <c r="U8" s="1582"/>
      <c r="V8" s="1582"/>
      <c r="W8" s="1582"/>
      <c r="X8" s="1582"/>
      <c r="Y8" s="1582"/>
      <c r="Z8" s="1582"/>
      <c r="AA8" s="1582"/>
      <c r="AB8" s="1582"/>
      <c r="AC8" s="1582"/>
      <c r="AD8" s="464"/>
      <c r="AE8" s="464"/>
      <c r="AF8" s="464"/>
    </row>
    <row r="9" spans="1:96" s="1470" customFormat="1" ht="30" customHeight="1">
      <c r="A9" s="6152" t="s">
        <v>3281</v>
      </c>
      <c r="B9" s="6153"/>
      <c r="C9" s="6154"/>
      <c r="D9" s="5718" t="s">
        <v>91</v>
      </c>
      <c r="E9" s="5710" t="s">
        <v>3282</v>
      </c>
      <c r="F9" s="6106"/>
      <c r="G9" s="6106"/>
      <c r="H9" s="6106"/>
      <c r="I9" s="5712"/>
      <c r="J9" s="5707" t="s">
        <v>43</v>
      </c>
      <c r="K9" s="5708"/>
      <c r="L9" s="5708"/>
      <c r="M9" s="5708"/>
      <c r="N9" s="5708"/>
      <c r="O9" s="5708"/>
      <c r="P9" s="5708"/>
      <c r="Q9" s="5708"/>
      <c r="R9" s="5708"/>
      <c r="S9" s="5708"/>
      <c r="T9" s="5708"/>
      <c r="U9" s="5708"/>
      <c r="V9" s="5708"/>
      <c r="W9" s="5708"/>
      <c r="X9" s="6147"/>
      <c r="Y9" s="5708" t="s">
        <v>476</v>
      </c>
      <c r="Z9" s="5708"/>
      <c r="AA9" s="6147"/>
      <c r="AB9" s="5714" t="s">
        <v>3283</v>
      </c>
      <c r="AC9" s="5718" t="s">
        <v>50</v>
      </c>
      <c r="AD9" s="5718" t="s">
        <v>51</v>
      </c>
      <c r="AE9" s="6119" t="s">
        <v>47</v>
      </c>
      <c r="AF9" s="6106" t="s">
        <v>478</v>
      </c>
      <c r="AG9" s="5712"/>
      <c r="AH9" s="6766" t="s">
        <v>3284</v>
      </c>
      <c r="AI9" s="6070" t="s">
        <v>49</v>
      </c>
    </row>
    <row r="10" spans="1:96" s="1470" customFormat="1" ht="33" customHeight="1">
      <c r="A10" s="6155"/>
      <c r="B10" s="6156"/>
      <c r="C10" s="6157"/>
      <c r="D10" s="5719"/>
      <c r="E10" s="1471" t="s">
        <v>495</v>
      </c>
      <c r="F10" s="1702" t="s">
        <v>3285</v>
      </c>
      <c r="G10" s="1702" t="s">
        <v>3286</v>
      </c>
      <c r="H10" s="1646" t="s">
        <v>3287</v>
      </c>
      <c r="I10" s="1584" t="s">
        <v>3288</v>
      </c>
      <c r="J10" s="1395" t="s">
        <v>108</v>
      </c>
      <c r="K10" s="1646" t="s">
        <v>58</v>
      </c>
      <c r="L10" s="1646" t="s">
        <v>59</v>
      </c>
      <c r="M10" s="1646" t="s">
        <v>60</v>
      </c>
      <c r="N10" s="1646" t="s">
        <v>61</v>
      </c>
      <c r="O10" s="1646" t="s">
        <v>62</v>
      </c>
      <c r="P10" s="1646" t="s">
        <v>63</v>
      </c>
      <c r="Q10" s="1646" t="s">
        <v>64</v>
      </c>
      <c r="R10" s="1646" t="s">
        <v>65</v>
      </c>
      <c r="S10" s="1646" t="s">
        <v>66</v>
      </c>
      <c r="T10" s="1646" t="s">
        <v>67</v>
      </c>
      <c r="U10" s="1646" t="s">
        <v>68</v>
      </c>
      <c r="V10" s="1646" t="s">
        <v>69</v>
      </c>
      <c r="W10" s="1646" t="s">
        <v>70</v>
      </c>
      <c r="X10" s="1398" t="s">
        <v>71</v>
      </c>
      <c r="Y10" s="1396" t="s">
        <v>1036</v>
      </c>
      <c r="Z10" s="1495" t="s">
        <v>3289</v>
      </c>
      <c r="AA10" s="1398" t="s">
        <v>3290</v>
      </c>
      <c r="AB10" s="5715"/>
      <c r="AC10" s="5719"/>
      <c r="AD10" s="5719"/>
      <c r="AE10" s="6116"/>
      <c r="AF10" s="1395" t="s">
        <v>483</v>
      </c>
      <c r="AG10" s="1402" t="s">
        <v>484</v>
      </c>
      <c r="AH10" s="6767"/>
      <c r="AI10" s="6076"/>
    </row>
    <row r="11" spans="1:96" s="1470" customFormat="1" ht="15" customHeight="1">
      <c r="A11" s="6854" t="s">
        <v>3291</v>
      </c>
      <c r="B11" s="7117" t="s">
        <v>3292</v>
      </c>
      <c r="C11" s="7118"/>
      <c r="D11" s="1403">
        <f>SUM(E11:G11)</f>
        <v>0</v>
      </c>
      <c r="E11" s="1405"/>
      <c r="F11" s="1407"/>
      <c r="G11" s="1407"/>
      <c r="H11" s="4531"/>
      <c r="I11" s="4532"/>
      <c r="J11" s="4531"/>
      <c r="K11" s="4533"/>
      <c r="L11" s="4533"/>
      <c r="M11" s="4534"/>
      <c r="N11" s="4534"/>
      <c r="O11" s="4534"/>
      <c r="P11" s="4534"/>
      <c r="Q11" s="4534"/>
      <c r="R11" s="4534"/>
      <c r="S11" s="4534"/>
      <c r="T11" s="4534"/>
      <c r="U11" s="4534"/>
      <c r="V11" s="4534"/>
      <c r="W11" s="4534"/>
      <c r="X11" s="4534"/>
      <c r="Y11" s="1410"/>
      <c r="Z11" s="4533"/>
      <c r="AA11" s="4535"/>
      <c r="AB11" s="1865"/>
      <c r="AC11" s="1430"/>
      <c r="AD11" s="1430"/>
      <c r="AE11" s="1870"/>
      <c r="AF11" s="1424"/>
      <c r="AG11" s="1436"/>
      <c r="AH11" s="1430"/>
      <c r="AI11" s="1436"/>
      <c r="AJ11" t="str">
        <f t="shared" ref="AJ11:AJ52" si="0">CB11&amp;CC11&amp;CD11&amp;CE11&amp;CF11&amp;CG11&amp;CH11</f>
        <v/>
      </c>
      <c r="AK11"/>
      <c r="AL11"/>
      <c r="AM11"/>
      <c r="AN11"/>
      <c r="AO11"/>
      <c r="AP11"/>
      <c r="AQ11"/>
      <c r="AR11"/>
      <c r="AS11"/>
      <c r="AT11"/>
      <c r="AU11"/>
      <c r="AV11"/>
      <c r="AW11"/>
      <c r="AX11"/>
      <c r="AY11"/>
      <c r="AZ11"/>
      <c r="BA11"/>
      <c r="BB11"/>
      <c r="BC11"/>
      <c r="BD11"/>
      <c r="BE11"/>
      <c r="BF11"/>
      <c r="BG11"/>
      <c r="BH11"/>
      <c r="BI11"/>
      <c r="BJ11"/>
      <c r="BK11"/>
      <c r="BL11"/>
      <c r="BM11"/>
      <c r="BN11"/>
      <c r="BO11"/>
      <c r="BP11"/>
      <c r="BQ11"/>
      <c r="BR11"/>
      <c r="BS11"/>
      <c r="BT11"/>
      <c r="BU11"/>
      <c r="BV11"/>
      <c r="BW11"/>
      <c r="BX11"/>
      <c r="BY11"/>
      <c r="BZ11"/>
      <c r="CA11"/>
      <c r="CB11" s="3380"/>
      <c r="CC11" s="418" t="str">
        <f t="shared" ref="CC11:CC52" si="1">IF(AND($D11&lt;&gt;0,AC11=""),"* No olvide ingresar la variable "&amp;AC$9&amp;""&amp;" (Digite CERO si no tiene).  ",IF(AC11&gt;$D11,"* La variable Pueblos Originarios no puede superar el Total. ",""))</f>
        <v/>
      </c>
      <c r="CD11" s="418" t="str">
        <f t="shared" ref="CD11:CD52" si="2">IF(AND($D11&lt;&gt;0,AD11=""),"* No olvide ingresar la variable "&amp;AD$9&amp;""&amp;" (Digite CERO si no tiene).  ",IF(AD11&gt;$D11,"* La variable Migrantes no puede superar el Total. ",""))</f>
        <v/>
      </c>
      <c r="CE11" s="4536"/>
      <c r="CF11" s="418" t="str">
        <f t="shared" ref="CF11:CF52" si="3">IF(AND(D11&gt;0,OR(AF11="",AG11="",))," * No olvide digitar la variable TRANS Masculino/Femenino (Digite CERO si no tiene). ",IF(AF11+AG11&gt;$D11,"* La suma de TRANS Masculino + Femenino no puede superar el Total. ",""))</f>
        <v/>
      </c>
      <c r="CG11" s="418" t="str">
        <f t="shared" ref="CG11:CG52" si="4">IF(AND(D11&gt;0,AH11=""),"* No olvide digitar la variable "&amp;AH$9&amp;"(Digite CERO si no tiene). ",IF(AH11&gt;$D11,"* La variable "&amp;AH$9&amp;" no puede superar el Total. ",""))</f>
        <v/>
      </c>
      <c r="CH11" s="418" t="str">
        <f t="shared" ref="CH11:CH52" si="5">IF(AND(D11&gt;0,AI11=""),"* No olvide digitar la variable "&amp;AI$9&amp;" (Digite CERO si no tiene). ",IF(AI11&gt;$D11,"* La variable "&amp;AI$9&amp;" no puede superar el Total. ",""))</f>
        <v/>
      </c>
      <c r="CK11" s="3366"/>
      <c r="CL11" s="3380"/>
      <c r="CM11" s="419">
        <f t="shared" ref="CM11:CM52" si="6">IF(AND($D11&lt;&gt;0,AC11=""),1,IF(AC11&gt;$D11,1,0))</f>
        <v>0</v>
      </c>
      <c r="CN11" s="419">
        <f t="shared" ref="CN11:CN52" si="7">IF(AND($D11&lt;&gt;0,AD11=""),1,IF(AD11&gt;$D11,1,0))</f>
        <v>0</v>
      </c>
      <c r="CO11" s="3061"/>
      <c r="CP11" s="419">
        <f t="shared" ref="CP11:CP52" si="8">IF(AND(D11&gt;0,OR(AF11="",AG11="",)),1,IF(AF11+AG11&gt;$D11,1,0))</f>
        <v>0</v>
      </c>
      <c r="CQ11" s="3389">
        <f>IF(AND(D11&gt;0,AH11=""),1,IF(AH11&gt;$D11,1,0))</f>
        <v>0</v>
      </c>
      <c r="CR11" s="3389">
        <f t="shared" ref="CR11:CR52" si="9">IF(AND(D11&gt;0,AI11=""),1,IF(AI11&gt;$D11,1,0))</f>
        <v>0</v>
      </c>
    </row>
    <row r="12" spans="1:96" s="1470" customFormat="1" ht="21">
      <c r="A12" s="6855"/>
      <c r="B12" s="6854" t="s">
        <v>3293</v>
      </c>
      <c r="C12" s="4441" t="s">
        <v>3294</v>
      </c>
      <c r="D12" s="1422">
        <f t="shared" ref="D12:D21" si="10">SUM(E12:X12)</f>
        <v>0</v>
      </c>
      <c r="E12" s="1424"/>
      <c r="F12" s="1426"/>
      <c r="G12" s="1426"/>
      <c r="H12" s="1426"/>
      <c r="I12" s="1676"/>
      <c r="J12" s="1426"/>
      <c r="K12" s="1426"/>
      <c r="L12" s="1426"/>
      <c r="M12" s="1426"/>
      <c r="N12" s="1426"/>
      <c r="O12" s="1426"/>
      <c r="P12" s="1426"/>
      <c r="Q12" s="1426"/>
      <c r="R12" s="1426"/>
      <c r="S12" s="1426"/>
      <c r="T12" s="1426"/>
      <c r="U12" s="1426"/>
      <c r="V12" s="1426"/>
      <c r="W12" s="1426"/>
      <c r="X12" s="1428"/>
      <c r="Y12" s="1425"/>
      <c r="Z12" s="1503"/>
      <c r="AA12" s="1504"/>
      <c r="AB12" s="1429"/>
      <c r="AC12" s="1430"/>
      <c r="AD12" s="1430"/>
      <c r="AE12" s="1436"/>
      <c r="AF12" s="1424"/>
      <c r="AG12" s="1436"/>
      <c r="AH12" s="1430"/>
      <c r="AI12" s="1436"/>
      <c r="AJ12" t="str">
        <f t="shared" si="0"/>
        <v/>
      </c>
      <c r="CB12" s="418" t="str">
        <f t="shared" ref="CB12:CB50" si="11">IF(AND($D12&lt;&gt;0,AB12=""),"* No olvide ingresar la columna "&amp;AB$9&amp;""&amp;" (Digite CERO si no tiene).  ",IF(AB12&gt;$D12,"* El Número de Familias en Riesgo no puede superar el Total. ",""))</f>
        <v/>
      </c>
      <c r="CC12" s="418" t="str">
        <f t="shared" si="1"/>
        <v/>
      </c>
      <c r="CD12" s="418" t="str">
        <f t="shared" si="2"/>
        <v/>
      </c>
      <c r="CE12" s="418" t="str">
        <f t="shared" ref="CE12:CE52" si="12">IF(AND($D12&lt;&gt;0,AE12=""),"* No olvide ingresar la variable "&amp;AE$9&amp;""&amp;" (Digite CERO si no tiene).  ",IF(AE12&gt;$D12,"* La variable Espacios Amigables/ Adolescentes no puede superar el Total. ",""))</f>
        <v/>
      </c>
      <c r="CF12" s="418" t="str">
        <f t="shared" si="3"/>
        <v/>
      </c>
      <c r="CG12" s="418" t="str">
        <f t="shared" si="4"/>
        <v/>
      </c>
      <c r="CH12" s="418" t="str">
        <f t="shared" si="5"/>
        <v/>
      </c>
      <c r="CK12" s="3366"/>
      <c r="CL12" s="419">
        <f t="shared" ref="CL12:CL50" si="13">IF(AND($D12&lt;&gt;0,AB12=""),1,IF(AB12&gt;$D12,1,0))</f>
        <v>0</v>
      </c>
      <c r="CM12" s="419">
        <f t="shared" si="6"/>
        <v>0</v>
      </c>
      <c r="CN12" s="419">
        <f t="shared" si="7"/>
        <v>0</v>
      </c>
      <c r="CO12" s="419">
        <f t="shared" ref="CO12:CO52" si="14">IF(AND($D12&lt;&gt;0,AE12=""),1,IF(AE12&gt;$D12,1,0))</f>
        <v>0</v>
      </c>
      <c r="CP12" s="419">
        <f t="shared" si="8"/>
        <v>0</v>
      </c>
      <c r="CQ12" s="3389">
        <f t="shared" ref="CQ12:CQ52" si="15">IF(AND(D12&gt;0,AI12=""),1,IF(AI12&gt;$D12,1,0))</f>
        <v>0</v>
      </c>
      <c r="CR12" s="3389">
        <f t="shared" si="9"/>
        <v>0</v>
      </c>
    </row>
    <row r="13" spans="1:96" s="1470" customFormat="1" ht="15" customHeight="1">
      <c r="A13" s="6855"/>
      <c r="B13" s="6855"/>
      <c r="C13" s="2388" t="s">
        <v>3295</v>
      </c>
      <c r="D13" s="1512">
        <f t="shared" si="10"/>
        <v>0</v>
      </c>
      <c r="E13" s="1480"/>
      <c r="F13" s="1541"/>
      <c r="G13" s="1541"/>
      <c r="H13" s="1541"/>
      <c r="I13" s="1769"/>
      <c r="J13" s="1541"/>
      <c r="K13" s="1541"/>
      <c r="L13" s="1541"/>
      <c r="M13" s="1541"/>
      <c r="N13" s="1541"/>
      <c r="O13" s="1541"/>
      <c r="P13" s="1541"/>
      <c r="Q13" s="1541"/>
      <c r="R13" s="1541"/>
      <c r="S13" s="1541"/>
      <c r="T13" s="1541"/>
      <c r="U13" s="1541"/>
      <c r="V13" s="1541"/>
      <c r="W13" s="1541"/>
      <c r="X13" s="1444"/>
      <c r="Y13" s="1796"/>
      <c r="Z13" s="1513"/>
      <c r="AA13" s="1514"/>
      <c r="AB13" s="1544"/>
      <c r="AC13" s="1483"/>
      <c r="AD13" s="1483"/>
      <c r="AE13" s="1545"/>
      <c r="AF13" s="1480"/>
      <c r="AG13" s="1545"/>
      <c r="AH13" s="1483"/>
      <c r="AI13" s="1545"/>
      <c r="AJ13" t="str">
        <f t="shared" si="0"/>
        <v/>
      </c>
      <c r="CB13" s="418" t="str">
        <f t="shared" si="11"/>
        <v/>
      </c>
      <c r="CC13" s="418" t="str">
        <f t="shared" si="1"/>
        <v/>
      </c>
      <c r="CD13" s="418" t="str">
        <f t="shared" si="2"/>
        <v/>
      </c>
      <c r="CE13" s="418" t="str">
        <f t="shared" si="12"/>
        <v/>
      </c>
      <c r="CF13" s="418" t="str">
        <f t="shared" si="3"/>
        <v/>
      </c>
      <c r="CG13" s="418" t="str">
        <f t="shared" si="4"/>
        <v/>
      </c>
      <c r="CH13" s="418" t="str">
        <f t="shared" si="5"/>
        <v/>
      </c>
      <c r="CK13" s="3366"/>
      <c r="CL13" s="419">
        <f t="shared" si="13"/>
        <v>0</v>
      </c>
      <c r="CM13" s="419">
        <f t="shared" si="6"/>
        <v>0</v>
      </c>
      <c r="CN13" s="419">
        <f t="shared" si="7"/>
        <v>0</v>
      </c>
      <c r="CO13" s="419">
        <f t="shared" si="14"/>
        <v>0</v>
      </c>
      <c r="CP13" s="419">
        <f t="shared" si="8"/>
        <v>0</v>
      </c>
      <c r="CQ13" s="3389">
        <f t="shared" si="15"/>
        <v>0</v>
      </c>
      <c r="CR13" s="3389">
        <f t="shared" si="9"/>
        <v>0</v>
      </c>
    </row>
    <row r="14" spans="1:96" s="1470" customFormat="1" ht="15" customHeight="1">
      <c r="A14" s="6855"/>
      <c r="B14" s="6855"/>
      <c r="C14" s="420" t="s">
        <v>3296</v>
      </c>
      <c r="D14" s="1512">
        <f t="shared" si="10"/>
        <v>0</v>
      </c>
      <c r="E14" s="1440"/>
      <c r="F14" s="1442"/>
      <c r="G14" s="1442"/>
      <c r="H14" s="1442"/>
      <c r="I14" s="1680"/>
      <c r="J14" s="1442"/>
      <c r="K14" s="1442"/>
      <c r="L14" s="1442"/>
      <c r="M14" s="1442"/>
      <c r="N14" s="1442"/>
      <c r="O14" s="1442"/>
      <c r="P14" s="1442"/>
      <c r="Q14" s="1442"/>
      <c r="R14" s="1442"/>
      <c r="S14" s="1442"/>
      <c r="T14" s="1442"/>
      <c r="U14" s="1442"/>
      <c r="V14" s="1442"/>
      <c r="W14" s="1442"/>
      <c r="X14" s="1444"/>
      <c r="Y14" s="1441"/>
      <c r="Z14" s="1513"/>
      <c r="AA14" s="1514"/>
      <c r="AB14" s="1445"/>
      <c r="AC14" s="1446"/>
      <c r="AD14" s="1446"/>
      <c r="AE14" s="1452"/>
      <c r="AF14" s="1440"/>
      <c r="AG14" s="1452"/>
      <c r="AH14" s="1446"/>
      <c r="AI14" s="1452"/>
      <c r="AJ14" t="str">
        <f t="shared" si="0"/>
        <v/>
      </c>
      <c r="CB14" s="418" t="str">
        <f t="shared" si="11"/>
        <v/>
      </c>
      <c r="CC14" s="418" t="str">
        <f t="shared" si="1"/>
        <v/>
      </c>
      <c r="CD14" s="418" t="str">
        <f t="shared" si="2"/>
        <v/>
      </c>
      <c r="CE14" s="418" t="str">
        <f t="shared" si="12"/>
        <v/>
      </c>
      <c r="CF14" s="418" t="str">
        <f t="shared" si="3"/>
        <v/>
      </c>
      <c r="CG14" s="418" t="str">
        <f t="shared" si="4"/>
        <v/>
      </c>
      <c r="CH14" s="418" t="str">
        <f t="shared" si="5"/>
        <v/>
      </c>
      <c r="CK14" s="3366"/>
      <c r="CL14" s="419">
        <f t="shared" si="13"/>
        <v>0</v>
      </c>
      <c r="CM14" s="419">
        <f t="shared" si="6"/>
        <v>0</v>
      </c>
      <c r="CN14" s="419">
        <f t="shared" si="7"/>
        <v>0</v>
      </c>
      <c r="CO14" s="419">
        <f t="shared" si="14"/>
        <v>0</v>
      </c>
      <c r="CP14" s="419">
        <f t="shared" si="8"/>
        <v>0</v>
      </c>
      <c r="CQ14" s="3389">
        <f t="shared" si="15"/>
        <v>0</v>
      </c>
      <c r="CR14" s="3389">
        <f t="shared" si="9"/>
        <v>0</v>
      </c>
    </row>
    <row r="15" spans="1:96" s="1470" customFormat="1" ht="15" customHeight="1">
      <c r="A15" s="6855"/>
      <c r="B15" s="6856"/>
      <c r="C15" s="3390" t="s">
        <v>3297</v>
      </c>
      <c r="D15" s="1527">
        <f t="shared" si="10"/>
        <v>0</v>
      </c>
      <c r="E15" s="1528"/>
      <c r="F15" s="1529"/>
      <c r="G15" s="1529"/>
      <c r="H15" s="1529"/>
      <c r="I15" s="1801"/>
      <c r="J15" s="1529"/>
      <c r="K15" s="1529"/>
      <c r="L15" s="1529"/>
      <c r="M15" s="1529"/>
      <c r="N15" s="1529"/>
      <c r="O15" s="1529"/>
      <c r="P15" s="1529"/>
      <c r="Q15" s="1529"/>
      <c r="R15" s="1529"/>
      <c r="S15" s="1529"/>
      <c r="T15" s="1529"/>
      <c r="U15" s="1529"/>
      <c r="V15" s="1529"/>
      <c r="W15" s="1529"/>
      <c r="X15" s="1553"/>
      <c r="Y15" s="1552"/>
      <c r="Z15" s="1530"/>
      <c r="AA15" s="1531"/>
      <c r="AB15" s="1532"/>
      <c r="AC15" s="1533"/>
      <c r="AD15" s="1533"/>
      <c r="AE15" s="1534"/>
      <c r="AF15" s="1528"/>
      <c r="AG15" s="1534"/>
      <c r="AH15" s="1533"/>
      <c r="AI15" s="1534"/>
      <c r="AJ15" t="str">
        <f t="shared" si="0"/>
        <v/>
      </c>
      <c r="CB15" s="418" t="str">
        <f t="shared" si="11"/>
        <v/>
      </c>
      <c r="CC15" s="418" t="str">
        <f t="shared" si="1"/>
        <v/>
      </c>
      <c r="CD15" s="418" t="str">
        <f t="shared" si="2"/>
        <v/>
      </c>
      <c r="CE15" s="418" t="str">
        <f t="shared" si="12"/>
        <v/>
      </c>
      <c r="CF15" s="418" t="str">
        <f t="shared" si="3"/>
        <v/>
      </c>
      <c r="CG15" s="418" t="str">
        <f t="shared" si="4"/>
        <v/>
      </c>
      <c r="CH15" s="418" t="str">
        <f t="shared" si="5"/>
        <v/>
      </c>
      <c r="CK15" s="3366"/>
      <c r="CL15" s="419">
        <f t="shared" si="13"/>
        <v>0</v>
      </c>
      <c r="CM15" s="419">
        <f t="shared" si="6"/>
        <v>0</v>
      </c>
      <c r="CN15" s="419">
        <f t="shared" si="7"/>
        <v>0</v>
      </c>
      <c r="CO15" s="419">
        <f t="shared" si="14"/>
        <v>0</v>
      </c>
      <c r="CP15" s="419">
        <f t="shared" si="8"/>
        <v>0</v>
      </c>
      <c r="CQ15" s="3389">
        <f t="shared" si="15"/>
        <v>0</v>
      </c>
      <c r="CR15" s="3389">
        <f t="shared" si="9"/>
        <v>0</v>
      </c>
    </row>
    <row r="16" spans="1:96" s="1470" customFormat="1" ht="15" customHeight="1">
      <c r="A16" s="6855"/>
      <c r="B16" s="7119" t="s">
        <v>3298</v>
      </c>
      <c r="C16" s="7120"/>
      <c r="D16" s="1540">
        <f t="shared" si="10"/>
        <v>0</v>
      </c>
      <c r="E16" s="1480"/>
      <c r="F16" s="1541"/>
      <c r="G16" s="1541"/>
      <c r="H16" s="1541"/>
      <c r="I16" s="1545"/>
      <c r="J16" s="1796"/>
      <c r="K16" s="1541"/>
      <c r="L16" s="1541"/>
      <c r="M16" s="1959"/>
      <c r="N16" s="1959"/>
      <c r="O16" s="1959"/>
      <c r="P16" s="1959"/>
      <c r="Q16" s="1959"/>
      <c r="R16" s="1959"/>
      <c r="S16" s="1959"/>
      <c r="T16" s="1959"/>
      <c r="U16" s="1959"/>
      <c r="V16" s="1959"/>
      <c r="W16" s="1959"/>
      <c r="X16" s="1959"/>
      <c r="Y16" s="1754"/>
      <c r="Z16" s="1542"/>
      <c r="AA16" s="1543"/>
      <c r="AB16" s="1544"/>
      <c r="AC16" s="1483"/>
      <c r="AD16" s="1483"/>
      <c r="AE16" s="1545"/>
      <c r="AF16" s="1480"/>
      <c r="AG16" s="1545"/>
      <c r="AH16" s="1483"/>
      <c r="AI16" s="1545"/>
      <c r="AJ16" t="str">
        <f t="shared" si="0"/>
        <v/>
      </c>
      <c r="CB16" s="418" t="str">
        <f t="shared" si="11"/>
        <v/>
      </c>
      <c r="CC16" s="418" t="str">
        <f t="shared" si="1"/>
        <v/>
      </c>
      <c r="CD16" s="418" t="str">
        <f t="shared" si="2"/>
        <v/>
      </c>
      <c r="CE16" s="418" t="str">
        <f t="shared" si="12"/>
        <v/>
      </c>
      <c r="CF16" s="418" t="str">
        <f t="shared" si="3"/>
        <v/>
      </c>
      <c r="CG16" s="418" t="str">
        <f t="shared" si="4"/>
        <v/>
      </c>
      <c r="CH16" s="418" t="str">
        <f t="shared" si="5"/>
        <v/>
      </c>
      <c r="CK16" s="3366"/>
      <c r="CL16" s="419">
        <f t="shared" si="13"/>
        <v>0</v>
      </c>
      <c r="CM16" s="419">
        <f t="shared" si="6"/>
        <v>0</v>
      </c>
      <c r="CN16" s="419">
        <f t="shared" si="7"/>
        <v>0</v>
      </c>
      <c r="CO16" s="419">
        <f t="shared" si="14"/>
        <v>0</v>
      </c>
      <c r="CP16" s="419">
        <f t="shared" si="8"/>
        <v>0</v>
      </c>
      <c r="CQ16" s="3389">
        <f t="shared" si="15"/>
        <v>0</v>
      </c>
      <c r="CR16" s="3389">
        <f t="shared" si="9"/>
        <v>0</v>
      </c>
    </row>
    <row r="17" spans="1:96" s="1470" customFormat="1" ht="15" customHeight="1">
      <c r="A17" s="6855"/>
      <c r="B17" s="6384" t="s">
        <v>3299</v>
      </c>
      <c r="C17" s="6385"/>
      <c r="D17" s="1512">
        <f t="shared" si="10"/>
        <v>0</v>
      </c>
      <c r="E17" s="1440"/>
      <c r="F17" s="1442"/>
      <c r="G17" s="1442"/>
      <c r="H17" s="1442"/>
      <c r="I17" s="1452"/>
      <c r="J17" s="1441"/>
      <c r="K17" s="1442"/>
      <c r="L17" s="1442"/>
      <c r="M17" s="1443"/>
      <c r="N17" s="1443"/>
      <c r="O17" s="1443"/>
      <c r="P17" s="1443"/>
      <c r="Q17" s="1443"/>
      <c r="R17" s="1443"/>
      <c r="S17" s="1443"/>
      <c r="T17" s="1443"/>
      <c r="U17" s="1443"/>
      <c r="V17" s="1443"/>
      <c r="W17" s="1443"/>
      <c r="X17" s="1443"/>
      <c r="Y17" s="1709"/>
      <c r="Z17" s="1513"/>
      <c r="AA17" s="1514"/>
      <c r="AB17" s="1445"/>
      <c r="AC17" s="1446"/>
      <c r="AD17" s="1446"/>
      <c r="AE17" s="1452"/>
      <c r="AF17" s="1440"/>
      <c r="AG17" s="1452"/>
      <c r="AH17" s="1446"/>
      <c r="AI17" s="1452"/>
      <c r="AJ17" t="str">
        <f t="shared" si="0"/>
        <v/>
      </c>
      <c r="CB17" s="418" t="str">
        <f t="shared" si="11"/>
        <v/>
      </c>
      <c r="CC17" s="418" t="str">
        <f t="shared" si="1"/>
        <v/>
      </c>
      <c r="CD17" s="418" t="str">
        <f t="shared" si="2"/>
        <v/>
      </c>
      <c r="CE17" s="418" t="str">
        <f t="shared" si="12"/>
        <v/>
      </c>
      <c r="CF17" s="418" t="str">
        <f t="shared" si="3"/>
        <v/>
      </c>
      <c r="CG17" s="418" t="str">
        <f t="shared" si="4"/>
        <v/>
      </c>
      <c r="CH17" s="418" t="str">
        <f t="shared" si="5"/>
        <v/>
      </c>
      <c r="CK17" s="3366"/>
      <c r="CL17" s="419">
        <f t="shared" si="13"/>
        <v>0</v>
      </c>
      <c r="CM17" s="419">
        <f t="shared" si="6"/>
        <v>0</v>
      </c>
      <c r="CN17" s="419">
        <f t="shared" si="7"/>
        <v>0</v>
      </c>
      <c r="CO17" s="419">
        <f t="shared" si="14"/>
        <v>0</v>
      </c>
      <c r="CP17" s="419">
        <f t="shared" si="8"/>
        <v>0</v>
      </c>
      <c r="CQ17" s="3389">
        <f t="shared" si="15"/>
        <v>0</v>
      </c>
      <c r="CR17" s="3389">
        <f t="shared" si="9"/>
        <v>0</v>
      </c>
    </row>
    <row r="18" spans="1:96" s="1470" customFormat="1" ht="15" customHeight="1">
      <c r="A18" s="6855"/>
      <c r="B18" s="6384" t="s">
        <v>3300</v>
      </c>
      <c r="C18" s="6385"/>
      <c r="D18" s="1512">
        <f t="shared" si="10"/>
        <v>0</v>
      </c>
      <c r="E18" s="1440"/>
      <c r="F18" s="1442"/>
      <c r="G18" s="1442"/>
      <c r="H18" s="1442"/>
      <c r="I18" s="1452"/>
      <c r="J18" s="1441"/>
      <c r="K18" s="1442"/>
      <c r="L18" s="1442"/>
      <c r="M18" s="1443"/>
      <c r="N18" s="1443"/>
      <c r="O18" s="1443"/>
      <c r="P18" s="1443"/>
      <c r="Q18" s="1443"/>
      <c r="R18" s="1443"/>
      <c r="S18" s="1443"/>
      <c r="T18" s="1443"/>
      <c r="U18" s="1443"/>
      <c r="V18" s="1443"/>
      <c r="W18" s="1443"/>
      <c r="X18" s="1443"/>
      <c r="Y18" s="1709"/>
      <c r="Z18" s="1513"/>
      <c r="AA18" s="1514"/>
      <c r="AB18" s="1445"/>
      <c r="AC18" s="1446"/>
      <c r="AD18" s="1446"/>
      <c r="AE18" s="1452"/>
      <c r="AF18" s="1440"/>
      <c r="AG18" s="1452"/>
      <c r="AH18" s="1446"/>
      <c r="AI18" s="1452"/>
      <c r="AJ18" t="str">
        <f t="shared" si="0"/>
        <v/>
      </c>
      <c r="CB18" s="418" t="str">
        <f t="shared" si="11"/>
        <v/>
      </c>
      <c r="CC18" s="418" t="str">
        <f t="shared" si="1"/>
        <v/>
      </c>
      <c r="CD18" s="418" t="str">
        <f t="shared" si="2"/>
        <v/>
      </c>
      <c r="CE18" s="418" t="str">
        <f t="shared" si="12"/>
        <v/>
      </c>
      <c r="CF18" s="418" t="str">
        <f t="shared" si="3"/>
        <v/>
      </c>
      <c r="CG18" s="418" t="str">
        <f t="shared" si="4"/>
        <v/>
      </c>
      <c r="CH18" s="418" t="str">
        <f t="shared" si="5"/>
        <v/>
      </c>
      <c r="CK18" s="3366"/>
      <c r="CL18" s="419">
        <f t="shared" si="13"/>
        <v>0</v>
      </c>
      <c r="CM18" s="419">
        <f t="shared" si="6"/>
        <v>0</v>
      </c>
      <c r="CN18" s="419">
        <f t="shared" si="7"/>
        <v>0</v>
      </c>
      <c r="CO18" s="419">
        <f t="shared" si="14"/>
        <v>0</v>
      </c>
      <c r="CP18" s="419">
        <f t="shared" si="8"/>
        <v>0</v>
      </c>
      <c r="CQ18" s="3389">
        <f t="shared" si="15"/>
        <v>0</v>
      </c>
      <c r="CR18" s="3389">
        <f t="shared" si="9"/>
        <v>0</v>
      </c>
    </row>
    <row r="19" spans="1:96" s="1470" customFormat="1" ht="15" customHeight="1">
      <c r="A19" s="6855"/>
      <c r="B19" s="7095" t="s">
        <v>3301</v>
      </c>
      <c r="C19" s="7096"/>
      <c r="D19" s="1506">
        <f t="shared" si="10"/>
        <v>0</v>
      </c>
      <c r="E19" s="1455"/>
      <c r="F19" s="1457"/>
      <c r="G19" s="1457"/>
      <c r="H19" s="1457"/>
      <c r="I19" s="1467"/>
      <c r="J19" s="1456"/>
      <c r="K19" s="1457"/>
      <c r="L19" s="1457"/>
      <c r="M19" s="1458"/>
      <c r="N19" s="1458"/>
      <c r="O19" s="1458"/>
      <c r="P19" s="1458"/>
      <c r="Q19" s="1458"/>
      <c r="R19" s="1458"/>
      <c r="S19" s="1458"/>
      <c r="T19" s="1458"/>
      <c r="U19" s="1458"/>
      <c r="V19" s="1458"/>
      <c r="W19" s="1458"/>
      <c r="X19" s="1458"/>
      <c r="Y19" s="1714"/>
      <c r="Z19" s="1457"/>
      <c r="AA19" s="1459"/>
      <c r="AB19" s="1460"/>
      <c r="AC19" s="1461"/>
      <c r="AD19" s="1461"/>
      <c r="AE19" s="1467"/>
      <c r="AF19" s="1455"/>
      <c r="AG19" s="1467"/>
      <c r="AH19" s="1461"/>
      <c r="AI19" s="1467"/>
      <c r="AJ19" t="str">
        <f t="shared" si="0"/>
        <v/>
      </c>
      <c r="CB19" s="418" t="str">
        <f t="shared" si="11"/>
        <v/>
      </c>
      <c r="CC19" s="418" t="str">
        <f t="shared" si="1"/>
        <v/>
      </c>
      <c r="CD19" s="418" t="str">
        <f t="shared" si="2"/>
        <v/>
      </c>
      <c r="CE19" s="418" t="str">
        <f t="shared" si="12"/>
        <v/>
      </c>
      <c r="CF19" s="418" t="str">
        <f t="shared" si="3"/>
        <v/>
      </c>
      <c r="CG19" s="418" t="str">
        <f t="shared" si="4"/>
        <v/>
      </c>
      <c r="CH19" s="418" t="str">
        <f t="shared" si="5"/>
        <v/>
      </c>
      <c r="CK19" s="3366"/>
      <c r="CL19" s="419">
        <f t="shared" si="13"/>
        <v>0</v>
      </c>
      <c r="CM19" s="419">
        <f t="shared" si="6"/>
        <v>0</v>
      </c>
      <c r="CN19" s="419">
        <f t="shared" si="7"/>
        <v>0</v>
      </c>
      <c r="CO19" s="419">
        <f t="shared" si="14"/>
        <v>0</v>
      </c>
      <c r="CP19" s="419">
        <f t="shared" si="8"/>
        <v>0</v>
      </c>
      <c r="CQ19" s="3389">
        <f t="shared" si="15"/>
        <v>0</v>
      </c>
      <c r="CR19" s="3389">
        <f t="shared" si="9"/>
        <v>0</v>
      </c>
    </row>
    <row r="20" spans="1:96" s="1470" customFormat="1" ht="15" customHeight="1">
      <c r="A20" s="6855"/>
      <c r="B20" s="6127" t="s">
        <v>3302</v>
      </c>
      <c r="C20" s="2392" t="s">
        <v>73</v>
      </c>
      <c r="D20" s="1422">
        <f t="shared" si="10"/>
        <v>0</v>
      </c>
      <c r="E20" s="3207"/>
      <c r="F20" s="4538"/>
      <c r="G20" s="4538"/>
      <c r="H20" s="4538"/>
      <c r="I20" s="3206"/>
      <c r="J20" s="1425"/>
      <c r="K20" s="1426"/>
      <c r="L20" s="1426"/>
      <c r="M20" s="1427"/>
      <c r="N20" s="1427"/>
      <c r="O20" s="1427"/>
      <c r="P20" s="1427"/>
      <c r="Q20" s="1427"/>
      <c r="R20" s="1427"/>
      <c r="S20" s="1427"/>
      <c r="T20" s="1427"/>
      <c r="U20" s="1427"/>
      <c r="V20" s="1427"/>
      <c r="W20" s="1427"/>
      <c r="X20" s="1427"/>
      <c r="Y20" s="1707"/>
      <c r="Z20" s="1426"/>
      <c r="AA20" s="1428"/>
      <c r="AB20" s="1429"/>
      <c r="AC20" s="1430"/>
      <c r="AD20" s="1430"/>
      <c r="AE20" s="1436"/>
      <c r="AF20" s="1424"/>
      <c r="AG20" s="1436"/>
      <c r="AH20" s="1430"/>
      <c r="AI20" s="1436"/>
      <c r="AJ20" t="str">
        <f t="shared" si="0"/>
        <v/>
      </c>
      <c r="CB20" s="418" t="str">
        <f t="shared" si="11"/>
        <v/>
      </c>
      <c r="CC20" s="418" t="str">
        <f t="shared" si="1"/>
        <v/>
      </c>
      <c r="CD20" s="418" t="str">
        <f t="shared" si="2"/>
        <v/>
      </c>
      <c r="CE20" s="418" t="str">
        <f t="shared" si="12"/>
        <v/>
      </c>
      <c r="CF20" s="418" t="str">
        <f t="shared" si="3"/>
        <v/>
      </c>
      <c r="CG20" s="418" t="str">
        <f t="shared" si="4"/>
        <v/>
      </c>
      <c r="CH20" s="418" t="str">
        <f t="shared" si="5"/>
        <v/>
      </c>
      <c r="CK20" s="3366"/>
      <c r="CL20" s="419">
        <f t="shared" si="13"/>
        <v>0</v>
      </c>
      <c r="CM20" s="419">
        <f t="shared" si="6"/>
        <v>0</v>
      </c>
      <c r="CN20" s="419">
        <f t="shared" si="7"/>
        <v>0</v>
      </c>
      <c r="CO20" s="419">
        <f t="shared" si="14"/>
        <v>0</v>
      </c>
      <c r="CP20" s="419">
        <f t="shared" si="8"/>
        <v>0</v>
      </c>
      <c r="CQ20" s="3389">
        <f t="shared" si="15"/>
        <v>0</v>
      </c>
      <c r="CR20" s="3389">
        <f t="shared" si="9"/>
        <v>0</v>
      </c>
    </row>
    <row r="21" spans="1:96" s="1470" customFormat="1" ht="15" customHeight="1">
      <c r="A21" s="6855"/>
      <c r="B21" s="6129"/>
      <c r="C21" s="444" t="s">
        <v>72</v>
      </c>
      <c r="D21" s="1506">
        <f t="shared" si="10"/>
        <v>0</v>
      </c>
      <c r="E21" s="3207"/>
      <c r="F21" s="4538"/>
      <c r="G21" s="4538"/>
      <c r="H21" s="4538"/>
      <c r="I21" s="3206"/>
      <c r="J21" s="1456"/>
      <c r="K21" s="1457"/>
      <c r="L21" s="1457"/>
      <c r="M21" s="1458"/>
      <c r="N21" s="1458"/>
      <c r="O21" s="1458"/>
      <c r="P21" s="1458"/>
      <c r="Q21" s="1458"/>
      <c r="R21" s="1458"/>
      <c r="S21" s="1458"/>
      <c r="T21" s="1458"/>
      <c r="U21" s="1458"/>
      <c r="V21" s="1458"/>
      <c r="W21" s="1458"/>
      <c r="X21" s="1458"/>
      <c r="Y21" s="1714"/>
      <c r="Z21" s="1457"/>
      <c r="AA21" s="1459"/>
      <c r="AB21" s="1460"/>
      <c r="AC21" s="1461"/>
      <c r="AD21" s="1461"/>
      <c r="AE21" s="1467"/>
      <c r="AF21" s="1455"/>
      <c r="AG21" s="1467"/>
      <c r="AH21" s="1461"/>
      <c r="AI21" s="1467"/>
      <c r="AJ21" t="str">
        <f t="shared" si="0"/>
        <v/>
      </c>
      <c r="CB21" s="418" t="str">
        <f t="shared" si="11"/>
        <v/>
      </c>
      <c r="CC21" s="418" t="str">
        <f t="shared" si="1"/>
        <v/>
      </c>
      <c r="CD21" s="418" t="str">
        <f t="shared" si="2"/>
        <v/>
      </c>
      <c r="CE21" s="418" t="str">
        <f t="shared" si="12"/>
        <v/>
      </c>
      <c r="CF21" s="418" t="str">
        <f t="shared" si="3"/>
        <v/>
      </c>
      <c r="CG21" s="418" t="str">
        <f t="shared" si="4"/>
        <v/>
      </c>
      <c r="CH21" s="418" t="str">
        <f t="shared" si="5"/>
        <v/>
      </c>
      <c r="CK21" s="3366"/>
      <c r="CL21" s="419">
        <f t="shared" si="13"/>
        <v>0</v>
      </c>
      <c r="CM21" s="419">
        <f t="shared" si="6"/>
        <v>0</v>
      </c>
      <c r="CN21" s="419">
        <f t="shared" si="7"/>
        <v>0</v>
      </c>
      <c r="CO21" s="419">
        <f t="shared" si="14"/>
        <v>0</v>
      </c>
      <c r="CP21" s="419">
        <f t="shared" si="8"/>
        <v>0</v>
      </c>
      <c r="CQ21" s="3389">
        <f t="shared" si="15"/>
        <v>0</v>
      </c>
      <c r="CR21" s="3389">
        <f t="shared" si="9"/>
        <v>0</v>
      </c>
    </row>
    <row r="22" spans="1:96" s="1470" customFormat="1" ht="15" customHeight="1">
      <c r="A22" s="6855"/>
      <c r="B22" s="7119" t="s">
        <v>3303</v>
      </c>
      <c r="C22" s="7120"/>
      <c r="D22" s="1540">
        <f>P22+Q22+R22+S22+T22</f>
        <v>0</v>
      </c>
      <c r="E22" s="3207"/>
      <c r="F22" s="4538"/>
      <c r="G22" s="4538"/>
      <c r="H22" s="4538"/>
      <c r="I22" s="3206"/>
      <c r="J22" s="3098"/>
      <c r="K22" s="3146"/>
      <c r="L22" s="3146"/>
      <c r="M22" s="3146"/>
      <c r="N22" s="3146"/>
      <c r="O22" s="3146"/>
      <c r="P22" s="1427"/>
      <c r="Q22" s="1959"/>
      <c r="R22" s="1959"/>
      <c r="S22" s="1959"/>
      <c r="T22" s="1959"/>
      <c r="U22" s="3146"/>
      <c r="V22" s="3146"/>
      <c r="W22" s="3146"/>
      <c r="X22" s="4539"/>
      <c r="Y22" s="1754"/>
      <c r="Z22" s="1542"/>
      <c r="AA22" s="1543"/>
      <c r="AB22" s="1544"/>
      <c r="AC22" s="1483"/>
      <c r="AD22" s="1483"/>
      <c r="AE22" s="1545"/>
      <c r="AF22" s="1480"/>
      <c r="AG22" s="1545"/>
      <c r="AH22" s="1483"/>
      <c r="AI22" s="1545"/>
      <c r="AJ22" t="str">
        <f t="shared" si="0"/>
        <v/>
      </c>
      <c r="CB22" s="418" t="str">
        <f t="shared" si="11"/>
        <v/>
      </c>
      <c r="CC22" s="418" t="str">
        <f t="shared" si="1"/>
        <v/>
      </c>
      <c r="CD22" s="418" t="str">
        <f t="shared" si="2"/>
        <v/>
      </c>
      <c r="CE22" s="418" t="str">
        <f t="shared" si="12"/>
        <v/>
      </c>
      <c r="CF22" s="418" t="str">
        <f t="shared" si="3"/>
        <v/>
      </c>
      <c r="CG22" s="418" t="str">
        <f t="shared" si="4"/>
        <v/>
      </c>
      <c r="CH22" s="418" t="str">
        <f t="shared" si="5"/>
        <v/>
      </c>
      <c r="CK22" s="3366"/>
      <c r="CL22" s="419">
        <f t="shared" si="13"/>
        <v>0</v>
      </c>
      <c r="CM22" s="419">
        <f t="shared" si="6"/>
        <v>0</v>
      </c>
      <c r="CN22" s="419">
        <f t="shared" si="7"/>
        <v>0</v>
      </c>
      <c r="CO22" s="419">
        <f t="shared" si="14"/>
        <v>0</v>
      </c>
      <c r="CP22" s="419">
        <f t="shared" si="8"/>
        <v>0</v>
      </c>
      <c r="CQ22" s="3389">
        <f t="shared" si="15"/>
        <v>0</v>
      </c>
      <c r="CR22" s="3389">
        <f t="shared" si="9"/>
        <v>0</v>
      </c>
    </row>
    <row r="23" spans="1:96" s="1470" customFormat="1" ht="24.75" customHeight="1">
      <c r="A23" s="6855"/>
      <c r="B23" s="6648" t="s">
        <v>3304</v>
      </c>
      <c r="C23" s="6131"/>
      <c r="D23" s="1729">
        <f t="shared" ref="D23:D25" si="16">SUM(J23:S23)</f>
        <v>0</v>
      </c>
      <c r="E23" s="3207"/>
      <c r="F23" s="4538"/>
      <c r="G23" s="4538"/>
      <c r="H23" s="4538"/>
      <c r="I23" s="3206"/>
      <c r="J23" s="1826"/>
      <c r="K23" s="1712"/>
      <c r="L23" s="1712"/>
      <c r="M23" s="1712"/>
      <c r="N23" s="1712"/>
      <c r="O23" s="1712"/>
      <c r="P23" s="1712"/>
      <c r="Q23" s="1712"/>
      <c r="R23" s="1712"/>
      <c r="S23" s="1712"/>
      <c r="T23" s="3208"/>
      <c r="U23" s="3208"/>
      <c r="V23" s="3208"/>
      <c r="W23" s="3208"/>
      <c r="X23" s="3208"/>
      <c r="Y23" s="1711"/>
      <c r="Z23" s="1712"/>
      <c r="AA23" s="1486"/>
      <c r="AB23" s="1693"/>
      <c r="AC23" s="1488"/>
      <c r="AD23" s="1488"/>
      <c r="AE23" s="1873"/>
      <c r="AF23" s="1485"/>
      <c r="AG23" s="1692"/>
      <c r="AH23" s="1488"/>
      <c r="AI23" s="1692"/>
      <c r="AJ23" t="str">
        <f t="shared" si="0"/>
        <v/>
      </c>
      <c r="CB23" s="418" t="str">
        <f t="shared" si="11"/>
        <v/>
      </c>
      <c r="CC23" s="418" t="str">
        <f t="shared" si="1"/>
        <v/>
      </c>
      <c r="CD23" s="418" t="str">
        <f t="shared" si="2"/>
        <v/>
      </c>
      <c r="CE23" s="3374"/>
      <c r="CF23" s="418" t="str">
        <f t="shared" si="3"/>
        <v/>
      </c>
      <c r="CG23" s="418" t="str">
        <f t="shared" si="4"/>
        <v/>
      </c>
      <c r="CH23" s="418" t="str">
        <f t="shared" si="5"/>
        <v/>
      </c>
      <c r="CK23" s="3366"/>
      <c r="CL23" s="419">
        <f t="shared" si="13"/>
        <v>0</v>
      </c>
      <c r="CM23" s="419">
        <f t="shared" si="6"/>
        <v>0</v>
      </c>
      <c r="CN23" s="419">
        <f t="shared" si="7"/>
        <v>0</v>
      </c>
      <c r="CO23" s="3380"/>
      <c r="CP23" s="419">
        <f t="shared" si="8"/>
        <v>0</v>
      </c>
      <c r="CQ23" s="3389">
        <f t="shared" si="15"/>
        <v>0</v>
      </c>
      <c r="CR23" s="3389">
        <f t="shared" si="9"/>
        <v>0</v>
      </c>
    </row>
    <row r="24" spans="1:96" s="1470" customFormat="1" ht="15" customHeight="1">
      <c r="A24" s="6855"/>
      <c r="B24" s="5718" t="s">
        <v>3305</v>
      </c>
      <c r="C24" s="457" t="s">
        <v>3306</v>
      </c>
      <c r="D24" s="1403">
        <f t="shared" si="16"/>
        <v>0</v>
      </c>
      <c r="E24" s="2197"/>
      <c r="F24" s="3182"/>
      <c r="G24" s="3182"/>
      <c r="H24" s="3182"/>
      <c r="I24" s="2198"/>
      <c r="J24" s="1425"/>
      <c r="K24" s="1407"/>
      <c r="L24" s="1407"/>
      <c r="M24" s="1407"/>
      <c r="N24" s="1407"/>
      <c r="O24" s="1407"/>
      <c r="P24" s="1407"/>
      <c r="Q24" s="1407"/>
      <c r="R24" s="1407"/>
      <c r="S24" s="1407"/>
      <c r="T24" s="4540"/>
      <c r="U24" s="4540"/>
      <c r="V24" s="4540"/>
      <c r="W24" s="4540"/>
      <c r="X24" s="4540"/>
      <c r="Y24" s="1707"/>
      <c r="Z24" s="1426"/>
      <c r="AA24" s="1409"/>
      <c r="AB24" s="1429"/>
      <c r="AC24" s="1430"/>
      <c r="AD24" s="1430"/>
      <c r="AE24" s="1815"/>
      <c r="AF24" s="1424"/>
      <c r="AG24" s="1436"/>
      <c r="AH24" s="1430"/>
      <c r="AI24" s="1436"/>
      <c r="AJ24" t="str">
        <f t="shared" si="0"/>
        <v/>
      </c>
      <c r="CB24" s="418" t="str">
        <f t="shared" si="11"/>
        <v/>
      </c>
      <c r="CC24" s="418" t="str">
        <f t="shared" si="1"/>
        <v/>
      </c>
      <c r="CD24" s="418" t="str">
        <f t="shared" si="2"/>
        <v/>
      </c>
      <c r="CE24" s="3374"/>
      <c r="CF24" s="418" t="str">
        <f t="shared" si="3"/>
        <v/>
      </c>
      <c r="CG24" s="418" t="str">
        <f t="shared" si="4"/>
        <v/>
      </c>
      <c r="CH24" s="418" t="str">
        <f t="shared" si="5"/>
        <v/>
      </c>
      <c r="CK24" s="3366"/>
      <c r="CL24" s="419">
        <f t="shared" si="13"/>
        <v>0</v>
      </c>
      <c r="CM24" s="419">
        <f t="shared" si="6"/>
        <v>0</v>
      </c>
      <c r="CN24" s="419">
        <f t="shared" si="7"/>
        <v>0</v>
      </c>
      <c r="CO24" s="3380"/>
      <c r="CP24" s="419">
        <f t="shared" si="8"/>
        <v>0</v>
      </c>
      <c r="CQ24" s="3389">
        <f t="shared" si="15"/>
        <v>0</v>
      </c>
      <c r="CR24" s="3389">
        <f t="shared" si="9"/>
        <v>0</v>
      </c>
    </row>
    <row r="25" spans="1:96" s="1470" customFormat="1" ht="15" customHeight="1">
      <c r="A25" s="6855"/>
      <c r="B25" s="5719"/>
      <c r="C25" s="2303" t="s">
        <v>2741</v>
      </c>
      <c r="D25" s="1506">
        <f t="shared" si="16"/>
        <v>0</v>
      </c>
      <c r="E25" s="1765"/>
      <c r="F25" s="2367"/>
      <c r="G25" s="2367"/>
      <c r="H25" s="2367"/>
      <c r="I25" s="1766"/>
      <c r="J25" s="1456"/>
      <c r="K25" s="1457"/>
      <c r="L25" s="1457"/>
      <c r="M25" s="1457"/>
      <c r="N25" s="1457"/>
      <c r="O25" s="1457"/>
      <c r="P25" s="1457"/>
      <c r="Q25" s="1457"/>
      <c r="R25" s="1457"/>
      <c r="S25" s="1457"/>
      <c r="T25" s="3213"/>
      <c r="U25" s="3213"/>
      <c r="V25" s="3213"/>
      <c r="W25" s="3213"/>
      <c r="X25" s="3213"/>
      <c r="Y25" s="1714"/>
      <c r="Z25" s="1507"/>
      <c r="AA25" s="1459"/>
      <c r="AB25" s="1460"/>
      <c r="AC25" s="1461"/>
      <c r="AD25" s="1461"/>
      <c r="AE25" s="1876"/>
      <c r="AF25" s="1455"/>
      <c r="AG25" s="1467"/>
      <c r="AH25" s="1461"/>
      <c r="AI25" s="1467"/>
      <c r="AJ25" t="str">
        <f t="shared" si="0"/>
        <v/>
      </c>
      <c r="CB25" s="418" t="str">
        <f t="shared" si="11"/>
        <v/>
      </c>
      <c r="CC25" s="418" t="str">
        <f t="shared" si="1"/>
        <v/>
      </c>
      <c r="CD25" s="418" t="str">
        <f t="shared" si="2"/>
        <v/>
      </c>
      <c r="CE25" s="3374"/>
      <c r="CF25" s="418" t="str">
        <f t="shared" si="3"/>
        <v/>
      </c>
      <c r="CG25" s="418" t="str">
        <f t="shared" si="4"/>
        <v/>
      </c>
      <c r="CH25" s="418" t="str">
        <f t="shared" si="5"/>
        <v/>
      </c>
      <c r="CK25" s="3366"/>
      <c r="CL25" s="419">
        <f t="shared" si="13"/>
        <v>0</v>
      </c>
      <c r="CM25" s="419">
        <f t="shared" si="6"/>
        <v>0</v>
      </c>
      <c r="CN25" s="419">
        <f t="shared" si="7"/>
        <v>0</v>
      </c>
      <c r="CO25" s="3380"/>
      <c r="CP25" s="419">
        <f t="shared" si="8"/>
        <v>0</v>
      </c>
      <c r="CQ25" s="3389">
        <f t="shared" si="15"/>
        <v>0</v>
      </c>
      <c r="CR25" s="3389">
        <f t="shared" si="9"/>
        <v>0</v>
      </c>
    </row>
    <row r="26" spans="1:96" s="1470" customFormat="1" ht="15" customHeight="1">
      <c r="A26" s="6855"/>
      <c r="B26" s="7092" t="s">
        <v>3307</v>
      </c>
      <c r="C26" s="6158"/>
      <c r="D26" s="1516">
        <f>SUM(H26:X26)</f>
        <v>0</v>
      </c>
      <c r="E26" s="1662"/>
      <c r="F26" s="4541"/>
      <c r="G26" s="4541"/>
      <c r="H26" s="1529"/>
      <c r="I26" s="1534"/>
      <c r="J26" s="1552"/>
      <c r="K26" s="1529"/>
      <c r="L26" s="1529"/>
      <c r="M26" s="1529"/>
      <c r="N26" s="1529"/>
      <c r="O26" s="1529"/>
      <c r="P26" s="1529"/>
      <c r="Q26" s="1529"/>
      <c r="R26" s="1529"/>
      <c r="S26" s="1529"/>
      <c r="T26" s="1529"/>
      <c r="U26" s="1529"/>
      <c r="V26" s="1529"/>
      <c r="W26" s="1529"/>
      <c r="X26" s="1529"/>
      <c r="Y26" s="1722"/>
      <c r="Z26" s="1529"/>
      <c r="AA26" s="1553"/>
      <c r="AB26" s="1532"/>
      <c r="AC26" s="1533"/>
      <c r="AD26" s="1533"/>
      <c r="AE26" s="1534"/>
      <c r="AF26" s="1528"/>
      <c r="AG26" s="1534"/>
      <c r="AH26" s="1533"/>
      <c r="AI26" s="1534"/>
      <c r="AJ26" t="str">
        <f t="shared" si="0"/>
        <v/>
      </c>
      <c r="CB26" s="418" t="str">
        <f t="shared" si="11"/>
        <v/>
      </c>
      <c r="CC26" s="418" t="str">
        <f t="shared" si="1"/>
        <v/>
      </c>
      <c r="CD26" s="418" t="str">
        <f t="shared" si="2"/>
        <v/>
      </c>
      <c r="CE26" s="418" t="str">
        <f t="shared" si="12"/>
        <v/>
      </c>
      <c r="CF26" s="418" t="str">
        <f t="shared" si="3"/>
        <v/>
      </c>
      <c r="CG26" s="418" t="str">
        <f t="shared" si="4"/>
        <v/>
      </c>
      <c r="CH26" s="418" t="str">
        <f t="shared" si="5"/>
        <v/>
      </c>
      <c r="CK26" s="3366"/>
      <c r="CL26" s="419">
        <f t="shared" si="13"/>
        <v>0</v>
      </c>
      <c r="CM26" s="419">
        <f t="shared" si="6"/>
        <v>0</v>
      </c>
      <c r="CN26" s="419">
        <f t="shared" si="7"/>
        <v>0</v>
      </c>
      <c r="CO26" s="419">
        <f t="shared" si="14"/>
        <v>0</v>
      </c>
      <c r="CP26" s="419">
        <f t="shared" si="8"/>
        <v>0</v>
      </c>
      <c r="CQ26" s="3389">
        <f t="shared" si="15"/>
        <v>0</v>
      </c>
      <c r="CR26" s="3389">
        <f t="shared" si="9"/>
        <v>0</v>
      </c>
    </row>
    <row r="27" spans="1:96" s="1470" customFormat="1" ht="15" customHeight="1">
      <c r="A27" s="6855"/>
      <c r="B27" s="6127" t="s">
        <v>3308</v>
      </c>
      <c r="C27" s="1952" t="s">
        <v>3309</v>
      </c>
      <c r="D27" s="1403">
        <f>SUM(E27:F27)</f>
        <v>0</v>
      </c>
      <c r="E27" s="1480"/>
      <c r="F27" s="3146"/>
      <c r="G27" s="3146"/>
      <c r="H27" s="1828"/>
      <c r="I27" s="4542"/>
      <c r="J27" s="3098"/>
      <c r="K27" s="3146"/>
      <c r="L27" s="3146"/>
      <c r="M27" s="3146"/>
      <c r="N27" s="3146"/>
      <c r="O27" s="3146"/>
      <c r="P27" s="3146"/>
      <c r="Q27" s="3146"/>
      <c r="R27" s="3146"/>
      <c r="S27" s="3146"/>
      <c r="T27" s="3146"/>
      <c r="U27" s="3146"/>
      <c r="V27" s="3146"/>
      <c r="W27" s="3146"/>
      <c r="X27" s="4539"/>
      <c r="Y27" s="1907"/>
      <c r="Z27" s="1828"/>
      <c r="AA27" s="4543"/>
      <c r="AB27" s="1429"/>
      <c r="AC27" s="1430"/>
      <c r="AD27" s="1430"/>
      <c r="AE27" s="1870"/>
      <c r="AF27" s="1424"/>
      <c r="AG27" s="1436"/>
      <c r="AH27" s="1430"/>
      <c r="AI27" s="1436"/>
      <c r="AJ27" t="str">
        <f t="shared" si="0"/>
        <v/>
      </c>
      <c r="CB27" s="418" t="str">
        <f t="shared" si="11"/>
        <v/>
      </c>
      <c r="CC27" s="418" t="str">
        <f t="shared" si="1"/>
        <v/>
      </c>
      <c r="CD27" s="418" t="str">
        <f t="shared" si="2"/>
        <v/>
      </c>
      <c r="CE27" s="3374"/>
      <c r="CF27" s="418" t="str">
        <f t="shared" si="3"/>
        <v/>
      </c>
      <c r="CG27" s="418" t="str">
        <f t="shared" si="4"/>
        <v/>
      </c>
      <c r="CH27" s="418" t="str">
        <f t="shared" si="5"/>
        <v/>
      </c>
      <c r="CK27" s="3366"/>
      <c r="CL27" s="419">
        <f t="shared" si="13"/>
        <v>0</v>
      </c>
      <c r="CM27" s="419">
        <f t="shared" si="6"/>
        <v>0</v>
      </c>
      <c r="CN27" s="419">
        <f t="shared" si="7"/>
        <v>0</v>
      </c>
      <c r="CO27" s="3380"/>
      <c r="CP27" s="419">
        <f t="shared" si="8"/>
        <v>0</v>
      </c>
      <c r="CQ27" s="3389">
        <f t="shared" si="15"/>
        <v>0</v>
      </c>
      <c r="CR27" s="3389">
        <f t="shared" si="9"/>
        <v>0</v>
      </c>
    </row>
    <row r="28" spans="1:96" s="1470" customFormat="1" ht="15" customHeight="1">
      <c r="A28" s="6855"/>
      <c r="B28" s="6128"/>
      <c r="C28" s="4537" t="s">
        <v>3310</v>
      </c>
      <c r="D28" s="1729">
        <f t="shared" ref="D28:D29" si="17">SUM(E28:G28)</f>
        <v>0</v>
      </c>
      <c r="E28" s="1440"/>
      <c r="F28" s="3146"/>
      <c r="G28" s="3146"/>
      <c r="H28" s="4538"/>
      <c r="I28" s="3089"/>
      <c r="J28" s="1833"/>
      <c r="K28" s="2327"/>
      <c r="L28" s="2327"/>
      <c r="M28" s="2327"/>
      <c r="N28" s="2327"/>
      <c r="O28" s="2327"/>
      <c r="P28" s="2327"/>
      <c r="Q28" s="2327"/>
      <c r="R28" s="2327"/>
      <c r="S28" s="2327"/>
      <c r="T28" s="2327"/>
      <c r="U28" s="2327"/>
      <c r="V28" s="2327"/>
      <c r="W28" s="2327"/>
      <c r="X28" s="3208"/>
      <c r="Y28" s="1711"/>
      <c r="Z28" s="4538"/>
      <c r="AA28" s="4544"/>
      <c r="AB28" s="1445"/>
      <c r="AC28" s="1446"/>
      <c r="AD28" s="1446"/>
      <c r="AE28" s="1452"/>
      <c r="AF28" s="1440"/>
      <c r="AG28" s="1452"/>
      <c r="AH28" s="1446"/>
      <c r="AI28" s="1452"/>
      <c r="AJ28" t="str">
        <f t="shared" si="0"/>
        <v/>
      </c>
      <c r="CB28" s="418" t="str">
        <f t="shared" si="11"/>
        <v/>
      </c>
      <c r="CC28" s="418" t="str">
        <f t="shared" si="1"/>
        <v/>
      </c>
      <c r="CD28" s="418" t="str">
        <f t="shared" si="2"/>
        <v/>
      </c>
      <c r="CE28" s="418" t="str">
        <f t="shared" si="12"/>
        <v/>
      </c>
      <c r="CF28" s="418" t="str">
        <f t="shared" si="3"/>
        <v/>
      </c>
      <c r="CG28" s="418" t="str">
        <f t="shared" si="4"/>
        <v/>
      </c>
      <c r="CH28" s="418" t="str">
        <f t="shared" si="5"/>
        <v/>
      </c>
      <c r="CK28" s="3366"/>
      <c r="CL28" s="419">
        <f t="shared" si="13"/>
        <v>0</v>
      </c>
      <c r="CM28" s="419">
        <f t="shared" si="6"/>
        <v>0</v>
      </c>
      <c r="CN28" s="419">
        <f t="shared" si="7"/>
        <v>0</v>
      </c>
      <c r="CO28" s="419">
        <f t="shared" si="14"/>
        <v>0</v>
      </c>
      <c r="CP28" s="419">
        <f t="shared" si="8"/>
        <v>0</v>
      </c>
      <c r="CQ28" s="3389">
        <f t="shared" si="15"/>
        <v>0</v>
      </c>
      <c r="CR28" s="3389">
        <f t="shared" si="9"/>
        <v>0</v>
      </c>
    </row>
    <row r="29" spans="1:96" s="1470" customFormat="1" ht="15" customHeight="1">
      <c r="A29" s="6855"/>
      <c r="B29" s="6129"/>
      <c r="C29" s="3050" t="s">
        <v>619</v>
      </c>
      <c r="D29" s="1506">
        <f t="shared" si="17"/>
        <v>0</v>
      </c>
      <c r="E29" s="1455"/>
      <c r="F29" s="1552"/>
      <c r="G29" s="1552"/>
      <c r="H29" s="3126"/>
      <c r="I29" s="2202"/>
      <c r="J29" s="3126"/>
      <c r="K29" s="2367"/>
      <c r="L29" s="2367"/>
      <c r="M29" s="2367"/>
      <c r="N29" s="2367"/>
      <c r="O29" s="2367"/>
      <c r="P29" s="2367"/>
      <c r="Q29" s="2367"/>
      <c r="R29" s="2367"/>
      <c r="S29" s="2367"/>
      <c r="T29" s="2367"/>
      <c r="U29" s="2367"/>
      <c r="V29" s="2367"/>
      <c r="W29" s="2367"/>
      <c r="X29" s="3213"/>
      <c r="Y29" s="1714"/>
      <c r="Z29" s="2367"/>
      <c r="AA29" s="2203"/>
      <c r="AB29" s="1532"/>
      <c r="AC29" s="1533"/>
      <c r="AD29" s="1533"/>
      <c r="AE29" s="1534"/>
      <c r="AF29" s="1528"/>
      <c r="AG29" s="1534"/>
      <c r="AH29" s="1533"/>
      <c r="AI29" s="1534"/>
      <c r="AJ29" t="str">
        <f t="shared" si="0"/>
        <v/>
      </c>
      <c r="CB29" s="418" t="str">
        <f t="shared" si="11"/>
        <v/>
      </c>
      <c r="CC29" s="418" t="str">
        <f t="shared" si="1"/>
        <v/>
      </c>
      <c r="CD29" s="418" t="str">
        <f t="shared" si="2"/>
        <v/>
      </c>
      <c r="CE29" s="418" t="str">
        <f t="shared" si="12"/>
        <v/>
      </c>
      <c r="CF29" s="418" t="str">
        <f t="shared" si="3"/>
        <v/>
      </c>
      <c r="CG29" s="418" t="str">
        <f t="shared" si="4"/>
        <v/>
      </c>
      <c r="CH29" s="418" t="str">
        <f t="shared" si="5"/>
        <v/>
      </c>
      <c r="CK29" s="3366"/>
      <c r="CL29" s="419">
        <f t="shared" si="13"/>
        <v>0</v>
      </c>
      <c r="CM29" s="419">
        <f t="shared" si="6"/>
        <v>0</v>
      </c>
      <c r="CN29" s="419">
        <f t="shared" si="7"/>
        <v>0</v>
      </c>
      <c r="CO29" s="419">
        <f t="shared" si="14"/>
        <v>0</v>
      </c>
      <c r="CP29" s="419">
        <f t="shared" si="8"/>
        <v>0</v>
      </c>
      <c r="CQ29" s="3389">
        <f t="shared" si="15"/>
        <v>0</v>
      </c>
      <c r="CR29" s="3389">
        <f t="shared" si="9"/>
        <v>0</v>
      </c>
    </row>
    <row r="30" spans="1:96" s="1470" customFormat="1" ht="15" customHeight="1">
      <c r="A30" s="6855"/>
      <c r="B30" s="6127" t="s">
        <v>3311</v>
      </c>
      <c r="C30" s="4441" t="s">
        <v>3312</v>
      </c>
      <c r="D30" s="1422">
        <f>SUM(E30:H30)</f>
        <v>0</v>
      </c>
      <c r="E30" s="1424"/>
      <c r="F30" s="1426"/>
      <c r="G30" s="1426"/>
      <c r="H30" s="1426"/>
      <c r="I30" s="2198"/>
      <c r="J30" s="3181"/>
      <c r="K30" s="3182"/>
      <c r="L30" s="3182"/>
      <c r="M30" s="4540"/>
      <c r="N30" s="4540"/>
      <c r="O30" s="4540"/>
      <c r="P30" s="4540"/>
      <c r="Q30" s="4540"/>
      <c r="R30" s="4540"/>
      <c r="S30" s="4540"/>
      <c r="T30" s="4540"/>
      <c r="U30" s="4540"/>
      <c r="V30" s="4540"/>
      <c r="W30" s="4540"/>
      <c r="X30" s="4540"/>
      <c r="Y30" s="4545"/>
      <c r="Z30" s="4533"/>
      <c r="AA30" s="4535"/>
      <c r="AB30" s="1429"/>
      <c r="AC30" s="1430"/>
      <c r="AD30" s="1430"/>
      <c r="AE30" s="1436"/>
      <c r="AF30" s="1424"/>
      <c r="AG30" s="1436"/>
      <c r="AH30" s="1430"/>
      <c r="AI30" s="1436"/>
      <c r="AJ30" t="str">
        <f t="shared" si="0"/>
        <v/>
      </c>
      <c r="CB30" s="418" t="str">
        <f t="shared" si="11"/>
        <v/>
      </c>
      <c r="CC30" s="418" t="str">
        <f t="shared" si="1"/>
        <v/>
      </c>
      <c r="CD30" s="418" t="str">
        <f t="shared" si="2"/>
        <v/>
      </c>
      <c r="CE30" s="418" t="str">
        <f t="shared" si="12"/>
        <v/>
      </c>
      <c r="CF30" s="418" t="str">
        <f t="shared" si="3"/>
        <v/>
      </c>
      <c r="CG30" s="418" t="str">
        <f t="shared" si="4"/>
        <v/>
      </c>
      <c r="CH30" s="418" t="str">
        <f t="shared" si="5"/>
        <v/>
      </c>
      <c r="CK30" s="3366"/>
      <c r="CL30" s="419">
        <f t="shared" si="13"/>
        <v>0</v>
      </c>
      <c r="CM30" s="419">
        <f t="shared" si="6"/>
        <v>0</v>
      </c>
      <c r="CN30" s="419">
        <f t="shared" si="7"/>
        <v>0</v>
      </c>
      <c r="CO30" s="419">
        <f t="shared" si="14"/>
        <v>0</v>
      </c>
      <c r="CP30" s="419">
        <f t="shared" si="8"/>
        <v>0</v>
      </c>
      <c r="CQ30" s="3389">
        <f t="shared" si="15"/>
        <v>0</v>
      </c>
      <c r="CR30" s="3389">
        <f t="shared" si="9"/>
        <v>0</v>
      </c>
    </row>
    <row r="31" spans="1:96" s="1470" customFormat="1" ht="15" customHeight="1">
      <c r="A31" s="6855"/>
      <c r="B31" s="6128"/>
      <c r="C31" s="4449" t="s">
        <v>3313</v>
      </c>
      <c r="D31" s="1512">
        <f>SUM(I31+J31)</f>
        <v>0</v>
      </c>
      <c r="E31" s="1911"/>
      <c r="F31" s="1542"/>
      <c r="G31" s="1542"/>
      <c r="H31" s="1542"/>
      <c r="I31" s="1452"/>
      <c r="J31" s="1441"/>
      <c r="K31" s="2327"/>
      <c r="L31" s="2327"/>
      <c r="M31" s="3025"/>
      <c r="N31" s="3025"/>
      <c r="O31" s="3025"/>
      <c r="P31" s="3025"/>
      <c r="Q31" s="3025"/>
      <c r="R31" s="3025"/>
      <c r="S31" s="3025"/>
      <c r="T31" s="3025"/>
      <c r="U31" s="3025"/>
      <c r="V31" s="3025"/>
      <c r="W31" s="3025"/>
      <c r="X31" s="3025"/>
      <c r="Y31" s="1711"/>
      <c r="Z31" s="4538"/>
      <c r="AA31" s="4544"/>
      <c r="AB31" s="1445"/>
      <c r="AC31" s="1446"/>
      <c r="AD31" s="1446"/>
      <c r="AE31" s="1452"/>
      <c r="AF31" s="1440"/>
      <c r="AG31" s="1452"/>
      <c r="AH31" s="1446"/>
      <c r="AI31" s="1452"/>
      <c r="AJ31" t="str">
        <f t="shared" si="0"/>
        <v/>
      </c>
      <c r="CB31" s="418" t="str">
        <f t="shared" si="11"/>
        <v/>
      </c>
      <c r="CC31" s="418" t="str">
        <f t="shared" si="1"/>
        <v/>
      </c>
      <c r="CD31" s="418" t="str">
        <f t="shared" si="2"/>
        <v/>
      </c>
      <c r="CE31" s="418" t="str">
        <f t="shared" si="12"/>
        <v/>
      </c>
      <c r="CF31" s="418" t="str">
        <f t="shared" si="3"/>
        <v/>
      </c>
      <c r="CG31" s="418" t="str">
        <f t="shared" si="4"/>
        <v/>
      </c>
      <c r="CH31" s="418" t="str">
        <f t="shared" si="5"/>
        <v/>
      </c>
      <c r="CK31" s="3366"/>
      <c r="CL31" s="419">
        <f t="shared" si="13"/>
        <v>0</v>
      </c>
      <c r="CM31" s="419">
        <f t="shared" si="6"/>
        <v>0</v>
      </c>
      <c r="CN31" s="419">
        <f t="shared" si="7"/>
        <v>0</v>
      </c>
      <c r="CO31" s="419">
        <f t="shared" si="14"/>
        <v>0</v>
      </c>
      <c r="CP31" s="419">
        <f t="shared" si="8"/>
        <v>0</v>
      </c>
      <c r="CQ31" s="3389">
        <f t="shared" si="15"/>
        <v>0</v>
      </c>
      <c r="CR31" s="3389">
        <f t="shared" si="9"/>
        <v>0</v>
      </c>
    </row>
    <row r="32" spans="1:96" s="1470" customFormat="1" ht="15" customHeight="1">
      <c r="A32" s="6855"/>
      <c r="B32" s="6129"/>
      <c r="C32" s="3050" t="s">
        <v>619</v>
      </c>
      <c r="D32" s="1506">
        <f>SUM(E32:I32)</f>
        <v>0</v>
      </c>
      <c r="E32" s="1528"/>
      <c r="F32" s="1529"/>
      <c r="G32" s="1529"/>
      <c r="H32" s="1529"/>
      <c r="I32" s="1467"/>
      <c r="J32" s="3126"/>
      <c r="K32" s="2367"/>
      <c r="L32" s="2367"/>
      <c r="M32" s="3213"/>
      <c r="N32" s="3213"/>
      <c r="O32" s="3213"/>
      <c r="P32" s="3213"/>
      <c r="Q32" s="3213"/>
      <c r="R32" s="3213"/>
      <c r="S32" s="3213"/>
      <c r="T32" s="3213"/>
      <c r="U32" s="3213"/>
      <c r="V32" s="3213"/>
      <c r="W32" s="3213"/>
      <c r="X32" s="3213"/>
      <c r="Y32" s="1714"/>
      <c r="Z32" s="2367"/>
      <c r="AA32" s="2203"/>
      <c r="AB32" s="1460"/>
      <c r="AC32" s="1461"/>
      <c r="AD32" s="1461"/>
      <c r="AE32" s="1467"/>
      <c r="AF32" s="1455"/>
      <c r="AG32" s="1467"/>
      <c r="AH32" s="1461"/>
      <c r="AI32" s="1467"/>
      <c r="AJ32" t="str">
        <f t="shared" si="0"/>
        <v/>
      </c>
      <c r="CB32" s="418" t="str">
        <f t="shared" si="11"/>
        <v/>
      </c>
      <c r="CC32" s="418" t="str">
        <f t="shared" si="1"/>
        <v/>
      </c>
      <c r="CD32" s="418" t="str">
        <f t="shared" si="2"/>
        <v/>
      </c>
      <c r="CE32" s="418" t="str">
        <f t="shared" si="12"/>
        <v/>
      </c>
      <c r="CF32" s="418" t="str">
        <f t="shared" si="3"/>
        <v/>
      </c>
      <c r="CG32" s="418" t="str">
        <f t="shared" si="4"/>
        <v/>
      </c>
      <c r="CH32" s="418" t="str">
        <f t="shared" si="5"/>
        <v/>
      </c>
      <c r="CK32" s="3366"/>
      <c r="CL32" s="419">
        <f t="shared" si="13"/>
        <v>0</v>
      </c>
      <c r="CM32" s="419">
        <f t="shared" si="6"/>
        <v>0</v>
      </c>
      <c r="CN32" s="419">
        <f t="shared" si="7"/>
        <v>0</v>
      </c>
      <c r="CO32" s="419">
        <f t="shared" si="14"/>
        <v>0</v>
      </c>
      <c r="CP32" s="419">
        <f t="shared" si="8"/>
        <v>0</v>
      </c>
      <c r="CQ32" s="3389">
        <f t="shared" si="15"/>
        <v>0</v>
      </c>
      <c r="CR32" s="3389">
        <f t="shared" si="9"/>
        <v>0</v>
      </c>
    </row>
    <row r="33" spans="1:96" s="1470" customFormat="1" ht="15" customHeight="1">
      <c r="A33" s="6855"/>
      <c r="B33" s="7093" t="s">
        <v>3314</v>
      </c>
      <c r="C33" s="7094"/>
      <c r="D33" s="406">
        <f t="shared" ref="D33:D37" si="18">SUM(E33:X33)</f>
        <v>0</v>
      </c>
      <c r="E33" s="1475"/>
      <c r="F33" s="1535"/>
      <c r="G33" s="1535"/>
      <c r="H33" s="1535"/>
      <c r="I33" s="1539"/>
      <c r="J33" s="1585"/>
      <c r="K33" s="1535"/>
      <c r="L33" s="1535"/>
      <c r="M33" s="4063"/>
      <c r="N33" s="4063"/>
      <c r="O33" s="4063"/>
      <c r="P33" s="4063"/>
      <c r="Q33" s="4063"/>
      <c r="R33" s="4063"/>
      <c r="S33" s="4063"/>
      <c r="T33" s="4063"/>
      <c r="U33" s="4063"/>
      <c r="V33" s="4063"/>
      <c r="W33" s="4063"/>
      <c r="X33" s="4063"/>
      <c r="Y33" s="2048"/>
      <c r="Z33" s="1535"/>
      <c r="AA33" s="1476"/>
      <c r="AB33" s="1538"/>
      <c r="AC33" s="1478"/>
      <c r="AD33" s="1478"/>
      <c r="AE33" s="1539"/>
      <c r="AF33" s="1475"/>
      <c r="AG33" s="1539"/>
      <c r="AH33" s="1478"/>
      <c r="AI33" s="1539"/>
      <c r="AJ33" t="str">
        <f t="shared" si="0"/>
        <v/>
      </c>
      <c r="CB33" s="418" t="str">
        <f t="shared" si="11"/>
        <v/>
      </c>
      <c r="CC33" s="418" t="str">
        <f t="shared" si="1"/>
        <v/>
      </c>
      <c r="CD33" s="418" t="str">
        <f t="shared" si="2"/>
        <v/>
      </c>
      <c r="CE33" s="418" t="str">
        <f t="shared" si="12"/>
        <v/>
      </c>
      <c r="CF33" s="418" t="str">
        <f t="shared" si="3"/>
        <v/>
      </c>
      <c r="CG33" s="418" t="str">
        <f t="shared" si="4"/>
        <v/>
      </c>
      <c r="CH33" s="418" t="str">
        <f t="shared" si="5"/>
        <v/>
      </c>
      <c r="CK33" s="3366"/>
      <c r="CL33" s="419">
        <f t="shared" si="13"/>
        <v>0</v>
      </c>
      <c r="CM33" s="419">
        <f t="shared" si="6"/>
        <v>0</v>
      </c>
      <c r="CN33" s="419">
        <f t="shared" si="7"/>
        <v>0</v>
      </c>
      <c r="CO33" s="419">
        <f t="shared" si="14"/>
        <v>0</v>
      </c>
      <c r="CP33" s="419">
        <f t="shared" si="8"/>
        <v>0</v>
      </c>
      <c r="CQ33" s="3389">
        <f t="shared" si="15"/>
        <v>0</v>
      </c>
      <c r="CR33" s="3389">
        <f t="shared" si="9"/>
        <v>0</v>
      </c>
    </row>
    <row r="34" spans="1:96" s="1470" customFormat="1" ht="15" customHeight="1">
      <c r="A34" s="6855"/>
      <c r="B34" s="6129" t="s">
        <v>3315</v>
      </c>
      <c r="C34" s="407" t="s">
        <v>3316</v>
      </c>
      <c r="D34" s="1540">
        <f t="shared" si="18"/>
        <v>0</v>
      </c>
      <c r="E34" s="1480"/>
      <c r="F34" s="1541"/>
      <c r="G34" s="1541"/>
      <c r="H34" s="1541"/>
      <c r="I34" s="1545"/>
      <c r="J34" s="1796"/>
      <c r="K34" s="1541"/>
      <c r="L34" s="1541"/>
      <c r="M34" s="1959"/>
      <c r="N34" s="1959"/>
      <c r="O34" s="1959"/>
      <c r="P34" s="1959"/>
      <c r="Q34" s="1959"/>
      <c r="R34" s="1959"/>
      <c r="S34" s="1959"/>
      <c r="T34" s="1959"/>
      <c r="U34" s="1959"/>
      <c r="V34" s="1959"/>
      <c r="W34" s="1959"/>
      <c r="X34" s="1959"/>
      <c r="Y34" s="1754"/>
      <c r="Z34" s="1541"/>
      <c r="AA34" s="1481"/>
      <c r="AB34" s="1544"/>
      <c r="AC34" s="1483"/>
      <c r="AD34" s="1483"/>
      <c r="AE34" s="1545"/>
      <c r="AF34" s="1480"/>
      <c r="AG34" s="1545"/>
      <c r="AH34" s="1483"/>
      <c r="AI34" s="1545"/>
      <c r="AJ34" t="str">
        <f t="shared" si="0"/>
        <v/>
      </c>
      <c r="CB34" s="418" t="str">
        <f t="shared" si="11"/>
        <v/>
      </c>
      <c r="CC34" s="418" t="str">
        <f t="shared" si="1"/>
        <v/>
      </c>
      <c r="CD34" s="418" t="str">
        <f t="shared" si="2"/>
        <v/>
      </c>
      <c r="CE34" s="418" t="str">
        <f t="shared" si="12"/>
        <v/>
      </c>
      <c r="CF34" s="418" t="str">
        <f t="shared" si="3"/>
        <v/>
      </c>
      <c r="CG34" s="418" t="str">
        <f t="shared" si="4"/>
        <v/>
      </c>
      <c r="CH34" s="418" t="str">
        <f t="shared" si="5"/>
        <v/>
      </c>
      <c r="CK34" s="3366"/>
      <c r="CL34" s="419">
        <f t="shared" si="13"/>
        <v>0</v>
      </c>
      <c r="CM34" s="419">
        <f t="shared" si="6"/>
        <v>0</v>
      </c>
      <c r="CN34" s="419">
        <f t="shared" si="7"/>
        <v>0</v>
      </c>
      <c r="CO34" s="419">
        <f t="shared" si="14"/>
        <v>0</v>
      </c>
      <c r="CP34" s="419">
        <f t="shared" si="8"/>
        <v>0</v>
      </c>
      <c r="CQ34" s="3389">
        <f t="shared" si="15"/>
        <v>0</v>
      </c>
      <c r="CR34" s="3389">
        <f t="shared" si="9"/>
        <v>0</v>
      </c>
    </row>
    <row r="35" spans="1:96" s="1470" customFormat="1" ht="15" customHeight="1">
      <c r="A35" s="6855"/>
      <c r="B35" s="6205"/>
      <c r="C35" s="3390" t="s">
        <v>3317</v>
      </c>
      <c r="D35" s="1512">
        <f t="shared" si="18"/>
        <v>0</v>
      </c>
      <c r="E35" s="1440"/>
      <c r="F35" s="1442"/>
      <c r="G35" s="1442"/>
      <c r="H35" s="1442"/>
      <c r="I35" s="1452"/>
      <c r="J35" s="1441"/>
      <c r="K35" s="1442"/>
      <c r="L35" s="1442"/>
      <c r="M35" s="1443"/>
      <c r="N35" s="1443"/>
      <c r="O35" s="1443"/>
      <c r="P35" s="1443"/>
      <c r="Q35" s="1443"/>
      <c r="R35" s="1443"/>
      <c r="S35" s="1443"/>
      <c r="T35" s="1443"/>
      <c r="U35" s="1443"/>
      <c r="V35" s="1443"/>
      <c r="W35" s="1443"/>
      <c r="X35" s="1443"/>
      <c r="Y35" s="1709"/>
      <c r="Z35" s="1442"/>
      <c r="AA35" s="1444"/>
      <c r="AB35" s="1445"/>
      <c r="AC35" s="1446"/>
      <c r="AD35" s="1446"/>
      <c r="AE35" s="1452"/>
      <c r="AF35" s="1440"/>
      <c r="AG35" s="1452"/>
      <c r="AH35" s="1446"/>
      <c r="AI35" s="1452"/>
      <c r="AJ35" t="str">
        <f t="shared" si="0"/>
        <v/>
      </c>
      <c r="CB35" s="418" t="str">
        <f t="shared" si="11"/>
        <v/>
      </c>
      <c r="CC35" s="418" t="str">
        <f t="shared" si="1"/>
        <v/>
      </c>
      <c r="CD35" s="418" t="str">
        <f t="shared" si="2"/>
        <v/>
      </c>
      <c r="CE35" s="418" t="str">
        <f t="shared" si="12"/>
        <v/>
      </c>
      <c r="CF35" s="418" t="str">
        <f t="shared" si="3"/>
        <v/>
      </c>
      <c r="CG35" s="418" t="str">
        <f t="shared" si="4"/>
        <v/>
      </c>
      <c r="CH35" s="418" t="str">
        <f t="shared" si="5"/>
        <v/>
      </c>
      <c r="CK35" s="3366"/>
      <c r="CL35" s="419">
        <f t="shared" si="13"/>
        <v>0</v>
      </c>
      <c r="CM35" s="419">
        <f t="shared" si="6"/>
        <v>0</v>
      </c>
      <c r="CN35" s="419">
        <f t="shared" si="7"/>
        <v>0</v>
      </c>
      <c r="CO35" s="419">
        <f t="shared" si="14"/>
        <v>0</v>
      </c>
      <c r="CP35" s="419">
        <f t="shared" si="8"/>
        <v>0</v>
      </c>
      <c r="CQ35" s="3389">
        <f t="shared" si="15"/>
        <v>0</v>
      </c>
      <c r="CR35" s="3389">
        <f t="shared" si="9"/>
        <v>0</v>
      </c>
    </row>
    <row r="36" spans="1:96" s="1470" customFormat="1" ht="15" customHeight="1">
      <c r="A36" s="6855"/>
      <c r="B36" s="6467" t="s">
        <v>3318</v>
      </c>
      <c r="C36" s="6467"/>
      <c r="D36" s="1512">
        <f t="shared" si="18"/>
        <v>0</v>
      </c>
      <c r="E36" s="1440"/>
      <c r="F36" s="1442"/>
      <c r="G36" s="1442"/>
      <c r="H36" s="1442"/>
      <c r="I36" s="1452"/>
      <c r="J36" s="1441"/>
      <c r="K36" s="1442"/>
      <c r="L36" s="1442"/>
      <c r="M36" s="1443"/>
      <c r="N36" s="1443"/>
      <c r="O36" s="1443"/>
      <c r="P36" s="1443"/>
      <c r="Q36" s="1443"/>
      <c r="R36" s="1443"/>
      <c r="S36" s="1443"/>
      <c r="T36" s="1443"/>
      <c r="U36" s="1443"/>
      <c r="V36" s="1443"/>
      <c r="W36" s="1443"/>
      <c r="X36" s="1443"/>
      <c r="Y36" s="1709"/>
      <c r="Z36" s="1442"/>
      <c r="AA36" s="1444"/>
      <c r="AB36" s="1445"/>
      <c r="AC36" s="1446"/>
      <c r="AD36" s="1446"/>
      <c r="AE36" s="1452"/>
      <c r="AF36" s="1440"/>
      <c r="AG36" s="1452"/>
      <c r="AH36" s="1446"/>
      <c r="AI36" s="1452"/>
      <c r="AJ36" t="str">
        <f t="shared" si="0"/>
        <v/>
      </c>
      <c r="CB36" s="418" t="str">
        <f t="shared" si="11"/>
        <v/>
      </c>
      <c r="CC36" s="418" t="str">
        <f t="shared" si="1"/>
        <v/>
      </c>
      <c r="CD36" s="418" t="str">
        <f t="shared" si="2"/>
        <v/>
      </c>
      <c r="CE36" s="418" t="str">
        <f t="shared" si="12"/>
        <v/>
      </c>
      <c r="CF36" s="418" t="str">
        <f t="shared" si="3"/>
        <v/>
      </c>
      <c r="CG36" s="418" t="str">
        <f t="shared" si="4"/>
        <v/>
      </c>
      <c r="CH36" s="418" t="str">
        <f t="shared" si="5"/>
        <v/>
      </c>
      <c r="CK36" s="3366"/>
      <c r="CL36" s="419">
        <f t="shared" si="13"/>
        <v>0</v>
      </c>
      <c r="CM36" s="419">
        <f t="shared" si="6"/>
        <v>0</v>
      </c>
      <c r="CN36" s="419">
        <f t="shared" si="7"/>
        <v>0</v>
      </c>
      <c r="CO36" s="419">
        <f t="shared" si="14"/>
        <v>0</v>
      </c>
      <c r="CP36" s="419">
        <f t="shared" si="8"/>
        <v>0</v>
      </c>
      <c r="CQ36" s="3389">
        <f t="shared" si="15"/>
        <v>0</v>
      </c>
      <c r="CR36" s="3389">
        <f t="shared" si="9"/>
        <v>0</v>
      </c>
    </row>
    <row r="37" spans="1:96" s="1470" customFormat="1" ht="15" customHeight="1">
      <c r="A37" s="6855"/>
      <c r="B37" s="7119" t="s">
        <v>3319</v>
      </c>
      <c r="C37" s="7120"/>
      <c r="D37" s="1512">
        <f t="shared" si="18"/>
        <v>0</v>
      </c>
      <c r="E37" s="1440"/>
      <c r="F37" s="1442"/>
      <c r="G37" s="1442"/>
      <c r="H37" s="1442"/>
      <c r="I37" s="1452"/>
      <c r="J37" s="1441"/>
      <c r="K37" s="1442"/>
      <c r="L37" s="1442"/>
      <c r="M37" s="1443"/>
      <c r="N37" s="1443"/>
      <c r="O37" s="1443"/>
      <c r="P37" s="1443"/>
      <c r="Q37" s="1443"/>
      <c r="R37" s="1443"/>
      <c r="S37" s="1443"/>
      <c r="T37" s="1443"/>
      <c r="U37" s="1443"/>
      <c r="V37" s="1443"/>
      <c r="W37" s="1443"/>
      <c r="X37" s="1443"/>
      <c r="Y37" s="1709"/>
      <c r="Z37" s="1442"/>
      <c r="AA37" s="1444"/>
      <c r="AB37" s="1445"/>
      <c r="AC37" s="1446"/>
      <c r="AD37" s="1446"/>
      <c r="AE37" s="1452"/>
      <c r="AF37" s="1440"/>
      <c r="AG37" s="1452"/>
      <c r="AH37" s="1446"/>
      <c r="AI37" s="1452"/>
      <c r="AJ37" t="str">
        <f t="shared" si="0"/>
        <v/>
      </c>
      <c r="CB37" s="418" t="str">
        <f t="shared" si="11"/>
        <v/>
      </c>
      <c r="CC37" s="418" t="str">
        <f t="shared" si="1"/>
        <v/>
      </c>
      <c r="CD37" s="418" t="str">
        <f t="shared" si="2"/>
        <v/>
      </c>
      <c r="CE37" s="418" t="str">
        <f t="shared" si="12"/>
        <v/>
      </c>
      <c r="CF37" s="418" t="str">
        <f t="shared" si="3"/>
        <v/>
      </c>
      <c r="CG37" s="418" t="str">
        <f t="shared" si="4"/>
        <v/>
      </c>
      <c r="CH37" s="418" t="str">
        <f t="shared" si="5"/>
        <v/>
      </c>
      <c r="CK37" s="3366"/>
      <c r="CL37" s="419">
        <f t="shared" si="13"/>
        <v>0</v>
      </c>
      <c r="CM37" s="419">
        <f t="shared" si="6"/>
        <v>0</v>
      </c>
      <c r="CN37" s="419">
        <f t="shared" si="7"/>
        <v>0</v>
      </c>
      <c r="CO37" s="419">
        <f t="shared" si="14"/>
        <v>0</v>
      </c>
      <c r="CP37" s="419">
        <f t="shared" si="8"/>
        <v>0</v>
      </c>
      <c r="CQ37" s="3389">
        <f t="shared" si="15"/>
        <v>0</v>
      </c>
      <c r="CR37" s="3389">
        <f t="shared" si="9"/>
        <v>0</v>
      </c>
    </row>
    <row r="38" spans="1:96" s="1470" customFormat="1" ht="15" customHeight="1">
      <c r="A38" s="6855"/>
      <c r="B38" s="6181" t="s">
        <v>3320</v>
      </c>
      <c r="C38" s="6182"/>
      <c r="D38" s="1516">
        <f>SUM(J38:S38)</f>
        <v>0</v>
      </c>
      <c r="E38" s="1763"/>
      <c r="F38" s="2327"/>
      <c r="G38" s="2327"/>
      <c r="H38" s="2327"/>
      <c r="I38" s="1764"/>
      <c r="J38" s="1441"/>
      <c r="K38" s="1442"/>
      <c r="L38" s="1442"/>
      <c r="M38" s="1443"/>
      <c r="N38" s="1443"/>
      <c r="O38" s="1443"/>
      <c r="P38" s="1443"/>
      <c r="Q38" s="1443"/>
      <c r="R38" s="1443"/>
      <c r="S38" s="1443"/>
      <c r="T38" s="3025"/>
      <c r="U38" s="3025"/>
      <c r="V38" s="3025"/>
      <c r="W38" s="3025"/>
      <c r="X38" s="3025"/>
      <c r="Y38" s="1709"/>
      <c r="Z38" s="1442"/>
      <c r="AA38" s="1444"/>
      <c r="AB38" s="1445"/>
      <c r="AC38" s="1446"/>
      <c r="AD38" s="1446"/>
      <c r="AE38" s="1452"/>
      <c r="AF38" s="1440"/>
      <c r="AG38" s="1452"/>
      <c r="AH38" s="1446"/>
      <c r="AI38" s="1452"/>
      <c r="AJ38" t="str">
        <f t="shared" si="0"/>
        <v/>
      </c>
      <c r="CB38" s="418" t="str">
        <f t="shared" si="11"/>
        <v/>
      </c>
      <c r="CC38" s="418" t="str">
        <f t="shared" si="1"/>
        <v/>
      </c>
      <c r="CD38" s="418" t="str">
        <f t="shared" si="2"/>
        <v/>
      </c>
      <c r="CE38" s="418" t="str">
        <f t="shared" si="12"/>
        <v/>
      </c>
      <c r="CF38" s="418" t="str">
        <f t="shared" si="3"/>
        <v/>
      </c>
      <c r="CG38" s="418" t="str">
        <f t="shared" si="4"/>
        <v/>
      </c>
      <c r="CH38" s="418" t="str">
        <f t="shared" si="5"/>
        <v/>
      </c>
      <c r="CK38" s="3366"/>
      <c r="CL38" s="419">
        <f t="shared" si="13"/>
        <v>0</v>
      </c>
      <c r="CM38" s="419">
        <f t="shared" si="6"/>
        <v>0</v>
      </c>
      <c r="CN38" s="419">
        <f t="shared" si="7"/>
        <v>0</v>
      </c>
      <c r="CO38" s="419">
        <f t="shared" si="14"/>
        <v>0</v>
      </c>
      <c r="CP38" s="419">
        <f t="shared" si="8"/>
        <v>0</v>
      </c>
      <c r="CQ38" s="3389">
        <f t="shared" si="15"/>
        <v>0</v>
      </c>
      <c r="CR38" s="3389">
        <f t="shared" si="9"/>
        <v>0</v>
      </c>
    </row>
    <row r="39" spans="1:96" s="1470" customFormat="1" ht="15" customHeight="1">
      <c r="A39" s="6855"/>
      <c r="B39" s="7095" t="s">
        <v>3321</v>
      </c>
      <c r="C39" s="7096"/>
      <c r="D39" s="1729">
        <f>SUM(E39:X39)</f>
        <v>0</v>
      </c>
      <c r="E39" s="1485"/>
      <c r="F39" s="1712"/>
      <c r="G39" s="1712"/>
      <c r="H39" s="1712"/>
      <c r="I39" s="1692"/>
      <c r="J39" s="1826"/>
      <c r="K39" s="1712"/>
      <c r="L39" s="1712"/>
      <c r="M39" s="2352"/>
      <c r="N39" s="2352"/>
      <c r="O39" s="2352"/>
      <c r="P39" s="2352"/>
      <c r="Q39" s="2352"/>
      <c r="R39" s="2352"/>
      <c r="S39" s="2352"/>
      <c r="T39" s="2352"/>
      <c r="U39" s="2352"/>
      <c r="V39" s="2352"/>
      <c r="W39" s="2352"/>
      <c r="X39" s="2352"/>
      <c r="Y39" s="1711"/>
      <c r="Z39" s="1712"/>
      <c r="AA39" s="1486"/>
      <c r="AB39" s="1693"/>
      <c r="AC39" s="1488"/>
      <c r="AD39" s="1488"/>
      <c r="AE39" s="1692"/>
      <c r="AF39" s="1485"/>
      <c r="AG39" s="1692"/>
      <c r="AH39" s="1488"/>
      <c r="AI39" s="1692"/>
      <c r="AJ39" t="str">
        <f t="shared" si="0"/>
        <v/>
      </c>
      <c r="CB39" s="418" t="str">
        <f t="shared" si="11"/>
        <v/>
      </c>
      <c r="CC39" s="418" t="str">
        <f t="shared" si="1"/>
        <v/>
      </c>
      <c r="CD39" s="418" t="str">
        <f t="shared" si="2"/>
        <v/>
      </c>
      <c r="CE39" s="418" t="str">
        <f t="shared" si="12"/>
        <v/>
      </c>
      <c r="CF39" s="418" t="str">
        <f t="shared" si="3"/>
        <v/>
      </c>
      <c r="CG39" s="418" t="str">
        <f t="shared" si="4"/>
        <v/>
      </c>
      <c r="CH39" s="418" t="str">
        <f t="shared" si="5"/>
        <v/>
      </c>
      <c r="CK39" s="3366"/>
      <c r="CL39" s="419">
        <f t="shared" si="13"/>
        <v>0</v>
      </c>
      <c r="CM39" s="419">
        <f t="shared" si="6"/>
        <v>0</v>
      </c>
      <c r="CN39" s="419">
        <f t="shared" si="7"/>
        <v>0</v>
      </c>
      <c r="CO39" s="419">
        <f t="shared" si="14"/>
        <v>0</v>
      </c>
      <c r="CP39" s="419">
        <f t="shared" si="8"/>
        <v>0</v>
      </c>
      <c r="CQ39" s="3389">
        <f t="shared" si="15"/>
        <v>0</v>
      </c>
      <c r="CR39" s="3389">
        <f t="shared" si="9"/>
        <v>0</v>
      </c>
    </row>
    <row r="40" spans="1:96" s="1470" customFormat="1" ht="15" customHeight="1">
      <c r="A40" s="6855"/>
      <c r="B40" s="6127" t="s">
        <v>3322</v>
      </c>
      <c r="C40" s="4546" t="s">
        <v>3323</v>
      </c>
      <c r="D40" s="1422">
        <f t="shared" ref="D40:D44" si="19">SUM(U40:X40)</f>
        <v>0</v>
      </c>
      <c r="E40" s="2197"/>
      <c r="F40" s="3182"/>
      <c r="G40" s="3182"/>
      <c r="H40" s="3182"/>
      <c r="I40" s="2198"/>
      <c r="J40" s="3181"/>
      <c r="K40" s="3182"/>
      <c r="L40" s="3182"/>
      <c r="M40" s="3182"/>
      <c r="N40" s="3182"/>
      <c r="O40" s="3182"/>
      <c r="P40" s="3182"/>
      <c r="Q40" s="3182"/>
      <c r="R40" s="3182"/>
      <c r="S40" s="3182"/>
      <c r="T40" s="3182"/>
      <c r="U40" s="1427"/>
      <c r="V40" s="1427"/>
      <c r="W40" s="1427"/>
      <c r="X40" s="1427"/>
      <c r="Y40" s="1707"/>
      <c r="Z40" s="3182"/>
      <c r="AA40" s="2201"/>
      <c r="AB40" s="1445"/>
      <c r="AC40" s="1446"/>
      <c r="AD40" s="1446"/>
      <c r="AE40" s="1452"/>
      <c r="AF40" s="1440"/>
      <c r="AG40" s="1452"/>
      <c r="AH40" s="1446"/>
      <c r="AI40" s="1452"/>
      <c r="AJ40" t="str">
        <f t="shared" si="0"/>
        <v/>
      </c>
      <c r="CB40" s="418" t="str">
        <f t="shared" si="11"/>
        <v/>
      </c>
      <c r="CC40" s="418" t="str">
        <f t="shared" si="1"/>
        <v/>
      </c>
      <c r="CD40" s="418" t="str">
        <f t="shared" si="2"/>
        <v/>
      </c>
      <c r="CE40" s="418" t="str">
        <f t="shared" si="12"/>
        <v/>
      </c>
      <c r="CF40" s="418" t="str">
        <f t="shared" si="3"/>
        <v/>
      </c>
      <c r="CG40" s="418" t="str">
        <f t="shared" si="4"/>
        <v/>
      </c>
      <c r="CH40" s="418" t="str">
        <f t="shared" si="5"/>
        <v/>
      </c>
      <c r="CK40" s="3366"/>
      <c r="CL40" s="419">
        <f t="shared" si="13"/>
        <v>0</v>
      </c>
      <c r="CM40" s="419">
        <f t="shared" si="6"/>
        <v>0</v>
      </c>
      <c r="CN40" s="419">
        <f t="shared" si="7"/>
        <v>0</v>
      </c>
      <c r="CO40" s="419">
        <f t="shared" si="14"/>
        <v>0</v>
      </c>
      <c r="CP40" s="419">
        <f t="shared" si="8"/>
        <v>0</v>
      </c>
      <c r="CQ40" s="3389">
        <f t="shared" si="15"/>
        <v>0</v>
      </c>
      <c r="CR40" s="3389">
        <f t="shared" si="9"/>
        <v>0</v>
      </c>
    </row>
    <row r="41" spans="1:96" s="1470" customFormat="1" ht="15" customHeight="1">
      <c r="A41" s="6855"/>
      <c r="B41" s="6128"/>
      <c r="C41" s="4547" t="s">
        <v>3324</v>
      </c>
      <c r="D41" s="1512">
        <f t="shared" si="19"/>
        <v>0</v>
      </c>
      <c r="E41" s="1763"/>
      <c r="F41" s="2327"/>
      <c r="G41" s="2327"/>
      <c r="H41" s="2327"/>
      <c r="I41" s="1764"/>
      <c r="J41" s="1833"/>
      <c r="K41" s="2327"/>
      <c r="L41" s="2327"/>
      <c r="M41" s="2327"/>
      <c r="N41" s="2327"/>
      <c r="O41" s="2327"/>
      <c r="P41" s="2327"/>
      <c r="Q41" s="2327"/>
      <c r="R41" s="2327"/>
      <c r="S41" s="2327"/>
      <c r="T41" s="2327"/>
      <c r="U41" s="1443"/>
      <c r="V41" s="1443"/>
      <c r="W41" s="1443"/>
      <c r="X41" s="1443"/>
      <c r="Y41" s="1709"/>
      <c r="Z41" s="2327"/>
      <c r="AA41" s="2206"/>
      <c r="AB41" s="1445"/>
      <c r="AC41" s="1446"/>
      <c r="AD41" s="1446"/>
      <c r="AE41" s="1452"/>
      <c r="AF41" s="1440"/>
      <c r="AG41" s="1452"/>
      <c r="AH41" s="1446"/>
      <c r="AI41" s="1452"/>
      <c r="AJ41" t="str">
        <f t="shared" si="0"/>
        <v/>
      </c>
      <c r="CB41" s="418" t="str">
        <f t="shared" si="11"/>
        <v/>
      </c>
      <c r="CC41" s="418" t="str">
        <f t="shared" si="1"/>
        <v/>
      </c>
      <c r="CD41" s="418" t="str">
        <f t="shared" si="2"/>
        <v/>
      </c>
      <c r="CE41" s="418" t="str">
        <f t="shared" si="12"/>
        <v/>
      </c>
      <c r="CF41" s="418" t="str">
        <f t="shared" si="3"/>
        <v/>
      </c>
      <c r="CG41" s="418" t="str">
        <f t="shared" si="4"/>
        <v/>
      </c>
      <c r="CH41" s="418" t="str">
        <f t="shared" si="5"/>
        <v/>
      </c>
      <c r="CK41" s="3366"/>
      <c r="CL41" s="419">
        <f t="shared" si="13"/>
        <v>0</v>
      </c>
      <c r="CM41" s="419">
        <f t="shared" si="6"/>
        <v>0</v>
      </c>
      <c r="CN41" s="419">
        <f t="shared" si="7"/>
        <v>0</v>
      </c>
      <c r="CO41" s="419">
        <f t="shared" si="14"/>
        <v>0</v>
      </c>
      <c r="CP41" s="419">
        <f t="shared" si="8"/>
        <v>0</v>
      </c>
      <c r="CQ41" s="3389">
        <f t="shared" si="15"/>
        <v>0</v>
      </c>
      <c r="CR41" s="3389">
        <f t="shared" si="9"/>
        <v>0</v>
      </c>
    </row>
    <row r="42" spans="1:96" s="1470" customFormat="1" ht="15" customHeight="1">
      <c r="A42" s="6855"/>
      <c r="B42" s="6128"/>
      <c r="C42" s="1484" t="s">
        <v>3325</v>
      </c>
      <c r="D42" s="1512">
        <f t="shared" si="19"/>
        <v>0</v>
      </c>
      <c r="E42" s="1763"/>
      <c r="F42" s="2327"/>
      <c r="G42" s="2327"/>
      <c r="H42" s="2327"/>
      <c r="I42" s="1764"/>
      <c r="J42" s="1833"/>
      <c r="K42" s="2327"/>
      <c r="L42" s="2327"/>
      <c r="M42" s="2327"/>
      <c r="N42" s="2327"/>
      <c r="O42" s="2327"/>
      <c r="P42" s="2327"/>
      <c r="Q42" s="2327"/>
      <c r="R42" s="2327"/>
      <c r="S42" s="2327"/>
      <c r="T42" s="2327"/>
      <c r="U42" s="1443"/>
      <c r="V42" s="1443"/>
      <c r="W42" s="1443"/>
      <c r="X42" s="1443"/>
      <c r="Y42" s="1709"/>
      <c r="Z42" s="2327"/>
      <c r="AA42" s="2206"/>
      <c r="AB42" s="1445"/>
      <c r="AC42" s="1446"/>
      <c r="AD42" s="1446"/>
      <c r="AE42" s="1452"/>
      <c r="AF42" s="1440"/>
      <c r="AG42" s="1452"/>
      <c r="AH42" s="1446"/>
      <c r="AI42" s="1452"/>
      <c r="AJ42" t="str">
        <f t="shared" si="0"/>
        <v/>
      </c>
      <c r="CB42" s="418" t="str">
        <f t="shared" si="11"/>
        <v/>
      </c>
      <c r="CC42" s="418" t="str">
        <f t="shared" si="1"/>
        <v/>
      </c>
      <c r="CD42" s="418" t="str">
        <f t="shared" si="2"/>
        <v/>
      </c>
      <c r="CE42" s="418" t="str">
        <f t="shared" si="12"/>
        <v/>
      </c>
      <c r="CF42" s="418" t="str">
        <f t="shared" si="3"/>
        <v/>
      </c>
      <c r="CG42" s="418" t="str">
        <f t="shared" si="4"/>
        <v/>
      </c>
      <c r="CH42" s="418" t="str">
        <f t="shared" si="5"/>
        <v/>
      </c>
      <c r="CK42" s="3366"/>
      <c r="CL42" s="419">
        <f t="shared" si="13"/>
        <v>0</v>
      </c>
      <c r="CM42" s="419">
        <f t="shared" si="6"/>
        <v>0</v>
      </c>
      <c r="CN42" s="419">
        <f t="shared" si="7"/>
        <v>0</v>
      </c>
      <c r="CO42" s="419">
        <f t="shared" si="14"/>
        <v>0</v>
      </c>
      <c r="CP42" s="419">
        <f t="shared" si="8"/>
        <v>0</v>
      </c>
      <c r="CQ42" s="3389">
        <f t="shared" si="15"/>
        <v>0</v>
      </c>
      <c r="CR42" s="3389">
        <f t="shared" si="9"/>
        <v>0</v>
      </c>
    </row>
    <row r="43" spans="1:96" s="1470" customFormat="1" ht="15" customHeight="1">
      <c r="A43" s="6855"/>
      <c r="B43" s="6128"/>
      <c r="C43" s="4548" t="s">
        <v>3326</v>
      </c>
      <c r="D43" s="1512">
        <f t="shared" si="19"/>
        <v>0</v>
      </c>
      <c r="E43" s="1763"/>
      <c r="F43" s="2327"/>
      <c r="G43" s="2327"/>
      <c r="H43" s="2327"/>
      <c r="I43" s="1764"/>
      <c r="J43" s="1833"/>
      <c r="K43" s="2327"/>
      <c r="L43" s="2327"/>
      <c r="M43" s="3025"/>
      <c r="N43" s="3025"/>
      <c r="O43" s="3025"/>
      <c r="P43" s="3025"/>
      <c r="Q43" s="3025"/>
      <c r="R43" s="3025"/>
      <c r="S43" s="3025"/>
      <c r="T43" s="3025"/>
      <c r="U43" s="1443"/>
      <c r="V43" s="1443"/>
      <c r="W43" s="1443"/>
      <c r="X43" s="1443"/>
      <c r="Y43" s="1709"/>
      <c r="Z43" s="2327"/>
      <c r="AA43" s="2206"/>
      <c r="AB43" s="1445"/>
      <c r="AC43" s="1446"/>
      <c r="AD43" s="1446"/>
      <c r="AE43" s="1452"/>
      <c r="AF43" s="1440"/>
      <c r="AG43" s="1452"/>
      <c r="AH43" s="1446"/>
      <c r="AI43" s="1452"/>
      <c r="AJ43" t="str">
        <f t="shared" si="0"/>
        <v/>
      </c>
      <c r="CB43" s="418" t="str">
        <f t="shared" si="11"/>
        <v/>
      </c>
      <c r="CC43" s="418" t="str">
        <f t="shared" si="1"/>
        <v/>
      </c>
      <c r="CD43" s="418" t="str">
        <f t="shared" si="2"/>
        <v/>
      </c>
      <c r="CE43" s="418" t="str">
        <f t="shared" si="12"/>
        <v/>
      </c>
      <c r="CF43" s="418" t="str">
        <f t="shared" si="3"/>
        <v/>
      </c>
      <c r="CG43" s="418" t="str">
        <f t="shared" si="4"/>
        <v/>
      </c>
      <c r="CH43" s="418" t="str">
        <f t="shared" si="5"/>
        <v/>
      </c>
      <c r="CK43" s="3366"/>
      <c r="CL43" s="419">
        <f t="shared" si="13"/>
        <v>0</v>
      </c>
      <c r="CM43" s="419">
        <f t="shared" si="6"/>
        <v>0</v>
      </c>
      <c r="CN43" s="419">
        <f t="shared" si="7"/>
        <v>0</v>
      </c>
      <c r="CO43" s="419">
        <f t="shared" si="14"/>
        <v>0</v>
      </c>
      <c r="CP43" s="419">
        <f t="shared" si="8"/>
        <v>0</v>
      </c>
      <c r="CQ43" s="3389">
        <f t="shared" si="15"/>
        <v>0</v>
      </c>
      <c r="CR43" s="3389">
        <f t="shared" si="9"/>
        <v>0</v>
      </c>
    </row>
    <row r="44" spans="1:96" s="1470" customFormat="1" ht="15" customHeight="1">
      <c r="A44" s="6855"/>
      <c r="B44" s="7097"/>
      <c r="C44" s="4549" t="s">
        <v>3327</v>
      </c>
      <c r="D44" s="1729">
        <f t="shared" si="19"/>
        <v>0</v>
      </c>
      <c r="E44" s="1942"/>
      <c r="F44" s="1828"/>
      <c r="G44" s="1828"/>
      <c r="H44" s="1828"/>
      <c r="I44" s="4550"/>
      <c r="J44" s="1941"/>
      <c r="K44" s="1828"/>
      <c r="L44" s="1828"/>
      <c r="M44" s="4539"/>
      <c r="N44" s="4539"/>
      <c r="O44" s="4539"/>
      <c r="P44" s="4539"/>
      <c r="Q44" s="4539"/>
      <c r="R44" s="4539"/>
      <c r="S44" s="4539"/>
      <c r="T44" s="4539"/>
      <c r="U44" s="2355"/>
      <c r="V44" s="2355"/>
      <c r="W44" s="2355"/>
      <c r="X44" s="2355"/>
      <c r="Y44" s="1907"/>
      <c r="Z44" s="1828"/>
      <c r="AA44" s="4543"/>
      <c r="AB44" s="1521"/>
      <c r="AC44" s="1522"/>
      <c r="AD44" s="1522"/>
      <c r="AE44" s="1523"/>
      <c r="AF44" s="1517"/>
      <c r="AG44" s="1523"/>
      <c r="AH44" s="1522"/>
      <c r="AI44" s="1523"/>
      <c r="AJ44" t="str">
        <f t="shared" si="0"/>
        <v/>
      </c>
      <c r="CB44" s="418" t="str">
        <f t="shared" si="11"/>
        <v/>
      </c>
      <c r="CC44" s="418" t="str">
        <f t="shared" si="1"/>
        <v/>
      </c>
      <c r="CD44" s="418" t="str">
        <f t="shared" si="2"/>
        <v/>
      </c>
      <c r="CE44" s="418" t="str">
        <f t="shared" si="12"/>
        <v/>
      </c>
      <c r="CF44" s="418" t="str">
        <f t="shared" si="3"/>
        <v/>
      </c>
      <c r="CG44" s="418" t="str">
        <f t="shared" si="4"/>
        <v/>
      </c>
      <c r="CH44" s="418" t="str">
        <f t="shared" si="5"/>
        <v/>
      </c>
      <c r="CK44" s="3366"/>
      <c r="CL44" s="419">
        <f t="shared" si="13"/>
        <v>0</v>
      </c>
      <c r="CM44" s="419">
        <f t="shared" si="6"/>
        <v>0</v>
      </c>
      <c r="CN44" s="419">
        <f t="shared" si="7"/>
        <v>0</v>
      </c>
      <c r="CO44" s="419">
        <f t="shared" si="14"/>
        <v>0</v>
      </c>
      <c r="CP44" s="419">
        <f t="shared" si="8"/>
        <v>0</v>
      </c>
      <c r="CQ44" s="3389">
        <f t="shared" si="15"/>
        <v>0</v>
      </c>
      <c r="CR44" s="3389">
        <f t="shared" si="9"/>
        <v>0</v>
      </c>
    </row>
    <row r="45" spans="1:96" s="1470" customFormat="1" ht="15" customHeight="1">
      <c r="A45" s="6855"/>
      <c r="B45" s="7147" t="s">
        <v>3328</v>
      </c>
      <c r="C45" s="7102"/>
      <c r="D45" s="1422">
        <f t="shared" ref="D45:D46" si="20">SUM(E45:X45)</f>
        <v>0</v>
      </c>
      <c r="E45" s="1424"/>
      <c r="F45" s="1426"/>
      <c r="G45" s="1426"/>
      <c r="H45" s="1426"/>
      <c r="I45" s="1436"/>
      <c r="J45" s="1425"/>
      <c r="K45" s="1426"/>
      <c r="L45" s="1426"/>
      <c r="M45" s="1427"/>
      <c r="N45" s="1427"/>
      <c r="O45" s="1427"/>
      <c r="P45" s="1427"/>
      <c r="Q45" s="1427"/>
      <c r="R45" s="1427"/>
      <c r="S45" s="1427"/>
      <c r="T45" s="1427"/>
      <c r="U45" s="1427"/>
      <c r="V45" s="1427"/>
      <c r="W45" s="1427"/>
      <c r="X45" s="1427"/>
      <c r="Y45" s="1707"/>
      <c r="Z45" s="3182"/>
      <c r="AA45" s="2201"/>
      <c r="AB45" s="1429"/>
      <c r="AC45" s="1430"/>
      <c r="AD45" s="1430"/>
      <c r="AE45" s="1436"/>
      <c r="AF45" s="1424"/>
      <c r="AG45" s="1436"/>
      <c r="AH45" s="1430"/>
      <c r="AI45" s="1436"/>
      <c r="AJ45" t="str">
        <f t="shared" si="0"/>
        <v/>
      </c>
      <c r="CB45" s="418" t="str">
        <f t="shared" si="11"/>
        <v/>
      </c>
      <c r="CC45" s="418" t="str">
        <f t="shared" si="1"/>
        <v/>
      </c>
      <c r="CD45" s="418" t="str">
        <f t="shared" si="2"/>
        <v/>
      </c>
      <c r="CE45" s="418" t="str">
        <f t="shared" si="12"/>
        <v/>
      </c>
      <c r="CF45" s="418" t="str">
        <f t="shared" si="3"/>
        <v/>
      </c>
      <c r="CG45" s="418" t="str">
        <f t="shared" si="4"/>
        <v/>
      </c>
      <c r="CH45" s="418" t="str">
        <f t="shared" si="5"/>
        <v/>
      </c>
      <c r="CK45" s="3366"/>
      <c r="CL45" s="419">
        <f t="shared" si="13"/>
        <v>0</v>
      </c>
      <c r="CM45" s="419">
        <f t="shared" si="6"/>
        <v>0</v>
      </c>
      <c r="CN45" s="419">
        <f t="shared" si="7"/>
        <v>0</v>
      </c>
      <c r="CO45" s="419">
        <f t="shared" si="14"/>
        <v>0</v>
      </c>
      <c r="CP45" s="419">
        <f t="shared" si="8"/>
        <v>0</v>
      </c>
      <c r="CQ45" s="3389">
        <f t="shared" si="15"/>
        <v>0</v>
      </c>
      <c r="CR45" s="3389">
        <f t="shared" si="9"/>
        <v>0</v>
      </c>
    </row>
    <row r="46" spans="1:96" s="1470" customFormat="1" ht="15" customHeight="1">
      <c r="A46" s="6855"/>
      <c r="B46" s="7103" t="s">
        <v>3329</v>
      </c>
      <c r="C46" s="7104"/>
      <c r="D46" s="1527">
        <f t="shared" si="20"/>
        <v>0</v>
      </c>
      <c r="E46" s="1528"/>
      <c r="F46" s="1529"/>
      <c r="G46" s="1529"/>
      <c r="H46" s="1529"/>
      <c r="I46" s="1534"/>
      <c r="J46" s="1552"/>
      <c r="K46" s="1529"/>
      <c r="L46" s="1529"/>
      <c r="M46" s="1986"/>
      <c r="N46" s="1986"/>
      <c r="O46" s="1986"/>
      <c r="P46" s="1986"/>
      <c r="Q46" s="1986"/>
      <c r="R46" s="1986"/>
      <c r="S46" s="1986"/>
      <c r="T46" s="1986"/>
      <c r="U46" s="1986"/>
      <c r="V46" s="1986"/>
      <c r="W46" s="1986"/>
      <c r="X46" s="1986"/>
      <c r="Y46" s="1722"/>
      <c r="Z46" s="4541"/>
      <c r="AA46" s="2203"/>
      <c r="AB46" s="1460"/>
      <c r="AC46" s="1461"/>
      <c r="AD46" s="1461"/>
      <c r="AE46" s="1467"/>
      <c r="AF46" s="1455"/>
      <c r="AG46" s="1467"/>
      <c r="AH46" s="1461"/>
      <c r="AI46" s="1467"/>
      <c r="AJ46" t="str">
        <f t="shared" si="0"/>
        <v/>
      </c>
      <c r="CB46" s="418" t="str">
        <f t="shared" si="11"/>
        <v/>
      </c>
      <c r="CC46" s="418" t="str">
        <f t="shared" si="1"/>
        <v/>
      </c>
      <c r="CD46" s="418" t="str">
        <f t="shared" si="2"/>
        <v/>
      </c>
      <c r="CE46" s="418" t="str">
        <f t="shared" si="12"/>
        <v/>
      </c>
      <c r="CF46" s="418" t="str">
        <f t="shared" si="3"/>
        <v/>
      </c>
      <c r="CG46" s="418" t="str">
        <f t="shared" si="4"/>
        <v/>
      </c>
      <c r="CH46" s="418" t="str">
        <f t="shared" si="5"/>
        <v/>
      </c>
      <c r="CL46" s="419">
        <f t="shared" si="13"/>
        <v>0</v>
      </c>
      <c r="CM46" s="419">
        <f t="shared" si="6"/>
        <v>0</v>
      </c>
      <c r="CN46" s="419">
        <f t="shared" si="7"/>
        <v>0</v>
      </c>
      <c r="CO46" s="419">
        <f t="shared" si="14"/>
        <v>0</v>
      </c>
      <c r="CP46" s="419">
        <f t="shared" si="8"/>
        <v>0</v>
      </c>
      <c r="CQ46" s="3389">
        <f t="shared" si="15"/>
        <v>0</v>
      </c>
      <c r="CR46" s="3389">
        <f t="shared" si="9"/>
        <v>0</v>
      </c>
    </row>
    <row r="47" spans="1:96" s="1470" customFormat="1" ht="15" customHeight="1">
      <c r="A47" s="6855"/>
      <c r="B47" s="6621" t="s">
        <v>3330</v>
      </c>
      <c r="C47" s="4551" t="s">
        <v>3331</v>
      </c>
      <c r="D47" s="1512">
        <f t="shared" ref="D47:D50" si="21">SUM(K47:X47)</f>
        <v>0</v>
      </c>
      <c r="E47" s="2197"/>
      <c r="F47" s="3182"/>
      <c r="G47" s="3182"/>
      <c r="H47" s="3182"/>
      <c r="I47" s="2200"/>
      <c r="J47" s="3182"/>
      <c r="K47" s="1442"/>
      <c r="L47" s="1442"/>
      <c r="M47" s="1443"/>
      <c r="N47" s="1443"/>
      <c r="O47" s="1443"/>
      <c r="P47" s="1443"/>
      <c r="Q47" s="1443"/>
      <c r="R47" s="1443"/>
      <c r="S47" s="1443"/>
      <c r="T47" s="1443"/>
      <c r="U47" s="1443"/>
      <c r="V47" s="1443"/>
      <c r="W47" s="1443"/>
      <c r="X47" s="1443"/>
      <c r="Y47" s="1707"/>
      <c r="Z47" s="3182"/>
      <c r="AA47" s="2201"/>
      <c r="AB47" s="1429"/>
      <c r="AC47" s="1430"/>
      <c r="AD47" s="1430"/>
      <c r="AE47" s="1436"/>
      <c r="AF47" s="1424"/>
      <c r="AG47" s="1436"/>
      <c r="AH47" s="1430"/>
      <c r="AI47" s="1436"/>
      <c r="AJ47" t="str">
        <f t="shared" si="0"/>
        <v/>
      </c>
      <c r="CB47" s="418" t="str">
        <f t="shared" si="11"/>
        <v/>
      </c>
      <c r="CC47" s="418" t="str">
        <f t="shared" si="1"/>
        <v/>
      </c>
      <c r="CD47" s="418" t="str">
        <f t="shared" si="2"/>
        <v/>
      </c>
      <c r="CE47" s="418" t="str">
        <f t="shared" si="12"/>
        <v/>
      </c>
      <c r="CF47" s="418" t="str">
        <f t="shared" si="3"/>
        <v/>
      </c>
      <c r="CG47" s="418" t="str">
        <f t="shared" si="4"/>
        <v/>
      </c>
      <c r="CH47" s="418" t="str">
        <f t="shared" si="5"/>
        <v/>
      </c>
      <c r="CL47" s="419">
        <f t="shared" si="13"/>
        <v>0</v>
      </c>
      <c r="CM47" s="419">
        <f t="shared" si="6"/>
        <v>0</v>
      </c>
      <c r="CN47" s="419">
        <f t="shared" si="7"/>
        <v>0</v>
      </c>
      <c r="CO47" s="419">
        <f t="shared" si="14"/>
        <v>0</v>
      </c>
      <c r="CP47" s="419">
        <f t="shared" si="8"/>
        <v>0</v>
      </c>
      <c r="CQ47" s="3389">
        <f t="shared" si="15"/>
        <v>0</v>
      </c>
      <c r="CR47" s="3389">
        <f t="shared" si="9"/>
        <v>0</v>
      </c>
    </row>
    <row r="48" spans="1:96" s="1470" customFormat="1" ht="24" customHeight="1">
      <c r="A48" s="6855"/>
      <c r="B48" s="6623"/>
      <c r="C48" s="4552" t="s">
        <v>3332</v>
      </c>
      <c r="D48" s="1512">
        <f t="shared" si="21"/>
        <v>0</v>
      </c>
      <c r="E48" s="1763"/>
      <c r="F48" s="2327"/>
      <c r="G48" s="2327"/>
      <c r="H48" s="2327"/>
      <c r="I48" s="2205"/>
      <c r="J48" s="2327"/>
      <c r="K48" s="1442"/>
      <c r="L48" s="1442"/>
      <c r="M48" s="1443"/>
      <c r="N48" s="1443"/>
      <c r="O48" s="1443"/>
      <c r="P48" s="1443"/>
      <c r="Q48" s="1443"/>
      <c r="R48" s="1443"/>
      <c r="S48" s="2352"/>
      <c r="T48" s="1443"/>
      <c r="U48" s="1443"/>
      <c r="V48" s="1443"/>
      <c r="W48" s="1443"/>
      <c r="X48" s="1443"/>
      <c r="Y48" s="1709"/>
      <c r="Z48" s="2327"/>
      <c r="AA48" s="2206"/>
      <c r="AB48" s="1445"/>
      <c r="AC48" s="1446"/>
      <c r="AD48" s="1446"/>
      <c r="AE48" s="1452"/>
      <c r="AF48" s="1440"/>
      <c r="AG48" s="1452"/>
      <c r="AH48" s="1446"/>
      <c r="AI48" s="1452"/>
      <c r="AJ48" t="str">
        <f t="shared" si="0"/>
        <v/>
      </c>
      <c r="CB48" s="418" t="str">
        <f t="shared" si="11"/>
        <v/>
      </c>
      <c r="CC48" s="418" t="str">
        <f t="shared" si="1"/>
        <v/>
      </c>
      <c r="CD48" s="418" t="str">
        <f t="shared" si="2"/>
        <v/>
      </c>
      <c r="CE48" s="418" t="str">
        <f t="shared" si="12"/>
        <v/>
      </c>
      <c r="CF48" s="418" t="str">
        <f t="shared" si="3"/>
        <v/>
      </c>
      <c r="CG48" s="418" t="str">
        <f t="shared" si="4"/>
        <v/>
      </c>
      <c r="CH48" s="418" t="str">
        <f t="shared" si="5"/>
        <v/>
      </c>
      <c r="CL48" s="419">
        <f t="shared" si="13"/>
        <v>0</v>
      </c>
      <c r="CM48" s="419">
        <f t="shared" si="6"/>
        <v>0</v>
      </c>
      <c r="CN48" s="419">
        <f t="shared" si="7"/>
        <v>0</v>
      </c>
      <c r="CO48" s="419">
        <f t="shared" si="14"/>
        <v>0</v>
      </c>
      <c r="CP48" s="419">
        <f t="shared" si="8"/>
        <v>0</v>
      </c>
      <c r="CQ48" s="3389">
        <f t="shared" si="15"/>
        <v>0</v>
      </c>
      <c r="CR48" s="3389">
        <f t="shared" si="9"/>
        <v>0</v>
      </c>
    </row>
    <row r="49" spans="1:96" s="1470" customFormat="1" ht="30.75" customHeight="1">
      <c r="A49" s="6855"/>
      <c r="B49" s="6623"/>
      <c r="C49" s="4553" t="s">
        <v>3333</v>
      </c>
      <c r="D49" s="1512">
        <f t="shared" si="21"/>
        <v>0</v>
      </c>
      <c r="E49" s="1763"/>
      <c r="F49" s="2327"/>
      <c r="G49" s="2327"/>
      <c r="H49" s="2327"/>
      <c r="I49" s="2205"/>
      <c r="J49" s="2327"/>
      <c r="K49" s="1442"/>
      <c r="L49" s="1442"/>
      <c r="M49" s="1443"/>
      <c r="N49" s="1443"/>
      <c r="O49" s="1443"/>
      <c r="P49" s="1443"/>
      <c r="Q49" s="1443"/>
      <c r="R49" s="1443"/>
      <c r="S49" s="1443"/>
      <c r="T49" s="1443"/>
      <c r="U49" s="1443"/>
      <c r="V49" s="1443"/>
      <c r="W49" s="1443"/>
      <c r="X49" s="1444"/>
      <c r="Y49" s="1441"/>
      <c r="Z49" s="2327"/>
      <c r="AA49" s="2206"/>
      <c r="AB49" s="1445"/>
      <c r="AC49" s="1446"/>
      <c r="AD49" s="1446"/>
      <c r="AE49" s="1452"/>
      <c r="AF49" s="1440"/>
      <c r="AG49" s="1452"/>
      <c r="AH49" s="1446"/>
      <c r="AI49" s="1452"/>
      <c r="AJ49" t="str">
        <f t="shared" si="0"/>
        <v/>
      </c>
      <c r="CB49" s="418" t="str">
        <f t="shared" si="11"/>
        <v/>
      </c>
      <c r="CC49" s="418" t="str">
        <f t="shared" si="1"/>
        <v/>
      </c>
      <c r="CD49" s="418" t="str">
        <f t="shared" si="2"/>
        <v/>
      </c>
      <c r="CE49" s="418" t="str">
        <f t="shared" si="12"/>
        <v/>
      </c>
      <c r="CF49" s="418" t="str">
        <f t="shared" si="3"/>
        <v/>
      </c>
      <c r="CG49" s="418" t="str">
        <f t="shared" si="4"/>
        <v/>
      </c>
      <c r="CH49" s="418" t="str">
        <f t="shared" si="5"/>
        <v/>
      </c>
      <c r="CL49" s="419">
        <f t="shared" si="13"/>
        <v>0</v>
      </c>
      <c r="CM49" s="419">
        <f t="shared" si="6"/>
        <v>0</v>
      </c>
      <c r="CN49" s="419">
        <f t="shared" si="7"/>
        <v>0</v>
      </c>
      <c r="CO49" s="419">
        <f t="shared" si="14"/>
        <v>0</v>
      </c>
      <c r="CP49" s="419">
        <f t="shared" si="8"/>
        <v>0</v>
      </c>
      <c r="CQ49" s="3389">
        <f t="shared" si="15"/>
        <v>0</v>
      </c>
      <c r="CR49" s="3389">
        <f t="shared" si="9"/>
        <v>0</v>
      </c>
    </row>
    <row r="50" spans="1:96" s="1470" customFormat="1" ht="15" customHeight="1">
      <c r="A50" s="6855"/>
      <c r="B50" s="6623"/>
      <c r="C50" s="4554" t="s">
        <v>3334</v>
      </c>
      <c r="D50" s="1512">
        <f t="shared" si="21"/>
        <v>0</v>
      </c>
      <c r="E50" s="1765"/>
      <c r="F50" s="2367"/>
      <c r="G50" s="2367"/>
      <c r="H50" s="2367"/>
      <c r="I50" s="1766"/>
      <c r="J50" s="1765"/>
      <c r="K50" s="1457"/>
      <c r="L50" s="1457"/>
      <c r="M50" s="1458"/>
      <c r="N50" s="1458"/>
      <c r="O50" s="1458"/>
      <c r="P50" s="1458"/>
      <c r="Q50" s="1458"/>
      <c r="R50" s="1458"/>
      <c r="S50" s="1458"/>
      <c r="T50" s="1458"/>
      <c r="U50" s="1458"/>
      <c r="V50" s="1458"/>
      <c r="W50" s="1458"/>
      <c r="X50" s="1459"/>
      <c r="Y50" s="1722"/>
      <c r="Z50" s="2367"/>
      <c r="AA50" s="2203"/>
      <c r="AB50" s="1460"/>
      <c r="AC50" s="1461"/>
      <c r="AD50" s="1461"/>
      <c r="AE50" s="1467"/>
      <c r="AF50" s="1455"/>
      <c r="AG50" s="1467"/>
      <c r="AH50" s="1461"/>
      <c r="AI50" s="1467"/>
      <c r="AJ50" t="str">
        <f t="shared" si="0"/>
        <v/>
      </c>
      <c r="CB50" s="418" t="str">
        <f t="shared" si="11"/>
        <v/>
      </c>
      <c r="CC50" s="418" t="str">
        <f t="shared" si="1"/>
        <v/>
      </c>
      <c r="CD50" s="418" t="str">
        <f t="shared" si="2"/>
        <v/>
      </c>
      <c r="CE50" s="418" t="str">
        <f t="shared" si="12"/>
        <v/>
      </c>
      <c r="CF50" s="418" t="str">
        <f t="shared" si="3"/>
        <v/>
      </c>
      <c r="CG50" s="418" t="str">
        <f t="shared" si="4"/>
        <v/>
      </c>
      <c r="CH50" s="418" t="str">
        <f t="shared" si="5"/>
        <v/>
      </c>
      <c r="CL50" s="419">
        <f t="shared" si="13"/>
        <v>0</v>
      </c>
      <c r="CM50" s="419">
        <f t="shared" si="6"/>
        <v>0</v>
      </c>
      <c r="CN50" s="419">
        <f t="shared" si="7"/>
        <v>0</v>
      </c>
      <c r="CO50" s="419">
        <f t="shared" si="14"/>
        <v>0</v>
      </c>
      <c r="CP50" s="419">
        <f t="shared" si="8"/>
        <v>0</v>
      </c>
      <c r="CQ50" s="3389">
        <f t="shared" si="15"/>
        <v>0</v>
      </c>
      <c r="CR50" s="3389">
        <f t="shared" si="9"/>
        <v>0</v>
      </c>
    </row>
    <row r="51" spans="1:96" s="1470" customFormat="1" ht="15" customHeight="1">
      <c r="A51" s="6855"/>
      <c r="B51" s="6621" t="s">
        <v>3335</v>
      </c>
      <c r="C51" s="2392" t="s">
        <v>73</v>
      </c>
      <c r="D51" s="1422">
        <f t="shared" ref="D51:D53" si="22">SUM(E51:X51)</f>
        <v>0</v>
      </c>
      <c r="E51" s="1424"/>
      <c r="F51" s="1426"/>
      <c r="G51" s="1426"/>
      <c r="H51" s="1426"/>
      <c r="I51" s="1436"/>
      <c r="J51" s="1424"/>
      <c r="K51" s="1426"/>
      <c r="L51" s="1426"/>
      <c r="M51" s="1427"/>
      <c r="N51" s="1427"/>
      <c r="O51" s="1427"/>
      <c r="P51" s="1427"/>
      <c r="Q51" s="1427"/>
      <c r="R51" s="1427"/>
      <c r="S51" s="1427"/>
      <c r="T51" s="1427"/>
      <c r="U51" s="1427"/>
      <c r="V51" s="1427"/>
      <c r="W51" s="1427"/>
      <c r="X51" s="1428"/>
      <c r="Y51" s="1709"/>
      <c r="Z51" s="1442"/>
      <c r="AA51" s="1444"/>
      <c r="AB51" s="4555"/>
      <c r="AC51" s="1430"/>
      <c r="AD51" s="1430"/>
      <c r="AE51" s="1436"/>
      <c r="AF51" s="1424"/>
      <c r="AG51" s="1436"/>
      <c r="AH51" s="1430"/>
      <c r="AI51" s="1436"/>
      <c r="AJ51" t="str">
        <f t="shared" si="0"/>
        <v/>
      </c>
      <c r="CB51" s="3374"/>
      <c r="CC51" s="418" t="str">
        <f t="shared" si="1"/>
        <v/>
      </c>
      <c r="CD51" s="418" t="str">
        <f t="shared" si="2"/>
        <v/>
      </c>
      <c r="CE51" s="418" t="str">
        <f t="shared" si="12"/>
        <v/>
      </c>
      <c r="CF51" s="418" t="str">
        <f t="shared" si="3"/>
        <v/>
      </c>
      <c r="CG51" s="418" t="str">
        <f t="shared" si="4"/>
        <v/>
      </c>
      <c r="CH51" s="418" t="str">
        <f t="shared" si="5"/>
        <v/>
      </c>
      <c r="CL51" s="3380"/>
      <c r="CM51" s="419">
        <f t="shared" si="6"/>
        <v>0</v>
      </c>
      <c r="CN51" s="419">
        <f t="shared" si="7"/>
        <v>0</v>
      </c>
      <c r="CO51" s="419">
        <f t="shared" si="14"/>
        <v>0</v>
      </c>
      <c r="CP51" s="419">
        <f t="shared" si="8"/>
        <v>0</v>
      </c>
      <c r="CQ51" s="3389">
        <f t="shared" si="15"/>
        <v>0</v>
      </c>
      <c r="CR51" s="3389">
        <f t="shared" si="9"/>
        <v>0</v>
      </c>
    </row>
    <row r="52" spans="1:96" s="1470" customFormat="1" ht="15" customHeight="1">
      <c r="A52" s="6855"/>
      <c r="B52" s="6625"/>
      <c r="C52" s="444" t="s">
        <v>72</v>
      </c>
      <c r="D52" s="1527">
        <f t="shared" si="22"/>
        <v>0</v>
      </c>
      <c r="E52" s="1881"/>
      <c r="F52" s="1518"/>
      <c r="G52" s="1518"/>
      <c r="H52" s="1518"/>
      <c r="I52" s="1534"/>
      <c r="J52" s="1881"/>
      <c r="K52" s="1518"/>
      <c r="L52" s="1518"/>
      <c r="M52" s="2355"/>
      <c r="N52" s="2355"/>
      <c r="O52" s="2355"/>
      <c r="P52" s="2355"/>
      <c r="Q52" s="2355"/>
      <c r="R52" s="2355"/>
      <c r="S52" s="2355"/>
      <c r="T52" s="2355"/>
      <c r="U52" s="2355"/>
      <c r="V52" s="2355"/>
      <c r="W52" s="2355"/>
      <c r="X52" s="2355"/>
      <c r="Y52" s="1711"/>
      <c r="Z52" s="1712"/>
      <c r="AA52" s="1486"/>
      <c r="AB52" s="1877"/>
      <c r="AC52" s="1461"/>
      <c r="AD52" s="1533"/>
      <c r="AE52" s="1523"/>
      <c r="AF52" s="1517"/>
      <c r="AG52" s="1523"/>
      <c r="AH52" s="1522"/>
      <c r="AI52" s="1523"/>
      <c r="AJ52" t="str">
        <f t="shared" si="0"/>
        <v/>
      </c>
      <c r="CB52" s="3374"/>
      <c r="CC52" s="418" t="str">
        <f t="shared" si="1"/>
        <v/>
      </c>
      <c r="CD52" s="418" t="str">
        <f t="shared" si="2"/>
        <v/>
      </c>
      <c r="CE52" s="418" t="str">
        <f t="shared" si="12"/>
        <v/>
      </c>
      <c r="CF52" s="418" t="str">
        <f t="shared" si="3"/>
        <v/>
      </c>
      <c r="CG52" s="418" t="str">
        <f t="shared" si="4"/>
        <v/>
      </c>
      <c r="CH52" s="418" t="str">
        <f t="shared" si="5"/>
        <v/>
      </c>
      <c r="CL52" s="3380"/>
      <c r="CM52" s="419">
        <f t="shared" si="6"/>
        <v>0</v>
      </c>
      <c r="CN52" s="419">
        <f t="shared" si="7"/>
        <v>0</v>
      </c>
      <c r="CO52" s="419">
        <f t="shared" si="14"/>
        <v>0</v>
      </c>
      <c r="CP52" s="419">
        <f t="shared" si="8"/>
        <v>0</v>
      </c>
      <c r="CQ52" s="3389">
        <f t="shared" si="15"/>
        <v>0</v>
      </c>
      <c r="CR52" s="3389">
        <f t="shared" si="9"/>
        <v>0</v>
      </c>
    </row>
    <row r="53" spans="1:96" s="1470" customFormat="1" ht="15" customHeight="1">
      <c r="A53" s="6856"/>
      <c r="B53" s="6875" t="s">
        <v>91</v>
      </c>
      <c r="C53" s="6876"/>
      <c r="D53" s="406">
        <f t="shared" si="22"/>
        <v>0</v>
      </c>
      <c r="E53" s="401">
        <f>SUM(E11:E52)</f>
        <v>0</v>
      </c>
      <c r="F53" s="1501">
        <f t="shared" ref="F53:AI98" si="23">SUM(F11:F52)</f>
        <v>0</v>
      </c>
      <c r="G53" s="1501">
        <f t="shared" si="23"/>
        <v>0</v>
      </c>
      <c r="H53" s="1501">
        <f t="shared" si="23"/>
        <v>0</v>
      </c>
      <c r="I53" s="392">
        <f>SUM(I11:I52)</f>
        <v>0</v>
      </c>
      <c r="J53" s="402">
        <f t="shared" si="23"/>
        <v>0</v>
      </c>
      <c r="K53" s="1501">
        <f t="shared" si="23"/>
        <v>0</v>
      </c>
      <c r="L53" s="1501">
        <f t="shared" si="23"/>
        <v>0</v>
      </c>
      <c r="M53" s="4064">
        <f t="shared" si="23"/>
        <v>0</v>
      </c>
      <c r="N53" s="4064">
        <f t="shared" si="23"/>
        <v>0</v>
      </c>
      <c r="O53" s="4064">
        <f t="shared" si="23"/>
        <v>0</v>
      </c>
      <c r="P53" s="4064">
        <f t="shared" si="23"/>
        <v>0</v>
      </c>
      <c r="Q53" s="4064">
        <f t="shared" si="23"/>
        <v>0</v>
      </c>
      <c r="R53" s="4064">
        <f t="shared" si="23"/>
        <v>0</v>
      </c>
      <c r="S53" s="4064">
        <f t="shared" si="23"/>
        <v>0</v>
      </c>
      <c r="T53" s="4064">
        <f t="shared" si="23"/>
        <v>0</v>
      </c>
      <c r="U53" s="4064">
        <f t="shared" si="23"/>
        <v>0</v>
      </c>
      <c r="V53" s="4064">
        <f t="shared" si="23"/>
        <v>0</v>
      </c>
      <c r="W53" s="4064">
        <f t="shared" si="23"/>
        <v>0</v>
      </c>
      <c r="X53" s="4064">
        <f t="shared" si="23"/>
        <v>0</v>
      </c>
      <c r="Y53" s="2060">
        <f t="shared" si="23"/>
        <v>0</v>
      </c>
      <c r="Z53" s="1501">
        <f t="shared" si="23"/>
        <v>0</v>
      </c>
      <c r="AA53" s="440">
        <f t="shared" si="23"/>
        <v>0</v>
      </c>
      <c r="AB53" s="2060">
        <f t="shared" si="23"/>
        <v>0</v>
      </c>
      <c r="AC53" s="1720">
        <f>SUM(AC11:AC52)</f>
        <v>0</v>
      </c>
      <c r="AD53" s="1501">
        <f t="shared" si="23"/>
        <v>0</v>
      </c>
      <c r="AE53" s="403">
        <f t="shared" si="23"/>
        <v>0</v>
      </c>
      <c r="AF53" s="401">
        <f t="shared" si="23"/>
        <v>0</v>
      </c>
      <c r="AG53" s="392">
        <f>SUM(AG11:AG52)</f>
        <v>0</v>
      </c>
      <c r="AH53" s="406">
        <f>SUM(AH11:AH52)</f>
        <v>0</v>
      </c>
      <c r="AI53" s="392">
        <f t="shared" si="23"/>
        <v>0</v>
      </c>
    </row>
    <row r="54" spans="1:96" s="385" customFormat="1" ht="18" customHeight="1">
      <c r="A54" s="2288" t="s">
        <v>3336</v>
      </c>
      <c r="B54" s="2288"/>
      <c r="C54" s="2288"/>
      <c r="D54" s="2288"/>
      <c r="E54" s="2288"/>
      <c r="F54" s="2288"/>
      <c r="G54" s="4556"/>
      <c r="H54" s="4556"/>
      <c r="I54" s="1582"/>
    </row>
    <row r="55" spans="1:96" ht="42">
      <c r="A55" s="5710" t="s">
        <v>3281</v>
      </c>
      <c r="B55" s="6106"/>
      <c r="C55" s="5712"/>
      <c r="D55" s="1574" t="s">
        <v>91</v>
      </c>
      <c r="E55" s="1471" t="s">
        <v>3337</v>
      </c>
      <c r="F55" s="1646" t="s">
        <v>3338</v>
      </c>
      <c r="G55" s="1646" t="s">
        <v>3339</v>
      </c>
      <c r="H55" s="1398" t="s">
        <v>211</v>
      </c>
      <c r="I55" s="1648" t="s">
        <v>3340</v>
      </c>
    </row>
    <row r="56" spans="1:96" ht="15" customHeight="1">
      <c r="A56" s="6154" t="s">
        <v>3291</v>
      </c>
      <c r="B56" s="7117" t="s">
        <v>3292</v>
      </c>
      <c r="C56" s="7118"/>
      <c r="D56" s="1403">
        <f t="shared" ref="D56:D98" si="24">SUM(E56:H56)</f>
        <v>0</v>
      </c>
      <c r="E56" s="1405"/>
      <c r="F56" s="1407"/>
      <c r="G56" s="1407"/>
      <c r="H56" s="1408"/>
      <c r="I56" s="4557"/>
      <c r="J56" s="417" t="str">
        <f t="shared" ref="J56:J97" si="25">CA56</f>
        <v/>
      </c>
      <c r="CA56" s="418" t="str">
        <f t="shared" ref="CA56:CA97" si="26">IF(AND($D56&lt;&gt;0,I56=""),"* No olvide ingresar la columna "&amp;I$55&amp;""&amp;" (Digite CERO si no tiene).  ",IF(I56&gt;$D56,"* La variable "&amp;I$55&amp;""&amp;" no puede superar el Total. ",""))</f>
        <v/>
      </c>
      <c r="CK56" s="3389">
        <f t="shared" ref="CK56:CK97" si="27">IF(AND($D56&lt;&gt;0,I56=""),1,IF(I56&gt;$D56,1,0))</f>
        <v>0</v>
      </c>
    </row>
    <row r="57" spans="1:96" ht="21">
      <c r="A57" s="6448"/>
      <c r="B57" s="6854" t="s">
        <v>3293</v>
      </c>
      <c r="C57" s="4441" t="s">
        <v>3294</v>
      </c>
      <c r="D57" s="1403">
        <f t="shared" si="24"/>
        <v>0</v>
      </c>
      <c r="E57" s="1424"/>
      <c r="F57" s="1426"/>
      <c r="G57" s="1426"/>
      <c r="H57" s="1427"/>
      <c r="I57" s="1651"/>
      <c r="J57" s="417" t="str">
        <f t="shared" si="25"/>
        <v/>
      </c>
      <c r="CA57" s="418" t="str">
        <f t="shared" si="26"/>
        <v/>
      </c>
      <c r="CK57" s="3389">
        <f t="shared" si="27"/>
        <v>0</v>
      </c>
    </row>
    <row r="58" spans="1:96">
      <c r="A58" s="6448"/>
      <c r="B58" s="6855"/>
      <c r="C58" s="2388" t="s">
        <v>3295</v>
      </c>
      <c r="D58" s="1729">
        <f t="shared" si="24"/>
        <v>0</v>
      </c>
      <c r="E58" s="1440"/>
      <c r="F58" s="1442"/>
      <c r="G58" s="1442"/>
      <c r="H58" s="1443"/>
      <c r="I58" s="1656"/>
      <c r="J58" s="417" t="str">
        <f t="shared" si="25"/>
        <v/>
      </c>
      <c r="CA58" s="418" t="str">
        <f t="shared" si="26"/>
        <v/>
      </c>
      <c r="CK58" s="3389">
        <f t="shared" si="27"/>
        <v>0</v>
      </c>
    </row>
    <row r="59" spans="1:96">
      <c r="A59" s="6448"/>
      <c r="B59" s="6855"/>
      <c r="C59" s="420" t="s">
        <v>3296</v>
      </c>
      <c r="D59" s="1512">
        <f t="shared" si="24"/>
        <v>0</v>
      </c>
      <c r="E59" s="1440"/>
      <c r="F59" s="1442"/>
      <c r="G59" s="1442"/>
      <c r="H59" s="1443"/>
      <c r="I59" s="1656"/>
      <c r="J59" s="417" t="str">
        <f t="shared" si="25"/>
        <v/>
      </c>
      <c r="CA59" s="418" t="str">
        <f t="shared" si="26"/>
        <v/>
      </c>
      <c r="CK59" s="3389">
        <f t="shared" si="27"/>
        <v>0</v>
      </c>
    </row>
    <row r="60" spans="1:96">
      <c r="A60" s="6448"/>
      <c r="B60" s="6856"/>
      <c r="C60" s="3390" t="s">
        <v>3297</v>
      </c>
      <c r="D60" s="1527">
        <f t="shared" si="24"/>
        <v>0</v>
      </c>
      <c r="E60" s="1528"/>
      <c r="F60" s="1529"/>
      <c r="G60" s="1529"/>
      <c r="H60" s="1986"/>
      <c r="I60" s="3492"/>
      <c r="J60" s="417" t="str">
        <f t="shared" si="25"/>
        <v/>
      </c>
      <c r="CA60" s="418" t="str">
        <f t="shared" si="26"/>
        <v/>
      </c>
      <c r="CK60" s="3389">
        <f t="shared" si="27"/>
        <v>0</v>
      </c>
    </row>
    <row r="61" spans="1:96">
      <c r="A61" s="6448"/>
      <c r="B61" s="7119" t="s">
        <v>3298</v>
      </c>
      <c r="C61" s="7120"/>
      <c r="D61" s="1516">
        <f t="shared" si="24"/>
        <v>0</v>
      </c>
      <c r="E61" s="1480"/>
      <c r="F61" s="1541"/>
      <c r="G61" s="1541"/>
      <c r="H61" s="1959"/>
      <c r="I61" s="4558"/>
      <c r="J61" s="417" t="str">
        <f t="shared" si="25"/>
        <v/>
      </c>
      <c r="CA61" s="418" t="str">
        <f t="shared" si="26"/>
        <v/>
      </c>
      <c r="CK61" s="3389">
        <f t="shared" si="27"/>
        <v>0</v>
      </c>
    </row>
    <row r="62" spans="1:96">
      <c r="A62" s="6448"/>
      <c r="B62" s="6384" t="s">
        <v>3299</v>
      </c>
      <c r="C62" s="6385"/>
      <c r="D62" s="1729">
        <f t="shared" si="24"/>
        <v>0</v>
      </c>
      <c r="E62" s="1440"/>
      <c r="F62" s="1442"/>
      <c r="G62" s="1442"/>
      <c r="H62" s="1443"/>
      <c r="I62" s="1656"/>
      <c r="J62" s="417" t="str">
        <f t="shared" si="25"/>
        <v/>
      </c>
      <c r="CA62" s="418" t="str">
        <f t="shared" si="26"/>
        <v/>
      </c>
      <c r="CK62" s="3389">
        <f t="shared" si="27"/>
        <v>0</v>
      </c>
    </row>
    <row r="63" spans="1:96">
      <c r="A63" s="6448"/>
      <c r="B63" s="6384" t="s">
        <v>3300</v>
      </c>
      <c r="C63" s="6385"/>
      <c r="D63" s="1729">
        <f t="shared" si="24"/>
        <v>0</v>
      </c>
      <c r="E63" s="1440"/>
      <c r="F63" s="1442"/>
      <c r="G63" s="1442"/>
      <c r="H63" s="1443"/>
      <c r="I63" s="1656"/>
      <c r="J63" s="417" t="str">
        <f t="shared" si="25"/>
        <v/>
      </c>
      <c r="CA63" s="418" t="str">
        <f t="shared" si="26"/>
        <v/>
      </c>
      <c r="CK63" s="3389">
        <f t="shared" si="27"/>
        <v>0</v>
      </c>
    </row>
    <row r="64" spans="1:96">
      <c r="A64" s="6448"/>
      <c r="B64" s="7095" t="s">
        <v>3301</v>
      </c>
      <c r="C64" s="7096"/>
      <c r="D64" s="1729">
        <f t="shared" si="24"/>
        <v>0</v>
      </c>
      <c r="E64" s="1485"/>
      <c r="F64" s="1712"/>
      <c r="G64" s="1712"/>
      <c r="H64" s="2352"/>
      <c r="I64" s="4559"/>
      <c r="J64" s="417" t="str">
        <f t="shared" si="25"/>
        <v/>
      </c>
      <c r="CA64" s="418" t="str">
        <f t="shared" si="26"/>
        <v/>
      </c>
      <c r="CK64" s="3389">
        <f t="shared" si="27"/>
        <v>0</v>
      </c>
    </row>
    <row r="65" spans="1:89" ht="21" customHeight="1">
      <c r="A65" s="6448"/>
      <c r="B65" s="5718" t="s">
        <v>3341</v>
      </c>
      <c r="C65" s="4096" t="s">
        <v>482</v>
      </c>
      <c r="D65" s="1403">
        <f t="shared" si="24"/>
        <v>0</v>
      </c>
      <c r="E65" s="1424"/>
      <c r="F65" s="1426"/>
      <c r="G65" s="1426"/>
      <c r="H65" s="1427"/>
      <c r="I65" s="1651"/>
      <c r="J65" s="417" t="str">
        <f t="shared" si="25"/>
        <v/>
      </c>
      <c r="CA65" s="418" t="str">
        <f t="shared" si="26"/>
        <v/>
      </c>
      <c r="CK65" s="3389">
        <f t="shared" si="27"/>
        <v>0</v>
      </c>
    </row>
    <row r="66" spans="1:89">
      <c r="A66" s="6448"/>
      <c r="B66" s="5719"/>
      <c r="C66" s="4090" t="s">
        <v>73</v>
      </c>
      <c r="D66" s="1506">
        <f t="shared" si="24"/>
        <v>0</v>
      </c>
      <c r="E66" s="1455"/>
      <c r="F66" s="1457"/>
      <c r="G66" s="1457"/>
      <c r="H66" s="1458"/>
      <c r="I66" s="1661"/>
      <c r="J66" s="417"/>
      <c r="CA66" s="418" t="str">
        <f t="shared" si="26"/>
        <v/>
      </c>
      <c r="CK66" s="3389">
        <f t="shared" si="27"/>
        <v>0</v>
      </c>
    </row>
    <row r="67" spans="1:89">
      <c r="A67" s="6448"/>
      <c r="B67" s="7119" t="s">
        <v>3303</v>
      </c>
      <c r="C67" s="7120"/>
      <c r="D67" s="1516">
        <f t="shared" si="24"/>
        <v>0</v>
      </c>
      <c r="E67" s="1517"/>
      <c r="F67" s="1518"/>
      <c r="G67" s="1518"/>
      <c r="H67" s="2355"/>
      <c r="I67" s="4560"/>
      <c r="J67" s="417" t="str">
        <f t="shared" si="25"/>
        <v/>
      </c>
      <c r="CA67" s="418" t="str">
        <f t="shared" si="26"/>
        <v/>
      </c>
      <c r="CK67" s="3389">
        <f t="shared" si="27"/>
        <v>0</v>
      </c>
    </row>
    <row r="68" spans="1:89" ht="21" customHeight="1">
      <c r="A68" s="6448"/>
      <c r="B68" s="6665" t="s">
        <v>3304</v>
      </c>
      <c r="C68" s="6666"/>
      <c r="D68" s="1729">
        <f t="shared" si="24"/>
        <v>0</v>
      </c>
      <c r="E68" s="1485"/>
      <c r="F68" s="1712"/>
      <c r="G68" s="1712"/>
      <c r="H68" s="2352"/>
      <c r="I68" s="4559"/>
      <c r="J68" s="417" t="str">
        <f t="shared" si="25"/>
        <v/>
      </c>
      <c r="CA68" s="418" t="str">
        <f t="shared" si="26"/>
        <v/>
      </c>
      <c r="CK68" s="3389">
        <f t="shared" si="27"/>
        <v>0</v>
      </c>
    </row>
    <row r="69" spans="1:89" ht="15" customHeight="1">
      <c r="A69" s="6448"/>
      <c r="B69" s="6137" t="s">
        <v>3305</v>
      </c>
      <c r="C69" s="457" t="s">
        <v>3306</v>
      </c>
      <c r="D69" s="1422">
        <f t="shared" si="24"/>
        <v>0</v>
      </c>
      <c r="E69" s="1424"/>
      <c r="F69" s="1426"/>
      <c r="G69" s="1426"/>
      <c r="H69" s="1427"/>
      <c r="I69" s="1651"/>
      <c r="J69" s="417" t="str">
        <f t="shared" si="25"/>
        <v/>
      </c>
      <c r="CA69" s="418" t="str">
        <f t="shared" si="26"/>
        <v/>
      </c>
      <c r="CK69" s="3389">
        <f t="shared" si="27"/>
        <v>0</v>
      </c>
    </row>
    <row r="70" spans="1:89" ht="15" customHeight="1">
      <c r="A70" s="6448"/>
      <c r="B70" s="6137"/>
      <c r="C70" s="2303" t="s">
        <v>2741</v>
      </c>
      <c r="D70" s="1506">
        <f t="shared" si="24"/>
        <v>0</v>
      </c>
      <c r="E70" s="1455"/>
      <c r="F70" s="1457"/>
      <c r="G70" s="1457"/>
      <c r="H70" s="1458"/>
      <c r="I70" s="1661"/>
      <c r="J70" s="417" t="str">
        <f t="shared" si="25"/>
        <v/>
      </c>
      <c r="CA70" s="418" t="str">
        <f t="shared" si="26"/>
        <v/>
      </c>
      <c r="CK70" s="3389">
        <f t="shared" si="27"/>
        <v>0</v>
      </c>
    </row>
    <row r="71" spans="1:89">
      <c r="A71" s="6448"/>
      <c r="B71" s="7092" t="s">
        <v>3307</v>
      </c>
      <c r="C71" s="6158"/>
      <c r="D71" s="1516">
        <f t="shared" si="24"/>
        <v>0</v>
      </c>
      <c r="E71" s="1517"/>
      <c r="F71" s="1518"/>
      <c r="G71" s="1518"/>
      <c r="H71" s="2355"/>
      <c r="I71" s="4560"/>
      <c r="J71" s="417" t="str">
        <f t="shared" si="25"/>
        <v/>
      </c>
      <c r="CA71" s="418" t="str">
        <f t="shared" si="26"/>
        <v/>
      </c>
      <c r="CK71" s="3389">
        <f t="shared" si="27"/>
        <v>0</v>
      </c>
    </row>
    <row r="72" spans="1:89" ht="15" customHeight="1">
      <c r="A72" s="6448"/>
      <c r="B72" s="6127" t="s">
        <v>3308</v>
      </c>
      <c r="C72" s="1952" t="s">
        <v>3309</v>
      </c>
      <c r="D72" s="1422">
        <f t="shared" si="24"/>
        <v>0</v>
      </c>
      <c r="E72" s="1425"/>
      <c r="F72" s="1426"/>
      <c r="G72" s="1426"/>
      <c r="H72" s="1427"/>
      <c r="I72" s="1651"/>
      <c r="J72" s="417" t="str">
        <f t="shared" si="25"/>
        <v/>
      </c>
      <c r="CA72" s="418" t="str">
        <f t="shared" si="26"/>
        <v/>
      </c>
      <c r="CK72" s="3389">
        <f t="shared" si="27"/>
        <v>0</v>
      </c>
    </row>
    <row r="73" spans="1:89" ht="15" customHeight="1">
      <c r="A73" s="6448"/>
      <c r="B73" s="6128"/>
      <c r="C73" s="4537" t="s">
        <v>3310</v>
      </c>
      <c r="D73" s="1512">
        <f t="shared" si="24"/>
        <v>0</v>
      </c>
      <c r="E73" s="1441"/>
      <c r="F73" s="1442"/>
      <c r="G73" s="1442"/>
      <c r="H73" s="1443"/>
      <c r="I73" s="1656"/>
      <c r="J73" s="417" t="str">
        <f t="shared" si="25"/>
        <v/>
      </c>
      <c r="CA73" s="418" t="str">
        <f t="shared" si="26"/>
        <v/>
      </c>
      <c r="CK73" s="3389">
        <f t="shared" si="27"/>
        <v>0</v>
      </c>
    </row>
    <row r="74" spans="1:89">
      <c r="A74" s="6448"/>
      <c r="B74" s="6129"/>
      <c r="C74" s="3050" t="s">
        <v>619</v>
      </c>
      <c r="D74" s="1506">
        <f t="shared" si="24"/>
        <v>0</v>
      </c>
      <c r="E74" s="1456"/>
      <c r="F74" s="1457"/>
      <c r="G74" s="1457"/>
      <c r="H74" s="1458"/>
      <c r="I74" s="1661"/>
      <c r="J74" s="417" t="str">
        <f t="shared" si="25"/>
        <v/>
      </c>
      <c r="CA74" s="418" t="str">
        <f t="shared" si="26"/>
        <v/>
      </c>
      <c r="CK74" s="3389">
        <f t="shared" si="27"/>
        <v>0</v>
      </c>
    </row>
    <row r="75" spans="1:89">
      <c r="A75" s="6448"/>
      <c r="B75" s="6127" t="s">
        <v>3311</v>
      </c>
      <c r="C75" s="4441" t="s">
        <v>3312</v>
      </c>
      <c r="D75" s="1403">
        <f t="shared" si="24"/>
        <v>0</v>
      </c>
      <c r="E75" s="1424"/>
      <c r="F75" s="1426"/>
      <c r="G75" s="1426"/>
      <c r="H75" s="1427"/>
      <c r="I75" s="1651"/>
      <c r="J75" s="417" t="str">
        <f t="shared" si="25"/>
        <v/>
      </c>
      <c r="CA75" s="418" t="str">
        <f t="shared" si="26"/>
        <v/>
      </c>
      <c r="CK75" s="3389">
        <f t="shared" si="27"/>
        <v>0</v>
      </c>
    </row>
    <row r="76" spans="1:89" ht="15" customHeight="1">
      <c r="A76" s="6448"/>
      <c r="B76" s="6128"/>
      <c r="C76" s="4449" t="s">
        <v>3313</v>
      </c>
      <c r="D76" s="1729">
        <f t="shared" si="24"/>
        <v>0</v>
      </c>
      <c r="E76" s="1440"/>
      <c r="F76" s="1442"/>
      <c r="G76" s="1442"/>
      <c r="H76" s="1443"/>
      <c r="I76" s="1656"/>
      <c r="J76" s="417" t="str">
        <f t="shared" si="25"/>
        <v/>
      </c>
      <c r="CA76" s="418" t="str">
        <f t="shared" si="26"/>
        <v/>
      </c>
      <c r="CK76" s="3389">
        <f t="shared" si="27"/>
        <v>0</v>
      </c>
    </row>
    <row r="77" spans="1:89">
      <c r="A77" s="6448"/>
      <c r="B77" s="6129"/>
      <c r="C77" s="3050" t="s">
        <v>619</v>
      </c>
      <c r="D77" s="1506">
        <f t="shared" si="24"/>
        <v>0</v>
      </c>
      <c r="E77" s="1455"/>
      <c r="F77" s="1457"/>
      <c r="G77" s="1457"/>
      <c r="H77" s="1458"/>
      <c r="I77" s="1661"/>
      <c r="J77" s="417" t="str">
        <f t="shared" si="25"/>
        <v/>
      </c>
      <c r="CA77" s="418" t="str">
        <f t="shared" si="26"/>
        <v/>
      </c>
      <c r="CK77" s="3389">
        <f t="shared" si="27"/>
        <v>0</v>
      </c>
    </row>
    <row r="78" spans="1:89">
      <c r="A78" s="6448"/>
      <c r="B78" s="7093" t="s">
        <v>3314</v>
      </c>
      <c r="C78" s="7094"/>
      <c r="D78" s="406">
        <f t="shared" si="24"/>
        <v>0</v>
      </c>
      <c r="E78" s="1475"/>
      <c r="F78" s="1535"/>
      <c r="G78" s="1535"/>
      <c r="H78" s="4063"/>
      <c r="I78" s="4561"/>
      <c r="J78" s="417" t="str">
        <f t="shared" si="25"/>
        <v/>
      </c>
      <c r="CA78" s="418" t="str">
        <f t="shared" si="26"/>
        <v/>
      </c>
      <c r="CK78" s="3389">
        <f t="shared" si="27"/>
        <v>0</v>
      </c>
    </row>
    <row r="79" spans="1:89" ht="15" customHeight="1">
      <c r="A79" s="6448"/>
      <c r="B79" s="6129" t="s">
        <v>3315</v>
      </c>
      <c r="C79" s="407" t="s">
        <v>3316</v>
      </c>
      <c r="D79" s="1516">
        <f t="shared" si="24"/>
        <v>0</v>
      </c>
      <c r="E79" s="1480"/>
      <c r="F79" s="1541"/>
      <c r="G79" s="1541"/>
      <c r="H79" s="1959"/>
      <c r="I79" s="4558"/>
      <c r="J79" s="417" t="str">
        <f t="shared" si="25"/>
        <v/>
      </c>
      <c r="CA79" s="418" t="str">
        <f t="shared" si="26"/>
        <v/>
      </c>
      <c r="CK79" s="3389">
        <f t="shared" si="27"/>
        <v>0</v>
      </c>
    </row>
    <row r="80" spans="1:89">
      <c r="A80" s="6448"/>
      <c r="B80" s="6205"/>
      <c r="C80" s="3390" t="s">
        <v>3317</v>
      </c>
      <c r="D80" s="1729">
        <f t="shared" si="24"/>
        <v>0</v>
      </c>
      <c r="E80" s="1440"/>
      <c r="F80" s="1442"/>
      <c r="G80" s="1442"/>
      <c r="H80" s="1443"/>
      <c r="I80" s="1656"/>
      <c r="J80" s="417" t="str">
        <f t="shared" si="25"/>
        <v/>
      </c>
      <c r="CA80" s="418" t="str">
        <f t="shared" si="26"/>
        <v/>
      </c>
      <c r="CK80" s="3389">
        <f t="shared" si="27"/>
        <v>0</v>
      </c>
    </row>
    <row r="81" spans="1:89" ht="15" customHeight="1">
      <c r="A81" s="6448"/>
      <c r="B81" s="6467" t="s">
        <v>3318</v>
      </c>
      <c r="C81" s="6467"/>
      <c r="D81" s="1729">
        <f t="shared" si="24"/>
        <v>0</v>
      </c>
      <c r="E81" s="1440"/>
      <c r="F81" s="1442"/>
      <c r="G81" s="1442"/>
      <c r="H81" s="1443"/>
      <c r="I81" s="1656"/>
      <c r="J81" s="417" t="str">
        <f t="shared" si="25"/>
        <v/>
      </c>
      <c r="CA81" s="418" t="str">
        <f t="shared" si="26"/>
        <v/>
      </c>
      <c r="CK81" s="3389">
        <f t="shared" si="27"/>
        <v>0</v>
      </c>
    </row>
    <row r="82" spans="1:89">
      <c r="A82" s="6448"/>
      <c r="B82" s="7119" t="s">
        <v>3319</v>
      </c>
      <c r="C82" s="7120"/>
      <c r="D82" s="1729">
        <f t="shared" si="24"/>
        <v>0</v>
      </c>
      <c r="E82" s="1440"/>
      <c r="F82" s="1442"/>
      <c r="G82" s="1442"/>
      <c r="H82" s="1443"/>
      <c r="I82" s="1656"/>
      <c r="J82" s="417" t="str">
        <f t="shared" si="25"/>
        <v/>
      </c>
      <c r="CA82" s="418" t="str">
        <f t="shared" si="26"/>
        <v/>
      </c>
      <c r="CK82" s="3389">
        <f t="shared" si="27"/>
        <v>0</v>
      </c>
    </row>
    <row r="83" spans="1:89" ht="15" customHeight="1">
      <c r="A83" s="6448"/>
      <c r="B83" s="6181" t="s">
        <v>3320</v>
      </c>
      <c r="C83" s="6182"/>
      <c r="D83" s="1729">
        <f t="shared" si="24"/>
        <v>0</v>
      </c>
      <c r="E83" s="1485"/>
      <c r="F83" s="1712"/>
      <c r="G83" s="1712"/>
      <c r="H83" s="2352"/>
      <c r="I83" s="4559"/>
      <c r="J83" s="417" t="str">
        <f t="shared" si="25"/>
        <v/>
      </c>
      <c r="CA83" s="418" t="str">
        <f t="shared" si="26"/>
        <v/>
      </c>
      <c r="CK83" s="3389">
        <f t="shared" si="27"/>
        <v>0</v>
      </c>
    </row>
    <row r="84" spans="1:89">
      <c r="A84" s="6448"/>
      <c r="B84" s="7095" t="s">
        <v>3321</v>
      </c>
      <c r="C84" s="7096"/>
      <c r="D84" s="1729">
        <f t="shared" si="24"/>
        <v>0</v>
      </c>
      <c r="E84" s="1485"/>
      <c r="F84" s="1712"/>
      <c r="G84" s="1712"/>
      <c r="H84" s="2352"/>
      <c r="I84" s="4559"/>
      <c r="J84" s="417" t="str">
        <f t="shared" si="25"/>
        <v/>
      </c>
      <c r="CA84" s="418" t="str">
        <f t="shared" si="26"/>
        <v/>
      </c>
      <c r="CK84" s="3389">
        <f t="shared" si="27"/>
        <v>0</v>
      </c>
    </row>
    <row r="85" spans="1:89" ht="15" customHeight="1">
      <c r="A85" s="6448"/>
      <c r="B85" s="6127" t="s">
        <v>3322</v>
      </c>
      <c r="C85" s="4546" t="s">
        <v>3323</v>
      </c>
      <c r="D85" s="1403">
        <f t="shared" si="24"/>
        <v>0</v>
      </c>
      <c r="E85" s="1424"/>
      <c r="F85" s="1426"/>
      <c r="G85" s="1426"/>
      <c r="H85" s="1427"/>
      <c r="I85" s="1651"/>
      <c r="J85" s="417" t="str">
        <f t="shared" si="25"/>
        <v/>
      </c>
      <c r="CA85" s="418" t="str">
        <f t="shared" si="26"/>
        <v/>
      </c>
      <c r="CK85" s="3389">
        <f t="shared" si="27"/>
        <v>0</v>
      </c>
    </row>
    <row r="86" spans="1:89">
      <c r="A86" s="6448"/>
      <c r="B86" s="6128"/>
      <c r="C86" s="4547" t="s">
        <v>3324</v>
      </c>
      <c r="D86" s="1729">
        <f t="shared" si="24"/>
        <v>0</v>
      </c>
      <c r="E86" s="1440"/>
      <c r="F86" s="1442"/>
      <c r="G86" s="1442"/>
      <c r="H86" s="1443"/>
      <c r="I86" s="1656"/>
      <c r="J86" s="417" t="str">
        <f t="shared" si="25"/>
        <v/>
      </c>
      <c r="CA86" s="418" t="str">
        <f t="shared" si="26"/>
        <v/>
      </c>
      <c r="CK86" s="3389">
        <f t="shared" si="27"/>
        <v>0</v>
      </c>
    </row>
    <row r="87" spans="1:89" ht="15" customHeight="1">
      <c r="A87" s="6448"/>
      <c r="B87" s="6128"/>
      <c r="C87" s="1484" t="s">
        <v>3325</v>
      </c>
      <c r="D87" s="1729">
        <f t="shared" si="24"/>
        <v>0</v>
      </c>
      <c r="E87" s="1485"/>
      <c r="F87" s="1712"/>
      <c r="G87" s="1712"/>
      <c r="H87" s="2352"/>
      <c r="I87" s="4559"/>
      <c r="J87" s="417" t="str">
        <f t="shared" si="25"/>
        <v/>
      </c>
      <c r="CA87" s="418" t="str">
        <f t="shared" si="26"/>
        <v/>
      </c>
      <c r="CK87" s="3389">
        <f t="shared" si="27"/>
        <v>0</v>
      </c>
    </row>
    <row r="88" spans="1:89">
      <c r="A88" s="6448"/>
      <c r="B88" s="6128"/>
      <c r="C88" s="4548" t="s">
        <v>3326</v>
      </c>
      <c r="D88" s="1729">
        <f t="shared" si="24"/>
        <v>0</v>
      </c>
      <c r="E88" s="1485"/>
      <c r="F88" s="1712"/>
      <c r="G88" s="1712"/>
      <c r="H88" s="2352"/>
      <c r="I88" s="4559"/>
      <c r="J88" s="417" t="str">
        <f t="shared" si="25"/>
        <v/>
      </c>
      <c r="CA88" s="418" t="str">
        <f t="shared" si="26"/>
        <v/>
      </c>
      <c r="CK88" s="3389">
        <f t="shared" si="27"/>
        <v>0</v>
      </c>
    </row>
    <row r="89" spans="1:89" ht="15" customHeight="1">
      <c r="A89" s="6448"/>
      <c r="B89" s="6129"/>
      <c r="C89" s="2366" t="s">
        <v>3327</v>
      </c>
      <c r="D89" s="1729">
        <f t="shared" si="24"/>
        <v>0</v>
      </c>
      <c r="E89" s="1485"/>
      <c r="F89" s="1712"/>
      <c r="G89" s="1712"/>
      <c r="H89" s="2352"/>
      <c r="I89" s="4559"/>
      <c r="J89" s="417" t="str">
        <f t="shared" si="25"/>
        <v/>
      </c>
      <c r="CA89" s="418" t="str">
        <f t="shared" si="26"/>
        <v/>
      </c>
      <c r="CK89" s="3389">
        <f t="shared" si="27"/>
        <v>0</v>
      </c>
    </row>
    <row r="90" spans="1:89" ht="15" customHeight="1">
      <c r="A90" s="6448"/>
      <c r="B90" s="7101" t="s">
        <v>3328</v>
      </c>
      <c r="C90" s="7102"/>
      <c r="D90" s="1422">
        <f t="shared" si="24"/>
        <v>0</v>
      </c>
      <c r="E90" s="1424"/>
      <c r="F90" s="1426"/>
      <c r="G90" s="1426"/>
      <c r="H90" s="1652"/>
      <c r="I90" s="1651"/>
      <c r="J90" s="417" t="str">
        <f t="shared" si="25"/>
        <v/>
      </c>
      <c r="CA90" s="418" t="str">
        <f t="shared" si="26"/>
        <v/>
      </c>
      <c r="CK90" s="3389">
        <f t="shared" si="27"/>
        <v>0</v>
      </c>
    </row>
    <row r="91" spans="1:89" ht="15.75" customHeight="1">
      <c r="A91" s="6448"/>
      <c r="B91" s="7103" t="s">
        <v>3329</v>
      </c>
      <c r="C91" s="7104"/>
      <c r="D91" s="1527">
        <f t="shared" si="24"/>
        <v>0</v>
      </c>
      <c r="E91" s="1528"/>
      <c r="F91" s="1529"/>
      <c r="G91" s="1529"/>
      <c r="H91" s="1800"/>
      <c r="I91" s="3492"/>
      <c r="J91" s="417" t="str">
        <f t="shared" si="25"/>
        <v/>
      </c>
      <c r="CA91" s="418" t="str">
        <f t="shared" si="26"/>
        <v/>
      </c>
      <c r="CK91" s="3389">
        <f t="shared" si="27"/>
        <v>0</v>
      </c>
    </row>
    <row r="92" spans="1:89">
      <c r="A92" s="6448"/>
      <c r="B92" s="6621" t="s">
        <v>3330</v>
      </c>
      <c r="C92" s="4551" t="s">
        <v>3331</v>
      </c>
      <c r="D92" s="1422">
        <f t="shared" si="24"/>
        <v>0</v>
      </c>
      <c r="E92" s="1424"/>
      <c r="F92" s="1426"/>
      <c r="G92" s="1426"/>
      <c r="H92" s="1652"/>
      <c r="I92" s="1651"/>
      <c r="J92" s="417" t="str">
        <f t="shared" si="25"/>
        <v/>
      </c>
      <c r="CA92" s="418" t="str">
        <f t="shared" si="26"/>
        <v/>
      </c>
      <c r="CK92" s="3389">
        <f t="shared" si="27"/>
        <v>0</v>
      </c>
    </row>
    <row r="93" spans="1:89" ht="22.5">
      <c r="A93" s="6448"/>
      <c r="B93" s="6623"/>
      <c r="C93" s="4552" t="s">
        <v>3332</v>
      </c>
      <c r="D93" s="1512">
        <f t="shared" si="24"/>
        <v>0</v>
      </c>
      <c r="E93" s="1440"/>
      <c r="F93" s="1442"/>
      <c r="G93" s="1442"/>
      <c r="H93" s="1447"/>
      <c r="I93" s="1656"/>
      <c r="J93" s="417" t="str">
        <f t="shared" si="25"/>
        <v/>
      </c>
      <c r="CA93" s="418" t="str">
        <f t="shared" si="26"/>
        <v/>
      </c>
      <c r="CK93" s="3389">
        <f t="shared" si="27"/>
        <v>0</v>
      </c>
    </row>
    <row r="94" spans="1:89" ht="21">
      <c r="A94" s="6448"/>
      <c r="B94" s="6623"/>
      <c r="C94" s="4553" t="s">
        <v>3333</v>
      </c>
      <c r="D94" s="1512">
        <f t="shared" si="24"/>
        <v>0</v>
      </c>
      <c r="E94" s="1440"/>
      <c r="F94" s="1442"/>
      <c r="G94" s="1442"/>
      <c r="H94" s="1447"/>
      <c r="I94" s="1656"/>
      <c r="J94" s="417" t="str">
        <f t="shared" si="25"/>
        <v/>
      </c>
      <c r="CA94" s="418" t="str">
        <f t="shared" si="26"/>
        <v/>
      </c>
      <c r="CK94" s="3389">
        <f t="shared" si="27"/>
        <v>0</v>
      </c>
    </row>
    <row r="95" spans="1:89">
      <c r="A95" s="6448"/>
      <c r="B95" s="6623"/>
      <c r="C95" s="4554" t="s">
        <v>3334</v>
      </c>
      <c r="D95" s="1729">
        <f t="shared" si="24"/>
        <v>0</v>
      </c>
      <c r="E95" s="1528"/>
      <c r="F95" s="1529"/>
      <c r="G95" s="1529"/>
      <c r="H95" s="1800"/>
      <c r="I95" s="3492"/>
      <c r="J95" s="417" t="str">
        <f t="shared" si="25"/>
        <v/>
      </c>
      <c r="CA95" s="418" t="str">
        <f t="shared" si="26"/>
        <v/>
      </c>
      <c r="CK95" s="3389">
        <f t="shared" si="27"/>
        <v>0</v>
      </c>
    </row>
    <row r="96" spans="1:89" ht="15" customHeight="1">
      <c r="A96" s="6448"/>
      <c r="B96" s="7148" t="s">
        <v>3335</v>
      </c>
      <c r="C96" s="4096" t="s">
        <v>482</v>
      </c>
      <c r="D96" s="1422">
        <f t="shared" si="24"/>
        <v>0</v>
      </c>
      <c r="E96" s="1424"/>
      <c r="F96" s="1425"/>
      <c r="G96" s="1425"/>
      <c r="H96" s="1652"/>
      <c r="I96" s="1651"/>
      <c r="J96" s="417" t="str">
        <f t="shared" si="25"/>
        <v/>
      </c>
      <c r="CA96" s="418" t="str">
        <f t="shared" si="26"/>
        <v/>
      </c>
      <c r="CK96" s="3389">
        <f t="shared" si="27"/>
        <v>0</v>
      </c>
    </row>
    <row r="97" spans="1:89">
      <c r="A97" s="6448"/>
      <c r="B97" s="7149"/>
      <c r="C97" s="4090" t="s">
        <v>73</v>
      </c>
      <c r="D97" s="1506">
        <f t="shared" si="24"/>
        <v>0</v>
      </c>
      <c r="E97" s="1455"/>
      <c r="F97" s="1456"/>
      <c r="G97" s="1456"/>
      <c r="H97" s="1490"/>
      <c r="I97" s="1661"/>
      <c r="J97" s="417" t="str">
        <f t="shared" si="25"/>
        <v/>
      </c>
      <c r="CA97" s="418" t="str">
        <f t="shared" si="26"/>
        <v/>
      </c>
      <c r="CK97" s="3389">
        <f t="shared" si="27"/>
        <v>0</v>
      </c>
    </row>
    <row r="98" spans="1:89">
      <c r="A98" s="6157"/>
      <c r="B98" s="7145" t="s">
        <v>91</v>
      </c>
      <c r="C98" s="7146"/>
      <c r="D98" s="406">
        <f t="shared" si="24"/>
        <v>0</v>
      </c>
      <c r="E98" s="401">
        <f>SUM(E56:E97)</f>
        <v>0</v>
      </c>
      <c r="F98" s="401">
        <f t="shared" si="23"/>
        <v>0</v>
      </c>
      <c r="G98" s="401">
        <f t="shared" si="23"/>
        <v>0</v>
      </c>
      <c r="H98" s="401">
        <f t="shared" si="23"/>
        <v>0</v>
      </c>
      <c r="I98" s="401">
        <f t="shared" si="23"/>
        <v>0</v>
      </c>
      <c r="CA98" s="417"/>
      <c r="CK98" s="417"/>
    </row>
    <row r="99" spans="1:89" s="385" customFormat="1" ht="18" customHeight="1">
      <c r="A99" s="2288" t="s">
        <v>3342</v>
      </c>
      <c r="B99" s="2288"/>
      <c r="C99" s="2288"/>
      <c r="D99" s="2288"/>
      <c r="E99" s="4562"/>
      <c r="F99" s="4562"/>
      <c r="G99" s="4562"/>
      <c r="H99" s="4562"/>
      <c r="I99" s="4562"/>
      <c r="J99" s="4562"/>
      <c r="K99" s="2102"/>
      <c r="L99" s="2102"/>
      <c r="M99" s="2102"/>
      <c r="N99" s="1582"/>
      <c r="O99" s="1582"/>
      <c r="P99" s="1582"/>
      <c r="Q99" s="1582"/>
      <c r="R99" s="1582"/>
      <c r="S99" s="1582"/>
      <c r="T99" s="1582"/>
      <c r="U99" s="1582"/>
      <c r="V99" s="1582"/>
      <c r="W99" s="1582"/>
    </row>
    <row r="100" spans="1:89" ht="15" customHeight="1">
      <c r="A100" s="5710" t="s">
        <v>2622</v>
      </c>
      <c r="B100" s="6106"/>
      <c r="C100" s="5712"/>
      <c r="D100" s="1574" t="s">
        <v>3343</v>
      </c>
      <c r="E100" s="7144"/>
      <c r="F100" s="7144"/>
      <c r="G100" s="1582"/>
      <c r="H100" s="1582"/>
      <c r="I100" s="1582"/>
      <c r="J100" s="1582"/>
      <c r="K100" s="1582"/>
      <c r="L100" s="1582"/>
      <c r="M100" s="1582"/>
      <c r="N100" s="1582"/>
      <c r="O100" s="1582"/>
      <c r="P100" s="1582"/>
      <c r="Q100" s="1582"/>
      <c r="R100" s="382"/>
      <c r="S100" s="382"/>
      <c r="T100" s="382"/>
      <c r="U100" s="382"/>
      <c r="V100" s="382"/>
      <c r="W100" s="382"/>
    </row>
    <row r="101" spans="1:89" ht="15" customHeight="1">
      <c r="A101" s="6236" t="s">
        <v>2617</v>
      </c>
      <c r="B101" s="6705"/>
      <c r="C101" s="6237"/>
      <c r="D101" s="4563"/>
      <c r="E101" s="7144"/>
      <c r="F101" s="7144"/>
      <c r="G101" s="1582"/>
      <c r="H101" s="1582"/>
      <c r="I101" s="1582"/>
      <c r="J101" s="1582"/>
      <c r="K101" s="1582"/>
      <c r="L101" s="1582"/>
      <c r="M101" s="1582"/>
      <c r="N101" s="1582"/>
      <c r="O101" s="1582"/>
      <c r="P101" s="1582"/>
      <c r="Q101" s="1582"/>
      <c r="R101" s="382"/>
      <c r="S101" s="382"/>
      <c r="T101" s="382"/>
      <c r="U101" s="382"/>
      <c r="V101" s="382"/>
      <c r="W101" s="382"/>
    </row>
    <row r="102" spans="1:89" ht="15" customHeight="1">
      <c r="A102" s="7077" t="s">
        <v>3344</v>
      </c>
      <c r="B102" s="6559"/>
      <c r="C102" s="6560"/>
      <c r="D102" s="4563"/>
      <c r="E102" s="7144"/>
      <c r="F102" s="7144"/>
      <c r="G102" s="1582"/>
      <c r="H102" s="1582"/>
      <c r="I102" s="1582"/>
      <c r="J102" s="1582"/>
      <c r="K102" s="1582"/>
      <c r="L102" s="1582"/>
      <c r="M102" s="1582"/>
      <c r="N102" s="1582"/>
      <c r="O102" s="1582"/>
      <c r="P102" s="1582"/>
      <c r="Q102" s="1582"/>
      <c r="R102" s="382"/>
      <c r="S102" s="382"/>
      <c r="T102" s="382"/>
      <c r="U102" s="382"/>
      <c r="V102" s="382"/>
      <c r="W102" s="382"/>
    </row>
    <row r="103" spans="1:89" ht="15" customHeight="1">
      <c r="A103" s="6263" t="s">
        <v>3345</v>
      </c>
      <c r="B103" s="6568"/>
      <c r="C103" s="6264"/>
      <c r="D103" s="4564"/>
      <c r="E103" s="1582"/>
      <c r="F103" s="1582"/>
      <c r="G103" s="1582"/>
      <c r="H103" s="1582"/>
      <c r="I103" s="1582"/>
      <c r="J103" s="1582"/>
      <c r="K103" s="1582"/>
      <c r="L103" s="1582"/>
      <c r="M103" s="1582"/>
      <c r="N103" s="1582"/>
      <c r="O103" s="1582"/>
      <c r="P103" s="1582"/>
      <c r="Q103" s="1582"/>
      <c r="R103" s="382"/>
      <c r="S103" s="382"/>
      <c r="T103" s="382"/>
      <c r="U103" s="382"/>
      <c r="V103" s="382"/>
      <c r="W103" s="382"/>
    </row>
    <row r="104" spans="1:89" ht="18" customHeight="1">
      <c r="A104" s="3449" t="s">
        <v>3346</v>
      </c>
      <c r="B104" s="4565"/>
      <c r="C104" s="4566"/>
      <c r="D104" s="461"/>
      <c r="E104" s="4567"/>
      <c r="F104" s="461"/>
      <c r="G104" s="461"/>
      <c r="H104" s="461"/>
      <c r="I104" s="461"/>
      <c r="J104" s="461"/>
      <c r="K104" s="461"/>
      <c r="L104" s="461"/>
      <c r="M104" s="461"/>
      <c r="N104" s="461"/>
      <c r="O104" s="461"/>
      <c r="P104" s="461"/>
      <c r="Q104" s="461"/>
      <c r="R104" s="461"/>
      <c r="S104" s="461"/>
      <c r="T104" s="461"/>
      <c r="U104" s="461"/>
      <c r="V104" s="461"/>
      <c r="W104" s="461"/>
    </row>
    <row r="105" spans="1:89">
      <c r="A105" s="6153" t="s">
        <v>3347</v>
      </c>
      <c r="B105" s="6153"/>
      <c r="C105" s="6154"/>
      <c r="D105" s="7134" t="s">
        <v>3348</v>
      </c>
      <c r="E105" s="6137" t="s">
        <v>3349</v>
      </c>
      <c r="F105" s="6137"/>
      <c r="G105" s="6148"/>
      <c r="H105" s="7135" t="s">
        <v>3350</v>
      </c>
      <c r="I105" s="461"/>
      <c r="J105" s="461"/>
      <c r="K105" s="461"/>
      <c r="L105" s="461"/>
      <c r="M105" s="461"/>
      <c r="N105" s="461"/>
      <c r="O105" s="461"/>
      <c r="P105" s="461"/>
      <c r="Q105" s="461"/>
      <c r="R105" s="461"/>
      <c r="S105" s="461"/>
      <c r="T105" s="461"/>
      <c r="U105" s="461"/>
      <c r="V105" s="461"/>
      <c r="W105" s="461"/>
    </row>
    <row r="106" spans="1:89" ht="31.5">
      <c r="A106" s="6156"/>
      <c r="B106" s="6156"/>
      <c r="C106" s="6157"/>
      <c r="D106" s="6110"/>
      <c r="E106" s="3696" t="s">
        <v>3351</v>
      </c>
      <c r="F106" s="4568" t="s">
        <v>3352</v>
      </c>
      <c r="G106" s="3698" t="s">
        <v>1380</v>
      </c>
      <c r="H106" s="7136"/>
      <c r="I106" s="461"/>
      <c r="J106" s="461"/>
      <c r="K106" s="461"/>
      <c r="L106" s="461"/>
      <c r="M106" s="461"/>
      <c r="N106" s="461"/>
      <c r="O106" s="461"/>
      <c r="P106" s="461"/>
      <c r="Q106" s="461"/>
      <c r="R106" s="461"/>
      <c r="S106" s="461"/>
      <c r="T106" s="461"/>
      <c r="U106" s="461"/>
      <c r="V106" s="461"/>
      <c r="W106" s="461"/>
    </row>
    <row r="107" spans="1:89" ht="15" customHeight="1">
      <c r="A107" s="6561" t="s">
        <v>3353</v>
      </c>
      <c r="B107" s="6562"/>
      <c r="C107" s="6563"/>
      <c r="D107" s="4569">
        <f t="shared" ref="D107:D112" si="28">SUM(E107:G107)</f>
        <v>0</v>
      </c>
      <c r="E107" s="4570"/>
      <c r="F107" s="4571"/>
      <c r="G107" s="4572"/>
      <c r="H107" s="4573"/>
      <c r="I107" s="417" t="str">
        <f t="shared" ref="I107:I112" si="29">CA107</f>
        <v/>
      </c>
      <c r="J107" s="461"/>
      <c r="K107" s="461"/>
      <c r="L107" s="461"/>
      <c r="M107" s="461"/>
      <c r="N107" s="461"/>
      <c r="O107" s="461"/>
      <c r="P107" s="461"/>
      <c r="Q107" s="461"/>
      <c r="R107" s="461"/>
      <c r="S107" s="461"/>
      <c r="T107" s="461"/>
      <c r="U107" s="461"/>
      <c r="V107" s="461"/>
      <c r="W107" s="461"/>
      <c r="CA107" s="1418" t="str">
        <f t="shared" ref="CA107:CA112" si="30">IF(AND(D107&gt;0,H107="")," * No olvide digitar la variable "&amp;H$105&amp;""&amp;". Digite CERO si no tiene.","")</f>
        <v/>
      </c>
      <c r="CB107" s="417"/>
      <c r="CC107" s="1470"/>
      <c r="CD107" s="1470"/>
      <c r="CE107" s="1470"/>
      <c r="CF107" s="1470"/>
      <c r="CG107" s="1470"/>
      <c r="CH107" s="1470"/>
      <c r="CI107" s="1470"/>
      <c r="CJ107" s="1470"/>
      <c r="CK107" s="1420">
        <f t="shared" ref="CK107:CK112" si="31">IF(AND(D107&gt;0,H107=""),1,0)</f>
        <v>0</v>
      </c>
    </row>
    <row r="108" spans="1:89" ht="15" customHeight="1">
      <c r="A108" s="6181" t="s">
        <v>3354</v>
      </c>
      <c r="B108" s="6564"/>
      <c r="C108" s="6182"/>
      <c r="D108" s="4574">
        <f t="shared" si="28"/>
        <v>0</v>
      </c>
      <c r="E108" s="4575"/>
      <c r="F108" s="4576"/>
      <c r="G108" s="4577"/>
      <c r="H108" s="4578"/>
      <c r="I108" s="417" t="str">
        <f t="shared" si="29"/>
        <v/>
      </c>
      <c r="J108" s="461"/>
      <c r="K108" s="461"/>
      <c r="L108" s="461"/>
      <c r="M108" s="461"/>
      <c r="N108" s="461"/>
      <c r="O108" s="461"/>
      <c r="P108" s="461"/>
      <c r="Q108" s="461"/>
      <c r="R108" s="461"/>
      <c r="S108" s="461"/>
      <c r="T108" s="461"/>
      <c r="U108" s="461"/>
      <c r="V108" s="461"/>
      <c r="W108" s="461"/>
      <c r="CA108" s="1418" t="str">
        <f t="shared" si="30"/>
        <v/>
      </c>
      <c r="CK108" s="1420">
        <f t="shared" si="31"/>
        <v>0</v>
      </c>
    </row>
    <row r="109" spans="1:89" ht="15" customHeight="1">
      <c r="A109" s="6386" t="s">
        <v>3355</v>
      </c>
      <c r="B109" s="7137"/>
      <c r="C109" s="6387"/>
      <c r="D109" s="4579">
        <f t="shared" si="28"/>
        <v>0</v>
      </c>
      <c r="E109" s="4580"/>
      <c r="F109" s="4581"/>
      <c r="G109" s="4582"/>
      <c r="H109" s="4583"/>
      <c r="I109" s="417" t="str">
        <f t="shared" si="29"/>
        <v/>
      </c>
      <c r="J109" s="461"/>
      <c r="K109" s="461"/>
      <c r="L109" s="461"/>
      <c r="M109" s="461"/>
      <c r="N109" s="461"/>
      <c r="O109" s="461"/>
      <c r="P109" s="461"/>
      <c r="Q109" s="461"/>
      <c r="R109" s="461"/>
      <c r="S109" s="461"/>
      <c r="T109" s="461"/>
      <c r="U109" s="461"/>
      <c r="V109" s="461"/>
      <c r="W109" s="461"/>
      <c r="CA109" s="1418" t="str">
        <f t="shared" si="30"/>
        <v/>
      </c>
      <c r="CK109" s="1420">
        <f t="shared" si="31"/>
        <v>0</v>
      </c>
    </row>
    <row r="110" spans="1:89" ht="15" customHeight="1">
      <c r="A110" s="4584" t="s">
        <v>3356</v>
      </c>
      <c r="B110" s="4585"/>
      <c r="C110" s="4585"/>
      <c r="D110" s="4585"/>
      <c r="E110" s="4585"/>
      <c r="F110" s="4585"/>
      <c r="G110" s="4586"/>
      <c r="H110" s="4587"/>
      <c r="I110" s="4588"/>
      <c r="J110" s="461"/>
      <c r="K110" s="461"/>
      <c r="L110" s="461"/>
      <c r="M110" s="461"/>
      <c r="N110" s="461"/>
      <c r="O110" s="461"/>
      <c r="P110" s="461"/>
      <c r="Q110" s="461"/>
      <c r="R110" s="461"/>
      <c r="S110" s="461"/>
      <c r="T110" s="461"/>
      <c r="U110" s="461"/>
      <c r="V110" s="461"/>
      <c r="W110" s="461"/>
      <c r="CA110" s="417"/>
    </row>
    <row r="111" spans="1:89" ht="15" customHeight="1">
      <c r="A111" s="7138" t="s">
        <v>3357</v>
      </c>
      <c r="B111" s="7139"/>
      <c r="C111" s="7140"/>
      <c r="D111" s="4589">
        <f t="shared" si="28"/>
        <v>0</v>
      </c>
      <c r="E111" s="4570"/>
      <c r="F111" s="4571"/>
      <c r="G111" s="4590"/>
      <c r="H111" s="4573"/>
      <c r="I111" s="417" t="str">
        <f t="shared" si="29"/>
        <v/>
      </c>
      <c r="J111" s="461"/>
      <c r="K111" s="461"/>
      <c r="L111" s="461"/>
      <c r="M111" s="461"/>
      <c r="N111" s="461"/>
      <c r="O111" s="461"/>
      <c r="P111" s="461"/>
      <c r="Q111" s="461"/>
      <c r="R111" s="461"/>
      <c r="S111" s="461"/>
      <c r="T111" s="461"/>
      <c r="U111" s="461"/>
      <c r="V111" s="461"/>
      <c r="W111" s="461"/>
      <c r="CA111" s="1418" t="str">
        <f t="shared" si="30"/>
        <v/>
      </c>
      <c r="CK111" s="1420">
        <f t="shared" si="31"/>
        <v>0</v>
      </c>
    </row>
    <row r="112" spans="1:89" ht="15" customHeight="1">
      <c r="A112" s="7141" t="s">
        <v>2251</v>
      </c>
      <c r="B112" s="7142"/>
      <c r="C112" s="7143"/>
      <c r="D112" s="4591">
        <f t="shared" si="28"/>
        <v>0</v>
      </c>
      <c r="E112" s="4580"/>
      <c r="F112" s="4581"/>
      <c r="G112" s="4582"/>
      <c r="H112" s="4592"/>
      <c r="I112" s="417" t="str">
        <f t="shared" si="29"/>
        <v/>
      </c>
      <c r="J112" s="461"/>
      <c r="K112" s="461"/>
      <c r="L112" s="461"/>
      <c r="M112" s="461"/>
      <c r="N112" s="461"/>
      <c r="O112" s="461"/>
      <c r="P112" s="461"/>
      <c r="Q112" s="461"/>
      <c r="R112" s="461"/>
      <c r="S112" s="461"/>
      <c r="T112" s="461"/>
      <c r="U112" s="461"/>
      <c r="V112" s="461"/>
      <c r="W112" s="461"/>
      <c r="CA112" s="1418" t="str">
        <f t="shared" si="30"/>
        <v/>
      </c>
      <c r="CK112" s="1420">
        <f t="shared" si="31"/>
        <v>0</v>
      </c>
    </row>
    <row r="113" spans="1:91" ht="18" customHeight="1">
      <c r="A113" s="3449" t="s">
        <v>3358</v>
      </c>
      <c r="B113" s="4565"/>
      <c r="C113" s="4566"/>
      <c r="D113" s="461"/>
      <c r="E113" s="4567"/>
      <c r="F113" s="461"/>
      <c r="G113" s="461"/>
      <c r="H113" s="461"/>
      <c r="I113" s="461"/>
      <c r="J113" s="461"/>
      <c r="K113" s="461"/>
      <c r="L113" s="461"/>
      <c r="M113" s="461"/>
      <c r="N113" s="461"/>
      <c r="O113" s="461"/>
      <c r="P113" s="461"/>
      <c r="Q113" s="461"/>
      <c r="R113" s="461"/>
      <c r="S113" s="461"/>
      <c r="T113" s="461"/>
      <c r="U113" s="461"/>
      <c r="V113" s="461"/>
      <c r="W113" s="461"/>
    </row>
    <row r="114" spans="1:91" s="1470" customFormat="1" ht="15" customHeight="1">
      <c r="A114" s="6152" t="s">
        <v>3359</v>
      </c>
      <c r="B114" s="6153"/>
      <c r="C114" s="6154"/>
      <c r="D114" s="6137" t="s">
        <v>3348</v>
      </c>
      <c r="E114" s="5712" t="s">
        <v>3350</v>
      </c>
      <c r="F114" s="5710" t="s">
        <v>3360</v>
      </c>
      <c r="G114" s="5712"/>
      <c r="H114" s="6586" t="s">
        <v>43</v>
      </c>
      <c r="I114" s="6574"/>
      <c r="J114" s="6574"/>
      <c r="K114" s="6574"/>
      <c r="L114" s="6574"/>
      <c r="M114" s="6574"/>
      <c r="N114" s="6574"/>
      <c r="O114" s="6574"/>
      <c r="P114" s="6574"/>
      <c r="Q114" s="6574"/>
      <c r="R114" s="6574"/>
      <c r="S114" s="6574"/>
      <c r="T114" s="6574"/>
      <c r="U114" s="6893"/>
      <c r="V114" s="7131" t="s">
        <v>476</v>
      </c>
      <c r="W114" s="6154" t="s">
        <v>81</v>
      </c>
    </row>
    <row r="115" spans="1:91" s="1470" customFormat="1" ht="23.25" customHeight="1">
      <c r="A115" s="6155"/>
      <c r="B115" s="6156"/>
      <c r="C115" s="6157"/>
      <c r="D115" s="6137"/>
      <c r="E115" s="5712"/>
      <c r="F115" s="1395" t="s">
        <v>3361</v>
      </c>
      <c r="G115" s="1584" t="s">
        <v>3362</v>
      </c>
      <c r="H115" s="1396" t="s">
        <v>3363</v>
      </c>
      <c r="I115" s="1646" t="s">
        <v>346</v>
      </c>
      <c r="J115" s="1397" t="s">
        <v>347</v>
      </c>
      <c r="K115" s="1397" t="s">
        <v>108</v>
      </c>
      <c r="L115" s="1397" t="s">
        <v>58</v>
      </c>
      <c r="M115" s="1397" t="s">
        <v>59</v>
      </c>
      <c r="N115" s="1397" t="s">
        <v>60</v>
      </c>
      <c r="O115" s="1397" t="s">
        <v>61</v>
      </c>
      <c r="P115" s="1397" t="s">
        <v>62</v>
      </c>
      <c r="Q115" s="1397" t="s">
        <v>63</v>
      </c>
      <c r="R115" s="1397" t="s">
        <v>64</v>
      </c>
      <c r="S115" s="1397" t="s">
        <v>65</v>
      </c>
      <c r="T115" s="1397" t="s">
        <v>66</v>
      </c>
      <c r="U115" s="399" t="s">
        <v>67</v>
      </c>
      <c r="V115" s="7132"/>
      <c r="W115" s="6157"/>
    </row>
    <row r="116" spans="1:91" s="1470" customFormat="1" ht="15" customHeight="1">
      <c r="A116" s="6394" t="s">
        <v>3364</v>
      </c>
      <c r="B116" s="7133"/>
      <c r="C116" s="6395"/>
      <c r="D116" s="4593"/>
      <c r="E116" s="4594">
        <f t="shared" ref="E116:E118" si="32">+F116+G116+H116+I116+J116+K116+L116+M116+N116+O116+P116+Q116+R116+S116+T116+U116</f>
        <v>0</v>
      </c>
      <c r="F116" s="4570"/>
      <c r="G116" s="4595"/>
      <c r="H116" s="4596"/>
      <c r="I116" s="4571"/>
      <c r="J116" s="4571"/>
      <c r="K116" s="4571"/>
      <c r="L116" s="4571"/>
      <c r="M116" s="4571"/>
      <c r="N116" s="4571"/>
      <c r="O116" s="4571"/>
      <c r="P116" s="4571"/>
      <c r="Q116" s="4571"/>
      <c r="R116" s="4571"/>
      <c r="S116" s="4571"/>
      <c r="T116" s="4571"/>
      <c r="U116" s="4597"/>
      <c r="V116" s="4598"/>
      <c r="W116" s="4595"/>
      <c r="X116" s="1470" t="str">
        <f t="shared" ref="X116:X118" si="33">CA116&amp;CB116&amp;CC116</f>
        <v/>
      </c>
      <c r="CA116" s="1418" t="str">
        <f t="shared" ref="CA116:CA118" si="34">IF(AND(E116&gt;0,V116="")," * No olvide digitar la variable Gestantes. Digite CERO si no tiene.","")</f>
        <v/>
      </c>
      <c r="CB116" s="1418" t="str">
        <f t="shared" ref="CB116:CB118" si="35">IF(AND(E116&gt;0,W116="")," * No olvide digitar la variable Post Parto. Digite CERO si no tiene.","")</f>
        <v/>
      </c>
      <c r="CC116" s="1418" t="str">
        <f t="shared" ref="CC116:CC118" si="36">IF((V116+W116)&gt;E116," * La suma de Gestantes + Post Parto debe ser menor o igual al Nº de Participantes.","")</f>
        <v/>
      </c>
      <c r="CK116" s="1420">
        <f t="shared" ref="CK116:CK118" si="37">IF(AND(E116&gt;0,V116=""),1,0)</f>
        <v>0</v>
      </c>
      <c r="CL116" s="1420">
        <f t="shared" ref="CL116:CL118" si="38">IF(AND(E116&gt;0,W116=""),1,0)</f>
        <v>0</v>
      </c>
      <c r="CM116" s="1420">
        <f t="shared" ref="CM116:CM118" si="39">IF((V116+W116)&gt;E116,1,0)</f>
        <v>0</v>
      </c>
    </row>
    <row r="117" spans="1:91" s="1470" customFormat="1" ht="15" customHeight="1">
      <c r="A117" s="6181" t="s">
        <v>3365</v>
      </c>
      <c r="B117" s="6564"/>
      <c r="C117" s="6182"/>
      <c r="D117" s="4599"/>
      <c r="E117" s="4600">
        <f t="shared" si="32"/>
        <v>0</v>
      </c>
      <c r="F117" s="4575"/>
      <c r="G117" s="4601"/>
      <c r="H117" s="4602"/>
      <c r="I117" s="4576"/>
      <c r="J117" s="4576"/>
      <c r="K117" s="4576"/>
      <c r="L117" s="4576"/>
      <c r="M117" s="4576"/>
      <c r="N117" s="4576"/>
      <c r="O117" s="4576"/>
      <c r="P117" s="4576"/>
      <c r="Q117" s="4576"/>
      <c r="R117" s="4576"/>
      <c r="S117" s="4576"/>
      <c r="T117" s="4576"/>
      <c r="U117" s="4603"/>
      <c r="V117" s="4604"/>
      <c r="W117" s="4601"/>
      <c r="X117" s="1470" t="str">
        <f t="shared" si="33"/>
        <v/>
      </c>
      <c r="CA117" s="1418" t="str">
        <f t="shared" si="34"/>
        <v/>
      </c>
      <c r="CB117" s="1418" t="str">
        <f t="shared" si="35"/>
        <v/>
      </c>
      <c r="CC117" s="1418" t="str">
        <f t="shared" si="36"/>
        <v/>
      </c>
      <c r="CK117" s="1420">
        <f t="shared" si="37"/>
        <v>0</v>
      </c>
      <c r="CL117" s="1420">
        <f t="shared" si="38"/>
        <v>0</v>
      </c>
      <c r="CM117" s="1420">
        <f t="shared" si="39"/>
        <v>0</v>
      </c>
    </row>
    <row r="118" spans="1:91" s="1470" customFormat="1" ht="15" customHeight="1">
      <c r="A118" s="6618" t="s">
        <v>3366</v>
      </c>
      <c r="B118" s="6619"/>
      <c r="C118" s="6620"/>
      <c r="D118" s="4605"/>
      <c r="E118" s="4606">
        <f t="shared" si="32"/>
        <v>0</v>
      </c>
      <c r="F118" s="4580"/>
      <c r="G118" s="4607"/>
      <c r="H118" s="4608"/>
      <c r="I118" s="4581"/>
      <c r="J118" s="4581"/>
      <c r="K118" s="4581"/>
      <c r="L118" s="4581"/>
      <c r="M118" s="4581"/>
      <c r="N118" s="4581"/>
      <c r="O118" s="4581"/>
      <c r="P118" s="4581"/>
      <c r="Q118" s="4581"/>
      <c r="R118" s="4581"/>
      <c r="S118" s="4581"/>
      <c r="T118" s="4581"/>
      <c r="U118" s="4609"/>
      <c r="V118" s="4610"/>
      <c r="W118" s="4607"/>
      <c r="X118" s="1470" t="str">
        <f t="shared" si="33"/>
        <v/>
      </c>
      <c r="CA118" s="1418" t="str">
        <f t="shared" si="34"/>
        <v/>
      </c>
      <c r="CB118" s="1418" t="str">
        <f t="shared" si="35"/>
        <v/>
      </c>
      <c r="CC118" s="1418" t="str">
        <f t="shared" si="36"/>
        <v/>
      </c>
      <c r="CK118" s="1420">
        <f t="shared" si="37"/>
        <v>0</v>
      </c>
      <c r="CL118" s="1420">
        <f t="shared" si="38"/>
        <v>0</v>
      </c>
      <c r="CM118" s="1420">
        <f t="shared" si="39"/>
        <v>0</v>
      </c>
    </row>
    <row r="119" spans="1:91" ht="18" customHeight="1">
      <c r="A119" s="3449" t="s">
        <v>3367</v>
      </c>
      <c r="B119" s="4566"/>
      <c r="C119" s="4566"/>
      <c r="D119" s="4611"/>
      <c r="E119" s="461"/>
      <c r="F119" s="461"/>
      <c r="G119" s="461"/>
      <c r="H119" s="1493"/>
      <c r="I119" s="461"/>
      <c r="J119" s="461"/>
      <c r="K119" s="461"/>
      <c r="L119" s="461"/>
      <c r="M119" s="461"/>
    </row>
    <row r="120" spans="1:91" s="1470" customFormat="1" ht="15" customHeight="1">
      <c r="A120" s="6153" t="s">
        <v>3368</v>
      </c>
      <c r="B120" s="6153"/>
      <c r="C120" s="6154"/>
      <c r="D120" s="6137" t="s">
        <v>3369</v>
      </c>
      <c r="E120" s="5707" t="s">
        <v>43</v>
      </c>
      <c r="F120" s="5708"/>
      <c r="G120" s="5708"/>
      <c r="H120" s="5708"/>
      <c r="I120" s="5708"/>
      <c r="J120" s="6147"/>
      <c r="K120" s="5708" t="s">
        <v>2422</v>
      </c>
      <c r="L120" s="5709"/>
    </row>
    <row r="121" spans="1:91" s="1470" customFormat="1" ht="15" customHeight="1">
      <c r="A121" s="6156"/>
      <c r="B121" s="6156"/>
      <c r="C121" s="6157"/>
      <c r="D121" s="6137"/>
      <c r="E121" s="1395" t="s">
        <v>324</v>
      </c>
      <c r="F121" s="1396" t="s">
        <v>325</v>
      </c>
      <c r="G121" s="1646" t="s">
        <v>326</v>
      </c>
      <c r="H121" s="1646" t="s">
        <v>327</v>
      </c>
      <c r="I121" s="1495" t="s">
        <v>328</v>
      </c>
      <c r="J121" s="1398" t="s">
        <v>389</v>
      </c>
      <c r="K121" s="1396" t="s">
        <v>72</v>
      </c>
      <c r="L121" s="393" t="s">
        <v>73</v>
      </c>
    </row>
    <row r="122" spans="1:91" s="1470" customFormat="1" ht="15" customHeight="1">
      <c r="A122" s="6647" t="s">
        <v>3370</v>
      </c>
      <c r="B122" s="6130"/>
      <c r="C122" s="2392" t="s">
        <v>3371</v>
      </c>
      <c r="D122" s="1947">
        <f t="shared" ref="D122:D130" si="40">SUM(E122:J122)</f>
        <v>0</v>
      </c>
      <c r="E122" s="1424"/>
      <c r="F122" s="1425"/>
      <c r="G122" s="1426"/>
      <c r="H122" s="1426"/>
      <c r="I122" s="1426"/>
      <c r="J122" s="1650"/>
      <c r="K122" s="1425"/>
      <c r="L122" s="1436"/>
      <c r="M122" s="4588" t="str">
        <f t="shared" ref="M122:M130" si="41">CA122&amp;CB122</f>
        <v/>
      </c>
      <c r="CA122" s="418" t="str">
        <f t="shared" ref="CA122:CA130" si="42">IF((K122+L122)&lt;&gt;D122," * El Nº de intervenciones debe ser igual a la suma por Sexo (Hombres + Mujeres).","")</f>
        <v/>
      </c>
      <c r="CB122" s="417"/>
      <c r="CK122" s="419">
        <f t="shared" ref="CK122:CK130" si="43">IF((K122+L122)&lt;&gt;D122,1,0)</f>
        <v>0</v>
      </c>
    </row>
    <row r="123" spans="1:91" s="1470" customFormat="1" ht="15" customHeight="1">
      <c r="A123" s="6648"/>
      <c r="B123" s="6131"/>
      <c r="C123" s="4612" t="s">
        <v>3372</v>
      </c>
      <c r="D123" s="1947">
        <f t="shared" si="40"/>
        <v>0</v>
      </c>
      <c r="E123" s="1440"/>
      <c r="F123" s="1441"/>
      <c r="G123" s="1442"/>
      <c r="H123" s="1442"/>
      <c r="I123" s="1442"/>
      <c r="J123" s="1655"/>
      <c r="K123" s="1441"/>
      <c r="L123" s="1452"/>
      <c r="M123" s="4588" t="str">
        <f t="shared" si="41"/>
        <v/>
      </c>
      <c r="CA123" s="418" t="str">
        <f t="shared" si="42"/>
        <v/>
      </c>
      <c r="CB123" s="417"/>
      <c r="CK123" s="419">
        <f t="shared" si="43"/>
        <v>0</v>
      </c>
    </row>
    <row r="124" spans="1:91" s="1470" customFormat="1" ht="15" customHeight="1">
      <c r="A124" s="6649"/>
      <c r="B124" s="6132"/>
      <c r="C124" s="4612" t="s">
        <v>3373</v>
      </c>
      <c r="D124" s="1506">
        <f t="shared" si="40"/>
        <v>0</v>
      </c>
      <c r="E124" s="1455"/>
      <c r="F124" s="1456"/>
      <c r="G124" s="1457"/>
      <c r="H124" s="1457"/>
      <c r="I124" s="1457"/>
      <c r="J124" s="1660"/>
      <c r="K124" s="1456"/>
      <c r="L124" s="1467"/>
      <c r="M124" s="4588" t="str">
        <f t="shared" si="41"/>
        <v/>
      </c>
      <c r="CA124" s="418" t="str">
        <f t="shared" si="42"/>
        <v/>
      </c>
      <c r="CB124" s="417"/>
      <c r="CK124" s="419">
        <f t="shared" si="43"/>
        <v>0</v>
      </c>
    </row>
    <row r="125" spans="1:91" s="1470" customFormat="1" ht="15" customHeight="1">
      <c r="A125" s="6647" t="s">
        <v>3374</v>
      </c>
      <c r="B125" s="6130"/>
      <c r="C125" s="2392" t="s">
        <v>3371</v>
      </c>
      <c r="D125" s="1946">
        <f t="shared" si="40"/>
        <v>0</v>
      </c>
      <c r="E125" s="1480"/>
      <c r="F125" s="1796"/>
      <c r="G125" s="1541"/>
      <c r="H125" s="1541"/>
      <c r="I125" s="1541"/>
      <c r="J125" s="1725"/>
      <c r="K125" s="1796"/>
      <c r="L125" s="1545"/>
      <c r="M125" s="4588" t="str">
        <f t="shared" si="41"/>
        <v/>
      </c>
      <c r="CA125" s="418" t="str">
        <f t="shared" si="42"/>
        <v/>
      </c>
      <c r="CB125" s="417"/>
      <c r="CK125" s="419">
        <f t="shared" si="43"/>
        <v>0</v>
      </c>
    </row>
    <row r="126" spans="1:91" s="1470" customFormat="1" ht="15" customHeight="1">
      <c r="A126" s="6648"/>
      <c r="B126" s="6131"/>
      <c r="C126" s="4612" t="s">
        <v>3372</v>
      </c>
      <c r="D126" s="1947">
        <f t="shared" si="40"/>
        <v>0</v>
      </c>
      <c r="E126" s="1485"/>
      <c r="F126" s="1826"/>
      <c r="G126" s="1712"/>
      <c r="H126" s="1712"/>
      <c r="I126" s="1712"/>
      <c r="J126" s="1710"/>
      <c r="K126" s="1826"/>
      <c r="L126" s="1692"/>
      <c r="M126" s="4588" t="str">
        <f t="shared" si="41"/>
        <v/>
      </c>
      <c r="CA126" s="418" t="str">
        <f t="shared" si="42"/>
        <v/>
      </c>
      <c r="CB126" s="417"/>
      <c r="CK126" s="419">
        <f t="shared" si="43"/>
        <v>0</v>
      </c>
    </row>
    <row r="127" spans="1:91" s="1470" customFormat="1" ht="15" customHeight="1">
      <c r="A127" s="6649"/>
      <c r="B127" s="6132"/>
      <c r="C127" s="4612" t="s">
        <v>3373</v>
      </c>
      <c r="D127" s="1506">
        <f t="shared" si="40"/>
        <v>0</v>
      </c>
      <c r="E127" s="1485"/>
      <c r="F127" s="1826"/>
      <c r="G127" s="1712"/>
      <c r="H127" s="1712"/>
      <c r="I127" s="1712"/>
      <c r="J127" s="1710"/>
      <c r="K127" s="1826"/>
      <c r="L127" s="1692"/>
      <c r="M127" s="4588" t="str">
        <f t="shared" si="41"/>
        <v/>
      </c>
      <c r="CA127" s="418" t="str">
        <f t="shared" si="42"/>
        <v/>
      </c>
      <c r="CB127" s="417"/>
      <c r="CK127" s="419">
        <f t="shared" si="43"/>
        <v>0</v>
      </c>
    </row>
    <row r="128" spans="1:91" s="1470" customFormat="1" ht="15" customHeight="1">
      <c r="A128" s="6647" t="s">
        <v>3375</v>
      </c>
      <c r="B128" s="6130"/>
      <c r="C128" s="2392" t="s">
        <v>3371</v>
      </c>
      <c r="D128" s="1946">
        <f t="shared" si="40"/>
        <v>0</v>
      </c>
      <c r="E128" s="1424"/>
      <c r="F128" s="1425"/>
      <c r="G128" s="1426"/>
      <c r="H128" s="1426"/>
      <c r="I128" s="1426"/>
      <c r="J128" s="1650"/>
      <c r="K128" s="1425"/>
      <c r="L128" s="1436"/>
      <c r="M128" s="4588" t="str">
        <f t="shared" si="41"/>
        <v/>
      </c>
      <c r="CA128" s="418" t="str">
        <f t="shared" si="42"/>
        <v/>
      </c>
      <c r="CB128" s="417"/>
      <c r="CK128" s="419">
        <f t="shared" si="43"/>
        <v>0</v>
      </c>
    </row>
    <row r="129" spans="1:89" s="1470" customFormat="1" ht="15" customHeight="1">
      <c r="A129" s="6648"/>
      <c r="B129" s="6131"/>
      <c r="C129" s="4612" t="s">
        <v>3372</v>
      </c>
      <c r="D129" s="1947">
        <f t="shared" si="40"/>
        <v>0</v>
      </c>
      <c r="E129" s="1440"/>
      <c r="F129" s="1441"/>
      <c r="G129" s="1442"/>
      <c r="H129" s="1442"/>
      <c r="I129" s="1442"/>
      <c r="J129" s="1655"/>
      <c r="K129" s="1441"/>
      <c r="L129" s="1452"/>
      <c r="M129" s="4588" t="str">
        <f t="shared" si="41"/>
        <v/>
      </c>
      <c r="CA129" s="418" t="str">
        <f t="shared" si="42"/>
        <v/>
      </c>
      <c r="CB129" s="417"/>
      <c r="CK129" s="419">
        <f t="shared" si="43"/>
        <v>0</v>
      </c>
    </row>
    <row r="130" spans="1:89" s="1470" customFormat="1" ht="15" customHeight="1">
      <c r="A130" s="6649"/>
      <c r="B130" s="6132"/>
      <c r="C130" s="4612" t="s">
        <v>3373</v>
      </c>
      <c r="D130" s="1506">
        <f t="shared" si="40"/>
        <v>0</v>
      </c>
      <c r="E130" s="1455"/>
      <c r="F130" s="1456"/>
      <c r="G130" s="1457"/>
      <c r="H130" s="1457"/>
      <c r="I130" s="1457"/>
      <c r="J130" s="1660"/>
      <c r="K130" s="1456"/>
      <c r="L130" s="1467"/>
      <c r="M130" s="4588" t="str">
        <f t="shared" si="41"/>
        <v/>
      </c>
      <c r="CA130" s="418" t="str">
        <f t="shared" si="42"/>
        <v/>
      </c>
      <c r="CB130" s="417"/>
      <c r="CK130" s="419">
        <f t="shared" si="43"/>
        <v>0</v>
      </c>
    </row>
    <row r="131" spans="1:89" ht="18" customHeight="1">
      <c r="A131" s="3449" t="s">
        <v>3376</v>
      </c>
      <c r="B131" s="4565"/>
      <c r="C131" s="4565"/>
      <c r="D131" s="4565"/>
      <c r="E131" s="4613"/>
      <c r="F131" s="4613"/>
      <c r="G131" s="461"/>
      <c r="H131" s="461"/>
      <c r="I131" s="461"/>
      <c r="J131" s="461"/>
      <c r="K131" s="461"/>
      <c r="L131" s="461"/>
    </row>
    <row r="132" spans="1:89" ht="24" customHeight="1">
      <c r="A132" s="2106" t="s">
        <v>305</v>
      </c>
      <c r="B132" s="1575" t="s">
        <v>3377</v>
      </c>
      <c r="C132" s="1402" t="s">
        <v>3378</v>
      </c>
      <c r="D132" s="395" t="s">
        <v>3343</v>
      </c>
      <c r="E132" s="461"/>
      <c r="F132" s="461"/>
      <c r="G132" s="461"/>
      <c r="H132" s="461"/>
      <c r="I132" s="461"/>
      <c r="J132" s="461"/>
      <c r="K132" s="461"/>
      <c r="L132" s="461"/>
    </row>
    <row r="133" spans="1:89" ht="15" customHeight="1">
      <c r="A133" s="4614" t="s">
        <v>3379</v>
      </c>
      <c r="B133" s="1578"/>
      <c r="C133" s="1585"/>
      <c r="D133" s="1478"/>
      <c r="E133" s="4615"/>
      <c r="F133" s="461"/>
      <c r="G133" s="461"/>
      <c r="H133" s="461"/>
      <c r="I133" s="461"/>
      <c r="J133" s="461"/>
      <c r="K133" s="461"/>
      <c r="L133" s="461"/>
    </row>
    <row r="134" spans="1:89" ht="18" customHeight="1">
      <c r="A134" s="3449" t="s">
        <v>3380</v>
      </c>
      <c r="B134" s="4565"/>
      <c r="C134" s="4565"/>
      <c r="D134" s="4565"/>
      <c r="E134" s="4616"/>
      <c r="F134" s="4616"/>
      <c r="G134" s="4616"/>
      <c r="H134" s="4616"/>
      <c r="I134" s="4616"/>
      <c r="J134" s="461"/>
      <c r="K134" s="461"/>
      <c r="L134" s="461"/>
    </row>
    <row r="135" spans="1:89" s="1470" customFormat="1" ht="15" customHeight="1">
      <c r="A135" s="5705" t="s">
        <v>305</v>
      </c>
      <c r="B135" s="5710" t="s">
        <v>3381</v>
      </c>
      <c r="C135" s="6106"/>
      <c r="D135" s="6106"/>
      <c r="E135" s="6106"/>
      <c r="F135" s="6106"/>
      <c r="G135" s="6106"/>
      <c r="H135" s="6106"/>
      <c r="I135" s="5712"/>
      <c r="J135" s="382"/>
      <c r="K135" s="382"/>
      <c r="L135" s="382"/>
    </row>
    <row r="136" spans="1:89" s="1470" customFormat="1" ht="42.75" customHeight="1">
      <c r="A136" s="5706"/>
      <c r="B136" s="391" t="s">
        <v>3382</v>
      </c>
      <c r="C136" s="1395" t="s">
        <v>3383</v>
      </c>
      <c r="D136" s="1646" t="s">
        <v>3384</v>
      </c>
      <c r="E136" s="1646" t="s">
        <v>3385</v>
      </c>
      <c r="F136" s="1646" t="s">
        <v>3386</v>
      </c>
      <c r="G136" s="1646" t="s">
        <v>3387</v>
      </c>
      <c r="H136" s="1646" t="s">
        <v>3388</v>
      </c>
      <c r="I136" s="393" t="s">
        <v>3389</v>
      </c>
      <c r="J136" s="382"/>
      <c r="K136" s="382"/>
      <c r="L136" s="382"/>
    </row>
    <row r="137" spans="1:89" s="1470" customFormat="1" ht="31.5">
      <c r="A137" s="2056" t="s">
        <v>3390</v>
      </c>
      <c r="B137" s="1423">
        <f t="shared" ref="B137:B139" si="44">SUM(C137:I137)</f>
        <v>0</v>
      </c>
      <c r="C137" s="1424"/>
      <c r="D137" s="1426"/>
      <c r="E137" s="1426"/>
      <c r="F137" s="1426"/>
      <c r="G137" s="1426"/>
      <c r="H137" s="1426"/>
      <c r="I137" s="1436"/>
      <c r="J137" s="382"/>
      <c r="K137" s="382"/>
      <c r="L137" s="382"/>
    </row>
    <row r="138" spans="1:89" s="1470" customFormat="1" ht="21">
      <c r="A138" s="2057" t="s">
        <v>3391</v>
      </c>
      <c r="B138" s="1439">
        <f t="shared" si="44"/>
        <v>0</v>
      </c>
      <c r="C138" s="1440"/>
      <c r="D138" s="1442"/>
      <c r="E138" s="1442"/>
      <c r="F138" s="1442"/>
      <c r="G138" s="1442"/>
      <c r="H138" s="1442"/>
      <c r="I138" s="1452"/>
      <c r="J138" s="382"/>
      <c r="K138" s="382"/>
      <c r="L138" s="382"/>
    </row>
    <row r="139" spans="1:89" s="1470" customFormat="1" ht="15" customHeight="1">
      <c r="A139" s="4617" t="s">
        <v>3392</v>
      </c>
      <c r="B139" s="4500">
        <f t="shared" si="44"/>
        <v>0</v>
      </c>
      <c r="C139" s="1528"/>
      <c r="D139" s="1529"/>
      <c r="E139" s="1529"/>
      <c r="F139" s="1529"/>
      <c r="G139" s="1529"/>
      <c r="H139" s="1529"/>
      <c r="I139" s="1534"/>
      <c r="J139" s="382"/>
      <c r="K139" s="382"/>
      <c r="L139" s="382"/>
    </row>
    <row r="140" spans="1:89" ht="18" customHeight="1">
      <c r="A140" s="3449" t="s">
        <v>3393</v>
      </c>
      <c r="B140" s="461"/>
      <c r="C140" s="461"/>
      <c r="D140" s="461"/>
      <c r="E140" s="461"/>
      <c r="F140" s="461"/>
      <c r="G140" s="461"/>
      <c r="H140" s="461"/>
      <c r="I140" s="461"/>
      <c r="J140" s="461"/>
      <c r="K140" s="461"/>
      <c r="L140" s="461"/>
      <c r="M140" s="461"/>
    </row>
    <row r="141" spans="1:89" s="1470" customFormat="1" ht="15" customHeight="1">
      <c r="A141" s="5705" t="s">
        <v>305</v>
      </c>
      <c r="B141" s="5718" t="s">
        <v>3394</v>
      </c>
      <c r="C141" s="6879" t="s">
        <v>3395</v>
      </c>
      <c r="D141" s="6230"/>
      <c r="E141" s="6230"/>
      <c r="F141" s="6230"/>
      <c r="G141" s="6230"/>
      <c r="H141" s="6230"/>
      <c r="I141" s="6230"/>
      <c r="J141" s="6230"/>
      <c r="K141" s="6230"/>
      <c r="L141" s="6230"/>
      <c r="M141" s="6231"/>
    </row>
    <row r="142" spans="1:89" s="1470" customFormat="1" ht="31.5">
      <c r="A142" s="5706"/>
      <c r="B142" s="5719"/>
      <c r="C142" s="1395" t="s">
        <v>3396</v>
      </c>
      <c r="D142" s="1646" t="s">
        <v>3397</v>
      </c>
      <c r="E142" s="1646" t="s">
        <v>3398</v>
      </c>
      <c r="F142" s="1646" t="s">
        <v>3399</v>
      </c>
      <c r="G142" s="1646" t="s">
        <v>3400</v>
      </c>
      <c r="H142" s="1646" t="s">
        <v>3401</v>
      </c>
      <c r="I142" s="1646" t="s">
        <v>3402</v>
      </c>
      <c r="J142" s="1646" t="s">
        <v>3403</v>
      </c>
      <c r="K142" s="1646" t="s">
        <v>3404</v>
      </c>
      <c r="L142" s="1646" t="s">
        <v>3405</v>
      </c>
      <c r="M142" s="393" t="s">
        <v>3406</v>
      </c>
    </row>
    <row r="143" spans="1:89" s="1470" customFormat="1" ht="21">
      <c r="A143" s="2056" t="s">
        <v>3407</v>
      </c>
      <c r="B143" s="1423">
        <f t="shared" ref="B143:B144" si="45">SUM(C143:M143)</f>
        <v>0</v>
      </c>
      <c r="C143" s="1424"/>
      <c r="D143" s="1426"/>
      <c r="E143" s="1426"/>
      <c r="F143" s="1426"/>
      <c r="G143" s="1426"/>
      <c r="H143" s="1426"/>
      <c r="I143" s="1426"/>
      <c r="J143" s="1426"/>
      <c r="K143" s="1426"/>
      <c r="L143" s="1426"/>
      <c r="M143" s="1436"/>
    </row>
    <row r="144" spans="1:89" s="1470" customFormat="1" ht="42">
      <c r="A144" s="2089" t="s">
        <v>3408</v>
      </c>
      <c r="B144" s="4500">
        <f t="shared" si="45"/>
        <v>0</v>
      </c>
      <c r="C144" s="1528"/>
      <c r="D144" s="1529"/>
      <c r="E144" s="1529"/>
      <c r="F144" s="1529"/>
      <c r="G144" s="1529"/>
      <c r="H144" s="1529"/>
      <c r="I144" s="1529"/>
      <c r="J144" s="1529"/>
      <c r="K144" s="1529"/>
      <c r="L144" s="1529"/>
      <c r="M144" s="1534"/>
    </row>
    <row r="145" spans="1:92" ht="18" customHeight="1">
      <c r="A145" s="3449" t="s">
        <v>3409</v>
      </c>
      <c r="B145" s="4618"/>
      <c r="C145" s="461"/>
      <c r="D145" s="461"/>
      <c r="E145" s="461"/>
      <c r="F145" s="461"/>
      <c r="G145" s="461"/>
      <c r="H145" s="461"/>
      <c r="I145" s="461"/>
      <c r="J145" s="461"/>
      <c r="K145" s="461"/>
      <c r="L145" s="461"/>
      <c r="M145" s="461"/>
      <c r="N145" s="461"/>
      <c r="O145" s="461"/>
      <c r="P145" s="461"/>
    </row>
    <row r="146" spans="1:92" s="1470" customFormat="1" ht="15" customHeight="1">
      <c r="A146" s="5705" t="s">
        <v>305</v>
      </c>
      <c r="B146" s="6256" t="s">
        <v>3410</v>
      </c>
      <c r="C146" s="7124" t="s">
        <v>43</v>
      </c>
      <c r="D146" s="6370"/>
      <c r="E146" s="6370"/>
      <c r="F146" s="6728"/>
      <c r="G146" s="5714" t="s">
        <v>50</v>
      </c>
      <c r="H146" s="5718" t="s">
        <v>51</v>
      </c>
      <c r="I146" s="382"/>
      <c r="J146" s="382"/>
      <c r="K146" s="382"/>
      <c r="L146" s="382"/>
      <c r="M146" s="382"/>
      <c r="N146" s="382"/>
      <c r="O146" s="382"/>
      <c r="P146" s="382"/>
    </row>
    <row r="147" spans="1:92" s="1470" customFormat="1" ht="30" customHeight="1">
      <c r="A147" s="5706"/>
      <c r="B147" s="6258"/>
      <c r="C147" s="1733" t="s">
        <v>631</v>
      </c>
      <c r="D147" s="1646" t="s">
        <v>632</v>
      </c>
      <c r="E147" s="1646" t="s">
        <v>633</v>
      </c>
      <c r="F147" s="1398" t="s">
        <v>634</v>
      </c>
      <c r="G147" s="5715"/>
      <c r="H147" s="5719"/>
      <c r="I147" s="382"/>
      <c r="J147" s="382"/>
      <c r="K147" s="382"/>
      <c r="L147" s="382"/>
      <c r="M147" s="382"/>
      <c r="N147" s="382"/>
      <c r="O147" s="382"/>
      <c r="P147" s="382"/>
    </row>
    <row r="148" spans="1:92" s="1470" customFormat="1" ht="21">
      <c r="A148" s="2056" t="s">
        <v>3411</v>
      </c>
      <c r="B148" s="1990"/>
      <c r="C148" s="1707"/>
      <c r="D148" s="1426"/>
      <c r="E148" s="1426"/>
      <c r="F148" s="1428"/>
      <c r="G148" s="1652"/>
      <c r="H148" s="1430"/>
      <c r="I148" s="4588" t="str">
        <f>CA148&amp;CB148</f>
        <v/>
      </c>
      <c r="J148" s="461"/>
      <c r="K148" s="461"/>
      <c r="L148" s="461"/>
      <c r="M148" s="461"/>
      <c r="N148" s="461"/>
      <c r="O148" s="461"/>
      <c r="P148" s="461"/>
      <c r="Q148" s="461"/>
      <c r="R148" s="461"/>
      <c r="S148" s="461"/>
      <c r="T148" s="461"/>
      <c r="U148" s="461"/>
      <c r="V148" s="461"/>
      <c r="W148" s="461"/>
      <c r="X148" s="461"/>
      <c r="Y148" s="461"/>
      <c r="Z148" s="461"/>
      <c r="AA148" s="461"/>
      <c r="AB148" s="461"/>
      <c r="AC148" s="461"/>
      <c r="AD148" s="461"/>
      <c r="AE148" s="461"/>
      <c r="AF148" s="461"/>
      <c r="AG148" s="461"/>
      <c r="AH148" s="461"/>
      <c r="AI148" s="461"/>
      <c r="AJ148" s="461"/>
      <c r="AK148" s="461"/>
      <c r="AL148" s="461"/>
      <c r="AM148" s="461"/>
      <c r="AN148" s="461"/>
      <c r="AO148" s="461"/>
      <c r="AP148" s="461"/>
      <c r="AQ148" s="461"/>
      <c r="AR148" s="461"/>
      <c r="AS148" s="461"/>
      <c r="AT148" s="461"/>
      <c r="AU148" s="461"/>
      <c r="AV148" s="461"/>
      <c r="AW148" s="461"/>
      <c r="AX148" s="461"/>
      <c r="AY148" s="461"/>
      <c r="AZ148" s="461"/>
      <c r="BA148" s="461"/>
      <c r="BB148" s="461"/>
      <c r="BC148" s="461"/>
      <c r="BD148" s="461"/>
      <c r="BE148" s="461"/>
      <c r="BF148" s="461"/>
      <c r="BG148" s="461"/>
      <c r="BH148" s="461"/>
      <c r="BI148" s="461"/>
      <c r="BJ148" s="461"/>
      <c r="BK148" s="461"/>
      <c r="BL148" s="461"/>
      <c r="BM148" s="461"/>
      <c r="BN148" s="461"/>
      <c r="BO148" s="461"/>
      <c r="BP148" s="461"/>
      <c r="BQ148" s="461"/>
      <c r="BR148" s="461"/>
      <c r="BS148" s="461"/>
      <c r="BT148" s="461"/>
      <c r="BU148" s="461"/>
      <c r="BV148" s="461"/>
      <c r="BW148" s="461"/>
      <c r="BX148" s="461"/>
      <c r="BY148" s="3561"/>
      <c r="BZ148" s="3561"/>
      <c r="CA148" s="1418" t="str">
        <f t="shared" ref="CA148:CA149" si="46">IF(AND(C148+D148+E148+F148&gt;0,G148="")," * No olvide digitar la variable Pueblos Originarios. Digite Cero si no tiene.",IF(G148&gt;C148+D148+E148+F148," * La variable Pueblos Originarios No puede ser mayor a la suma de Rangos Etarios.",""))</f>
        <v/>
      </c>
      <c r="CB148" s="1418" t="str">
        <f t="shared" ref="CB148:CB149" si="47">IF(AND(D148+C148+E148+F148&gt;0,H148="")," * No olvide digitar la variable Migrantes. Digite Cero si no tiene.",IF(H148&gt;C148+D148+E148+F148," * La variable Migrantes No puede ser mayor a la suma de Rangos Etarios.",""))</f>
        <v/>
      </c>
      <c r="CC148" s="417"/>
      <c r="CD148" s="417"/>
      <c r="CE148" s="417"/>
      <c r="CF148" s="417"/>
      <c r="CK148" s="3375">
        <f t="shared" ref="CK148:CK149" si="48">IF(AND(G148="",SUM(C148:F148)&lt;&gt;0),1,0)</f>
        <v>0</v>
      </c>
      <c r="CL148" s="3375">
        <f t="shared" ref="CL148:CL149" si="49">IF(AND(H148="",SUM(C148:F148)&lt;&gt;0),1,0)</f>
        <v>0</v>
      </c>
      <c r="CM148" s="3375">
        <f t="shared" ref="CM148:CM149" si="50">IF(SUM(C148:F148)&lt;G148,1,0)</f>
        <v>0</v>
      </c>
      <c r="CN148" s="3375">
        <f t="shared" ref="CN148:CN149" si="51">IF(SUM(C148:F148)&lt;H148,1,0)</f>
        <v>0</v>
      </c>
    </row>
    <row r="149" spans="1:92" s="1470" customFormat="1" ht="21">
      <c r="A149" s="2089" t="s">
        <v>3412</v>
      </c>
      <c r="B149" s="4619"/>
      <c r="C149" s="1722"/>
      <c r="D149" s="1529"/>
      <c r="E149" s="1529"/>
      <c r="F149" s="1553"/>
      <c r="G149" s="1800"/>
      <c r="H149" s="1533"/>
      <c r="I149" s="4588" t="str">
        <f>CA149&amp;CB149&amp;CC149&amp;CD149</f>
        <v/>
      </c>
      <c r="J149" s="461"/>
      <c r="K149" s="461"/>
      <c r="L149" s="461"/>
      <c r="M149" s="461"/>
      <c r="N149" s="461"/>
      <c r="O149" s="461"/>
      <c r="P149" s="461"/>
      <c r="Q149" s="461"/>
      <c r="R149" s="461"/>
      <c r="S149" s="461"/>
      <c r="T149" s="461"/>
      <c r="U149" s="461"/>
      <c r="V149" s="461"/>
      <c r="W149" s="461"/>
      <c r="X149" s="461"/>
      <c r="Y149" s="461"/>
      <c r="Z149" s="461"/>
      <c r="AA149" s="461"/>
      <c r="AB149" s="461"/>
      <c r="AC149" s="461"/>
      <c r="AD149" s="461"/>
      <c r="AE149" s="461"/>
      <c r="AF149" s="461"/>
      <c r="AG149" s="461"/>
      <c r="AH149" s="461"/>
      <c r="AI149" s="461"/>
      <c r="AJ149" s="461"/>
      <c r="AK149" s="461"/>
      <c r="AL149" s="461"/>
      <c r="AM149" s="461"/>
      <c r="AN149" s="461"/>
      <c r="AO149" s="461"/>
      <c r="AP149" s="461"/>
      <c r="AQ149" s="461"/>
      <c r="AR149" s="461"/>
      <c r="AS149" s="461"/>
      <c r="AT149" s="461"/>
      <c r="AU149" s="461"/>
      <c r="AV149" s="461"/>
      <c r="AW149" s="461"/>
      <c r="AX149" s="461"/>
      <c r="AY149" s="461"/>
      <c r="AZ149" s="461"/>
      <c r="BA149" s="461"/>
      <c r="BB149" s="461"/>
      <c r="BC149" s="461"/>
      <c r="BD149" s="461"/>
      <c r="BE149" s="461"/>
      <c r="BF149" s="461"/>
      <c r="BG149" s="461"/>
      <c r="BH149" s="461"/>
      <c r="BI149" s="461"/>
      <c r="BJ149" s="461"/>
      <c r="BK149" s="461"/>
      <c r="BL149" s="461"/>
      <c r="BM149" s="461"/>
      <c r="BN149" s="461"/>
      <c r="BO149" s="461"/>
      <c r="BP149" s="461"/>
      <c r="BQ149" s="461"/>
      <c r="BR149" s="461"/>
      <c r="BS149" s="461"/>
      <c r="BT149" s="461"/>
      <c r="BU149" s="461"/>
      <c r="BV149" s="461"/>
      <c r="BW149" s="461"/>
      <c r="BX149" s="461"/>
      <c r="BY149" s="3561"/>
      <c r="BZ149" s="3561"/>
      <c r="CA149" s="1418" t="str">
        <f t="shared" si="46"/>
        <v/>
      </c>
      <c r="CB149" s="1418" t="str">
        <f t="shared" si="47"/>
        <v/>
      </c>
      <c r="CC149" s="417"/>
      <c r="CD149" s="417"/>
      <c r="CE149" s="417"/>
      <c r="CF149" s="417"/>
      <c r="CK149" s="3375">
        <f t="shared" si="48"/>
        <v>0</v>
      </c>
      <c r="CL149" s="3375">
        <f t="shared" si="49"/>
        <v>0</v>
      </c>
      <c r="CM149" s="3375">
        <f t="shared" si="50"/>
        <v>0</v>
      </c>
      <c r="CN149" s="3375">
        <f t="shared" si="51"/>
        <v>0</v>
      </c>
    </row>
    <row r="150" spans="1:92" ht="18" customHeight="1">
      <c r="A150" s="4620" t="s">
        <v>3413</v>
      </c>
      <c r="B150" s="4620"/>
      <c r="C150" s="4620"/>
      <c r="D150" s="4621"/>
      <c r="E150" s="4622"/>
      <c r="F150" s="4622"/>
      <c r="G150" s="4622"/>
      <c r="H150" s="4622"/>
      <c r="I150" s="4622"/>
      <c r="J150" s="4623"/>
      <c r="K150" s="4622"/>
      <c r="L150" s="4622"/>
      <c r="M150" s="4622"/>
      <c r="N150" s="4622"/>
      <c r="O150" s="4622"/>
      <c r="P150" s="4622"/>
    </row>
    <row r="151" spans="1:92" s="1470" customFormat="1" ht="15" customHeight="1">
      <c r="A151" s="7125" t="s">
        <v>3368</v>
      </c>
      <c r="B151" s="7125"/>
      <c r="C151" s="7126"/>
      <c r="D151" s="7129" t="s">
        <v>3369</v>
      </c>
      <c r="E151" s="7121" t="s">
        <v>3414</v>
      </c>
      <c r="F151" s="7122"/>
      <c r="G151" s="7122"/>
      <c r="H151" s="7122"/>
      <c r="I151" s="7122"/>
      <c r="J151" s="7122"/>
      <c r="K151" s="7122"/>
      <c r="L151" s="7122"/>
      <c r="M151" s="7122"/>
      <c r="N151" s="7122"/>
      <c r="O151" s="7122"/>
      <c r="P151" s="7123"/>
      <c r="Q151" s="7090" t="s">
        <v>2422</v>
      </c>
      <c r="R151" s="7091"/>
    </row>
    <row r="152" spans="1:92" s="1470" customFormat="1" ht="20.100000000000001" customHeight="1">
      <c r="A152" s="7127"/>
      <c r="B152" s="7127"/>
      <c r="C152" s="7128"/>
      <c r="D152" s="7130"/>
      <c r="E152" s="4624" t="s">
        <v>3415</v>
      </c>
      <c r="F152" s="4625" t="s">
        <v>2027</v>
      </c>
      <c r="G152" s="4625" t="s">
        <v>324</v>
      </c>
      <c r="H152" s="4625" t="s">
        <v>325</v>
      </c>
      <c r="I152" s="4625" t="s">
        <v>326</v>
      </c>
      <c r="J152" s="4625" t="s">
        <v>1003</v>
      </c>
      <c r="K152" s="4625" t="s">
        <v>3416</v>
      </c>
      <c r="L152" s="4625" t="s">
        <v>1894</v>
      </c>
      <c r="M152" s="4625" t="s">
        <v>3417</v>
      </c>
      <c r="N152" s="4625" t="s">
        <v>329</v>
      </c>
      <c r="O152" s="4625" t="s">
        <v>330</v>
      </c>
      <c r="P152" s="4626" t="s">
        <v>71</v>
      </c>
      <c r="Q152" s="4627" t="s">
        <v>72</v>
      </c>
      <c r="R152" s="4628" t="s">
        <v>73</v>
      </c>
    </row>
    <row r="153" spans="1:92" s="1470" customFormat="1" ht="15" customHeight="1">
      <c r="A153" s="7107" t="s">
        <v>3418</v>
      </c>
      <c r="B153" s="7108"/>
      <c r="C153" s="4629" t="s">
        <v>3419</v>
      </c>
      <c r="D153" s="4630">
        <f>+E153</f>
        <v>0</v>
      </c>
      <c r="E153" s="4631"/>
      <c r="F153" s="4632"/>
      <c r="G153" s="4632"/>
      <c r="H153" s="4632"/>
      <c r="I153" s="4632"/>
      <c r="J153" s="4632"/>
      <c r="K153" s="4632"/>
      <c r="L153" s="4632"/>
      <c r="M153" s="4632"/>
      <c r="N153" s="4632"/>
      <c r="O153" s="4632"/>
      <c r="P153" s="4633"/>
      <c r="Q153" s="4634"/>
      <c r="R153" s="4635"/>
      <c r="S153" s="1470" t="str">
        <f t="shared" ref="S153:S168" si="52">CA153&amp;CB153</f>
        <v/>
      </c>
      <c r="CA153" s="4636"/>
      <c r="CB153" s="418" t="str">
        <f t="shared" ref="CB153:CB168" si="53">IF((D153&lt;&gt; Q153+R153)," * La suma de Sexo (Hombres + Mujeres) debe ser igual al N° de Intervenciones.","")</f>
        <v/>
      </c>
      <c r="CK153" s="1421">
        <f t="shared" ref="CK153:CK168" si="54">IF(AND(D153&gt;0,Q153="",R153=""),1,0)</f>
        <v>0</v>
      </c>
      <c r="CL153" s="419">
        <f t="shared" ref="CL153:CL168" si="55">IF((D153&lt;&gt; Q153+R153),1,0)</f>
        <v>0</v>
      </c>
    </row>
    <row r="154" spans="1:92" s="1470" customFormat="1" ht="15" customHeight="1">
      <c r="A154" s="7109"/>
      <c r="B154" s="7110"/>
      <c r="C154" s="4637" t="s">
        <v>3420</v>
      </c>
      <c r="D154" s="4630">
        <f>+F154</f>
        <v>0</v>
      </c>
      <c r="E154" s="4638"/>
      <c r="F154" s="4639"/>
      <c r="G154" s="4640"/>
      <c r="H154" s="4640"/>
      <c r="I154" s="4640"/>
      <c r="J154" s="4640"/>
      <c r="K154" s="4640"/>
      <c r="L154" s="4640"/>
      <c r="M154" s="4640"/>
      <c r="N154" s="4640"/>
      <c r="O154" s="4640"/>
      <c r="P154" s="4641"/>
      <c r="Q154" s="4642"/>
      <c r="R154" s="4643"/>
      <c r="S154" s="1470" t="str">
        <f t="shared" si="52"/>
        <v/>
      </c>
      <c r="CA154" s="4644"/>
      <c r="CB154" s="418" t="str">
        <f t="shared" si="53"/>
        <v/>
      </c>
      <c r="CK154" s="1421">
        <f t="shared" si="54"/>
        <v>0</v>
      </c>
      <c r="CL154" s="419">
        <f t="shared" si="55"/>
        <v>0</v>
      </c>
    </row>
    <row r="155" spans="1:92" s="1470" customFormat="1" ht="15" customHeight="1">
      <c r="A155" s="7109"/>
      <c r="B155" s="7110"/>
      <c r="C155" s="4637" t="s">
        <v>3421</v>
      </c>
      <c r="D155" s="4630">
        <f>+G155</f>
        <v>0</v>
      </c>
      <c r="E155" s="4638"/>
      <c r="F155" s="4640"/>
      <c r="G155" s="4639"/>
      <c r="H155" s="4640"/>
      <c r="I155" s="4640"/>
      <c r="J155" s="4640"/>
      <c r="K155" s="4640"/>
      <c r="L155" s="4640"/>
      <c r="M155" s="4640"/>
      <c r="N155" s="4640"/>
      <c r="O155" s="4640"/>
      <c r="P155" s="4641"/>
      <c r="Q155" s="4642"/>
      <c r="R155" s="4643"/>
      <c r="S155" s="1470" t="str">
        <f t="shared" si="52"/>
        <v/>
      </c>
      <c r="CA155" s="4644"/>
      <c r="CB155" s="418" t="str">
        <f t="shared" si="53"/>
        <v/>
      </c>
      <c r="CK155" s="1421">
        <f t="shared" si="54"/>
        <v>0</v>
      </c>
      <c r="CL155" s="419">
        <f t="shared" si="55"/>
        <v>0</v>
      </c>
    </row>
    <row r="156" spans="1:92" s="1470" customFormat="1" ht="23.25" customHeight="1">
      <c r="A156" s="7109"/>
      <c r="B156" s="7110"/>
      <c r="C156" s="4645" t="s">
        <v>3422</v>
      </c>
      <c r="D156" s="4630">
        <f>+H156</f>
        <v>0</v>
      </c>
      <c r="E156" s="4638"/>
      <c r="F156" s="4640"/>
      <c r="G156" s="4640"/>
      <c r="H156" s="4639"/>
      <c r="I156" s="4640"/>
      <c r="J156" s="4640"/>
      <c r="K156" s="4640"/>
      <c r="L156" s="4640"/>
      <c r="M156" s="4640"/>
      <c r="N156" s="4640"/>
      <c r="O156" s="4640"/>
      <c r="P156" s="4641"/>
      <c r="Q156" s="4642"/>
      <c r="R156" s="4643"/>
      <c r="S156" s="1470" t="str">
        <f t="shared" si="52"/>
        <v/>
      </c>
      <c r="CA156" s="4644"/>
      <c r="CB156" s="418" t="str">
        <f t="shared" si="53"/>
        <v/>
      </c>
      <c r="CK156" s="1421">
        <f t="shared" si="54"/>
        <v>0</v>
      </c>
      <c r="CL156" s="419">
        <f t="shared" si="55"/>
        <v>0</v>
      </c>
    </row>
    <row r="157" spans="1:92" s="1470" customFormat="1" ht="22.5" customHeight="1">
      <c r="A157" s="7109"/>
      <c r="B157" s="7110"/>
      <c r="C157" s="4645" t="s">
        <v>3423</v>
      </c>
      <c r="D157" s="4630">
        <f>+I157+J157+K157+L157+M157</f>
        <v>0</v>
      </c>
      <c r="E157" s="4638"/>
      <c r="F157" s="4640"/>
      <c r="G157" s="4640"/>
      <c r="H157" s="4640"/>
      <c r="I157" s="4639"/>
      <c r="J157" s="4639"/>
      <c r="K157" s="4639"/>
      <c r="L157" s="4639"/>
      <c r="M157" s="4639"/>
      <c r="N157" s="4640"/>
      <c r="O157" s="4640"/>
      <c r="P157" s="4641"/>
      <c r="Q157" s="4642"/>
      <c r="R157" s="4643"/>
      <c r="S157" s="1470" t="str">
        <f t="shared" si="52"/>
        <v/>
      </c>
      <c r="CA157" s="4644"/>
      <c r="CB157" s="418" t="str">
        <f t="shared" si="53"/>
        <v/>
      </c>
      <c r="CK157" s="1421">
        <f t="shared" si="54"/>
        <v>0</v>
      </c>
      <c r="CL157" s="419">
        <f t="shared" si="55"/>
        <v>0</v>
      </c>
    </row>
    <row r="158" spans="1:92" s="1470" customFormat="1" ht="15" customHeight="1">
      <c r="A158" s="7109"/>
      <c r="B158" s="7110"/>
      <c r="C158" s="4646" t="s">
        <v>3424</v>
      </c>
      <c r="D158" s="4630">
        <f>+G158+H158+I158+J158</f>
        <v>0</v>
      </c>
      <c r="E158" s="4638"/>
      <c r="F158" s="4640"/>
      <c r="G158" s="4639"/>
      <c r="H158" s="4639"/>
      <c r="I158" s="4639"/>
      <c r="J158" s="4639"/>
      <c r="K158" s="4640"/>
      <c r="L158" s="4640"/>
      <c r="M158" s="4640"/>
      <c r="N158" s="4640"/>
      <c r="O158" s="4640"/>
      <c r="P158" s="4641"/>
      <c r="Q158" s="4642"/>
      <c r="R158" s="4643"/>
      <c r="S158" s="1470" t="str">
        <f t="shared" si="52"/>
        <v/>
      </c>
      <c r="CA158" s="4644"/>
      <c r="CB158" s="418" t="str">
        <f t="shared" si="53"/>
        <v/>
      </c>
      <c r="CK158" s="1421">
        <f t="shared" si="54"/>
        <v>0</v>
      </c>
      <c r="CL158" s="419">
        <f t="shared" si="55"/>
        <v>0</v>
      </c>
    </row>
    <row r="159" spans="1:92" s="1470" customFormat="1" ht="15" customHeight="1">
      <c r="A159" s="7109"/>
      <c r="B159" s="7110"/>
      <c r="C159" s="4646" t="s">
        <v>3425</v>
      </c>
      <c r="D159" s="4630">
        <f>+G159+H159+I159+J159+K159+L159+M159+N159+O159+P159</f>
        <v>0</v>
      </c>
      <c r="E159" s="4638"/>
      <c r="F159" s="4640"/>
      <c r="G159" s="4639"/>
      <c r="H159" s="4639"/>
      <c r="I159" s="4639"/>
      <c r="J159" s="4639"/>
      <c r="K159" s="4639"/>
      <c r="L159" s="4639"/>
      <c r="M159" s="4639"/>
      <c r="N159" s="4639"/>
      <c r="O159" s="4639"/>
      <c r="P159" s="4647"/>
      <c r="Q159" s="4648"/>
      <c r="R159" s="4649"/>
      <c r="S159" s="1470" t="str">
        <f t="shared" si="52"/>
        <v/>
      </c>
      <c r="CA159" s="4644"/>
      <c r="CB159" s="418" t="str">
        <f t="shared" si="53"/>
        <v/>
      </c>
      <c r="CK159" s="1421">
        <f t="shared" si="54"/>
        <v>0</v>
      </c>
      <c r="CL159" s="419">
        <f t="shared" si="55"/>
        <v>0</v>
      </c>
    </row>
    <row r="160" spans="1:92" s="1470" customFormat="1" ht="23.25" customHeight="1">
      <c r="A160" s="7111"/>
      <c r="B160" s="7112"/>
      <c r="C160" s="4650" t="s">
        <v>3426</v>
      </c>
      <c r="D160" s="4651">
        <f>M160+N160+O160+P160</f>
        <v>0</v>
      </c>
      <c r="E160" s="4652"/>
      <c r="F160" s="4653"/>
      <c r="G160" s="4653"/>
      <c r="H160" s="4653"/>
      <c r="I160" s="4653"/>
      <c r="J160" s="4653"/>
      <c r="K160" s="4653"/>
      <c r="L160" s="4653"/>
      <c r="M160" s="4654"/>
      <c r="N160" s="4654"/>
      <c r="O160" s="4654"/>
      <c r="P160" s="4655"/>
      <c r="Q160" s="4656"/>
      <c r="R160" s="4657"/>
      <c r="S160" s="1470" t="str">
        <f t="shared" si="52"/>
        <v/>
      </c>
      <c r="CA160" s="4644"/>
      <c r="CB160" s="418" t="str">
        <f t="shared" si="53"/>
        <v/>
      </c>
      <c r="CK160" s="1421">
        <f t="shared" si="54"/>
        <v>0</v>
      </c>
      <c r="CL160" s="419">
        <f t="shared" si="55"/>
        <v>0</v>
      </c>
    </row>
    <row r="161" spans="1:90" s="1470" customFormat="1" ht="15" customHeight="1">
      <c r="A161" s="7113" t="s">
        <v>3427</v>
      </c>
      <c r="B161" s="7114"/>
      <c r="C161" s="4658" t="s">
        <v>3419</v>
      </c>
      <c r="D161" s="4659">
        <f>+E161</f>
        <v>0</v>
      </c>
      <c r="E161" s="4660"/>
      <c r="F161" s="4661"/>
      <c r="G161" s="4661"/>
      <c r="H161" s="4661"/>
      <c r="I161" s="4661"/>
      <c r="J161" s="4661"/>
      <c r="K161" s="4661"/>
      <c r="L161" s="4661"/>
      <c r="M161" s="4661"/>
      <c r="N161" s="4661"/>
      <c r="O161" s="4661"/>
      <c r="P161" s="4662"/>
      <c r="Q161" s="4660"/>
      <c r="R161" s="4663"/>
      <c r="S161" s="1470" t="str">
        <f t="shared" si="52"/>
        <v/>
      </c>
      <c r="CA161" s="4644"/>
      <c r="CB161" s="418" t="str">
        <f t="shared" si="53"/>
        <v/>
      </c>
      <c r="CK161" s="1421">
        <f t="shared" si="54"/>
        <v>0</v>
      </c>
      <c r="CL161" s="419">
        <f t="shared" si="55"/>
        <v>0</v>
      </c>
    </row>
    <row r="162" spans="1:90" s="1470" customFormat="1" ht="15" customHeight="1">
      <c r="A162" s="7115"/>
      <c r="B162" s="7110"/>
      <c r="C162" s="4637" t="s">
        <v>3420</v>
      </c>
      <c r="D162" s="4664">
        <f>+F162</f>
        <v>0</v>
      </c>
      <c r="E162" s="4665"/>
      <c r="F162" s="4639"/>
      <c r="G162" s="4640"/>
      <c r="H162" s="4640"/>
      <c r="I162" s="4640"/>
      <c r="J162" s="4640"/>
      <c r="K162" s="4640"/>
      <c r="L162" s="4640"/>
      <c r="M162" s="4640"/>
      <c r="N162" s="4640"/>
      <c r="O162" s="4640"/>
      <c r="P162" s="4641"/>
      <c r="Q162" s="4642"/>
      <c r="R162" s="4643"/>
      <c r="S162" s="1470" t="str">
        <f t="shared" si="52"/>
        <v/>
      </c>
      <c r="CA162" s="4644"/>
      <c r="CB162" s="418" t="str">
        <f t="shared" si="53"/>
        <v/>
      </c>
      <c r="CK162" s="1421">
        <f t="shared" si="54"/>
        <v>0</v>
      </c>
      <c r="CL162" s="419">
        <f t="shared" si="55"/>
        <v>0</v>
      </c>
    </row>
    <row r="163" spans="1:90" s="1470" customFormat="1" ht="15" customHeight="1">
      <c r="A163" s="7115"/>
      <c r="B163" s="7110"/>
      <c r="C163" s="4637" t="s">
        <v>3421</v>
      </c>
      <c r="D163" s="4664">
        <f>+G163</f>
        <v>0</v>
      </c>
      <c r="E163" s="4665"/>
      <c r="F163" s="4640"/>
      <c r="G163" s="4639"/>
      <c r="H163" s="4640"/>
      <c r="I163" s="4640"/>
      <c r="J163" s="4640"/>
      <c r="K163" s="4640"/>
      <c r="L163" s="4640"/>
      <c r="M163" s="4640"/>
      <c r="N163" s="4640"/>
      <c r="O163" s="4640"/>
      <c r="P163" s="4641"/>
      <c r="Q163" s="4642"/>
      <c r="R163" s="4643"/>
      <c r="S163" s="1470" t="str">
        <f t="shared" si="52"/>
        <v/>
      </c>
      <c r="CA163" s="4644"/>
      <c r="CB163" s="418" t="str">
        <f t="shared" si="53"/>
        <v/>
      </c>
      <c r="CK163" s="1421">
        <f t="shared" si="54"/>
        <v>0</v>
      </c>
      <c r="CL163" s="419">
        <f t="shared" si="55"/>
        <v>0</v>
      </c>
    </row>
    <row r="164" spans="1:90" s="1470" customFormat="1" ht="23.25" customHeight="1">
      <c r="A164" s="7115"/>
      <c r="B164" s="7110"/>
      <c r="C164" s="4645" t="s">
        <v>3422</v>
      </c>
      <c r="D164" s="4664">
        <f>+H164</f>
        <v>0</v>
      </c>
      <c r="E164" s="4665"/>
      <c r="F164" s="4640"/>
      <c r="G164" s="4640"/>
      <c r="H164" s="4639"/>
      <c r="I164" s="4640"/>
      <c r="J164" s="4640"/>
      <c r="K164" s="4640"/>
      <c r="L164" s="4640"/>
      <c r="M164" s="4640"/>
      <c r="N164" s="4640"/>
      <c r="O164" s="4640"/>
      <c r="P164" s="4641"/>
      <c r="Q164" s="4642"/>
      <c r="R164" s="4643"/>
      <c r="S164" s="1470" t="str">
        <f t="shared" si="52"/>
        <v/>
      </c>
      <c r="CA164" s="4644"/>
      <c r="CB164" s="418" t="str">
        <f t="shared" si="53"/>
        <v/>
      </c>
      <c r="CK164" s="1421">
        <f t="shared" si="54"/>
        <v>0</v>
      </c>
      <c r="CL164" s="419">
        <f t="shared" si="55"/>
        <v>0</v>
      </c>
    </row>
    <row r="165" spans="1:90" s="1470" customFormat="1" ht="20.100000000000001" customHeight="1">
      <c r="A165" s="7115"/>
      <c r="B165" s="7110"/>
      <c r="C165" s="4645" t="s">
        <v>3423</v>
      </c>
      <c r="D165" s="4664">
        <f>+I165+J165+K165+L165+M165</f>
        <v>0</v>
      </c>
      <c r="E165" s="4665"/>
      <c r="F165" s="4640"/>
      <c r="G165" s="4640"/>
      <c r="H165" s="4640"/>
      <c r="I165" s="4639"/>
      <c r="J165" s="4639"/>
      <c r="K165" s="4639"/>
      <c r="L165" s="4639"/>
      <c r="M165" s="4639"/>
      <c r="N165" s="4640"/>
      <c r="O165" s="4640"/>
      <c r="P165" s="4641"/>
      <c r="Q165" s="4642"/>
      <c r="R165" s="4643"/>
      <c r="S165" s="1470" t="str">
        <f t="shared" si="52"/>
        <v/>
      </c>
      <c r="CA165" s="4644"/>
      <c r="CB165" s="418" t="str">
        <f t="shared" si="53"/>
        <v/>
      </c>
      <c r="CK165" s="1421">
        <f t="shared" si="54"/>
        <v>0</v>
      </c>
      <c r="CL165" s="419">
        <f t="shared" si="55"/>
        <v>0</v>
      </c>
    </row>
    <row r="166" spans="1:90" s="1470" customFormat="1" ht="15" customHeight="1">
      <c r="A166" s="7115"/>
      <c r="B166" s="7110"/>
      <c r="C166" s="4646" t="s">
        <v>3424</v>
      </c>
      <c r="D166" s="4664">
        <f>+G166+H166+I166+J166</f>
        <v>0</v>
      </c>
      <c r="E166" s="4665"/>
      <c r="F166" s="4640"/>
      <c r="G166" s="4639"/>
      <c r="H166" s="4639"/>
      <c r="I166" s="4639"/>
      <c r="J166" s="4666"/>
      <c r="K166" s="4640"/>
      <c r="L166" s="4640"/>
      <c r="M166" s="4640"/>
      <c r="N166" s="4640"/>
      <c r="O166" s="4640"/>
      <c r="P166" s="4641"/>
      <c r="Q166" s="4642"/>
      <c r="R166" s="4643"/>
      <c r="S166" s="1470" t="str">
        <f t="shared" si="52"/>
        <v/>
      </c>
      <c r="CA166" s="4644"/>
      <c r="CB166" s="418" t="str">
        <f t="shared" si="53"/>
        <v/>
      </c>
      <c r="CK166" s="1421">
        <f t="shared" si="54"/>
        <v>0</v>
      </c>
      <c r="CL166" s="419">
        <f t="shared" si="55"/>
        <v>0</v>
      </c>
    </row>
    <row r="167" spans="1:90" s="1470" customFormat="1" ht="15" customHeight="1">
      <c r="A167" s="7115"/>
      <c r="B167" s="7110"/>
      <c r="C167" s="4646" t="s">
        <v>3425</v>
      </c>
      <c r="D167" s="4664">
        <f>+G167+H167+I167+J167+K167+L167+M167+N167+O167+P167</f>
        <v>0</v>
      </c>
      <c r="E167" s="4665"/>
      <c r="F167" s="4640"/>
      <c r="G167" s="4639"/>
      <c r="H167" s="4639"/>
      <c r="I167" s="4639"/>
      <c r="J167" s="4639"/>
      <c r="K167" s="4639"/>
      <c r="L167" s="4639"/>
      <c r="M167" s="4639"/>
      <c r="N167" s="4666"/>
      <c r="O167" s="4666"/>
      <c r="P167" s="4667"/>
      <c r="Q167" s="4648"/>
      <c r="R167" s="4649"/>
      <c r="S167" s="1470" t="str">
        <f t="shared" si="52"/>
        <v/>
      </c>
      <c r="CA167" s="4644"/>
      <c r="CB167" s="418" t="str">
        <f t="shared" si="53"/>
        <v/>
      </c>
      <c r="CK167" s="1421">
        <f t="shared" si="54"/>
        <v>0</v>
      </c>
      <c r="CL167" s="419">
        <f t="shared" si="55"/>
        <v>0</v>
      </c>
    </row>
    <row r="168" spans="1:90" s="1470" customFormat="1" ht="24.75" customHeight="1">
      <c r="A168" s="7116"/>
      <c r="B168" s="7112"/>
      <c r="C168" s="4668" t="s">
        <v>3426</v>
      </c>
      <c r="D168" s="4669">
        <f>M168+N168+O168+P168</f>
        <v>0</v>
      </c>
      <c r="E168" s="4670"/>
      <c r="F168" s="4653"/>
      <c r="G168" s="4653"/>
      <c r="H168" s="4653"/>
      <c r="I168" s="4653"/>
      <c r="J168" s="4653"/>
      <c r="K168" s="4671"/>
      <c r="L168" s="4672"/>
      <c r="M168" s="4673"/>
      <c r="N168" s="4673"/>
      <c r="O168" s="4673"/>
      <c r="P168" s="4655"/>
      <c r="Q168" s="4656"/>
      <c r="R168" s="4657"/>
      <c r="S168" s="1470" t="str">
        <f t="shared" si="52"/>
        <v/>
      </c>
      <c r="CA168" s="4644"/>
      <c r="CB168" s="418" t="str">
        <f t="shared" si="53"/>
        <v/>
      </c>
      <c r="CK168" s="1421">
        <f t="shared" si="54"/>
        <v>0</v>
      </c>
      <c r="CL168" s="419">
        <f t="shared" si="55"/>
        <v>0</v>
      </c>
    </row>
    <row r="169" spans="1:90" ht="18" customHeight="1">
      <c r="A169" s="4674" t="s">
        <v>3428</v>
      </c>
      <c r="C169" s="382"/>
      <c r="D169" s="382"/>
      <c r="E169" s="382"/>
      <c r="F169" s="383"/>
      <c r="G169" s="383"/>
      <c r="H169" s="383"/>
      <c r="I169" s="383"/>
      <c r="J169" s="461"/>
      <c r="K169" s="461"/>
      <c r="L169" s="461"/>
      <c r="M169" s="461"/>
      <c r="N169" s="461"/>
      <c r="O169" s="461"/>
      <c r="P169" s="461"/>
      <c r="Q169" s="461"/>
      <c r="R169" s="461"/>
      <c r="S169" s="461"/>
      <c r="T169" s="461"/>
      <c r="U169" s="461"/>
      <c r="V169" s="461"/>
      <c r="W169" s="461"/>
      <c r="X169" s="461"/>
      <c r="Y169" s="461"/>
      <c r="Z169" s="461"/>
      <c r="AA169" s="461"/>
      <c r="AB169" s="461"/>
      <c r="AC169" s="461"/>
      <c r="AD169" s="461"/>
      <c r="AE169" s="461"/>
      <c r="AF169" s="461"/>
      <c r="AG169" s="461"/>
      <c r="AH169" s="461"/>
      <c r="AI169" s="461"/>
    </row>
    <row r="170" spans="1:90" ht="42">
      <c r="A170" s="5710" t="s">
        <v>3281</v>
      </c>
      <c r="B170" s="6106"/>
      <c r="C170" s="5712"/>
      <c r="D170" s="1574" t="s">
        <v>91</v>
      </c>
      <c r="E170" s="1471" t="s">
        <v>3161</v>
      </c>
      <c r="F170" s="1646" t="s">
        <v>3338</v>
      </c>
      <c r="G170" s="1646" t="s">
        <v>3339</v>
      </c>
      <c r="H170" s="1398" t="s">
        <v>211</v>
      </c>
      <c r="I170" s="1648" t="s">
        <v>3340</v>
      </c>
      <c r="J170" s="461"/>
      <c r="K170" s="461"/>
      <c r="L170" s="461"/>
      <c r="M170" s="461"/>
      <c r="N170" s="461"/>
      <c r="O170" s="461"/>
      <c r="P170" s="461"/>
      <c r="Q170" s="461"/>
      <c r="R170" s="461"/>
      <c r="S170" s="461"/>
      <c r="T170" s="461"/>
      <c r="U170" s="461"/>
      <c r="V170" s="461"/>
      <c r="W170" s="461"/>
      <c r="X170" s="461"/>
      <c r="Y170" s="461"/>
      <c r="Z170" s="461"/>
      <c r="AA170" s="461"/>
      <c r="AB170" s="461"/>
      <c r="AC170" s="461"/>
      <c r="AD170" s="461"/>
      <c r="AE170" s="461"/>
      <c r="AF170" s="461"/>
      <c r="AG170" s="461"/>
      <c r="AH170" s="461"/>
      <c r="AI170" s="461"/>
    </row>
    <row r="171" spans="1:90" ht="15" customHeight="1">
      <c r="A171" s="6854" t="s">
        <v>3291</v>
      </c>
      <c r="B171" s="7117" t="s">
        <v>3292</v>
      </c>
      <c r="C171" s="7118"/>
      <c r="D171" s="1403">
        <f t="shared" ref="D171:D203" si="56">SUM(E171:H171)</f>
        <v>0</v>
      </c>
      <c r="E171" s="1405"/>
      <c r="F171" s="1407"/>
      <c r="G171" s="1407"/>
      <c r="H171" s="1408"/>
      <c r="I171" s="4557"/>
      <c r="J171" s="461" t="str">
        <f t="shared" ref="J171:J202" si="57">CA171</f>
        <v/>
      </c>
      <c r="K171" s="461"/>
      <c r="L171" s="461"/>
      <c r="M171" s="461"/>
      <c r="N171" s="461"/>
      <c r="O171" s="461"/>
      <c r="P171" s="461"/>
      <c r="Q171" s="461"/>
      <c r="R171" s="461"/>
      <c r="S171" s="461"/>
      <c r="T171" s="461"/>
      <c r="U171" s="461"/>
      <c r="V171" s="461"/>
      <c r="W171" s="461"/>
      <c r="X171" s="461"/>
      <c r="Y171" s="461"/>
      <c r="Z171" s="461"/>
      <c r="AA171" s="461"/>
      <c r="AB171" s="461"/>
      <c r="AC171" s="461"/>
      <c r="AD171" s="461"/>
      <c r="AE171" s="461"/>
      <c r="AF171" s="461"/>
      <c r="AG171" s="461"/>
      <c r="AH171" s="461"/>
      <c r="AI171" s="461"/>
      <c r="CA171" s="1418" t="str">
        <f t="shared" ref="CA171:CA202" si="58">IF(AND(D171&gt;0,I171="")," * No olvide digitar la variable "&amp;I$170&amp;""&amp;". Digite Cero si no tiene.",IF(I171&gt;D171," * La variable "&amp;I$170&amp;""&amp;" No puede ser mayor al Total.",""))</f>
        <v/>
      </c>
      <c r="CK171" s="1421">
        <f t="shared" ref="CK171:CK202" si="59">IF(AND(D171&gt;0,I171=""),1,IF(I171&gt;D171,1,0))</f>
        <v>0</v>
      </c>
    </row>
    <row r="172" spans="1:90" ht="21">
      <c r="A172" s="6855"/>
      <c r="B172" s="6854" t="s">
        <v>3293</v>
      </c>
      <c r="C172" s="4441" t="s">
        <v>3294</v>
      </c>
      <c r="D172" s="1403">
        <f t="shared" si="56"/>
        <v>0</v>
      </c>
      <c r="E172" s="1424"/>
      <c r="F172" s="1426"/>
      <c r="G172" s="1426"/>
      <c r="H172" s="1427"/>
      <c r="I172" s="1651"/>
      <c r="J172" s="461" t="str">
        <f t="shared" si="57"/>
        <v/>
      </c>
      <c r="K172" s="461"/>
      <c r="L172" s="461"/>
      <c r="M172" s="461"/>
      <c r="N172" s="461"/>
      <c r="O172" s="461"/>
      <c r="P172" s="461"/>
      <c r="Q172" s="461"/>
      <c r="R172" s="461"/>
      <c r="S172" s="461"/>
      <c r="T172" s="461"/>
      <c r="U172" s="461"/>
      <c r="V172" s="461"/>
      <c r="W172" s="461"/>
      <c r="X172" s="461"/>
      <c r="Y172" s="461"/>
      <c r="Z172" s="461"/>
      <c r="AA172" s="461"/>
      <c r="AB172" s="461"/>
      <c r="AC172" s="461"/>
      <c r="AD172" s="461"/>
      <c r="AE172" s="461"/>
      <c r="AF172" s="461"/>
      <c r="AG172" s="461"/>
      <c r="AH172" s="461"/>
      <c r="AI172" s="461"/>
      <c r="CA172" s="1418" t="str">
        <f t="shared" si="58"/>
        <v/>
      </c>
      <c r="CK172" s="1421">
        <f t="shared" si="59"/>
        <v>0</v>
      </c>
    </row>
    <row r="173" spans="1:90" ht="15" customHeight="1">
      <c r="A173" s="6855"/>
      <c r="B173" s="6855"/>
      <c r="C173" s="2388" t="s">
        <v>3295</v>
      </c>
      <c r="D173" s="1729">
        <f t="shared" si="56"/>
        <v>0</v>
      </c>
      <c r="E173" s="1440"/>
      <c r="F173" s="1442"/>
      <c r="G173" s="1442"/>
      <c r="H173" s="1443"/>
      <c r="I173" s="1656"/>
      <c r="J173" s="461" t="str">
        <f t="shared" si="57"/>
        <v/>
      </c>
      <c r="K173" s="461"/>
      <c r="L173" s="461"/>
      <c r="M173" s="461"/>
      <c r="N173" s="461"/>
      <c r="O173" s="461"/>
      <c r="P173" s="461"/>
      <c r="Q173" s="461"/>
      <c r="R173" s="461"/>
      <c r="S173" s="461"/>
      <c r="T173" s="461"/>
      <c r="U173" s="461"/>
      <c r="V173" s="461"/>
      <c r="W173" s="461"/>
      <c r="X173" s="461"/>
      <c r="Y173" s="461"/>
      <c r="Z173" s="461"/>
      <c r="AA173" s="461"/>
      <c r="AB173" s="461"/>
      <c r="AC173" s="461"/>
      <c r="AD173" s="461"/>
      <c r="AE173" s="461"/>
      <c r="AF173" s="461"/>
      <c r="AG173" s="461"/>
      <c r="AH173" s="461"/>
      <c r="AI173" s="461"/>
      <c r="CA173" s="1418" t="str">
        <f t="shared" si="58"/>
        <v/>
      </c>
      <c r="CK173" s="1421">
        <f t="shared" si="59"/>
        <v>0</v>
      </c>
    </row>
    <row r="174" spans="1:90" ht="15" customHeight="1">
      <c r="A174" s="6855"/>
      <c r="B174" s="6855"/>
      <c r="C174" s="420" t="s">
        <v>3296</v>
      </c>
      <c r="D174" s="1512">
        <f t="shared" si="56"/>
        <v>0</v>
      </c>
      <c r="E174" s="1440"/>
      <c r="F174" s="1442"/>
      <c r="G174" s="1442"/>
      <c r="H174" s="1443"/>
      <c r="I174" s="1656"/>
      <c r="J174" s="461" t="str">
        <f t="shared" si="57"/>
        <v/>
      </c>
      <c r="K174" s="461"/>
      <c r="L174" s="461"/>
      <c r="M174" s="461"/>
      <c r="N174" s="461"/>
      <c r="O174" s="461"/>
      <c r="P174" s="461"/>
      <c r="Q174" s="461"/>
      <c r="R174" s="461"/>
      <c r="S174" s="461"/>
      <c r="T174" s="461"/>
      <c r="U174" s="461"/>
      <c r="V174" s="461"/>
      <c r="W174" s="461"/>
      <c r="X174" s="461"/>
      <c r="Y174" s="461"/>
      <c r="Z174" s="461"/>
      <c r="AA174" s="461"/>
      <c r="AB174" s="461"/>
      <c r="AC174" s="461"/>
      <c r="AD174" s="461"/>
      <c r="AE174" s="461"/>
      <c r="AF174" s="461"/>
      <c r="AG174" s="461"/>
      <c r="AH174" s="461"/>
      <c r="AI174" s="461"/>
      <c r="CA174" s="1418" t="str">
        <f t="shared" si="58"/>
        <v/>
      </c>
      <c r="CK174" s="1421">
        <f t="shared" si="59"/>
        <v>0</v>
      </c>
    </row>
    <row r="175" spans="1:90" ht="15" customHeight="1">
      <c r="A175" s="6855"/>
      <c r="B175" s="6856"/>
      <c r="C175" s="3390" t="s">
        <v>3297</v>
      </c>
      <c r="D175" s="1527">
        <f t="shared" si="56"/>
        <v>0</v>
      </c>
      <c r="E175" s="1528"/>
      <c r="F175" s="1529"/>
      <c r="G175" s="1529"/>
      <c r="H175" s="1986"/>
      <c r="I175" s="3492"/>
      <c r="J175" s="461" t="str">
        <f t="shared" si="57"/>
        <v/>
      </c>
      <c r="K175" s="461"/>
      <c r="L175" s="461"/>
      <c r="M175" s="461"/>
      <c r="N175" s="461"/>
      <c r="O175" s="461"/>
      <c r="P175" s="461"/>
      <c r="Q175" s="461"/>
      <c r="R175" s="461"/>
      <c r="S175" s="461"/>
      <c r="T175" s="461"/>
      <c r="U175" s="461"/>
      <c r="V175" s="461"/>
      <c r="W175" s="461"/>
      <c r="X175" s="461"/>
      <c r="Y175" s="461"/>
      <c r="Z175" s="461"/>
      <c r="AA175" s="461"/>
      <c r="AB175" s="461"/>
      <c r="AC175" s="461"/>
      <c r="AD175" s="461"/>
      <c r="AE175" s="461"/>
      <c r="AF175" s="461"/>
      <c r="AG175" s="461"/>
      <c r="AH175" s="461"/>
      <c r="AI175" s="461"/>
      <c r="CA175" s="1418" t="str">
        <f t="shared" si="58"/>
        <v/>
      </c>
      <c r="CK175" s="1421">
        <f t="shared" si="59"/>
        <v>0</v>
      </c>
    </row>
    <row r="176" spans="1:90" ht="15" customHeight="1">
      <c r="A176" s="6855"/>
      <c r="B176" s="7119" t="s">
        <v>3298</v>
      </c>
      <c r="C176" s="7120"/>
      <c r="D176" s="1516">
        <f t="shared" si="56"/>
        <v>0</v>
      </c>
      <c r="E176" s="1480"/>
      <c r="F176" s="1541"/>
      <c r="G176" s="1541"/>
      <c r="H176" s="1959"/>
      <c r="I176" s="4558"/>
      <c r="J176" s="461" t="str">
        <f t="shared" si="57"/>
        <v/>
      </c>
      <c r="K176" s="461"/>
      <c r="L176" s="461"/>
      <c r="M176" s="461"/>
      <c r="N176" s="461"/>
      <c r="O176" s="461"/>
      <c r="P176" s="461"/>
      <c r="Q176" s="461"/>
      <c r="R176" s="461"/>
      <c r="S176" s="461"/>
      <c r="T176" s="461"/>
      <c r="U176" s="461"/>
      <c r="V176" s="461"/>
      <c r="W176" s="461"/>
      <c r="X176" s="461"/>
      <c r="Y176" s="461"/>
      <c r="Z176" s="461"/>
      <c r="AA176" s="461"/>
      <c r="AB176" s="461"/>
      <c r="AC176" s="461"/>
      <c r="AD176" s="461"/>
      <c r="AE176" s="461"/>
      <c r="AF176" s="461"/>
      <c r="AG176" s="461"/>
      <c r="AH176" s="461"/>
      <c r="AI176" s="461"/>
      <c r="CA176" s="1418" t="str">
        <f t="shared" si="58"/>
        <v/>
      </c>
      <c r="CK176" s="1421">
        <f t="shared" si="59"/>
        <v>0</v>
      </c>
    </row>
    <row r="177" spans="1:89" ht="15" customHeight="1">
      <c r="A177" s="6855"/>
      <c r="B177" s="6384" t="s">
        <v>3299</v>
      </c>
      <c r="C177" s="6385"/>
      <c r="D177" s="1729">
        <f t="shared" si="56"/>
        <v>0</v>
      </c>
      <c r="E177" s="1440"/>
      <c r="F177" s="1442"/>
      <c r="G177" s="1442"/>
      <c r="H177" s="1443"/>
      <c r="I177" s="1656"/>
      <c r="J177" s="461" t="str">
        <f t="shared" si="57"/>
        <v/>
      </c>
      <c r="K177" s="461"/>
      <c r="L177" s="461"/>
      <c r="M177" s="461"/>
      <c r="N177" s="461"/>
      <c r="O177" s="461"/>
      <c r="P177" s="461"/>
      <c r="Q177" s="461"/>
      <c r="R177" s="461"/>
      <c r="S177" s="461"/>
      <c r="T177" s="461"/>
      <c r="U177" s="461"/>
      <c r="V177" s="461"/>
      <c r="W177" s="461"/>
      <c r="X177" s="461"/>
      <c r="Y177" s="461"/>
      <c r="Z177" s="461"/>
      <c r="AA177" s="461"/>
      <c r="AB177" s="461"/>
      <c r="AC177" s="461"/>
      <c r="AD177" s="461"/>
      <c r="AE177" s="461"/>
      <c r="AF177" s="461"/>
      <c r="AG177" s="461"/>
      <c r="AH177" s="461"/>
      <c r="AI177" s="461"/>
      <c r="CA177" s="1418" t="str">
        <f t="shared" si="58"/>
        <v/>
      </c>
      <c r="CK177" s="1421">
        <f t="shared" si="59"/>
        <v>0</v>
      </c>
    </row>
    <row r="178" spans="1:89" ht="15" customHeight="1">
      <c r="A178" s="6855"/>
      <c r="B178" s="6384" t="s">
        <v>3300</v>
      </c>
      <c r="C178" s="6385"/>
      <c r="D178" s="1729">
        <f t="shared" si="56"/>
        <v>0</v>
      </c>
      <c r="E178" s="1440"/>
      <c r="F178" s="1442"/>
      <c r="G178" s="1442"/>
      <c r="H178" s="1443"/>
      <c r="I178" s="1656"/>
      <c r="J178" s="461" t="str">
        <f t="shared" si="57"/>
        <v/>
      </c>
      <c r="K178" s="461"/>
      <c r="L178" s="461"/>
      <c r="M178" s="461"/>
      <c r="N178" s="461"/>
      <c r="O178" s="461"/>
      <c r="P178" s="461"/>
      <c r="Q178" s="461"/>
      <c r="R178" s="461"/>
      <c r="S178" s="461"/>
      <c r="T178" s="461"/>
      <c r="U178" s="461"/>
      <c r="V178" s="461"/>
      <c r="W178" s="461"/>
      <c r="X178" s="461"/>
      <c r="Y178" s="461"/>
      <c r="Z178" s="461"/>
      <c r="AA178" s="461"/>
      <c r="AB178" s="461"/>
      <c r="AC178" s="461"/>
      <c r="AD178" s="461"/>
      <c r="AE178" s="461"/>
      <c r="AF178" s="461"/>
      <c r="AG178" s="461"/>
      <c r="AH178" s="461"/>
      <c r="AI178" s="461"/>
      <c r="CA178" s="1418" t="str">
        <f t="shared" si="58"/>
        <v/>
      </c>
      <c r="CK178" s="1421">
        <f t="shared" si="59"/>
        <v>0</v>
      </c>
    </row>
    <row r="179" spans="1:89" ht="15" customHeight="1">
      <c r="A179" s="6855"/>
      <c r="B179" s="7095" t="s">
        <v>3301</v>
      </c>
      <c r="C179" s="7096"/>
      <c r="D179" s="1729">
        <f t="shared" si="56"/>
        <v>0</v>
      </c>
      <c r="E179" s="1440"/>
      <c r="F179" s="1442"/>
      <c r="G179" s="1442"/>
      <c r="H179" s="1443"/>
      <c r="I179" s="1656"/>
      <c r="J179" s="461" t="str">
        <f t="shared" si="57"/>
        <v/>
      </c>
      <c r="K179" s="461"/>
      <c r="L179" s="461"/>
      <c r="M179" s="461"/>
      <c r="N179" s="461"/>
      <c r="O179" s="461"/>
      <c r="P179" s="461"/>
      <c r="Q179" s="461"/>
      <c r="R179" s="461"/>
      <c r="S179" s="461"/>
      <c r="T179" s="461"/>
      <c r="U179" s="461"/>
      <c r="V179" s="461"/>
      <c r="W179" s="461"/>
      <c r="X179" s="461"/>
      <c r="Y179" s="461"/>
      <c r="Z179" s="461"/>
      <c r="AA179" s="461"/>
      <c r="AB179" s="461"/>
      <c r="AC179" s="461"/>
      <c r="AD179" s="461"/>
      <c r="AE179" s="461"/>
      <c r="AF179" s="461"/>
      <c r="AG179" s="461"/>
      <c r="AH179" s="461"/>
      <c r="AI179" s="461"/>
      <c r="CA179" s="1418" t="str">
        <f t="shared" si="58"/>
        <v/>
      </c>
      <c r="CK179" s="1421">
        <f t="shared" si="59"/>
        <v>0</v>
      </c>
    </row>
    <row r="180" spans="1:89" ht="15" customHeight="1">
      <c r="A180" s="6855"/>
      <c r="B180" s="6384" t="s">
        <v>3341</v>
      </c>
      <c r="C180" s="6385"/>
      <c r="D180" s="1729">
        <f t="shared" si="56"/>
        <v>0</v>
      </c>
      <c r="E180" s="1440"/>
      <c r="F180" s="1442"/>
      <c r="G180" s="1442"/>
      <c r="H180" s="1443"/>
      <c r="I180" s="1656"/>
      <c r="J180" s="461" t="str">
        <f t="shared" si="57"/>
        <v/>
      </c>
      <c r="K180" s="461"/>
      <c r="L180" s="461"/>
      <c r="M180" s="461"/>
      <c r="N180" s="461"/>
      <c r="O180" s="461"/>
      <c r="P180" s="461"/>
      <c r="Q180" s="461"/>
      <c r="R180" s="461"/>
      <c r="S180" s="461"/>
      <c r="T180" s="461"/>
      <c r="U180" s="461"/>
      <c r="V180" s="461"/>
      <c r="W180" s="461"/>
      <c r="X180" s="461"/>
      <c r="Y180" s="461"/>
      <c r="Z180" s="461"/>
      <c r="AA180" s="461"/>
      <c r="AB180" s="461"/>
      <c r="AC180" s="461"/>
      <c r="AD180" s="461"/>
      <c r="AE180" s="461"/>
      <c r="AF180" s="461"/>
      <c r="AG180" s="461"/>
      <c r="AH180" s="461"/>
      <c r="AI180" s="461"/>
      <c r="CA180" s="1418" t="str">
        <f t="shared" si="58"/>
        <v/>
      </c>
      <c r="CK180" s="1421">
        <f t="shared" si="59"/>
        <v>0</v>
      </c>
    </row>
    <row r="181" spans="1:89" ht="15" customHeight="1">
      <c r="A181" s="6855"/>
      <c r="B181" s="7119" t="s">
        <v>3303</v>
      </c>
      <c r="C181" s="7120"/>
      <c r="D181" s="1729">
        <f t="shared" si="56"/>
        <v>0</v>
      </c>
      <c r="E181" s="1485"/>
      <c r="F181" s="1712"/>
      <c r="G181" s="1712"/>
      <c r="H181" s="2352"/>
      <c r="I181" s="4559"/>
      <c r="J181" s="461" t="str">
        <f t="shared" si="57"/>
        <v/>
      </c>
      <c r="K181" s="461"/>
      <c r="L181" s="461"/>
      <c r="M181" s="461"/>
      <c r="N181" s="461"/>
      <c r="O181" s="461"/>
      <c r="P181" s="461"/>
      <c r="Q181" s="461"/>
      <c r="R181" s="461"/>
      <c r="S181" s="461"/>
      <c r="T181" s="461"/>
      <c r="U181" s="461"/>
      <c r="V181" s="461"/>
      <c r="W181" s="461"/>
      <c r="X181" s="461"/>
      <c r="Y181" s="461"/>
      <c r="Z181" s="461"/>
      <c r="AA181" s="461"/>
      <c r="AB181" s="461"/>
      <c r="AC181" s="461"/>
      <c r="AD181" s="461"/>
      <c r="AE181" s="461"/>
      <c r="AF181" s="461"/>
      <c r="AG181" s="461"/>
      <c r="AH181" s="461"/>
      <c r="AI181" s="461"/>
      <c r="CA181" s="1418" t="str">
        <f t="shared" si="58"/>
        <v/>
      </c>
      <c r="CK181" s="1421">
        <f t="shared" si="59"/>
        <v>0</v>
      </c>
    </row>
    <row r="182" spans="1:89" ht="30.75" customHeight="1">
      <c r="A182" s="6855"/>
      <c r="B182" s="6181" t="s">
        <v>3304</v>
      </c>
      <c r="C182" s="6182"/>
      <c r="D182" s="1729">
        <f t="shared" si="56"/>
        <v>0</v>
      </c>
      <c r="E182" s="1485"/>
      <c r="F182" s="1712"/>
      <c r="G182" s="1712"/>
      <c r="H182" s="2352"/>
      <c r="I182" s="4559"/>
      <c r="J182" s="461" t="str">
        <f t="shared" si="57"/>
        <v/>
      </c>
      <c r="K182" s="461"/>
      <c r="L182" s="461"/>
      <c r="M182" s="461"/>
      <c r="N182" s="461"/>
      <c r="O182" s="461"/>
      <c r="P182" s="461"/>
      <c r="Q182" s="461"/>
      <c r="R182" s="461"/>
      <c r="S182" s="461"/>
      <c r="T182" s="461"/>
      <c r="U182" s="461"/>
      <c r="V182" s="461"/>
      <c r="W182" s="461"/>
      <c r="X182" s="461"/>
      <c r="Y182" s="461"/>
      <c r="Z182" s="461"/>
      <c r="AA182" s="461"/>
      <c r="AB182" s="461"/>
      <c r="AC182" s="461"/>
      <c r="AD182" s="461"/>
      <c r="AE182" s="461"/>
      <c r="AF182" s="461"/>
      <c r="AG182" s="461"/>
      <c r="AH182" s="461"/>
      <c r="AI182" s="461"/>
      <c r="CA182" s="1418" t="str">
        <f t="shared" si="58"/>
        <v/>
      </c>
      <c r="CK182" s="1421">
        <f t="shared" si="59"/>
        <v>0</v>
      </c>
    </row>
    <row r="183" spans="1:89" ht="15" customHeight="1">
      <c r="A183" s="6855"/>
      <c r="B183" s="6181" t="s">
        <v>3305</v>
      </c>
      <c r="C183" s="6182"/>
      <c r="D183" s="1729">
        <f t="shared" si="56"/>
        <v>0</v>
      </c>
      <c r="E183" s="1485"/>
      <c r="F183" s="1712"/>
      <c r="G183" s="1712"/>
      <c r="H183" s="2352"/>
      <c r="I183" s="4559"/>
      <c r="J183" s="461" t="str">
        <f t="shared" si="57"/>
        <v/>
      </c>
      <c r="K183" s="461"/>
      <c r="L183" s="461"/>
      <c r="M183" s="461"/>
      <c r="N183" s="461"/>
      <c r="O183" s="461"/>
      <c r="P183" s="461"/>
      <c r="Q183" s="461"/>
      <c r="R183" s="461"/>
      <c r="S183" s="461"/>
      <c r="T183" s="461"/>
      <c r="U183" s="461"/>
      <c r="V183" s="461"/>
      <c r="W183" s="461"/>
      <c r="X183" s="461"/>
      <c r="Y183" s="461"/>
      <c r="Z183" s="461"/>
      <c r="AA183" s="461"/>
      <c r="AB183" s="461"/>
      <c r="AC183" s="461"/>
      <c r="AD183" s="461"/>
      <c r="AE183" s="461"/>
      <c r="AF183" s="461"/>
      <c r="AG183" s="461"/>
      <c r="AH183" s="461"/>
      <c r="AI183" s="461"/>
      <c r="CA183" s="1418" t="str">
        <f t="shared" si="58"/>
        <v/>
      </c>
      <c r="CK183" s="1421">
        <f t="shared" si="59"/>
        <v>0</v>
      </c>
    </row>
    <row r="184" spans="1:89" ht="15" customHeight="1">
      <c r="A184" s="6855"/>
      <c r="B184" s="7095" t="s">
        <v>3307</v>
      </c>
      <c r="C184" s="7096"/>
      <c r="D184" s="1729">
        <f t="shared" si="56"/>
        <v>0</v>
      </c>
      <c r="E184" s="1485"/>
      <c r="F184" s="1712"/>
      <c r="G184" s="1712"/>
      <c r="H184" s="2352"/>
      <c r="I184" s="4559"/>
      <c r="J184" s="461" t="str">
        <f t="shared" si="57"/>
        <v/>
      </c>
      <c r="K184" s="461"/>
      <c r="L184" s="461"/>
      <c r="M184" s="461"/>
      <c r="N184" s="461"/>
      <c r="O184" s="461"/>
      <c r="P184" s="461"/>
      <c r="Q184" s="461"/>
      <c r="R184" s="461"/>
      <c r="S184" s="461"/>
      <c r="T184" s="461"/>
      <c r="U184" s="461"/>
      <c r="V184" s="461"/>
      <c r="W184" s="461"/>
      <c r="X184" s="461"/>
      <c r="Y184" s="461"/>
      <c r="Z184" s="461"/>
      <c r="AA184" s="461"/>
      <c r="AB184" s="461"/>
      <c r="AC184" s="461"/>
      <c r="AD184" s="461"/>
      <c r="AE184" s="461"/>
      <c r="AF184" s="461"/>
      <c r="AG184" s="461"/>
      <c r="AH184" s="461"/>
      <c r="AI184" s="461"/>
      <c r="CA184" s="1418" t="str">
        <f t="shared" si="58"/>
        <v/>
      </c>
      <c r="CK184" s="1421">
        <f t="shared" si="59"/>
        <v>0</v>
      </c>
    </row>
    <row r="185" spans="1:89" ht="15" customHeight="1">
      <c r="A185" s="6855"/>
      <c r="B185" s="6127" t="s">
        <v>3308</v>
      </c>
      <c r="C185" s="1952" t="s">
        <v>3309</v>
      </c>
      <c r="D185" s="1422">
        <f t="shared" si="56"/>
        <v>0</v>
      </c>
      <c r="E185" s="1425"/>
      <c r="F185" s="1426"/>
      <c r="G185" s="1426"/>
      <c r="H185" s="1427"/>
      <c r="I185" s="1651"/>
      <c r="J185" s="461" t="str">
        <f t="shared" si="57"/>
        <v/>
      </c>
      <c r="K185" s="461"/>
      <c r="L185" s="461"/>
      <c r="M185" s="461"/>
      <c r="N185" s="461"/>
      <c r="O185" s="461"/>
      <c r="P185" s="461"/>
      <c r="Q185" s="461"/>
      <c r="R185" s="461"/>
      <c r="S185" s="461"/>
      <c r="T185" s="461"/>
      <c r="U185" s="461"/>
      <c r="V185" s="461"/>
      <c r="W185" s="461"/>
      <c r="X185" s="461"/>
      <c r="Y185" s="461"/>
      <c r="Z185" s="461"/>
      <c r="AA185" s="461"/>
      <c r="AB185" s="461"/>
      <c r="AC185" s="461"/>
      <c r="AD185" s="461"/>
      <c r="AE185" s="461"/>
      <c r="AF185" s="461"/>
      <c r="AG185" s="461"/>
      <c r="AH185" s="461"/>
      <c r="AI185" s="461"/>
      <c r="CA185" s="1418" t="str">
        <f t="shared" si="58"/>
        <v/>
      </c>
      <c r="CK185" s="1421">
        <f t="shared" si="59"/>
        <v>0</v>
      </c>
    </row>
    <row r="186" spans="1:89" ht="15" customHeight="1">
      <c r="A186" s="6855"/>
      <c r="B186" s="6128"/>
      <c r="C186" s="4537" t="s">
        <v>3310</v>
      </c>
      <c r="D186" s="1512">
        <f t="shared" si="56"/>
        <v>0</v>
      </c>
      <c r="E186" s="1441"/>
      <c r="F186" s="1442"/>
      <c r="G186" s="1442"/>
      <c r="H186" s="1443"/>
      <c r="I186" s="1656"/>
      <c r="J186" s="461" t="str">
        <f t="shared" si="57"/>
        <v/>
      </c>
      <c r="K186" s="461"/>
      <c r="L186" s="461"/>
      <c r="M186" s="461"/>
      <c r="N186" s="461"/>
      <c r="O186" s="461"/>
      <c r="P186" s="461"/>
      <c r="Q186" s="461"/>
      <c r="R186" s="461"/>
      <c r="S186" s="461"/>
      <c r="T186" s="461"/>
      <c r="U186" s="461"/>
      <c r="V186" s="461"/>
      <c r="W186" s="461"/>
      <c r="X186" s="461"/>
      <c r="Y186" s="461"/>
      <c r="Z186" s="461"/>
      <c r="AA186" s="461"/>
      <c r="AB186" s="461"/>
      <c r="AC186" s="461"/>
      <c r="AD186" s="461"/>
      <c r="AE186" s="461"/>
      <c r="AF186" s="461"/>
      <c r="AG186" s="461"/>
      <c r="AH186" s="461"/>
      <c r="AI186" s="461"/>
      <c r="CA186" s="1418" t="str">
        <f t="shared" si="58"/>
        <v/>
      </c>
      <c r="CK186" s="1421">
        <f t="shared" si="59"/>
        <v>0</v>
      </c>
    </row>
    <row r="187" spans="1:89" ht="15" customHeight="1">
      <c r="A187" s="6855"/>
      <c r="B187" s="6129"/>
      <c r="C187" s="3050" t="s">
        <v>619</v>
      </c>
      <c r="D187" s="1506">
        <f t="shared" si="56"/>
        <v>0</v>
      </c>
      <c r="E187" s="1456"/>
      <c r="F187" s="1457"/>
      <c r="G187" s="1457"/>
      <c r="H187" s="1458"/>
      <c r="I187" s="1661"/>
      <c r="J187" s="461" t="str">
        <f t="shared" si="57"/>
        <v/>
      </c>
      <c r="K187" s="461"/>
      <c r="L187" s="461"/>
      <c r="M187" s="461"/>
      <c r="N187" s="461"/>
      <c r="O187" s="461"/>
      <c r="P187" s="461"/>
      <c r="Q187" s="461"/>
      <c r="R187" s="461"/>
      <c r="S187" s="461"/>
      <c r="T187" s="461"/>
      <c r="U187" s="461"/>
      <c r="V187" s="461"/>
      <c r="W187" s="461"/>
      <c r="X187" s="461"/>
      <c r="Y187" s="461"/>
      <c r="Z187" s="461"/>
      <c r="AA187" s="461"/>
      <c r="AB187" s="461"/>
      <c r="AC187" s="461"/>
      <c r="AD187" s="461"/>
      <c r="AE187" s="461"/>
      <c r="AF187" s="461"/>
      <c r="AG187" s="461"/>
      <c r="AH187" s="461"/>
      <c r="AI187" s="461"/>
      <c r="CA187" s="1418" t="str">
        <f t="shared" si="58"/>
        <v/>
      </c>
      <c r="CK187" s="1421">
        <f t="shared" si="59"/>
        <v>0</v>
      </c>
    </row>
    <row r="188" spans="1:89" ht="15" customHeight="1">
      <c r="A188" s="6855"/>
      <c r="B188" s="6127" t="s">
        <v>3311</v>
      </c>
      <c r="C188" s="4441" t="s">
        <v>3312</v>
      </c>
      <c r="D188" s="1403">
        <f t="shared" si="56"/>
        <v>0</v>
      </c>
      <c r="E188" s="1424"/>
      <c r="F188" s="1426"/>
      <c r="G188" s="1426"/>
      <c r="H188" s="1427"/>
      <c r="I188" s="1651"/>
      <c r="J188" s="461" t="str">
        <f t="shared" si="57"/>
        <v/>
      </c>
      <c r="K188" s="461"/>
      <c r="L188" s="461"/>
      <c r="M188" s="461"/>
      <c r="N188" s="461"/>
      <c r="O188" s="461"/>
      <c r="P188" s="461"/>
      <c r="Q188" s="461"/>
      <c r="R188" s="461"/>
      <c r="S188" s="461"/>
      <c r="T188" s="461"/>
      <c r="U188" s="461"/>
      <c r="V188" s="461"/>
      <c r="W188" s="461"/>
      <c r="X188" s="461"/>
      <c r="Y188" s="461"/>
      <c r="Z188" s="461"/>
      <c r="AA188" s="461"/>
      <c r="AB188" s="461"/>
      <c r="AC188" s="461"/>
      <c r="AD188" s="461"/>
      <c r="AE188" s="461"/>
      <c r="AF188" s="461"/>
      <c r="AG188" s="461"/>
      <c r="AH188" s="461"/>
      <c r="AI188" s="461"/>
      <c r="CA188" s="1418" t="str">
        <f t="shared" si="58"/>
        <v/>
      </c>
      <c r="CK188" s="1421">
        <f t="shared" si="59"/>
        <v>0</v>
      </c>
    </row>
    <row r="189" spans="1:89" ht="15" customHeight="1">
      <c r="A189" s="6855"/>
      <c r="B189" s="6128"/>
      <c r="C189" s="4449" t="s">
        <v>3313</v>
      </c>
      <c r="D189" s="1729">
        <f t="shared" si="56"/>
        <v>0</v>
      </c>
      <c r="E189" s="1440"/>
      <c r="F189" s="1442"/>
      <c r="G189" s="1442"/>
      <c r="H189" s="1443"/>
      <c r="I189" s="1656"/>
      <c r="J189" s="461" t="str">
        <f t="shared" si="57"/>
        <v/>
      </c>
      <c r="K189" s="461"/>
      <c r="L189" s="461"/>
      <c r="M189" s="461"/>
      <c r="N189" s="461"/>
      <c r="O189" s="461"/>
      <c r="P189" s="461"/>
      <c r="Q189" s="461"/>
      <c r="R189" s="461"/>
      <c r="S189" s="461"/>
      <c r="T189" s="461"/>
      <c r="U189" s="461"/>
      <c r="V189" s="461"/>
      <c r="W189" s="461"/>
      <c r="X189" s="461"/>
      <c r="Y189" s="461"/>
      <c r="Z189" s="461"/>
      <c r="AA189" s="461"/>
      <c r="AB189" s="461"/>
      <c r="AC189" s="461"/>
      <c r="AD189" s="461"/>
      <c r="AE189" s="461"/>
      <c r="AF189" s="461"/>
      <c r="AG189" s="461"/>
      <c r="AH189" s="461"/>
      <c r="AI189" s="461"/>
      <c r="CA189" s="1418" t="str">
        <f t="shared" si="58"/>
        <v/>
      </c>
      <c r="CK189" s="1421">
        <f t="shared" si="59"/>
        <v>0</v>
      </c>
    </row>
    <row r="190" spans="1:89" ht="15" customHeight="1">
      <c r="A190" s="6855"/>
      <c r="B190" s="6129"/>
      <c r="C190" s="3050" t="s">
        <v>619</v>
      </c>
      <c r="D190" s="1506">
        <f t="shared" si="56"/>
        <v>0</v>
      </c>
      <c r="E190" s="1455"/>
      <c r="F190" s="1457"/>
      <c r="G190" s="1457"/>
      <c r="H190" s="1458"/>
      <c r="I190" s="1661"/>
      <c r="J190" s="461" t="str">
        <f t="shared" si="57"/>
        <v/>
      </c>
      <c r="K190" s="461"/>
      <c r="L190" s="461"/>
      <c r="M190" s="461"/>
      <c r="N190" s="461"/>
      <c r="O190" s="461"/>
      <c r="P190" s="461"/>
      <c r="Q190" s="461"/>
      <c r="R190" s="461"/>
      <c r="S190" s="461"/>
      <c r="T190" s="461"/>
      <c r="U190" s="461"/>
      <c r="V190" s="461"/>
      <c r="W190" s="461"/>
      <c r="X190" s="461"/>
      <c r="Y190" s="461"/>
      <c r="Z190" s="461"/>
      <c r="AA190" s="461"/>
      <c r="AB190" s="461"/>
      <c r="AC190" s="461"/>
      <c r="AD190" s="461"/>
      <c r="AE190" s="461"/>
      <c r="AF190" s="461"/>
      <c r="AG190" s="461"/>
      <c r="AH190" s="461"/>
      <c r="AI190" s="461"/>
      <c r="CA190" s="1418" t="str">
        <f t="shared" si="58"/>
        <v/>
      </c>
      <c r="CK190" s="1421">
        <f t="shared" si="59"/>
        <v>0</v>
      </c>
    </row>
    <row r="191" spans="1:89" ht="15" customHeight="1">
      <c r="A191" s="6855"/>
      <c r="B191" s="7093" t="s">
        <v>3314</v>
      </c>
      <c r="C191" s="7094"/>
      <c r="D191" s="406">
        <f t="shared" si="56"/>
        <v>0</v>
      </c>
      <c r="E191" s="1475"/>
      <c r="F191" s="1535"/>
      <c r="G191" s="1535"/>
      <c r="H191" s="4063"/>
      <c r="I191" s="4561"/>
      <c r="J191" s="461" t="str">
        <f t="shared" si="57"/>
        <v/>
      </c>
      <c r="K191" s="461"/>
      <c r="L191" s="461"/>
      <c r="M191" s="461"/>
      <c r="N191" s="461"/>
      <c r="O191" s="461"/>
      <c r="P191" s="461"/>
      <c r="Q191" s="461"/>
      <c r="R191" s="461"/>
      <c r="S191" s="461"/>
      <c r="T191" s="461"/>
      <c r="U191" s="461"/>
      <c r="V191" s="461"/>
      <c r="W191" s="461"/>
      <c r="X191" s="461"/>
      <c r="Y191" s="461"/>
      <c r="Z191" s="461"/>
      <c r="AA191" s="461"/>
      <c r="AB191" s="461"/>
      <c r="AC191" s="461"/>
      <c r="AD191" s="461"/>
      <c r="AE191" s="461"/>
      <c r="AF191" s="461"/>
      <c r="AG191" s="461"/>
      <c r="AH191" s="461"/>
      <c r="AI191" s="461"/>
      <c r="CA191" s="1418" t="str">
        <f t="shared" si="58"/>
        <v/>
      </c>
      <c r="CK191" s="1421">
        <f t="shared" si="59"/>
        <v>0</v>
      </c>
    </row>
    <row r="192" spans="1:89" ht="15" customHeight="1">
      <c r="A192" s="6855"/>
      <c r="B192" s="6129" t="s">
        <v>3315</v>
      </c>
      <c r="C192" s="407" t="s">
        <v>3316</v>
      </c>
      <c r="D192" s="1516">
        <f t="shared" si="56"/>
        <v>0</v>
      </c>
      <c r="E192" s="1480"/>
      <c r="F192" s="1541"/>
      <c r="G192" s="1541"/>
      <c r="H192" s="1959"/>
      <c r="I192" s="4558"/>
      <c r="J192" s="461" t="str">
        <f t="shared" si="57"/>
        <v/>
      </c>
      <c r="K192" s="461"/>
      <c r="L192" s="461"/>
      <c r="M192" s="461"/>
      <c r="N192" s="461"/>
      <c r="O192" s="461"/>
      <c r="P192" s="461"/>
      <c r="Q192" s="461"/>
      <c r="R192" s="461"/>
      <c r="S192" s="461"/>
      <c r="T192" s="461"/>
      <c r="U192" s="461"/>
      <c r="V192" s="461"/>
      <c r="W192" s="461"/>
      <c r="X192" s="461"/>
      <c r="Y192" s="461"/>
      <c r="Z192" s="461"/>
      <c r="AA192" s="461"/>
      <c r="AB192" s="461"/>
      <c r="AC192" s="461"/>
      <c r="AD192" s="461"/>
      <c r="AE192" s="461"/>
      <c r="AF192" s="461"/>
      <c r="AG192" s="461"/>
      <c r="AH192" s="461"/>
      <c r="AI192" s="461"/>
      <c r="CA192" s="1418" t="str">
        <f t="shared" si="58"/>
        <v/>
      </c>
      <c r="CK192" s="1421">
        <f t="shared" si="59"/>
        <v>0</v>
      </c>
    </row>
    <row r="193" spans="1:89" ht="15" customHeight="1">
      <c r="A193" s="6855"/>
      <c r="B193" s="6205"/>
      <c r="C193" s="3390" t="s">
        <v>3317</v>
      </c>
      <c r="D193" s="1729">
        <f t="shared" si="56"/>
        <v>0</v>
      </c>
      <c r="E193" s="1440"/>
      <c r="F193" s="1442"/>
      <c r="G193" s="1442"/>
      <c r="H193" s="1443"/>
      <c r="I193" s="1656"/>
      <c r="J193" s="461" t="str">
        <f t="shared" si="57"/>
        <v/>
      </c>
      <c r="K193" s="461"/>
      <c r="L193" s="461"/>
      <c r="M193" s="461"/>
      <c r="N193" s="461"/>
      <c r="O193" s="461"/>
      <c r="P193" s="461"/>
      <c r="Q193" s="461"/>
      <c r="R193" s="461"/>
      <c r="S193" s="461"/>
      <c r="T193" s="461"/>
      <c r="U193" s="461"/>
      <c r="V193" s="461"/>
      <c r="W193" s="461"/>
      <c r="X193" s="461"/>
      <c r="Y193" s="461"/>
      <c r="Z193" s="461"/>
      <c r="AA193" s="461"/>
      <c r="AB193" s="461"/>
      <c r="AC193" s="461"/>
      <c r="AD193" s="461"/>
      <c r="AE193" s="461"/>
      <c r="AF193" s="461"/>
      <c r="AG193" s="461"/>
      <c r="AH193" s="461"/>
      <c r="AI193" s="461"/>
      <c r="CA193" s="1418" t="str">
        <f t="shared" si="58"/>
        <v/>
      </c>
      <c r="CK193" s="1421">
        <f t="shared" si="59"/>
        <v>0</v>
      </c>
    </row>
    <row r="194" spans="1:89" ht="15" customHeight="1">
      <c r="A194" s="6855"/>
      <c r="B194" s="6467" t="s">
        <v>3318</v>
      </c>
      <c r="C194" s="6467"/>
      <c r="D194" s="1729">
        <f t="shared" si="56"/>
        <v>0</v>
      </c>
      <c r="E194" s="1440"/>
      <c r="F194" s="1442"/>
      <c r="G194" s="1442"/>
      <c r="H194" s="1443"/>
      <c r="I194" s="1656"/>
      <c r="J194" s="461" t="str">
        <f t="shared" si="57"/>
        <v/>
      </c>
      <c r="K194" s="461"/>
      <c r="L194" s="461"/>
      <c r="M194" s="461"/>
      <c r="N194" s="461"/>
      <c r="O194" s="461"/>
      <c r="P194" s="461"/>
      <c r="Q194" s="461"/>
      <c r="R194" s="461"/>
      <c r="S194" s="461"/>
      <c r="T194" s="461"/>
      <c r="U194" s="461"/>
      <c r="V194" s="461"/>
      <c r="W194" s="461"/>
      <c r="X194" s="461"/>
      <c r="Y194" s="461"/>
      <c r="Z194" s="461"/>
      <c r="AA194" s="461"/>
      <c r="AB194" s="461"/>
      <c r="AC194" s="461"/>
      <c r="AD194" s="461"/>
      <c r="AE194" s="461"/>
      <c r="AF194" s="461"/>
      <c r="AG194" s="461"/>
      <c r="AH194" s="461"/>
      <c r="AI194" s="461"/>
      <c r="CA194" s="1418" t="str">
        <f t="shared" si="58"/>
        <v/>
      </c>
      <c r="CK194" s="1421">
        <f t="shared" si="59"/>
        <v>0</v>
      </c>
    </row>
    <row r="195" spans="1:89" ht="15" customHeight="1">
      <c r="A195" s="6855"/>
      <c r="B195" s="7119" t="s">
        <v>3319</v>
      </c>
      <c r="C195" s="7120"/>
      <c r="D195" s="1729">
        <f t="shared" si="56"/>
        <v>0</v>
      </c>
      <c r="E195" s="1440"/>
      <c r="F195" s="1442"/>
      <c r="G195" s="1442"/>
      <c r="H195" s="1443"/>
      <c r="I195" s="1656"/>
      <c r="J195" s="461" t="str">
        <f t="shared" si="57"/>
        <v/>
      </c>
      <c r="K195" s="461"/>
      <c r="L195" s="461"/>
      <c r="M195" s="461"/>
      <c r="N195" s="461"/>
      <c r="O195" s="461"/>
      <c r="P195" s="461"/>
      <c r="Q195" s="461"/>
      <c r="R195" s="461"/>
      <c r="S195" s="461"/>
      <c r="T195" s="461"/>
      <c r="U195" s="461"/>
      <c r="V195" s="461"/>
      <c r="W195" s="461"/>
      <c r="X195" s="461"/>
      <c r="Y195" s="461"/>
      <c r="Z195" s="461"/>
      <c r="AA195" s="461"/>
      <c r="AB195" s="461"/>
      <c r="AC195" s="461"/>
      <c r="AD195" s="461"/>
      <c r="AE195" s="461"/>
      <c r="AF195" s="461"/>
      <c r="AG195" s="461"/>
      <c r="AH195" s="461"/>
      <c r="AI195" s="461"/>
      <c r="CA195" s="1418" t="str">
        <f t="shared" si="58"/>
        <v/>
      </c>
      <c r="CK195" s="1421">
        <f t="shared" si="59"/>
        <v>0</v>
      </c>
    </row>
    <row r="196" spans="1:89" ht="15" customHeight="1">
      <c r="A196" s="6855"/>
      <c r="B196" s="6181" t="s">
        <v>3320</v>
      </c>
      <c r="C196" s="6182"/>
      <c r="D196" s="1729">
        <f t="shared" si="56"/>
        <v>0</v>
      </c>
      <c r="E196" s="1485"/>
      <c r="F196" s="1712"/>
      <c r="G196" s="1712"/>
      <c r="H196" s="2352"/>
      <c r="I196" s="4559"/>
      <c r="J196" s="461" t="str">
        <f t="shared" si="57"/>
        <v/>
      </c>
      <c r="K196" s="461"/>
      <c r="L196" s="461"/>
      <c r="M196" s="461"/>
      <c r="N196" s="461"/>
      <c r="O196" s="461"/>
      <c r="P196" s="461"/>
      <c r="Q196" s="461"/>
      <c r="R196" s="461"/>
      <c r="S196" s="461"/>
      <c r="T196" s="461"/>
      <c r="U196" s="461"/>
      <c r="V196" s="461"/>
      <c r="W196" s="461"/>
      <c r="X196" s="461"/>
      <c r="Y196" s="461"/>
      <c r="Z196" s="461"/>
      <c r="AA196" s="461"/>
      <c r="AB196" s="461"/>
      <c r="AC196" s="461"/>
      <c r="AD196" s="461"/>
      <c r="AE196" s="461"/>
      <c r="AF196" s="461"/>
      <c r="AG196" s="461"/>
      <c r="AH196" s="461"/>
      <c r="AI196" s="461"/>
      <c r="CA196" s="1418" t="str">
        <f t="shared" si="58"/>
        <v/>
      </c>
      <c r="CK196" s="1421">
        <f t="shared" si="59"/>
        <v>0</v>
      </c>
    </row>
    <row r="197" spans="1:89" ht="15" customHeight="1">
      <c r="A197" s="6855"/>
      <c r="B197" s="7095" t="s">
        <v>3321</v>
      </c>
      <c r="C197" s="7096"/>
      <c r="D197" s="1729">
        <f t="shared" si="56"/>
        <v>0</v>
      </c>
      <c r="E197" s="1485"/>
      <c r="F197" s="1712"/>
      <c r="G197" s="1712"/>
      <c r="H197" s="2352"/>
      <c r="I197" s="4559"/>
      <c r="J197" s="461" t="str">
        <f t="shared" si="57"/>
        <v/>
      </c>
      <c r="K197" s="461"/>
      <c r="L197" s="461"/>
      <c r="M197" s="461"/>
      <c r="N197" s="461"/>
      <c r="O197" s="461"/>
      <c r="P197" s="461"/>
      <c r="Q197" s="461"/>
      <c r="R197" s="461"/>
      <c r="S197" s="461"/>
      <c r="T197" s="461"/>
      <c r="U197" s="461"/>
      <c r="V197" s="461"/>
      <c r="W197" s="461"/>
      <c r="X197" s="461"/>
      <c r="Y197" s="461"/>
      <c r="Z197" s="461"/>
      <c r="AA197" s="461"/>
      <c r="AB197" s="461"/>
      <c r="AC197" s="461"/>
      <c r="AD197" s="461"/>
      <c r="AE197" s="461"/>
      <c r="AF197" s="461"/>
      <c r="AG197" s="461"/>
      <c r="AH197" s="461"/>
      <c r="AI197" s="461"/>
      <c r="CA197" s="1418" t="str">
        <f t="shared" si="58"/>
        <v/>
      </c>
      <c r="CK197" s="1421">
        <f t="shared" si="59"/>
        <v>0</v>
      </c>
    </row>
    <row r="198" spans="1:89" ht="15" customHeight="1">
      <c r="A198" s="6855"/>
      <c r="B198" s="6127" t="s">
        <v>3322</v>
      </c>
      <c r="C198" s="4546" t="s">
        <v>3323</v>
      </c>
      <c r="D198" s="1403">
        <f t="shared" si="56"/>
        <v>0</v>
      </c>
      <c r="E198" s="1424"/>
      <c r="F198" s="1426"/>
      <c r="G198" s="1426"/>
      <c r="H198" s="1427"/>
      <c r="I198" s="1651"/>
      <c r="J198" s="461" t="str">
        <f t="shared" si="57"/>
        <v/>
      </c>
      <c r="K198" s="461"/>
      <c r="L198" s="461"/>
      <c r="M198" s="461"/>
      <c r="N198" s="461"/>
      <c r="O198" s="461"/>
      <c r="P198" s="461"/>
      <c r="Q198" s="461"/>
      <c r="R198" s="461"/>
      <c r="S198" s="461"/>
      <c r="T198" s="461"/>
      <c r="U198" s="461"/>
      <c r="V198" s="461"/>
      <c r="W198" s="461"/>
      <c r="X198" s="461"/>
      <c r="Y198" s="461"/>
      <c r="Z198" s="461"/>
      <c r="AA198" s="461"/>
      <c r="AB198" s="461"/>
      <c r="AC198" s="461"/>
      <c r="AD198" s="461"/>
      <c r="AE198" s="461"/>
      <c r="AF198" s="461"/>
      <c r="AG198" s="461"/>
      <c r="AH198" s="461"/>
      <c r="AI198" s="461"/>
      <c r="CA198" s="1418" t="str">
        <f t="shared" si="58"/>
        <v/>
      </c>
      <c r="CK198" s="1421">
        <f t="shared" si="59"/>
        <v>0</v>
      </c>
    </row>
    <row r="199" spans="1:89" ht="15" customHeight="1">
      <c r="A199" s="6855"/>
      <c r="B199" s="6128"/>
      <c r="C199" s="4547" t="s">
        <v>3324</v>
      </c>
      <c r="D199" s="1729">
        <f t="shared" si="56"/>
        <v>0</v>
      </c>
      <c r="E199" s="1440"/>
      <c r="F199" s="1442"/>
      <c r="G199" s="1442"/>
      <c r="H199" s="1443"/>
      <c r="I199" s="1656"/>
      <c r="J199" s="461" t="str">
        <f t="shared" si="57"/>
        <v/>
      </c>
      <c r="K199" s="461"/>
      <c r="L199" s="461"/>
      <c r="M199" s="461"/>
      <c r="N199" s="461"/>
      <c r="O199" s="461"/>
      <c r="P199" s="461"/>
      <c r="Q199" s="461"/>
      <c r="R199" s="461"/>
      <c r="S199" s="461"/>
      <c r="T199" s="461"/>
      <c r="U199" s="461"/>
      <c r="V199" s="461"/>
      <c r="W199" s="461"/>
      <c r="X199" s="461"/>
      <c r="Y199" s="461"/>
      <c r="Z199" s="461"/>
      <c r="AA199" s="461"/>
      <c r="AB199" s="461"/>
      <c r="AC199" s="461"/>
      <c r="AD199" s="461"/>
      <c r="AE199" s="461"/>
      <c r="AF199" s="461"/>
      <c r="AG199" s="461"/>
      <c r="AH199" s="461"/>
      <c r="AI199" s="461"/>
      <c r="CA199" s="1418" t="str">
        <f t="shared" si="58"/>
        <v/>
      </c>
      <c r="CK199" s="1421">
        <f t="shared" si="59"/>
        <v>0</v>
      </c>
    </row>
    <row r="200" spans="1:89" ht="15" customHeight="1">
      <c r="A200" s="6855"/>
      <c r="B200" s="6129"/>
      <c r="C200" s="1484" t="s">
        <v>3325</v>
      </c>
      <c r="D200" s="1729">
        <f t="shared" si="56"/>
        <v>0</v>
      </c>
      <c r="E200" s="1485"/>
      <c r="F200" s="1712"/>
      <c r="G200" s="1712"/>
      <c r="H200" s="2352"/>
      <c r="I200" s="4559"/>
      <c r="J200" s="461" t="str">
        <f t="shared" si="57"/>
        <v/>
      </c>
      <c r="K200" s="461"/>
      <c r="L200" s="461"/>
      <c r="M200" s="461"/>
      <c r="N200" s="461"/>
      <c r="O200" s="461"/>
      <c r="P200" s="461"/>
      <c r="Q200" s="461"/>
      <c r="R200" s="461"/>
      <c r="S200" s="461"/>
      <c r="T200" s="461"/>
      <c r="U200" s="461"/>
      <c r="V200" s="461"/>
      <c r="W200" s="461"/>
      <c r="X200" s="461"/>
      <c r="Y200" s="461"/>
      <c r="Z200" s="461"/>
      <c r="AA200" s="461"/>
      <c r="AB200" s="461"/>
      <c r="AC200" s="461"/>
      <c r="AD200" s="461"/>
      <c r="AE200" s="461"/>
      <c r="AF200" s="461"/>
      <c r="AG200" s="461"/>
      <c r="AH200" s="461"/>
      <c r="AI200" s="461"/>
      <c r="CA200" s="1418" t="str">
        <f t="shared" si="58"/>
        <v/>
      </c>
      <c r="CK200" s="1421">
        <f t="shared" si="59"/>
        <v>0</v>
      </c>
    </row>
    <row r="201" spans="1:89" ht="15" customHeight="1">
      <c r="A201" s="6855"/>
      <c r="B201" s="7101" t="s">
        <v>3328</v>
      </c>
      <c r="C201" s="7102"/>
      <c r="D201" s="1422">
        <f t="shared" si="56"/>
        <v>0</v>
      </c>
      <c r="E201" s="1424"/>
      <c r="F201" s="1426"/>
      <c r="G201" s="1426"/>
      <c r="H201" s="1652"/>
      <c r="I201" s="1651"/>
      <c r="J201" s="461" t="str">
        <f t="shared" si="57"/>
        <v/>
      </c>
      <c r="K201" s="461"/>
      <c r="L201" s="461"/>
      <c r="M201" s="461"/>
      <c r="N201" s="461"/>
      <c r="O201" s="461"/>
      <c r="P201" s="461"/>
      <c r="Q201" s="461"/>
      <c r="R201" s="461"/>
      <c r="S201" s="461"/>
      <c r="T201" s="461"/>
      <c r="U201" s="461"/>
      <c r="V201" s="461"/>
      <c r="W201" s="461"/>
      <c r="X201" s="461"/>
      <c r="Y201" s="461"/>
      <c r="Z201" s="461"/>
      <c r="AA201" s="461"/>
      <c r="AB201" s="461"/>
      <c r="AC201" s="461"/>
      <c r="AD201" s="461"/>
      <c r="AE201" s="461"/>
      <c r="AF201" s="461"/>
      <c r="AG201" s="461"/>
      <c r="AH201" s="461"/>
      <c r="AI201" s="461"/>
      <c r="CA201" s="1418" t="str">
        <f t="shared" si="58"/>
        <v/>
      </c>
      <c r="CK201" s="1421">
        <f t="shared" si="59"/>
        <v>0</v>
      </c>
    </row>
    <row r="202" spans="1:89" ht="15" customHeight="1">
      <c r="A202" s="6855"/>
      <c r="B202" s="7103" t="s">
        <v>3329</v>
      </c>
      <c r="C202" s="7104"/>
      <c r="D202" s="1527">
        <f t="shared" si="56"/>
        <v>0</v>
      </c>
      <c r="E202" s="1528"/>
      <c r="F202" s="1529"/>
      <c r="G202" s="1529"/>
      <c r="H202" s="1800"/>
      <c r="I202" s="3492"/>
      <c r="J202" s="461" t="str">
        <f t="shared" si="57"/>
        <v/>
      </c>
      <c r="K202" s="461"/>
      <c r="L202" s="461"/>
      <c r="M202" s="461"/>
      <c r="N202" s="461"/>
      <c r="O202" s="461"/>
      <c r="P202" s="461"/>
      <c r="Q202" s="461"/>
      <c r="R202" s="461"/>
      <c r="S202" s="461"/>
      <c r="T202" s="461"/>
      <c r="U202" s="461"/>
      <c r="V202" s="461"/>
      <c r="W202" s="461"/>
      <c r="X202" s="461"/>
      <c r="Y202" s="461"/>
      <c r="Z202" s="461"/>
      <c r="AA202" s="461"/>
      <c r="AB202" s="461"/>
      <c r="AC202" s="461"/>
      <c r="AD202" s="461"/>
      <c r="AE202" s="461"/>
      <c r="AF202" s="461"/>
      <c r="AG202" s="461"/>
      <c r="AH202" s="461"/>
      <c r="AI202" s="461"/>
      <c r="CA202" s="1418" t="str">
        <f t="shared" si="58"/>
        <v/>
      </c>
      <c r="CK202" s="1421">
        <f t="shared" si="59"/>
        <v>0</v>
      </c>
    </row>
    <row r="203" spans="1:89" ht="15" customHeight="1">
      <c r="A203" s="6856"/>
      <c r="B203" s="7105" t="s">
        <v>91</v>
      </c>
      <c r="C203" s="7106"/>
      <c r="D203" s="406">
        <f t="shared" si="56"/>
        <v>0</v>
      </c>
      <c r="E203" s="401">
        <f>SUM(E171:E202)</f>
        <v>0</v>
      </c>
      <c r="F203" s="402">
        <f>SUM(F171:F202)</f>
        <v>0</v>
      </c>
      <c r="G203" s="402">
        <f>SUM(G171:G202)</f>
        <v>0</v>
      </c>
      <c r="H203" s="1556">
        <f>SUM(H171:H202)</f>
        <v>0</v>
      </c>
      <c r="I203" s="4675">
        <f>SUM(I171:I202)</f>
        <v>0</v>
      </c>
      <c r="J203" s="4615"/>
      <c r="K203" s="461"/>
      <c r="L203" s="461"/>
      <c r="M203" s="461"/>
      <c r="N203" s="461"/>
      <c r="O203" s="461"/>
      <c r="P203" s="461"/>
      <c r="Q203" s="461"/>
      <c r="R203" s="461"/>
      <c r="S203" s="461"/>
      <c r="T203" s="461"/>
      <c r="U203" s="461"/>
      <c r="V203" s="461"/>
      <c r="W203" s="461"/>
      <c r="X203" s="461"/>
      <c r="Y203" s="461"/>
      <c r="Z203" s="461"/>
      <c r="AA203" s="461"/>
      <c r="AB203" s="461"/>
      <c r="AC203" s="461"/>
      <c r="AD203" s="461"/>
      <c r="AE203" s="461"/>
      <c r="AF203" s="461"/>
      <c r="AG203" s="461"/>
      <c r="AH203" s="461"/>
      <c r="AI203" s="461"/>
    </row>
    <row r="204" spans="1:89" ht="18" customHeight="1">
      <c r="A204" s="4674" t="s">
        <v>3429</v>
      </c>
      <c r="B204" s="4618"/>
      <c r="C204" s="4618"/>
      <c r="D204" s="4618"/>
      <c r="E204" s="4618"/>
      <c r="F204" s="4565"/>
      <c r="G204" s="4565" t="s">
        <v>16</v>
      </c>
      <c r="H204" s="4676"/>
      <c r="I204" s="4676"/>
      <c r="J204" s="4616"/>
      <c r="K204" s="4616"/>
      <c r="L204" s="4616"/>
      <c r="M204" s="4616"/>
      <c r="N204" s="4616"/>
      <c r="O204" s="4616"/>
      <c r="P204" s="4616"/>
      <c r="Q204" s="4616"/>
      <c r="R204" s="4616"/>
      <c r="S204" s="4616"/>
      <c r="T204" s="4616"/>
      <c r="U204" s="4616"/>
      <c r="V204" s="4616"/>
      <c r="W204" s="4616"/>
      <c r="X204" s="4616"/>
      <c r="Y204" s="4677"/>
      <c r="Z204" s="4677"/>
      <c r="AA204" s="4677"/>
      <c r="AB204" s="4677"/>
      <c r="AC204" s="4677"/>
      <c r="AD204" s="4677"/>
      <c r="AE204" s="4677"/>
      <c r="AF204" s="4677"/>
      <c r="AG204" s="4677"/>
      <c r="AH204" s="4677"/>
      <c r="AI204" s="382"/>
    </row>
    <row r="205" spans="1:89">
      <c r="A205" s="6492" t="s">
        <v>3430</v>
      </c>
      <c r="B205" s="6298" t="s">
        <v>3431</v>
      </c>
      <c r="C205" s="6140" t="s">
        <v>91</v>
      </c>
      <c r="D205" s="6139"/>
      <c r="E205" s="6119"/>
      <c r="F205" s="5710" t="s">
        <v>3432</v>
      </c>
      <c r="G205" s="6106"/>
      <c r="H205" s="6106"/>
      <c r="I205" s="6106"/>
      <c r="J205" s="6106"/>
      <c r="K205" s="6106"/>
      <c r="L205" s="6106"/>
      <c r="M205" s="6106"/>
      <c r="N205" s="6106"/>
      <c r="O205" s="6106"/>
      <c r="P205" s="6106"/>
      <c r="Q205" s="6106"/>
      <c r="R205" s="6106"/>
      <c r="S205" s="6106"/>
      <c r="T205" s="6106"/>
      <c r="U205" s="6106"/>
      <c r="V205" s="6106"/>
      <c r="W205" s="6106"/>
      <c r="X205" s="6106"/>
      <c r="Y205" s="6106"/>
      <c r="Z205" s="6106"/>
      <c r="AA205" s="6106"/>
      <c r="AB205" s="6106"/>
      <c r="AC205" s="6106"/>
      <c r="AD205" s="6106"/>
      <c r="AE205" s="6106"/>
      <c r="AF205" s="6106"/>
      <c r="AG205" s="5716"/>
      <c r="AH205" s="6762" t="s">
        <v>625</v>
      </c>
      <c r="AI205" s="3677"/>
    </row>
    <row r="206" spans="1:89">
      <c r="A206" s="6492"/>
      <c r="B206" s="6299"/>
      <c r="C206" s="6114"/>
      <c r="D206" s="6115"/>
      <c r="E206" s="6116"/>
      <c r="F206" s="5710" t="s">
        <v>58</v>
      </c>
      <c r="G206" s="5712"/>
      <c r="H206" s="5707" t="s">
        <v>59</v>
      </c>
      <c r="I206" s="5709"/>
      <c r="J206" s="5707" t="s">
        <v>60</v>
      </c>
      <c r="K206" s="5709"/>
      <c r="L206" s="5707" t="s">
        <v>61</v>
      </c>
      <c r="M206" s="5709"/>
      <c r="N206" s="5707" t="s">
        <v>62</v>
      </c>
      <c r="O206" s="5709"/>
      <c r="P206" s="5707" t="s">
        <v>63</v>
      </c>
      <c r="Q206" s="5709"/>
      <c r="R206" s="5707" t="s">
        <v>64</v>
      </c>
      <c r="S206" s="5709"/>
      <c r="T206" s="5707" t="s">
        <v>65</v>
      </c>
      <c r="U206" s="5709"/>
      <c r="V206" s="5707" t="s">
        <v>66</v>
      </c>
      <c r="W206" s="5709"/>
      <c r="X206" s="5707" t="s">
        <v>67</v>
      </c>
      <c r="Y206" s="5709"/>
      <c r="Z206" s="5707" t="s">
        <v>68</v>
      </c>
      <c r="AA206" s="5709"/>
      <c r="AB206" s="5707" t="s">
        <v>69</v>
      </c>
      <c r="AC206" s="5709"/>
      <c r="AD206" s="5707" t="s">
        <v>70</v>
      </c>
      <c r="AE206" s="5709"/>
      <c r="AF206" s="5707" t="s">
        <v>497</v>
      </c>
      <c r="AG206" s="6147"/>
      <c r="AH206" s="6763"/>
    </row>
    <row r="207" spans="1:89">
      <c r="A207" s="6492"/>
      <c r="B207" s="6300"/>
      <c r="C207" s="396" t="s">
        <v>93</v>
      </c>
      <c r="D207" s="1396" t="s">
        <v>72</v>
      </c>
      <c r="E207" s="393" t="s">
        <v>73</v>
      </c>
      <c r="F207" s="1395" t="s">
        <v>72</v>
      </c>
      <c r="G207" s="393" t="s">
        <v>73</v>
      </c>
      <c r="H207" s="1395" t="s">
        <v>72</v>
      </c>
      <c r="I207" s="393" t="s">
        <v>73</v>
      </c>
      <c r="J207" s="1395" t="s">
        <v>72</v>
      </c>
      <c r="K207" s="393" t="s">
        <v>73</v>
      </c>
      <c r="L207" s="1395" t="s">
        <v>72</v>
      </c>
      <c r="M207" s="393" t="s">
        <v>73</v>
      </c>
      <c r="N207" s="1395" t="s">
        <v>72</v>
      </c>
      <c r="O207" s="393" t="s">
        <v>73</v>
      </c>
      <c r="P207" s="1395" t="s">
        <v>72</v>
      </c>
      <c r="Q207" s="393" t="s">
        <v>73</v>
      </c>
      <c r="R207" s="1395" t="s">
        <v>72</v>
      </c>
      <c r="S207" s="393" t="s">
        <v>73</v>
      </c>
      <c r="T207" s="1395" t="s">
        <v>72</v>
      </c>
      <c r="U207" s="393" t="s">
        <v>73</v>
      </c>
      <c r="V207" s="1395" t="s">
        <v>72</v>
      </c>
      <c r="W207" s="393" t="s">
        <v>73</v>
      </c>
      <c r="X207" s="1395" t="s">
        <v>72</v>
      </c>
      <c r="Y207" s="393" t="s">
        <v>73</v>
      </c>
      <c r="Z207" s="1395" t="s">
        <v>72</v>
      </c>
      <c r="AA207" s="393" t="s">
        <v>73</v>
      </c>
      <c r="AB207" s="1395" t="s">
        <v>72</v>
      </c>
      <c r="AC207" s="393" t="s">
        <v>73</v>
      </c>
      <c r="AD207" s="1395" t="s">
        <v>72</v>
      </c>
      <c r="AE207" s="393" t="s">
        <v>73</v>
      </c>
      <c r="AF207" s="1395" t="s">
        <v>72</v>
      </c>
      <c r="AG207" s="394" t="s">
        <v>73</v>
      </c>
      <c r="AH207" s="6764"/>
    </row>
    <row r="208" spans="1:89" ht="15" customHeight="1">
      <c r="A208" s="7098" t="s">
        <v>2251</v>
      </c>
      <c r="B208" s="3916" t="s">
        <v>78</v>
      </c>
      <c r="C208" s="4678">
        <f t="shared" ref="C208:C215" si="60">SUM(D208:E208)</f>
        <v>0</v>
      </c>
      <c r="D208" s="4679">
        <f t="shared" ref="D208:E215" si="61">+F208+H208+J208+L208+N208+P208+R208+T208+V208+X208+Z208+AB208+AD208+AF208</f>
        <v>0</v>
      </c>
      <c r="E208" s="4680">
        <f t="shared" si="61"/>
        <v>0</v>
      </c>
      <c r="F208" s="1440"/>
      <c r="G208" s="1680"/>
      <c r="H208" s="1440"/>
      <c r="I208" s="1680"/>
      <c r="J208" s="1440"/>
      <c r="K208" s="1680"/>
      <c r="L208" s="1440"/>
      <c r="M208" s="1680"/>
      <c r="N208" s="1440"/>
      <c r="O208" s="1680"/>
      <c r="P208" s="1440"/>
      <c r="Q208" s="1680"/>
      <c r="R208" s="1440"/>
      <c r="S208" s="1680"/>
      <c r="T208" s="1440"/>
      <c r="U208" s="1680"/>
      <c r="V208" s="1440"/>
      <c r="W208" s="1680"/>
      <c r="X208" s="1440"/>
      <c r="Y208" s="1680"/>
      <c r="Z208" s="1440"/>
      <c r="AA208" s="1680"/>
      <c r="AB208" s="1440"/>
      <c r="AC208" s="1680"/>
      <c r="AD208" s="1440"/>
      <c r="AE208" s="1680"/>
      <c r="AF208" s="1440"/>
      <c r="AG208" s="1444"/>
      <c r="AH208" s="1452"/>
      <c r="AI208" s="4588" t="str">
        <f t="shared" ref="AI208:AI215" si="62">$CA208</f>
        <v/>
      </c>
      <c r="CA208" s="418" t="str">
        <f t="shared" ref="CA208:CA215" si="63">IF(AND($C208&lt;&gt;0,AH208=""),"* No olvide ingresar la variable "&amp;AH$205&amp;""&amp;". Digite CERO si no tiene. ",IF(AH208&gt;$C208,"* La variable Beneficiarios no puede superar el Total Ambos Sexos. ",""))</f>
        <v/>
      </c>
      <c r="CK208" s="419">
        <f t="shared" ref="CK208:CK215" si="64">IF(AND($C208&lt;&gt;0,AH208=""),1,IF(AH208&gt;$C208,1,0))</f>
        <v>0</v>
      </c>
    </row>
    <row r="209" spans="1:89" ht="15" customHeight="1">
      <c r="A209" s="7099"/>
      <c r="B209" s="4681" t="s">
        <v>112</v>
      </c>
      <c r="C209" s="4682">
        <f t="shared" si="60"/>
        <v>0</v>
      </c>
      <c r="D209" s="4683">
        <f t="shared" si="61"/>
        <v>0</v>
      </c>
      <c r="E209" s="4684">
        <f t="shared" si="61"/>
        <v>0</v>
      </c>
      <c r="F209" s="1485"/>
      <c r="G209" s="1824"/>
      <c r="H209" s="1485"/>
      <c r="I209" s="1824"/>
      <c r="J209" s="1485"/>
      <c r="K209" s="1824"/>
      <c r="L209" s="1485"/>
      <c r="M209" s="1824"/>
      <c r="N209" s="1485"/>
      <c r="O209" s="1824"/>
      <c r="P209" s="1485"/>
      <c r="Q209" s="1824"/>
      <c r="R209" s="1485"/>
      <c r="S209" s="1824"/>
      <c r="T209" s="1485"/>
      <c r="U209" s="1824"/>
      <c r="V209" s="1485"/>
      <c r="W209" s="1824"/>
      <c r="X209" s="1485"/>
      <c r="Y209" s="1824"/>
      <c r="Z209" s="1485"/>
      <c r="AA209" s="1824"/>
      <c r="AB209" s="1485"/>
      <c r="AC209" s="1824"/>
      <c r="AD209" s="1485"/>
      <c r="AE209" s="1824"/>
      <c r="AF209" s="1485"/>
      <c r="AG209" s="1486"/>
      <c r="AH209" s="1692"/>
      <c r="AI209" s="4588" t="str">
        <f t="shared" si="62"/>
        <v/>
      </c>
      <c r="CA209" s="418" t="str">
        <f t="shared" si="63"/>
        <v/>
      </c>
      <c r="CK209" s="419">
        <f t="shared" si="64"/>
        <v>0</v>
      </c>
    </row>
    <row r="210" spans="1:89" ht="15" customHeight="1">
      <c r="A210" s="7099"/>
      <c r="B210" s="1512" t="s">
        <v>119</v>
      </c>
      <c r="C210" s="4682">
        <f t="shared" si="60"/>
        <v>0</v>
      </c>
      <c r="D210" s="4683">
        <f t="shared" si="61"/>
        <v>0</v>
      </c>
      <c r="E210" s="4684">
        <f t="shared" si="61"/>
        <v>0</v>
      </c>
      <c r="F210" s="1485"/>
      <c r="G210" s="1824"/>
      <c r="H210" s="1485"/>
      <c r="I210" s="1824"/>
      <c r="J210" s="1485"/>
      <c r="K210" s="1824"/>
      <c r="L210" s="1485"/>
      <c r="M210" s="1824"/>
      <c r="N210" s="1485"/>
      <c r="O210" s="1824"/>
      <c r="P210" s="1485"/>
      <c r="Q210" s="1824"/>
      <c r="R210" s="1485"/>
      <c r="S210" s="1824"/>
      <c r="T210" s="1485"/>
      <c r="U210" s="1824"/>
      <c r="V210" s="1485"/>
      <c r="W210" s="1824"/>
      <c r="X210" s="1485"/>
      <c r="Y210" s="1824"/>
      <c r="Z210" s="1485"/>
      <c r="AA210" s="1824"/>
      <c r="AB210" s="1485"/>
      <c r="AC210" s="1824"/>
      <c r="AD210" s="1485"/>
      <c r="AE210" s="1824"/>
      <c r="AF210" s="1485"/>
      <c r="AG210" s="1486"/>
      <c r="AH210" s="1692"/>
      <c r="AI210" s="4588" t="str">
        <f t="shared" si="62"/>
        <v/>
      </c>
      <c r="CA210" s="418" t="str">
        <f t="shared" si="63"/>
        <v/>
      </c>
      <c r="CK210" s="419">
        <f t="shared" si="64"/>
        <v>0</v>
      </c>
    </row>
    <row r="211" spans="1:89" ht="15" customHeight="1">
      <c r="A211" s="7099"/>
      <c r="B211" s="4685" t="s">
        <v>3433</v>
      </c>
      <c r="C211" s="4682">
        <f t="shared" si="60"/>
        <v>0</v>
      </c>
      <c r="D211" s="4683">
        <f t="shared" si="61"/>
        <v>0</v>
      </c>
      <c r="E211" s="4684">
        <f t="shared" si="61"/>
        <v>0</v>
      </c>
      <c r="F211" s="1485"/>
      <c r="G211" s="1824"/>
      <c r="H211" s="1485"/>
      <c r="I211" s="1824"/>
      <c r="J211" s="1485"/>
      <c r="K211" s="1824"/>
      <c r="L211" s="1485"/>
      <c r="M211" s="1824"/>
      <c r="N211" s="1485"/>
      <c r="O211" s="1824"/>
      <c r="P211" s="1485"/>
      <c r="Q211" s="1824"/>
      <c r="R211" s="1485"/>
      <c r="S211" s="1824"/>
      <c r="T211" s="1485"/>
      <c r="U211" s="1824"/>
      <c r="V211" s="1485"/>
      <c r="W211" s="1824"/>
      <c r="X211" s="1485"/>
      <c r="Y211" s="1824"/>
      <c r="Z211" s="1485"/>
      <c r="AA211" s="1824"/>
      <c r="AB211" s="1485"/>
      <c r="AC211" s="1824"/>
      <c r="AD211" s="1485"/>
      <c r="AE211" s="1824"/>
      <c r="AF211" s="1485"/>
      <c r="AG211" s="1486"/>
      <c r="AH211" s="1692"/>
      <c r="AI211" s="4588" t="str">
        <f t="shared" si="62"/>
        <v/>
      </c>
      <c r="CA211" s="418" t="str">
        <f t="shared" si="63"/>
        <v/>
      </c>
      <c r="CK211" s="419">
        <f t="shared" si="64"/>
        <v>0</v>
      </c>
    </row>
    <row r="212" spans="1:89" ht="15" customHeight="1">
      <c r="A212" s="7099"/>
      <c r="B212" s="4681" t="s">
        <v>113</v>
      </c>
      <c r="C212" s="4686">
        <f t="shared" si="60"/>
        <v>0</v>
      </c>
      <c r="D212" s="4679">
        <f t="shared" si="61"/>
        <v>0</v>
      </c>
      <c r="E212" s="4680">
        <f t="shared" si="61"/>
        <v>0</v>
      </c>
      <c r="F212" s="1440"/>
      <c r="G212" s="1680"/>
      <c r="H212" s="1440"/>
      <c r="I212" s="1680"/>
      <c r="J212" s="1440"/>
      <c r="K212" s="1680"/>
      <c r="L212" s="1440"/>
      <c r="M212" s="1680"/>
      <c r="N212" s="1440"/>
      <c r="O212" s="1680"/>
      <c r="P212" s="1440"/>
      <c r="Q212" s="1680"/>
      <c r="R212" s="1440"/>
      <c r="S212" s="1680"/>
      <c r="T212" s="1440"/>
      <c r="U212" s="1680"/>
      <c r="V212" s="1440"/>
      <c r="W212" s="1680"/>
      <c r="X212" s="1440"/>
      <c r="Y212" s="1680"/>
      <c r="Z212" s="1440"/>
      <c r="AA212" s="1680"/>
      <c r="AB212" s="1440"/>
      <c r="AC212" s="1680"/>
      <c r="AD212" s="1440"/>
      <c r="AE212" s="1680"/>
      <c r="AF212" s="1440"/>
      <c r="AG212" s="1444"/>
      <c r="AH212" s="1656"/>
      <c r="AI212" s="4588" t="str">
        <f t="shared" si="62"/>
        <v/>
      </c>
      <c r="CA212" s="418" t="str">
        <f t="shared" si="63"/>
        <v/>
      </c>
      <c r="CK212" s="419">
        <f t="shared" si="64"/>
        <v>0</v>
      </c>
    </row>
    <row r="213" spans="1:89" ht="15" customHeight="1">
      <c r="A213" s="7100"/>
      <c r="B213" s="3917" t="s">
        <v>3434</v>
      </c>
      <c r="C213" s="4686">
        <f t="shared" si="60"/>
        <v>0</v>
      </c>
      <c r="D213" s="4679">
        <f t="shared" si="61"/>
        <v>0</v>
      </c>
      <c r="E213" s="4680">
        <f t="shared" si="61"/>
        <v>0</v>
      </c>
      <c r="F213" s="1455"/>
      <c r="G213" s="1684"/>
      <c r="H213" s="1455"/>
      <c r="I213" s="1684"/>
      <c r="J213" s="1455"/>
      <c r="K213" s="1684"/>
      <c r="L213" s="1455"/>
      <c r="M213" s="1684"/>
      <c r="N213" s="1455"/>
      <c r="O213" s="1684"/>
      <c r="P213" s="1455"/>
      <c r="Q213" s="1684"/>
      <c r="R213" s="1455"/>
      <c r="S213" s="1684"/>
      <c r="T213" s="1455"/>
      <c r="U213" s="1684"/>
      <c r="V213" s="1455"/>
      <c r="W213" s="1684"/>
      <c r="X213" s="1455"/>
      <c r="Y213" s="1684"/>
      <c r="Z213" s="1455"/>
      <c r="AA213" s="1684"/>
      <c r="AB213" s="1455"/>
      <c r="AC213" s="1684"/>
      <c r="AD213" s="1455"/>
      <c r="AE213" s="1684"/>
      <c r="AF213" s="1455"/>
      <c r="AG213" s="1459"/>
      <c r="AH213" s="1661"/>
      <c r="AI213" s="4588" t="str">
        <f t="shared" si="62"/>
        <v/>
      </c>
      <c r="CA213" s="418" t="str">
        <f t="shared" si="63"/>
        <v/>
      </c>
      <c r="CK213" s="419">
        <f t="shared" si="64"/>
        <v>0</v>
      </c>
    </row>
    <row r="214" spans="1:89" ht="15" customHeight="1">
      <c r="A214" s="6205" t="s">
        <v>3435</v>
      </c>
      <c r="B214" s="3916" t="s">
        <v>3436</v>
      </c>
      <c r="C214" s="4687">
        <f t="shared" si="60"/>
        <v>0</v>
      </c>
      <c r="D214" s="4688">
        <f t="shared" si="61"/>
        <v>0</v>
      </c>
      <c r="E214" s="4689">
        <f t="shared" si="61"/>
        <v>0</v>
      </c>
      <c r="F214" s="1424"/>
      <c r="G214" s="1676"/>
      <c r="H214" s="1424"/>
      <c r="I214" s="1676"/>
      <c r="J214" s="1424"/>
      <c r="K214" s="1676"/>
      <c r="L214" s="1424"/>
      <c r="M214" s="1676"/>
      <c r="N214" s="1424"/>
      <c r="O214" s="1676"/>
      <c r="P214" s="1424"/>
      <c r="Q214" s="1676"/>
      <c r="R214" s="1424"/>
      <c r="S214" s="1676"/>
      <c r="T214" s="1424"/>
      <c r="U214" s="1676"/>
      <c r="V214" s="1424"/>
      <c r="W214" s="1676"/>
      <c r="X214" s="1424"/>
      <c r="Y214" s="1676"/>
      <c r="Z214" s="1424"/>
      <c r="AA214" s="1676"/>
      <c r="AB214" s="1424"/>
      <c r="AC214" s="1676"/>
      <c r="AD214" s="1424"/>
      <c r="AE214" s="1676"/>
      <c r="AF214" s="1424"/>
      <c r="AG214" s="1428"/>
      <c r="AH214" s="1436"/>
      <c r="AI214" s="4588" t="str">
        <f t="shared" si="62"/>
        <v/>
      </c>
      <c r="CA214" s="418" t="str">
        <f t="shared" si="63"/>
        <v/>
      </c>
      <c r="CK214" s="419">
        <f t="shared" si="64"/>
        <v>0</v>
      </c>
    </row>
    <row r="215" spans="1:89">
      <c r="A215" s="6205"/>
      <c r="B215" s="3917" t="s">
        <v>3437</v>
      </c>
      <c r="C215" s="4690">
        <f t="shared" si="60"/>
        <v>0</v>
      </c>
      <c r="D215" s="4691">
        <f t="shared" si="61"/>
        <v>0</v>
      </c>
      <c r="E215" s="4692">
        <f t="shared" si="61"/>
        <v>0</v>
      </c>
      <c r="F215" s="1455"/>
      <c r="G215" s="1684"/>
      <c r="H215" s="1455"/>
      <c r="I215" s="1684"/>
      <c r="J215" s="1455"/>
      <c r="K215" s="1684"/>
      <c r="L215" s="1455"/>
      <c r="M215" s="1684"/>
      <c r="N215" s="1455"/>
      <c r="O215" s="1684"/>
      <c r="P215" s="1455"/>
      <c r="Q215" s="1684"/>
      <c r="R215" s="1455"/>
      <c r="S215" s="1684"/>
      <c r="T215" s="1455"/>
      <c r="U215" s="1684"/>
      <c r="V215" s="1455"/>
      <c r="W215" s="1684"/>
      <c r="X215" s="1455"/>
      <c r="Y215" s="1684"/>
      <c r="Z215" s="1455"/>
      <c r="AA215" s="1684"/>
      <c r="AB215" s="1455"/>
      <c r="AC215" s="1684"/>
      <c r="AD215" s="1455"/>
      <c r="AE215" s="1684"/>
      <c r="AF215" s="1455"/>
      <c r="AG215" s="1459"/>
      <c r="AH215" s="1467"/>
      <c r="AI215" s="4588" t="str">
        <f t="shared" si="62"/>
        <v/>
      </c>
      <c r="CA215" s="418" t="str">
        <f t="shared" si="63"/>
        <v/>
      </c>
      <c r="CK215" s="419">
        <f t="shared" si="64"/>
        <v>0</v>
      </c>
    </row>
    <row r="249" spans="1:2" hidden="1">
      <c r="A249" s="4693">
        <f>SUM(D11:D52,D56:D96,D101:D103,D107:D109,D111:D112,D116:E118,D122:D130,B133:D133,B137:B139,B143:B144,B148:F149,D153:D168,D171:D202,C208:C215)</f>
        <v>0</v>
      </c>
      <c r="B249" s="4693">
        <f>SUM(CK11:CR215)</f>
        <v>0</v>
      </c>
    </row>
  </sheetData>
  <sheetProtection algorithmName="SHA-512" hashValue="f+DMN6Rl2N5v14vyW+TYryubUoyCpQ1N8ZTyrpI4CE2TzuWD80M1iibVC9kWR6SJIszLfSx95ttAX+KNVJRENw==" saltValue="xHhgcbCDl5lZhy1mAFZm2Q==" spinCount="100000" sheet="1" objects="1" scenarios="1"/>
  <mergeCells count="161">
    <mergeCell ref="A128:B130"/>
    <mergeCell ref="A125:B127"/>
    <mergeCell ref="B46:C46"/>
    <mergeCell ref="A55:C55"/>
    <mergeCell ref="B56:C56"/>
    <mergeCell ref="B57:B60"/>
    <mergeCell ref="B61:C61"/>
    <mergeCell ref="B62:C62"/>
    <mergeCell ref="B63:C63"/>
    <mergeCell ref="B64:C64"/>
    <mergeCell ref="A101:C101"/>
    <mergeCell ref="A103:C103"/>
    <mergeCell ref="A118:C118"/>
    <mergeCell ref="A120:C121"/>
    <mergeCell ref="B96:B97"/>
    <mergeCell ref="B65:B66"/>
    <mergeCell ref="A6:X6"/>
    <mergeCell ref="A9:C10"/>
    <mergeCell ref="D9:D10"/>
    <mergeCell ref="E9:I9"/>
    <mergeCell ref="J9:X9"/>
    <mergeCell ref="B18:C18"/>
    <mergeCell ref="B19:C19"/>
    <mergeCell ref="B20:B21"/>
    <mergeCell ref="B38:C38"/>
    <mergeCell ref="B45:C45"/>
    <mergeCell ref="B36:C36"/>
    <mergeCell ref="B37:C37"/>
    <mergeCell ref="AE9:AE10"/>
    <mergeCell ref="AF9:AG9"/>
    <mergeCell ref="B11:C11"/>
    <mergeCell ref="B12:B15"/>
    <mergeCell ref="B16:C16"/>
    <mergeCell ref="B17:C17"/>
    <mergeCell ref="B22:C22"/>
    <mergeCell ref="B23:C23"/>
    <mergeCell ref="AB9:AB10"/>
    <mergeCell ref="AC9:AC10"/>
    <mergeCell ref="AD9:AD10"/>
    <mergeCell ref="Y9:AA9"/>
    <mergeCell ref="E101:F101"/>
    <mergeCell ref="A102:C102"/>
    <mergeCell ref="E102:F102"/>
    <mergeCell ref="B85:B89"/>
    <mergeCell ref="B90:C90"/>
    <mergeCell ref="B91:C91"/>
    <mergeCell ref="A100:C100"/>
    <mergeCell ref="E100:F100"/>
    <mergeCell ref="A56:A98"/>
    <mergeCell ref="B92:B95"/>
    <mergeCell ref="B98:C98"/>
    <mergeCell ref="B78:C78"/>
    <mergeCell ref="B79:B80"/>
    <mergeCell ref="B81:C81"/>
    <mergeCell ref="B82:C82"/>
    <mergeCell ref="B83:C83"/>
    <mergeCell ref="B84:C84"/>
    <mergeCell ref="B67:C67"/>
    <mergeCell ref="B68:C68"/>
    <mergeCell ref="B71:C71"/>
    <mergeCell ref="B72:B74"/>
    <mergeCell ref="B75:B77"/>
    <mergeCell ref="B69:B70"/>
    <mergeCell ref="W114:W115"/>
    <mergeCell ref="A107:C107"/>
    <mergeCell ref="A108:C108"/>
    <mergeCell ref="A114:C115"/>
    <mergeCell ref="D114:D115"/>
    <mergeCell ref="E114:E115"/>
    <mergeCell ref="A105:C106"/>
    <mergeCell ref="D105:D106"/>
    <mergeCell ref="E105:G105"/>
    <mergeCell ref="H105:H106"/>
    <mergeCell ref="A109:C109"/>
    <mergeCell ref="A111:C111"/>
    <mergeCell ref="A112:C112"/>
    <mergeCell ref="D120:D121"/>
    <mergeCell ref="E120:J120"/>
    <mergeCell ref="K120:L120"/>
    <mergeCell ref="A122:B124"/>
    <mergeCell ref="F114:G114"/>
    <mergeCell ref="H114:U114"/>
    <mergeCell ref="V114:V115"/>
    <mergeCell ref="A117:C117"/>
    <mergeCell ref="A116:C116"/>
    <mergeCell ref="E151:P151"/>
    <mergeCell ref="A146:A147"/>
    <mergeCell ref="B146:B147"/>
    <mergeCell ref="C146:F146"/>
    <mergeCell ref="G146:G147"/>
    <mergeCell ref="H146:H147"/>
    <mergeCell ref="A151:C152"/>
    <mergeCell ref="D151:D152"/>
    <mergeCell ref="A135:A136"/>
    <mergeCell ref="B135:I135"/>
    <mergeCell ref="A141:A142"/>
    <mergeCell ref="B141:B142"/>
    <mergeCell ref="C141:M141"/>
    <mergeCell ref="A153:B160"/>
    <mergeCell ref="A161:B168"/>
    <mergeCell ref="A170:C170"/>
    <mergeCell ref="A171:A203"/>
    <mergeCell ref="B171:C171"/>
    <mergeCell ref="B172:B175"/>
    <mergeCell ref="B176:C176"/>
    <mergeCell ref="B177:C177"/>
    <mergeCell ref="B178:C178"/>
    <mergeCell ref="B185:B187"/>
    <mergeCell ref="B188:B190"/>
    <mergeCell ref="B191:C191"/>
    <mergeCell ref="B192:B193"/>
    <mergeCell ref="B194:C194"/>
    <mergeCell ref="B195:C195"/>
    <mergeCell ref="B179:C179"/>
    <mergeCell ref="B180:C180"/>
    <mergeCell ref="B181:C181"/>
    <mergeCell ref="B182:C182"/>
    <mergeCell ref="B183:C183"/>
    <mergeCell ref="B184:C184"/>
    <mergeCell ref="B196:C196"/>
    <mergeCell ref="B197:C197"/>
    <mergeCell ref="B198:B200"/>
    <mergeCell ref="B201:C201"/>
    <mergeCell ref="B202:C202"/>
    <mergeCell ref="B203:C203"/>
    <mergeCell ref="AB206:AC206"/>
    <mergeCell ref="AD206:AE206"/>
    <mergeCell ref="AF206:AG206"/>
    <mergeCell ref="A205:A207"/>
    <mergeCell ref="B205:B207"/>
    <mergeCell ref="C205:E206"/>
    <mergeCell ref="F205:AG205"/>
    <mergeCell ref="F206:G206"/>
    <mergeCell ref="H206:I206"/>
    <mergeCell ref="J206:K206"/>
    <mergeCell ref="L206:M206"/>
    <mergeCell ref="N206:O206"/>
    <mergeCell ref="AH9:AH10"/>
    <mergeCell ref="AH205:AH207"/>
    <mergeCell ref="Q151:R151"/>
    <mergeCell ref="A214:A215"/>
    <mergeCell ref="AI9:AI10"/>
    <mergeCell ref="A11:A53"/>
    <mergeCell ref="B24:B25"/>
    <mergeCell ref="B26:C26"/>
    <mergeCell ref="B27:B29"/>
    <mergeCell ref="B30:B32"/>
    <mergeCell ref="B33:C33"/>
    <mergeCell ref="B34:B35"/>
    <mergeCell ref="B39:C39"/>
    <mergeCell ref="B40:B44"/>
    <mergeCell ref="B47:B50"/>
    <mergeCell ref="B51:B52"/>
    <mergeCell ref="B53:C53"/>
    <mergeCell ref="A208:A213"/>
    <mergeCell ref="P206:Q206"/>
    <mergeCell ref="R206:S206"/>
    <mergeCell ref="T206:U206"/>
    <mergeCell ref="V206:W206"/>
    <mergeCell ref="X206:Y206"/>
    <mergeCell ref="Z206:AA206"/>
  </mergeCells>
  <dataValidations count="5">
    <dataValidation allowBlank="1" showInputMessage="1" showErrorMessage="1" error="Valor no Permitido" sqref="A6 C8:C24 Z8:AA8 A249:B249 AC8:AF8 A214 AB8:AB10 J169:J204 D8:Y10 AG10 D140:I140 D142:M142 B140:B141 A145:P145 G146:H146 D147:F147 D104:D105 B146:C147 A170:A208 C170:C182 A146:A149 D205:F207 G206:AG207 D204:I204 D54:I55 D99:D100 B170:B214 F106:H106 B71:B85 M169:AI204 K169:L189 K197:L204 E99:E106 B113:C132 D119:L121 C140:C142 D131:D132 J131:L140 E131:I136 B134:D136 D170:I170 C184:C207 C26:C49 M119:M140 CK148:CN149 I146:P149 A107:A144 AI208:AI215 AH205 B8:B20 AC9 Z10:AA10 AD9:AF10 B22:B24 B26:B40 B45:B47 A8:A56 B90:B92 C71:C94 H105 A99:A105 B98:C104 CC148:CF149 F99:H104 B111:C111 B107:C109 Q148:BZ149 C51:C64 B53:B65 B67:C69 J99:W115 D113:I115 I99:I106 I110" xr:uid="{00000000-0002-0000-1300-000000000000}"/>
    <dataValidation type="whole" operator="greaterThanOrEqual" allowBlank="1" showInputMessage="1" showErrorMessage="1" sqref="D153:D168 E107:H109 E111:H112 AF11:AI52" xr:uid="{008700C7-0069-4978-8303-008A007E00DC}">
      <formula1>0</formula1>
    </dataValidation>
    <dataValidation type="whole" operator="greaterThanOrEqual" allowBlank="1" showInputMessage="1" showErrorMessage="1" error="Valor no Permitido" sqref="D101:D103 B133:D133 D111:D112 B148:H149 D107:D109 D11:D53 C208:AH215 D171:I203 B143:M144 B137:I139 D122:L130 D116:W118 D56:I98 E53:AI53" xr:uid="{006600BA-004B-46B8-8322-007C003D006D}">
      <formula1>0</formula1>
    </dataValidation>
    <dataValidation type="whole" allowBlank="1" showInputMessage="1" showErrorMessage="1" sqref="E153:R168" xr:uid="{004C0077-00FB-46CA-882D-00D6007F0028}">
      <formula1>0</formula1>
      <formula2>9.99999999999999E+35</formula2>
    </dataValidation>
    <dataValidation type="whole" allowBlank="1" showInputMessage="1" showErrorMessage="1" sqref="E11:AE52" xr:uid="{006300C4-000C-4FA8-85A6-00ED00FF00A5}">
      <formula1>0</formula1>
      <formula2>9.99999999999999E+37</formula2>
    </dataValidation>
  </dataValidations>
  <pageMargins left="0.7" right="0.7" top="0.75" bottom="0.75" header="0.3" footer="0.3"/>
  <pageSetup paperSize="9" orientation="portrait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Hoja21"/>
  <dimension ref="A1:DI351"/>
  <sheetViews>
    <sheetView showGridLines="0" workbookViewId="0"/>
  </sheetViews>
  <sheetFormatPr baseColWidth="10" defaultColWidth="11.42578125" defaultRowHeight="15"/>
  <cols>
    <col min="1" max="1" width="49.85546875" customWidth="1"/>
    <col min="2" max="2" width="26.85546875" customWidth="1"/>
    <col min="3" max="3" width="16.28515625" customWidth="1"/>
    <col min="4" max="4" width="19.28515625" customWidth="1"/>
    <col min="5" max="6" width="12.7109375" customWidth="1"/>
    <col min="7" max="7" width="15" customWidth="1"/>
    <col min="8" max="8" width="14.5703125" customWidth="1"/>
    <col min="9" max="40" width="12.7109375" customWidth="1"/>
    <col min="41" max="41" width="14.42578125" customWidth="1"/>
    <col min="42" max="42" width="12.7109375" customWidth="1"/>
    <col min="43" max="43" width="14.42578125" customWidth="1"/>
    <col min="44" max="44" width="12.42578125" customWidth="1"/>
    <col min="46" max="46" width="13.28515625" customWidth="1"/>
    <col min="48" max="48" width="12.28515625" customWidth="1"/>
    <col min="57" max="73" width="0" hidden="1" customWidth="1"/>
    <col min="74" max="77" width="11" hidden="1" customWidth="1"/>
    <col min="78" max="78" width="13.28515625" hidden="1" customWidth="1"/>
    <col min="79" max="83" width="11.42578125" style="2832" hidden="1" customWidth="1"/>
    <col min="84" max="89" width="11.42578125" hidden="1" customWidth="1"/>
    <col min="90" max="98" width="11.42578125" style="2832" hidden="1" customWidth="1"/>
    <col min="99" max="105" width="11.42578125" style="2832" customWidth="1"/>
    <col min="106" max="113" width="11.42578125" style="2832"/>
  </cols>
  <sheetData>
    <row r="1" spans="1:95">
      <c r="A1" s="378" t="s">
        <v>37</v>
      </c>
    </row>
    <row r="2" spans="1:95">
      <c r="A2" s="378" t="str">
        <f>CONCATENATE("COMUNA: ",NOMBRE!B2, " (",NOMBRE!C2,NOMBRE!D2,NOMBRE!E2,NOMBRE!F2,NOMBRE!G2,")")</f>
        <v>COMUNA: MAIPU (13119)</v>
      </c>
    </row>
    <row r="3" spans="1:95">
      <c r="A3" s="378" t="str">
        <f>CONCATENATE("ESTABLECIMIENTO/ESTRATEGIA: ", NOMBRE!B3, " (",NOMBRE!C3,NOMBRE!D3,NOMBRE!E3,NOMBRE!F3,NOMBRE!G3,NOMBRE!H3,")")</f>
        <v>ESTABLECIMIENTO/ESTRATEGIA: CESFAM DR. CARLOS GODOY (111380)</v>
      </c>
    </row>
    <row r="4" spans="1:95">
      <c r="A4" s="378" t="str">
        <f>CONCATENATE("MES: ",NOMBRE!B6, " (",NOMBRE!C6,NOMBRE!D6,")")</f>
        <v>MES: MARZO (03)</v>
      </c>
    </row>
    <row r="5" spans="1:95">
      <c r="A5" s="378" t="str">
        <f>CONCATENATE("AÑO: ",NOMBRE!B7)</f>
        <v>AÑO: 2026</v>
      </c>
    </row>
    <row r="6" spans="1:95" s="383" customFormat="1" ht="18" customHeight="1">
      <c r="A6" s="6227" t="s">
        <v>3438</v>
      </c>
      <c r="B6" s="6227"/>
      <c r="C6" s="6227"/>
      <c r="D6" s="6227"/>
      <c r="E6" s="6227"/>
      <c r="F6" s="6227"/>
      <c r="G6" s="6227"/>
      <c r="H6" s="6227"/>
      <c r="I6" s="6227"/>
      <c r="J6" s="6227"/>
      <c r="K6" s="6227"/>
      <c r="L6" s="6227"/>
      <c r="M6" s="6227"/>
      <c r="N6" s="6227"/>
      <c r="O6" s="4694"/>
      <c r="P6" s="382"/>
      <c r="Q6" s="382"/>
      <c r="R6" s="382"/>
      <c r="S6" s="382"/>
      <c r="T6" s="382"/>
      <c r="U6" s="382"/>
      <c r="V6" s="382"/>
      <c r="W6" s="382"/>
      <c r="X6" s="382"/>
      <c r="Y6" s="382"/>
      <c r="Z6" s="382"/>
      <c r="AA6" s="382"/>
      <c r="AB6" s="382"/>
      <c r="AC6" s="382"/>
      <c r="AD6" s="382"/>
      <c r="AE6" s="382"/>
      <c r="AF6" s="382"/>
      <c r="AG6" s="382"/>
      <c r="AH6" s="382"/>
      <c r="AI6" s="382"/>
      <c r="AJ6" s="382"/>
      <c r="AK6" s="382"/>
      <c r="AL6" s="382"/>
      <c r="AM6" s="382"/>
      <c r="AN6" s="382"/>
      <c r="AO6" s="382"/>
      <c r="AP6"/>
      <c r="AQ6"/>
      <c r="AR6"/>
      <c r="AS6"/>
      <c r="AT6"/>
      <c r="AU6"/>
      <c r="AV6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 s="2549"/>
      <c r="BV6" s="2549"/>
      <c r="BW6" s="2549"/>
      <c r="BX6" s="2549"/>
      <c r="BY6" s="2549"/>
      <c r="BZ6" s="2549"/>
      <c r="CA6" s="2185"/>
      <c r="CB6" s="2185"/>
      <c r="CC6" s="2185"/>
      <c r="CD6" s="2185"/>
      <c r="CE6" s="2185"/>
      <c r="CL6" s="2185"/>
      <c r="CM6" s="2185"/>
      <c r="CN6" s="2185"/>
      <c r="CO6" s="2185"/>
      <c r="CP6" s="2185"/>
      <c r="CQ6" s="2185"/>
    </row>
    <row r="8" spans="1:95" ht="18" customHeight="1">
      <c r="A8" s="2102" t="s">
        <v>3439</v>
      </c>
      <c r="B8" s="1582"/>
      <c r="C8" s="1582"/>
      <c r="D8" s="1582"/>
      <c r="E8" s="1582"/>
      <c r="F8" s="1582"/>
      <c r="G8" s="1582"/>
      <c r="H8" s="1582"/>
      <c r="I8" s="1582"/>
      <c r="J8" s="1582"/>
      <c r="K8" s="1582"/>
      <c r="L8" s="1582"/>
      <c r="M8" s="1582"/>
      <c r="N8" s="1582"/>
      <c r="O8" s="1582"/>
      <c r="P8" s="1582"/>
      <c r="Q8" s="1582"/>
      <c r="R8" s="1582"/>
      <c r="S8" s="1582"/>
      <c r="T8" s="1582"/>
      <c r="U8" s="1582"/>
      <c r="V8" s="1582"/>
      <c r="W8" s="1582"/>
      <c r="X8" s="1582"/>
      <c r="Y8" s="1582"/>
      <c r="Z8" s="1582"/>
      <c r="AA8" s="1582"/>
      <c r="AB8" s="1582"/>
      <c r="AC8" s="1582"/>
      <c r="AD8" s="1582"/>
      <c r="AE8" s="1582"/>
      <c r="AF8" s="1582"/>
      <c r="AG8" s="1582"/>
      <c r="AH8" s="1582"/>
      <c r="AI8" s="1582"/>
      <c r="AJ8" s="1582"/>
      <c r="AK8" s="1582"/>
      <c r="AL8" s="1582"/>
      <c r="AM8" s="1582"/>
      <c r="AN8" s="1582"/>
      <c r="AO8" s="1582"/>
      <c r="AP8" s="1582"/>
      <c r="AQ8" s="1582"/>
      <c r="AR8" s="1582"/>
      <c r="AS8" s="1582"/>
    </row>
    <row r="9" spans="1:95" ht="18" customHeight="1">
      <c r="A9" s="2097" t="s">
        <v>3440</v>
      </c>
      <c r="B9" s="1581"/>
      <c r="C9" s="1582"/>
      <c r="D9" s="385"/>
      <c r="E9" s="1582"/>
      <c r="F9" s="1582"/>
      <c r="G9" s="1582"/>
      <c r="H9" s="1582"/>
      <c r="I9" s="1582"/>
      <c r="J9" s="1582"/>
      <c r="K9" s="1582"/>
      <c r="L9" s="1582"/>
      <c r="M9" s="1582"/>
      <c r="N9" s="1582"/>
      <c r="O9" s="1582"/>
      <c r="P9" s="1582"/>
      <c r="Q9" s="1582"/>
      <c r="R9" s="1582"/>
      <c r="S9" s="1582"/>
      <c r="T9" s="1582"/>
      <c r="U9" s="1582"/>
      <c r="V9" s="1582"/>
      <c r="W9" s="1582"/>
      <c r="X9" s="1582"/>
      <c r="Y9" s="1582"/>
      <c r="Z9" s="1582"/>
      <c r="AA9" s="1582"/>
      <c r="AB9" s="1582"/>
      <c r="AC9" s="1582"/>
      <c r="AD9" s="1582"/>
      <c r="AE9" s="1582"/>
      <c r="AF9" s="1582"/>
      <c r="AG9" s="1582"/>
      <c r="AH9" s="1582"/>
      <c r="AI9" s="1582"/>
      <c r="AJ9" s="1582"/>
      <c r="AK9" s="1582"/>
      <c r="AL9" s="1582"/>
      <c r="AM9" s="1582"/>
      <c r="AN9" s="1582"/>
      <c r="AO9" s="1582"/>
      <c r="AP9" s="1582"/>
      <c r="AQ9" s="1582"/>
      <c r="AR9" s="1582"/>
      <c r="AS9" s="1582"/>
    </row>
    <row r="10" spans="1:95">
      <c r="A10" s="5718" t="s">
        <v>3441</v>
      </c>
      <c r="B10" s="6140" t="s">
        <v>91</v>
      </c>
      <c r="C10" s="6139"/>
      <c r="D10" s="6119"/>
      <c r="E10" s="5707" t="s">
        <v>115</v>
      </c>
      <c r="F10" s="5708"/>
      <c r="G10" s="5708"/>
      <c r="H10" s="5708"/>
      <c r="I10" s="5708"/>
      <c r="J10" s="5708"/>
      <c r="K10" s="5708"/>
      <c r="L10" s="5708"/>
      <c r="M10" s="5708"/>
      <c r="N10" s="5708"/>
      <c r="O10" s="5708"/>
      <c r="P10" s="5708"/>
      <c r="Q10" s="5708"/>
      <c r="R10" s="5708"/>
      <c r="S10" s="5708"/>
      <c r="T10" s="5708"/>
      <c r="U10" s="5708"/>
      <c r="V10" s="5708"/>
      <c r="W10" s="5708"/>
      <c r="X10" s="5708"/>
      <c r="Y10" s="5708"/>
      <c r="Z10" s="5708"/>
      <c r="AA10" s="5708"/>
      <c r="AB10" s="5708"/>
      <c r="AC10" s="5708"/>
      <c r="AD10" s="5708"/>
      <c r="AE10" s="5708"/>
      <c r="AF10" s="5708"/>
      <c r="AG10" s="5708"/>
      <c r="AH10" s="5708"/>
      <c r="AI10" s="5708"/>
      <c r="AJ10" s="5708"/>
      <c r="AK10" s="5708"/>
      <c r="AL10" s="6147"/>
      <c r="AM10" s="6444" t="s">
        <v>1001</v>
      </c>
      <c r="AN10" s="5708"/>
      <c r="AO10" s="5708"/>
      <c r="AP10" s="6147"/>
      <c r="AQ10" s="5714" t="s">
        <v>1002</v>
      </c>
      <c r="AR10" s="5718" t="s">
        <v>50</v>
      </c>
      <c r="AS10" s="6119" t="s">
        <v>51</v>
      </c>
    </row>
    <row r="11" spans="1:95" ht="15" customHeight="1">
      <c r="A11" s="6110"/>
      <c r="B11" s="6141"/>
      <c r="C11" s="6166"/>
      <c r="D11" s="6120"/>
      <c r="E11" s="5710" t="s">
        <v>364</v>
      </c>
      <c r="F11" s="5712"/>
      <c r="G11" s="5710" t="s">
        <v>347</v>
      </c>
      <c r="H11" s="5712"/>
      <c r="I11" s="5710" t="s">
        <v>108</v>
      </c>
      <c r="J11" s="5712"/>
      <c r="K11" s="5710" t="s">
        <v>58</v>
      </c>
      <c r="L11" s="5712"/>
      <c r="M11" s="5710" t="s">
        <v>59</v>
      </c>
      <c r="N11" s="5712"/>
      <c r="O11" s="5710" t="s">
        <v>1003</v>
      </c>
      <c r="P11" s="5712"/>
      <c r="Q11" s="5710" t="s">
        <v>656</v>
      </c>
      <c r="R11" s="5712"/>
      <c r="S11" s="5710" t="s">
        <v>62</v>
      </c>
      <c r="T11" s="5712"/>
      <c r="U11" s="5710" t="s">
        <v>63</v>
      </c>
      <c r="V11" s="5712"/>
      <c r="W11" s="5710" t="s">
        <v>1004</v>
      </c>
      <c r="X11" s="5712"/>
      <c r="Y11" s="5710" t="s">
        <v>65</v>
      </c>
      <c r="Z11" s="5712"/>
      <c r="AA11" s="5710" t="s">
        <v>66</v>
      </c>
      <c r="AB11" s="5712"/>
      <c r="AC11" s="5710" t="s">
        <v>67</v>
      </c>
      <c r="AD11" s="5712"/>
      <c r="AE11" s="5710" t="s">
        <v>68</v>
      </c>
      <c r="AF11" s="5712"/>
      <c r="AG11" s="5710" t="s">
        <v>69</v>
      </c>
      <c r="AH11" s="5712"/>
      <c r="AI11" s="5710" t="s">
        <v>70</v>
      </c>
      <c r="AJ11" s="5712"/>
      <c r="AK11" s="5707" t="s">
        <v>71</v>
      </c>
      <c r="AL11" s="6147"/>
      <c r="AM11" s="6203" t="s">
        <v>1005</v>
      </c>
      <c r="AN11" s="6235" t="s">
        <v>3442</v>
      </c>
      <c r="AO11" s="6302" t="s">
        <v>3443</v>
      </c>
      <c r="AP11" s="6303" t="s">
        <v>3444</v>
      </c>
      <c r="AQ11" s="6138"/>
      <c r="AR11" s="6110"/>
      <c r="AS11" s="6120"/>
    </row>
    <row r="12" spans="1:95">
      <c r="A12" s="5719"/>
      <c r="B12" s="1395" t="s">
        <v>93</v>
      </c>
      <c r="C12" s="1396" t="s">
        <v>72</v>
      </c>
      <c r="D12" s="393" t="s">
        <v>73</v>
      </c>
      <c r="E12" s="1395" t="s">
        <v>72</v>
      </c>
      <c r="F12" s="393" t="s">
        <v>73</v>
      </c>
      <c r="G12" s="1395" t="s">
        <v>72</v>
      </c>
      <c r="H12" s="393" t="s">
        <v>73</v>
      </c>
      <c r="I12" s="1395" t="s">
        <v>72</v>
      </c>
      <c r="J12" s="393" t="s">
        <v>73</v>
      </c>
      <c r="K12" s="1395" t="s">
        <v>72</v>
      </c>
      <c r="L12" s="393" t="s">
        <v>73</v>
      </c>
      <c r="M12" s="1395" t="s">
        <v>72</v>
      </c>
      <c r="N12" s="393" t="s">
        <v>73</v>
      </c>
      <c r="O12" s="1395" t="s">
        <v>72</v>
      </c>
      <c r="P12" s="393" t="s">
        <v>73</v>
      </c>
      <c r="Q12" s="1395" t="s">
        <v>72</v>
      </c>
      <c r="R12" s="393" t="s">
        <v>73</v>
      </c>
      <c r="S12" s="1395" t="s">
        <v>72</v>
      </c>
      <c r="T12" s="393" t="s">
        <v>73</v>
      </c>
      <c r="U12" s="1395" t="s">
        <v>72</v>
      </c>
      <c r="V12" s="393" t="s">
        <v>73</v>
      </c>
      <c r="W12" s="1395" t="s">
        <v>72</v>
      </c>
      <c r="X12" s="393" t="s">
        <v>73</v>
      </c>
      <c r="Y12" s="1395" t="s">
        <v>72</v>
      </c>
      <c r="Z12" s="393" t="s">
        <v>73</v>
      </c>
      <c r="AA12" s="1395" t="s">
        <v>72</v>
      </c>
      <c r="AB12" s="393" t="s">
        <v>73</v>
      </c>
      <c r="AC12" s="1395" t="s">
        <v>72</v>
      </c>
      <c r="AD12" s="393" t="s">
        <v>73</v>
      </c>
      <c r="AE12" s="1395" t="s">
        <v>72</v>
      </c>
      <c r="AF12" s="393" t="s">
        <v>73</v>
      </c>
      <c r="AG12" s="1395" t="s">
        <v>72</v>
      </c>
      <c r="AH12" s="393" t="s">
        <v>73</v>
      </c>
      <c r="AI12" s="1395" t="s">
        <v>72</v>
      </c>
      <c r="AJ12" s="393" t="s">
        <v>73</v>
      </c>
      <c r="AK12" s="1395" t="s">
        <v>72</v>
      </c>
      <c r="AL12" s="394" t="s">
        <v>73</v>
      </c>
      <c r="AM12" s="6204"/>
      <c r="AN12" s="6134"/>
      <c r="AO12" s="6136"/>
      <c r="AP12" s="6222"/>
      <c r="AQ12" s="5715"/>
      <c r="AR12" s="5719"/>
      <c r="AS12" s="6116"/>
    </row>
    <row r="13" spans="1:95" ht="15" customHeight="1">
      <c r="A13" s="4695" t="s">
        <v>789</v>
      </c>
      <c r="B13" s="401">
        <f t="shared" ref="B13:B52" si="0">SUM(C13:D13)</f>
        <v>0</v>
      </c>
      <c r="C13" s="402">
        <f t="shared" ref="C13:C24" si="1">SUM(E13,G13,I13,K13,M13,O13,Q13,S13,U13,W13,Y13,AA13,AC13,AE13,AG13,AI13,AK13)</f>
        <v>0</v>
      </c>
      <c r="D13" s="392">
        <f t="shared" ref="D13:D24" si="2">SUM(F13,H13,J13,L13,N13,P13,R13,T13,V13,X13,Z13,AB13,AD13,AF13,AH13,AJ13,AL13)</f>
        <v>0</v>
      </c>
      <c r="E13" s="1475"/>
      <c r="F13" s="1539"/>
      <c r="G13" s="1475"/>
      <c r="H13" s="1786"/>
      <c r="I13" s="1475"/>
      <c r="J13" s="1786"/>
      <c r="K13" s="1475"/>
      <c r="L13" s="1786"/>
      <c r="M13" s="1475"/>
      <c r="N13" s="1786"/>
      <c r="O13" s="1475"/>
      <c r="P13" s="1786"/>
      <c r="Q13" s="1475"/>
      <c r="R13" s="1786"/>
      <c r="S13" s="1475"/>
      <c r="T13" s="1786"/>
      <c r="U13" s="1475"/>
      <c r="V13" s="1786"/>
      <c r="W13" s="1475"/>
      <c r="X13" s="1786"/>
      <c r="Y13" s="1475"/>
      <c r="Z13" s="1786"/>
      <c r="AA13" s="1475"/>
      <c r="AB13" s="1786"/>
      <c r="AC13" s="1475"/>
      <c r="AD13" s="1786"/>
      <c r="AE13" s="1475"/>
      <c r="AF13" s="1786"/>
      <c r="AG13" s="1475"/>
      <c r="AH13" s="1786"/>
      <c r="AI13" s="1475"/>
      <c r="AJ13" s="1786"/>
      <c r="AK13" s="1475"/>
      <c r="AL13" s="1476"/>
      <c r="AM13" s="2048"/>
      <c r="AN13" s="1535"/>
      <c r="AO13" s="1535"/>
      <c r="AP13" s="1967"/>
      <c r="AQ13" s="1538"/>
      <c r="AR13" s="1478"/>
      <c r="AS13" s="1539"/>
      <c r="AT13" s="3373" t="str">
        <f t="shared" ref="AT13:AT24" si="3">CA13&amp;CB13&amp;CC13&amp;CD13</f>
        <v/>
      </c>
      <c r="BY13" s="417"/>
      <c r="BZ13" s="417"/>
      <c r="CA13" s="418" t="str">
        <f t="shared" ref="CA13:CA24" si="4">IF(AM13+AN13+AO13+AP13&lt;&gt;$B13,"* La suma de "&amp;AM$10&amp;""&amp;" no puede ser distinto del Total Ambos Sexos. ","")</f>
        <v/>
      </c>
      <c r="CB13" s="418" t="str">
        <f t="shared" ref="CB13:CB24" si="5">IF(AND($B13&lt;&gt;0,AQ13=""),"* No olvide ingresar la variable Personas con discapacidad (con RND). Digite Cero si no tiene. ",IF(AQ13&gt;$B13,"* La variable Personas con discapacidad (con RND) no puede superar el Total Ambos Sexos. ",""))</f>
        <v/>
      </c>
      <c r="CC13" s="418" t="str">
        <f t="shared" ref="CC13:CC24" si="6">IF(AND($B13&lt;&gt;0,AR13=""),"* No olvide ingresar la variable Pueblos Originarios. Digite CERO si no tiene. ",IF(AR13&gt;$B13,"* La variable Pueblos Originarios no puede superar el Total Ambos Sexos. ",""))</f>
        <v/>
      </c>
      <c r="CD13" s="418" t="str">
        <f t="shared" ref="CD13:CD24" si="7">IF(AND($B13&lt;&gt;0,AS13=""),"* No olvide ingresar la variable Migrantes. Digite CERO si no tiene.  ",IF(AS13&gt;$B13,"* La variable Migrantes no puede superar el Total Ambos Sexos. ",""))</f>
        <v/>
      </c>
      <c r="CE13" s="417"/>
      <c r="CL13" s="417"/>
      <c r="CM13" s="3416">
        <f t="shared" ref="CM13:CM24" si="8">IF(AM13+AN13+AO13+AP13&lt;&gt;$B13,1,0)</f>
        <v>0</v>
      </c>
      <c r="CN13" s="3389">
        <f t="shared" ref="CN13:CN24" si="9">IF(AND($B13&lt;&gt;0,AQ13=""),1,IF(AQ13&gt;$B13,1,0))</f>
        <v>0</v>
      </c>
      <c r="CO13" s="3389">
        <f t="shared" ref="CO13:CO24" si="10">IF(AND($B13&lt;&gt;0,AR13=""),1,IF(AR13&gt;$B13,1,0))</f>
        <v>0</v>
      </c>
      <c r="CP13" s="3389">
        <f t="shared" ref="CP13:CP24" si="11">IF(AND($B13&lt;&gt;0,AS13=""),1,IF(AS13&gt;$B13,1,0))</f>
        <v>0</v>
      </c>
      <c r="CQ13"/>
    </row>
    <row r="14" spans="1:95" ht="15" customHeight="1">
      <c r="A14" s="3673" t="s">
        <v>3445</v>
      </c>
      <c r="B14" s="4696">
        <f t="shared" si="0"/>
        <v>0</v>
      </c>
      <c r="C14" s="4697">
        <f t="shared" si="1"/>
        <v>0</v>
      </c>
      <c r="D14" s="1728">
        <f t="shared" si="2"/>
        <v>0</v>
      </c>
      <c r="E14" s="1480"/>
      <c r="F14" s="1545"/>
      <c r="G14" s="1480"/>
      <c r="H14" s="1769"/>
      <c r="I14" s="1480"/>
      <c r="J14" s="1769"/>
      <c r="K14" s="1480"/>
      <c r="L14" s="1769"/>
      <c r="M14" s="1480"/>
      <c r="N14" s="1769"/>
      <c r="O14" s="1480"/>
      <c r="P14" s="1769"/>
      <c r="Q14" s="1480"/>
      <c r="R14" s="1769"/>
      <c r="S14" s="1480"/>
      <c r="T14" s="1769"/>
      <c r="U14" s="1480"/>
      <c r="V14" s="1769"/>
      <c r="W14" s="1480"/>
      <c r="X14" s="1769"/>
      <c r="Y14" s="1480"/>
      <c r="Z14" s="1769"/>
      <c r="AA14" s="1480"/>
      <c r="AB14" s="1769"/>
      <c r="AC14" s="1480"/>
      <c r="AD14" s="1769"/>
      <c r="AE14" s="1480"/>
      <c r="AF14" s="1769"/>
      <c r="AG14" s="1480"/>
      <c r="AH14" s="1769"/>
      <c r="AI14" s="1480"/>
      <c r="AJ14" s="1769"/>
      <c r="AK14" s="1480"/>
      <c r="AL14" s="1481"/>
      <c r="AM14" s="1754"/>
      <c r="AN14" s="1541"/>
      <c r="AO14" s="1541"/>
      <c r="AP14" s="1725"/>
      <c r="AQ14" s="1544"/>
      <c r="AR14" s="1483"/>
      <c r="AS14" s="1545"/>
      <c r="AT14" s="3373" t="str">
        <f t="shared" si="3"/>
        <v/>
      </c>
      <c r="BY14" s="417"/>
      <c r="BZ14" s="417"/>
      <c r="CA14" s="418" t="str">
        <f t="shared" si="4"/>
        <v/>
      </c>
      <c r="CB14" s="418" t="str">
        <f t="shared" si="5"/>
        <v/>
      </c>
      <c r="CC14" s="418" t="str">
        <f t="shared" si="6"/>
        <v/>
      </c>
      <c r="CD14" s="418" t="str">
        <f t="shared" si="7"/>
        <v/>
      </c>
      <c r="CE14" s="417"/>
      <c r="CL14" s="417"/>
      <c r="CM14" s="3416">
        <f t="shared" si="8"/>
        <v>0</v>
      </c>
      <c r="CN14" s="3389">
        <f t="shared" si="9"/>
        <v>0</v>
      </c>
      <c r="CO14" s="3389">
        <f t="shared" si="10"/>
        <v>0</v>
      </c>
      <c r="CP14" s="3389">
        <f t="shared" si="11"/>
        <v>0</v>
      </c>
      <c r="CQ14"/>
    </row>
    <row r="15" spans="1:95" ht="19.5" customHeight="1">
      <c r="A15" s="2057" t="s">
        <v>3446</v>
      </c>
      <c r="B15" s="3976">
        <f t="shared" si="0"/>
        <v>0</v>
      </c>
      <c r="C15" s="4698">
        <f t="shared" si="1"/>
        <v>0</v>
      </c>
      <c r="D15" s="422">
        <f t="shared" si="2"/>
        <v>0</v>
      </c>
      <c r="E15" s="1763"/>
      <c r="F15" s="1764"/>
      <c r="G15" s="1763"/>
      <c r="H15" s="2205"/>
      <c r="I15" s="1763"/>
      <c r="J15" s="2205"/>
      <c r="K15" s="1763"/>
      <c r="L15" s="2205"/>
      <c r="M15" s="1480"/>
      <c r="N15" s="1769"/>
      <c r="O15" s="1480"/>
      <c r="P15" s="1769"/>
      <c r="Q15" s="1440"/>
      <c r="R15" s="1680"/>
      <c r="S15" s="1440"/>
      <c r="T15" s="1680"/>
      <c r="U15" s="1440"/>
      <c r="V15" s="1680"/>
      <c r="W15" s="1440"/>
      <c r="X15" s="1680"/>
      <c r="Y15" s="1440"/>
      <c r="Z15" s="1680"/>
      <c r="AA15" s="1440"/>
      <c r="AB15" s="1680"/>
      <c r="AC15" s="1440"/>
      <c r="AD15" s="1680"/>
      <c r="AE15" s="1440"/>
      <c r="AF15" s="1680"/>
      <c r="AG15" s="1440"/>
      <c r="AH15" s="1680"/>
      <c r="AI15" s="1440"/>
      <c r="AJ15" s="1680"/>
      <c r="AK15" s="1440"/>
      <c r="AL15" s="1444"/>
      <c r="AM15" s="1709"/>
      <c r="AN15" s="1442"/>
      <c r="AO15" s="1442"/>
      <c r="AP15" s="1655"/>
      <c r="AQ15" s="1445"/>
      <c r="AR15" s="1446"/>
      <c r="AS15" s="1452"/>
      <c r="AT15" s="3373" t="str">
        <f t="shared" si="3"/>
        <v/>
      </c>
      <c r="BY15" s="417"/>
      <c r="BZ15" s="417"/>
      <c r="CA15" s="418" t="str">
        <f t="shared" si="4"/>
        <v/>
      </c>
      <c r="CB15" s="418" t="str">
        <f t="shared" si="5"/>
        <v/>
      </c>
      <c r="CC15" s="418" t="str">
        <f t="shared" si="6"/>
        <v/>
      </c>
      <c r="CD15" s="418" t="str">
        <f t="shared" si="7"/>
        <v/>
      </c>
      <c r="CE15" s="417"/>
      <c r="CL15" s="417"/>
      <c r="CM15" s="3416">
        <f t="shared" si="8"/>
        <v>0</v>
      </c>
      <c r="CN15" s="3389">
        <f t="shared" si="9"/>
        <v>0</v>
      </c>
      <c r="CO15" s="3389">
        <f t="shared" si="10"/>
        <v>0</v>
      </c>
      <c r="CP15" s="3389">
        <f t="shared" si="11"/>
        <v>0</v>
      </c>
      <c r="CQ15"/>
    </row>
    <row r="16" spans="1:95" ht="15" customHeight="1">
      <c r="A16" s="2059" t="s">
        <v>3447</v>
      </c>
      <c r="B16" s="2037">
        <f t="shared" si="0"/>
        <v>0</v>
      </c>
      <c r="C16" s="2028">
        <f t="shared" si="1"/>
        <v>0</v>
      </c>
      <c r="D16" s="1654">
        <f t="shared" si="2"/>
        <v>0</v>
      </c>
      <c r="E16" s="1440"/>
      <c r="F16" s="1452"/>
      <c r="G16" s="1440"/>
      <c r="H16" s="1680"/>
      <c r="I16" s="1440"/>
      <c r="J16" s="1680"/>
      <c r="K16" s="1440"/>
      <c r="L16" s="1680"/>
      <c r="M16" s="1440"/>
      <c r="N16" s="1680"/>
      <c r="O16" s="1440"/>
      <c r="P16" s="1680"/>
      <c r="Q16" s="1440"/>
      <c r="R16" s="1680"/>
      <c r="S16" s="1440"/>
      <c r="T16" s="1680"/>
      <c r="U16" s="1440"/>
      <c r="V16" s="1680"/>
      <c r="W16" s="1440"/>
      <c r="X16" s="1680"/>
      <c r="Y16" s="1440"/>
      <c r="Z16" s="1680"/>
      <c r="AA16" s="1440"/>
      <c r="AB16" s="1680"/>
      <c r="AC16" s="1440"/>
      <c r="AD16" s="1680"/>
      <c r="AE16" s="1440"/>
      <c r="AF16" s="1680"/>
      <c r="AG16" s="1440"/>
      <c r="AH16" s="1680"/>
      <c r="AI16" s="1440"/>
      <c r="AJ16" s="1680"/>
      <c r="AK16" s="1440"/>
      <c r="AL16" s="1444"/>
      <c r="AM16" s="1709"/>
      <c r="AN16" s="1442"/>
      <c r="AO16" s="1442"/>
      <c r="AP16" s="1655"/>
      <c r="AQ16" s="1445"/>
      <c r="AR16" s="1446"/>
      <c r="AS16" s="1452"/>
      <c r="AT16" s="3373" t="str">
        <f t="shared" si="3"/>
        <v/>
      </c>
      <c r="BY16" s="417"/>
      <c r="BZ16" s="417"/>
      <c r="CA16" s="418" t="str">
        <f t="shared" si="4"/>
        <v/>
      </c>
      <c r="CB16" s="418" t="str">
        <f t="shared" si="5"/>
        <v/>
      </c>
      <c r="CC16" s="418" t="str">
        <f t="shared" si="6"/>
        <v/>
      </c>
      <c r="CD16" s="418" t="str">
        <f t="shared" si="7"/>
        <v/>
      </c>
      <c r="CE16" s="417"/>
      <c r="CL16" s="417"/>
      <c r="CM16" s="3416">
        <f t="shared" si="8"/>
        <v>0</v>
      </c>
      <c r="CN16" s="3389">
        <f t="shared" si="9"/>
        <v>0</v>
      </c>
      <c r="CO16" s="3389">
        <f t="shared" si="10"/>
        <v>0</v>
      </c>
      <c r="CP16" s="3389">
        <f t="shared" si="11"/>
        <v>0</v>
      </c>
      <c r="CQ16"/>
    </row>
    <row r="17" spans="1:113" ht="15" customHeight="1">
      <c r="A17" s="2057" t="s">
        <v>3448</v>
      </c>
      <c r="B17" s="2027">
        <f t="shared" si="0"/>
        <v>0</v>
      </c>
      <c r="C17" s="2038">
        <f t="shared" si="1"/>
        <v>0</v>
      </c>
      <c r="D17" s="1654">
        <f t="shared" si="2"/>
        <v>0</v>
      </c>
      <c r="E17" s="1517"/>
      <c r="F17" s="1680"/>
      <c r="G17" s="1440"/>
      <c r="H17" s="1680"/>
      <c r="I17" s="1440"/>
      <c r="J17" s="1680"/>
      <c r="K17" s="1440"/>
      <c r="L17" s="1680"/>
      <c r="M17" s="1440"/>
      <c r="N17" s="1680"/>
      <c r="O17" s="1440"/>
      <c r="P17" s="1680"/>
      <c r="Q17" s="1440"/>
      <c r="R17" s="1680"/>
      <c r="S17" s="1440"/>
      <c r="T17" s="1680"/>
      <c r="U17" s="1440"/>
      <c r="V17" s="1680"/>
      <c r="W17" s="1440"/>
      <c r="X17" s="1680"/>
      <c r="Y17" s="1440"/>
      <c r="Z17" s="1680"/>
      <c r="AA17" s="1440"/>
      <c r="AB17" s="1680"/>
      <c r="AC17" s="1440"/>
      <c r="AD17" s="1680"/>
      <c r="AE17" s="1440"/>
      <c r="AF17" s="1680"/>
      <c r="AG17" s="1440"/>
      <c r="AH17" s="1680"/>
      <c r="AI17" s="1440"/>
      <c r="AJ17" s="1680"/>
      <c r="AK17" s="1440"/>
      <c r="AL17" s="1444"/>
      <c r="AM17" s="1711"/>
      <c r="AN17" s="1442"/>
      <c r="AO17" s="1442"/>
      <c r="AP17" s="1655"/>
      <c r="AQ17" s="1693"/>
      <c r="AR17" s="1488"/>
      <c r="AS17" s="1692"/>
      <c r="AT17" s="3373" t="str">
        <f t="shared" si="3"/>
        <v/>
      </c>
      <c r="BY17" s="417"/>
      <c r="BZ17" s="417"/>
      <c r="CA17" s="418" t="str">
        <f t="shared" si="4"/>
        <v/>
      </c>
      <c r="CB17" s="418" t="str">
        <f t="shared" si="5"/>
        <v/>
      </c>
      <c r="CC17" s="418" t="str">
        <f t="shared" si="6"/>
        <v/>
      </c>
      <c r="CD17" s="418" t="str">
        <f t="shared" si="7"/>
        <v/>
      </c>
      <c r="CE17" s="417"/>
      <c r="CL17" s="417"/>
      <c r="CM17" s="3416">
        <f t="shared" si="8"/>
        <v>0</v>
      </c>
      <c r="CN17" s="3389">
        <f t="shared" si="9"/>
        <v>0</v>
      </c>
      <c r="CO17" s="3389">
        <f t="shared" si="10"/>
        <v>0</v>
      </c>
      <c r="CP17" s="3389">
        <f t="shared" si="11"/>
        <v>0</v>
      </c>
      <c r="CQ17"/>
    </row>
    <row r="18" spans="1:113" ht="15" customHeight="1">
      <c r="A18" s="2057" t="s">
        <v>3449</v>
      </c>
      <c r="B18" s="2044">
        <f t="shared" si="0"/>
        <v>0</v>
      </c>
      <c r="C18" s="4699">
        <f t="shared" si="1"/>
        <v>0</v>
      </c>
      <c r="D18" s="431">
        <f t="shared" si="2"/>
        <v>0</v>
      </c>
      <c r="E18" s="1765"/>
      <c r="F18" s="1663"/>
      <c r="G18" s="1662"/>
      <c r="H18" s="4700"/>
      <c r="I18" s="1662"/>
      <c r="J18" s="4700"/>
      <c r="K18" s="1440"/>
      <c r="L18" s="1680"/>
      <c r="M18" s="1440"/>
      <c r="N18" s="1680"/>
      <c r="O18" s="1528"/>
      <c r="P18" s="1801"/>
      <c r="Q18" s="1528"/>
      <c r="R18" s="1801"/>
      <c r="S18" s="1528"/>
      <c r="T18" s="1801"/>
      <c r="U18" s="1528"/>
      <c r="V18" s="1801"/>
      <c r="W18" s="1528"/>
      <c r="X18" s="1801"/>
      <c r="Y18" s="1528"/>
      <c r="Z18" s="1801"/>
      <c r="AA18" s="1528"/>
      <c r="AB18" s="1801"/>
      <c r="AC18" s="1528"/>
      <c r="AD18" s="1801"/>
      <c r="AE18" s="1528"/>
      <c r="AF18" s="1801"/>
      <c r="AG18" s="1528"/>
      <c r="AH18" s="1801"/>
      <c r="AI18" s="1528"/>
      <c r="AJ18" s="1801"/>
      <c r="AK18" s="1528"/>
      <c r="AL18" s="1553"/>
      <c r="AM18" s="1714"/>
      <c r="AN18" s="1529"/>
      <c r="AO18" s="1529"/>
      <c r="AP18" s="1660"/>
      <c r="AQ18" s="1460"/>
      <c r="AR18" s="1461"/>
      <c r="AS18" s="1467"/>
      <c r="AT18" s="3373" t="str">
        <f t="shared" si="3"/>
        <v/>
      </c>
      <c r="BY18" s="417"/>
      <c r="BZ18" s="417"/>
      <c r="CA18" s="418" t="str">
        <f t="shared" si="4"/>
        <v/>
      </c>
      <c r="CB18" s="418" t="str">
        <f t="shared" si="5"/>
        <v/>
      </c>
      <c r="CC18" s="418" t="str">
        <f t="shared" si="6"/>
        <v/>
      </c>
      <c r="CD18" s="418" t="str">
        <f t="shared" si="7"/>
        <v/>
      </c>
      <c r="CE18" s="417"/>
      <c r="CL18" s="417"/>
      <c r="CM18" s="3416">
        <f t="shared" si="8"/>
        <v>0</v>
      </c>
      <c r="CN18" s="3389">
        <f t="shared" si="9"/>
        <v>0</v>
      </c>
      <c r="CO18" s="3389">
        <f t="shared" si="10"/>
        <v>0</v>
      </c>
      <c r="CP18" s="3389">
        <f t="shared" si="11"/>
        <v>0</v>
      </c>
      <c r="CQ18"/>
    </row>
    <row r="19" spans="1:113" ht="15" customHeight="1">
      <c r="A19" s="4695" t="s">
        <v>798</v>
      </c>
      <c r="B19" s="2044">
        <f t="shared" si="0"/>
        <v>0</v>
      </c>
      <c r="C19" s="2045">
        <f t="shared" si="1"/>
        <v>0</v>
      </c>
      <c r="D19" s="392">
        <f t="shared" si="2"/>
        <v>0</v>
      </c>
      <c r="E19" s="401">
        <f t="shared" ref="E19:AS19" si="12">SUM(E20:E24)</f>
        <v>0</v>
      </c>
      <c r="F19" s="392">
        <f t="shared" si="12"/>
        <v>0</v>
      </c>
      <c r="G19" s="401">
        <f t="shared" si="12"/>
        <v>0</v>
      </c>
      <c r="H19" s="403">
        <f t="shared" si="12"/>
        <v>0</v>
      </c>
      <c r="I19" s="401">
        <f t="shared" si="12"/>
        <v>0</v>
      </c>
      <c r="J19" s="403">
        <f t="shared" si="12"/>
        <v>0</v>
      </c>
      <c r="K19" s="401">
        <f t="shared" si="12"/>
        <v>0</v>
      </c>
      <c r="L19" s="403">
        <f t="shared" si="12"/>
        <v>0</v>
      </c>
      <c r="M19" s="401">
        <f t="shared" si="12"/>
        <v>0</v>
      </c>
      <c r="N19" s="403">
        <f t="shared" si="12"/>
        <v>0</v>
      </c>
      <c r="O19" s="401">
        <f t="shared" si="12"/>
        <v>0</v>
      </c>
      <c r="P19" s="403">
        <f t="shared" si="12"/>
        <v>0</v>
      </c>
      <c r="Q19" s="401">
        <f t="shared" si="12"/>
        <v>0</v>
      </c>
      <c r="R19" s="403">
        <f t="shared" si="12"/>
        <v>0</v>
      </c>
      <c r="S19" s="401">
        <f t="shared" si="12"/>
        <v>0</v>
      </c>
      <c r="T19" s="403">
        <f t="shared" si="12"/>
        <v>0</v>
      </c>
      <c r="U19" s="401">
        <f t="shared" si="12"/>
        <v>0</v>
      </c>
      <c r="V19" s="403">
        <f t="shared" si="12"/>
        <v>0</v>
      </c>
      <c r="W19" s="401">
        <f t="shared" si="12"/>
        <v>0</v>
      </c>
      <c r="X19" s="403">
        <f t="shared" si="12"/>
        <v>0</v>
      </c>
      <c r="Y19" s="401">
        <f t="shared" si="12"/>
        <v>0</v>
      </c>
      <c r="Z19" s="403">
        <f t="shared" si="12"/>
        <v>0</v>
      </c>
      <c r="AA19" s="401">
        <f t="shared" si="12"/>
        <v>0</v>
      </c>
      <c r="AB19" s="403">
        <f t="shared" si="12"/>
        <v>0</v>
      </c>
      <c r="AC19" s="401">
        <f t="shared" si="12"/>
        <v>0</v>
      </c>
      <c r="AD19" s="403">
        <f t="shared" si="12"/>
        <v>0</v>
      </c>
      <c r="AE19" s="401">
        <f t="shared" si="12"/>
        <v>0</v>
      </c>
      <c r="AF19" s="403">
        <f t="shared" si="12"/>
        <v>0</v>
      </c>
      <c r="AG19" s="401">
        <f t="shared" si="12"/>
        <v>0</v>
      </c>
      <c r="AH19" s="403">
        <f t="shared" si="12"/>
        <v>0</v>
      </c>
      <c r="AI19" s="401">
        <f t="shared" si="12"/>
        <v>0</v>
      </c>
      <c r="AJ19" s="403">
        <f t="shared" si="12"/>
        <v>0</v>
      </c>
      <c r="AK19" s="401">
        <f t="shared" si="12"/>
        <v>0</v>
      </c>
      <c r="AL19" s="440">
        <f t="shared" si="12"/>
        <v>0</v>
      </c>
      <c r="AM19" s="2060">
        <f t="shared" si="12"/>
        <v>0</v>
      </c>
      <c r="AN19" s="1501">
        <f t="shared" si="12"/>
        <v>0</v>
      </c>
      <c r="AO19" s="1501">
        <f t="shared" si="12"/>
        <v>0</v>
      </c>
      <c r="AP19" s="1556">
        <f t="shared" si="12"/>
        <v>0</v>
      </c>
      <c r="AQ19" s="405">
        <f t="shared" si="12"/>
        <v>0</v>
      </c>
      <c r="AR19" s="406">
        <f t="shared" si="12"/>
        <v>0</v>
      </c>
      <c r="AS19" s="392">
        <f t="shared" si="12"/>
        <v>0</v>
      </c>
      <c r="AT19" s="3037"/>
      <c r="BY19" s="417"/>
      <c r="BZ19" s="417"/>
      <c r="CA19" s="417"/>
      <c r="CB19" s="417"/>
      <c r="CC19" s="417"/>
      <c r="CD19" s="417"/>
      <c r="CE19" s="417"/>
      <c r="CL19" s="417"/>
      <c r="CM19"/>
      <c r="CN19"/>
      <c r="CO19"/>
      <c r="CP19"/>
      <c r="CQ19"/>
    </row>
    <row r="20" spans="1:113" ht="15" customHeight="1">
      <c r="A20" s="2056" t="s">
        <v>3450</v>
      </c>
      <c r="B20" s="2027">
        <f t="shared" si="0"/>
        <v>0</v>
      </c>
      <c r="C20" s="2028">
        <f t="shared" si="1"/>
        <v>0</v>
      </c>
      <c r="D20" s="2065">
        <f t="shared" si="2"/>
        <v>0</v>
      </c>
      <c r="E20" s="1485"/>
      <c r="F20" s="1692"/>
      <c r="G20" s="1485"/>
      <c r="H20" s="1824"/>
      <c r="I20" s="1485"/>
      <c r="J20" s="1824"/>
      <c r="K20" s="1485"/>
      <c r="L20" s="1824"/>
      <c r="M20" s="1485"/>
      <c r="N20" s="1824"/>
      <c r="O20" s="1485"/>
      <c r="P20" s="1824"/>
      <c r="Q20" s="1485"/>
      <c r="R20" s="1824"/>
      <c r="S20" s="1485"/>
      <c r="T20" s="1824"/>
      <c r="U20" s="1485"/>
      <c r="V20" s="1824"/>
      <c r="W20" s="1485"/>
      <c r="X20" s="1824"/>
      <c r="Y20" s="1485"/>
      <c r="Z20" s="1824"/>
      <c r="AA20" s="1485"/>
      <c r="AB20" s="1824"/>
      <c r="AC20" s="1485"/>
      <c r="AD20" s="1824"/>
      <c r="AE20" s="1485"/>
      <c r="AF20" s="1824"/>
      <c r="AG20" s="1485"/>
      <c r="AH20" s="1824"/>
      <c r="AI20" s="1485"/>
      <c r="AJ20" s="1824"/>
      <c r="AK20" s="1485"/>
      <c r="AL20" s="1486"/>
      <c r="AM20" s="4545"/>
      <c r="AN20" s="1712"/>
      <c r="AO20" s="1712"/>
      <c r="AP20" s="1710"/>
      <c r="AQ20" s="1410"/>
      <c r="AR20" s="1411"/>
      <c r="AS20" s="1417"/>
      <c r="AT20" s="3373" t="str">
        <f t="shared" si="3"/>
        <v/>
      </c>
      <c r="BY20" s="417"/>
      <c r="BZ20" s="417"/>
      <c r="CA20" s="418" t="str">
        <f t="shared" si="4"/>
        <v/>
      </c>
      <c r="CB20" s="418" t="str">
        <f t="shared" si="5"/>
        <v/>
      </c>
      <c r="CC20" s="418" t="str">
        <f t="shared" si="6"/>
        <v/>
      </c>
      <c r="CD20" s="418" t="str">
        <f t="shared" si="7"/>
        <v/>
      </c>
      <c r="CE20" s="417"/>
      <c r="CL20" s="417"/>
      <c r="CM20" s="3416">
        <f t="shared" si="8"/>
        <v>0</v>
      </c>
      <c r="CN20" s="3389">
        <f t="shared" si="9"/>
        <v>0</v>
      </c>
      <c r="CO20" s="3389">
        <f t="shared" si="10"/>
        <v>0</v>
      </c>
      <c r="CP20" s="3389">
        <f t="shared" si="11"/>
        <v>0</v>
      </c>
      <c r="CQ20"/>
    </row>
    <row r="21" spans="1:113" ht="15" customHeight="1">
      <c r="A21" s="2057" t="s">
        <v>1053</v>
      </c>
      <c r="B21" s="2037">
        <f t="shared" si="0"/>
        <v>0</v>
      </c>
      <c r="C21" s="2038">
        <f t="shared" si="1"/>
        <v>0</v>
      </c>
      <c r="D21" s="422">
        <f t="shared" si="2"/>
        <v>0</v>
      </c>
      <c r="E21" s="1440"/>
      <c r="F21" s="1452"/>
      <c r="G21" s="1440"/>
      <c r="H21" s="1680"/>
      <c r="I21" s="1440"/>
      <c r="J21" s="1680"/>
      <c r="K21" s="1440"/>
      <c r="L21" s="1680"/>
      <c r="M21" s="1440"/>
      <c r="N21" s="1680"/>
      <c r="O21" s="1440"/>
      <c r="P21" s="1680"/>
      <c r="Q21" s="1440"/>
      <c r="R21" s="1680"/>
      <c r="S21" s="1440"/>
      <c r="T21" s="1680"/>
      <c r="U21" s="1440"/>
      <c r="V21" s="1680"/>
      <c r="W21" s="1440"/>
      <c r="X21" s="1680"/>
      <c r="Y21" s="1440"/>
      <c r="Z21" s="1680"/>
      <c r="AA21" s="1440"/>
      <c r="AB21" s="1680"/>
      <c r="AC21" s="1440"/>
      <c r="AD21" s="1680"/>
      <c r="AE21" s="1440"/>
      <c r="AF21" s="1680"/>
      <c r="AG21" s="1440"/>
      <c r="AH21" s="1680"/>
      <c r="AI21" s="1440"/>
      <c r="AJ21" s="1680"/>
      <c r="AK21" s="1440"/>
      <c r="AL21" s="1444"/>
      <c r="AM21" s="1709"/>
      <c r="AN21" s="1442"/>
      <c r="AO21" s="1442"/>
      <c r="AP21" s="1655"/>
      <c r="AQ21" s="1445"/>
      <c r="AR21" s="1446"/>
      <c r="AS21" s="1452"/>
      <c r="AT21" s="3373" t="str">
        <f t="shared" si="3"/>
        <v/>
      </c>
      <c r="BY21" s="417"/>
      <c r="BZ21" s="417"/>
      <c r="CA21" s="418" t="str">
        <f t="shared" si="4"/>
        <v/>
      </c>
      <c r="CB21" s="418" t="str">
        <f t="shared" si="5"/>
        <v/>
      </c>
      <c r="CC21" s="418" t="str">
        <f t="shared" si="6"/>
        <v/>
      </c>
      <c r="CD21" s="418" t="str">
        <f t="shared" si="7"/>
        <v/>
      </c>
      <c r="CE21" s="417"/>
      <c r="CL21" s="417"/>
      <c r="CM21" s="3416">
        <f t="shared" si="8"/>
        <v>0</v>
      </c>
      <c r="CN21" s="3389">
        <f t="shared" si="9"/>
        <v>0</v>
      </c>
      <c r="CO21" s="3389">
        <f t="shared" si="10"/>
        <v>0</v>
      </c>
      <c r="CP21" s="3389">
        <f t="shared" si="11"/>
        <v>0</v>
      </c>
      <c r="CQ21"/>
    </row>
    <row r="22" spans="1:113" ht="15" customHeight="1">
      <c r="A22" s="3648" t="s">
        <v>1019</v>
      </c>
      <c r="B22" s="2032">
        <f t="shared" si="0"/>
        <v>0</v>
      </c>
      <c r="C22" s="2024">
        <f t="shared" si="1"/>
        <v>0</v>
      </c>
      <c r="D22" s="4701">
        <f t="shared" si="2"/>
        <v>0</v>
      </c>
      <c r="E22" s="1517"/>
      <c r="F22" s="1523"/>
      <c r="G22" s="1517"/>
      <c r="H22" s="1821"/>
      <c r="I22" s="1517"/>
      <c r="J22" s="1821"/>
      <c r="K22" s="1517"/>
      <c r="L22" s="1821"/>
      <c r="M22" s="1517"/>
      <c r="N22" s="1821"/>
      <c r="O22" s="1517"/>
      <c r="P22" s="1821"/>
      <c r="Q22" s="1517"/>
      <c r="R22" s="1821"/>
      <c r="S22" s="1517"/>
      <c r="T22" s="1821"/>
      <c r="U22" s="1517"/>
      <c r="V22" s="1821"/>
      <c r="W22" s="1517"/>
      <c r="X22" s="1821"/>
      <c r="Y22" s="1517"/>
      <c r="Z22" s="1821"/>
      <c r="AA22" s="1517"/>
      <c r="AB22" s="1821"/>
      <c r="AC22" s="1517"/>
      <c r="AD22" s="1821"/>
      <c r="AE22" s="1517"/>
      <c r="AF22" s="1821"/>
      <c r="AG22" s="1517"/>
      <c r="AH22" s="1821"/>
      <c r="AI22" s="1517"/>
      <c r="AJ22" s="1821"/>
      <c r="AK22" s="1517"/>
      <c r="AL22" s="3015"/>
      <c r="AM22" s="1907"/>
      <c r="AN22" s="1518"/>
      <c r="AO22" s="1518"/>
      <c r="AP22" s="1908"/>
      <c r="AQ22" s="1521"/>
      <c r="AR22" s="1522"/>
      <c r="AS22" s="1523"/>
      <c r="AT22" s="3373" t="str">
        <f t="shared" si="3"/>
        <v/>
      </c>
      <c r="BY22" s="417"/>
      <c r="BZ22" s="417"/>
      <c r="CA22" s="418" t="str">
        <f t="shared" si="4"/>
        <v/>
      </c>
      <c r="CB22" s="418" t="str">
        <f t="shared" si="5"/>
        <v/>
      </c>
      <c r="CC22" s="418" t="str">
        <f t="shared" si="6"/>
        <v/>
      </c>
      <c r="CD22" s="418" t="str">
        <f t="shared" si="7"/>
        <v/>
      </c>
      <c r="CE22" s="417"/>
      <c r="CL22" s="417"/>
      <c r="CM22" s="3416">
        <f t="shared" si="8"/>
        <v>0</v>
      </c>
      <c r="CN22" s="3389">
        <f t="shared" si="9"/>
        <v>0</v>
      </c>
      <c r="CO22" s="3389">
        <f t="shared" si="10"/>
        <v>0</v>
      </c>
      <c r="CP22" s="3389">
        <f t="shared" si="11"/>
        <v>0</v>
      </c>
      <c r="CQ22"/>
    </row>
    <row r="23" spans="1:113" ht="15" customHeight="1">
      <c r="A23" s="4702" t="s">
        <v>3451</v>
      </c>
      <c r="B23" s="2037">
        <f t="shared" si="0"/>
        <v>0</v>
      </c>
      <c r="C23" s="2038">
        <f t="shared" si="1"/>
        <v>0</v>
      </c>
      <c r="D23" s="422">
        <f t="shared" si="2"/>
        <v>0</v>
      </c>
      <c r="E23" s="1440"/>
      <c r="F23" s="1452"/>
      <c r="G23" s="1440"/>
      <c r="H23" s="1680"/>
      <c r="I23" s="1440"/>
      <c r="J23" s="1680"/>
      <c r="K23" s="1440"/>
      <c r="L23" s="1680"/>
      <c r="M23" s="1440"/>
      <c r="N23" s="1680"/>
      <c r="O23" s="1440"/>
      <c r="P23" s="1680"/>
      <c r="Q23" s="1440"/>
      <c r="R23" s="1680"/>
      <c r="S23" s="1440"/>
      <c r="T23" s="1680"/>
      <c r="U23" s="1440"/>
      <c r="V23" s="1680"/>
      <c r="W23" s="1440"/>
      <c r="X23" s="1680"/>
      <c r="Y23" s="1440"/>
      <c r="Z23" s="1680"/>
      <c r="AA23" s="1440"/>
      <c r="AB23" s="1680"/>
      <c r="AC23" s="1440"/>
      <c r="AD23" s="1680"/>
      <c r="AE23" s="1440"/>
      <c r="AF23" s="1680"/>
      <c r="AG23" s="1440"/>
      <c r="AH23" s="1680"/>
      <c r="AI23" s="1440"/>
      <c r="AJ23" s="1680"/>
      <c r="AK23" s="1440"/>
      <c r="AL23" s="1444"/>
      <c r="AM23" s="1709"/>
      <c r="AN23" s="1442"/>
      <c r="AO23" s="1442"/>
      <c r="AP23" s="1655"/>
      <c r="AQ23" s="1445"/>
      <c r="AR23" s="1446"/>
      <c r="AS23" s="1452"/>
      <c r="AT23" s="3373" t="str">
        <f t="shared" si="3"/>
        <v/>
      </c>
      <c r="BY23" s="417"/>
      <c r="BZ23" s="417"/>
      <c r="CA23" s="418" t="str">
        <f t="shared" si="4"/>
        <v/>
      </c>
      <c r="CB23" s="418" t="str">
        <f t="shared" si="5"/>
        <v/>
      </c>
      <c r="CC23" s="418" t="str">
        <f t="shared" si="6"/>
        <v/>
      </c>
      <c r="CD23" s="418" t="str">
        <f t="shared" si="7"/>
        <v/>
      </c>
      <c r="CE23" s="417"/>
      <c r="CL23" s="417"/>
      <c r="CM23" s="3416">
        <f t="shared" si="8"/>
        <v>0</v>
      </c>
      <c r="CN23" s="3389">
        <f t="shared" si="9"/>
        <v>0</v>
      </c>
      <c r="CO23" s="3389">
        <f t="shared" si="10"/>
        <v>0</v>
      </c>
      <c r="CP23" s="3389">
        <f t="shared" si="11"/>
        <v>0</v>
      </c>
      <c r="CQ23"/>
    </row>
    <row r="24" spans="1:113" ht="15" customHeight="1">
      <c r="A24" s="2303" t="s">
        <v>3452</v>
      </c>
      <c r="B24" s="2044">
        <f t="shared" si="0"/>
        <v>0</v>
      </c>
      <c r="C24" s="2045">
        <f t="shared" si="1"/>
        <v>0</v>
      </c>
      <c r="D24" s="1719">
        <f t="shared" si="2"/>
        <v>0</v>
      </c>
      <c r="E24" s="1528"/>
      <c r="F24" s="1534"/>
      <c r="G24" s="1528"/>
      <c r="H24" s="1801"/>
      <c r="I24" s="1528"/>
      <c r="J24" s="1801"/>
      <c r="K24" s="1528"/>
      <c r="L24" s="1801"/>
      <c r="M24" s="1528"/>
      <c r="N24" s="1801"/>
      <c r="O24" s="1528"/>
      <c r="P24" s="1801"/>
      <c r="Q24" s="1528"/>
      <c r="R24" s="1801"/>
      <c r="S24" s="1528"/>
      <c r="T24" s="1801"/>
      <c r="U24" s="1528"/>
      <c r="V24" s="1801"/>
      <c r="W24" s="1528"/>
      <c r="X24" s="1801"/>
      <c r="Y24" s="1528"/>
      <c r="Z24" s="1801"/>
      <c r="AA24" s="1528"/>
      <c r="AB24" s="1801"/>
      <c r="AC24" s="1528"/>
      <c r="AD24" s="1801"/>
      <c r="AE24" s="1528"/>
      <c r="AF24" s="1801"/>
      <c r="AG24" s="1528"/>
      <c r="AH24" s="1801"/>
      <c r="AI24" s="1528"/>
      <c r="AJ24" s="1801"/>
      <c r="AK24" s="1528"/>
      <c r="AL24" s="1553"/>
      <c r="AM24" s="1722"/>
      <c r="AN24" s="1529"/>
      <c r="AO24" s="1529"/>
      <c r="AP24" s="1721"/>
      <c r="AQ24" s="1532"/>
      <c r="AR24" s="1533"/>
      <c r="AS24" s="1534"/>
      <c r="AT24" s="3373" t="str">
        <f t="shared" si="3"/>
        <v/>
      </c>
      <c r="BY24" s="417"/>
      <c r="BZ24" s="417"/>
      <c r="CA24" s="418" t="str">
        <f t="shared" si="4"/>
        <v/>
      </c>
      <c r="CB24" s="418" t="str">
        <f t="shared" si="5"/>
        <v/>
      </c>
      <c r="CC24" s="418" t="str">
        <f t="shared" si="6"/>
        <v/>
      </c>
      <c r="CD24" s="418" t="str">
        <f t="shared" si="7"/>
        <v/>
      </c>
      <c r="CE24" s="417"/>
      <c r="CL24" s="417"/>
      <c r="CM24" s="3416">
        <f t="shared" si="8"/>
        <v>0</v>
      </c>
      <c r="CN24" s="3389">
        <f t="shared" si="9"/>
        <v>0</v>
      </c>
      <c r="CO24" s="3389">
        <f t="shared" si="10"/>
        <v>0</v>
      </c>
      <c r="CP24" s="3389">
        <f t="shared" si="11"/>
        <v>0</v>
      </c>
      <c r="CQ24"/>
    </row>
    <row r="25" spans="1:113" ht="18" customHeight="1">
      <c r="A25" s="2097" t="s">
        <v>3453</v>
      </c>
      <c r="B25" s="1581"/>
      <c r="C25" s="1582"/>
      <c r="D25" s="385"/>
      <c r="E25" s="1582"/>
      <c r="F25" s="1582"/>
      <c r="G25" s="1582"/>
      <c r="H25" s="1582"/>
      <c r="I25" s="1582"/>
      <c r="J25" s="1582"/>
      <c r="K25" s="1582"/>
      <c r="L25" s="1582"/>
      <c r="M25" s="1582"/>
      <c r="N25" s="1582"/>
      <c r="O25" s="1582"/>
      <c r="P25" s="1582"/>
      <c r="Q25" s="1582"/>
      <c r="R25" s="1582"/>
      <c r="S25" s="1582"/>
      <c r="T25" s="1582"/>
      <c r="U25" s="1582"/>
      <c r="V25" s="1582"/>
      <c r="W25" s="1582"/>
      <c r="X25" s="1582"/>
      <c r="Y25" s="1582"/>
      <c r="Z25" s="1582"/>
      <c r="AA25" s="1582"/>
      <c r="AB25" s="1582"/>
      <c r="AC25" s="1582"/>
      <c r="AD25" s="1582"/>
      <c r="AE25" s="1582"/>
      <c r="AF25" s="1582"/>
      <c r="AG25" s="1582"/>
      <c r="AH25" s="1582"/>
      <c r="AI25" s="1582"/>
      <c r="AJ25" s="1582"/>
      <c r="AK25" s="1582"/>
      <c r="AL25" s="1582"/>
      <c r="AM25" s="1582"/>
      <c r="AN25" s="1582"/>
      <c r="AO25" s="1582"/>
      <c r="AP25" s="1582"/>
      <c r="AQ25" s="1582"/>
    </row>
    <row r="26" spans="1:113">
      <c r="A26" s="6154" t="s">
        <v>3454</v>
      </c>
      <c r="B26" s="6140" t="s">
        <v>91</v>
      </c>
      <c r="C26" s="6139"/>
      <c r="D26" s="6119"/>
      <c r="E26" s="5707" t="s">
        <v>115</v>
      </c>
      <c r="F26" s="5708"/>
      <c r="G26" s="5708"/>
      <c r="H26" s="5708"/>
      <c r="I26" s="5708"/>
      <c r="J26" s="5708"/>
      <c r="K26" s="5708"/>
      <c r="L26" s="5708"/>
      <c r="M26" s="5708"/>
      <c r="N26" s="5708"/>
      <c r="O26" s="5708"/>
      <c r="P26" s="5708"/>
      <c r="Q26" s="5708"/>
      <c r="R26" s="5708"/>
      <c r="S26" s="5708"/>
      <c r="T26" s="5708"/>
      <c r="U26" s="5708"/>
      <c r="V26" s="5708"/>
      <c r="W26" s="5708"/>
      <c r="X26" s="5708"/>
      <c r="Y26" s="5708"/>
      <c r="Z26" s="5708"/>
      <c r="AA26" s="5708"/>
      <c r="AB26" s="5708"/>
      <c r="AC26" s="5708"/>
      <c r="AD26" s="5708"/>
      <c r="AE26" s="5708"/>
      <c r="AF26" s="5708"/>
      <c r="AG26" s="5708"/>
      <c r="AH26" s="5708"/>
      <c r="AI26" s="5708"/>
      <c r="AJ26" s="5708"/>
      <c r="AK26" s="5708"/>
      <c r="AL26" s="6147"/>
      <c r="AM26" s="6444" t="s">
        <v>3455</v>
      </c>
      <c r="AN26" s="5708"/>
      <c r="AO26" s="5708"/>
      <c r="AP26" s="5709"/>
      <c r="BZ26" s="2832"/>
      <c r="DI26"/>
    </row>
    <row r="27" spans="1:113" ht="15" customHeight="1">
      <c r="A27" s="6448"/>
      <c r="B27" s="6114"/>
      <c r="C27" s="6115"/>
      <c r="D27" s="6116"/>
      <c r="E27" s="5710" t="s">
        <v>1390</v>
      </c>
      <c r="F27" s="5712"/>
      <c r="G27" s="5710" t="s">
        <v>1391</v>
      </c>
      <c r="H27" s="5712"/>
      <c r="I27" s="5710" t="s">
        <v>1454</v>
      </c>
      <c r="J27" s="5712"/>
      <c r="K27" s="5710" t="s">
        <v>3456</v>
      </c>
      <c r="L27" s="5712"/>
      <c r="M27" s="5710" t="s">
        <v>3457</v>
      </c>
      <c r="N27" s="5712"/>
      <c r="O27" s="5710" t="s">
        <v>3458</v>
      </c>
      <c r="P27" s="5712"/>
      <c r="Q27" s="5710" t="s">
        <v>3459</v>
      </c>
      <c r="R27" s="5712"/>
      <c r="S27" s="5710" t="s">
        <v>1459</v>
      </c>
      <c r="T27" s="5712"/>
      <c r="U27" s="5710" t="s">
        <v>1460</v>
      </c>
      <c r="V27" s="5712"/>
      <c r="W27" s="5710" t="s">
        <v>3460</v>
      </c>
      <c r="X27" s="5712"/>
      <c r="Y27" s="5710" t="s">
        <v>1462</v>
      </c>
      <c r="Z27" s="5712"/>
      <c r="AA27" s="5710" t="s">
        <v>1463</v>
      </c>
      <c r="AB27" s="5712"/>
      <c r="AC27" s="5710" t="s">
        <v>1464</v>
      </c>
      <c r="AD27" s="5712"/>
      <c r="AE27" s="5710" t="s">
        <v>1465</v>
      </c>
      <c r="AF27" s="5712"/>
      <c r="AG27" s="5710" t="s">
        <v>1466</v>
      </c>
      <c r="AH27" s="5712"/>
      <c r="AI27" s="5710" t="s">
        <v>1467</v>
      </c>
      <c r="AJ27" s="5712"/>
      <c r="AK27" s="5707" t="s">
        <v>71</v>
      </c>
      <c r="AL27" s="5708"/>
      <c r="AM27" s="6763" t="s">
        <v>3461</v>
      </c>
      <c r="AN27" s="6235" t="s">
        <v>3442</v>
      </c>
      <c r="AO27" s="6302" t="s">
        <v>3443</v>
      </c>
      <c r="AP27" s="6404" t="s">
        <v>3444</v>
      </c>
      <c r="BZ27" s="2832"/>
      <c r="DI27"/>
    </row>
    <row r="28" spans="1:113">
      <c r="A28" s="6157"/>
      <c r="B28" s="1395" t="s">
        <v>93</v>
      </c>
      <c r="C28" s="1396" t="s">
        <v>72</v>
      </c>
      <c r="D28" s="393" t="s">
        <v>73</v>
      </c>
      <c r="E28" s="1395" t="s">
        <v>72</v>
      </c>
      <c r="F28" s="393" t="s">
        <v>73</v>
      </c>
      <c r="G28" s="1395" t="s">
        <v>72</v>
      </c>
      <c r="H28" s="393" t="s">
        <v>73</v>
      </c>
      <c r="I28" s="1395" t="s">
        <v>72</v>
      </c>
      <c r="J28" s="393" t="s">
        <v>73</v>
      </c>
      <c r="K28" s="1395" t="s">
        <v>72</v>
      </c>
      <c r="L28" s="393" t="s">
        <v>73</v>
      </c>
      <c r="M28" s="1396" t="s">
        <v>72</v>
      </c>
      <c r="N28" s="393" t="s">
        <v>73</v>
      </c>
      <c r="O28" s="1395" t="s">
        <v>72</v>
      </c>
      <c r="P28" s="393" t="s">
        <v>73</v>
      </c>
      <c r="Q28" s="1395" t="s">
        <v>72</v>
      </c>
      <c r="R28" s="393" t="s">
        <v>73</v>
      </c>
      <c r="S28" s="1395" t="s">
        <v>72</v>
      </c>
      <c r="T28" s="393" t="s">
        <v>73</v>
      </c>
      <c r="U28" s="1395" t="s">
        <v>72</v>
      </c>
      <c r="V28" s="393" t="s">
        <v>73</v>
      </c>
      <c r="W28" s="1395" t="s">
        <v>72</v>
      </c>
      <c r="X28" s="393" t="s">
        <v>73</v>
      </c>
      <c r="Y28" s="1395" t="s">
        <v>72</v>
      </c>
      <c r="Z28" s="393" t="s">
        <v>73</v>
      </c>
      <c r="AA28" s="1395" t="s">
        <v>72</v>
      </c>
      <c r="AB28" s="393" t="s">
        <v>73</v>
      </c>
      <c r="AC28" s="1395" t="s">
        <v>72</v>
      </c>
      <c r="AD28" s="393" t="s">
        <v>73</v>
      </c>
      <c r="AE28" s="1395" t="s">
        <v>72</v>
      </c>
      <c r="AF28" s="393" t="s">
        <v>73</v>
      </c>
      <c r="AG28" s="1395" t="s">
        <v>72</v>
      </c>
      <c r="AH28" s="393" t="s">
        <v>73</v>
      </c>
      <c r="AI28" s="1395" t="s">
        <v>72</v>
      </c>
      <c r="AJ28" s="393" t="s">
        <v>73</v>
      </c>
      <c r="AK28" s="1395" t="s">
        <v>72</v>
      </c>
      <c r="AL28" s="1495" t="s">
        <v>73</v>
      </c>
      <c r="AM28" s="6764"/>
      <c r="AN28" s="6134"/>
      <c r="AO28" s="6136"/>
      <c r="AP28" s="6249"/>
      <c r="BZ28" s="2832"/>
      <c r="CM28" s="4703">
        <f>IF(B29&lt;&gt;SUM(B30:B52),1,0)</f>
        <v>0</v>
      </c>
      <c r="DI28"/>
    </row>
    <row r="29" spans="1:113">
      <c r="A29" s="4584" t="s">
        <v>3462</v>
      </c>
      <c r="B29" s="4075">
        <f t="shared" si="0"/>
        <v>0</v>
      </c>
      <c r="C29" s="4704">
        <f t="shared" ref="C29:D52" si="13">+E29+G29+I29+K29+M29+O29+Q29+S29+U29+W29+Y29+AA29+AC29+AE29+AG29+AI29+AK29</f>
        <v>0</v>
      </c>
      <c r="D29" s="4705">
        <f>+F29+H29+J29+L29+N29+P29+R29+T29+V29+X29+Z29+AB29+AD29+AF29+AH29+AJ29+AL29</f>
        <v>0</v>
      </c>
      <c r="E29" s="2256"/>
      <c r="F29" s="2269"/>
      <c r="G29" s="2256"/>
      <c r="H29" s="2270"/>
      <c r="I29" s="2256"/>
      <c r="J29" s="2270"/>
      <c r="K29" s="2256"/>
      <c r="L29" s="2269"/>
      <c r="M29" s="2268"/>
      <c r="N29" s="2270"/>
      <c r="O29" s="2268"/>
      <c r="P29" s="2270"/>
      <c r="Q29" s="2268"/>
      <c r="R29" s="2270"/>
      <c r="S29" s="2268"/>
      <c r="T29" s="2270"/>
      <c r="U29" s="2268"/>
      <c r="V29" s="2270"/>
      <c r="W29" s="2268"/>
      <c r="X29" s="2270"/>
      <c r="Y29" s="2268"/>
      <c r="Z29" s="2270"/>
      <c r="AA29" s="2268"/>
      <c r="AB29" s="2270"/>
      <c r="AC29" s="2268"/>
      <c r="AD29" s="2270"/>
      <c r="AE29" s="2268"/>
      <c r="AF29" s="2270"/>
      <c r="AG29" s="2268"/>
      <c r="AH29" s="2270"/>
      <c r="AI29" s="2268"/>
      <c r="AJ29" s="2270"/>
      <c r="AK29" s="2268"/>
      <c r="AL29" s="4706"/>
      <c r="AM29" s="2259"/>
      <c r="AN29" s="2268"/>
      <c r="AO29" s="2268"/>
      <c r="AP29" s="2270"/>
      <c r="AQ29" s="3373" t="str">
        <f>CB29&amp;CA29&amp;CC29&amp;CD29&amp;CE29&amp;CF29</f>
        <v/>
      </c>
      <c r="BV29" s="417"/>
      <c r="BW29" s="417"/>
      <c r="BX29" s="417"/>
      <c r="BY29" s="417"/>
      <c r="CA29" s="3590" t="str">
        <f>IF(CM28=1,"* Existen Condiciones de Salud que son mayores al Total de Ingreso (N° Personas). ","")</f>
        <v/>
      </c>
      <c r="CB29" s="3590" t="str">
        <f t="shared" ref="CB29:CB52" si="14">IF(CM29=1," * El total de Ingresos debe ser igual a la suma de los Tipos de Estrategia. ","")</f>
        <v/>
      </c>
      <c r="CC29" s="4707" t="str">
        <f>IF(CN29=1,"* Existen Condiciones de Salud en la variable Rehabilitación NNA que son Mayores a los Ingreso (N° Personas). ","")</f>
        <v/>
      </c>
      <c r="CD29" s="4707" t="str">
        <f>IF(CO29=1,"* Existen Condiciones de Salud en la variable Rehabilitación Integral APS que son Mayores a los Ingreso (N° Personas). ","")</f>
        <v/>
      </c>
      <c r="CE29" s="4707" t="str">
        <f>IF(CP29=1,"* Existen Condiciones de Salud en la variable Otros Rehabilitación que son Mayores a los Ingreso (N° Personas). ","")</f>
        <v/>
      </c>
      <c r="CF29" s="4707" t="str">
        <f>IF(CQ29=1,"* Existen Condiciones de Salud en la variable Rehabilitación móvil (rural) que son Mayores a los Ingreso (N° Personas). ","")</f>
        <v/>
      </c>
      <c r="CL29"/>
      <c r="CM29" s="3389">
        <f t="shared" ref="CM29:CM52" si="15">IF(SUM(AM29:AP29)=B29,0,1)</f>
        <v>0</v>
      </c>
      <c r="CN29" s="3389">
        <f>IF($AM29&lt;MAX($AM30:$AM50),1,0)</f>
        <v>0</v>
      </c>
      <c r="CO29" s="3389">
        <f>IF(AN29&lt;MAX(AN30:AN50),1,0)</f>
        <v>0</v>
      </c>
      <c r="CP29" s="3389">
        <f>IF(AO29&lt;MAX(AO30:AO50),1,0)</f>
        <v>0</v>
      </c>
      <c r="CQ29" s="3389">
        <f>IF(AP29&lt;MAX(AP30:AP50),1,0)</f>
        <v>0</v>
      </c>
      <c r="DH29"/>
      <c r="DI29"/>
    </row>
    <row r="30" spans="1:113">
      <c r="A30" s="4708" t="s">
        <v>3463</v>
      </c>
      <c r="B30" s="4109">
        <f t="shared" si="0"/>
        <v>0</v>
      </c>
      <c r="C30" s="3968">
        <f t="shared" si="13"/>
        <v>0</v>
      </c>
      <c r="D30" s="3969">
        <f t="shared" si="13"/>
        <v>0</v>
      </c>
      <c r="E30" s="413"/>
      <c r="F30" s="412"/>
      <c r="G30" s="413"/>
      <c r="H30" s="2261"/>
      <c r="I30" s="413"/>
      <c r="J30" s="2261"/>
      <c r="K30" s="413"/>
      <c r="L30" s="412"/>
      <c r="M30" s="411"/>
      <c r="N30" s="2261"/>
      <c r="O30" s="411"/>
      <c r="P30" s="2261"/>
      <c r="Q30" s="411"/>
      <c r="R30" s="2261"/>
      <c r="S30" s="411"/>
      <c r="T30" s="2261"/>
      <c r="U30" s="411"/>
      <c r="V30" s="2261"/>
      <c r="W30" s="411"/>
      <c r="X30" s="2261"/>
      <c r="Y30" s="411"/>
      <c r="Z30" s="2261"/>
      <c r="AA30" s="411"/>
      <c r="AB30" s="2261"/>
      <c r="AC30" s="411"/>
      <c r="AD30" s="2261"/>
      <c r="AE30" s="411"/>
      <c r="AF30" s="2261"/>
      <c r="AG30" s="411"/>
      <c r="AH30" s="2261"/>
      <c r="AI30" s="411"/>
      <c r="AJ30" s="2261"/>
      <c r="AK30" s="411"/>
      <c r="AL30" s="3543"/>
      <c r="AM30" s="3581"/>
      <c r="AN30" s="411"/>
      <c r="AO30" s="411"/>
      <c r="AP30" s="2261"/>
      <c r="AQ30" s="3373" t="str">
        <f>CA30&amp;CB30&amp;CC30&amp;CD30&amp;CE30&amp;CF30</f>
        <v/>
      </c>
      <c r="BV30" s="417"/>
      <c r="BW30" s="417"/>
      <c r="BX30" s="417"/>
      <c r="BY30" s="417"/>
      <c r="CA30" s="417"/>
      <c r="CB30" s="3590" t="str">
        <f t="shared" si="14"/>
        <v/>
      </c>
      <c r="CC30" s="379"/>
      <c r="CD30" s="379"/>
      <c r="CE30" s="379"/>
      <c r="CF30" s="379"/>
      <c r="CL30"/>
      <c r="CM30" s="3389">
        <f t="shared" si="15"/>
        <v>0</v>
      </c>
      <c r="CN30" s="417"/>
      <c r="CO30" s="417"/>
      <c r="CP30" s="417"/>
      <c r="DH30"/>
      <c r="DI30"/>
    </row>
    <row r="31" spans="1:113">
      <c r="A31" s="4708" t="s">
        <v>3464</v>
      </c>
      <c r="B31" s="4709">
        <f t="shared" si="0"/>
        <v>0</v>
      </c>
      <c r="C31" s="3972">
        <f t="shared" si="13"/>
        <v>0</v>
      </c>
      <c r="D31" s="3973">
        <f t="shared" si="13"/>
        <v>0</v>
      </c>
      <c r="E31" s="425"/>
      <c r="F31" s="424"/>
      <c r="G31" s="425"/>
      <c r="H31" s="2231"/>
      <c r="I31" s="425"/>
      <c r="J31" s="2231"/>
      <c r="K31" s="425"/>
      <c r="L31" s="424"/>
      <c r="M31" s="423"/>
      <c r="N31" s="2231"/>
      <c r="O31" s="423"/>
      <c r="P31" s="2231"/>
      <c r="Q31" s="423"/>
      <c r="R31" s="2231"/>
      <c r="S31" s="423"/>
      <c r="T31" s="2231"/>
      <c r="U31" s="423"/>
      <c r="V31" s="2231"/>
      <c r="W31" s="423"/>
      <c r="X31" s="2231"/>
      <c r="Y31" s="423"/>
      <c r="Z31" s="2231"/>
      <c r="AA31" s="423"/>
      <c r="AB31" s="2231"/>
      <c r="AC31" s="423"/>
      <c r="AD31" s="2231"/>
      <c r="AE31" s="423"/>
      <c r="AF31" s="2231"/>
      <c r="AG31" s="423"/>
      <c r="AH31" s="2231"/>
      <c r="AI31" s="423"/>
      <c r="AJ31" s="2231"/>
      <c r="AK31" s="423"/>
      <c r="AL31" s="2249"/>
      <c r="AM31" s="3392"/>
      <c r="AN31" s="423"/>
      <c r="AO31" s="423"/>
      <c r="AP31" s="2231"/>
      <c r="AQ31" s="3373" t="str">
        <f t="shared" ref="AQ31:AQ48" si="16">CA31&amp;CB31</f>
        <v/>
      </c>
      <c r="BV31" s="417"/>
      <c r="BW31" s="417"/>
      <c r="BX31" s="417"/>
      <c r="BY31" s="417"/>
      <c r="CA31" s="417"/>
      <c r="CB31" s="3590" t="str">
        <f t="shared" si="14"/>
        <v/>
      </c>
      <c r="CC31" s="379"/>
      <c r="CD31" s="379"/>
      <c r="CE31" s="379"/>
      <c r="CF31" s="379"/>
      <c r="CL31"/>
      <c r="CM31" s="3389">
        <f t="shared" si="15"/>
        <v>0</v>
      </c>
      <c r="CN31" s="3365"/>
      <c r="CO31" s="3365"/>
      <c r="CP31" s="3365"/>
      <c r="DH31"/>
      <c r="DI31"/>
    </row>
    <row r="32" spans="1:113">
      <c r="A32" s="1438" t="s">
        <v>3465</v>
      </c>
      <c r="B32" s="1991">
        <f t="shared" si="0"/>
        <v>0</v>
      </c>
      <c r="C32" s="3972">
        <f t="shared" si="13"/>
        <v>0</v>
      </c>
      <c r="D32" s="3973">
        <f t="shared" si="13"/>
        <v>0</v>
      </c>
      <c r="E32" s="425"/>
      <c r="F32" s="424"/>
      <c r="G32" s="425"/>
      <c r="H32" s="2231"/>
      <c r="I32" s="425"/>
      <c r="J32" s="2231"/>
      <c r="K32" s="425"/>
      <c r="L32" s="424"/>
      <c r="M32" s="423"/>
      <c r="N32" s="2231"/>
      <c r="O32" s="423"/>
      <c r="P32" s="2231"/>
      <c r="Q32" s="423"/>
      <c r="R32" s="2231"/>
      <c r="S32" s="423"/>
      <c r="T32" s="2231"/>
      <c r="U32" s="423"/>
      <c r="V32" s="2231"/>
      <c r="W32" s="423"/>
      <c r="X32" s="2231"/>
      <c r="Y32" s="423"/>
      <c r="Z32" s="2231"/>
      <c r="AA32" s="423"/>
      <c r="AB32" s="2231"/>
      <c r="AC32" s="423"/>
      <c r="AD32" s="2231"/>
      <c r="AE32" s="423"/>
      <c r="AF32" s="2231"/>
      <c r="AG32" s="423"/>
      <c r="AH32" s="2231"/>
      <c r="AI32" s="423"/>
      <c r="AJ32" s="2231"/>
      <c r="AK32" s="423"/>
      <c r="AL32" s="2249"/>
      <c r="AM32" s="3392"/>
      <c r="AN32" s="423"/>
      <c r="AO32" s="423"/>
      <c r="AP32" s="2231"/>
      <c r="AQ32" s="3373" t="str">
        <f t="shared" si="16"/>
        <v/>
      </c>
      <c r="BV32" s="417"/>
      <c r="BW32" s="417"/>
      <c r="BX32" s="417"/>
      <c r="BY32" s="417"/>
      <c r="CA32" s="417"/>
      <c r="CB32" s="3590" t="str">
        <f t="shared" si="14"/>
        <v/>
      </c>
      <c r="CC32" s="379"/>
      <c r="CD32" s="379"/>
      <c r="CE32" s="379"/>
      <c r="CF32" s="379"/>
      <c r="CL32"/>
      <c r="CM32" s="3389">
        <f t="shared" si="15"/>
        <v>0</v>
      </c>
      <c r="CN32" s="3365"/>
      <c r="CO32" s="3365"/>
      <c r="CP32" s="3365"/>
      <c r="DH32"/>
      <c r="DI32"/>
    </row>
    <row r="33" spans="1:113">
      <c r="A33" s="1438" t="s">
        <v>3466</v>
      </c>
      <c r="B33" s="1991">
        <f t="shared" si="0"/>
        <v>0</v>
      </c>
      <c r="C33" s="3972">
        <f t="shared" si="13"/>
        <v>0</v>
      </c>
      <c r="D33" s="3973">
        <f t="shared" si="13"/>
        <v>0</v>
      </c>
      <c r="E33" s="425"/>
      <c r="F33" s="424"/>
      <c r="G33" s="425"/>
      <c r="H33" s="2231"/>
      <c r="I33" s="425"/>
      <c r="J33" s="2231"/>
      <c r="K33" s="425"/>
      <c r="L33" s="424"/>
      <c r="M33" s="423"/>
      <c r="N33" s="2231"/>
      <c r="O33" s="423"/>
      <c r="P33" s="2231"/>
      <c r="Q33" s="423"/>
      <c r="R33" s="2231"/>
      <c r="S33" s="423"/>
      <c r="T33" s="2231"/>
      <c r="U33" s="423"/>
      <c r="V33" s="2231"/>
      <c r="W33" s="423"/>
      <c r="X33" s="2231"/>
      <c r="Y33" s="423"/>
      <c r="Z33" s="2231"/>
      <c r="AA33" s="423"/>
      <c r="AB33" s="2231"/>
      <c r="AC33" s="423"/>
      <c r="AD33" s="2231"/>
      <c r="AE33" s="423"/>
      <c r="AF33" s="2231"/>
      <c r="AG33" s="423"/>
      <c r="AH33" s="2231"/>
      <c r="AI33" s="423"/>
      <c r="AJ33" s="2231"/>
      <c r="AK33" s="423"/>
      <c r="AL33" s="2249"/>
      <c r="AM33" s="3392"/>
      <c r="AN33" s="423"/>
      <c r="AO33" s="423"/>
      <c r="AP33" s="2231"/>
      <c r="AQ33" s="3373" t="str">
        <f t="shared" si="16"/>
        <v/>
      </c>
      <c r="BV33" s="417"/>
      <c r="BW33" s="417"/>
      <c r="BX33" s="417"/>
      <c r="BY33" s="417"/>
      <c r="CA33" s="417"/>
      <c r="CB33" s="3590" t="str">
        <f t="shared" si="14"/>
        <v/>
      </c>
      <c r="CC33" s="379"/>
      <c r="CD33" s="379"/>
      <c r="CE33" s="379"/>
      <c r="CF33" s="379"/>
      <c r="CL33"/>
      <c r="CM33" s="3389">
        <f t="shared" si="15"/>
        <v>0</v>
      </c>
      <c r="CN33" s="3365"/>
      <c r="CO33" s="3365"/>
      <c r="CP33" s="3365"/>
      <c r="DH33"/>
      <c r="DI33"/>
    </row>
    <row r="34" spans="1:113">
      <c r="A34" s="1438" t="s">
        <v>3467</v>
      </c>
      <c r="B34" s="1991">
        <f t="shared" si="0"/>
        <v>0</v>
      </c>
      <c r="C34" s="3972">
        <f t="shared" si="13"/>
        <v>0</v>
      </c>
      <c r="D34" s="3973">
        <f t="shared" si="13"/>
        <v>0</v>
      </c>
      <c r="E34" s="425"/>
      <c r="F34" s="424"/>
      <c r="G34" s="425"/>
      <c r="H34" s="2231"/>
      <c r="I34" s="425"/>
      <c r="J34" s="2231"/>
      <c r="K34" s="425"/>
      <c r="L34" s="424"/>
      <c r="M34" s="423"/>
      <c r="N34" s="2231"/>
      <c r="O34" s="423"/>
      <c r="P34" s="2231"/>
      <c r="Q34" s="423"/>
      <c r="R34" s="2231"/>
      <c r="S34" s="423"/>
      <c r="T34" s="2231"/>
      <c r="U34" s="423"/>
      <c r="V34" s="2231"/>
      <c r="W34" s="423"/>
      <c r="X34" s="2231"/>
      <c r="Y34" s="423"/>
      <c r="Z34" s="2231"/>
      <c r="AA34" s="423"/>
      <c r="AB34" s="2231"/>
      <c r="AC34" s="423"/>
      <c r="AD34" s="2231"/>
      <c r="AE34" s="423"/>
      <c r="AF34" s="2231"/>
      <c r="AG34" s="423"/>
      <c r="AH34" s="2231"/>
      <c r="AI34" s="423"/>
      <c r="AJ34" s="2231"/>
      <c r="AK34" s="423"/>
      <c r="AL34" s="2249"/>
      <c r="AM34" s="3392"/>
      <c r="AN34" s="423"/>
      <c r="AO34" s="423"/>
      <c r="AP34" s="2231"/>
      <c r="AQ34" s="3373" t="str">
        <f t="shared" si="16"/>
        <v/>
      </c>
      <c r="BV34" s="417"/>
      <c r="BW34" s="417"/>
      <c r="BX34" s="417"/>
      <c r="BY34" s="417"/>
      <c r="CA34" s="417"/>
      <c r="CB34" s="3590" t="str">
        <f t="shared" si="14"/>
        <v/>
      </c>
      <c r="CC34" s="379"/>
      <c r="CD34" s="379"/>
      <c r="CE34" s="379"/>
      <c r="CF34" s="379"/>
      <c r="CL34"/>
      <c r="CM34" s="3389">
        <f t="shared" si="15"/>
        <v>0</v>
      </c>
      <c r="CN34" s="3365"/>
      <c r="CO34" s="3365"/>
      <c r="CP34" s="3365"/>
      <c r="DH34"/>
      <c r="DI34"/>
    </row>
    <row r="35" spans="1:113">
      <c r="A35" s="1438" t="s">
        <v>3468</v>
      </c>
      <c r="B35" s="1991">
        <f t="shared" si="0"/>
        <v>0</v>
      </c>
      <c r="C35" s="3972">
        <f t="shared" si="13"/>
        <v>0</v>
      </c>
      <c r="D35" s="3973">
        <f t="shared" si="13"/>
        <v>0</v>
      </c>
      <c r="E35" s="425"/>
      <c r="F35" s="424"/>
      <c r="G35" s="425"/>
      <c r="H35" s="2231"/>
      <c r="I35" s="425"/>
      <c r="J35" s="2231"/>
      <c r="K35" s="425"/>
      <c r="L35" s="424"/>
      <c r="M35" s="423"/>
      <c r="N35" s="2231"/>
      <c r="O35" s="423"/>
      <c r="P35" s="2231"/>
      <c r="Q35" s="423"/>
      <c r="R35" s="2231"/>
      <c r="S35" s="423"/>
      <c r="T35" s="2231"/>
      <c r="U35" s="423"/>
      <c r="V35" s="2231"/>
      <c r="W35" s="423"/>
      <c r="X35" s="2231"/>
      <c r="Y35" s="423"/>
      <c r="Z35" s="2231"/>
      <c r="AA35" s="423"/>
      <c r="AB35" s="2231"/>
      <c r="AC35" s="423"/>
      <c r="AD35" s="2231"/>
      <c r="AE35" s="423"/>
      <c r="AF35" s="2231"/>
      <c r="AG35" s="423"/>
      <c r="AH35" s="2231"/>
      <c r="AI35" s="423"/>
      <c r="AJ35" s="2231"/>
      <c r="AK35" s="423"/>
      <c r="AL35" s="2249"/>
      <c r="AM35" s="3392"/>
      <c r="AN35" s="423"/>
      <c r="AO35" s="423"/>
      <c r="AP35" s="2231"/>
      <c r="AQ35" s="3373" t="str">
        <f t="shared" si="16"/>
        <v/>
      </c>
      <c r="BV35" s="417"/>
      <c r="BW35" s="417"/>
      <c r="BX35" s="417"/>
      <c r="BY35" s="417"/>
      <c r="CA35" s="417"/>
      <c r="CB35" s="3590" t="str">
        <f t="shared" si="14"/>
        <v/>
      </c>
      <c r="CC35" s="379"/>
      <c r="CD35" s="379"/>
      <c r="CE35" s="379"/>
      <c r="CF35" s="379"/>
      <c r="CL35"/>
      <c r="CM35" s="3389">
        <f t="shared" si="15"/>
        <v>0</v>
      </c>
      <c r="CN35" s="3365"/>
      <c r="CO35" s="3365"/>
      <c r="CP35" s="3365"/>
      <c r="DH35"/>
      <c r="DI35"/>
    </row>
    <row r="36" spans="1:113">
      <c r="A36" s="4710" t="s">
        <v>3469</v>
      </c>
      <c r="B36" s="2278">
        <f t="shared" si="0"/>
        <v>0</v>
      </c>
      <c r="C36" s="3972">
        <f t="shared" si="13"/>
        <v>0</v>
      </c>
      <c r="D36" s="3973">
        <f t="shared" si="13"/>
        <v>0</v>
      </c>
      <c r="E36" s="425"/>
      <c r="F36" s="424"/>
      <c r="G36" s="425"/>
      <c r="H36" s="2231"/>
      <c r="I36" s="425"/>
      <c r="J36" s="2231"/>
      <c r="K36" s="425"/>
      <c r="L36" s="424"/>
      <c r="M36" s="423"/>
      <c r="N36" s="2231"/>
      <c r="O36" s="423"/>
      <c r="P36" s="2231"/>
      <c r="Q36" s="423"/>
      <c r="R36" s="2231"/>
      <c r="S36" s="423"/>
      <c r="T36" s="2231"/>
      <c r="U36" s="423"/>
      <c r="V36" s="2231"/>
      <c r="W36" s="423"/>
      <c r="X36" s="2231"/>
      <c r="Y36" s="423"/>
      <c r="Z36" s="2231"/>
      <c r="AA36" s="423"/>
      <c r="AB36" s="2231"/>
      <c r="AC36" s="423"/>
      <c r="AD36" s="2231"/>
      <c r="AE36" s="423"/>
      <c r="AF36" s="2231"/>
      <c r="AG36" s="423"/>
      <c r="AH36" s="2231"/>
      <c r="AI36" s="423"/>
      <c r="AJ36" s="2231"/>
      <c r="AK36" s="423"/>
      <c r="AL36" s="2249"/>
      <c r="AM36" s="3392"/>
      <c r="AN36" s="423"/>
      <c r="AO36" s="423"/>
      <c r="AP36" s="2231"/>
      <c r="AQ36" s="3373" t="str">
        <f t="shared" si="16"/>
        <v/>
      </c>
      <c r="BV36" s="417"/>
      <c r="BW36" s="417"/>
      <c r="BX36" s="417"/>
      <c r="BY36" s="417"/>
      <c r="CA36" s="417"/>
      <c r="CB36" s="3590" t="str">
        <f t="shared" si="14"/>
        <v/>
      </c>
      <c r="CC36" s="379"/>
      <c r="CD36" s="379"/>
      <c r="CE36" s="379"/>
      <c r="CF36" s="379"/>
      <c r="CL36"/>
      <c r="CM36" s="3389">
        <f t="shared" si="15"/>
        <v>0</v>
      </c>
      <c r="CN36" s="3365"/>
      <c r="CO36" s="3365"/>
      <c r="CP36" s="3365"/>
      <c r="DH36"/>
      <c r="DI36"/>
    </row>
    <row r="37" spans="1:113">
      <c r="A37" s="2388" t="s">
        <v>3470</v>
      </c>
      <c r="B37" s="3971">
        <f t="shared" si="0"/>
        <v>0</v>
      </c>
      <c r="C37" s="3972">
        <f t="shared" si="13"/>
        <v>0</v>
      </c>
      <c r="D37" s="3973">
        <f t="shared" si="13"/>
        <v>0</v>
      </c>
      <c r="E37" s="425"/>
      <c r="F37" s="424"/>
      <c r="G37" s="425"/>
      <c r="H37" s="2231"/>
      <c r="I37" s="425"/>
      <c r="J37" s="2231"/>
      <c r="K37" s="425"/>
      <c r="L37" s="424"/>
      <c r="M37" s="423"/>
      <c r="N37" s="2231"/>
      <c r="O37" s="423"/>
      <c r="P37" s="2231"/>
      <c r="Q37" s="423"/>
      <c r="R37" s="2231"/>
      <c r="S37" s="423"/>
      <c r="T37" s="2231"/>
      <c r="U37" s="423"/>
      <c r="V37" s="2231"/>
      <c r="W37" s="423"/>
      <c r="X37" s="2231"/>
      <c r="Y37" s="423"/>
      <c r="Z37" s="2231"/>
      <c r="AA37" s="423"/>
      <c r="AB37" s="2231"/>
      <c r="AC37" s="423"/>
      <c r="AD37" s="2231"/>
      <c r="AE37" s="423"/>
      <c r="AF37" s="2231"/>
      <c r="AG37" s="423"/>
      <c r="AH37" s="2231"/>
      <c r="AI37" s="423"/>
      <c r="AJ37" s="2231"/>
      <c r="AK37" s="423"/>
      <c r="AL37" s="2249"/>
      <c r="AM37" s="3392"/>
      <c r="AN37" s="423"/>
      <c r="AO37" s="423"/>
      <c r="AP37" s="2231"/>
      <c r="AQ37" s="3373" t="str">
        <f t="shared" si="16"/>
        <v/>
      </c>
      <c r="BV37" s="417"/>
      <c r="BW37" s="417"/>
      <c r="BX37" s="417"/>
      <c r="BY37" s="417"/>
      <c r="CA37" s="417"/>
      <c r="CB37" s="3590" t="str">
        <f t="shared" si="14"/>
        <v/>
      </c>
      <c r="CC37" s="379"/>
      <c r="CD37" s="379"/>
      <c r="CE37" s="379"/>
      <c r="CF37" s="379"/>
      <c r="CL37"/>
      <c r="CM37" s="3389">
        <f t="shared" si="15"/>
        <v>0</v>
      </c>
      <c r="CN37" s="3365"/>
      <c r="CO37" s="3365"/>
      <c r="CP37" s="3365"/>
      <c r="DH37"/>
      <c r="DI37"/>
    </row>
    <row r="38" spans="1:113">
      <c r="A38" s="1879" t="s">
        <v>3471</v>
      </c>
      <c r="B38" s="2938">
        <f t="shared" si="0"/>
        <v>0</v>
      </c>
      <c r="C38" s="3972">
        <f t="shared" si="13"/>
        <v>0</v>
      </c>
      <c r="D38" s="3973">
        <f t="shared" si="13"/>
        <v>0</v>
      </c>
      <c r="E38" s="425"/>
      <c r="F38" s="424"/>
      <c r="G38" s="425"/>
      <c r="H38" s="2231"/>
      <c r="I38" s="425"/>
      <c r="J38" s="2231"/>
      <c r="K38" s="425"/>
      <c r="L38" s="424"/>
      <c r="M38" s="423"/>
      <c r="N38" s="2231"/>
      <c r="O38" s="423"/>
      <c r="P38" s="2231"/>
      <c r="Q38" s="423"/>
      <c r="R38" s="2231"/>
      <c r="S38" s="423"/>
      <c r="T38" s="2231"/>
      <c r="U38" s="423"/>
      <c r="V38" s="2231"/>
      <c r="W38" s="423"/>
      <c r="X38" s="2231"/>
      <c r="Y38" s="423"/>
      <c r="Z38" s="2231"/>
      <c r="AA38" s="423"/>
      <c r="AB38" s="2231"/>
      <c r="AC38" s="423"/>
      <c r="AD38" s="2231"/>
      <c r="AE38" s="423"/>
      <c r="AF38" s="2231"/>
      <c r="AG38" s="423"/>
      <c r="AH38" s="2231"/>
      <c r="AI38" s="423"/>
      <c r="AJ38" s="2231"/>
      <c r="AK38" s="423"/>
      <c r="AL38" s="2249"/>
      <c r="AM38" s="3392"/>
      <c r="AN38" s="423"/>
      <c r="AO38" s="423"/>
      <c r="AP38" s="2231"/>
      <c r="AQ38" s="3373" t="str">
        <f t="shared" si="16"/>
        <v/>
      </c>
      <c r="BV38" s="417"/>
      <c r="BW38" s="417"/>
      <c r="BX38" s="417"/>
      <c r="BY38" s="417"/>
      <c r="CA38" s="417"/>
      <c r="CB38" s="3590" t="str">
        <f t="shared" si="14"/>
        <v/>
      </c>
      <c r="CC38" s="379"/>
      <c r="CD38" s="379"/>
      <c r="CE38" s="379"/>
      <c r="CF38" s="379"/>
      <c r="CL38"/>
      <c r="CM38" s="3389">
        <f t="shared" si="15"/>
        <v>0</v>
      </c>
      <c r="CN38" s="3365"/>
      <c r="CO38" s="3365"/>
      <c r="CP38" s="3365"/>
      <c r="DH38"/>
      <c r="DI38"/>
    </row>
    <row r="39" spans="1:113">
      <c r="A39" s="2388" t="s">
        <v>3472</v>
      </c>
      <c r="B39" s="3971">
        <f t="shared" si="0"/>
        <v>0</v>
      </c>
      <c r="C39" s="3972">
        <f t="shared" si="13"/>
        <v>0</v>
      </c>
      <c r="D39" s="3973">
        <f t="shared" si="13"/>
        <v>0</v>
      </c>
      <c r="E39" s="425"/>
      <c r="F39" s="424"/>
      <c r="G39" s="425"/>
      <c r="H39" s="2231"/>
      <c r="I39" s="425"/>
      <c r="J39" s="2231"/>
      <c r="K39" s="425"/>
      <c r="L39" s="424"/>
      <c r="M39" s="423"/>
      <c r="N39" s="2231"/>
      <c r="O39" s="423"/>
      <c r="P39" s="2231"/>
      <c r="Q39" s="423"/>
      <c r="R39" s="2231"/>
      <c r="S39" s="423"/>
      <c r="T39" s="2231"/>
      <c r="U39" s="423"/>
      <c r="V39" s="2231"/>
      <c r="W39" s="423"/>
      <c r="X39" s="2231"/>
      <c r="Y39" s="423"/>
      <c r="Z39" s="2231"/>
      <c r="AA39" s="423"/>
      <c r="AB39" s="2231"/>
      <c r="AC39" s="423"/>
      <c r="AD39" s="2231"/>
      <c r="AE39" s="423"/>
      <c r="AF39" s="2231"/>
      <c r="AG39" s="423"/>
      <c r="AH39" s="2231"/>
      <c r="AI39" s="423"/>
      <c r="AJ39" s="2231"/>
      <c r="AK39" s="423"/>
      <c r="AL39" s="2249"/>
      <c r="AM39" s="3392"/>
      <c r="AN39" s="423"/>
      <c r="AO39" s="423"/>
      <c r="AP39" s="2231"/>
      <c r="AQ39" s="3373" t="str">
        <f t="shared" si="16"/>
        <v/>
      </c>
      <c r="BV39" s="417"/>
      <c r="BW39" s="417"/>
      <c r="BX39" s="417"/>
      <c r="BY39" s="417"/>
      <c r="CA39" s="417"/>
      <c r="CB39" s="3590" t="str">
        <f t="shared" si="14"/>
        <v/>
      </c>
      <c r="CC39" s="379"/>
      <c r="CD39" s="379"/>
      <c r="CE39" s="379"/>
      <c r="CF39" s="379"/>
      <c r="CL39"/>
      <c r="CM39" s="3389">
        <f t="shared" si="15"/>
        <v>0</v>
      </c>
      <c r="CN39" s="3365"/>
      <c r="CO39" s="3365"/>
      <c r="CP39" s="3365"/>
      <c r="DH39"/>
      <c r="DI39"/>
    </row>
    <row r="40" spans="1:113">
      <c r="A40" s="2388" t="s">
        <v>3473</v>
      </c>
      <c r="B40" s="3971">
        <f t="shared" si="0"/>
        <v>0</v>
      </c>
      <c r="C40" s="3972">
        <f t="shared" si="13"/>
        <v>0</v>
      </c>
      <c r="D40" s="3973">
        <f t="shared" si="13"/>
        <v>0</v>
      </c>
      <c r="E40" s="425"/>
      <c r="F40" s="424"/>
      <c r="G40" s="425"/>
      <c r="H40" s="2231"/>
      <c r="I40" s="425"/>
      <c r="J40" s="2231"/>
      <c r="K40" s="425"/>
      <c r="L40" s="424"/>
      <c r="M40" s="423"/>
      <c r="N40" s="2231"/>
      <c r="O40" s="423"/>
      <c r="P40" s="2231"/>
      <c r="Q40" s="423"/>
      <c r="R40" s="2231"/>
      <c r="S40" s="423"/>
      <c r="T40" s="2231"/>
      <c r="U40" s="423"/>
      <c r="V40" s="2231"/>
      <c r="W40" s="423"/>
      <c r="X40" s="2231"/>
      <c r="Y40" s="423"/>
      <c r="Z40" s="2231"/>
      <c r="AA40" s="423"/>
      <c r="AB40" s="2231"/>
      <c r="AC40" s="423"/>
      <c r="AD40" s="2231"/>
      <c r="AE40" s="423"/>
      <c r="AF40" s="2231"/>
      <c r="AG40" s="423"/>
      <c r="AH40" s="2231"/>
      <c r="AI40" s="423"/>
      <c r="AJ40" s="2231"/>
      <c r="AK40" s="423"/>
      <c r="AL40" s="2249"/>
      <c r="AM40" s="3392"/>
      <c r="AN40" s="423"/>
      <c r="AO40" s="423"/>
      <c r="AP40" s="2231"/>
      <c r="AQ40" s="3373" t="str">
        <f t="shared" si="16"/>
        <v/>
      </c>
      <c r="BV40" s="417"/>
      <c r="BW40" s="417"/>
      <c r="BX40" s="417"/>
      <c r="BY40" s="417"/>
      <c r="CA40" s="417"/>
      <c r="CB40" s="3590" t="str">
        <f t="shared" si="14"/>
        <v/>
      </c>
      <c r="CC40" s="379"/>
      <c r="CD40" s="379"/>
      <c r="CE40" s="379"/>
      <c r="CF40" s="379"/>
      <c r="CL40"/>
      <c r="CM40" s="3389">
        <f t="shared" si="15"/>
        <v>0</v>
      </c>
      <c r="CN40" s="3365"/>
      <c r="CO40" s="3365"/>
      <c r="CP40" s="3365"/>
      <c r="DH40"/>
      <c r="DI40"/>
    </row>
    <row r="41" spans="1:113">
      <c r="A41" s="4711" t="s">
        <v>3474</v>
      </c>
      <c r="B41" s="4712">
        <f t="shared" si="0"/>
        <v>0</v>
      </c>
      <c r="C41" s="3972">
        <f t="shared" si="13"/>
        <v>0</v>
      </c>
      <c r="D41" s="3973">
        <f t="shared" si="13"/>
        <v>0</v>
      </c>
      <c r="E41" s="425"/>
      <c r="F41" s="424"/>
      <c r="G41" s="425"/>
      <c r="H41" s="2231"/>
      <c r="I41" s="425"/>
      <c r="J41" s="2231"/>
      <c r="K41" s="425"/>
      <c r="L41" s="424"/>
      <c r="M41" s="423"/>
      <c r="N41" s="2231"/>
      <c r="O41" s="423"/>
      <c r="P41" s="2231"/>
      <c r="Q41" s="423"/>
      <c r="R41" s="2231"/>
      <c r="S41" s="423"/>
      <c r="T41" s="2231"/>
      <c r="U41" s="423"/>
      <c r="V41" s="2231"/>
      <c r="W41" s="423"/>
      <c r="X41" s="2231"/>
      <c r="Y41" s="423"/>
      <c r="Z41" s="2231"/>
      <c r="AA41" s="423"/>
      <c r="AB41" s="2231"/>
      <c r="AC41" s="423"/>
      <c r="AD41" s="2231"/>
      <c r="AE41" s="423"/>
      <c r="AF41" s="2231"/>
      <c r="AG41" s="423"/>
      <c r="AH41" s="2231"/>
      <c r="AI41" s="423"/>
      <c r="AJ41" s="2231"/>
      <c r="AK41" s="423"/>
      <c r="AL41" s="2249"/>
      <c r="AM41" s="3392"/>
      <c r="AN41" s="423"/>
      <c r="AO41" s="423"/>
      <c r="AP41" s="2231"/>
      <c r="AQ41" s="3373" t="str">
        <f t="shared" si="16"/>
        <v/>
      </c>
      <c r="BV41" s="417"/>
      <c r="BW41" s="417"/>
      <c r="BX41" s="417"/>
      <c r="BY41" s="417"/>
      <c r="CA41" s="417"/>
      <c r="CB41" s="3590" t="str">
        <f t="shared" si="14"/>
        <v/>
      </c>
      <c r="CC41" s="379"/>
      <c r="CD41" s="379"/>
      <c r="CE41" s="379"/>
      <c r="CF41" s="379"/>
      <c r="CL41"/>
      <c r="CM41" s="3389">
        <f t="shared" si="15"/>
        <v>0</v>
      </c>
      <c r="CN41" s="3365"/>
      <c r="CO41" s="3365"/>
      <c r="CP41" s="3365"/>
      <c r="DH41"/>
      <c r="DI41"/>
    </row>
    <row r="42" spans="1:113">
      <c r="A42" s="4710" t="s">
        <v>3475</v>
      </c>
      <c r="B42" s="2278">
        <f t="shared" si="0"/>
        <v>0</v>
      </c>
      <c r="C42" s="4713">
        <f t="shared" si="13"/>
        <v>0</v>
      </c>
      <c r="D42" s="3984">
        <f t="shared" si="13"/>
        <v>0</v>
      </c>
      <c r="E42" s="425"/>
      <c r="F42" s="424"/>
      <c r="G42" s="425"/>
      <c r="H42" s="424"/>
      <c r="I42" s="425"/>
      <c r="J42" s="2231"/>
      <c r="K42" s="425"/>
      <c r="L42" s="424"/>
      <c r="M42" s="423"/>
      <c r="N42" s="424"/>
      <c r="O42" s="3376"/>
      <c r="P42" s="424"/>
      <c r="Q42" s="3376"/>
      <c r="R42" s="424"/>
      <c r="S42" s="3376"/>
      <c r="T42" s="424"/>
      <c r="U42" s="3376"/>
      <c r="V42" s="424"/>
      <c r="W42" s="3376"/>
      <c r="X42" s="424"/>
      <c r="Y42" s="3376"/>
      <c r="Z42" s="424"/>
      <c r="AA42" s="3376"/>
      <c r="AB42" s="424"/>
      <c r="AC42" s="3376"/>
      <c r="AD42" s="424"/>
      <c r="AE42" s="3376"/>
      <c r="AF42" s="424"/>
      <c r="AG42" s="3376"/>
      <c r="AH42" s="424"/>
      <c r="AI42" s="3376"/>
      <c r="AJ42" s="424"/>
      <c r="AK42" s="3376"/>
      <c r="AL42" s="3588"/>
      <c r="AM42" s="3392"/>
      <c r="AN42" s="423"/>
      <c r="AO42" s="3376"/>
      <c r="AP42" s="424"/>
      <c r="AQ42" s="3373" t="str">
        <f t="shared" si="16"/>
        <v/>
      </c>
      <c r="BV42" s="417"/>
      <c r="BW42" s="417"/>
      <c r="BX42" s="417"/>
      <c r="BY42" s="417"/>
      <c r="CA42" s="417"/>
      <c r="CB42" s="3590" t="str">
        <f t="shared" si="14"/>
        <v/>
      </c>
      <c r="CC42" s="379"/>
      <c r="CD42" s="379"/>
      <c r="CE42" s="379"/>
      <c r="CF42" s="379"/>
      <c r="CL42"/>
      <c r="CM42" s="3389">
        <f t="shared" si="15"/>
        <v>0</v>
      </c>
      <c r="CN42" s="3365"/>
      <c r="CO42" s="3365"/>
      <c r="CP42" s="3365"/>
      <c r="DH42"/>
      <c r="DI42"/>
    </row>
    <row r="43" spans="1:113">
      <c r="A43" s="4714" t="s">
        <v>3476</v>
      </c>
      <c r="B43" s="4109">
        <f t="shared" si="0"/>
        <v>0</v>
      </c>
      <c r="C43" s="4713">
        <f t="shared" si="13"/>
        <v>0</v>
      </c>
      <c r="D43" s="3984">
        <f t="shared" si="13"/>
        <v>0</v>
      </c>
      <c r="E43" s="425"/>
      <c r="F43" s="424"/>
      <c r="G43" s="425"/>
      <c r="H43" s="424"/>
      <c r="I43" s="425"/>
      <c r="J43" s="2231"/>
      <c r="K43" s="425"/>
      <c r="L43" s="424"/>
      <c r="M43" s="423"/>
      <c r="N43" s="424"/>
      <c r="O43" s="3376"/>
      <c r="P43" s="424"/>
      <c r="Q43" s="3376"/>
      <c r="R43" s="424"/>
      <c r="S43" s="3376"/>
      <c r="T43" s="424"/>
      <c r="U43" s="3376"/>
      <c r="V43" s="424"/>
      <c r="W43" s="3376"/>
      <c r="X43" s="424"/>
      <c r="Y43" s="3376"/>
      <c r="Z43" s="424"/>
      <c r="AA43" s="3376"/>
      <c r="AB43" s="424"/>
      <c r="AC43" s="3376"/>
      <c r="AD43" s="424"/>
      <c r="AE43" s="3376"/>
      <c r="AF43" s="424"/>
      <c r="AG43" s="3376"/>
      <c r="AH43" s="424"/>
      <c r="AI43" s="3376"/>
      <c r="AJ43" s="424"/>
      <c r="AK43" s="3376"/>
      <c r="AL43" s="3588"/>
      <c r="AM43" s="3392"/>
      <c r="AN43" s="423"/>
      <c r="AO43" s="3376"/>
      <c r="AP43" s="424"/>
      <c r="AQ43" s="3373" t="str">
        <f t="shared" si="16"/>
        <v/>
      </c>
      <c r="BV43" s="417"/>
      <c r="BW43" s="417"/>
      <c r="BX43" s="417"/>
      <c r="BY43" s="417"/>
      <c r="CA43" s="417"/>
      <c r="CB43" s="3590" t="str">
        <f t="shared" si="14"/>
        <v/>
      </c>
      <c r="CC43" s="379"/>
      <c r="CD43" s="379"/>
      <c r="CE43" s="379"/>
      <c r="CF43" s="379"/>
      <c r="CL43"/>
      <c r="CM43" s="3389">
        <f t="shared" si="15"/>
        <v>0</v>
      </c>
      <c r="CN43" s="3365"/>
      <c r="CO43" s="3365"/>
      <c r="CP43" s="3365"/>
      <c r="DH43"/>
      <c r="DI43"/>
    </row>
    <row r="44" spans="1:113">
      <c r="A44" s="4681" t="s">
        <v>3477</v>
      </c>
      <c r="B44" s="4109">
        <f t="shared" si="0"/>
        <v>0</v>
      </c>
      <c r="C44" s="4713">
        <f t="shared" si="13"/>
        <v>0</v>
      </c>
      <c r="D44" s="3984">
        <f t="shared" si="13"/>
        <v>0</v>
      </c>
      <c r="E44" s="425"/>
      <c r="F44" s="424"/>
      <c r="G44" s="425"/>
      <c r="H44" s="424"/>
      <c r="I44" s="425"/>
      <c r="J44" s="2231"/>
      <c r="K44" s="425"/>
      <c r="L44" s="424"/>
      <c r="M44" s="423"/>
      <c r="N44" s="424"/>
      <c r="O44" s="3376"/>
      <c r="P44" s="424"/>
      <c r="Q44" s="3376"/>
      <c r="R44" s="424"/>
      <c r="S44" s="3376"/>
      <c r="T44" s="424"/>
      <c r="U44" s="3376"/>
      <c r="V44" s="424"/>
      <c r="W44" s="3376"/>
      <c r="X44" s="424"/>
      <c r="Y44" s="3376"/>
      <c r="Z44" s="424"/>
      <c r="AA44" s="3376"/>
      <c r="AB44" s="424"/>
      <c r="AC44" s="3376"/>
      <c r="AD44" s="424"/>
      <c r="AE44" s="3376"/>
      <c r="AF44" s="424"/>
      <c r="AG44" s="3376"/>
      <c r="AH44" s="424"/>
      <c r="AI44" s="3376"/>
      <c r="AJ44" s="424"/>
      <c r="AK44" s="3376"/>
      <c r="AL44" s="3588"/>
      <c r="AM44" s="3392"/>
      <c r="AN44" s="423"/>
      <c r="AO44" s="3376"/>
      <c r="AP44" s="424"/>
      <c r="AQ44" s="3373" t="str">
        <f t="shared" si="16"/>
        <v/>
      </c>
      <c r="BV44" s="417"/>
      <c r="BW44" s="417"/>
      <c r="BX44" s="417"/>
      <c r="BY44" s="417"/>
      <c r="CA44" s="417"/>
      <c r="CB44" s="3590" t="str">
        <f t="shared" si="14"/>
        <v/>
      </c>
      <c r="CC44" s="379"/>
      <c r="CD44" s="379"/>
      <c r="CE44" s="379"/>
      <c r="CF44" s="379"/>
      <c r="CL44"/>
      <c r="CM44" s="3389">
        <f t="shared" si="15"/>
        <v>0</v>
      </c>
      <c r="CN44" s="3365"/>
      <c r="CO44" s="3365"/>
      <c r="CP44" s="3365"/>
      <c r="DH44"/>
      <c r="DI44"/>
    </row>
    <row r="45" spans="1:113">
      <c r="A45" s="4715" t="s">
        <v>3478</v>
      </c>
      <c r="B45" s="2204">
        <f t="shared" si="0"/>
        <v>0</v>
      </c>
      <c r="C45" s="2327">
        <f t="shared" si="13"/>
        <v>0</v>
      </c>
      <c r="D45" s="2205">
        <f t="shared" ref="D45:D46" si="17">+F45+H45+J45+L45+N45+P45+R45+T45+V45+X45+Z45+AB45+AD45+AF45+AH45+AJ45+AL45</f>
        <v>0</v>
      </c>
      <c r="E45" s="1763"/>
      <c r="F45" s="1833"/>
      <c r="G45" s="2204"/>
      <c r="H45" s="2205"/>
      <c r="I45" s="1763"/>
      <c r="J45" s="1833"/>
      <c r="K45" s="2204"/>
      <c r="L45" s="2205"/>
      <c r="M45" s="2204"/>
      <c r="N45" s="2205"/>
      <c r="O45" s="1763"/>
      <c r="P45" s="1833"/>
      <c r="Q45" s="2204"/>
      <c r="R45" s="2205"/>
      <c r="S45" s="2204"/>
      <c r="T45" s="2205"/>
      <c r="U45" s="1763"/>
      <c r="V45" s="1833"/>
      <c r="W45" s="2204"/>
      <c r="X45" s="2205"/>
      <c r="Y45" s="1763"/>
      <c r="Z45" s="1833"/>
      <c r="AA45" s="2204"/>
      <c r="AB45" s="2205"/>
      <c r="AC45" s="1763"/>
      <c r="AD45" s="1833"/>
      <c r="AE45" s="2204"/>
      <c r="AF45" s="2205"/>
      <c r="AG45" s="2204"/>
      <c r="AH45" s="2205"/>
      <c r="AI45" s="2204"/>
      <c r="AJ45" s="2205"/>
      <c r="AK45" s="1763"/>
      <c r="AL45" s="1833"/>
      <c r="AM45" s="1763"/>
      <c r="AN45" s="1763"/>
      <c r="AO45" s="3183"/>
      <c r="AP45" s="2205"/>
      <c r="AQ45" s="3373" t="str">
        <f t="shared" si="16"/>
        <v/>
      </c>
      <c r="BV45" s="417"/>
      <c r="BW45" s="417"/>
      <c r="BX45" s="417"/>
      <c r="BY45" s="417"/>
      <c r="CA45" s="417"/>
      <c r="CB45" s="4716"/>
      <c r="CC45" s="379"/>
      <c r="CD45" s="379"/>
      <c r="CE45" s="379"/>
      <c r="CF45" s="379"/>
      <c r="CL45"/>
      <c r="CM45" s="4717"/>
      <c r="CN45" s="3365"/>
      <c r="CO45" s="3365"/>
      <c r="CP45" s="3365"/>
      <c r="DH45"/>
      <c r="DI45"/>
    </row>
    <row r="46" spans="1:113">
      <c r="A46" s="4681" t="s">
        <v>3479</v>
      </c>
      <c r="B46" s="4109">
        <f t="shared" si="0"/>
        <v>0</v>
      </c>
      <c r="C46" s="4713">
        <f t="shared" si="13"/>
        <v>0</v>
      </c>
      <c r="D46" s="3984">
        <f t="shared" si="17"/>
        <v>0</v>
      </c>
      <c r="E46" s="425"/>
      <c r="F46" s="424"/>
      <c r="G46" s="425"/>
      <c r="H46" s="424"/>
      <c r="I46" s="425"/>
      <c r="J46" s="2231"/>
      <c r="K46" s="425"/>
      <c r="L46" s="424"/>
      <c r="M46" s="423"/>
      <c r="N46" s="424"/>
      <c r="O46" s="3376"/>
      <c r="P46" s="424"/>
      <c r="Q46" s="3376"/>
      <c r="R46" s="424"/>
      <c r="S46" s="3376"/>
      <c r="T46" s="424"/>
      <c r="U46" s="3376"/>
      <c r="V46" s="424"/>
      <c r="W46" s="3376"/>
      <c r="X46" s="424"/>
      <c r="Y46" s="3376"/>
      <c r="Z46" s="424"/>
      <c r="AA46" s="3376"/>
      <c r="AB46" s="424"/>
      <c r="AC46" s="3376"/>
      <c r="AD46" s="424"/>
      <c r="AE46" s="3376"/>
      <c r="AF46" s="424"/>
      <c r="AG46" s="3376"/>
      <c r="AH46" s="424"/>
      <c r="AI46" s="3376"/>
      <c r="AJ46" s="424"/>
      <c r="AK46" s="3376"/>
      <c r="AL46" s="3588"/>
      <c r="AM46" s="3392"/>
      <c r="AN46" s="423"/>
      <c r="AO46" s="3376"/>
      <c r="AP46" s="424"/>
      <c r="AQ46" s="3373" t="str">
        <f t="shared" si="16"/>
        <v/>
      </c>
      <c r="BV46" s="417"/>
      <c r="BW46" s="417"/>
      <c r="BX46" s="417"/>
      <c r="BY46" s="417"/>
      <c r="CA46" s="417"/>
      <c r="CB46" s="3590" t="str">
        <f t="shared" si="14"/>
        <v/>
      </c>
      <c r="CC46" s="379"/>
      <c r="CD46" s="379"/>
      <c r="CE46" s="379"/>
      <c r="CF46" s="379"/>
      <c r="CL46"/>
      <c r="CM46" s="3389">
        <f t="shared" si="15"/>
        <v>0</v>
      </c>
      <c r="CN46" s="3365"/>
      <c r="CO46" s="3365"/>
      <c r="CP46" s="3365"/>
      <c r="DH46"/>
      <c r="DI46"/>
    </row>
    <row r="47" spans="1:113">
      <c r="A47" s="4714" t="s">
        <v>3480</v>
      </c>
      <c r="B47" s="4109">
        <f t="shared" si="0"/>
        <v>0</v>
      </c>
      <c r="C47" s="4713">
        <f t="shared" si="13"/>
        <v>0</v>
      </c>
      <c r="D47" s="3984">
        <f t="shared" si="13"/>
        <v>0</v>
      </c>
      <c r="E47" s="425"/>
      <c r="F47" s="424"/>
      <c r="G47" s="425"/>
      <c r="H47" s="424"/>
      <c r="I47" s="425"/>
      <c r="J47" s="2231"/>
      <c r="K47" s="425"/>
      <c r="L47" s="424"/>
      <c r="M47" s="423"/>
      <c r="N47" s="424"/>
      <c r="O47" s="3376"/>
      <c r="P47" s="424"/>
      <c r="Q47" s="3376"/>
      <c r="R47" s="424"/>
      <c r="S47" s="3376"/>
      <c r="T47" s="424"/>
      <c r="U47" s="3376"/>
      <c r="V47" s="424"/>
      <c r="W47" s="3376"/>
      <c r="X47" s="424"/>
      <c r="Y47" s="3376"/>
      <c r="Z47" s="424"/>
      <c r="AA47" s="3376"/>
      <c r="AB47" s="424"/>
      <c r="AC47" s="3376"/>
      <c r="AD47" s="424"/>
      <c r="AE47" s="3376"/>
      <c r="AF47" s="424"/>
      <c r="AG47" s="3376"/>
      <c r="AH47" s="424"/>
      <c r="AI47" s="3376"/>
      <c r="AJ47" s="424"/>
      <c r="AK47" s="3376"/>
      <c r="AL47" s="3588"/>
      <c r="AM47" s="3392"/>
      <c r="AN47" s="423"/>
      <c r="AO47" s="3376"/>
      <c r="AP47" s="424"/>
      <c r="AQ47" s="3373" t="str">
        <f t="shared" si="16"/>
        <v/>
      </c>
      <c r="BV47" s="417"/>
      <c r="BW47" s="417"/>
      <c r="BX47" s="417"/>
      <c r="BY47" s="417"/>
      <c r="CA47" s="417"/>
      <c r="CB47" s="3590" t="str">
        <f t="shared" si="14"/>
        <v/>
      </c>
      <c r="CC47" s="379"/>
      <c r="CD47" s="379"/>
      <c r="CE47" s="379"/>
      <c r="CF47" s="379"/>
      <c r="CL47"/>
      <c r="CM47" s="3389">
        <f t="shared" si="15"/>
        <v>0</v>
      </c>
      <c r="CN47" s="3365"/>
      <c r="CO47" s="3365"/>
      <c r="CP47" s="3365"/>
      <c r="DH47"/>
      <c r="DI47"/>
    </row>
    <row r="48" spans="1:113">
      <c r="A48" s="4714" t="s">
        <v>3481</v>
      </c>
      <c r="B48" s="4109">
        <f t="shared" si="0"/>
        <v>0</v>
      </c>
      <c r="C48" s="4713">
        <f t="shared" si="13"/>
        <v>0</v>
      </c>
      <c r="D48" s="3984">
        <f t="shared" si="13"/>
        <v>0</v>
      </c>
      <c r="E48" s="425"/>
      <c r="F48" s="424"/>
      <c r="G48" s="425"/>
      <c r="H48" s="424"/>
      <c r="I48" s="425"/>
      <c r="J48" s="2231"/>
      <c r="K48" s="425"/>
      <c r="L48" s="424"/>
      <c r="M48" s="423"/>
      <c r="N48" s="424"/>
      <c r="O48" s="3376"/>
      <c r="P48" s="424"/>
      <c r="Q48" s="3376"/>
      <c r="R48" s="424"/>
      <c r="S48" s="3376"/>
      <c r="T48" s="424"/>
      <c r="U48" s="3376"/>
      <c r="V48" s="424"/>
      <c r="W48" s="3376"/>
      <c r="X48" s="424"/>
      <c r="Y48" s="3376"/>
      <c r="Z48" s="424"/>
      <c r="AA48" s="3376"/>
      <c r="AB48" s="424"/>
      <c r="AC48" s="3376"/>
      <c r="AD48" s="424"/>
      <c r="AE48" s="3376"/>
      <c r="AF48" s="424"/>
      <c r="AG48" s="3376"/>
      <c r="AH48" s="424"/>
      <c r="AI48" s="3376"/>
      <c r="AJ48" s="424"/>
      <c r="AK48" s="3376"/>
      <c r="AL48" s="3588"/>
      <c r="AM48" s="3392"/>
      <c r="AN48" s="423"/>
      <c r="AO48" s="3376"/>
      <c r="AP48" s="424"/>
      <c r="AQ48" s="3373" t="str">
        <f t="shared" si="16"/>
        <v/>
      </c>
      <c r="BV48" s="417"/>
      <c r="BW48" s="417"/>
      <c r="BX48" s="417"/>
      <c r="BY48" s="417"/>
      <c r="CA48" s="417"/>
      <c r="CB48" s="3590" t="str">
        <f t="shared" si="14"/>
        <v/>
      </c>
      <c r="CC48" s="379"/>
      <c r="CD48" s="379"/>
      <c r="CE48" s="379"/>
      <c r="CF48" s="379"/>
      <c r="CL48"/>
      <c r="CM48" s="3389">
        <f t="shared" si="15"/>
        <v>0</v>
      </c>
      <c r="CN48" s="3365"/>
      <c r="CO48" s="3365"/>
      <c r="CP48" s="3365"/>
      <c r="DH48"/>
      <c r="DI48"/>
    </row>
    <row r="49" spans="1:113">
      <c r="A49" s="4714" t="s">
        <v>3482</v>
      </c>
      <c r="B49" s="4718">
        <f t="shared" si="0"/>
        <v>0</v>
      </c>
      <c r="C49" s="4719">
        <f t="shared" si="13"/>
        <v>0</v>
      </c>
      <c r="D49" s="3988">
        <f t="shared" si="13"/>
        <v>0</v>
      </c>
      <c r="E49" s="3419"/>
      <c r="F49" s="3441"/>
      <c r="G49" s="3419"/>
      <c r="H49" s="3441"/>
      <c r="I49" s="3419"/>
      <c r="J49" s="3422"/>
      <c r="K49" s="3419"/>
      <c r="L49" s="3441"/>
      <c r="M49" s="3424"/>
      <c r="N49" s="3441"/>
      <c r="O49" s="3420"/>
      <c r="P49" s="3441"/>
      <c r="Q49" s="3420"/>
      <c r="R49" s="3441"/>
      <c r="S49" s="3420"/>
      <c r="T49" s="3441"/>
      <c r="U49" s="3420"/>
      <c r="V49" s="3441"/>
      <c r="W49" s="3420"/>
      <c r="X49" s="3441"/>
      <c r="Y49" s="3420"/>
      <c r="Z49" s="3441"/>
      <c r="AA49" s="3420"/>
      <c r="AB49" s="3441"/>
      <c r="AC49" s="3420"/>
      <c r="AD49" s="3441"/>
      <c r="AE49" s="3420"/>
      <c r="AF49" s="3441"/>
      <c r="AG49" s="3420"/>
      <c r="AH49" s="3441"/>
      <c r="AI49" s="3420"/>
      <c r="AJ49" s="3441"/>
      <c r="AK49" s="3420"/>
      <c r="AL49" s="3440"/>
      <c r="AM49" s="3680"/>
      <c r="AN49" s="3424"/>
      <c r="AO49" s="3420"/>
      <c r="AP49" s="3441"/>
      <c r="AQ49" s="3373" t="str">
        <f t="shared" ref="AQ49:AQ51" si="18">CB49</f>
        <v/>
      </c>
      <c r="BV49" s="417"/>
      <c r="BW49" s="417"/>
      <c r="BX49" s="417"/>
      <c r="BY49" s="417"/>
      <c r="CA49" s="417"/>
      <c r="CB49" s="3590" t="str">
        <f t="shared" si="14"/>
        <v/>
      </c>
      <c r="CC49" s="379"/>
      <c r="CD49" s="379"/>
      <c r="CE49" s="379"/>
      <c r="CF49" s="379"/>
      <c r="CL49"/>
      <c r="CM49" s="3389">
        <f t="shared" si="15"/>
        <v>0</v>
      </c>
      <c r="CN49" s="3365"/>
      <c r="CO49" s="3365"/>
      <c r="CP49" s="3365"/>
      <c r="DH49"/>
      <c r="DI49"/>
    </row>
    <row r="50" spans="1:113">
      <c r="A50" s="4714" t="s">
        <v>619</v>
      </c>
      <c r="B50" s="4709">
        <f t="shared" si="0"/>
        <v>0</v>
      </c>
      <c r="C50" s="3972">
        <f t="shared" si="13"/>
        <v>0</v>
      </c>
      <c r="D50" s="3973">
        <f t="shared" si="13"/>
        <v>0</v>
      </c>
      <c r="E50" s="425"/>
      <c r="F50" s="424"/>
      <c r="G50" s="425"/>
      <c r="H50" s="424"/>
      <c r="I50" s="425"/>
      <c r="J50" s="2231"/>
      <c r="K50" s="425"/>
      <c r="L50" s="424"/>
      <c r="M50" s="423"/>
      <c r="N50" s="424"/>
      <c r="O50" s="3376"/>
      <c r="P50" s="424"/>
      <c r="Q50" s="3376"/>
      <c r="R50" s="424"/>
      <c r="S50" s="3376"/>
      <c r="T50" s="424"/>
      <c r="U50" s="3376"/>
      <c r="V50" s="424"/>
      <c r="W50" s="3376"/>
      <c r="X50" s="424"/>
      <c r="Y50" s="3376"/>
      <c r="Z50" s="424"/>
      <c r="AA50" s="3376"/>
      <c r="AB50" s="424"/>
      <c r="AC50" s="3376"/>
      <c r="AD50" s="424"/>
      <c r="AE50" s="3376"/>
      <c r="AF50" s="424"/>
      <c r="AG50" s="3376"/>
      <c r="AH50" s="424"/>
      <c r="AI50" s="3376"/>
      <c r="AJ50" s="424"/>
      <c r="AK50" s="3376"/>
      <c r="AL50" s="3588"/>
      <c r="AM50" s="3392"/>
      <c r="AN50" s="423"/>
      <c r="AO50" s="3376"/>
      <c r="AP50" s="424"/>
      <c r="AQ50" s="3373" t="str">
        <f t="shared" si="18"/>
        <v/>
      </c>
      <c r="BV50" s="417"/>
      <c r="BW50" s="417"/>
      <c r="BX50" s="417"/>
      <c r="BY50" s="417"/>
      <c r="CA50" s="417"/>
      <c r="CB50" s="3590" t="str">
        <f t="shared" si="14"/>
        <v/>
      </c>
      <c r="CC50" s="379"/>
      <c r="CD50" s="379"/>
      <c r="CE50" s="379"/>
      <c r="CF50" s="379"/>
      <c r="CL50"/>
      <c r="CM50" s="3389">
        <f t="shared" si="15"/>
        <v>0</v>
      </c>
      <c r="CN50" s="3365"/>
      <c r="CO50" s="3365"/>
      <c r="CP50" s="3365"/>
      <c r="DH50"/>
      <c r="DI50"/>
    </row>
    <row r="51" spans="1:113">
      <c r="A51" s="4720" t="s">
        <v>3483</v>
      </c>
      <c r="B51" s="4721">
        <f t="shared" si="0"/>
        <v>0</v>
      </c>
      <c r="C51" s="4713">
        <f t="shared" si="13"/>
        <v>0</v>
      </c>
      <c r="D51" s="3984">
        <f t="shared" si="13"/>
        <v>0</v>
      </c>
      <c r="E51" s="413"/>
      <c r="F51" s="412"/>
      <c r="G51" s="413"/>
      <c r="H51" s="2261"/>
      <c r="I51" s="413"/>
      <c r="J51" s="2261"/>
      <c r="K51" s="413"/>
      <c r="L51" s="412"/>
      <c r="M51" s="411"/>
      <c r="N51" s="2261"/>
      <c r="O51" s="411"/>
      <c r="P51" s="2261"/>
      <c r="Q51" s="411"/>
      <c r="R51" s="2261"/>
      <c r="S51" s="411"/>
      <c r="T51" s="2261"/>
      <c r="U51" s="411"/>
      <c r="V51" s="2261"/>
      <c r="W51" s="411"/>
      <c r="X51" s="2261"/>
      <c r="Y51" s="411"/>
      <c r="Z51" s="2261"/>
      <c r="AA51" s="411"/>
      <c r="AB51" s="2261"/>
      <c r="AC51" s="411"/>
      <c r="AD51" s="2261"/>
      <c r="AE51" s="411"/>
      <c r="AF51" s="2261"/>
      <c r="AG51" s="411"/>
      <c r="AH51" s="2261"/>
      <c r="AI51" s="411"/>
      <c r="AJ51" s="2261"/>
      <c r="AK51" s="411"/>
      <c r="AL51" s="3543"/>
      <c r="AM51" s="3581"/>
      <c r="AN51" s="411"/>
      <c r="AO51" s="411"/>
      <c r="AP51" s="2261"/>
      <c r="AQ51" s="3373" t="str">
        <f t="shared" si="18"/>
        <v/>
      </c>
      <c r="BV51" s="417"/>
      <c r="BW51" s="417"/>
      <c r="BX51" s="417"/>
      <c r="BY51" s="417"/>
      <c r="CA51" s="417"/>
      <c r="CB51" s="3590" t="str">
        <f t="shared" si="14"/>
        <v/>
      </c>
      <c r="CC51" s="379"/>
      <c r="CD51" s="379"/>
      <c r="CE51" s="379"/>
      <c r="CF51" s="379"/>
      <c r="CL51"/>
      <c r="CM51" s="3389">
        <f t="shared" si="15"/>
        <v>0</v>
      </c>
      <c r="CN51" s="3365"/>
      <c r="CO51" s="3365"/>
      <c r="CP51" s="3365"/>
      <c r="DH51"/>
      <c r="DI51"/>
    </row>
    <row r="52" spans="1:113">
      <c r="A52" s="2396" t="s">
        <v>3484</v>
      </c>
      <c r="B52" s="4722">
        <f t="shared" si="0"/>
        <v>0</v>
      </c>
      <c r="C52" s="4081">
        <f t="shared" si="13"/>
        <v>0</v>
      </c>
      <c r="D52" s="3980">
        <f>+F52+H52+J52+L52+N52+P52+R52+T52+V52+X52+Z52+AB52+AD52+AF52+AH52+AJ52+AL52</f>
        <v>0</v>
      </c>
      <c r="E52" s="432"/>
      <c r="F52" s="433"/>
      <c r="G52" s="432"/>
      <c r="H52" s="2235"/>
      <c r="I52" s="432"/>
      <c r="J52" s="2235"/>
      <c r="K52" s="432"/>
      <c r="L52" s="433"/>
      <c r="M52" s="3385"/>
      <c r="N52" s="2235"/>
      <c r="O52" s="3385"/>
      <c r="P52" s="2235"/>
      <c r="Q52" s="3385"/>
      <c r="R52" s="2235"/>
      <c r="S52" s="3385"/>
      <c r="T52" s="2235"/>
      <c r="U52" s="3385"/>
      <c r="V52" s="2235"/>
      <c r="W52" s="3385"/>
      <c r="X52" s="2235"/>
      <c r="Y52" s="3385"/>
      <c r="Z52" s="2235"/>
      <c r="AA52" s="3385"/>
      <c r="AB52" s="2235"/>
      <c r="AC52" s="3385"/>
      <c r="AD52" s="2235"/>
      <c r="AE52" s="3385"/>
      <c r="AF52" s="2235"/>
      <c r="AG52" s="3385"/>
      <c r="AH52" s="2235"/>
      <c r="AI52" s="3385"/>
      <c r="AJ52" s="2235"/>
      <c r="AK52" s="3385"/>
      <c r="AL52" s="3387"/>
      <c r="AM52" s="3393"/>
      <c r="AN52" s="3385"/>
      <c r="AO52" s="3385"/>
      <c r="AP52" s="2235"/>
      <c r="AQ52" s="3373" t="str">
        <f>CA52&amp;CB52</f>
        <v/>
      </c>
      <c r="BV52" s="417"/>
      <c r="BW52" s="417"/>
      <c r="BX52" s="417"/>
      <c r="BY52" s="417"/>
      <c r="CA52" s="417"/>
      <c r="CB52" s="3590" t="str">
        <f t="shared" si="14"/>
        <v/>
      </c>
      <c r="CC52" s="379"/>
      <c r="CD52" s="379"/>
      <c r="CE52" s="379"/>
      <c r="CF52" s="379"/>
      <c r="CL52"/>
      <c r="CM52" s="3389">
        <f t="shared" si="15"/>
        <v>0</v>
      </c>
      <c r="CN52" s="3365"/>
      <c r="CO52" s="3365"/>
      <c r="CP52" s="3365"/>
      <c r="DH52"/>
      <c r="DI52"/>
    </row>
    <row r="53" spans="1:113" ht="18" customHeight="1">
      <c r="A53" s="1468" t="s">
        <v>3485</v>
      </c>
      <c r="B53" s="4618"/>
      <c r="C53" s="4723"/>
      <c r="D53" s="4618"/>
      <c r="E53" s="4618"/>
      <c r="F53" s="4618"/>
      <c r="G53" s="4618"/>
      <c r="H53" s="4618"/>
      <c r="CA53" s="379"/>
      <c r="CB53" s="384"/>
      <c r="CC53" s="384"/>
      <c r="CD53" s="384"/>
      <c r="CE53" s="384"/>
      <c r="CL53" s="384"/>
      <c r="CM53" s="379"/>
      <c r="CN53" s="384"/>
      <c r="CO53" s="384"/>
      <c r="CP53" s="384"/>
      <c r="CQ53" s="384"/>
    </row>
    <row r="54" spans="1:113" ht="20.25" customHeight="1">
      <c r="A54" s="6298" t="s">
        <v>41</v>
      </c>
      <c r="B54" s="5718" t="s">
        <v>42</v>
      </c>
      <c r="C54" s="5708" t="s">
        <v>3455</v>
      </c>
      <c r="D54" s="5708"/>
      <c r="E54" s="5708"/>
      <c r="F54" s="6147"/>
      <c r="G54" s="6734" t="s">
        <v>3486</v>
      </c>
      <c r="H54" s="6054"/>
    </row>
    <row r="55" spans="1:113" ht="31.5">
      <c r="A55" s="6300"/>
      <c r="B55" s="5719"/>
      <c r="C55" s="1395" t="s">
        <v>1005</v>
      </c>
      <c r="D55" s="1781" t="s">
        <v>3442</v>
      </c>
      <c r="E55" s="1705" t="s">
        <v>3443</v>
      </c>
      <c r="F55" s="1474" t="s">
        <v>3444</v>
      </c>
      <c r="G55" s="4724" t="s">
        <v>3487</v>
      </c>
      <c r="H55" s="1642" t="s">
        <v>3488</v>
      </c>
    </row>
    <row r="56" spans="1:113">
      <c r="A56" s="4725" t="s">
        <v>3489</v>
      </c>
      <c r="B56" s="3520">
        <f t="shared" ref="B56:B60" si="19">SUM(C56:F56)</f>
        <v>0</v>
      </c>
      <c r="C56" s="2216"/>
      <c r="D56" s="3278"/>
      <c r="E56" s="4726"/>
      <c r="F56" s="4727"/>
      <c r="G56" s="3244"/>
      <c r="H56" s="3249"/>
      <c r="I56" t="str">
        <f t="shared" ref="I56:I60" si="20">CA56&amp;CB56&amp;CC56</f>
        <v/>
      </c>
      <c r="CA56" s="3789" t="str">
        <f t="shared" ref="CA56:CA60" si="21">IF(AND($B56&gt;0,$G56="")," * No olvide digitar la variable "&amp;$G$54&amp;""&amp;" Presencial (Establecimiento). Digite CERO si no tiene.","")</f>
        <v/>
      </c>
      <c r="CB56" s="3789" t="str">
        <f t="shared" ref="CB56:CB60" si="22">IF(AND($B56&gt;0,$H56="")," * No olvide digitar la variable "&amp;$G$54&amp;""&amp;" Domiciliaria. Digite CERO si no tiene.","")</f>
        <v/>
      </c>
      <c r="CC56" s="3789" t="str">
        <f t="shared" ref="CC56:CC60" si="23">IF(AND($G56+$H56&gt;$B56)," * La variable "&amp;$G$54&amp;""&amp;" No puede ser mayor al Total.","")</f>
        <v/>
      </c>
      <c r="CM56" s="1886">
        <f t="shared" ref="CM56:CM60" si="24">IF(AND($B56&gt;0,$G56=""),1,0)</f>
        <v>0</v>
      </c>
      <c r="CN56" s="1886">
        <f t="shared" ref="CN56:CN60" si="25">IF(AND($B56&gt;0,$H56=""),1,0)</f>
        <v>0</v>
      </c>
      <c r="CO56" s="1886">
        <f t="shared" ref="CO56:CO60" si="26">IF(AND($G56+$H56&gt;$B56),1,0)</f>
        <v>0</v>
      </c>
    </row>
    <row r="57" spans="1:113">
      <c r="A57" s="4681" t="s">
        <v>3490</v>
      </c>
      <c r="B57" s="3520">
        <f t="shared" si="19"/>
        <v>0</v>
      </c>
      <c r="C57" s="2221"/>
      <c r="D57" s="2224"/>
      <c r="E57" s="4728"/>
      <c r="F57" s="2223"/>
      <c r="G57" s="2192"/>
      <c r="H57" s="2193"/>
      <c r="I57" t="str">
        <f t="shared" si="20"/>
        <v/>
      </c>
      <c r="CA57" s="3789" t="str">
        <f t="shared" si="21"/>
        <v/>
      </c>
      <c r="CB57" s="3789" t="str">
        <f t="shared" si="22"/>
        <v/>
      </c>
      <c r="CC57" s="3789" t="str">
        <f t="shared" si="23"/>
        <v/>
      </c>
      <c r="CM57" s="1886">
        <f t="shared" si="24"/>
        <v>0</v>
      </c>
      <c r="CN57" s="1886">
        <f t="shared" si="25"/>
        <v>0</v>
      </c>
      <c r="CO57" s="1886">
        <f t="shared" si="26"/>
        <v>0</v>
      </c>
    </row>
    <row r="58" spans="1:113">
      <c r="A58" s="4681" t="s">
        <v>3491</v>
      </c>
      <c r="B58" s="3520">
        <f t="shared" si="19"/>
        <v>0</v>
      </c>
      <c r="C58" s="2221"/>
      <c r="D58" s="2224"/>
      <c r="E58" s="4728"/>
      <c r="F58" s="2223"/>
      <c r="G58" s="2192"/>
      <c r="H58" s="2193"/>
      <c r="I58" t="str">
        <f t="shared" si="20"/>
        <v/>
      </c>
      <c r="CA58" s="3789" t="str">
        <f t="shared" si="21"/>
        <v/>
      </c>
      <c r="CB58" s="3789" t="str">
        <f t="shared" si="22"/>
        <v/>
      </c>
      <c r="CC58" s="3789" t="str">
        <f t="shared" si="23"/>
        <v/>
      </c>
      <c r="CM58" s="1886">
        <f t="shared" si="24"/>
        <v>0</v>
      </c>
      <c r="CN58" s="1886">
        <f t="shared" si="25"/>
        <v>0</v>
      </c>
      <c r="CO58" s="1886">
        <f t="shared" si="26"/>
        <v>0</v>
      </c>
    </row>
    <row r="59" spans="1:113">
      <c r="A59" s="4681" t="s">
        <v>3492</v>
      </c>
      <c r="B59" s="3520">
        <f t="shared" si="19"/>
        <v>0</v>
      </c>
      <c r="C59" s="2221"/>
      <c r="D59" s="2224"/>
      <c r="E59" s="4728"/>
      <c r="F59" s="2223"/>
      <c r="G59" s="2192"/>
      <c r="H59" s="2193"/>
      <c r="I59" t="str">
        <f t="shared" si="20"/>
        <v/>
      </c>
      <c r="CA59" s="3789" t="str">
        <f t="shared" si="21"/>
        <v/>
      </c>
      <c r="CB59" s="3789" t="str">
        <f t="shared" si="22"/>
        <v/>
      </c>
      <c r="CC59" s="3789" t="str">
        <f t="shared" si="23"/>
        <v/>
      </c>
      <c r="CM59" s="1886">
        <f t="shared" si="24"/>
        <v>0</v>
      </c>
      <c r="CN59" s="1886">
        <f t="shared" si="25"/>
        <v>0</v>
      </c>
      <c r="CO59" s="1886">
        <f t="shared" si="26"/>
        <v>0</v>
      </c>
    </row>
    <row r="60" spans="1:113">
      <c r="A60" s="4681" t="s">
        <v>525</v>
      </c>
      <c r="B60" s="3520">
        <f t="shared" si="19"/>
        <v>0</v>
      </c>
      <c r="C60" s="3234"/>
      <c r="D60" s="3236"/>
      <c r="E60" s="4729"/>
      <c r="F60" s="3283"/>
      <c r="G60" s="2195"/>
      <c r="H60" s="2196"/>
      <c r="I60" t="str">
        <f t="shared" si="20"/>
        <v/>
      </c>
      <c r="CA60" s="3789" t="str">
        <f t="shared" si="21"/>
        <v/>
      </c>
      <c r="CB60" s="3789" t="str">
        <f t="shared" si="22"/>
        <v/>
      </c>
      <c r="CC60" s="3789" t="str">
        <f t="shared" si="23"/>
        <v/>
      </c>
      <c r="CM60" s="1886">
        <f t="shared" si="24"/>
        <v>0</v>
      </c>
      <c r="CN60" s="1886">
        <f t="shared" si="25"/>
        <v>0</v>
      </c>
      <c r="CO60" s="1886">
        <f t="shared" si="26"/>
        <v>0</v>
      </c>
    </row>
    <row r="61" spans="1:113">
      <c r="A61" s="4730" t="s">
        <v>91</v>
      </c>
      <c r="B61" s="3091">
        <f t="shared" ref="B61:G61" si="27">SUM(B56:B60)</f>
        <v>0</v>
      </c>
      <c r="C61" s="1453">
        <f t="shared" si="27"/>
        <v>0</v>
      </c>
      <c r="D61" s="1847">
        <f t="shared" si="27"/>
        <v>0</v>
      </c>
      <c r="E61" s="1848">
        <f t="shared" si="27"/>
        <v>0</v>
      </c>
      <c r="F61" s="4731">
        <f t="shared" si="27"/>
        <v>0</v>
      </c>
      <c r="G61" s="4732">
        <f t="shared" si="27"/>
        <v>0</v>
      </c>
      <c r="H61" s="1453">
        <f>SUM(H56:H60)</f>
        <v>0</v>
      </c>
    </row>
    <row r="62" spans="1:113" ht="18" customHeight="1">
      <c r="A62" s="1468" t="s">
        <v>3493</v>
      </c>
      <c r="B62" s="1582"/>
      <c r="C62" s="1582"/>
      <c r="D62" s="2102"/>
      <c r="E62" s="2102"/>
      <c r="F62" s="2102"/>
      <c r="G62" s="2102"/>
      <c r="H62" s="2102"/>
      <c r="I62" s="2102"/>
      <c r="J62" s="2102"/>
      <c r="K62" s="2102"/>
      <c r="L62" s="1582"/>
      <c r="M62" s="1582"/>
      <c r="N62" s="1582"/>
      <c r="O62" s="1582"/>
      <c r="P62" s="1582"/>
      <c r="Q62" s="1582"/>
      <c r="R62" s="1582"/>
      <c r="S62" s="1582"/>
      <c r="T62" s="1582"/>
      <c r="U62" s="1582"/>
      <c r="V62" s="1582"/>
      <c r="W62" s="1582"/>
      <c r="X62" s="1582"/>
      <c r="Y62" s="1582"/>
      <c r="Z62" s="1582"/>
    </row>
    <row r="63" spans="1:113">
      <c r="A63" s="6298" t="s">
        <v>41</v>
      </c>
      <c r="B63" s="6119" t="s">
        <v>42</v>
      </c>
      <c r="C63" s="7176" t="s">
        <v>43</v>
      </c>
      <c r="D63" s="7176"/>
      <c r="E63" s="7176"/>
      <c r="F63" s="7176"/>
      <c r="G63" s="7176"/>
      <c r="H63" s="7176"/>
      <c r="I63" s="7176"/>
      <c r="J63" s="7176"/>
      <c r="K63" s="7176"/>
      <c r="L63" s="7176"/>
      <c r="M63" s="7176"/>
      <c r="N63" s="7176"/>
      <c r="O63" s="7176"/>
      <c r="P63" s="7176"/>
      <c r="Q63" s="7176"/>
      <c r="R63" s="7176"/>
      <c r="S63" s="7177"/>
      <c r="T63" s="5708" t="s">
        <v>3455</v>
      </c>
      <c r="U63" s="5708"/>
      <c r="V63" s="5708"/>
      <c r="W63" s="5709"/>
      <c r="X63" s="6397" t="s">
        <v>3494</v>
      </c>
      <c r="Y63" s="6398"/>
      <c r="Z63" s="6399"/>
    </row>
    <row r="64" spans="1:113" ht="31.5">
      <c r="A64" s="6300"/>
      <c r="B64" s="6116"/>
      <c r="C64" s="4733" t="s">
        <v>1390</v>
      </c>
      <c r="D64" s="4734" t="s">
        <v>1391</v>
      </c>
      <c r="E64" s="4734" t="s">
        <v>1454</v>
      </c>
      <c r="F64" s="4734" t="s">
        <v>3456</v>
      </c>
      <c r="G64" s="4734" t="s">
        <v>3457</v>
      </c>
      <c r="H64" s="4734" t="s">
        <v>3458</v>
      </c>
      <c r="I64" s="4734" t="s">
        <v>3459</v>
      </c>
      <c r="J64" s="4734" t="s">
        <v>1459</v>
      </c>
      <c r="K64" s="4734" t="s">
        <v>1460</v>
      </c>
      <c r="L64" s="4734" t="s">
        <v>3460</v>
      </c>
      <c r="M64" s="4734" t="s">
        <v>1462</v>
      </c>
      <c r="N64" s="4734" t="s">
        <v>1463</v>
      </c>
      <c r="O64" s="4734" t="s">
        <v>1464</v>
      </c>
      <c r="P64" s="4734" t="s">
        <v>1465</v>
      </c>
      <c r="Q64" s="4734" t="s">
        <v>1466</v>
      </c>
      <c r="R64" s="4734" t="s">
        <v>1467</v>
      </c>
      <c r="S64" s="4735" t="s">
        <v>71</v>
      </c>
      <c r="T64" s="1395" t="s">
        <v>3461</v>
      </c>
      <c r="U64" s="1396" t="s">
        <v>3442</v>
      </c>
      <c r="V64" s="1646" t="s">
        <v>3443</v>
      </c>
      <c r="W64" s="1646" t="s">
        <v>3444</v>
      </c>
      <c r="X64" s="2340" t="s">
        <v>3495</v>
      </c>
      <c r="Y64" s="1646" t="s">
        <v>3496</v>
      </c>
      <c r="Z64" s="393" t="s">
        <v>3488</v>
      </c>
    </row>
    <row r="65" spans="1:95">
      <c r="A65" s="4681" t="s">
        <v>3490</v>
      </c>
      <c r="B65" s="2356">
        <f t="shared" ref="B65:B68" si="28">SUM(C65:S65)</f>
        <v>0</v>
      </c>
      <c r="C65" s="2221"/>
      <c r="D65" s="4728"/>
      <c r="E65" s="4728"/>
      <c r="F65" s="4728"/>
      <c r="G65" s="4728"/>
      <c r="H65" s="4728"/>
      <c r="I65" s="4728"/>
      <c r="J65" s="4728"/>
      <c r="K65" s="4728"/>
      <c r="L65" s="4728"/>
      <c r="M65" s="4728"/>
      <c r="N65" s="4728"/>
      <c r="O65" s="4728"/>
      <c r="P65" s="4728"/>
      <c r="Q65" s="4728"/>
      <c r="R65" s="4728"/>
      <c r="S65" s="4736"/>
      <c r="T65" s="1796"/>
      <c r="U65" s="1541"/>
      <c r="V65" s="1541"/>
      <c r="W65" s="1545"/>
      <c r="X65" s="1480"/>
      <c r="Y65" s="1541"/>
      <c r="Z65" s="1545"/>
      <c r="AA65" s="3373" t="str">
        <f t="shared" ref="AA65:AA76" si="29">CA65&amp;CB65</f>
        <v/>
      </c>
      <c r="BF65" s="417"/>
      <c r="BG65" s="417"/>
      <c r="BH65" s="417"/>
      <c r="BI65" s="417"/>
      <c r="BJ65" s="417"/>
      <c r="BK65" s="417"/>
      <c r="BL65" s="417"/>
      <c r="BM65" s="417"/>
      <c r="BN65" s="417"/>
      <c r="BO65" s="417"/>
      <c r="BP65" s="417"/>
      <c r="BQ65" s="417"/>
      <c r="BR65" s="417"/>
      <c r="BS65" s="417"/>
      <c r="BT65" s="417"/>
      <c r="BU65" s="417"/>
      <c r="BV65" s="417"/>
      <c r="BW65" s="417"/>
      <c r="BX65" s="417"/>
      <c r="BY65" s="417"/>
      <c r="BZ65" s="417"/>
      <c r="CA65" s="418" t="str">
        <f t="shared" ref="CA65:CA68" si="30">IF(T65+U65+V65+W65&lt;&gt;$B65,"* La suma de "&amp;T$63&amp;""&amp;" no debe ser distinto del Total. ","")</f>
        <v/>
      </c>
      <c r="CB65" s="418" t="str">
        <f t="shared" ref="CB65:CB68" si="31">IF(X65+Y65+Z65&gt;$B65,"* La suma de "&amp;X$63&amp;""&amp;" no puede superar el Total. ","")</f>
        <v/>
      </c>
      <c r="CE65" s="417"/>
      <c r="CL65" s="417"/>
      <c r="CM65" s="419">
        <f t="shared" ref="CM65:CM76" si="32">IF(T65+U65+V65+W65&lt;&gt;$B65,1,0)</f>
        <v>0</v>
      </c>
      <c r="CN65" s="419">
        <f t="shared" ref="CN65:CN76" si="33">IF(X65+Y65+Z65&gt;$B65,1,0)</f>
        <v>0</v>
      </c>
      <c r="CO65"/>
      <c r="CP65"/>
      <c r="CQ65"/>
    </row>
    <row r="66" spans="1:95">
      <c r="A66" s="4681" t="s">
        <v>3491</v>
      </c>
      <c r="B66" s="2353">
        <f t="shared" si="28"/>
        <v>0</v>
      </c>
      <c r="C66" s="2221"/>
      <c r="D66" s="4728"/>
      <c r="E66" s="4728"/>
      <c r="F66" s="4728"/>
      <c r="G66" s="4728"/>
      <c r="H66" s="4728"/>
      <c r="I66" s="4728"/>
      <c r="J66" s="4728"/>
      <c r="K66" s="4728"/>
      <c r="L66" s="4728"/>
      <c r="M66" s="4728"/>
      <c r="N66" s="4728"/>
      <c r="O66" s="4728"/>
      <c r="P66" s="4728"/>
      <c r="Q66" s="4728"/>
      <c r="R66" s="4728"/>
      <c r="S66" s="4736"/>
      <c r="T66" s="1441"/>
      <c r="U66" s="1442"/>
      <c r="V66" s="1442"/>
      <c r="W66" s="1452"/>
      <c r="X66" s="1440"/>
      <c r="Y66" s="1442"/>
      <c r="Z66" s="1452"/>
      <c r="AA66" s="3373" t="str">
        <f t="shared" si="29"/>
        <v/>
      </c>
      <c r="BF66" s="417"/>
      <c r="BG66" s="417"/>
      <c r="BH66" s="417"/>
      <c r="BI66" s="417"/>
      <c r="BJ66" s="417"/>
      <c r="BK66" s="417"/>
      <c r="BL66" s="417"/>
      <c r="BM66" s="417"/>
      <c r="BN66" s="417"/>
      <c r="BO66" s="417"/>
      <c r="BP66" s="417"/>
      <c r="BQ66" s="417"/>
      <c r="BR66" s="417"/>
      <c r="BS66" s="417"/>
      <c r="BT66" s="417"/>
      <c r="BU66" s="417"/>
      <c r="BV66" s="417"/>
      <c r="BW66" s="417"/>
      <c r="BX66" s="417"/>
      <c r="BY66" s="417"/>
      <c r="BZ66" s="417"/>
      <c r="CA66" s="418" t="str">
        <f t="shared" si="30"/>
        <v/>
      </c>
      <c r="CB66" s="418" t="str">
        <f t="shared" si="31"/>
        <v/>
      </c>
      <c r="CE66" s="417"/>
      <c r="CL66" s="417"/>
      <c r="CM66" s="419">
        <f t="shared" si="32"/>
        <v>0</v>
      </c>
      <c r="CN66" s="419">
        <f t="shared" si="33"/>
        <v>0</v>
      </c>
      <c r="CO66"/>
      <c r="CP66"/>
      <c r="CQ66"/>
    </row>
    <row r="67" spans="1:95">
      <c r="A67" s="4681" t="s">
        <v>3492</v>
      </c>
      <c r="B67" s="2353">
        <f t="shared" si="28"/>
        <v>0</v>
      </c>
      <c r="C67" s="2221"/>
      <c r="D67" s="4728"/>
      <c r="E67" s="4728"/>
      <c r="F67" s="4728"/>
      <c r="G67" s="4728"/>
      <c r="H67" s="4728"/>
      <c r="I67" s="4728"/>
      <c r="J67" s="4728"/>
      <c r="K67" s="4728"/>
      <c r="L67" s="4728"/>
      <c r="M67" s="4728"/>
      <c r="N67" s="4728"/>
      <c r="O67" s="4728"/>
      <c r="P67" s="4728"/>
      <c r="Q67" s="4728"/>
      <c r="R67" s="4728"/>
      <c r="S67" s="4736"/>
      <c r="T67" s="1441"/>
      <c r="U67" s="1442"/>
      <c r="V67" s="1442"/>
      <c r="W67" s="1452"/>
      <c r="X67" s="1440"/>
      <c r="Y67" s="1442"/>
      <c r="Z67" s="1452"/>
      <c r="AA67" s="3373" t="str">
        <f t="shared" si="29"/>
        <v/>
      </c>
      <c r="BF67" s="417"/>
      <c r="BG67" s="417"/>
      <c r="BH67" s="417"/>
      <c r="BI67" s="417"/>
      <c r="BJ67" s="417"/>
      <c r="BK67" s="417"/>
      <c r="BL67" s="417"/>
      <c r="BM67" s="417"/>
      <c r="BN67" s="417"/>
      <c r="BO67" s="417"/>
      <c r="BP67" s="417"/>
      <c r="BQ67" s="417"/>
      <c r="BR67" s="417"/>
      <c r="BS67" s="417"/>
      <c r="BT67" s="417"/>
      <c r="BU67" s="417"/>
      <c r="BV67" s="417"/>
      <c r="BW67" s="417"/>
      <c r="BX67" s="417"/>
      <c r="BY67" s="417"/>
      <c r="BZ67" s="417"/>
      <c r="CA67" s="418" t="str">
        <f t="shared" si="30"/>
        <v/>
      </c>
      <c r="CB67" s="418" t="str">
        <f t="shared" si="31"/>
        <v/>
      </c>
      <c r="CE67" s="417"/>
      <c r="CL67" s="417"/>
      <c r="CM67" s="419">
        <f t="shared" si="32"/>
        <v>0</v>
      </c>
      <c r="CN67" s="419">
        <f t="shared" si="33"/>
        <v>0</v>
      </c>
    </row>
    <row r="68" spans="1:95">
      <c r="A68" s="4681" t="s">
        <v>525</v>
      </c>
      <c r="B68" s="2360">
        <f t="shared" si="28"/>
        <v>0</v>
      </c>
      <c r="C68" s="2221"/>
      <c r="D68" s="4728"/>
      <c r="E68" s="4728"/>
      <c r="F68" s="4728"/>
      <c r="G68" s="4728"/>
      <c r="H68" s="4728"/>
      <c r="I68" s="4728"/>
      <c r="J68" s="4728"/>
      <c r="K68" s="4728"/>
      <c r="L68" s="4728"/>
      <c r="M68" s="4728"/>
      <c r="N68" s="4728"/>
      <c r="O68" s="4728"/>
      <c r="P68" s="4728"/>
      <c r="Q68" s="4728"/>
      <c r="R68" s="4728"/>
      <c r="S68" s="4736"/>
      <c r="T68" s="1456"/>
      <c r="U68" s="1457"/>
      <c r="V68" s="1457"/>
      <c r="W68" s="1467"/>
      <c r="X68" s="1455"/>
      <c r="Y68" s="1457"/>
      <c r="Z68" s="1467"/>
      <c r="AA68" s="3373" t="str">
        <f t="shared" si="29"/>
        <v/>
      </c>
      <c r="BF68" s="417"/>
      <c r="BG68" s="417"/>
      <c r="BH68" s="417"/>
      <c r="BI68" s="417"/>
      <c r="BJ68" s="417"/>
      <c r="BK68" s="417"/>
      <c r="BL68" s="417"/>
      <c r="BM68" s="417"/>
      <c r="BN68" s="417"/>
      <c r="BO68" s="417"/>
      <c r="BP68" s="417"/>
      <c r="BQ68" s="417"/>
      <c r="BR68" s="417"/>
      <c r="BS68" s="417"/>
      <c r="BT68" s="417"/>
      <c r="BU68" s="417"/>
      <c r="BV68" s="417"/>
      <c r="BW68" s="417"/>
      <c r="BX68" s="417"/>
      <c r="BY68" s="417"/>
      <c r="BZ68" s="417"/>
      <c r="CA68" s="418" t="str">
        <f t="shared" si="30"/>
        <v/>
      </c>
      <c r="CB68" s="418" t="str">
        <f t="shared" si="31"/>
        <v/>
      </c>
      <c r="CE68" s="417"/>
      <c r="CL68" s="417"/>
      <c r="CM68" s="419">
        <f t="shared" si="32"/>
        <v>0</v>
      </c>
      <c r="CN68" s="419">
        <f t="shared" si="33"/>
        <v>0</v>
      </c>
    </row>
    <row r="69" spans="1:95">
      <c r="A69" s="4730" t="s">
        <v>91</v>
      </c>
      <c r="B69" s="2541">
        <f>SUM(B65:B68)</f>
        <v>0</v>
      </c>
      <c r="C69" s="2157">
        <f>SUM(C65:C68)</f>
        <v>0</v>
      </c>
      <c r="D69" s="2160">
        <f t="shared" ref="D69:Z77" si="34">SUM(D65:D68)</f>
        <v>0</v>
      </c>
      <c r="E69" s="2160">
        <f t="shared" si="34"/>
        <v>0</v>
      </c>
      <c r="F69" s="2160">
        <f t="shared" si="34"/>
        <v>0</v>
      </c>
      <c r="G69" s="2160">
        <f t="shared" si="34"/>
        <v>0</v>
      </c>
      <c r="H69" s="2160">
        <f t="shared" si="34"/>
        <v>0</v>
      </c>
      <c r="I69" s="2160">
        <f t="shared" si="34"/>
        <v>0</v>
      </c>
      <c r="J69" s="2160">
        <f t="shared" si="34"/>
        <v>0</v>
      </c>
      <c r="K69" s="2160">
        <f t="shared" si="34"/>
        <v>0</v>
      </c>
      <c r="L69" s="2160">
        <f t="shared" si="34"/>
        <v>0</v>
      </c>
      <c r="M69" s="2160">
        <f t="shared" si="34"/>
        <v>0</v>
      </c>
      <c r="N69" s="2160">
        <f t="shared" si="34"/>
        <v>0</v>
      </c>
      <c r="O69" s="2160">
        <f t="shared" si="34"/>
        <v>0</v>
      </c>
      <c r="P69" s="2160">
        <f t="shared" si="34"/>
        <v>0</v>
      </c>
      <c r="Q69" s="2160">
        <f t="shared" si="34"/>
        <v>0</v>
      </c>
      <c r="R69" s="2160">
        <f t="shared" si="34"/>
        <v>0</v>
      </c>
      <c r="S69" s="4737">
        <f t="shared" si="34"/>
        <v>0</v>
      </c>
      <c r="T69" s="4738">
        <f t="shared" si="34"/>
        <v>0</v>
      </c>
      <c r="U69" s="2160">
        <f t="shared" si="34"/>
        <v>0</v>
      </c>
      <c r="V69" s="2160">
        <f t="shared" si="34"/>
        <v>0</v>
      </c>
      <c r="W69" s="2158">
        <f t="shared" si="34"/>
        <v>0</v>
      </c>
      <c r="X69" s="2157">
        <f t="shared" si="34"/>
        <v>0</v>
      </c>
      <c r="Y69" s="2160">
        <f t="shared" si="34"/>
        <v>0</v>
      </c>
      <c r="Z69" s="2158">
        <f t="shared" si="34"/>
        <v>0</v>
      </c>
    </row>
    <row r="70" spans="1:95" ht="18" customHeight="1">
      <c r="A70" s="1468" t="s">
        <v>3497</v>
      </c>
      <c r="B70" s="1582"/>
      <c r="C70" s="1582"/>
      <c r="D70" s="1582"/>
      <c r="E70" s="1582"/>
      <c r="F70" s="1582"/>
      <c r="G70" s="1582"/>
      <c r="H70" s="1582"/>
      <c r="I70" s="1582"/>
      <c r="J70" s="1582"/>
      <c r="K70" s="1582"/>
      <c r="L70" s="1582"/>
      <c r="M70" s="1582"/>
      <c r="N70" s="1582"/>
      <c r="O70" s="1582"/>
      <c r="P70" s="1582"/>
      <c r="Q70" s="1582"/>
      <c r="R70" s="1582"/>
      <c r="S70" s="1582"/>
      <c r="T70" s="1582"/>
      <c r="U70" s="1582"/>
      <c r="V70" s="1582"/>
      <c r="W70" s="1582"/>
      <c r="X70" s="1582"/>
      <c r="Y70" s="1582"/>
      <c r="Z70" s="1582"/>
    </row>
    <row r="71" spans="1:95">
      <c r="A71" s="6298" t="s">
        <v>41</v>
      </c>
      <c r="B71" s="5718" t="s">
        <v>42</v>
      </c>
      <c r="C71" s="7176" t="s">
        <v>43</v>
      </c>
      <c r="D71" s="7176"/>
      <c r="E71" s="7176"/>
      <c r="F71" s="7176"/>
      <c r="G71" s="7176"/>
      <c r="H71" s="7176"/>
      <c r="I71" s="7176"/>
      <c r="J71" s="7176"/>
      <c r="K71" s="7176"/>
      <c r="L71" s="7176"/>
      <c r="M71" s="7176"/>
      <c r="N71" s="7176"/>
      <c r="O71" s="7176"/>
      <c r="P71" s="7176"/>
      <c r="Q71" s="7176"/>
      <c r="R71" s="7176"/>
      <c r="S71" s="7177"/>
      <c r="T71" s="5707" t="s">
        <v>3455</v>
      </c>
      <c r="U71" s="5708"/>
      <c r="V71" s="5708"/>
      <c r="W71" s="5709"/>
      <c r="X71" s="6397" t="s">
        <v>3494</v>
      </c>
      <c r="Y71" s="6398"/>
      <c r="Z71" s="6399"/>
    </row>
    <row r="72" spans="1:95" ht="31.5">
      <c r="A72" s="6300"/>
      <c r="B72" s="5719"/>
      <c r="C72" s="4733" t="s">
        <v>1390</v>
      </c>
      <c r="D72" s="4734" t="s">
        <v>1391</v>
      </c>
      <c r="E72" s="4734" t="s">
        <v>1454</v>
      </c>
      <c r="F72" s="4734" t="s">
        <v>3456</v>
      </c>
      <c r="G72" s="4734" t="s">
        <v>3457</v>
      </c>
      <c r="H72" s="4734" t="s">
        <v>3458</v>
      </c>
      <c r="I72" s="4734" t="s">
        <v>3459</v>
      </c>
      <c r="J72" s="4734" t="s">
        <v>1459</v>
      </c>
      <c r="K72" s="4734" t="s">
        <v>1460</v>
      </c>
      <c r="L72" s="4734" t="s">
        <v>3460</v>
      </c>
      <c r="M72" s="4734" t="s">
        <v>1462</v>
      </c>
      <c r="N72" s="4734" t="s">
        <v>1463</v>
      </c>
      <c r="O72" s="4734" t="s">
        <v>1464</v>
      </c>
      <c r="P72" s="4734" t="s">
        <v>1465</v>
      </c>
      <c r="Q72" s="4734" t="s">
        <v>1466</v>
      </c>
      <c r="R72" s="4734" t="s">
        <v>1467</v>
      </c>
      <c r="S72" s="4735" t="s">
        <v>71</v>
      </c>
      <c r="T72" s="1395" t="s">
        <v>3461</v>
      </c>
      <c r="U72" s="1396" t="s">
        <v>3442</v>
      </c>
      <c r="V72" s="1646" t="s">
        <v>3443</v>
      </c>
      <c r="W72" s="1646" t="s">
        <v>3444</v>
      </c>
      <c r="X72" s="2340" t="s">
        <v>3495</v>
      </c>
      <c r="Y72" s="1646" t="s">
        <v>3496</v>
      </c>
      <c r="Z72" s="393" t="s">
        <v>3488</v>
      </c>
    </row>
    <row r="73" spans="1:95">
      <c r="A73" s="4681" t="s">
        <v>3490</v>
      </c>
      <c r="B73" s="2356">
        <f t="shared" ref="B73:B76" si="35">SUM(C73:S73)</f>
        <v>0</v>
      </c>
      <c r="C73" s="2221"/>
      <c r="D73" s="4728"/>
      <c r="E73" s="4728"/>
      <c r="F73" s="4728"/>
      <c r="G73" s="4728"/>
      <c r="H73" s="4728"/>
      <c r="I73" s="4728"/>
      <c r="J73" s="4728"/>
      <c r="K73" s="4728"/>
      <c r="L73" s="4728"/>
      <c r="M73" s="4728"/>
      <c r="N73" s="4728"/>
      <c r="O73" s="4728"/>
      <c r="P73" s="4728"/>
      <c r="Q73" s="4728"/>
      <c r="R73" s="4728"/>
      <c r="S73" s="4736"/>
      <c r="T73" s="1480"/>
      <c r="U73" s="1796"/>
      <c r="V73" s="1541"/>
      <c r="W73" s="1541"/>
      <c r="X73" s="1480"/>
      <c r="Y73" s="1541"/>
      <c r="Z73" s="1545"/>
      <c r="AA73" s="3373" t="str">
        <f t="shared" si="29"/>
        <v/>
      </c>
      <c r="BF73" s="417"/>
      <c r="BG73" s="417"/>
      <c r="BH73" s="417"/>
      <c r="BI73" s="417"/>
      <c r="BJ73" s="417"/>
      <c r="BK73" s="417"/>
      <c r="BL73" s="417"/>
      <c r="BM73" s="417"/>
      <c r="BN73" s="417"/>
      <c r="BO73" s="417"/>
      <c r="BP73" s="417"/>
      <c r="BQ73" s="417"/>
      <c r="BR73" s="417"/>
      <c r="BS73" s="417"/>
      <c r="BT73" s="417"/>
      <c r="BU73" s="417"/>
      <c r="BV73" s="417"/>
      <c r="BW73" s="417"/>
      <c r="BX73" s="417"/>
      <c r="BY73" s="417"/>
      <c r="BZ73" s="417"/>
      <c r="CA73" s="418" t="str">
        <f t="shared" ref="CA73:CA76" si="36">IF(T73+U73+V73+W73&lt;&gt;$B73,"* La suma de "&amp;T$71&amp;""&amp;" no debe ser distinto del Total. ","")</f>
        <v/>
      </c>
      <c r="CB73" s="418" t="str">
        <f t="shared" ref="CB73:CB76" si="37">IF(X73+Y73+Z73&gt;$B73,"* La suma de "&amp;X$71&amp;""&amp;" no puede superar el Total. ","")</f>
        <v/>
      </c>
      <c r="CE73" s="417"/>
      <c r="CL73" s="417"/>
      <c r="CM73" s="419">
        <f t="shared" si="32"/>
        <v>0</v>
      </c>
      <c r="CN73" s="419">
        <f t="shared" si="33"/>
        <v>0</v>
      </c>
    </row>
    <row r="74" spans="1:95">
      <c r="A74" s="4681" t="s">
        <v>3491</v>
      </c>
      <c r="B74" s="2353">
        <f t="shared" si="35"/>
        <v>0</v>
      </c>
      <c r="C74" s="2221"/>
      <c r="D74" s="4728"/>
      <c r="E74" s="4728"/>
      <c r="F74" s="4728"/>
      <c r="G74" s="4728"/>
      <c r="H74" s="4728"/>
      <c r="I74" s="4728"/>
      <c r="J74" s="4728"/>
      <c r="K74" s="4728"/>
      <c r="L74" s="4728"/>
      <c r="M74" s="4728"/>
      <c r="N74" s="4728"/>
      <c r="O74" s="4728"/>
      <c r="P74" s="4728"/>
      <c r="Q74" s="4728"/>
      <c r="R74" s="4728"/>
      <c r="S74" s="4736"/>
      <c r="T74" s="1440"/>
      <c r="U74" s="1441"/>
      <c r="V74" s="1442"/>
      <c r="W74" s="1442"/>
      <c r="X74" s="1440"/>
      <c r="Y74" s="1442"/>
      <c r="Z74" s="1452"/>
      <c r="AA74" s="3373" t="str">
        <f t="shared" si="29"/>
        <v/>
      </c>
      <c r="BF74" s="417"/>
      <c r="BG74" s="417"/>
      <c r="BH74" s="417"/>
      <c r="BI74" s="417"/>
      <c r="BJ74" s="417"/>
      <c r="BK74" s="417"/>
      <c r="BL74" s="417"/>
      <c r="BM74" s="417"/>
      <c r="BN74" s="417"/>
      <c r="BO74" s="417"/>
      <c r="BP74" s="417"/>
      <c r="BQ74" s="417"/>
      <c r="BR74" s="417"/>
      <c r="BS74" s="417"/>
      <c r="BT74" s="417"/>
      <c r="BU74" s="417"/>
      <c r="BV74" s="417"/>
      <c r="BW74" s="417"/>
      <c r="BX74" s="417"/>
      <c r="BY74" s="417"/>
      <c r="BZ74" s="417"/>
      <c r="CA74" s="418" t="str">
        <f t="shared" si="36"/>
        <v/>
      </c>
      <c r="CB74" s="418" t="str">
        <f t="shared" si="37"/>
        <v/>
      </c>
      <c r="CE74" s="417"/>
      <c r="CL74" s="417"/>
      <c r="CM74" s="419">
        <f t="shared" si="32"/>
        <v>0</v>
      </c>
      <c r="CN74" s="419">
        <f t="shared" si="33"/>
        <v>0</v>
      </c>
    </row>
    <row r="75" spans="1:95">
      <c r="A75" s="4681" t="s">
        <v>3492</v>
      </c>
      <c r="B75" s="2353">
        <f t="shared" si="35"/>
        <v>0</v>
      </c>
      <c r="C75" s="2221"/>
      <c r="D75" s="4728"/>
      <c r="E75" s="4728"/>
      <c r="F75" s="4728"/>
      <c r="G75" s="4728"/>
      <c r="H75" s="4728"/>
      <c r="I75" s="4728"/>
      <c r="J75" s="4728"/>
      <c r="K75" s="4728"/>
      <c r="L75" s="4728"/>
      <c r="M75" s="4728"/>
      <c r="N75" s="4728"/>
      <c r="O75" s="4728"/>
      <c r="P75" s="4728"/>
      <c r="Q75" s="4728"/>
      <c r="R75" s="4728"/>
      <c r="S75" s="4736"/>
      <c r="T75" s="1440"/>
      <c r="U75" s="1441"/>
      <c r="V75" s="1442"/>
      <c r="W75" s="1442"/>
      <c r="X75" s="1440"/>
      <c r="Y75" s="1442"/>
      <c r="Z75" s="1452"/>
      <c r="AA75" s="3373" t="str">
        <f t="shared" si="29"/>
        <v/>
      </c>
      <c r="BF75" s="417"/>
      <c r="BG75" s="417"/>
      <c r="BH75" s="417"/>
      <c r="BI75" s="417"/>
      <c r="BJ75" s="417"/>
      <c r="BK75" s="417"/>
      <c r="BL75" s="417"/>
      <c r="BM75" s="417"/>
      <c r="BN75" s="417"/>
      <c r="BO75" s="417"/>
      <c r="BP75" s="417"/>
      <c r="BQ75" s="417"/>
      <c r="BR75" s="417"/>
      <c r="BS75" s="417"/>
      <c r="BT75" s="417"/>
      <c r="BU75" s="417"/>
      <c r="BV75" s="417"/>
      <c r="BW75" s="417"/>
      <c r="BX75" s="417"/>
      <c r="BY75" s="417"/>
      <c r="BZ75" s="417"/>
      <c r="CA75" s="418" t="str">
        <f t="shared" si="36"/>
        <v/>
      </c>
      <c r="CB75" s="418" t="str">
        <f t="shared" si="37"/>
        <v/>
      </c>
      <c r="CE75" s="417"/>
      <c r="CL75" s="417"/>
      <c r="CM75" s="419">
        <f t="shared" si="32"/>
        <v>0</v>
      </c>
      <c r="CN75" s="419">
        <f t="shared" si="33"/>
        <v>0</v>
      </c>
    </row>
    <row r="76" spans="1:95">
      <c r="A76" s="4681" t="s">
        <v>525</v>
      </c>
      <c r="B76" s="2360">
        <f t="shared" si="35"/>
        <v>0</v>
      </c>
      <c r="C76" s="2221"/>
      <c r="D76" s="4728"/>
      <c r="E76" s="4728"/>
      <c r="F76" s="4728"/>
      <c r="G76" s="4728"/>
      <c r="H76" s="4728"/>
      <c r="I76" s="4728"/>
      <c r="J76" s="4728"/>
      <c r="K76" s="4728"/>
      <c r="L76" s="4728"/>
      <c r="M76" s="4728"/>
      <c r="N76" s="4728"/>
      <c r="O76" s="4728"/>
      <c r="P76" s="4728"/>
      <c r="Q76" s="4728"/>
      <c r="R76" s="4728"/>
      <c r="S76" s="4736"/>
      <c r="T76" s="1455"/>
      <c r="U76" s="1456"/>
      <c r="V76" s="1457"/>
      <c r="W76" s="1457"/>
      <c r="X76" s="1455"/>
      <c r="Y76" s="1457"/>
      <c r="Z76" s="1467"/>
      <c r="AA76" s="3373" t="str">
        <f t="shared" si="29"/>
        <v/>
      </c>
      <c r="BF76" s="417"/>
      <c r="BG76" s="417"/>
      <c r="BH76" s="417"/>
      <c r="BI76" s="417"/>
      <c r="BJ76" s="417"/>
      <c r="BK76" s="417"/>
      <c r="BL76" s="417"/>
      <c r="BM76" s="417"/>
      <c r="BN76" s="417"/>
      <c r="BO76" s="417"/>
      <c r="BP76" s="417"/>
      <c r="BQ76" s="417"/>
      <c r="BR76" s="417"/>
      <c r="BS76" s="417"/>
      <c r="BT76" s="417"/>
      <c r="BU76" s="417"/>
      <c r="BV76" s="417"/>
      <c r="BW76" s="417"/>
      <c r="BX76" s="417"/>
      <c r="BY76" s="417"/>
      <c r="BZ76" s="417"/>
      <c r="CA76" s="418" t="str">
        <f t="shared" si="36"/>
        <v/>
      </c>
      <c r="CB76" s="418" t="str">
        <f t="shared" si="37"/>
        <v/>
      </c>
      <c r="CE76" s="417"/>
      <c r="CL76" s="417"/>
      <c r="CM76" s="419">
        <f t="shared" si="32"/>
        <v>0</v>
      </c>
      <c r="CN76" s="419">
        <f t="shared" si="33"/>
        <v>0</v>
      </c>
    </row>
    <row r="77" spans="1:95">
      <c r="A77" s="4730" t="s">
        <v>91</v>
      </c>
      <c r="B77" s="2541">
        <f>SUM(B73:B76)</f>
        <v>0</v>
      </c>
      <c r="C77" s="2157">
        <f>SUM(C73:C76)</f>
        <v>0</v>
      </c>
      <c r="D77" s="2160">
        <f t="shared" si="34"/>
        <v>0</v>
      </c>
      <c r="E77" s="2160">
        <f t="shared" si="34"/>
        <v>0</v>
      </c>
      <c r="F77" s="2160">
        <f t="shared" si="34"/>
        <v>0</v>
      </c>
      <c r="G77" s="2160">
        <f t="shared" si="34"/>
        <v>0</v>
      </c>
      <c r="H77" s="2160">
        <f t="shared" si="34"/>
        <v>0</v>
      </c>
      <c r="I77" s="2160">
        <f t="shared" si="34"/>
        <v>0</v>
      </c>
      <c r="J77" s="2160">
        <f t="shared" si="34"/>
        <v>0</v>
      </c>
      <c r="K77" s="2160">
        <f t="shared" si="34"/>
        <v>0</v>
      </c>
      <c r="L77" s="2160">
        <f t="shared" si="34"/>
        <v>0</v>
      </c>
      <c r="M77" s="2160">
        <f t="shared" si="34"/>
        <v>0</v>
      </c>
      <c r="N77" s="2160">
        <f t="shared" si="34"/>
        <v>0</v>
      </c>
      <c r="O77" s="2160">
        <f t="shared" si="34"/>
        <v>0</v>
      </c>
      <c r="P77" s="2160">
        <f t="shared" si="34"/>
        <v>0</v>
      </c>
      <c r="Q77" s="2160">
        <f t="shared" si="34"/>
        <v>0</v>
      </c>
      <c r="R77" s="2160">
        <f t="shared" si="34"/>
        <v>0</v>
      </c>
      <c r="S77" s="4737">
        <f>SUM(S73:S76)</f>
        <v>0</v>
      </c>
      <c r="T77" s="4739">
        <f>SUM(T73:T76)</f>
        <v>0</v>
      </c>
      <c r="U77" s="4740">
        <f t="shared" ref="U77:Z77" si="38">SUM(U73:U76)</f>
        <v>0</v>
      </c>
      <c r="V77" s="4740">
        <f t="shared" si="38"/>
        <v>0</v>
      </c>
      <c r="W77" s="4741">
        <f t="shared" si="38"/>
        <v>0</v>
      </c>
      <c r="X77" s="2479">
        <f t="shared" si="38"/>
        <v>0</v>
      </c>
      <c r="Y77" s="4740">
        <f t="shared" si="38"/>
        <v>0</v>
      </c>
      <c r="Z77" s="4742">
        <f t="shared" si="38"/>
        <v>0</v>
      </c>
    </row>
    <row r="78" spans="1:95" ht="18" customHeight="1">
      <c r="A78" s="2101" t="s">
        <v>3498</v>
      </c>
      <c r="B78" s="4743"/>
      <c r="C78" s="1582"/>
      <c r="D78" s="1493"/>
      <c r="E78" s="1582"/>
    </row>
    <row r="79" spans="1:95" ht="26.25" customHeight="1">
      <c r="A79" s="400" t="s">
        <v>296</v>
      </c>
      <c r="B79" s="1395" t="s">
        <v>3461</v>
      </c>
      <c r="C79" s="1396" t="s">
        <v>3442</v>
      </c>
      <c r="D79" s="1646" t="s">
        <v>3443</v>
      </c>
      <c r="E79" s="1584" t="s">
        <v>3444</v>
      </c>
    </row>
    <row r="80" spans="1:95" ht="15" customHeight="1">
      <c r="A80" s="4548" t="s">
        <v>3499</v>
      </c>
      <c r="B80" s="1480"/>
      <c r="C80" s="1796"/>
      <c r="D80" s="1541"/>
      <c r="E80" s="1769"/>
    </row>
    <row r="81" spans="1:5" ht="15" customHeight="1">
      <c r="A81" s="4548" t="s">
        <v>3500</v>
      </c>
      <c r="B81" s="1440"/>
      <c r="C81" s="1441"/>
      <c r="D81" s="1442"/>
      <c r="E81" s="1680"/>
    </row>
    <row r="82" spans="1:5" ht="15" customHeight="1">
      <c r="A82" s="4548" t="s">
        <v>3501</v>
      </c>
      <c r="B82" s="1440"/>
      <c r="C82" s="1441"/>
      <c r="D82" s="1442"/>
      <c r="E82" s="1680"/>
    </row>
    <row r="83" spans="1:5" ht="21.75" customHeight="1">
      <c r="A83" s="2237" t="s">
        <v>3502</v>
      </c>
      <c r="B83" s="1440"/>
      <c r="C83" s="1441"/>
      <c r="D83" s="1442"/>
      <c r="E83" s="1680"/>
    </row>
    <row r="84" spans="1:5" ht="15" customHeight="1">
      <c r="A84" s="4548" t="s">
        <v>3503</v>
      </c>
      <c r="B84" s="1485"/>
      <c r="C84" s="1881"/>
      <c r="D84" s="1712"/>
      <c r="E84" s="1824"/>
    </row>
    <row r="85" spans="1:5" ht="15" customHeight="1">
      <c r="A85" s="4548" t="s">
        <v>3504</v>
      </c>
      <c r="B85" s="1485"/>
      <c r="C85" s="1441"/>
      <c r="D85" s="1712"/>
      <c r="E85" s="1824"/>
    </row>
    <row r="86" spans="1:5" ht="15" customHeight="1">
      <c r="A86" s="4548" t="s">
        <v>3505</v>
      </c>
      <c r="B86" s="1485"/>
      <c r="C86" s="1441"/>
      <c r="D86" s="1712"/>
      <c r="E86" s="1824"/>
    </row>
    <row r="87" spans="1:5" ht="15" customHeight="1">
      <c r="A87" s="4548" t="s">
        <v>3506</v>
      </c>
      <c r="B87" s="1485"/>
      <c r="C87" s="1441"/>
      <c r="D87" s="1712"/>
      <c r="E87" s="1824"/>
    </row>
    <row r="88" spans="1:5" ht="15" customHeight="1">
      <c r="A88" s="4548" t="s">
        <v>3507</v>
      </c>
      <c r="B88" s="1485"/>
      <c r="C88" s="1441"/>
      <c r="D88" s="1712"/>
      <c r="E88" s="1824"/>
    </row>
    <row r="89" spans="1:5" ht="15" customHeight="1">
      <c r="A89" s="4744" t="s">
        <v>3508</v>
      </c>
      <c r="B89" s="1485"/>
      <c r="C89" s="1441"/>
      <c r="D89" s="1712"/>
      <c r="E89" s="1824"/>
    </row>
    <row r="90" spans="1:5" ht="15" customHeight="1">
      <c r="A90" s="4548" t="s">
        <v>3509</v>
      </c>
      <c r="B90" s="1485"/>
      <c r="C90" s="1441"/>
      <c r="D90" s="1712"/>
      <c r="E90" s="1824"/>
    </row>
    <row r="91" spans="1:5" ht="15" customHeight="1">
      <c r="A91" s="4548" t="s">
        <v>3510</v>
      </c>
      <c r="B91" s="1485"/>
      <c r="C91" s="1441"/>
      <c r="D91" s="1712"/>
      <c r="E91" s="1824"/>
    </row>
    <row r="92" spans="1:5" ht="15" customHeight="1">
      <c r="A92" s="2237" t="s">
        <v>3511</v>
      </c>
      <c r="B92" s="1485"/>
      <c r="C92" s="1441"/>
      <c r="D92" s="1712"/>
      <c r="E92" s="1824"/>
    </row>
    <row r="93" spans="1:5" ht="15" customHeight="1">
      <c r="A93" s="4745" t="s">
        <v>3512</v>
      </c>
      <c r="B93" s="1485"/>
      <c r="C93" s="1441"/>
      <c r="D93" s="1712"/>
      <c r="E93" s="1824"/>
    </row>
    <row r="94" spans="1:5" ht="15" customHeight="1">
      <c r="A94" s="4746" t="s">
        <v>3513</v>
      </c>
      <c r="B94" s="1485"/>
      <c r="C94" s="1441"/>
      <c r="D94" s="1712"/>
      <c r="E94" s="1824"/>
    </row>
    <row r="95" spans="1:5" ht="15" customHeight="1">
      <c r="A95" s="4548" t="s">
        <v>3514</v>
      </c>
      <c r="B95" s="1485"/>
      <c r="C95" s="1441"/>
      <c r="D95" s="1712"/>
      <c r="E95" s="1824"/>
    </row>
    <row r="96" spans="1:5" ht="15" customHeight="1">
      <c r="A96" s="4548" t="s">
        <v>3515</v>
      </c>
      <c r="B96" s="1485"/>
      <c r="C96" s="1441"/>
      <c r="D96" s="1712"/>
      <c r="E96" s="1824"/>
    </row>
    <row r="97" spans="1:5" ht="15" customHeight="1">
      <c r="A97" s="400" t="s">
        <v>91</v>
      </c>
      <c r="B97" s="2479">
        <f>SUM(B80:B96)</f>
        <v>0</v>
      </c>
      <c r="C97" s="4741">
        <f>SUM(C80:C96)</f>
        <v>0</v>
      </c>
      <c r="D97" s="4740">
        <f>SUM(D80:D96)</f>
        <v>0</v>
      </c>
      <c r="E97" s="4747">
        <f>SUM(E80:E96)</f>
        <v>0</v>
      </c>
    </row>
    <row r="98" spans="1:5" ht="18" customHeight="1">
      <c r="A98" s="2162" t="s">
        <v>3516</v>
      </c>
      <c r="B98" s="1582"/>
      <c r="C98" s="1582"/>
      <c r="D98" s="1582"/>
      <c r="E98" s="1582"/>
    </row>
    <row r="99" spans="1:5" ht="25.5" customHeight="1">
      <c r="A99" s="3701" t="s">
        <v>41</v>
      </c>
      <c r="B99" s="1646" t="s">
        <v>3461</v>
      </c>
      <c r="C99" s="1396" t="s">
        <v>3442</v>
      </c>
      <c r="D99" s="1646" t="s">
        <v>3443</v>
      </c>
      <c r="E99" s="1584" t="s">
        <v>3444</v>
      </c>
    </row>
    <row r="100" spans="1:5">
      <c r="A100" s="4681" t="s">
        <v>1471</v>
      </c>
      <c r="B100" s="1442"/>
      <c r="C100" s="1441"/>
      <c r="D100" s="1442"/>
      <c r="E100" s="1680"/>
    </row>
    <row r="101" spans="1:5">
      <c r="A101" s="4681" t="s">
        <v>1068</v>
      </c>
      <c r="B101" s="1442"/>
      <c r="C101" s="1441"/>
      <c r="D101" s="1442"/>
      <c r="E101" s="1680"/>
    </row>
    <row r="102" spans="1:5">
      <c r="A102" s="4681" t="s">
        <v>526</v>
      </c>
      <c r="B102" s="1442"/>
      <c r="C102" s="1441"/>
      <c r="D102" s="1442"/>
      <c r="E102" s="1680"/>
    </row>
    <row r="103" spans="1:5">
      <c r="A103" s="4681" t="s">
        <v>1065</v>
      </c>
      <c r="B103" s="1442"/>
      <c r="C103" s="1441"/>
      <c r="D103" s="1442"/>
      <c r="E103" s="1680"/>
    </row>
    <row r="104" spans="1:5">
      <c r="A104" s="4748" t="s">
        <v>2148</v>
      </c>
      <c r="B104" s="1457"/>
      <c r="C104" s="1456"/>
      <c r="D104" s="1457"/>
      <c r="E104" s="1684"/>
    </row>
    <row r="105" spans="1:5">
      <c r="A105" s="4749" t="s">
        <v>91</v>
      </c>
      <c r="B105" s="4741">
        <f>SUM(B100:B104)</f>
        <v>0</v>
      </c>
      <c r="C105" s="4741">
        <f>SUM(C100:C104)</f>
        <v>0</v>
      </c>
      <c r="D105" s="4740">
        <f>SUM(D100:D104)</f>
        <v>0</v>
      </c>
      <c r="E105" s="4747">
        <f>SUM(E100:E104)</f>
        <v>0</v>
      </c>
    </row>
    <row r="106" spans="1:5" ht="18" customHeight="1">
      <c r="A106" s="2162" t="s">
        <v>3517</v>
      </c>
      <c r="B106" s="1582"/>
      <c r="C106" s="1582"/>
      <c r="D106" s="1582"/>
      <c r="E106" s="1582"/>
    </row>
    <row r="107" spans="1:5" ht="25.5" customHeight="1">
      <c r="A107" s="3701" t="s">
        <v>41</v>
      </c>
      <c r="B107" s="1646" t="s">
        <v>3461</v>
      </c>
      <c r="C107" s="1396" t="s">
        <v>3442</v>
      </c>
      <c r="D107" s="1646" t="s">
        <v>3443</v>
      </c>
      <c r="E107" s="1584" t="s">
        <v>3444</v>
      </c>
    </row>
    <row r="108" spans="1:5">
      <c r="A108" s="4681" t="s">
        <v>1471</v>
      </c>
      <c r="B108" s="1442"/>
      <c r="C108" s="1441"/>
      <c r="D108" s="1442"/>
      <c r="E108" s="1680"/>
    </row>
    <row r="109" spans="1:5">
      <c r="A109" s="4681" t="s">
        <v>1068</v>
      </c>
      <c r="B109" s="1442"/>
      <c r="C109" s="1441"/>
      <c r="D109" s="1442"/>
      <c r="E109" s="1680"/>
    </row>
    <row r="110" spans="1:5">
      <c r="A110" s="4681" t="s">
        <v>526</v>
      </c>
      <c r="B110" s="1442"/>
      <c r="C110" s="1441"/>
      <c r="D110" s="1442"/>
      <c r="E110" s="1680"/>
    </row>
    <row r="111" spans="1:5">
      <c r="A111" s="4681" t="s">
        <v>1065</v>
      </c>
      <c r="B111" s="1442"/>
      <c r="C111" s="1441"/>
      <c r="D111" s="1442"/>
      <c r="E111" s="1680"/>
    </row>
    <row r="112" spans="1:5">
      <c r="A112" s="4748" t="s">
        <v>2148</v>
      </c>
      <c r="B112" s="1457"/>
      <c r="C112" s="1456"/>
      <c r="D112" s="1457"/>
      <c r="E112" s="1684"/>
    </row>
    <row r="113" spans="1:93">
      <c r="A113" s="4749" t="s">
        <v>91</v>
      </c>
      <c r="B113" s="4741">
        <f>SUM(B108:B112)</f>
        <v>0</v>
      </c>
      <c r="C113" s="4741">
        <f>SUM(C108:C112)</f>
        <v>0</v>
      </c>
      <c r="D113" s="4740">
        <f>SUM(D108:D112)</f>
        <v>0</v>
      </c>
      <c r="E113" s="4747">
        <f>SUM(E108:E112)</f>
        <v>0</v>
      </c>
    </row>
    <row r="114" spans="1:93" ht="18" customHeight="1">
      <c r="A114" s="2101" t="s">
        <v>3518</v>
      </c>
      <c r="B114" s="2832"/>
      <c r="C114" s="2832"/>
      <c r="D114" s="4750"/>
      <c r="E114" s="1582"/>
      <c r="F114" s="1582"/>
      <c r="G114" s="1582"/>
      <c r="H114" s="1582"/>
    </row>
    <row r="115" spans="1:93" ht="15" customHeight="1">
      <c r="A115" s="7174" t="s">
        <v>3519</v>
      </c>
      <c r="B115" s="5705" t="s">
        <v>91</v>
      </c>
      <c r="C115" s="5707" t="s">
        <v>3455</v>
      </c>
      <c r="D115" s="5708"/>
      <c r="E115" s="5708"/>
      <c r="F115" s="6147"/>
      <c r="G115" s="6398" t="s">
        <v>3520</v>
      </c>
      <c r="H115" s="6399"/>
    </row>
    <row r="116" spans="1:93" ht="24.75" customHeight="1">
      <c r="A116" s="7175"/>
      <c r="B116" s="5706"/>
      <c r="C116" s="1395" t="s">
        <v>3461</v>
      </c>
      <c r="D116" s="1396" t="s">
        <v>3442</v>
      </c>
      <c r="E116" s="1646" t="s">
        <v>3443</v>
      </c>
      <c r="F116" s="1398" t="s">
        <v>3444</v>
      </c>
      <c r="G116" s="1733" t="s">
        <v>3495</v>
      </c>
      <c r="H116" s="393" t="s">
        <v>3496</v>
      </c>
    </row>
    <row r="117" spans="1:93" ht="15" customHeight="1">
      <c r="A117" s="4751" t="s">
        <v>3521</v>
      </c>
      <c r="B117" s="1423">
        <f t="shared" ref="B117:B118" si="39">SUM(C117:F117)</f>
        <v>0</v>
      </c>
      <c r="C117" s="1424"/>
      <c r="D117" s="1425"/>
      <c r="E117" s="1426"/>
      <c r="F117" s="1428"/>
      <c r="G117" s="1707"/>
      <c r="H117" s="1436"/>
      <c r="I117" t="str">
        <f t="shared" ref="I117:I118" si="40">CA117&amp;CB117&amp;CC117</f>
        <v/>
      </c>
      <c r="CA117" s="3789" t="str">
        <f>IF(AND($B117&gt;0,$G117="")," * No olvide digitar la variable "&amp;$G$116&amp;""&amp;" . Digite CERO si no tiene.","")</f>
        <v/>
      </c>
      <c r="CB117" s="3789" t="str">
        <f t="shared" ref="CB117:CB118" si="41">IF(AND($B117&gt;0,$H117="")," * No olvide digitar la variable "&amp;$G$115&amp;""&amp;" A distancia. Digite CERO si no tiene.","")</f>
        <v/>
      </c>
      <c r="CC117" s="3789" t="str">
        <f t="shared" ref="CC117:CC118" si="42">IF(AND($G117+$H117&gt;$B117)," * La variable "&amp;$G$115&amp;""&amp;" No puede ser mayor al Total.","")</f>
        <v/>
      </c>
      <c r="CM117" s="1886">
        <f t="shared" ref="CM117:CM118" si="43">IF(AND($B117&gt;0,$G117=""),1,0)</f>
        <v>0</v>
      </c>
      <c r="CN117" s="1886">
        <f t="shared" ref="CN117:CN118" si="44">IF(AND($B117&gt;0,$H117=""),1,0)</f>
        <v>0</v>
      </c>
      <c r="CO117" s="1886">
        <f t="shared" ref="CO117:CO118" si="45">IF(AND($G117+$H117&gt;$B117),1,0)</f>
        <v>0</v>
      </c>
    </row>
    <row r="118" spans="1:93" ht="15" customHeight="1">
      <c r="A118" s="4752" t="s">
        <v>3522</v>
      </c>
      <c r="B118" s="4500">
        <f t="shared" si="39"/>
        <v>0</v>
      </c>
      <c r="C118" s="1528"/>
      <c r="D118" s="1552"/>
      <c r="E118" s="1529"/>
      <c r="F118" s="1553"/>
      <c r="G118" s="1722"/>
      <c r="H118" s="1534"/>
      <c r="I118" t="str">
        <f t="shared" si="40"/>
        <v/>
      </c>
      <c r="CA118" s="3789" t="str">
        <f>IF(AND($B118&gt;0,$G118="")," * No olvide digitar la variable "&amp;$G$116&amp;""&amp;" Presencial (Establecimiento). Digite CERO si no tiene.","")</f>
        <v/>
      </c>
      <c r="CB118" s="3789" t="str">
        <f t="shared" si="41"/>
        <v/>
      </c>
      <c r="CC118" s="3789" t="str">
        <f t="shared" si="42"/>
        <v/>
      </c>
      <c r="CM118" s="1886">
        <f t="shared" si="43"/>
        <v>0</v>
      </c>
      <c r="CN118" s="1886">
        <f t="shared" si="44"/>
        <v>0</v>
      </c>
      <c r="CO118" s="1886">
        <f t="shared" si="45"/>
        <v>0</v>
      </c>
    </row>
    <row r="119" spans="1:93" ht="18" customHeight="1">
      <c r="A119" s="1581" t="s">
        <v>3523</v>
      </c>
      <c r="B119" s="2832"/>
      <c r="C119" s="2832"/>
      <c r="D119" s="2185"/>
      <c r="E119" s="4753"/>
      <c r="F119" s="4754"/>
      <c r="G119" s="4755"/>
      <c r="H119" s="4756"/>
      <c r="I119" s="4757"/>
      <c r="J119" s="4757"/>
      <c r="K119" s="4757"/>
    </row>
    <row r="120" spans="1:93">
      <c r="A120" s="6298" t="s">
        <v>3524</v>
      </c>
      <c r="B120" s="5718" t="s">
        <v>91</v>
      </c>
      <c r="C120" s="6345" t="s">
        <v>3525</v>
      </c>
      <c r="D120" s="6670"/>
      <c r="E120" s="6346"/>
      <c r="F120" s="7171" t="s">
        <v>3526</v>
      </c>
      <c r="G120" s="6605" t="s">
        <v>3527</v>
      </c>
      <c r="H120" s="6444" t="s">
        <v>3455</v>
      </c>
      <c r="I120" s="5708"/>
      <c r="J120" s="5708"/>
      <c r="K120" s="5709"/>
    </row>
    <row r="121" spans="1:93" ht="42">
      <c r="A121" s="6300"/>
      <c r="B121" s="5719"/>
      <c r="C121" s="4758" t="s">
        <v>3528</v>
      </c>
      <c r="D121" s="3695" t="s">
        <v>3529</v>
      </c>
      <c r="E121" s="1500" t="s">
        <v>3530</v>
      </c>
      <c r="F121" s="7171"/>
      <c r="G121" s="6605"/>
      <c r="H121" s="1733" t="s">
        <v>3461</v>
      </c>
      <c r="I121" s="1646" t="s">
        <v>3442</v>
      </c>
      <c r="J121" s="1646" t="s">
        <v>3443</v>
      </c>
      <c r="K121" s="1584" t="s">
        <v>3444</v>
      </c>
    </row>
    <row r="122" spans="1:93" ht="15" customHeight="1">
      <c r="A122" s="457" t="s">
        <v>3531</v>
      </c>
      <c r="B122" s="1422">
        <f t="shared" ref="B122:B124" si="46">SUM(C122:G122)</f>
        <v>0</v>
      </c>
      <c r="C122" s="1424"/>
      <c r="D122" s="1426"/>
      <c r="E122" s="1676"/>
      <c r="F122" s="1425"/>
      <c r="G122" s="1428"/>
      <c r="H122" s="1707"/>
      <c r="I122" s="1426"/>
      <c r="J122" s="1426"/>
      <c r="K122" s="1676"/>
      <c r="L122" s="3373" t="str">
        <f t="shared" ref="L122:L124" si="47">CA122&amp;CB122&amp;CC122</f>
        <v/>
      </c>
      <c r="AQ122" s="417"/>
      <c r="AR122" s="417"/>
      <c r="AS122" s="417"/>
      <c r="AT122" s="417"/>
      <c r="AU122" s="417"/>
      <c r="AV122" s="417"/>
      <c r="AW122" s="417"/>
      <c r="AX122" s="417"/>
      <c r="AY122" s="417"/>
      <c r="AZ122" s="417"/>
      <c r="BA122" s="417"/>
      <c r="BB122" s="417"/>
      <c r="BC122" s="417"/>
      <c r="BD122" s="417"/>
      <c r="BE122" s="417"/>
      <c r="BF122" s="417"/>
      <c r="BG122" s="417"/>
      <c r="BH122" s="417"/>
      <c r="BI122" s="417"/>
      <c r="BJ122" s="417"/>
      <c r="BK122" s="417"/>
      <c r="BL122" s="417"/>
      <c r="BM122" s="417"/>
      <c r="BN122" s="417"/>
      <c r="BO122" s="417"/>
      <c r="BP122" s="417"/>
      <c r="BQ122" s="417"/>
      <c r="BR122" s="417"/>
      <c r="BS122" s="417"/>
      <c r="BT122" s="417"/>
      <c r="BU122" s="417"/>
      <c r="BV122" s="417"/>
      <c r="BW122" s="417"/>
      <c r="BX122" s="417"/>
      <c r="BY122" s="417"/>
      <c r="BZ122" s="417"/>
      <c r="CA122" s="418" t="str">
        <f t="shared" ref="CA122:CA124" si="48">IF(H122+I122+J122+K122&lt;&gt;$B122,"* La suma de "&amp;H$120&amp;""&amp;" no debe ser distinto del Total. ","")</f>
        <v/>
      </c>
      <c r="CB122" s="417"/>
      <c r="CC122" s="417"/>
      <c r="CD122" s="417"/>
      <c r="CE122" s="417"/>
      <c r="CL122" s="417"/>
      <c r="CM122" s="419">
        <f t="shared" ref="CM122:CM124" si="49">IF(H122+I122+J122+K122&lt;&gt;$B122,1,0)</f>
        <v>0</v>
      </c>
    </row>
    <row r="123" spans="1:93" ht="15" customHeight="1">
      <c r="A123" s="2237" t="s">
        <v>3532</v>
      </c>
      <c r="B123" s="1512">
        <f t="shared" si="46"/>
        <v>0</v>
      </c>
      <c r="C123" s="1440"/>
      <c r="D123" s="1442"/>
      <c r="E123" s="1680"/>
      <c r="F123" s="1441"/>
      <c r="G123" s="1444"/>
      <c r="H123" s="1709"/>
      <c r="I123" s="1442"/>
      <c r="J123" s="1442"/>
      <c r="K123" s="1680"/>
      <c r="L123" s="3373" t="str">
        <f t="shared" si="47"/>
        <v/>
      </c>
      <c r="AQ123" s="417"/>
      <c r="AR123" s="417"/>
      <c r="AS123" s="417"/>
      <c r="AT123" s="417"/>
      <c r="AU123" s="417"/>
      <c r="AV123" s="417"/>
      <c r="AW123" s="417"/>
      <c r="AX123" s="417"/>
      <c r="AY123" s="417"/>
      <c r="AZ123" s="417"/>
      <c r="BA123" s="417"/>
      <c r="BB123" s="417"/>
      <c r="BC123" s="417"/>
      <c r="BD123" s="417"/>
      <c r="BE123" s="417"/>
      <c r="BF123" s="417"/>
      <c r="BG123" s="417"/>
      <c r="BH123" s="417"/>
      <c r="BI123" s="417"/>
      <c r="BJ123" s="417"/>
      <c r="BK123" s="417"/>
      <c r="BL123" s="417"/>
      <c r="BM123" s="417"/>
      <c r="BN123" s="417"/>
      <c r="BO123" s="417"/>
      <c r="BP123" s="417"/>
      <c r="BQ123" s="417"/>
      <c r="BR123" s="417"/>
      <c r="BS123" s="417"/>
      <c r="BT123" s="417"/>
      <c r="BU123" s="417"/>
      <c r="BV123" s="417"/>
      <c r="BW123" s="417"/>
      <c r="BX123" s="417"/>
      <c r="BY123" s="417"/>
      <c r="BZ123" s="417"/>
      <c r="CA123" s="418" t="str">
        <f t="shared" si="48"/>
        <v/>
      </c>
      <c r="CB123" s="417"/>
      <c r="CC123" s="417"/>
      <c r="CD123" s="417"/>
      <c r="CE123" s="417"/>
      <c r="CL123" s="417"/>
      <c r="CM123" s="419">
        <f t="shared" si="49"/>
        <v>0</v>
      </c>
    </row>
    <row r="124" spans="1:93" ht="15" customHeight="1">
      <c r="A124" s="453" t="s">
        <v>3533</v>
      </c>
      <c r="B124" s="1506">
        <f t="shared" si="46"/>
        <v>0</v>
      </c>
      <c r="C124" s="1455"/>
      <c r="D124" s="1457"/>
      <c r="E124" s="1684"/>
      <c r="F124" s="1456"/>
      <c r="G124" s="1459"/>
      <c r="H124" s="1714"/>
      <c r="I124" s="1457"/>
      <c r="J124" s="1457"/>
      <c r="K124" s="1684"/>
      <c r="L124" s="3373" t="str">
        <f t="shared" si="47"/>
        <v/>
      </c>
      <c r="AQ124" s="417"/>
      <c r="AR124" s="417"/>
      <c r="AS124" s="417"/>
      <c r="AT124" s="417"/>
      <c r="AU124" s="417"/>
      <c r="AV124" s="417"/>
      <c r="AW124" s="417"/>
      <c r="AX124" s="417"/>
      <c r="AY124" s="417"/>
      <c r="AZ124" s="417"/>
      <c r="BA124" s="417"/>
      <c r="BB124" s="417"/>
      <c r="BC124" s="417"/>
      <c r="BD124" s="417"/>
      <c r="BE124" s="417"/>
      <c r="BF124" s="417"/>
      <c r="BG124" s="417"/>
      <c r="BH124" s="417"/>
      <c r="BI124" s="417"/>
      <c r="BJ124" s="417"/>
      <c r="BK124" s="417"/>
      <c r="BL124" s="417"/>
      <c r="BM124" s="417"/>
      <c r="BN124" s="417"/>
      <c r="BO124" s="417"/>
      <c r="BP124" s="417"/>
      <c r="BQ124" s="417"/>
      <c r="BR124" s="417"/>
      <c r="BS124" s="417"/>
      <c r="BT124" s="417"/>
      <c r="BU124" s="417"/>
      <c r="BV124" s="417"/>
      <c r="BW124" s="417"/>
      <c r="BX124" s="417"/>
      <c r="BY124" s="417"/>
      <c r="BZ124" s="417"/>
      <c r="CA124" s="418" t="str">
        <f t="shared" si="48"/>
        <v/>
      </c>
      <c r="CB124" s="417"/>
      <c r="CC124" s="417"/>
      <c r="CD124" s="417"/>
      <c r="CE124" s="417"/>
      <c r="CL124" s="417"/>
      <c r="CM124" s="419">
        <f t="shared" si="49"/>
        <v>0</v>
      </c>
    </row>
    <row r="125" spans="1:93" ht="18" customHeight="1">
      <c r="A125" s="2162" t="s">
        <v>3534</v>
      </c>
      <c r="B125" s="2832"/>
      <c r="C125" s="2832"/>
      <c r="D125" s="4750"/>
      <c r="E125" s="4750"/>
      <c r="F125" s="4750"/>
      <c r="G125" s="4750"/>
      <c r="H125" s="4750"/>
      <c r="I125" s="4750"/>
      <c r="J125" s="4750"/>
      <c r="K125" s="4750"/>
      <c r="L125" s="4750"/>
    </row>
    <row r="126" spans="1:93" ht="21.75" customHeight="1">
      <c r="A126" s="6298" t="s">
        <v>3535</v>
      </c>
      <c r="B126" s="5718" t="s">
        <v>3536</v>
      </c>
      <c r="C126" s="5710" t="s">
        <v>3537</v>
      </c>
      <c r="D126" s="5712"/>
      <c r="E126" s="5710" t="s">
        <v>3538</v>
      </c>
      <c r="F126" s="5712"/>
      <c r="G126" s="5710" t="s">
        <v>3539</v>
      </c>
      <c r="H126" s="5712"/>
      <c r="I126" s="5710" t="s">
        <v>3540</v>
      </c>
      <c r="J126" s="5716"/>
      <c r="K126" s="7172" t="s">
        <v>3541</v>
      </c>
      <c r="L126" s="6399"/>
    </row>
    <row r="127" spans="1:93" ht="31.5">
      <c r="A127" s="6300"/>
      <c r="B127" s="5719"/>
      <c r="C127" s="1395" t="s">
        <v>3542</v>
      </c>
      <c r="D127" s="393" t="s">
        <v>3543</v>
      </c>
      <c r="E127" s="1395" t="s">
        <v>3542</v>
      </c>
      <c r="F127" s="393" t="s">
        <v>3543</v>
      </c>
      <c r="G127" s="1395" t="s">
        <v>3542</v>
      </c>
      <c r="H127" s="1391" t="s">
        <v>3543</v>
      </c>
      <c r="I127" s="1395" t="s">
        <v>3542</v>
      </c>
      <c r="J127" s="394" t="s">
        <v>3543</v>
      </c>
      <c r="K127" s="1733" t="s">
        <v>3495</v>
      </c>
      <c r="L127" s="393" t="s">
        <v>3496</v>
      </c>
    </row>
    <row r="128" spans="1:93">
      <c r="A128" s="6127" t="s">
        <v>3544</v>
      </c>
      <c r="B128" s="457" t="s">
        <v>2207</v>
      </c>
      <c r="C128" s="1424"/>
      <c r="D128" s="1436"/>
      <c r="E128" s="1424"/>
      <c r="F128" s="1436"/>
      <c r="G128" s="1424"/>
      <c r="H128" s="1436"/>
      <c r="I128" s="1424"/>
      <c r="J128" s="1650"/>
      <c r="K128" s="1709"/>
      <c r="L128" s="1436"/>
    </row>
    <row r="129" spans="1:41" ht="21">
      <c r="A129" s="6128"/>
      <c r="B129" s="2237" t="s">
        <v>3545</v>
      </c>
      <c r="C129" s="1440"/>
      <c r="D129" s="1452"/>
      <c r="E129" s="1440"/>
      <c r="F129" s="1452"/>
      <c r="G129" s="1440"/>
      <c r="H129" s="1452"/>
      <c r="I129" s="1440"/>
      <c r="J129" s="1655"/>
      <c r="K129" s="1709"/>
      <c r="L129" s="1452"/>
    </row>
    <row r="130" spans="1:41">
      <c r="A130" s="6128"/>
      <c r="B130" s="2237" t="s">
        <v>3546</v>
      </c>
      <c r="C130" s="1440"/>
      <c r="D130" s="1452"/>
      <c r="E130" s="1440"/>
      <c r="F130" s="1452"/>
      <c r="G130" s="1440"/>
      <c r="H130" s="1452"/>
      <c r="I130" s="1440"/>
      <c r="J130" s="1655"/>
      <c r="K130" s="1709"/>
      <c r="L130" s="1452"/>
    </row>
    <row r="131" spans="1:41">
      <c r="A131" s="6129"/>
      <c r="B131" s="2237" t="s">
        <v>3547</v>
      </c>
      <c r="C131" s="1455"/>
      <c r="D131" s="1467"/>
      <c r="E131" s="1455"/>
      <c r="F131" s="1467"/>
      <c r="G131" s="1455"/>
      <c r="H131" s="1467"/>
      <c r="I131" s="1455"/>
      <c r="J131" s="1660"/>
      <c r="K131" s="1714"/>
      <c r="L131" s="1467"/>
    </row>
    <row r="132" spans="1:41">
      <c r="A132" s="6205" t="s">
        <v>3548</v>
      </c>
      <c r="B132" s="457" t="s">
        <v>2207</v>
      </c>
      <c r="C132" s="1424"/>
      <c r="D132" s="1436"/>
      <c r="E132" s="1424"/>
      <c r="F132" s="1436"/>
      <c r="G132" s="1424"/>
      <c r="H132" s="1436"/>
      <c r="I132" s="1424"/>
      <c r="J132" s="1650"/>
      <c r="K132" s="1707"/>
      <c r="L132" s="1436"/>
    </row>
    <row r="133" spans="1:41" ht="21">
      <c r="A133" s="7173"/>
      <c r="B133" s="2237" t="s">
        <v>3549</v>
      </c>
      <c r="C133" s="1440"/>
      <c r="D133" s="1452"/>
      <c r="E133" s="1440"/>
      <c r="F133" s="1452"/>
      <c r="G133" s="1440"/>
      <c r="H133" s="1452"/>
      <c r="I133" s="1440"/>
      <c r="J133" s="1655"/>
      <c r="K133" s="1709"/>
      <c r="L133" s="1452"/>
    </row>
    <row r="134" spans="1:41">
      <c r="A134" s="7173"/>
      <c r="B134" s="2237" t="s">
        <v>3547</v>
      </c>
      <c r="C134" s="1440"/>
      <c r="D134" s="1452"/>
      <c r="E134" s="1440"/>
      <c r="F134" s="1452"/>
      <c r="G134" s="1440"/>
      <c r="H134" s="1452"/>
      <c r="I134" s="1440"/>
      <c r="J134" s="1655"/>
      <c r="K134" s="1709"/>
      <c r="L134" s="1452"/>
    </row>
    <row r="135" spans="1:41">
      <c r="A135" s="7173"/>
      <c r="B135" s="1559" t="s">
        <v>3550</v>
      </c>
      <c r="C135" s="1485"/>
      <c r="D135" s="1692"/>
      <c r="E135" s="1485"/>
      <c r="F135" s="1692"/>
      <c r="G135" s="1485"/>
      <c r="H135" s="1692"/>
      <c r="I135" s="1485"/>
      <c r="J135" s="1710"/>
      <c r="K135" s="1711"/>
      <c r="L135" s="1692"/>
    </row>
    <row r="136" spans="1:41">
      <c r="A136" s="7173"/>
      <c r="B136" s="453" t="s">
        <v>3551</v>
      </c>
      <c r="C136" s="1455"/>
      <c r="D136" s="1467"/>
      <c r="E136" s="1455"/>
      <c r="F136" s="1467"/>
      <c r="G136" s="1455"/>
      <c r="H136" s="1467"/>
      <c r="I136" s="1455"/>
      <c r="J136" s="1660"/>
      <c r="K136" s="1714"/>
      <c r="L136" s="1467"/>
    </row>
    <row r="137" spans="1:41">
      <c r="A137" s="6127" t="s">
        <v>3552</v>
      </c>
      <c r="B137" s="457" t="s">
        <v>3553</v>
      </c>
      <c r="C137" s="1424"/>
      <c r="D137" s="1436"/>
      <c r="E137" s="1424"/>
      <c r="F137" s="1436"/>
      <c r="G137" s="1424"/>
      <c r="H137" s="1436"/>
      <c r="I137" s="1424"/>
      <c r="J137" s="1650"/>
      <c r="K137" s="1707"/>
      <c r="L137" s="1436"/>
    </row>
    <row r="138" spans="1:41" ht="21">
      <c r="A138" s="6128"/>
      <c r="B138" s="2237" t="s">
        <v>3549</v>
      </c>
      <c r="C138" s="1440"/>
      <c r="D138" s="1452"/>
      <c r="E138" s="1440"/>
      <c r="F138" s="1452"/>
      <c r="G138" s="1440"/>
      <c r="H138" s="1452"/>
      <c r="I138" s="1440"/>
      <c r="J138" s="1655"/>
      <c r="K138" s="1709"/>
      <c r="L138" s="1452"/>
    </row>
    <row r="139" spans="1:41">
      <c r="A139" s="6128"/>
      <c r="B139" s="2237" t="s">
        <v>3547</v>
      </c>
      <c r="C139" s="1440"/>
      <c r="D139" s="1452"/>
      <c r="E139" s="1440"/>
      <c r="F139" s="1452"/>
      <c r="G139" s="1440"/>
      <c r="H139" s="1452"/>
      <c r="I139" s="1440"/>
      <c r="J139" s="1655"/>
      <c r="K139" s="1709"/>
      <c r="L139" s="1452"/>
    </row>
    <row r="140" spans="1:41">
      <c r="A140" s="6128"/>
      <c r="B140" s="2237" t="s">
        <v>3554</v>
      </c>
      <c r="C140" s="1440"/>
      <c r="D140" s="1452"/>
      <c r="E140" s="1440"/>
      <c r="F140" s="1452"/>
      <c r="G140" s="1440"/>
      <c r="H140" s="1452"/>
      <c r="I140" s="1440"/>
      <c r="J140" s="1655"/>
      <c r="K140" s="1709"/>
      <c r="L140" s="1452"/>
    </row>
    <row r="141" spans="1:41">
      <c r="A141" s="6128"/>
      <c r="B141" s="1559" t="s">
        <v>3550</v>
      </c>
      <c r="C141" s="1440"/>
      <c r="D141" s="1452"/>
      <c r="E141" s="1440"/>
      <c r="F141" s="1452"/>
      <c r="G141" s="1440"/>
      <c r="H141" s="1452"/>
      <c r="I141" s="1440"/>
      <c r="J141" s="1655"/>
      <c r="K141" s="1709"/>
      <c r="L141" s="1452"/>
    </row>
    <row r="142" spans="1:41">
      <c r="A142" s="6129"/>
      <c r="B142" s="453" t="s">
        <v>3551</v>
      </c>
      <c r="C142" s="1517"/>
      <c r="D142" s="1523"/>
      <c r="E142" s="1517"/>
      <c r="F142" s="1523"/>
      <c r="G142" s="1517"/>
      <c r="H142" s="1523"/>
      <c r="I142" s="1517"/>
      <c r="J142" s="1908"/>
      <c r="K142" s="1907"/>
      <c r="L142" s="1523"/>
    </row>
    <row r="143" spans="1:41">
      <c r="A143" s="1509" t="s">
        <v>3555</v>
      </c>
      <c r="B143" s="1509" t="s">
        <v>3546</v>
      </c>
      <c r="C143" s="1475"/>
      <c r="D143" s="1539"/>
      <c r="E143" s="1475"/>
      <c r="F143" s="1539"/>
      <c r="G143" s="1475"/>
      <c r="H143" s="1539"/>
      <c r="I143" s="1475"/>
      <c r="J143" s="1967"/>
      <c r="K143" s="2048"/>
      <c r="L143" s="1539"/>
    </row>
    <row r="144" spans="1:41" ht="18" customHeight="1">
      <c r="A144" s="2102" t="s">
        <v>3556</v>
      </c>
      <c r="B144" s="1582"/>
      <c r="C144" s="1582"/>
      <c r="D144" s="1582"/>
      <c r="E144" s="1582"/>
      <c r="F144" s="1582"/>
      <c r="G144" s="1582"/>
      <c r="H144" s="1582"/>
      <c r="I144" s="1582"/>
      <c r="J144" s="1582"/>
      <c r="K144" s="1582"/>
      <c r="L144" s="1582"/>
      <c r="M144" s="1582"/>
      <c r="N144" s="1582"/>
      <c r="O144" s="1582"/>
      <c r="P144" s="1582"/>
      <c r="Q144" s="1582"/>
      <c r="R144" s="1582"/>
      <c r="S144" s="1582"/>
      <c r="T144" s="1582"/>
      <c r="U144" s="1582"/>
      <c r="V144" s="1582"/>
      <c r="W144" s="1582"/>
      <c r="X144" s="1582"/>
      <c r="Y144" s="1582"/>
      <c r="Z144" s="1582"/>
      <c r="AA144" s="1582"/>
      <c r="AB144" s="1582"/>
      <c r="AC144" s="1582"/>
      <c r="AD144" s="1582"/>
      <c r="AE144" s="1582"/>
      <c r="AF144" s="1582"/>
      <c r="AG144" s="1582"/>
      <c r="AH144" s="1582"/>
      <c r="AI144" s="1582"/>
      <c r="AJ144" s="1582"/>
      <c r="AK144" s="1582"/>
      <c r="AL144" s="1582"/>
      <c r="AM144" s="1582"/>
      <c r="AN144" s="1582"/>
      <c r="AO144" s="1582"/>
    </row>
    <row r="145" spans="1:113" ht="18" customHeight="1">
      <c r="A145" s="1468" t="s">
        <v>3557</v>
      </c>
      <c r="B145" s="2102"/>
      <c r="C145" s="1582"/>
      <c r="D145" s="1493"/>
      <c r="E145" s="4760"/>
      <c r="F145" s="1493"/>
      <c r="G145" s="4760"/>
      <c r="H145" s="4760"/>
      <c r="I145" s="1493"/>
      <c r="J145" s="4761"/>
      <c r="K145" s="4761"/>
      <c r="L145" s="4761"/>
      <c r="M145" s="4761"/>
      <c r="N145" s="4761"/>
      <c r="O145" s="4761"/>
      <c r="P145" s="4761"/>
      <c r="Q145" s="4761"/>
      <c r="R145" s="4760"/>
      <c r="S145" s="1493"/>
      <c r="T145" s="4761"/>
      <c r="U145" s="4761"/>
      <c r="V145" s="4760"/>
      <c r="W145" s="4762"/>
      <c r="X145" s="1493"/>
      <c r="Y145" s="1582"/>
      <c r="Z145" s="1582"/>
      <c r="AA145" s="1582"/>
      <c r="AB145" s="1582"/>
      <c r="AC145" s="1582"/>
      <c r="AD145" s="1582"/>
      <c r="AE145" s="1582"/>
      <c r="AF145" s="1582"/>
      <c r="AG145" s="1582"/>
      <c r="AH145" s="1582"/>
      <c r="AI145" s="1582"/>
      <c r="AJ145" s="1582"/>
      <c r="AK145" s="1582"/>
      <c r="AL145" s="1582"/>
      <c r="AM145" s="1582"/>
      <c r="AN145" s="1582"/>
      <c r="AO145" s="1582"/>
    </row>
    <row r="146" spans="1:113">
      <c r="A146" s="5705" t="s">
        <v>797</v>
      </c>
      <c r="B146" s="6140" t="s">
        <v>91</v>
      </c>
      <c r="C146" s="6139"/>
      <c r="D146" s="6139"/>
      <c r="E146" s="6152" t="s">
        <v>115</v>
      </c>
      <c r="F146" s="6153"/>
      <c r="G146" s="6153"/>
      <c r="H146" s="6153"/>
      <c r="I146" s="6153"/>
      <c r="J146" s="6153"/>
      <c r="K146" s="6153"/>
      <c r="L146" s="6153"/>
      <c r="M146" s="6153"/>
      <c r="N146" s="6153"/>
      <c r="O146" s="6153"/>
      <c r="P146" s="6153"/>
      <c r="Q146" s="6153"/>
      <c r="R146" s="6153"/>
      <c r="S146" s="6153"/>
      <c r="T146" s="6153"/>
      <c r="U146" s="6153"/>
      <c r="V146" s="6153"/>
      <c r="W146" s="6153"/>
      <c r="X146" s="6153"/>
      <c r="Y146" s="6153"/>
      <c r="Z146" s="6153"/>
      <c r="AA146" s="6153"/>
      <c r="AB146" s="6153"/>
      <c r="AC146" s="6153"/>
      <c r="AD146" s="6153"/>
      <c r="AE146" s="6153"/>
      <c r="AF146" s="6153"/>
      <c r="AG146" s="6153"/>
      <c r="AH146" s="6153"/>
      <c r="AI146" s="6153"/>
      <c r="AJ146" s="6153"/>
      <c r="AK146" s="6153"/>
      <c r="AL146" s="6874"/>
      <c r="AM146" s="7164" t="s">
        <v>3558</v>
      </c>
      <c r="AN146" s="6230"/>
      <c r="AO146" s="6231"/>
    </row>
    <row r="147" spans="1:113">
      <c r="A147" s="6581"/>
      <c r="B147" s="6114"/>
      <c r="C147" s="6115"/>
      <c r="D147" s="6115"/>
      <c r="E147" s="6137" t="s">
        <v>364</v>
      </c>
      <c r="F147" s="6137"/>
      <c r="G147" s="6137" t="s">
        <v>347</v>
      </c>
      <c r="H147" s="6137"/>
      <c r="I147" s="6137" t="s">
        <v>108</v>
      </c>
      <c r="J147" s="6137"/>
      <c r="K147" s="7165" t="s">
        <v>58</v>
      </c>
      <c r="L147" s="7165"/>
      <c r="M147" s="5712" t="s">
        <v>59</v>
      </c>
      <c r="N147" s="5710"/>
      <c r="O147" s="6137" t="s">
        <v>1003</v>
      </c>
      <c r="P147" s="6137"/>
      <c r="Q147" s="6137" t="s">
        <v>656</v>
      </c>
      <c r="R147" s="6137"/>
      <c r="S147" s="6137" t="s">
        <v>62</v>
      </c>
      <c r="T147" s="6137"/>
      <c r="U147" s="6137" t="s">
        <v>63</v>
      </c>
      <c r="V147" s="6137"/>
      <c r="W147" s="6137" t="s">
        <v>1004</v>
      </c>
      <c r="X147" s="6137"/>
      <c r="Y147" s="6137" t="s">
        <v>65</v>
      </c>
      <c r="Z147" s="6137"/>
      <c r="AA147" s="6137" t="s">
        <v>66</v>
      </c>
      <c r="AB147" s="6137"/>
      <c r="AC147" s="6137" t="s">
        <v>67</v>
      </c>
      <c r="AD147" s="5710"/>
      <c r="AE147" s="6137" t="s">
        <v>68</v>
      </c>
      <c r="AF147" s="6137"/>
      <c r="AG147" s="6137" t="s">
        <v>69</v>
      </c>
      <c r="AH147" s="6137"/>
      <c r="AI147" s="6137" t="s">
        <v>70</v>
      </c>
      <c r="AJ147" s="6137"/>
      <c r="AK147" s="5709" t="s">
        <v>71</v>
      </c>
      <c r="AL147" s="7168"/>
      <c r="AM147" s="7169" t="s">
        <v>3559</v>
      </c>
      <c r="AN147" s="7166" t="s">
        <v>3560</v>
      </c>
      <c r="AO147" s="7167"/>
    </row>
    <row r="148" spans="1:113" ht="31.5">
      <c r="A148" s="5706"/>
      <c r="B148" s="3696" t="s">
        <v>93</v>
      </c>
      <c r="C148" s="3697" t="s">
        <v>72</v>
      </c>
      <c r="D148" s="1495" t="s">
        <v>73</v>
      </c>
      <c r="E148" s="3223" t="s">
        <v>72</v>
      </c>
      <c r="F148" s="1496" t="s">
        <v>73</v>
      </c>
      <c r="G148" s="3223" t="s">
        <v>72</v>
      </c>
      <c r="H148" s="1496" t="s">
        <v>73</v>
      </c>
      <c r="I148" s="3223" t="s">
        <v>72</v>
      </c>
      <c r="J148" s="1496" t="s">
        <v>73</v>
      </c>
      <c r="K148" s="3223" t="s">
        <v>72</v>
      </c>
      <c r="L148" s="1496" t="s">
        <v>73</v>
      </c>
      <c r="M148" s="3694" t="s">
        <v>72</v>
      </c>
      <c r="N148" s="2857" t="s">
        <v>73</v>
      </c>
      <c r="O148" s="3223" t="s">
        <v>72</v>
      </c>
      <c r="P148" s="1496" t="s">
        <v>73</v>
      </c>
      <c r="Q148" s="3223" t="s">
        <v>72</v>
      </c>
      <c r="R148" s="1496" t="s">
        <v>73</v>
      </c>
      <c r="S148" s="3223" t="s">
        <v>72</v>
      </c>
      <c r="T148" s="1496" t="s">
        <v>73</v>
      </c>
      <c r="U148" s="3223" t="s">
        <v>72</v>
      </c>
      <c r="V148" s="1496" t="s">
        <v>73</v>
      </c>
      <c r="W148" s="3223" t="s">
        <v>72</v>
      </c>
      <c r="X148" s="1496" t="s">
        <v>73</v>
      </c>
      <c r="Y148" s="3223" t="s">
        <v>72</v>
      </c>
      <c r="Z148" s="1496" t="s">
        <v>73</v>
      </c>
      <c r="AA148" s="3223" t="s">
        <v>72</v>
      </c>
      <c r="AB148" s="1496" t="s">
        <v>73</v>
      </c>
      <c r="AC148" s="3223" t="s">
        <v>72</v>
      </c>
      <c r="AD148" s="2857" t="s">
        <v>73</v>
      </c>
      <c r="AE148" s="3223" t="s">
        <v>72</v>
      </c>
      <c r="AF148" s="1496" t="s">
        <v>73</v>
      </c>
      <c r="AG148" s="3223" t="s">
        <v>72</v>
      </c>
      <c r="AH148" s="1496" t="s">
        <v>73</v>
      </c>
      <c r="AI148" s="3223" t="s">
        <v>72</v>
      </c>
      <c r="AJ148" s="1496" t="s">
        <v>73</v>
      </c>
      <c r="AK148" s="3694" t="s">
        <v>72</v>
      </c>
      <c r="AL148" s="4764" t="s">
        <v>73</v>
      </c>
      <c r="AM148" s="7170"/>
      <c r="AN148" s="4765" t="s">
        <v>3561</v>
      </c>
      <c r="AO148" s="2370" t="s">
        <v>3562</v>
      </c>
    </row>
    <row r="149" spans="1:113">
      <c r="A149" s="4766" t="s">
        <v>3563</v>
      </c>
      <c r="B149" s="3290">
        <f t="shared" ref="B149:B177" si="50">SUM(C149:D149)</f>
        <v>0</v>
      </c>
      <c r="C149" s="3346">
        <f t="shared" ref="C149:C177" si="51">E149+G149+I149+K149+M149+O149+Q149+S149+U149+W149+Y149+AA149+AC149+AE149+AG149+AI149+AK149</f>
        <v>0</v>
      </c>
      <c r="D149" s="4767">
        <f t="shared" ref="D149:D177" si="52">F149+H149+J149+L149+N149+P149+R149+T149+V149+X149+Z149+AB149+AD149+AF149+AH149+AJ149+AL149</f>
        <v>0</v>
      </c>
      <c r="E149" s="1424"/>
      <c r="F149" s="1676"/>
      <c r="G149" s="1424"/>
      <c r="H149" s="1676"/>
      <c r="I149" s="1424"/>
      <c r="J149" s="1676"/>
      <c r="K149" s="1424"/>
      <c r="L149" s="1676"/>
      <c r="M149" s="1425"/>
      <c r="N149" s="1427"/>
      <c r="O149" s="1424"/>
      <c r="P149" s="1676"/>
      <c r="Q149" s="1424"/>
      <c r="R149" s="1676"/>
      <c r="S149" s="1424"/>
      <c r="T149" s="1676"/>
      <c r="U149" s="1424"/>
      <c r="V149" s="1676"/>
      <c r="W149" s="1424"/>
      <c r="X149" s="1676"/>
      <c r="Y149" s="1424"/>
      <c r="Z149" s="1676"/>
      <c r="AA149" s="1424"/>
      <c r="AB149" s="1676"/>
      <c r="AC149" s="1424"/>
      <c r="AD149" s="1427"/>
      <c r="AE149" s="1424"/>
      <c r="AF149" s="1676"/>
      <c r="AG149" s="1424"/>
      <c r="AH149" s="1676"/>
      <c r="AI149" s="1424"/>
      <c r="AJ149" s="1676"/>
      <c r="AK149" s="1425"/>
      <c r="AL149" s="1427"/>
      <c r="AM149" s="1707"/>
      <c r="AN149" s="1426"/>
      <c r="AO149" s="1676"/>
      <c r="AP149" s="3373" t="str">
        <f t="shared" ref="AP149:AP183" si="53">$CA149</f>
        <v/>
      </c>
      <c r="BU149" s="417"/>
      <c r="BV149" s="417"/>
      <c r="BW149" s="417"/>
      <c r="BX149" s="417"/>
      <c r="BY149" s="417"/>
      <c r="BZ149" s="417"/>
      <c r="CA149" s="418" t="str">
        <f t="shared" ref="CA149:CA183" si="54">IF(AM149+AN149+AO149&lt;&gt;$B149,"* La suma de "&amp;AM$146&amp;""&amp;" no debe ser distinto del Total Ambos Sexos. ","")</f>
        <v/>
      </c>
      <c r="CB149" s="417"/>
      <c r="CC149" s="417"/>
      <c r="CD149" s="417"/>
      <c r="CE149"/>
      <c r="CK149" s="417"/>
      <c r="CM149" s="419">
        <f t="shared" ref="CM149:CM183" si="55">IF(AM149+AN149+AO149&lt;&gt;$B149,1,0)</f>
        <v>0</v>
      </c>
      <c r="DI149"/>
    </row>
    <row r="150" spans="1:113">
      <c r="A150" s="4552" t="s">
        <v>3445</v>
      </c>
      <c r="B150" s="3290">
        <f t="shared" si="50"/>
        <v>0</v>
      </c>
      <c r="C150" s="3346">
        <f t="shared" si="51"/>
        <v>0</v>
      </c>
      <c r="D150" s="4768">
        <f t="shared" si="52"/>
        <v>0</v>
      </c>
      <c r="E150" s="1440"/>
      <c r="F150" s="1680"/>
      <c r="G150" s="1440"/>
      <c r="H150" s="1680"/>
      <c r="I150" s="1440"/>
      <c r="J150" s="1680"/>
      <c r="K150" s="1440"/>
      <c r="L150" s="1680"/>
      <c r="M150" s="1441"/>
      <c r="N150" s="1443"/>
      <c r="O150" s="1440"/>
      <c r="P150" s="1680"/>
      <c r="Q150" s="1440"/>
      <c r="R150" s="1680"/>
      <c r="S150" s="1440"/>
      <c r="T150" s="1680"/>
      <c r="U150" s="1440"/>
      <c r="V150" s="1680"/>
      <c r="W150" s="1440"/>
      <c r="X150" s="1680"/>
      <c r="Y150" s="1440"/>
      <c r="Z150" s="1680"/>
      <c r="AA150" s="1440"/>
      <c r="AB150" s="1680"/>
      <c r="AC150" s="1440"/>
      <c r="AD150" s="1443"/>
      <c r="AE150" s="1440"/>
      <c r="AF150" s="1680"/>
      <c r="AG150" s="1440"/>
      <c r="AH150" s="1680"/>
      <c r="AI150" s="1440"/>
      <c r="AJ150" s="1680"/>
      <c r="AK150" s="1441"/>
      <c r="AL150" s="1443"/>
      <c r="AM150" s="1709"/>
      <c r="AN150" s="1442"/>
      <c r="AO150" s="1680"/>
      <c r="AP150" s="3373" t="str">
        <f t="shared" si="53"/>
        <v/>
      </c>
      <c r="BU150" s="417"/>
      <c r="BV150" s="417"/>
      <c r="BW150" s="417"/>
      <c r="BX150" s="417"/>
      <c r="BY150" s="417"/>
      <c r="BZ150" s="417"/>
      <c r="CA150" s="418" t="str">
        <f t="shared" si="54"/>
        <v/>
      </c>
      <c r="CB150" s="417"/>
      <c r="CC150" s="417"/>
      <c r="CD150" s="417"/>
      <c r="CE150"/>
      <c r="CK150" s="417"/>
      <c r="CM150" s="419">
        <f t="shared" si="55"/>
        <v>0</v>
      </c>
      <c r="DI150"/>
    </row>
    <row r="151" spans="1:113">
      <c r="A151" s="4714" t="s">
        <v>3470</v>
      </c>
      <c r="B151" s="3290">
        <f t="shared" si="50"/>
        <v>0</v>
      </c>
      <c r="C151" s="3346">
        <f t="shared" si="51"/>
        <v>0</v>
      </c>
      <c r="D151" s="4768">
        <f t="shared" si="52"/>
        <v>0</v>
      </c>
      <c r="E151" s="1440"/>
      <c r="F151" s="1680"/>
      <c r="G151" s="1440"/>
      <c r="H151" s="1680"/>
      <c r="I151" s="1440"/>
      <c r="J151" s="1680"/>
      <c r="K151" s="1440"/>
      <c r="L151" s="1680"/>
      <c r="M151" s="1441"/>
      <c r="N151" s="1443"/>
      <c r="O151" s="1440"/>
      <c r="P151" s="1680"/>
      <c r="Q151" s="1440"/>
      <c r="R151" s="1680"/>
      <c r="S151" s="1440"/>
      <c r="T151" s="1680"/>
      <c r="U151" s="1440"/>
      <c r="V151" s="1680"/>
      <c r="W151" s="1440"/>
      <c r="X151" s="1680"/>
      <c r="Y151" s="1440"/>
      <c r="Z151" s="1680"/>
      <c r="AA151" s="1440"/>
      <c r="AB151" s="1680"/>
      <c r="AC151" s="1440"/>
      <c r="AD151" s="1443"/>
      <c r="AE151" s="1440"/>
      <c r="AF151" s="1680"/>
      <c r="AG151" s="1440"/>
      <c r="AH151" s="1680"/>
      <c r="AI151" s="1440"/>
      <c r="AJ151" s="1680"/>
      <c r="AK151" s="1441"/>
      <c r="AL151" s="1443"/>
      <c r="AM151" s="1709"/>
      <c r="AN151" s="1442"/>
      <c r="AO151" s="1680"/>
      <c r="AP151" s="3373" t="str">
        <f t="shared" si="53"/>
        <v/>
      </c>
      <c r="BU151" s="417"/>
      <c r="BV151" s="417"/>
      <c r="BW151" s="417"/>
      <c r="BX151" s="417"/>
      <c r="BY151" s="417"/>
      <c r="BZ151" s="417"/>
      <c r="CA151" s="418" t="str">
        <f t="shared" si="54"/>
        <v/>
      </c>
      <c r="CB151" s="417"/>
      <c r="CC151" s="417"/>
      <c r="CD151" s="417"/>
      <c r="CE151"/>
      <c r="CK151" s="417"/>
      <c r="CM151" s="419">
        <f t="shared" si="55"/>
        <v>0</v>
      </c>
      <c r="DI151"/>
    </row>
    <row r="152" spans="1:113">
      <c r="A152" s="4714" t="s">
        <v>3471</v>
      </c>
      <c r="B152" s="3290">
        <f t="shared" si="50"/>
        <v>0</v>
      </c>
      <c r="C152" s="3346">
        <f t="shared" si="51"/>
        <v>0</v>
      </c>
      <c r="D152" s="4768">
        <f t="shared" si="52"/>
        <v>0</v>
      </c>
      <c r="E152" s="1440"/>
      <c r="F152" s="1680"/>
      <c r="G152" s="1440"/>
      <c r="H152" s="1680"/>
      <c r="I152" s="1440"/>
      <c r="J152" s="1680"/>
      <c r="K152" s="1440"/>
      <c r="L152" s="1680"/>
      <c r="M152" s="1441"/>
      <c r="N152" s="1443"/>
      <c r="O152" s="1440"/>
      <c r="P152" s="1680"/>
      <c r="Q152" s="1440"/>
      <c r="R152" s="1680"/>
      <c r="S152" s="1440"/>
      <c r="T152" s="1680"/>
      <c r="U152" s="1440"/>
      <c r="V152" s="1680"/>
      <c r="W152" s="1440"/>
      <c r="X152" s="1680"/>
      <c r="Y152" s="1440"/>
      <c r="Z152" s="1680"/>
      <c r="AA152" s="1440"/>
      <c r="AB152" s="1680"/>
      <c r="AC152" s="1440"/>
      <c r="AD152" s="1443"/>
      <c r="AE152" s="1440"/>
      <c r="AF152" s="1680"/>
      <c r="AG152" s="1440"/>
      <c r="AH152" s="1680"/>
      <c r="AI152" s="1440"/>
      <c r="AJ152" s="1680"/>
      <c r="AK152" s="1441"/>
      <c r="AL152" s="1443"/>
      <c r="AM152" s="1709"/>
      <c r="AN152" s="1442"/>
      <c r="AO152" s="1680"/>
      <c r="AP152" s="3373" t="str">
        <f t="shared" si="53"/>
        <v/>
      </c>
      <c r="BU152" s="417"/>
      <c r="BV152" s="417"/>
      <c r="BW152" s="417"/>
      <c r="BX152" s="417"/>
      <c r="BY152" s="417"/>
      <c r="BZ152" s="417"/>
      <c r="CA152" s="418" t="str">
        <f t="shared" si="54"/>
        <v/>
      </c>
      <c r="CB152" s="417"/>
      <c r="CC152" s="417"/>
      <c r="CD152" s="417"/>
      <c r="CE152"/>
      <c r="CK152" s="417"/>
      <c r="CM152" s="419">
        <f t="shared" si="55"/>
        <v>0</v>
      </c>
      <c r="DI152"/>
    </row>
    <row r="153" spans="1:113">
      <c r="A153" s="4714" t="s">
        <v>3472</v>
      </c>
      <c r="B153" s="3290">
        <f t="shared" si="50"/>
        <v>0</v>
      </c>
      <c r="C153" s="3346">
        <f t="shared" si="51"/>
        <v>0</v>
      </c>
      <c r="D153" s="4768">
        <f t="shared" si="52"/>
        <v>0</v>
      </c>
      <c r="E153" s="1440"/>
      <c r="F153" s="1680"/>
      <c r="G153" s="1440"/>
      <c r="H153" s="1680"/>
      <c r="I153" s="1440"/>
      <c r="J153" s="1680"/>
      <c r="K153" s="1440"/>
      <c r="L153" s="1680"/>
      <c r="M153" s="1441"/>
      <c r="N153" s="1443"/>
      <c r="O153" s="1440"/>
      <c r="P153" s="1680"/>
      <c r="Q153" s="1440"/>
      <c r="R153" s="1680"/>
      <c r="S153" s="1440"/>
      <c r="T153" s="1680"/>
      <c r="U153" s="1440"/>
      <c r="V153" s="1680"/>
      <c r="W153" s="1440"/>
      <c r="X153" s="1680"/>
      <c r="Y153" s="1440"/>
      <c r="Z153" s="1680"/>
      <c r="AA153" s="1440"/>
      <c r="AB153" s="1680"/>
      <c r="AC153" s="1440"/>
      <c r="AD153" s="1443"/>
      <c r="AE153" s="1440"/>
      <c r="AF153" s="1680"/>
      <c r="AG153" s="1440"/>
      <c r="AH153" s="1680"/>
      <c r="AI153" s="1440"/>
      <c r="AJ153" s="1680"/>
      <c r="AK153" s="1441"/>
      <c r="AL153" s="1443"/>
      <c r="AM153" s="1709"/>
      <c r="AN153" s="1442"/>
      <c r="AO153" s="1680"/>
      <c r="AP153" s="3373" t="str">
        <f t="shared" si="53"/>
        <v/>
      </c>
      <c r="BU153" s="417"/>
      <c r="BV153" s="417"/>
      <c r="BW153" s="417"/>
      <c r="BX153" s="417"/>
      <c r="BY153" s="417"/>
      <c r="BZ153" s="417"/>
      <c r="CA153" s="418" t="str">
        <f t="shared" si="54"/>
        <v/>
      </c>
      <c r="CB153" s="417"/>
      <c r="CC153" s="417"/>
      <c r="CD153" s="417"/>
      <c r="CE153"/>
      <c r="CK153" s="417"/>
      <c r="CM153" s="419">
        <f t="shared" si="55"/>
        <v>0</v>
      </c>
      <c r="DI153"/>
    </row>
    <row r="154" spans="1:113">
      <c r="A154" s="4714" t="s">
        <v>3564</v>
      </c>
      <c r="B154" s="3290">
        <f t="shared" si="50"/>
        <v>0</v>
      </c>
      <c r="C154" s="3346">
        <f t="shared" si="51"/>
        <v>0</v>
      </c>
      <c r="D154" s="4768">
        <f t="shared" si="52"/>
        <v>0</v>
      </c>
      <c r="E154" s="1440"/>
      <c r="F154" s="1680"/>
      <c r="G154" s="1440"/>
      <c r="H154" s="1680"/>
      <c r="I154" s="1440"/>
      <c r="J154" s="1680"/>
      <c r="K154" s="1440"/>
      <c r="L154" s="1680"/>
      <c r="M154" s="1441"/>
      <c r="N154" s="1443"/>
      <c r="O154" s="1440"/>
      <c r="P154" s="1680"/>
      <c r="Q154" s="1440"/>
      <c r="R154" s="1680"/>
      <c r="S154" s="1440"/>
      <c r="T154" s="1680"/>
      <c r="U154" s="1440"/>
      <c r="V154" s="1680"/>
      <c r="W154" s="1440"/>
      <c r="X154" s="1680"/>
      <c r="Y154" s="1440"/>
      <c r="Z154" s="1680"/>
      <c r="AA154" s="1440"/>
      <c r="AB154" s="1680"/>
      <c r="AC154" s="1440"/>
      <c r="AD154" s="1443"/>
      <c r="AE154" s="1440"/>
      <c r="AF154" s="1680"/>
      <c r="AG154" s="1440"/>
      <c r="AH154" s="1680"/>
      <c r="AI154" s="1440"/>
      <c r="AJ154" s="1680"/>
      <c r="AK154" s="1441"/>
      <c r="AL154" s="1443"/>
      <c r="AM154" s="1709"/>
      <c r="AN154" s="1442"/>
      <c r="AO154" s="1680"/>
      <c r="AP154" s="3373" t="str">
        <f t="shared" si="53"/>
        <v/>
      </c>
      <c r="BU154" s="417"/>
      <c r="BV154" s="417"/>
      <c r="BW154" s="417"/>
      <c r="BX154" s="417"/>
      <c r="BY154" s="417"/>
      <c r="BZ154" s="417"/>
      <c r="CA154" s="418" t="str">
        <f t="shared" si="54"/>
        <v/>
      </c>
      <c r="CB154" s="417"/>
      <c r="CC154" s="417"/>
      <c r="CD154" s="417"/>
      <c r="CE154"/>
      <c r="CK154" s="417"/>
      <c r="CM154" s="419">
        <f t="shared" si="55"/>
        <v>0</v>
      </c>
      <c r="DI154"/>
    </row>
    <row r="155" spans="1:113">
      <c r="A155" s="4714" t="s">
        <v>3565</v>
      </c>
      <c r="B155" s="3290">
        <f t="shared" si="50"/>
        <v>0</v>
      </c>
      <c r="C155" s="3346">
        <f t="shared" si="51"/>
        <v>0</v>
      </c>
      <c r="D155" s="4768">
        <f t="shared" si="52"/>
        <v>0</v>
      </c>
      <c r="E155" s="1440"/>
      <c r="F155" s="1680"/>
      <c r="G155" s="1440"/>
      <c r="H155" s="1680"/>
      <c r="I155" s="1440"/>
      <c r="J155" s="1680"/>
      <c r="K155" s="1440"/>
      <c r="L155" s="1680"/>
      <c r="M155" s="1441"/>
      <c r="N155" s="1443"/>
      <c r="O155" s="1440"/>
      <c r="P155" s="1680"/>
      <c r="Q155" s="1440"/>
      <c r="R155" s="1680"/>
      <c r="S155" s="1440"/>
      <c r="T155" s="1680"/>
      <c r="U155" s="1440"/>
      <c r="V155" s="1680"/>
      <c r="W155" s="1440"/>
      <c r="X155" s="1680"/>
      <c r="Y155" s="1440"/>
      <c r="Z155" s="1680"/>
      <c r="AA155" s="1440"/>
      <c r="AB155" s="1680"/>
      <c r="AC155" s="1440"/>
      <c r="AD155" s="1443"/>
      <c r="AE155" s="1440"/>
      <c r="AF155" s="1680"/>
      <c r="AG155" s="1440"/>
      <c r="AH155" s="1680"/>
      <c r="AI155" s="1440"/>
      <c r="AJ155" s="1680"/>
      <c r="AK155" s="1441"/>
      <c r="AL155" s="1443"/>
      <c r="AM155" s="1709"/>
      <c r="AN155" s="1442"/>
      <c r="AO155" s="1680"/>
      <c r="AP155" s="3373" t="str">
        <f t="shared" si="53"/>
        <v/>
      </c>
      <c r="BU155" s="417"/>
      <c r="BV155" s="417"/>
      <c r="BW155" s="417"/>
      <c r="BX155" s="417"/>
      <c r="BY155" s="417"/>
      <c r="BZ155" s="417"/>
      <c r="CA155" s="418" t="str">
        <f t="shared" si="54"/>
        <v/>
      </c>
      <c r="CB155" s="417"/>
      <c r="CC155" s="417"/>
      <c r="CD155" s="417"/>
      <c r="CE155"/>
      <c r="CK155" s="417"/>
      <c r="CM155" s="419">
        <f t="shared" si="55"/>
        <v>0</v>
      </c>
      <c r="DI155"/>
    </row>
    <row r="156" spans="1:113">
      <c r="A156" s="4714" t="s">
        <v>3476</v>
      </c>
      <c r="B156" s="3290">
        <f t="shared" si="50"/>
        <v>0</v>
      </c>
      <c r="C156" s="3346">
        <f t="shared" si="51"/>
        <v>0</v>
      </c>
      <c r="D156" s="4768">
        <f t="shared" si="52"/>
        <v>0</v>
      </c>
      <c r="E156" s="1440"/>
      <c r="F156" s="1680"/>
      <c r="G156" s="1440"/>
      <c r="H156" s="1680"/>
      <c r="I156" s="1440"/>
      <c r="J156" s="1680"/>
      <c r="K156" s="1440"/>
      <c r="L156" s="1680"/>
      <c r="M156" s="1441"/>
      <c r="N156" s="1443"/>
      <c r="O156" s="1440"/>
      <c r="P156" s="1680"/>
      <c r="Q156" s="1440"/>
      <c r="R156" s="1680"/>
      <c r="S156" s="1440"/>
      <c r="T156" s="1680"/>
      <c r="U156" s="1440"/>
      <c r="V156" s="1680"/>
      <c r="W156" s="1440"/>
      <c r="X156" s="1680"/>
      <c r="Y156" s="1440"/>
      <c r="Z156" s="1680"/>
      <c r="AA156" s="1440"/>
      <c r="AB156" s="1680"/>
      <c r="AC156" s="1440"/>
      <c r="AD156" s="1443"/>
      <c r="AE156" s="1440"/>
      <c r="AF156" s="1680"/>
      <c r="AG156" s="1440"/>
      <c r="AH156" s="1680"/>
      <c r="AI156" s="1440"/>
      <c r="AJ156" s="1680"/>
      <c r="AK156" s="1441"/>
      <c r="AL156" s="1443"/>
      <c r="AM156" s="1709"/>
      <c r="AN156" s="1442"/>
      <c r="AO156" s="1680"/>
      <c r="AP156" s="3373" t="str">
        <f t="shared" si="53"/>
        <v/>
      </c>
      <c r="BU156" s="417"/>
      <c r="BV156" s="417"/>
      <c r="BW156" s="417"/>
      <c r="BX156" s="417"/>
      <c r="BY156" s="417"/>
      <c r="BZ156" s="417"/>
      <c r="CA156" s="418" t="str">
        <f t="shared" si="54"/>
        <v/>
      </c>
      <c r="CB156" s="417"/>
      <c r="CC156" s="417"/>
      <c r="CD156" s="417"/>
      <c r="CE156"/>
      <c r="CK156" s="417"/>
      <c r="CM156" s="419">
        <f t="shared" si="55"/>
        <v>0</v>
      </c>
      <c r="DI156"/>
    </row>
    <row r="157" spans="1:113">
      <c r="A157" s="4714" t="s">
        <v>3566</v>
      </c>
      <c r="B157" s="3290">
        <f t="shared" si="50"/>
        <v>0</v>
      </c>
      <c r="C157" s="3346">
        <f t="shared" si="51"/>
        <v>0</v>
      </c>
      <c r="D157" s="4768">
        <f t="shared" si="52"/>
        <v>0</v>
      </c>
      <c r="E157" s="1440"/>
      <c r="F157" s="1680"/>
      <c r="G157" s="1440"/>
      <c r="H157" s="1680"/>
      <c r="I157" s="1440"/>
      <c r="J157" s="1680"/>
      <c r="K157" s="1440"/>
      <c r="L157" s="1680"/>
      <c r="M157" s="1441"/>
      <c r="N157" s="1443"/>
      <c r="O157" s="1440"/>
      <c r="P157" s="1680"/>
      <c r="Q157" s="1440"/>
      <c r="R157" s="1680"/>
      <c r="S157" s="1440"/>
      <c r="T157" s="1680"/>
      <c r="U157" s="1440"/>
      <c r="V157" s="1680"/>
      <c r="W157" s="1440"/>
      <c r="X157" s="1680"/>
      <c r="Y157" s="1440"/>
      <c r="Z157" s="1680"/>
      <c r="AA157" s="1440"/>
      <c r="AB157" s="1680"/>
      <c r="AC157" s="1440"/>
      <c r="AD157" s="1443"/>
      <c r="AE157" s="1440"/>
      <c r="AF157" s="1680"/>
      <c r="AG157" s="1440"/>
      <c r="AH157" s="1680"/>
      <c r="AI157" s="1440"/>
      <c r="AJ157" s="1680"/>
      <c r="AK157" s="1441"/>
      <c r="AL157" s="1443"/>
      <c r="AM157" s="1709"/>
      <c r="AN157" s="1442"/>
      <c r="AO157" s="1680"/>
      <c r="AP157" s="3373" t="str">
        <f t="shared" si="53"/>
        <v/>
      </c>
      <c r="BU157" s="417"/>
      <c r="BV157" s="417"/>
      <c r="BW157" s="417"/>
      <c r="BX157" s="417"/>
      <c r="BY157" s="417"/>
      <c r="BZ157" s="417"/>
      <c r="CA157" s="418" t="str">
        <f t="shared" si="54"/>
        <v/>
      </c>
      <c r="CB157" s="417"/>
      <c r="CC157" s="417"/>
      <c r="CD157" s="417"/>
      <c r="CE157"/>
      <c r="CK157" s="417"/>
      <c r="CM157" s="419">
        <f t="shared" si="55"/>
        <v>0</v>
      </c>
      <c r="DI157"/>
    </row>
    <row r="158" spans="1:113">
      <c r="A158" s="4714" t="s">
        <v>3567</v>
      </c>
      <c r="B158" s="3290">
        <f t="shared" si="50"/>
        <v>0</v>
      </c>
      <c r="C158" s="3346">
        <f t="shared" si="51"/>
        <v>0</v>
      </c>
      <c r="D158" s="4768">
        <f t="shared" si="52"/>
        <v>0</v>
      </c>
      <c r="E158" s="1440"/>
      <c r="F158" s="1680"/>
      <c r="G158" s="1440"/>
      <c r="H158" s="1680"/>
      <c r="I158" s="1440"/>
      <c r="J158" s="1680"/>
      <c r="K158" s="1440"/>
      <c r="L158" s="1680"/>
      <c r="M158" s="1441"/>
      <c r="N158" s="1443"/>
      <c r="O158" s="1440"/>
      <c r="P158" s="1680"/>
      <c r="Q158" s="1440"/>
      <c r="R158" s="1680"/>
      <c r="S158" s="1440"/>
      <c r="T158" s="1680"/>
      <c r="U158" s="1440"/>
      <c r="V158" s="1680"/>
      <c r="W158" s="1440"/>
      <c r="X158" s="1680"/>
      <c r="Y158" s="1440"/>
      <c r="Z158" s="1680"/>
      <c r="AA158" s="1440"/>
      <c r="AB158" s="1680"/>
      <c r="AC158" s="1440"/>
      <c r="AD158" s="1443"/>
      <c r="AE158" s="1440"/>
      <c r="AF158" s="1680"/>
      <c r="AG158" s="1440"/>
      <c r="AH158" s="1680"/>
      <c r="AI158" s="1440"/>
      <c r="AJ158" s="1680"/>
      <c r="AK158" s="1441"/>
      <c r="AL158" s="1443"/>
      <c r="AM158" s="1709"/>
      <c r="AN158" s="1442"/>
      <c r="AO158" s="1680"/>
      <c r="AP158" s="3373" t="str">
        <f t="shared" si="53"/>
        <v/>
      </c>
      <c r="BU158" s="417"/>
      <c r="BV158" s="417"/>
      <c r="BW158" s="417"/>
      <c r="BX158" s="417"/>
      <c r="BY158" s="417"/>
      <c r="BZ158" s="417"/>
      <c r="CA158" s="418" t="str">
        <f t="shared" si="54"/>
        <v/>
      </c>
      <c r="CB158" s="417"/>
      <c r="CC158" s="417"/>
      <c r="CD158" s="417"/>
      <c r="CE158"/>
      <c r="CK158" s="417"/>
      <c r="CM158" s="419">
        <f t="shared" si="55"/>
        <v>0</v>
      </c>
      <c r="DI158"/>
    </row>
    <row r="159" spans="1:113">
      <c r="A159" s="4714" t="s">
        <v>3568</v>
      </c>
      <c r="B159" s="3290">
        <f t="shared" si="50"/>
        <v>0</v>
      </c>
      <c r="C159" s="3346">
        <f t="shared" si="51"/>
        <v>0</v>
      </c>
      <c r="D159" s="4768">
        <f t="shared" si="52"/>
        <v>0</v>
      </c>
      <c r="E159" s="1440"/>
      <c r="F159" s="1680"/>
      <c r="G159" s="1440"/>
      <c r="H159" s="1680"/>
      <c r="I159" s="1440"/>
      <c r="J159" s="1680"/>
      <c r="K159" s="1440"/>
      <c r="L159" s="1680"/>
      <c r="M159" s="1441"/>
      <c r="N159" s="1443"/>
      <c r="O159" s="1440"/>
      <c r="P159" s="1680"/>
      <c r="Q159" s="1440"/>
      <c r="R159" s="1680"/>
      <c r="S159" s="1440"/>
      <c r="T159" s="1680"/>
      <c r="U159" s="1440"/>
      <c r="V159" s="1680"/>
      <c r="W159" s="1440"/>
      <c r="X159" s="1680"/>
      <c r="Y159" s="1440"/>
      <c r="Z159" s="1680"/>
      <c r="AA159" s="1440"/>
      <c r="AB159" s="1680"/>
      <c r="AC159" s="1440"/>
      <c r="AD159" s="1443"/>
      <c r="AE159" s="1440"/>
      <c r="AF159" s="1680"/>
      <c r="AG159" s="1440"/>
      <c r="AH159" s="1680"/>
      <c r="AI159" s="1440"/>
      <c r="AJ159" s="1680"/>
      <c r="AK159" s="1441"/>
      <c r="AL159" s="1443"/>
      <c r="AM159" s="1709"/>
      <c r="AN159" s="1442"/>
      <c r="AO159" s="1680"/>
      <c r="AP159" s="3373" t="str">
        <f t="shared" si="53"/>
        <v/>
      </c>
      <c r="BU159" s="417"/>
      <c r="BV159" s="417"/>
      <c r="BW159" s="417"/>
      <c r="BX159" s="417"/>
      <c r="BY159" s="417"/>
      <c r="BZ159" s="417"/>
      <c r="CA159" s="418" t="str">
        <f t="shared" si="54"/>
        <v/>
      </c>
      <c r="CB159" s="417"/>
      <c r="CC159" s="417"/>
      <c r="CD159" s="417"/>
      <c r="CE159"/>
      <c r="CK159" s="417"/>
      <c r="CM159" s="419">
        <f t="shared" si="55"/>
        <v>0</v>
      </c>
      <c r="DI159"/>
    </row>
    <row r="160" spans="1:113">
      <c r="A160" s="4714" t="s">
        <v>3569</v>
      </c>
      <c r="B160" s="3290">
        <f t="shared" si="50"/>
        <v>0</v>
      </c>
      <c r="C160" s="3346">
        <f t="shared" si="51"/>
        <v>0</v>
      </c>
      <c r="D160" s="4768">
        <f t="shared" si="52"/>
        <v>0</v>
      </c>
      <c r="E160" s="1440"/>
      <c r="F160" s="1680"/>
      <c r="G160" s="1440"/>
      <c r="H160" s="1680"/>
      <c r="I160" s="1440"/>
      <c r="J160" s="1680"/>
      <c r="K160" s="1440"/>
      <c r="L160" s="1680"/>
      <c r="M160" s="1441"/>
      <c r="N160" s="1443"/>
      <c r="O160" s="1440"/>
      <c r="P160" s="1680"/>
      <c r="Q160" s="1440"/>
      <c r="R160" s="1680"/>
      <c r="S160" s="1440"/>
      <c r="T160" s="1680"/>
      <c r="U160" s="1440"/>
      <c r="V160" s="1680"/>
      <c r="W160" s="1440"/>
      <c r="X160" s="1680"/>
      <c r="Y160" s="1440"/>
      <c r="Z160" s="1680"/>
      <c r="AA160" s="1440"/>
      <c r="AB160" s="1680"/>
      <c r="AC160" s="1440"/>
      <c r="AD160" s="1443"/>
      <c r="AE160" s="1440"/>
      <c r="AF160" s="1680"/>
      <c r="AG160" s="1440"/>
      <c r="AH160" s="1680"/>
      <c r="AI160" s="1440"/>
      <c r="AJ160" s="1680"/>
      <c r="AK160" s="1441"/>
      <c r="AL160" s="1443"/>
      <c r="AM160" s="1709"/>
      <c r="AN160" s="1442"/>
      <c r="AO160" s="1680"/>
      <c r="AP160" s="3373" t="str">
        <f t="shared" si="53"/>
        <v/>
      </c>
      <c r="BU160" s="417"/>
      <c r="BV160" s="417"/>
      <c r="BW160" s="417"/>
      <c r="BX160" s="417"/>
      <c r="BY160" s="417"/>
      <c r="BZ160" s="417"/>
      <c r="CA160" s="418" t="str">
        <f t="shared" si="54"/>
        <v/>
      </c>
      <c r="CB160" s="417"/>
      <c r="CC160" s="417"/>
      <c r="CD160" s="417"/>
      <c r="CE160"/>
      <c r="CK160" s="417"/>
      <c r="CM160" s="419">
        <f t="shared" si="55"/>
        <v>0</v>
      </c>
      <c r="DI160"/>
    </row>
    <row r="161" spans="1:113">
      <c r="A161" s="4714" t="s">
        <v>3570</v>
      </c>
      <c r="B161" s="3290">
        <f t="shared" si="50"/>
        <v>0</v>
      </c>
      <c r="C161" s="3346">
        <f t="shared" si="51"/>
        <v>0</v>
      </c>
      <c r="D161" s="4768">
        <f t="shared" si="52"/>
        <v>0</v>
      </c>
      <c r="E161" s="1440"/>
      <c r="F161" s="1680"/>
      <c r="G161" s="1440"/>
      <c r="H161" s="1680"/>
      <c r="I161" s="1440"/>
      <c r="J161" s="1680"/>
      <c r="K161" s="1440"/>
      <c r="L161" s="1680"/>
      <c r="M161" s="1441"/>
      <c r="N161" s="1443"/>
      <c r="O161" s="1440"/>
      <c r="P161" s="1680"/>
      <c r="Q161" s="1440"/>
      <c r="R161" s="1680"/>
      <c r="S161" s="1440"/>
      <c r="T161" s="1680"/>
      <c r="U161" s="1440"/>
      <c r="V161" s="1680"/>
      <c r="W161" s="1440"/>
      <c r="X161" s="1680"/>
      <c r="Y161" s="1440"/>
      <c r="Z161" s="1680"/>
      <c r="AA161" s="1440"/>
      <c r="AB161" s="1680"/>
      <c r="AC161" s="1440"/>
      <c r="AD161" s="1443"/>
      <c r="AE161" s="1440"/>
      <c r="AF161" s="1680"/>
      <c r="AG161" s="1440"/>
      <c r="AH161" s="1680"/>
      <c r="AI161" s="1440"/>
      <c r="AJ161" s="1680"/>
      <c r="AK161" s="1441"/>
      <c r="AL161" s="1443"/>
      <c r="AM161" s="1709"/>
      <c r="AN161" s="1442"/>
      <c r="AO161" s="1680"/>
      <c r="AP161" s="3373" t="str">
        <f t="shared" si="53"/>
        <v/>
      </c>
      <c r="BU161" s="417"/>
      <c r="BV161" s="417"/>
      <c r="BW161" s="417"/>
      <c r="BX161" s="417"/>
      <c r="BY161" s="417"/>
      <c r="BZ161" s="417"/>
      <c r="CA161" s="418" t="str">
        <f t="shared" si="54"/>
        <v/>
      </c>
      <c r="CB161" s="417"/>
      <c r="CC161" s="417"/>
      <c r="CD161" s="417"/>
      <c r="CE161"/>
      <c r="CK161" s="417"/>
      <c r="CM161" s="419">
        <f t="shared" si="55"/>
        <v>0</v>
      </c>
      <c r="DI161"/>
    </row>
    <row r="162" spans="1:113">
      <c r="A162" s="4714" t="s">
        <v>3482</v>
      </c>
      <c r="B162" s="3290">
        <f t="shared" si="50"/>
        <v>0</v>
      </c>
      <c r="C162" s="3346">
        <f t="shared" si="51"/>
        <v>0</v>
      </c>
      <c r="D162" s="4768">
        <f t="shared" si="52"/>
        <v>0</v>
      </c>
      <c r="E162" s="1440"/>
      <c r="F162" s="1680"/>
      <c r="G162" s="1440"/>
      <c r="H162" s="1680"/>
      <c r="I162" s="1440"/>
      <c r="J162" s="1680"/>
      <c r="K162" s="1440"/>
      <c r="L162" s="1680"/>
      <c r="M162" s="1441"/>
      <c r="N162" s="1443"/>
      <c r="O162" s="1440"/>
      <c r="P162" s="1680"/>
      <c r="Q162" s="1440"/>
      <c r="R162" s="1680"/>
      <c r="S162" s="1440"/>
      <c r="T162" s="1680"/>
      <c r="U162" s="1440"/>
      <c r="V162" s="1680"/>
      <c r="W162" s="1440"/>
      <c r="X162" s="1680"/>
      <c r="Y162" s="1440"/>
      <c r="Z162" s="1680"/>
      <c r="AA162" s="1440"/>
      <c r="AB162" s="1680"/>
      <c r="AC162" s="1440"/>
      <c r="AD162" s="1443"/>
      <c r="AE162" s="1440"/>
      <c r="AF162" s="1680"/>
      <c r="AG162" s="1440"/>
      <c r="AH162" s="1680"/>
      <c r="AI162" s="1440"/>
      <c r="AJ162" s="1680"/>
      <c r="AK162" s="1441"/>
      <c r="AL162" s="1443"/>
      <c r="AM162" s="1709"/>
      <c r="AN162" s="1442"/>
      <c r="AO162" s="1680"/>
      <c r="AP162" s="3373" t="str">
        <f t="shared" si="53"/>
        <v/>
      </c>
      <c r="BU162" s="417"/>
      <c r="BV162" s="417"/>
      <c r="BW162" s="417"/>
      <c r="BX162" s="417"/>
      <c r="BY162" s="417"/>
      <c r="BZ162" s="417"/>
      <c r="CA162" s="418" t="str">
        <f t="shared" si="54"/>
        <v/>
      </c>
      <c r="CB162" s="417"/>
      <c r="CC162" s="417"/>
      <c r="CD162" s="417"/>
      <c r="CE162"/>
      <c r="CK162" s="417"/>
      <c r="CM162" s="419">
        <f t="shared" si="55"/>
        <v>0</v>
      </c>
      <c r="DI162"/>
    </row>
    <row r="163" spans="1:113">
      <c r="A163" s="4714" t="s">
        <v>3571</v>
      </c>
      <c r="B163" s="3290">
        <f t="shared" si="50"/>
        <v>0</v>
      </c>
      <c r="C163" s="3346">
        <f t="shared" si="51"/>
        <v>0</v>
      </c>
      <c r="D163" s="4768">
        <f t="shared" si="52"/>
        <v>0</v>
      </c>
      <c r="E163" s="1440"/>
      <c r="F163" s="1680"/>
      <c r="G163" s="1440"/>
      <c r="H163" s="1680"/>
      <c r="I163" s="1440"/>
      <c r="J163" s="1680"/>
      <c r="K163" s="1440"/>
      <c r="L163" s="1680"/>
      <c r="M163" s="1441"/>
      <c r="N163" s="1443"/>
      <c r="O163" s="1440"/>
      <c r="P163" s="1680"/>
      <c r="Q163" s="1440"/>
      <c r="R163" s="1680"/>
      <c r="S163" s="1440"/>
      <c r="T163" s="1680"/>
      <c r="U163" s="1440"/>
      <c r="V163" s="1680"/>
      <c r="W163" s="1440"/>
      <c r="X163" s="1680"/>
      <c r="Y163" s="1440"/>
      <c r="Z163" s="1680"/>
      <c r="AA163" s="1440"/>
      <c r="AB163" s="1680"/>
      <c r="AC163" s="1440"/>
      <c r="AD163" s="1443"/>
      <c r="AE163" s="1440"/>
      <c r="AF163" s="1680"/>
      <c r="AG163" s="1440"/>
      <c r="AH163" s="1680"/>
      <c r="AI163" s="1440"/>
      <c r="AJ163" s="1680"/>
      <c r="AK163" s="1441"/>
      <c r="AL163" s="1443"/>
      <c r="AM163" s="1709"/>
      <c r="AN163" s="1442"/>
      <c r="AO163" s="1680"/>
      <c r="AP163" s="3373" t="str">
        <f t="shared" si="53"/>
        <v/>
      </c>
      <c r="BU163" s="417"/>
      <c r="BV163" s="417"/>
      <c r="BW163" s="417"/>
      <c r="BX163" s="417"/>
      <c r="BY163" s="417"/>
      <c r="BZ163" s="417"/>
      <c r="CA163" s="418" t="str">
        <f t="shared" si="54"/>
        <v/>
      </c>
      <c r="CB163" s="417"/>
      <c r="CC163" s="417"/>
      <c r="CD163" s="417"/>
      <c r="CE163"/>
      <c r="CK163" s="417"/>
      <c r="CM163" s="419">
        <f t="shared" si="55"/>
        <v>0</v>
      </c>
      <c r="DI163"/>
    </row>
    <row r="164" spans="1:113">
      <c r="A164" s="4714" t="s">
        <v>3572</v>
      </c>
      <c r="B164" s="3290">
        <f t="shared" si="50"/>
        <v>0</v>
      </c>
      <c r="C164" s="3346">
        <f t="shared" si="51"/>
        <v>0</v>
      </c>
      <c r="D164" s="4768">
        <f t="shared" si="52"/>
        <v>0</v>
      </c>
      <c r="E164" s="1440"/>
      <c r="F164" s="1680"/>
      <c r="G164" s="1440"/>
      <c r="H164" s="1680"/>
      <c r="I164" s="1440"/>
      <c r="J164" s="1680"/>
      <c r="K164" s="1440"/>
      <c r="L164" s="1680"/>
      <c r="M164" s="1441"/>
      <c r="N164" s="1443"/>
      <c r="O164" s="1440"/>
      <c r="P164" s="1680"/>
      <c r="Q164" s="1440"/>
      <c r="R164" s="1680"/>
      <c r="S164" s="1440"/>
      <c r="T164" s="1680"/>
      <c r="U164" s="1440"/>
      <c r="V164" s="1680"/>
      <c r="W164" s="1440"/>
      <c r="X164" s="1680"/>
      <c r="Y164" s="1440"/>
      <c r="Z164" s="1680"/>
      <c r="AA164" s="1440"/>
      <c r="AB164" s="1680"/>
      <c r="AC164" s="1440"/>
      <c r="AD164" s="1443"/>
      <c r="AE164" s="1440"/>
      <c r="AF164" s="1680"/>
      <c r="AG164" s="1440"/>
      <c r="AH164" s="1680"/>
      <c r="AI164" s="1440"/>
      <c r="AJ164" s="1680"/>
      <c r="AK164" s="1441"/>
      <c r="AL164" s="1443"/>
      <c r="AM164" s="1709"/>
      <c r="AN164" s="1442"/>
      <c r="AO164" s="1680"/>
      <c r="AP164" s="3373" t="str">
        <f t="shared" si="53"/>
        <v/>
      </c>
      <c r="BU164" s="417"/>
      <c r="BV164" s="417"/>
      <c r="BW164" s="417"/>
      <c r="BX164" s="417"/>
      <c r="BY164" s="417"/>
      <c r="BZ164" s="417"/>
      <c r="CA164" s="418" t="str">
        <f t="shared" si="54"/>
        <v/>
      </c>
      <c r="CB164" s="417"/>
      <c r="CC164" s="417"/>
      <c r="CD164" s="417"/>
      <c r="CE164"/>
      <c r="CK164" s="417"/>
      <c r="CM164" s="419">
        <f t="shared" si="55"/>
        <v>0</v>
      </c>
      <c r="DI164"/>
    </row>
    <row r="165" spans="1:113">
      <c r="A165" s="4714" t="s">
        <v>3573</v>
      </c>
      <c r="B165" s="3290">
        <f t="shared" si="50"/>
        <v>0</v>
      </c>
      <c r="C165" s="3346">
        <f t="shared" si="51"/>
        <v>0</v>
      </c>
      <c r="D165" s="4768">
        <f t="shared" si="52"/>
        <v>0</v>
      </c>
      <c r="E165" s="1440"/>
      <c r="F165" s="1680"/>
      <c r="G165" s="1440"/>
      <c r="H165" s="1680"/>
      <c r="I165" s="1440"/>
      <c r="J165" s="1680"/>
      <c r="K165" s="1440"/>
      <c r="L165" s="1680"/>
      <c r="M165" s="1441"/>
      <c r="N165" s="1443"/>
      <c r="O165" s="1440"/>
      <c r="P165" s="1680"/>
      <c r="Q165" s="1440"/>
      <c r="R165" s="1680"/>
      <c r="S165" s="1440"/>
      <c r="T165" s="1680"/>
      <c r="U165" s="1440"/>
      <c r="V165" s="1680"/>
      <c r="W165" s="1440"/>
      <c r="X165" s="1680"/>
      <c r="Y165" s="1440"/>
      <c r="Z165" s="1680"/>
      <c r="AA165" s="1440"/>
      <c r="AB165" s="1680"/>
      <c r="AC165" s="1440"/>
      <c r="AD165" s="1443"/>
      <c r="AE165" s="1440"/>
      <c r="AF165" s="1680"/>
      <c r="AG165" s="1440"/>
      <c r="AH165" s="1680"/>
      <c r="AI165" s="1440"/>
      <c r="AJ165" s="1680"/>
      <c r="AK165" s="1441"/>
      <c r="AL165" s="1443"/>
      <c r="AM165" s="1709"/>
      <c r="AN165" s="1442"/>
      <c r="AO165" s="1680"/>
      <c r="AP165" s="3373" t="str">
        <f t="shared" si="53"/>
        <v/>
      </c>
      <c r="BU165" s="417"/>
      <c r="BV165" s="417"/>
      <c r="BW165" s="417"/>
      <c r="BX165" s="417"/>
      <c r="BY165" s="417"/>
      <c r="BZ165" s="417"/>
      <c r="CA165" s="418" t="str">
        <f t="shared" si="54"/>
        <v/>
      </c>
      <c r="CB165" s="417"/>
      <c r="CC165" s="417"/>
      <c r="CD165" s="417"/>
      <c r="CE165"/>
      <c r="CK165" s="417"/>
      <c r="CM165" s="419">
        <f t="shared" si="55"/>
        <v>0</v>
      </c>
      <c r="DI165"/>
    </row>
    <row r="166" spans="1:113">
      <c r="A166" s="4714" t="s">
        <v>3468</v>
      </c>
      <c r="B166" s="3290">
        <f t="shared" si="50"/>
        <v>0</v>
      </c>
      <c r="C166" s="3346">
        <f t="shared" si="51"/>
        <v>0</v>
      </c>
      <c r="D166" s="4768">
        <f t="shared" si="52"/>
        <v>0</v>
      </c>
      <c r="E166" s="1440"/>
      <c r="F166" s="1680"/>
      <c r="G166" s="1440"/>
      <c r="H166" s="1680"/>
      <c r="I166" s="1440"/>
      <c r="J166" s="1680"/>
      <c r="K166" s="1440"/>
      <c r="L166" s="1680"/>
      <c r="M166" s="1441"/>
      <c r="N166" s="1443"/>
      <c r="O166" s="1440"/>
      <c r="P166" s="1680"/>
      <c r="Q166" s="1440"/>
      <c r="R166" s="1680"/>
      <c r="S166" s="1440"/>
      <c r="T166" s="1680"/>
      <c r="U166" s="1440"/>
      <c r="V166" s="1680"/>
      <c r="W166" s="1440"/>
      <c r="X166" s="1680"/>
      <c r="Y166" s="1440"/>
      <c r="Z166" s="1680"/>
      <c r="AA166" s="1440"/>
      <c r="AB166" s="1680"/>
      <c r="AC166" s="1440"/>
      <c r="AD166" s="1443"/>
      <c r="AE166" s="1440"/>
      <c r="AF166" s="1680"/>
      <c r="AG166" s="1440"/>
      <c r="AH166" s="1680"/>
      <c r="AI166" s="1440"/>
      <c r="AJ166" s="1680"/>
      <c r="AK166" s="1441"/>
      <c r="AL166" s="1443"/>
      <c r="AM166" s="1709"/>
      <c r="AN166" s="1442"/>
      <c r="AO166" s="1680"/>
      <c r="AP166" s="3373" t="str">
        <f t="shared" si="53"/>
        <v/>
      </c>
      <c r="BU166" s="417"/>
      <c r="BV166" s="417"/>
      <c r="BW166" s="417"/>
      <c r="BX166" s="417"/>
      <c r="BY166" s="417"/>
      <c r="BZ166" s="417"/>
      <c r="CA166" s="418" t="str">
        <f t="shared" si="54"/>
        <v/>
      </c>
      <c r="CB166" s="417"/>
      <c r="CC166" s="417"/>
      <c r="CD166" s="417"/>
      <c r="CE166"/>
      <c r="CK166" s="417"/>
      <c r="CM166" s="419">
        <f t="shared" si="55"/>
        <v>0</v>
      </c>
      <c r="DI166"/>
    </row>
    <row r="167" spans="1:113">
      <c r="A167" s="4714" t="s">
        <v>3574</v>
      </c>
      <c r="B167" s="3290">
        <f t="shared" si="50"/>
        <v>0</v>
      </c>
      <c r="C167" s="3346">
        <f t="shared" si="51"/>
        <v>0</v>
      </c>
      <c r="D167" s="4768">
        <f t="shared" si="52"/>
        <v>0</v>
      </c>
      <c r="E167" s="1440"/>
      <c r="F167" s="1680"/>
      <c r="G167" s="1440"/>
      <c r="H167" s="1680"/>
      <c r="I167" s="1440"/>
      <c r="J167" s="1680"/>
      <c r="K167" s="1440"/>
      <c r="L167" s="1680"/>
      <c r="M167" s="1441"/>
      <c r="N167" s="1443"/>
      <c r="O167" s="1440"/>
      <c r="P167" s="1680"/>
      <c r="Q167" s="1440"/>
      <c r="R167" s="1680"/>
      <c r="S167" s="1440"/>
      <c r="T167" s="1680"/>
      <c r="U167" s="1440"/>
      <c r="V167" s="1680"/>
      <c r="W167" s="1440"/>
      <c r="X167" s="1680"/>
      <c r="Y167" s="1440"/>
      <c r="Z167" s="1680"/>
      <c r="AA167" s="1440"/>
      <c r="AB167" s="1680"/>
      <c r="AC167" s="1440"/>
      <c r="AD167" s="1443"/>
      <c r="AE167" s="1440"/>
      <c r="AF167" s="1680"/>
      <c r="AG167" s="1440"/>
      <c r="AH167" s="1680"/>
      <c r="AI167" s="1440"/>
      <c r="AJ167" s="1680"/>
      <c r="AK167" s="1441"/>
      <c r="AL167" s="1443"/>
      <c r="AM167" s="1709"/>
      <c r="AN167" s="1442"/>
      <c r="AO167" s="1680"/>
      <c r="AP167" s="3373" t="str">
        <f t="shared" si="53"/>
        <v/>
      </c>
      <c r="BU167" s="417"/>
      <c r="BV167" s="417"/>
      <c r="BW167" s="417"/>
      <c r="BX167" s="417"/>
      <c r="BY167" s="417"/>
      <c r="BZ167" s="417"/>
      <c r="CA167" s="418" t="str">
        <f t="shared" si="54"/>
        <v/>
      </c>
      <c r="CB167" s="417"/>
      <c r="CC167" s="417"/>
      <c r="CD167" s="417"/>
      <c r="CE167"/>
      <c r="CK167" s="417"/>
      <c r="CM167" s="419">
        <f t="shared" si="55"/>
        <v>0</v>
      </c>
      <c r="DI167"/>
    </row>
    <row r="168" spans="1:113">
      <c r="A168" s="4714" t="s">
        <v>3575</v>
      </c>
      <c r="B168" s="3290">
        <f t="shared" si="50"/>
        <v>0</v>
      </c>
      <c r="C168" s="3346">
        <f t="shared" si="51"/>
        <v>0</v>
      </c>
      <c r="D168" s="4768">
        <f t="shared" si="52"/>
        <v>0</v>
      </c>
      <c r="E168" s="1440"/>
      <c r="F168" s="1680"/>
      <c r="G168" s="1440"/>
      <c r="H168" s="1680"/>
      <c r="I168" s="1440"/>
      <c r="J168" s="1680"/>
      <c r="K168" s="1440"/>
      <c r="L168" s="1680"/>
      <c r="M168" s="1441"/>
      <c r="N168" s="1443"/>
      <c r="O168" s="1440"/>
      <c r="P168" s="1680"/>
      <c r="Q168" s="1440"/>
      <c r="R168" s="1680"/>
      <c r="S168" s="1440"/>
      <c r="T168" s="1680"/>
      <c r="U168" s="1440"/>
      <c r="V168" s="1680"/>
      <c r="W168" s="1440"/>
      <c r="X168" s="1680"/>
      <c r="Y168" s="1440"/>
      <c r="Z168" s="1680"/>
      <c r="AA168" s="1440"/>
      <c r="AB168" s="1680"/>
      <c r="AC168" s="1440"/>
      <c r="AD168" s="1443"/>
      <c r="AE168" s="1440"/>
      <c r="AF168" s="1680"/>
      <c r="AG168" s="1440"/>
      <c r="AH168" s="1680"/>
      <c r="AI168" s="1440"/>
      <c r="AJ168" s="1680"/>
      <c r="AK168" s="1441"/>
      <c r="AL168" s="1443"/>
      <c r="AM168" s="1709"/>
      <c r="AN168" s="1442"/>
      <c r="AO168" s="1680"/>
      <c r="AP168" s="3373" t="str">
        <f t="shared" si="53"/>
        <v/>
      </c>
      <c r="BU168" s="417"/>
      <c r="BV168" s="417"/>
      <c r="BW168" s="417"/>
      <c r="BX168" s="417"/>
      <c r="BY168" s="417"/>
      <c r="BZ168" s="417"/>
      <c r="CA168" s="418" t="str">
        <f t="shared" si="54"/>
        <v/>
      </c>
      <c r="CB168" s="417"/>
      <c r="CC168" s="417"/>
      <c r="CD168" s="417"/>
      <c r="CE168"/>
      <c r="CK168" s="417"/>
      <c r="CM168" s="419">
        <f t="shared" si="55"/>
        <v>0</v>
      </c>
      <c r="DI168"/>
    </row>
    <row r="169" spans="1:113">
      <c r="A169" s="4714" t="s">
        <v>3576</v>
      </c>
      <c r="B169" s="3290">
        <f t="shared" si="50"/>
        <v>0</v>
      </c>
      <c r="C169" s="3346">
        <f t="shared" si="51"/>
        <v>0</v>
      </c>
      <c r="D169" s="4768">
        <f t="shared" si="52"/>
        <v>0</v>
      </c>
      <c r="E169" s="1440"/>
      <c r="F169" s="1680"/>
      <c r="G169" s="1440"/>
      <c r="H169" s="1680"/>
      <c r="I169" s="1440"/>
      <c r="J169" s="1680"/>
      <c r="K169" s="1440"/>
      <c r="L169" s="1680"/>
      <c r="M169" s="1441"/>
      <c r="N169" s="1443"/>
      <c r="O169" s="1440"/>
      <c r="P169" s="1680"/>
      <c r="Q169" s="1440"/>
      <c r="R169" s="1680"/>
      <c r="S169" s="1440"/>
      <c r="T169" s="1680"/>
      <c r="U169" s="1440"/>
      <c r="V169" s="1680"/>
      <c r="W169" s="1440"/>
      <c r="X169" s="1680"/>
      <c r="Y169" s="1440"/>
      <c r="Z169" s="1680"/>
      <c r="AA169" s="1440"/>
      <c r="AB169" s="1680"/>
      <c r="AC169" s="1440"/>
      <c r="AD169" s="1443"/>
      <c r="AE169" s="1440"/>
      <c r="AF169" s="1680"/>
      <c r="AG169" s="1440"/>
      <c r="AH169" s="1680"/>
      <c r="AI169" s="1440"/>
      <c r="AJ169" s="1680"/>
      <c r="AK169" s="1441"/>
      <c r="AL169" s="1443"/>
      <c r="AM169" s="1709"/>
      <c r="AN169" s="1442"/>
      <c r="AO169" s="1680"/>
      <c r="AP169" s="3373" t="str">
        <f t="shared" si="53"/>
        <v/>
      </c>
      <c r="BU169" s="417"/>
      <c r="BV169" s="417"/>
      <c r="BW169" s="417"/>
      <c r="BX169" s="417"/>
      <c r="BY169" s="417"/>
      <c r="BZ169" s="417"/>
      <c r="CA169" s="418" t="str">
        <f t="shared" si="54"/>
        <v/>
      </c>
      <c r="CB169" s="417"/>
      <c r="CC169" s="417"/>
      <c r="CD169" s="417"/>
      <c r="CE169"/>
      <c r="CK169" s="417"/>
      <c r="CM169" s="419">
        <f t="shared" si="55"/>
        <v>0</v>
      </c>
      <c r="DI169"/>
    </row>
    <row r="170" spans="1:113">
      <c r="A170" s="4714" t="s">
        <v>3241</v>
      </c>
      <c r="B170" s="3290">
        <f t="shared" si="50"/>
        <v>0</v>
      </c>
      <c r="C170" s="3346">
        <f t="shared" si="51"/>
        <v>0</v>
      </c>
      <c r="D170" s="4768">
        <f t="shared" si="52"/>
        <v>0</v>
      </c>
      <c r="E170" s="1440"/>
      <c r="F170" s="1680"/>
      <c r="G170" s="1440"/>
      <c r="H170" s="1680"/>
      <c r="I170" s="1440"/>
      <c r="J170" s="1680"/>
      <c r="K170" s="1440"/>
      <c r="L170" s="1680"/>
      <c r="M170" s="1441"/>
      <c r="N170" s="1443"/>
      <c r="O170" s="1440"/>
      <c r="P170" s="1680"/>
      <c r="Q170" s="1440"/>
      <c r="R170" s="1680"/>
      <c r="S170" s="1440"/>
      <c r="T170" s="1680"/>
      <c r="U170" s="1440"/>
      <c r="V170" s="1680"/>
      <c r="W170" s="1440"/>
      <c r="X170" s="1680"/>
      <c r="Y170" s="1440"/>
      <c r="Z170" s="1680"/>
      <c r="AA170" s="1440"/>
      <c r="AB170" s="1680"/>
      <c r="AC170" s="1440"/>
      <c r="AD170" s="1443"/>
      <c r="AE170" s="1440"/>
      <c r="AF170" s="1680"/>
      <c r="AG170" s="1440"/>
      <c r="AH170" s="1680"/>
      <c r="AI170" s="1440"/>
      <c r="AJ170" s="1680"/>
      <c r="AK170" s="1441"/>
      <c r="AL170" s="1443"/>
      <c r="AM170" s="1709"/>
      <c r="AN170" s="1442"/>
      <c r="AO170" s="1680"/>
      <c r="AP170" s="3373" t="str">
        <f t="shared" si="53"/>
        <v/>
      </c>
      <c r="BU170" s="417"/>
      <c r="BV170" s="417"/>
      <c r="BW170" s="417"/>
      <c r="BX170" s="417"/>
      <c r="BY170" s="417"/>
      <c r="BZ170" s="417"/>
      <c r="CA170" s="418" t="str">
        <f t="shared" si="54"/>
        <v/>
      </c>
      <c r="CB170" s="417"/>
      <c r="CC170" s="417"/>
      <c r="CD170" s="417"/>
      <c r="CE170"/>
      <c r="CK170" s="417"/>
      <c r="CM170" s="419">
        <f t="shared" si="55"/>
        <v>0</v>
      </c>
      <c r="DI170"/>
    </row>
    <row r="171" spans="1:113">
      <c r="A171" s="4714" t="s">
        <v>3577</v>
      </c>
      <c r="B171" s="3290">
        <f t="shared" si="50"/>
        <v>0</v>
      </c>
      <c r="C171" s="3346">
        <f t="shared" si="51"/>
        <v>0</v>
      </c>
      <c r="D171" s="4768">
        <f t="shared" si="52"/>
        <v>0</v>
      </c>
      <c r="E171" s="1440"/>
      <c r="F171" s="1680"/>
      <c r="G171" s="1440"/>
      <c r="H171" s="1680"/>
      <c r="I171" s="1440"/>
      <c r="J171" s="1680"/>
      <c r="K171" s="1440"/>
      <c r="L171" s="1680"/>
      <c r="M171" s="1441"/>
      <c r="N171" s="1443"/>
      <c r="O171" s="1440"/>
      <c r="P171" s="1680"/>
      <c r="Q171" s="1440"/>
      <c r="R171" s="1680"/>
      <c r="S171" s="1440"/>
      <c r="T171" s="1680"/>
      <c r="U171" s="1440"/>
      <c r="V171" s="1680"/>
      <c r="W171" s="1440"/>
      <c r="X171" s="1680"/>
      <c r="Y171" s="1440"/>
      <c r="Z171" s="1680"/>
      <c r="AA171" s="1440"/>
      <c r="AB171" s="1680"/>
      <c r="AC171" s="1440"/>
      <c r="AD171" s="1443"/>
      <c r="AE171" s="1440"/>
      <c r="AF171" s="1680"/>
      <c r="AG171" s="1440"/>
      <c r="AH171" s="1680"/>
      <c r="AI171" s="1440"/>
      <c r="AJ171" s="1680"/>
      <c r="AK171" s="1441"/>
      <c r="AL171" s="1443"/>
      <c r="AM171" s="1709"/>
      <c r="AN171" s="1442"/>
      <c r="AO171" s="1680"/>
      <c r="AP171" s="3373" t="str">
        <f t="shared" si="53"/>
        <v/>
      </c>
      <c r="BU171" s="417"/>
      <c r="BV171" s="417"/>
      <c r="BW171" s="417"/>
      <c r="BX171" s="417"/>
      <c r="BY171" s="417"/>
      <c r="BZ171" s="417"/>
      <c r="CA171" s="418" t="str">
        <f t="shared" si="54"/>
        <v/>
      </c>
      <c r="CB171" s="417"/>
      <c r="CC171" s="417"/>
      <c r="CD171" s="417"/>
      <c r="CE171"/>
      <c r="CK171" s="417"/>
      <c r="CM171" s="419">
        <f t="shared" si="55"/>
        <v>0</v>
      </c>
      <c r="DI171"/>
    </row>
    <row r="172" spans="1:113">
      <c r="A172" s="4714" t="s">
        <v>3480</v>
      </c>
      <c r="B172" s="3290">
        <f t="shared" si="50"/>
        <v>0</v>
      </c>
      <c r="C172" s="3346">
        <f t="shared" si="51"/>
        <v>0</v>
      </c>
      <c r="D172" s="4768">
        <f t="shared" si="52"/>
        <v>0</v>
      </c>
      <c r="E172" s="1440"/>
      <c r="F172" s="1680"/>
      <c r="G172" s="1440"/>
      <c r="H172" s="1680"/>
      <c r="I172" s="1440"/>
      <c r="J172" s="1680"/>
      <c r="K172" s="1440"/>
      <c r="L172" s="1680"/>
      <c r="M172" s="1441"/>
      <c r="N172" s="1443"/>
      <c r="O172" s="1440"/>
      <c r="P172" s="1680"/>
      <c r="Q172" s="1440"/>
      <c r="R172" s="1680"/>
      <c r="S172" s="1440"/>
      <c r="T172" s="1680"/>
      <c r="U172" s="1440"/>
      <c r="V172" s="1680"/>
      <c r="W172" s="1440"/>
      <c r="X172" s="1680"/>
      <c r="Y172" s="1440"/>
      <c r="Z172" s="1680"/>
      <c r="AA172" s="1440"/>
      <c r="AB172" s="1680"/>
      <c r="AC172" s="1440"/>
      <c r="AD172" s="1443"/>
      <c r="AE172" s="1440"/>
      <c r="AF172" s="1680"/>
      <c r="AG172" s="1440"/>
      <c r="AH172" s="1680"/>
      <c r="AI172" s="1440"/>
      <c r="AJ172" s="1680"/>
      <c r="AK172" s="1441"/>
      <c r="AL172" s="1443"/>
      <c r="AM172" s="1709"/>
      <c r="AN172" s="1442"/>
      <c r="AO172" s="1680"/>
      <c r="AP172" s="3373" t="str">
        <f t="shared" si="53"/>
        <v/>
      </c>
      <c r="BU172" s="417"/>
      <c r="BV172" s="417"/>
      <c r="BW172" s="417"/>
      <c r="BX172" s="417"/>
      <c r="BY172" s="417"/>
      <c r="BZ172" s="417"/>
      <c r="CA172" s="418" t="str">
        <f t="shared" si="54"/>
        <v/>
      </c>
      <c r="CB172" s="417"/>
      <c r="CC172" s="417"/>
      <c r="CD172" s="417"/>
      <c r="CE172"/>
      <c r="CK172" s="417"/>
      <c r="CM172" s="419">
        <f t="shared" si="55"/>
        <v>0</v>
      </c>
      <c r="DI172"/>
    </row>
    <row r="173" spans="1:113">
      <c r="A173" s="4714" t="s">
        <v>3481</v>
      </c>
      <c r="B173" s="3290">
        <f t="shared" si="50"/>
        <v>0</v>
      </c>
      <c r="C173" s="3346">
        <f t="shared" si="51"/>
        <v>0</v>
      </c>
      <c r="D173" s="4768">
        <f t="shared" si="52"/>
        <v>0</v>
      </c>
      <c r="E173" s="1440"/>
      <c r="F173" s="1680"/>
      <c r="G173" s="1440"/>
      <c r="H173" s="1680"/>
      <c r="I173" s="1440"/>
      <c r="J173" s="1680"/>
      <c r="K173" s="1440"/>
      <c r="L173" s="1680"/>
      <c r="M173" s="1441"/>
      <c r="N173" s="1443"/>
      <c r="O173" s="1440"/>
      <c r="P173" s="1680"/>
      <c r="Q173" s="1440"/>
      <c r="R173" s="1680"/>
      <c r="S173" s="1440"/>
      <c r="T173" s="1680"/>
      <c r="U173" s="1440"/>
      <c r="V173" s="1680"/>
      <c r="W173" s="1440"/>
      <c r="X173" s="1680"/>
      <c r="Y173" s="1440"/>
      <c r="Z173" s="1680"/>
      <c r="AA173" s="1440"/>
      <c r="AB173" s="1680"/>
      <c r="AC173" s="1440"/>
      <c r="AD173" s="1443"/>
      <c r="AE173" s="1440"/>
      <c r="AF173" s="1680"/>
      <c r="AG173" s="1440"/>
      <c r="AH173" s="1680"/>
      <c r="AI173" s="1440"/>
      <c r="AJ173" s="1680"/>
      <c r="AK173" s="1441"/>
      <c r="AL173" s="1443"/>
      <c r="AM173" s="1709"/>
      <c r="AN173" s="1442"/>
      <c r="AO173" s="1680"/>
      <c r="AP173" s="3373" t="str">
        <f t="shared" si="53"/>
        <v/>
      </c>
      <c r="BU173" s="417"/>
      <c r="BV173" s="417"/>
      <c r="BW173" s="417"/>
      <c r="BX173" s="417"/>
      <c r="BY173" s="417"/>
      <c r="BZ173" s="417"/>
      <c r="CA173" s="418" t="str">
        <f t="shared" si="54"/>
        <v/>
      </c>
      <c r="CB173" s="417"/>
      <c r="CC173" s="417"/>
      <c r="CD173" s="417"/>
      <c r="CE173"/>
      <c r="CK173" s="417"/>
      <c r="CM173" s="419">
        <f t="shared" si="55"/>
        <v>0</v>
      </c>
      <c r="DI173"/>
    </row>
    <row r="174" spans="1:113">
      <c r="A174" s="4714" t="s">
        <v>3578</v>
      </c>
      <c r="B174" s="3290">
        <f t="shared" si="50"/>
        <v>0</v>
      </c>
      <c r="C174" s="3346">
        <f t="shared" si="51"/>
        <v>0</v>
      </c>
      <c r="D174" s="4768">
        <f t="shared" si="52"/>
        <v>0</v>
      </c>
      <c r="E174" s="1440"/>
      <c r="F174" s="1680"/>
      <c r="G174" s="1440"/>
      <c r="H174" s="1680"/>
      <c r="I174" s="1440"/>
      <c r="J174" s="1680"/>
      <c r="K174" s="1440"/>
      <c r="L174" s="1680"/>
      <c r="M174" s="1441"/>
      <c r="N174" s="1443"/>
      <c r="O174" s="1440"/>
      <c r="P174" s="1680"/>
      <c r="Q174" s="1440"/>
      <c r="R174" s="1680"/>
      <c r="S174" s="1440"/>
      <c r="T174" s="1680"/>
      <c r="U174" s="1440"/>
      <c r="V174" s="1680"/>
      <c r="W174" s="1440"/>
      <c r="X174" s="1680"/>
      <c r="Y174" s="1440"/>
      <c r="Z174" s="1680"/>
      <c r="AA174" s="1440"/>
      <c r="AB174" s="1680"/>
      <c r="AC174" s="1440"/>
      <c r="AD174" s="1443"/>
      <c r="AE174" s="1440"/>
      <c r="AF174" s="1680"/>
      <c r="AG174" s="1440"/>
      <c r="AH174" s="1680"/>
      <c r="AI174" s="1440"/>
      <c r="AJ174" s="1680"/>
      <c r="AK174" s="1441"/>
      <c r="AL174" s="1443"/>
      <c r="AM174" s="1709"/>
      <c r="AN174" s="1442"/>
      <c r="AO174" s="1680"/>
      <c r="AP174" s="3373" t="str">
        <f t="shared" si="53"/>
        <v/>
      </c>
      <c r="BU174" s="417"/>
      <c r="BV174" s="417"/>
      <c r="BW174" s="417"/>
      <c r="BX174" s="417"/>
      <c r="BY174" s="417"/>
      <c r="BZ174" s="417"/>
      <c r="CA174" s="418" t="str">
        <f t="shared" si="54"/>
        <v/>
      </c>
      <c r="CB174" s="417"/>
      <c r="CC174" s="417"/>
      <c r="CD174" s="417"/>
      <c r="CE174"/>
      <c r="CK174" s="417"/>
      <c r="CM174" s="419">
        <f t="shared" si="55"/>
        <v>0</v>
      </c>
      <c r="DI174"/>
    </row>
    <row r="175" spans="1:113">
      <c r="A175" s="4714" t="s">
        <v>3579</v>
      </c>
      <c r="B175" s="3290">
        <f t="shared" si="50"/>
        <v>0</v>
      </c>
      <c r="C175" s="3346">
        <f t="shared" si="51"/>
        <v>0</v>
      </c>
      <c r="D175" s="4768">
        <f t="shared" si="52"/>
        <v>0</v>
      </c>
      <c r="E175" s="1440"/>
      <c r="F175" s="1680"/>
      <c r="G175" s="1440"/>
      <c r="H175" s="1680"/>
      <c r="I175" s="1440"/>
      <c r="J175" s="1680"/>
      <c r="K175" s="1440"/>
      <c r="L175" s="1680"/>
      <c r="M175" s="1441"/>
      <c r="N175" s="1443"/>
      <c r="O175" s="1440"/>
      <c r="P175" s="1680"/>
      <c r="Q175" s="1440"/>
      <c r="R175" s="1680"/>
      <c r="S175" s="1440"/>
      <c r="T175" s="1680"/>
      <c r="U175" s="1440"/>
      <c r="V175" s="1680"/>
      <c r="W175" s="1440"/>
      <c r="X175" s="1680"/>
      <c r="Y175" s="1440"/>
      <c r="Z175" s="1680"/>
      <c r="AA175" s="1440"/>
      <c r="AB175" s="1680"/>
      <c r="AC175" s="1440"/>
      <c r="AD175" s="1443"/>
      <c r="AE175" s="1440"/>
      <c r="AF175" s="1680"/>
      <c r="AG175" s="1440"/>
      <c r="AH175" s="1680"/>
      <c r="AI175" s="1440"/>
      <c r="AJ175" s="1680"/>
      <c r="AK175" s="1441"/>
      <c r="AL175" s="1443"/>
      <c r="AM175" s="1709"/>
      <c r="AN175" s="1442"/>
      <c r="AO175" s="1680"/>
      <c r="AP175" s="3373" t="str">
        <f t="shared" si="53"/>
        <v/>
      </c>
      <c r="BU175" s="417"/>
      <c r="BV175" s="417"/>
      <c r="BW175" s="417"/>
      <c r="BX175" s="417"/>
      <c r="BY175" s="417"/>
      <c r="BZ175" s="417"/>
      <c r="CA175" s="418" t="str">
        <f t="shared" si="54"/>
        <v/>
      </c>
      <c r="CB175" s="417"/>
      <c r="CC175" s="417"/>
      <c r="CD175" s="417"/>
      <c r="CE175"/>
      <c r="CK175" s="417"/>
      <c r="CM175" s="419">
        <f t="shared" si="55"/>
        <v>0</v>
      </c>
      <c r="DI175"/>
    </row>
    <row r="176" spans="1:113">
      <c r="A176" s="4714" t="s">
        <v>3477</v>
      </c>
      <c r="B176" s="3290">
        <f t="shared" si="50"/>
        <v>0</v>
      </c>
      <c r="C176" s="3346">
        <f t="shared" si="51"/>
        <v>0</v>
      </c>
      <c r="D176" s="4768">
        <f t="shared" si="52"/>
        <v>0</v>
      </c>
      <c r="E176" s="1440"/>
      <c r="F176" s="1680"/>
      <c r="G176" s="1440"/>
      <c r="H176" s="1680"/>
      <c r="I176" s="1440"/>
      <c r="J176" s="1680"/>
      <c r="K176" s="1440"/>
      <c r="L176" s="1680"/>
      <c r="M176" s="1441"/>
      <c r="N176" s="1443"/>
      <c r="O176" s="1440"/>
      <c r="P176" s="1680"/>
      <c r="Q176" s="1440"/>
      <c r="R176" s="1680"/>
      <c r="S176" s="1440"/>
      <c r="T176" s="1680"/>
      <c r="U176" s="1440"/>
      <c r="V176" s="1680"/>
      <c r="W176" s="1440"/>
      <c r="X176" s="1680"/>
      <c r="Y176" s="1440"/>
      <c r="Z176" s="1680"/>
      <c r="AA176" s="1440"/>
      <c r="AB176" s="1680"/>
      <c r="AC176" s="1440"/>
      <c r="AD176" s="1443"/>
      <c r="AE176" s="1440"/>
      <c r="AF176" s="1680"/>
      <c r="AG176" s="1440"/>
      <c r="AH176" s="1680"/>
      <c r="AI176" s="1440"/>
      <c r="AJ176" s="1680"/>
      <c r="AK176" s="1441"/>
      <c r="AL176" s="1443"/>
      <c r="AM176" s="1709"/>
      <c r="AN176" s="1442"/>
      <c r="AO176" s="1680"/>
      <c r="AP176" s="3373" t="str">
        <f t="shared" si="53"/>
        <v/>
      </c>
      <c r="BU176" s="417"/>
      <c r="BV176" s="417"/>
      <c r="BW176" s="417"/>
      <c r="BX176" s="417"/>
      <c r="BY176" s="417"/>
      <c r="BZ176" s="417"/>
      <c r="CA176" s="418" t="str">
        <f t="shared" si="54"/>
        <v/>
      </c>
      <c r="CB176" s="417"/>
      <c r="CC176" s="417"/>
      <c r="CD176" s="417"/>
      <c r="CE176"/>
      <c r="CK176" s="417"/>
      <c r="CM176" s="419">
        <f t="shared" si="55"/>
        <v>0</v>
      </c>
      <c r="DI176"/>
    </row>
    <row r="177" spans="1:113">
      <c r="A177" s="4769" t="s">
        <v>619</v>
      </c>
      <c r="B177" s="3290">
        <f t="shared" si="50"/>
        <v>0</v>
      </c>
      <c r="C177" s="3346">
        <f t="shared" si="51"/>
        <v>0</v>
      </c>
      <c r="D177" s="4768">
        <f t="shared" si="52"/>
        <v>0</v>
      </c>
      <c r="E177" s="1485"/>
      <c r="F177" s="1824"/>
      <c r="G177" s="1485"/>
      <c r="H177" s="1824"/>
      <c r="I177" s="1485"/>
      <c r="J177" s="1824"/>
      <c r="K177" s="1485"/>
      <c r="L177" s="1824"/>
      <c r="M177" s="1826"/>
      <c r="N177" s="2352"/>
      <c r="O177" s="1485"/>
      <c r="P177" s="1824"/>
      <c r="Q177" s="1485"/>
      <c r="R177" s="1824"/>
      <c r="S177" s="1485"/>
      <c r="T177" s="1824"/>
      <c r="U177" s="1485"/>
      <c r="V177" s="1824"/>
      <c r="W177" s="1485"/>
      <c r="X177" s="1824"/>
      <c r="Y177" s="1485"/>
      <c r="Z177" s="1824"/>
      <c r="AA177" s="1485"/>
      <c r="AB177" s="1824"/>
      <c r="AC177" s="1485"/>
      <c r="AD177" s="2352"/>
      <c r="AE177" s="1485"/>
      <c r="AF177" s="1824"/>
      <c r="AG177" s="1485"/>
      <c r="AH177" s="1824"/>
      <c r="AI177" s="1485"/>
      <c r="AJ177" s="1824"/>
      <c r="AK177" s="1826"/>
      <c r="AL177" s="2352"/>
      <c r="AM177" s="1711"/>
      <c r="AN177" s="1712"/>
      <c r="AO177" s="1824"/>
      <c r="AP177" s="3373" t="str">
        <f t="shared" si="53"/>
        <v/>
      </c>
      <c r="BU177" s="417"/>
      <c r="BV177" s="417"/>
      <c r="BW177" s="417"/>
      <c r="BX177" s="417"/>
      <c r="BY177" s="417"/>
      <c r="BZ177" s="417"/>
      <c r="CA177" s="418" t="str">
        <f t="shared" si="54"/>
        <v/>
      </c>
      <c r="CB177" s="417"/>
      <c r="CC177" s="417"/>
      <c r="CD177" s="417"/>
      <c r="CE177"/>
      <c r="CK177" s="417"/>
      <c r="CM177" s="419">
        <f t="shared" si="55"/>
        <v>0</v>
      </c>
      <c r="DI177"/>
    </row>
    <row r="178" spans="1:113">
      <c r="A178" s="1715" t="s">
        <v>933</v>
      </c>
      <c r="B178" s="4770">
        <f>SUM(B179:B183)</f>
        <v>0</v>
      </c>
      <c r="C178" s="4771">
        <f t="shared" ref="C178:AO178" si="56">SUM(C179:C183)</f>
        <v>0</v>
      </c>
      <c r="D178" s="4772">
        <f t="shared" si="56"/>
        <v>0</v>
      </c>
      <c r="E178" s="401">
        <f t="shared" si="56"/>
        <v>0</v>
      </c>
      <c r="F178" s="392">
        <f t="shared" si="56"/>
        <v>0</v>
      </c>
      <c r="G178" s="401">
        <f t="shared" si="56"/>
        <v>0</v>
      </c>
      <c r="H178" s="392">
        <f t="shared" si="56"/>
        <v>0</v>
      </c>
      <c r="I178" s="401">
        <f t="shared" si="56"/>
        <v>0</v>
      </c>
      <c r="J178" s="392">
        <f t="shared" si="56"/>
        <v>0</v>
      </c>
      <c r="K178" s="401">
        <f t="shared" si="56"/>
        <v>0</v>
      </c>
      <c r="L178" s="392">
        <f t="shared" si="56"/>
        <v>0</v>
      </c>
      <c r="M178" s="401">
        <f t="shared" si="56"/>
        <v>0</v>
      </c>
      <c r="N178" s="404">
        <f t="shared" si="56"/>
        <v>0</v>
      </c>
      <c r="O178" s="401">
        <f t="shared" si="56"/>
        <v>0</v>
      </c>
      <c r="P178" s="392">
        <f t="shared" si="56"/>
        <v>0</v>
      </c>
      <c r="Q178" s="401">
        <f t="shared" si="56"/>
        <v>0</v>
      </c>
      <c r="R178" s="392">
        <f t="shared" si="56"/>
        <v>0</v>
      </c>
      <c r="S178" s="401">
        <f t="shared" si="56"/>
        <v>0</v>
      </c>
      <c r="T178" s="392">
        <f t="shared" si="56"/>
        <v>0</v>
      </c>
      <c r="U178" s="401">
        <f t="shared" si="56"/>
        <v>0</v>
      </c>
      <c r="V178" s="392">
        <f t="shared" si="56"/>
        <v>0</v>
      </c>
      <c r="W178" s="401">
        <f t="shared" si="56"/>
        <v>0</v>
      </c>
      <c r="X178" s="392">
        <f t="shared" si="56"/>
        <v>0</v>
      </c>
      <c r="Y178" s="401">
        <f t="shared" si="56"/>
        <v>0</v>
      </c>
      <c r="Z178" s="392">
        <f t="shared" si="56"/>
        <v>0</v>
      </c>
      <c r="AA178" s="401">
        <f t="shared" si="56"/>
        <v>0</v>
      </c>
      <c r="AB178" s="392">
        <f t="shared" si="56"/>
        <v>0</v>
      </c>
      <c r="AC178" s="401">
        <f t="shared" si="56"/>
        <v>0</v>
      </c>
      <c r="AD178" s="404">
        <f t="shared" si="56"/>
        <v>0</v>
      </c>
      <c r="AE178" s="401">
        <f t="shared" si="56"/>
        <v>0</v>
      </c>
      <c r="AF178" s="392">
        <f t="shared" si="56"/>
        <v>0</v>
      </c>
      <c r="AG178" s="401">
        <f t="shared" si="56"/>
        <v>0</v>
      </c>
      <c r="AH178" s="392">
        <f t="shared" si="56"/>
        <v>0</v>
      </c>
      <c r="AI178" s="401">
        <f t="shared" si="56"/>
        <v>0</v>
      </c>
      <c r="AJ178" s="392">
        <f t="shared" si="56"/>
        <v>0</v>
      </c>
      <c r="AK178" s="404">
        <f t="shared" si="56"/>
        <v>0</v>
      </c>
      <c r="AL178" s="4064">
        <f t="shared" si="56"/>
        <v>0</v>
      </c>
      <c r="AM178" s="2060">
        <f t="shared" si="56"/>
        <v>0</v>
      </c>
      <c r="AN178" s="1501">
        <f t="shared" si="56"/>
        <v>0</v>
      </c>
      <c r="AO178" s="403">
        <f t="shared" si="56"/>
        <v>0</v>
      </c>
      <c r="AP178" s="3373"/>
      <c r="BU178" s="417"/>
      <c r="BV178" s="417"/>
      <c r="BW178" s="417"/>
      <c r="BX178" s="417"/>
      <c r="BY178" s="417"/>
      <c r="BZ178" s="417"/>
      <c r="CA178" s="417"/>
      <c r="CB178" s="417"/>
      <c r="CC178" s="417"/>
      <c r="CD178" s="417"/>
      <c r="CE178"/>
      <c r="CK178" s="417"/>
      <c r="CM178"/>
      <c r="DI178"/>
    </row>
    <row r="179" spans="1:113">
      <c r="A179" s="4681" t="s">
        <v>3450</v>
      </c>
      <c r="B179" s="4773">
        <f t="shared" ref="B179:B183" si="57">SUM(C179:D179)</f>
        <v>0</v>
      </c>
      <c r="C179" s="3346">
        <f t="shared" ref="C179:D183" si="58">E179+G179+I179+K179+M179+O179+Q179+S179+U179+W179+Y179+AA179+AC179+AE179+AG179+AI179+AK179</f>
        <v>0</v>
      </c>
      <c r="D179" s="4768">
        <f t="shared" si="58"/>
        <v>0</v>
      </c>
      <c r="E179" s="1480"/>
      <c r="F179" s="1769"/>
      <c r="G179" s="1480"/>
      <c r="H179" s="1769"/>
      <c r="I179" s="1480"/>
      <c r="J179" s="1769"/>
      <c r="K179" s="1480"/>
      <c r="L179" s="1769"/>
      <c r="M179" s="1796"/>
      <c r="N179" s="1959"/>
      <c r="O179" s="1480"/>
      <c r="P179" s="1769"/>
      <c r="Q179" s="1480"/>
      <c r="R179" s="1769"/>
      <c r="S179" s="1480"/>
      <c r="T179" s="1769"/>
      <c r="U179" s="1480"/>
      <c r="V179" s="1769"/>
      <c r="W179" s="1480"/>
      <c r="X179" s="1769"/>
      <c r="Y179" s="1480"/>
      <c r="Z179" s="1769"/>
      <c r="AA179" s="1480"/>
      <c r="AB179" s="1769"/>
      <c r="AC179" s="1480"/>
      <c r="AD179" s="1959"/>
      <c r="AE179" s="1480"/>
      <c r="AF179" s="1769"/>
      <c r="AG179" s="1480"/>
      <c r="AH179" s="1769"/>
      <c r="AI179" s="1480"/>
      <c r="AJ179" s="1769"/>
      <c r="AK179" s="1796"/>
      <c r="AL179" s="1959"/>
      <c r="AM179" s="1754"/>
      <c r="AN179" s="1541"/>
      <c r="AO179" s="1769"/>
      <c r="AP179" s="3373" t="str">
        <f t="shared" si="53"/>
        <v/>
      </c>
      <c r="BU179" s="417"/>
      <c r="BV179" s="417"/>
      <c r="BW179" s="417"/>
      <c r="BX179" s="417"/>
      <c r="BY179" s="417"/>
      <c r="BZ179" s="417"/>
      <c r="CA179" s="418" t="str">
        <f t="shared" si="54"/>
        <v/>
      </c>
      <c r="CB179" s="417"/>
      <c r="CC179" s="417"/>
      <c r="CD179" s="417"/>
      <c r="CE179"/>
      <c r="CK179" s="417"/>
      <c r="CM179" s="419">
        <f t="shared" si="55"/>
        <v>0</v>
      </c>
      <c r="DI179"/>
    </row>
    <row r="180" spans="1:113">
      <c r="A180" s="4681" t="s">
        <v>1053</v>
      </c>
      <c r="B180" s="3251">
        <f t="shared" si="57"/>
        <v>0</v>
      </c>
      <c r="C180" s="3346">
        <f t="shared" si="58"/>
        <v>0</v>
      </c>
      <c r="D180" s="4768">
        <f t="shared" si="58"/>
        <v>0</v>
      </c>
      <c r="E180" s="1440"/>
      <c r="F180" s="1680"/>
      <c r="G180" s="1440"/>
      <c r="H180" s="1680"/>
      <c r="I180" s="1440"/>
      <c r="J180" s="1680"/>
      <c r="K180" s="1440"/>
      <c r="L180" s="1680"/>
      <c r="M180" s="1441"/>
      <c r="N180" s="1443"/>
      <c r="O180" s="1440"/>
      <c r="P180" s="1680"/>
      <c r="Q180" s="1440"/>
      <c r="R180" s="1680"/>
      <c r="S180" s="1440"/>
      <c r="T180" s="1680"/>
      <c r="U180" s="1440"/>
      <c r="V180" s="1680"/>
      <c r="W180" s="1440"/>
      <c r="X180" s="1680"/>
      <c r="Y180" s="1440"/>
      <c r="Z180" s="1680"/>
      <c r="AA180" s="1440"/>
      <c r="AB180" s="1680"/>
      <c r="AC180" s="1440"/>
      <c r="AD180" s="1443"/>
      <c r="AE180" s="1440"/>
      <c r="AF180" s="1680"/>
      <c r="AG180" s="1440"/>
      <c r="AH180" s="1680"/>
      <c r="AI180" s="1440"/>
      <c r="AJ180" s="1680"/>
      <c r="AK180" s="1441"/>
      <c r="AL180" s="1443"/>
      <c r="AM180" s="1709"/>
      <c r="AN180" s="1442"/>
      <c r="AO180" s="1680"/>
      <c r="AP180" s="3373" t="str">
        <f t="shared" si="53"/>
        <v/>
      </c>
      <c r="BU180" s="417"/>
      <c r="BV180" s="417"/>
      <c r="BW180" s="417"/>
      <c r="BX180" s="417"/>
      <c r="BY180" s="417"/>
      <c r="BZ180" s="417"/>
      <c r="CA180" s="418" t="str">
        <f t="shared" si="54"/>
        <v/>
      </c>
      <c r="CB180" s="417"/>
      <c r="CC180" s="417"/>
      <c r="CD180" s="417"/>
      <c r="CE180"/>
      <c r="CK180" s="417"/>
      <c r="CM180" s="419">
        <f t="shared" si="55"/>
        <v>0</v>
      </c>
      <c r="DI180"/>
    </row>
    <row r="181" spans="1:113">
      <c r="A181" s="4681" t="s">
        <v>1019</v>
      </c>
      <c r="B181" s="3251">
        <f t="shared" si="57"/>
        <v>0</v>
      </c>
      <c r="C181" s="3346">
        <f t="shared" si="58"/>
        <v>0</v>
      </c>
      <c r="D181" s="4768">
        <f t="shared" si="58"/>
        <v>0</v>
      </c>
      <c r="E181" s="1440"/>
      <c r="F181" s="1680"/>
      <c r="G181" s="1440"/>
      <c r="H181" s="1680"/>
      <c r="I181" s="1440"/>
      <c r="J181" s="1680"/>
      <c r="K181" s="1440"/>
      <c r="L181" s="1680"/>
      <c r="M181" s="1441"/>
      <c r="N181" s="1443"/>
      <c r="O181" s="1440"/>
      <c r="P181" s="1680"/>
      <c r="Q181" s="1440"/>
      <c r="R181" s="1680"/>
      <c r="S181" s="1440"/>
      <c r="T181" s="1680"/>
      <c r="U181" s="1440"/>
      <c r="V181" s="1680"/>
      <c r="W181" s="1440"/>
      <c r="X181" s="1680"/>
      <c r="Y181" s="1440"/>
      <c r="Z181" s="1680"/>
      <c r="AA181" s="1440"/>
      <c r="AB181" s="1680"/>
      <c r="AC181" s="1440"/>
      <c r="AD181" s="1443"/>
      <c r="AE181" s="1440"/>
      <c r="AF181" s="1680"/>
      <c r="AG181" s="1440"/>
      <c r="AH181" s="1680"/>
      <c r="AI181" s="1440"/>
      <c r="AJ181" s="1680"/>
      <c r="AK181" s="1441"/>
      <c r="AL181" s="1443"/>
      <c r="AM181" s="1709"/>
      <c r="AN181" s="1442"/>
      <c r="AO181" s="1680"/>
      <c r="AP181" s="3373" t="str">
        <f t="shared" si="53"/>
        <v/>
      </c>
      <c r="BU181" s="417"/>
      <c r="BV181" s="417"/>
      <c r="BW181" s="417"/>
      <c r="BX181" s="417"/>
      <c r="BY181" s="417"/>
      <c r="BZ181" s="417"/>
      <c r="CA181" s="418" t="str">
        <f t="shared" si="54"/>
        <v/>
      </c>
      <c r="CB181" s="417"/>
      <c r="CC181" s="417"/>
      <c r="CD181" s="417"/>
      <c r="CE181"/>
      <c r="CK181" s="417"/>
      <c r="CM181" s="419">
        <f t="shared" si="55"/>
        <v>0</v>
      </c>
      <c r="DI181"/>
    </row>
    <row r="182" spans="1:113">
      <c r="A182" s="4681" t="s">
        <v>3580</v>
      </c>
      <c r="B182" s="3251">
        <f t="shared" si="57"/>
        <v>0</v>
      </c>
      <c r="C182" s="3346">
        <f t="shared" si="58"/>
        <v>0</v>
      </c>
      <c r="D182" s="4768">
        <f t="shared" si="58"/>
        <v>0</v>
      </c>
      <c r="E182" s="1440"/>
      <c r="F182" s="1680"/>
      <c r="G182" s="1440"/>
      <c r="H182" s="1680"/>
      <c r="I182" s="1440"/>
      <c r="J182" s="1680"/>
      <c r="K182" s="1440"/>
      <c r="L182" s="1680"/>
      <c r="M182" s="1441"/>
      <c r="N182" s="1443"/>
      <c r="O182" s="1440"/>
      <c r="P182" s="1680"/>
      <c r="Q182" s="1440"/>
      <c r="R182" s="1680"/>
      <c r="S182" s="1440"/>
      <c r="T182" s="1680"/>
      <c r="U182" s="1440"/>
      <c r="V182" s="1680"/>
      <c r="W182" s="1440"/>
      <c r="X182" s="1680"/>
      <c r="Y182" s="1440"/>
      <c r="Z182" s="1680"/>
      <c r="AA182" s="1440"/>
      <c r="AB182" s="1680"/>
      <c r="AC182" s="1440"/>
      <c r="AD182" s="1443"/>
      <c r="AE182" s="1440"/>
      <c r="AF182" s="1680"/>
      <c r="AG182" s="1440"/>
      <c r="AH182" s="1680"/>
      <c r="AI182" s="1440"/>
      <c r="AJ182" s="1680"/>
      <c r="AK182" s="1441"/>
      <c r="AL182" s="1443"/>
      <c r="AM182" s="1709"/>
      <c r="AN182" s="1442"/>
      <c r="AO182" s="1680"/>
      <c r="AP182" s="3373" t="str">
        <f t="shared" si="53"/>
        <v/>
      </c>
      <c r="BU182" s="417"/>
      <c r="BV182" s="417"/>
      <c r="BW182" s="417"/>
      <c r="BX182" s="417"/>
      <c r="BY182" s="417"/>
      <c r="BZ182" s="417"/>
      <c r="CA182" s="418" t="str">
        <f t="shared" si="54"/>
        <v/>
      </c>
      <c r="CB182" s="417"/>
      <c r="CC182" s="417"/>
      <c r="CD182" s="417"/>
      <c r="CE182"/>
      <c r="CK182" s="417"/>
      <c r="CM182" s="419">
        <f t="shared" si="55"/>
        <v>0</v>
      </c>
      <c r="DI182"/>
    </row>
    <row r="183" spans="1:113">
      <c r="A183" s="3917" t="s">
        <v>619</v>
      </c>
      <c r="B183" s="1755">
        <f t="shared" si="57"/>
        <v>0</v>
      </c>
      <c r="C183" s="4774">
        <f t="shared" si="58"/>
        <v>0</v>
      </c>
      <c r="D183" s="4775">
        <f t="shared" si="58"/>
        <v>0</v>
      </c>
      <c r="E183" s="1455"/>
      <c r="F183" s="1684"/>
      <c r="G183" s="1455"/>
      <c r="H183" s="1684"/>
      <c r="I183" s="1455"/>
      <c r="J183" s="1684"/>
      <c r="K183" s="1455"/>
      <c r="L183" s="1684"/>
      <c r="M183" s="1456"/>
      <c r="N183" s="1458"/>
      <c r="O183" s="1455"/>
      <c r="P183" s="1684"/>
      <c r="Q183" s="1455"/>
      <c r="R183" s="1684"/>
      <c r="S183" s="1455"/>
      <c r="T183" s="1684"/>
      <c r="U183" s="1455"/>
      <c r="V183" s="1684"/>
      <c r="W183" s="1455"/>
      <c r="X183" s="1684"/>
      <c r="Y183" s="1455"/>
      <c r="Z183" s="1684"/>
      <c r="AA183" s="1455"/>
      <c r="AB183" s="1684"/>
      <c r="AC183" s="1455"/>
      <c r="AD183" s="1458"/>
      <c r="AE183" s="1455"/>
      <c r="AF183" s="1684"/>
      <c r="AG183" s="1455"/>
      <c r="AH183" s="1684"/>
      <c r="AI183" s="1455"/>
      <c r="AJ183" s="1684"/>
      <c r="AK183" s="1456"/>
      <c r="AL183" s="1458"/>
      <c r="AM183" s="1714"/>
      <c r="AN183" s="1457"/>
      <c r="AO183" s="1684"/>
      <c r="AP183" s="3373" t="str">
        <f t="shared" si="53"/>
        <v/>
      </c>
      <c r="BU183" s="417"/>
      <c r="BV183" s="417"/>
      <c r="BW183" s="417"/>
      <c r="BX183" s="417"/>
      <c r="BY183" s="417"/>
      <c r="BZ183" s="417"/>
      <c r="CA183" s="418" t="str">
        <f t="shared" si="54"/>
        <v/>
      </c>
      <c r="CB183" s="417"/>
      <c r="CC183" s="417"/>
      <c r="CD183" s="417"/>
      <c r="CE183"/>
      <c r="CK183" s="417"/>
      <c r="CM183" s="419">
        <f t="shared" si="55"/>
        <v>0</v>
      </c>
      <c r="DI183"/>
    </row>
    <row r="184" spans="1:113">
      <c r="A184" s="2102" t="s">
        <v>3581</v>
      </c>
      <c r="B184" s="1582"/>
      <c r="C184" s="1582"/>
      <c r="D184" s="2102"/>
      <c r="E184" s="1582"/>
      <c r="F184" s="1582"/>
      <c r="G184" s="1582"/>
      <c r="H184" s="1582"/>
      <c r="I184" s="1582"/>
      <c r="J184" s="1582"/>
      <c r="K184" s="1582"/>
      <c r="L184" s="1582"/>
      <c r="M184" s="1582"/>
      <c r="N184" s="1582"/>
      <c r="O184" s="1582"/>
      <c r="P184" s="1582"/>
      <c r="Q184" s="1582"/>
      <c r="R184" s="1582"/>
      <c r="S184" s="1582"/>
      <c r="T184" s="1582"/>
      <c r="U184" s="1582"/>
      <c r="V184" s="1582"/>
      <c r="W184" s="1582"/>
      <c r="X184" s="1582"/>
      <c r="CE184"/>
      <c r="CK184" s="2832"/>
      <c r="DI184"/>
    </row>
    <row r="185" spans="1:113">
      <c r="A185" s="6298" t="s">
        <v>41</v>
      </c>
      <c r="B185" s="7152" t="s">
        <v>91</v>
      </c>
      <c r="C185" s="7155" t="s">
        <v>43</v>
      </c>
      <c r="D185" s="7156"/>
      <c r="E185" s="7156"/>
      <c r="F185" s="7156"/>
      <c r="G185" s="7156"/>
      <c r="H185" s="7156"/>
      <c r="I185" s="7156"/>
      <c r="J185" s="7156"/>
      <c r="K185" s="7156"/>
      <c r="L185" s="7156"/>
      <c r="M185" s="7156"/>
      <c r="N185" s="7156"/>
      <c r="O185" s="7156"/>
      <c r="P185" s="7156"/>
      <c r="Q185" s="7156"/>
      <c r="R185" s="7156"/>
      <c r="S185" s="7157"/>
      <c r="T185" s="6054" t="s">
        <v>3558</v>
      </c>
      <c r="U185" s="6223"/>
      <c r="V185" s="6223"/>
      <c r="W185" s="6223"/>
      <c r="X185" s="6223"/>
      <c r="CE185"/>
      <c r="CK185" s="2832"/>
      <c r="DI185"/>
    </row>
    <row r="186" spans="1:113">
      <c r="A186" s="6299"/>
      <c r="B186" s="7153"/>
      <c r="C186" s="7158"/>
      <c r="D186" s="7159"/>
      <c r="E186" s="7159"/>
      <c r="F186" s="7159"/>
      <c r="G186" s="7159"/>
      <c r="H186" s="7159"/>
      <c r="I186" s="7159"/>
      <c r="J186" s="7159"/>
      <c r="K186" s="7159"/>
      <c r="L186" s="7159"/>
      <c r="M186" s="7159"/>
      <c r="N186" s="7159"/>
      <c r="O186" s="7159"/>
      <c r="P186" s="7159"/>
      <c r="Q186" s="7159"/>
      <c r="R186" s="7159"/>
      <c r="S186" s="7160"/>
      <c r="T186" s="7161" t="s">
        <v>3559</v>
      </c>
      <c r="U186" s="7162"/>
      <c r="V186" s="7163"/>
      <c r="W186" s="6397" t="s">
        <v>3582</v>
      </c>
      <c r="X186" s="6399"/>
      <c r="CE186"/>
      <c r="CK186" s="2832"/>
      <c r="DI186"/>
    </row>
    <row r="187" spans="1:113" ht="31.5">
      <c r="A187" s="6300"/>
      <c r="B187" s="7154"/>
      <c r="C187" s="4733" t="s">
        <v>364</v>
      </c>
      <c r="D187" s="4734" t="s">
        <v>347</v>
      </c>
      <c r="E187" s="4734" t="s">
        <v>108</v>
      </c>
      <c r="F187" s="4734" t="s">
        <v>58</v>
      </c>
      <c r="G187" s="4734" t="s">
        <v>59</v>
      </c>
      <c r="H187" s="4734" t="s">
        <v>1003</v>
      </c>
      <c r="I187" s="4734" t="s">
        <v>656</v>
      </c>
      <c r="J187" s="4734" t="s">
        <v>62</v>
      </c>
      <c r="K187" s="4734" t="s">
        <v>63</v>
      </c>
      <c r="L187" s="4734" t="s">
        <v>1004</v>
      </c>
      <c r="M187" s="4734" t="s">
        <v>65</v>
      </c>
      <c r="N187" s="4734" t="s">
        <v>66</v>
      </c>
      <c r="O187" s="4734" t="s">
        <v>67</v>
      </c>
      <c r="P187" s="4734" t="s">
        <v>68</v>
      </c>
      <c r="Q187" s="4734" t="s">
        <v>69</v>
      </c>
      <c r="R187" s="4734" t="s">
        <v>70</v>
      </c>
      <c r="S187" s="4735" t="s">
        <v>71</v>
      </c>
      <c r="T187" s="4724" t="s">
        <v>3583</v>
      </c>
      <c r="U187" s="2341" t="s">
        <v>3584</v>
      </c>
      <c r="V187" s="2342" t="s">
        <v>3585</v>
      </c>
      <c r="W187" s="2340" t="s">
        <v>3561</v>
      </c>
      <c r="X187" s="2342" t="s">
        <v>3562</v>
      </c>
      <c r="Y187" s="382"/>
      <c r="CE187"/>
      <c r="CK187" s="2832"/>
      <c r="DI187"/>
    </row>
    <row r="188" spans="1:113">
      <c r="A188" s="4725" t="s">
        <v>1471</v>
      </c>
      <c r="B188" s="2356">
        <f t="shared" ref="B188:B194" si="59">SUM(C188:S188)</f>
        <v>0</v>
      </c>
      <c r="C188" s="1440"/>
      <c r="D188" s="1442"/>
      <c r="E188" s="1442"/>
      <c r="F188" s="1442"/>
      <c r="G188" s="1442"/>
      <c r="H188" s="1442"/>
      <c r="I188" s="1442"/>
      <c r="J188" s="1442"/>
      <c r="K188" s="1442"/>
      <c r="L188" s="1442"/>
      <c r="M188" s="1442"/>
      <c r="N188" s="1442"/>
      <c r="O188" s="1442"/>
      <c r="P188" s="1442"/>
      <c r="Q188" s="1442"/>
      <c r="R188" s="1442"/>
      <c r="S188" s="1655"/>
      <c r="T188" s="1709"/>
      <c r="U188" s="1442"/>
      <c r="V188" s="1680"/>
      <c r="W188" s="1440"/>
      <c r="X188" s="1680"/>
      <c r="Y188" s="3373" t="str">
        <f t="shared" ref="Y188:Y214" si="60">$CA188</f>
        <v/>
      </c>
      <c r="BD188" s="417"/>
      <c r="BE188" s="417"/>
      <c r="BF188" s="417"/>
      <c r="BG188" s="417"/>
      <c r="BH188" s="417"/>
      <c r="BI188" s="417"/>
      <c r="BJ188" s="417"/>
      <c r="BK188" s="417"/>
      <c r="BL188" s="417"/>
      <c r="BM188" s="417"/>
      <c r="BN188" s="417"/>
      <c r="BO188" s="417"/>
      <c r="BP188" s="417"/>
      <c r="BQ188" s="417"/>
      <c r="BR188" s="417"/>
      <c r="BS188" s="417"/>
      <c r="BT188" s="417"/>
      <c r="BU188" s="417"/>
      <c r="BV188" s="417"/>
      <c r="BW188" s="417"/>
      <c r="BX188" s="417"/>
      <c r="BY188" s="417"/>
      <c r="BZ188" s="417"/>
      <c r="CA188" s="418" t="str">
        <f t="shared" ref="CA188:CA214" si="61">IF(T188+U188+V188+W188+X188&lt;&gt;$B188,"* La suma de "&amp;T$185&amp;""&amp;" no debe ser distinto del Total. ","")</f>
        <v/>
      </c>
      <c r="CB188" s="417"/>
      <c r="CC188" s="417"/>
      <c r="CD188" s="417"/>
      <c r="CE188"/>
      <c r="CK188" s="417"/>
      <c r="CM188" s="1945">
        <f t="shared" ref="CM188:CM214" si="62">IF(T188+U188+V188+W188+X188&lt;&gt;$B188,1,0)</f>
        <v>0</v>
      </c>
      <c r="DI188"/>
    </row>
    <row r="189" spans="1:113">
      <c r="A189" s="4681" t="s">
        <v>2144</v>
      </c>
      <c r="B189" s="2353">
        <f t="shared" si="59"/>
        <v>0</v>
      </c>
      <c r="C189" s="1440"/>
      <c r="D189" s="1442"/>
      <c r="E189" s="1442"/>
      <c r="F189" s="1442"/>
      <c r="G189" s="1442"/>
      <c r="H189" s="1442"/>
      <c r="I189" s="1442"/>
      <c r="J189" s="1442"/>
      <c r="K189" s="1442"/>
      <c r="L189" s="1442"/>
      <c r="M189" s="1442"/>
      <c r="N189" s="1442"/>
      <c r="O189" s="1442"/>
      <c r="P189" s="1442"/>
      <c r="Q189" s="1442"/>
      <c r="R189" s="1442"/>
      <c r="S189" s="1655"/>
      <c r="T189" s="1709"/>
      <c r="U189" s="1442"/>
      <c r="V189" s="1680"/>
      <c r="W189" s="1440"/>
      <c r="X189" s="1680"/>
      <c r="Y189" s="3373" t="str">
        <f t="shared" si="60"/>
        <v/>
      </c>
      <c r="BD189" s="417"/>
      <c r="BE189" s="417"/>
      <c r="BF189" s="417"/>
      <c r="BG189" s="417"/>
      <c r="BH189" s="417"/>
      <c r="BI189" s="417"/>
      <c r="BJ189" s="417"/>
      <c r="BK189" s="417"/>
      <c r="BL189" s="417"/>
      <c r="BM189" s="417"/>
      <c r="BN189" s="417"/>
      <c r="BO189" s="417"/>
      <c r="BP189" s="417"/>
      <c r="BQ189" s="417"/>
      <c r="BR189" s="417"/>
      <c r="BS189" s="417"/>
      <c r="BT189" s="417"/>
      <c r="BU189" s="417"/>
      <c r="BV189" s="417"/>
      <c r="BW189" s="417"/>
      <c r="BX189" s="417"/>
      <c r="BY189" s="417"/>
      <c r="BZ189" s="417"/>
      <c r="CA189" s="418" t="str">
        <f t="shared" si="61"/>
        <v/>
      </c>
      <c r="CB189" s="417"/>
      <c r="CC189" s="417"/>
      <c r="CD189" s="417"/>
      <c r="CE189"/>
      <c r="CK189" s="417"/>
      <c r="CM189" s="1945">
        <f t="shared" si="62"/>
        <v>0</v>
      </c>
      <c r="DI189"/>
    </row>
    <row r="190" spans="1:113">
      <c r="A190" s="4681" t="s">
        <v>3586</v>
      </c>
      <c r="B190" s="2353">
        <f t="shared" si="59"/>
        <v>0</v>
      </c>
      <c r="C190" s="1440"/>
      <c r="D190" s="1442"/>
      <c r="E190" s="1442"/>
      <c r="F190" s="1442"/>
      <c r="G190" s="1442"/>
      <c r="H190" s="1442"/>
      <c r="I190" s="1442"/>
      <c r="J190" s="1442"/>
      <c r="K190" s="1442"/>
      <c r="L190" s="1442"/>
      <c r="M190" s="1442"/>
      <c r="N190" s="1442"/>
      <c r="O190" s="1442"/>
      <c r="P190" s="1442"/>
      <c r="Q190" s="1442"/>
      <c r="R190" s="1442"/>
      <c r="S190" s="1655"/>
      <c r="T190" s="1709"/>
      <c r="U190" s="1442"/>
      <c r="V190" s="1680"/>
      <c r="W190" s="1440"/>
      <c r="X190" s="1680"/>
      <c r="Y190" s="3373" t="str">
        <f t="shared" si="60"/>
        <v/>
      </c>
      <c r="BD190" s="417"/>
      <c r="BE190" s="417"/>
      <c r="BF190" s="417"/>
      <c r="BG190" s="417"/>
      <c r="BH190" s="417"/>
      <c r="BI190" s="417"/>
      <c r="BJ190" s="417"/>
      <c r="BK190" s="417"/>
      <c r="BL190" s="417"/>
      <c r="BM190" s="417"/>
      <c r="BN190" s="417"/>
      <c r="BO190" s="417"/>
      <c r="BP190" s="417"/>
      <c r="BQ190" s="417"/>
      <c r="BR190" s="417"/>
      <c r="BS190" s="417"/>
      <c r="BT190" s="417"/>
      <c r="BU190" s="417"/>
      <c r="BV190" s="417"/>
      <c r="BW190" s="417"/>
      <c r="BX190" s="417"/>
      <c r="BY190" s="417"/>
      <c r="BZ190" s="417"/>
      <c r="CA190" s="418" t="str">
        <f t="shared" si="61"/>
        <v/>
      </c>
      <c r="CB190" s="417"/>
      <c r="CC190" s="417"/>
      <c r="CD190" s="417"/>
      <c r="CE190"/>
      <c r="CK190" s="417"/>
      <c r="CM190" s="1945">
        <f t="shared" si="62"/>
        <v>0</v>
      </c>
      <c r="DI190"/>
    </row>
    <row r="191" spans="1:113">
      <c r="A191" s="420" t="s">
        <v>1065</v>
      </c>
      <c r="B191" s="2353">
        <f t="shared" si="59"/>
        <v>0</v>
      </c>
      <c r="C191" s="1440"/>
      <c r="D191" s="1442"/>
      <c r="E191" s="1442"/>
      <c r="F191" s="1442"/>
      <c r="G191" s="1442"/>
      <c r="H191" s="1442"/>
      <c r="I191" s="1442"/>
      <c r="J191" s="1442"/>
      <c r="K191" s="1442"/>
      <c r="L191" s="1442"/>
      <c r="M191" s="1442"/>
      <c r="N191" s="1442"/>
      <c r="O191" s="1442"/>
      <c r="P191" s="1442"/>
      <c r="Q191" s="1442"/>
      <c r="R191" s="1442"/>
      <c r="S191" s="1655"/>
      <c r="T191" s="1709"/>
      <c r="U191" s="1442"/>
      <c r="V191" s="1680"/>
      <c r="W191" s="1440"/>
      <c r="X191" s="1680"/>
      <c r="Y191" s="3373" t="str">
        <f t="shared" si="60"/>
        <v/>
      </c>
      <c r="BD191" s="417"/>
      <c r="BE191" s="417"/>
      <c r="BF191" s="417"/>
      <c r="BG191" s="417"/>
      <c r="BH191" s="417"/>
      <c r="BI191" s="417"/>
      <c r="BJ191" s="417"/>
      <c r="BK191" s="417"/>
      <c r="BL191" s="417"/>
      <c r="BM191" s="417"/>
      <c r="BN191" s="417"/>
      <c r="BO191" s="417"/>
      <c r="BP191" s="417"/>
      <c r="BQ191" s="417"/>
      <c r="BR191" s="417"/>
      <c r="BS191" s="417"/>
      <c r="BT191" s="417"/>
      <c r="BU191" s="417"/>
      <c r="BV191" s="417"/>
      <c r="BW191" s="417"/>
      <c r="BX191" s="417"/>
      <c r="BY191" s="417"/>
      <c r="BZ191" s="417"/>
      <c r="CA191" s="418" t="str">
        <f t="shared" si="61"/>
        <v/>
      </c>
      <c r="CB191" s="417"/>
      <c r="CC191" s="417"/>
      <c r="CD191" s="417"/>
      <c r="CE191"/>
      <c r="CK191" s="417"/>
      <c r="CM191" s="1945">
        <f t="shared" si="62"/>
        <v>0</v>
      </c>
      <c r="DI191"/>
    </row>
    <row r="192" spans="1:113">
      <c r="A192" s="420" t="s">
        <v>1066</v>
      </c>
      <c r="B192" s="2353">
        <f t="shared" si="59"/>
        <v>0</v>
      </c>
      <c r="C192" s="1440"/>
      <c r="D192" s="1442"/>
      <c r="E192" s="1442"/>
      <c r="F192" s="1442"/>
      <c r="G192" s="1442"/>
      <c r="H192" s="1442"/>
      <c r="I192" s="1442"/>
      <c r="J192" s="1442"/>
      <c r="K192" s="1442"/>
      <c r="L192" s="1442"/>
      <c r="M192" s="1442"/>
      <c r="N192" s="1442"/>
      <c r="O192" s="1442"/>
      <c r="P192" s="1442"/>
      <c r="Q192" s="1442"/>
      <c r="R192" s="1442"/>
      <c r="S192" s="1655"/>
      <c r="T192" s="1709"/>
      <c r="U192" s="1442"/>
      <c r="V192" s="1680"/>
      <c r="W192" s="1440"/>
      <c r="X192" s="1680"/>
      <c r="Y192" s="3373" t="str">
        <f t="shared" si="60"/>
        <v/>
      </c>
      <c r="BD192" s="417"/>
      <c r="BE192" s="417"/>
      <c r="BF192" s="417"/>
      <c r="BG192" s="417"/>
      <c r="BH192" s="417"/>
      <c r="BI192" s="417"/>
      <c r="BJ192" s="417"/>
      <c r="BK192" s="417"/>
      <c r="BL192" s="417"/>
      <c r="BM192" s="417"/>
      <c r="BN192" s="417"/>
      <c r="BO192" s="417"/>
      <c r="BP192" s="417"/>
      <c r="BQ192" s="417"/>
      <c r="BR192" s="417"/>
      <c r="BS192" s="417"/>
      <c r="BT192" s="417"/>
      <c r="BU192" s="417"/>
      <c r="BV192" s="417"/>
      <c r="BW192" s="417"/>
      <c r="BX192" s="417"/>
      <c r="BY192" s="417"/>
      <c r="BZ192" s="417"/>
      <c r="CA192" s="418" t="str">
        <f t="shared" si="61"/>
        <v/>
      </c>
      <c r="CB192" s="417"/>
      <c r="CC192" s="417"/>
      <c r="CD192" s="417"/>
      <c r="CE192"/>
      <c r="CK192" s="417"/>
      <c r="CM192" s="1945">
        <f t="shared" si="62"/>
        <v>0</v>
      </c>
      <c r="DI192"/>
    </row>
    <row r="193" spans="1:113">
      <c r="A193" s="427" t="s">
        <v>3587</v>
      </c>
      <c r="B193" s="2353">
        <f t="shared" si="59"/>
        <v>0</v>
      </c>
      <c r="C193" s="1440"/>
      <c r="D193" s="1442"/>
      <c r="E193" s="1442"/>
      <c r="F193" s="1442"/>
      <c r="G193" s="1442"/>
      <c r="H193" s="1442"/>
      <c r="I193" s="1442"/>
      <c r="J193" s="1442"/>
      <c r="K193" s="1442"/>
      <c r="L193" s="1442"/>
      <c r="M193" s="1442"/>
      <c r="N193" s="1442"/>
      <c r="O193" s="1442"/>
      <c r="P193" s="1442"/>
      <c r="Q193" s="1442"/>
      <c r="R193" s="1442"/>
      <c r="S193" s="1655"/>
      <c r="T193" s="1709"/>
      <c r="U193" s="1442"/>
      <c r="V193" s="1680"/>
      <c r="W193" s="1440"/>
      <c r="X193" s="1680"/>
      <c r="Y193" s="3373" t="str">
        <f t="shared" si="60"/>
        <v/>
      </c>
      <c r="BD193" s="417"/>
      <c r="BE193" s="417"/>
      <c r="BF193" s="417"/>
      <c r="BG193" s="417"/>
      <c r="BH193" s="417"/>
      <c r="BI193" s="417"/>
      <c r="BJ193" s="417"/>
      <c r="BK193" s="417"/>
      <c r="BL193" s="417"/>
      <c r="BM193" s="417"/>
      <c r="BN193" s="417"/>
      <c r="BO193" s="417"/>
      <c r="BP193" s="417"/>
      <c r="BQ193" s="417"/>
      <c r="BR193" s="417"/>
      <c r="BS193" s="417"/>
      <c r="BT193" s="417"/>
      <c r="BU193" s="417"/>
      <c r="BV193" s="417"/>
      <c r="BW193" s="417"/>
      <c r="BX193" s="417"/>
      <c r="BY193" s="417"/>
      <c r="BZ193" s="417"/>
      <c r="CA193" s="418" t="str">
        <f t="shared" si="61"/>
        <v/>
      </c>
      <c r="CB193" s="417"/>
      <c r="CC193" s="417"/>
      <c r="CD193" s="417"/>
      <c r="CE193"/>
      <c r="CK193" s="417"/>
      <c r="CM193" s="1945">
        <f t="shared" si="62"/>
        <v>0</v>
      </c>
      <c r="DI193"/>
    </row>
    <row r="194" spans="1:113">
      <c r="A194" s="444" t="s">
        <v>112</v>
      </c>
      <c r="B194" s="3166">
        <f t="shared" si="59"/>
        <v>0</v>
      </c>
      <c r="C194" s="1480"/>
      <c r="D194" s="1541"/>
      <c r="E194" s="1541"/>
      <c r="F194" s="1541"/>
      <c r="G194" s="1541"/>
      <c r="H194" s="1541"/>
      <c r="I194" s="1541"/>
      <c r="J194" s="1541"/>
      <c r="K194" s="1541"/>
      <c r="L194" s="1541"/>
      <c r="M194" s="1541"/>
      <c r="N194" s="1541"/>
      <c r="O194" s="1541"/>
      <c r="P194" s="1541"/>
      <c r="Q194" s="1541"/>
      <c r="R194" s="1541"/>
      <c r="S194" s="1725"/>
      <c r="T194" s="1722"/>
      <c r="U194" s="1529"/>
      <c r="V194" s="1801"/>
      <c r="W194" s="1528"/>
      <c r="X194" s="1801"/>
      <c r="Y194" s="3373" t="str">
        <f t="shared" si="60"/>
        <v/>
      </c>
      <c r="BD194" s="417"/>
      <c r="BE194" s="417"/>
      <c r="BF194" s="417"/>
      <c r="BG194" s="417"/>
      <c r="BH194" s="417"/>
      <c r="BI194" s="417"/>
      <c r="BJ194" s="417"/>
      <c r="BK194" s="417"/>
      <c r="BL194" s="417"/>
      <c r="BM194" s="417"/>
      <c r="BN194" s="417"/>
      <c r="BO194" s="417"/>
      <c r="BP194" s="417"/>
      <c r="BQ194" s="417"/>
      <c r="BR194" s="417"/>
      <c r="BS194" s="417"/>
      <c r="BT194" s="417"/>
      <c r="BU194" s="417"/>
      <c r="BV194" s="417"/>
      <c r="BW194" s="417"/>
      <c r="BX194" s="417"/>
      <c r="BY194" s="417"/>
      <c r="BZ194" s="417"/>
      <c r="CA194" s="418" t="str">
        <f t="shared" si="61"/>
        <v/>
      </c>
      <c r="CB194" s="417"/>
      <c r="CC194" s="417"/>
      <c r="CD194" s="417"/>
      <c r="CE194"/>
      <c r="CK194" s="417"/>
      <c r="CM194" s="1945">
        <f t="shared" si="62"/>
        <v>0</v>
      </c>
      <c r="DI194"/>
    </row>
    <row r="195" spans="1:113">
      <c r="A195" s="4776" t="s">
        <v>91</v>
      </c>
      <c r="B195" s="4777">
        <f t="shared" ref="B195:X195" si="63">SUM(B188:B194)</f>
        <v>0</v>
      </c>
      <c r="C195" s="2157">
        <f t="shared" si="63"/>
        <v>0</v>
      </c>
      <c r="D195" s="2160">
        <f t="shared" si="63"/>
        <v>0</v>
      </c>
      <c r="E195" s="2160">
        <f t="shared" si="63"/>
        <v>0</v>
      </c>
      <c r="F195" s="2160">
        <f t="shared" si="63"/>
        <v>0</v>
      </c>
      <c r="G195" s="2160">
        <f t="shared" si="63"/>
        <v>0</v>
      </c>
      <c r="H195" s="2160">
        <f t="shared" si="63"/>
        <v>0</v>
      </c>
      <c r="I195" s="2160">
        <f t="shared" si="63"/>
        <v>0</v>
      </c>
      <c r="J195" s="2160">
        <f t="shared" si="63"/>
        <v>0</v>
      </c>
      <c r="K195" s="2160">
        <f t="shared" si="63"/>
        <v>0</v>
      </c>
      <c r="L195" s="2160">
        <f t="shared" si="63"/>
        <v>0</v>
      </c>
      <c r="M195" s="2160">
        <f t="shared" si="63"/>
        <v>0</v>
      </c>
      <c r="N195" s="2160">
        <f t="shared" si="63"/>
        <v>0</v>
      </c>
      <c r="O195" s="2160">
        <f t="shared" si="63"/>
        <v>0</v>
      </c>
      <c r="P195" s="2160">
        <f t="shared" si="63"/>
        <v>0</v>
      </c>
      <c r="Q195" s="2160">
        <f t="shared" si="63"/>
        <v>0</v>
      </c>
      <c r="R195" s="2160">
        <f t="shared" si="63"/>
        <v>0</v>
      </c>
      <c r="S195" s="4737">
        <f t="shared" si="63"/>
        <v>0</v>
      </c>
      <c r="T195" s="2052">
        <f t="shared" si="63"/>
        <v>0</v>
      </c>
      <c r="U195" s="1720">
        <f t="shared" si="63"/>
        <v>0</v>
      </c>
      <c r="V195" s="2363">
        <f t="shared" si="63"/>
        <v>0</v>
      </c>
      <c r="W195" s="1658">
        <f t="shared" si="63"/>
        <v>0</v>
      </c>
      <c r="X195" s="2363">
        <f t="shared" si="63"/>
        <v>0</v>
      </c>
      <c r="CE195"/>
      <c r="CK195" s="2832"/>
      <c r="DI195"/>
    </row>
    <row r="196" spans="1:113" ht="18" customHeight="1">
      <c r="A196" s="1468" t="s">
        <v>3588</v>
      </c>
      <c r="B196" s="1582"/>
      <c r="C196" s="1582"/>
      <c r="D196" s="1582"/>
      <c r="E196" s="1582"/>
      <c r="F196" s="1582"/>
      <c r="G196" s="1582"/>
      <c r="H196" s="1582"/>
      <c r="I196" s="1582"/>
      <c r="J196" s="1582"/>
      <c r="K196" s="1582"/>
      <c r="L196" s="1582"/>
      <c r="M196" s="1582"/>
      <c r="N196" s="1582"/>
      <c r="O196" s="1582"/>
      <c r="P196" s="1582"/>
      <c r="Q196" s="1582"/>
      <c r="R196" s="1582"/>
      <c r="S196" s="1582"/>
      <c r="T196" s="1582"/>
      <c r="U196" s="1582"/>
      <c r="V196" s="1582"/>
      <c r="W196" s="1582"/>
      <c r="X196" s="1582"/>
      <c r="CE196"/>
      <c r="CK196" s="2832"/>
      <c r="DI196"/>
    </row>
    <row r="197" spans="1:113">
      <c r="A197" s="6298" t="s">
        <v>41</v>
      </c>
      <c r="B197" s="7152" t="s">
        <v>91</v>
      </c>
      <c r="C197" s="7155" t="s">
        <v>43</v>
      </c>
      <c r="D197" s="7156"/>
      <c r="E197" s="7156"/>
      <c r="F197" s="7156"/>
      <c r="G197" s="7156"/>
      <c r="H197" s="7156"/>
      <c r="I197" s="7156"/>
      <c r="J197" s="7156"/>
      <c r="K197" s="7156"/>
      <c r="L197" s="7156"/>
      <c r="M197" s="7156"/>
      <c r="N197" s="7156"/>
      <c r="O197" s="7156"/>
      <c r="P197" s="7156"/>
      <c r="Q197" s="7156"/>
      <c r="R197" s="7156"/>
      <c r="S197" s="7157"/>
      <c r="T197" s="6053" t="s">
        <v>3558</v>
      </c>
      <c r="U197" s="6053"/>
      <c r="V197" s="6053"/>
      <c r="W197" s="6053"/>
      <c r="X197" s="6054"/>
      <c r="CE197"/>
      <c r="CK197" s="2832"/>
      <c r="DI197"/>
    </row>
    <row r="198" spans="1:113">
      <c r="A198" s="6299"/>
      <c r="B198" s="7153"/>
      <c r="C198" s="7158"/>
      <c r="D198" s="7159"/>
      <c r="E198" s="7159"/>
      <c r="F198" s="7159"/>
      <c r="G198" s="7159"/>
      <c r="H198" s="7159"/>
      <c r="I198" s="7159"/>
      <c r="J198" s="7159"/>
      <c r="K198" s="7159"/>
      <c r="L198" s="7159"/>
      <c r="M198" s="7159"/>
      <c r="N198" s="7159"/>
      <c r="O198" s="7159"/>
      <c r="P198" s="7159"/>
      <c r="Q198" s="7159"/>
      <c r="R198" s="7159"/>
      <c r="S198" s="7160"/>
      <c r="T198" s="7150" t="s">
        <v>3559</v>
      </c>
      <c r="U198" s="7150"/>
      <c r="V198" s="7151"/>
      <c r="W198" s="6397" t="s">
        <v>3582</v>
      </c>
      <c r="X198" s="6399"/>
      <c r="CE198"/>
      <c r="CK198" s="2832"/>
      <c r="DI198"/>
    </row>
    <row r="199" spans="1:113" ht="31.5">
      <c r="A199" s="6300"/>
      <c r="B199" s="7154"/>
      <c r="C199" s="4733" t="s">
        <v>364</v>
      </c>
      <c r="D199" s="4734" t="s">
        <v>347</v>
      </c>
      <c r="E199" s="4734" t="s">
        <v>108</v>
      </c>
      <c r="F199" s="4734" t="s">
        <v>58</v>
      </c>
      <c r="G199" s="4734" t="s">
        <v>59</v>
      </c>
      <c r="H199" s="4734" t="s">
        <v>1003</v>
      </c>
      <c r="I199" s="4734" t="s">
        <v>656</v>
      </c>
      <c r="J199" s="4734" t="s">
        <v>62</v>
      </c>
      <c r="K199" s="4734" t="s">
        <v>63</v>
      </c>
      <c r="L199" s="4734" t="s">
        <v>1004</v>
      </c>
      <c r="M199" s="4734" t="s">
        <v>65</v>
      </c>
      <c r="N199" s="4734" t="s">
        <v>66</v>
      </c>
      <c r="O199" s="4734" t="s">
        <v>67</v>
      </c>
      <c r="P199" s="4734" t="s">
        <v>68</v>
      </c>
      <c r="Q199" s="4734" t="s">
        <v>69</v>
      </c>
      <c r="R199" s="4734" t="s">
        <v>70</v>
      </c>
      <c r="S199" s="4735" t="s">
        <v>71</v>
      </c>
      <c r="T199" s="4724" t="s">
        <v>3583</v>
      </c>
      <c r="U199" s="2341" t="s">
        <v>3584</v>
      </c>
      <c r="V199" s="2342" t="s">
        <v>3585</v>
      </c>
      <c r="W199" s="2340" t="s">
        <v>3561</v>
      </c>
      <c r="X199" s="2342" t="s">
        <v>3562</v>
      </c>
      <c r="Y199" s="382"/>
      <c r="CE199"/>
      <c r="CK199" s="2832"/>
      <c r="DI199"/>
    </row>
    <row r="200" spans="1:113">
      <c r="A200" s="4725" t="s">
        <v>1471</v>
      </c>
      <c r="B200" s="2356">
        <f t="shared" ref="B200:B205" si="64">SUM(C200:S200)</f>
        <v>0</v>
      </c>
      <c r="C200" s="1440"/>
      <c r="D200" s="1442"/>
      <c r="E200" s="1442"/>
      <c r="F200" s="1442"/>
      <c r="G200" s="1442"/>
      <c r="H200" s="1442"/>
      <c r="I200" s="1442"/>
      <c r="J200" s="1442"/>
      <c r="K200" s="1442"/>
      <c r="L200" s="1442"/>
      <c r="M200" s="1442"/>
      <c r="N200" s="1442"/>
      <c r="O200" s="1442"/>
      <c r="P200" s="1442"/>
      <c r="Q200" s="1442"/>
      <c r="R200" s="1442"/>
      <c r="S200" s="1655"/>
      <c r="T200" s="1707"/>
      <c r="U200" s="1426"/>
      <c r="V200" s="1676"/>
      <c r="W200" s="1424"/>
      <c r="X200" s="1676"/>
      <c r="Y200" s="3373" t="str">
        <f t="shared" si="60"/>
        <v/>
      </c>
      <c r="BD200" s="417"/>
      <c r="BE200" s="417"/>
      <c r="BF200" s="417"/>
      <c r="BG200" s="417"/>
      <c r="BH200" s="417"/>
      <c r="BI200" s="417"/>
      <c r="BJ200" s="417"/>
      <c r="BK200" s="417"/>
      <c r="BL200" s="417"/>
      <c r="BM200" s="417"/>
      <c r="BN200" s="417"/>
      <c r="BO200" s="417"/>
      <c r="BP200" s="417"/>
      <c r="BQ200" s="417"/>
      <c r="BR200" s="417"/>
      <c r="BS200" s="417"/>
      <c r="BT200" s="417"/>
      <c r="BU200" s="417"/>
      <c r="BV200" s="417"/>
      <c r="BW200" s="417"/>
      <c r="BX200" s="417"/>
      <c r="BY200" s="417"/>
      <c r="BZ200" s="417"/>
      <c r="CA200" s="418" t="str">
        <f t="shared" si="61"/>
        <v/>
      </c>
      <c r="CB200" s="417"/>
      <c r="CC200" s="417"/>
      <c r="CD200" s="417"/>
      <c r="CE200"/>
      <c r="CK200" s="417"/>
      <c r="CM200" s="1945">
        <f t="shared" si="62"/>
        <v>0</v>
      </c>
      <c r="DI200"/>
    </row>
    <row r="201" spans="1:113">
      <c r="A201" s="4681" t="s">
        <v>2144</v>
      </c>
      <c r="B201" s="2353">
        <f t="shared" si="64"/>
        <v>0</v>
      </c>
      <c r="C201" s="1440"/>
      <c r="D201" s="1442"/>
      <c r="E201" s="1442"/>
      <c r="F201" s="1442"/>
      <c r="G201" s="1442"/>
      <c r="H201" s="1442"/>
      <c r="I201" s="1442"/>
      <c r="J201" s="1442"/>
      <c r="K201" s="1442"/>
      <c r="L201" s="1442"/>
      <c r="M201" s="1442"/>
      <c r="N201" s="1442"/>
      <c r="O201" s="1442"/>
      <c r="P201" s="1442"/>
      <c r="Q201" s="1442"/>
      <c r="R201" s="1442"/>
      <c r="S201" s="1655"/>
      <c r="T201" s="1709"/>
      <c r="U201" s="1442"/>
      <c r="V201" s="1680"/>
      <c r="W201" s="1440"/>
      <c r="X201" s="1680"/>
      <c r="Y201" s="3373" t="str">
        <f t="shared" si="60"/>
        <v/>
      </c>
      <c r="BD201" s="417"/>
      <c r="BE201" s="417"/>
      <c r="BF201" s="417"/>
      <c r="BG201" s="417"/>
      <c r="BH201" s="417"/>
      <c r="BI201" s="417"/>
      <c r="BJ201" s="417"/>
      <c r="BK201" s="417"/>
      <c r="BL201" s="417"/>
      <c r="BM201" s="417"/>
      <c r="BN201" s="417"/>
      <c r="BO201" s="417"/>
      <c r="BP201" s="417"/>
      <c r="BQ201" s="417"/>
      <c r="BR201" s="417"/>
      <c r="BS201" s="417"/>
      <c r="BT201" s="417"/>
      <c r="BU201" s="417"/>
      <c r="BV201" s="417"/>
      <c r="BW201" s="417"/>
      <c r="BX201" s="417"/>
      <c r="BY201" s="417"/>
      <c r="BZ201" s="417"/>
      <c r="CA201" s="418" t="str">
        <f t="shared" si="61"/>
        <v/>
      </c>
      <c r="CB201" s="417"/>
      <c r="CC201" s="417"/>
      <c r="CD201" s="417"/>
      <c r="CE201"/>
      <c r="CK201" s="417"/>
      <c r="CM201" s="1945">
        <f t="shared" si="62"/>
        <v>0</v>
      </c>
      <c r="DI201"/>
    </row>
    <row r="202" spans="1:113">
      <c r="A202" s="4681" t="s">
        <v>3586</v>
      </c>
      <c r="B202" s="2353">
        <f t="shared" si="64"/>
        <v>0</v>
      </c>
      <c r="C202" s="1440"/>
      <c r="D202" s="1442"/>
      <c r="E202" s="1442"/>
      <c r="F202" s="1442"/>
      <c r="G202" s="1442"/>
      <c r="H202" s="1442"/>
      <c r="I202" s="1442"/>
      <c r="J202" s="1442"/>
      <c r="K202" s="1442"/>
      <c r="L202" s="1442"/>
      <c r="M202" s="1442"/>
      <c r="N202" s="1442"/>
      <c r="O202" s="1442"/>
      <c r="P202" s="1442"/>
      <c r="Q202" s="1442"/>
      <c r="R202" s="1442"/>
      <c r="S202" s="1655"/>
      <c r="T202" s="1709"/>
      <c r="U202" s="1442"/>
      <c r="V202" s="1680"/>
      <c r="W202" s="1440"/>
      <c r="X202" s="1680"/>
      <c r="Y202" s="3373" t="str">
        <f t="shared" si="60"/>
        <v/>
      </c>
      <c r="BD202" s="417"/>
      <c r="BE202" s="417"/>
      <c r="BF202" s="417"/>
      <c r="BG202" s="417"/>
      <c r="BH202" s="417"/>
      <c r="BI202" s="417"/>
      <c r="BJ202" s="417"/>
      <c r="BK202" s="417"/>
      <c r="BL202" s="417"/>
      <c r="BM202" s="417"/>
      <c r="BN202" s="417"/>
      <c r="BO202" s="417"/>
      <c r="BP202" s="417"/>
      <c r="BQ202" s="417"/>
      <c r="BR202" s="417"/>
      <c r="BS202" s="417"/>
      <c r="BT202" s="417"/>
      <c r="BU202" s="417"/>
      <c r="BV202" s="417"/>
      <c r="BW202" s="417"/>
      <c r="BX202" s="417"/>
      <c r="BY202" s="417"/>
      <c r="BZ202" s="417"/>
      <c r="CA202" s="418" t="str">
        <f t="shared" si="61"/>
        <v/>
      </c>
      <c r="CB202" s="417"/>
      <c r="CC202" s="417"/>
      <c r="CD202" s="417"/>
      <c r="CE202"/>
      <c r="CK202" s="417"/>
      <c r="CM202" s="1945">
        <f t="shared" si="62"/>
        <v>0</v>
      </c>
      <c r="DI202"/>
    </row>
    <row r="203" spans="1:113">
      <c r="A203" s="420" t="s">
        <v>1065</v>
      </c>
      <c r="B203" s="2353">
        <f t="shared" si="64"/>
        <v>0</v>
      </c>
      <c r="C203" s="1440"/>
      <c r="D203" s="1442"/>
      <c r="E203" s="1442"/>
      <c r="F203" s="1442"/>
      <c r="G203" s="1442"/>
      <c r="H203" s="1442"/>
      <c r="I203" s="1442"/>
      <c r="J203" s="1442"/>
      <c r="K203" s="1442"/>
      <c r="L203" s="1442"/>
      <c r="M203" s="1442"/>
      <c r="N203" s="1442"/>
      <c r="O203" s="1442"/>
      <c r="P203" s="1442"/>
      <c r="Q203" s="1442"/>
      <c r="R203" s="1442"/>
      <c r="S203" s="1655"/>
      <c r="T203" s="1709"/>
      <c r="U203" s="1442"/>
      <c r="V203" s="1680"/>
      <c r="W203" s="1440"/>
      <c r="X203" s="1680"/>
      <c r="Y203" s="3373" t="str">
        <f t="shared" si="60"/>
        <v/>
      </c>
      <c r="BD203" s="417"/>
      <c r="BE203" s="417"/>
      <c r="BF203" s="417"/>
      <c r="BG203" s="417"/>
      <c r="BH203" s="417"/>
      <c r="BI203" s="417"/>
      <c r="BJ203" s="417"/>
      <c r="BK203" s="417"/>
      <c r="BL203" s="417"/>
      <c r="BM203" s="417"/>
      <c r="BN203" s="417"/>
      <c r="BO203" s="417"/>
      <c r="BP203" s="417"/>
      <c r="BQ203" s="417"/>
      <c r="BR203" s="417"/>
      <c r="BS203" s="417"/>
      <c r="BT203" s="417"/>
      <c r="BU203" s="417"/>
      <c r="BV203" s="417"/>
      <c r="BW203" s="417"/>
      <c r="BX203" s="417"/>
      <c r="BY203" s="417"/>
      <c r="BZ203" s="417"/>
      <c r="CA203" s="418" t="str">
        <f t="shared" si="61"/>
        <v/>
      </c>
      <c r="CB203" s="417"/>
      <c r="CC203" s="417"/>
      <c r="CD203" s="417"/>
      <c r="CE203"/>
      <c r="CK203" s="417"/>
      <c r="CM203" s="1945">
        <f t="shared" si="62"/>
        <v>0</v>
      </c>
      <c r="DI203"/>
    </row>
    <row r="204" spans="1:113">
      <c r="A204" s="427" t="s">
        <v>3587</v>
      </c>
      <c r="B204" s="2353">
        <f t="shared" si="64"/>
        <v>0</v>
      </c>
      <c r="C204" s="1440"/>
      <c r="D204" s="1442"/>
      <c r="E204" s="1442"/>
      <c r="F204" s="1442"/>
      <c r="G204" s="1442"/>
      <c r="H204" s="1442"/>
      <c r="I204" s="1442"/>
      <c r="J204" s="1442"/>
      <c r="K204" s="1442"/>
      <c r="L204" s="1442"/>
      <c r="M204" s="1442"/>
      <c r="N204" s="1442"/>
      <c r="O204" s="1442"/>
      <c r="P204" s="1442"/>
      <c r="Q204" s="1442"/>
      <c r="R204" s="1442"/>
      <c r="S204" s="1655"/>
      <c r="T204" s="1709"/>
      <c r="U204" s="1442"/>
      <c r="V204" s="1680"/>
      <c r="W204" s="1440"/>
      <c r="X204" s="1680"/>
      <c r="Y204" s="3373" t="str">
        <f t="shared" si="60"/>
        <v/>
      </c>
      <c r="BD204" s="417"/>
      <c r="BE204" s="417"/>
      <c r="BF204" s="417"/>
      <c r="BG204" s="417"/>
      <c r="BH204" s="417"/>
      <c r="BI204" s="417"/>
      <c r="BJ204" s="417"/>
      <c r="BK204" s="417"/>
      <c r="BL204" s="417"/>
      <c r="BM204" s="417"/>
      <c r="BN204" s="417"/>
      <c r="BO204" s="417"/>
      <c r="BP204" s="417"/>
      <c r="BQ204" s="417"/>
      <c r="BR204" s="417"/>
      <c r="BS204" s="417"/>
      <c r="BT204" s="417"/>
      <c r="BU204" s="417"/>
      <c r="BV204" s="417"/>
      <c r="BW204" s="417"/>
      <c r="BX204" s="417"/>
      <c r="BY204" s="417"/>
      <c r="BZ204" s="417"/>
      <c r="CA204" s="418" t="str">
        <f t="shared" si="61"/>
        <v/>
      </c>
      <c r="CB204" s="417"/>
      <c r="CC204" s="417"/>
      <c r="CD204" s="417"/>
      <c r="CE204"/>
      <c r="CK204" s="417"/>
      <c r="CM204" s="1945">
        <f t="shared" si="62"/>
        <v>0</v>
      </c>
      <c r="DI204"/>
    </row>
    <row r="205" spans="1:113">
      <c r="A205" s="427" t="s">
        <v>1066</v>
      </c>
      <c r="B205" s="2354">
        <f t="shared" si="64"/>
        <v>0</v>
      </c>
      <c r="C205" s="1440"/>
      <c r="D205" s="1442"/>
      <c r="E205" s="1442"/>
      <c r="F205" s="1442"/>
      <c r="G205" s="1442"/>
      <c r="H205" s="1442"/>
      <c r="I205" s="1442"/>
      <c r="J205" s="1442"/>
      <c r="K205" s="1442"/>
      <c r="L205" s="1442"/>
      <c r="M205" s="1442"/>
      <c r="N205" s="1442"/>
      <c r="O205" s="1442"/>
      <c r="P205" s="1442"/>
      <c r="Q205" s="1442"/>
      <c r="R205" s="1442"/>
      <c r="S205" s="1655"/>
      <c r="T205" s="1722"/>
      <c r="U205" s="1529"/>
      <c r="V205" s="1801"/>
      <c r="W205" s="1528"/>
      <c r="X205" s="1801"/>
      <c r="Y205" s="3373" t="str">
        <f t="shared" si="60"/>
        <v/>
      </c>
      <c r="BD205" s="417"/>
      <c r="BE205" s="417"/>
      <c r="BF205" s="417"/>
      <c r="BG205" s="417"/>
      <c r="BH205" s="417"/>
      <c r="BI205" s="417"/>
      <c r="BJ205" s="417"/>
      <c r="BK205" s="417"/>
      <c r="BL205" s="417"/>
      <c r="BM205" s="417"/>
      <c r="BN205" s="417"/>
      <c r="BO205" s="417"/>
      <c r="BP205" s="417"/>
      <c r="BQ205" s="417"/>
      <c r="BR205" s="417"/>
      <c r="BS205" s="417"/>
      <c r="BT205" s="417"/>
      <c r="BU205" s="417"/>
      <c r="BV205" s="417"/>
      <c r="BW205" s="417"/>
      <c r="BX205" s="417"/>
      <c r="BY205" s="417"/>
      <c r="BZ205" s="417"/>
      <c r="CA205" s="418" t="str">
        <f t="shared" si="61"/>
        <v/>
      </c>
      <c r="CB205" s="417"/>
      <c r="CC205" s="417"/>
      <c r="CD205" s="417"/>
      <c r="CE205"/>
      <c r="CK205" s="417"/>
      <c r="CM205" s="1945">
        <f t="shared" si="62"/>
        <v>0</v>
      </c>
      <c r="DI205"/>
    </row>
    <row r="206" spans="1:113">
      <c r="A206" s="4749" t="s">
        <v>91</v>
      </c>
      <c r="B206" s="4777">
        <f t="shared" ref="B206:X206" si="65">SUM(B200:B205)</f>
        <v>0</v>
      </c>
      <c r="C206" s="2157">
        <f t="shared" si="65"/>
        <v>0</v>
      </c>
      <c r="D206" s="2160">
        <f t="shared" si="65"/>
        <v>0</v>
      </c>
      <c r="E206" s="2160">
        <f t="shared" si="65"/>
        <v>0</v>
      </c>
      <c r="F206" s="2160">
        <f t="shared" si="65"/>
        <v>0</v>
      </c>
      <c r="G206" s="2160">
        <f t="shared" si="65"/>
        <v>0</v>
      </c>
      <c r="H206" s="2160">
        <f t="shared" si="65"/>
        <v>0</v>
      </c>
      <c r="I206" s="2160">
        <f t="shared" si="65"/>
        <v>0</v>
      </c>
      <c r="J206" s="2160">
        <f t="shared" si="65"/>
        <v>0</v>
      </c>
      <c r="K206" s="2160">
        <f t="shared" si="65"/>
        <v>0</v>
      </c>
      <c r="L206" s="2160">
        <f t="shared" si="65"/>
        <v>0</v>
      </c>
      <c r="M206" s="2160">
        <f t="shared" si="65"/>
        <v>0</v>
      </c>
      <c r="N206" s="2160">
        <f t="shared" si="65"/>
        <v>0</v>
      </c>
      <c r="O206" s="2160">
        <f t="shared" si="65"/>
        <v>0</v>
      </c>
      <c r="P206" s="2160">
        <f t="shared" si="65"/>
        <v>0</v>
      </c>
      <c r="Q206" s="2160">
        <f t="shared" si="65"/>
        <v>0</v>
      </c>
      <c r="R206" s="2160">
        <f t="shared" si="65"/>
        <v>0</v>
      </c>
      <c r="S206" s="4737">
        <f t="shared" si="65"/>
        <v>0</v>
      </c>
      <c r="T206" s="4778">
        <f t="shared" si="65"/>
        <v>0</v>
      </c>
      <c r="U206" s="1713">
        <f t="shared" si="65"/>
        <v>0</v>
      </c>
      <c r="V206" s="1659">
        <f t="shared" si="65"/>
        <v>0</v>
      </c>
      <c r="W206" s="429">
        <f t="shared" si="65"/>
        <v>0</v>
      </c>
      <c r="X206" s="1659">
        <f t="shared" si="65"/>
        <v>0</v>
      </c>
      <c r="CE206"/>
      <c r="CK206" s="2832"/>
      <c r="DI206"/>
    </row>
    <row r="207" spans="1:113" ht="18" customHeight="1">
      <c r="A207" s="1468" t="s">
        <v>3589</v>
      </c>
      <c r="B207" s="1582"/>
      <c r="C207" s="1582"/>
      <c r="D207" s="1582"/>
      <c r="E207" s="1582"/>
      <c r="F207" s="1582"/>
      <c r="G207" s="1582"/>
      <c r="H207" s="1582"/>
      <c r="I207" s="1582"/>
      <c r="J207" s="1582"/>
      <c r="K207" s="1582"/>
      <c r="L207" s="1582"/>
      <c r="M207" s="1582"/>
      <c r="N207" s="1582"/>
      <c r="O207" s="1582"/>
      <c r="P207" s="1582"/>
      <c r="Q207" s="1582"/>
      <c r="R207" s="1582"/>
      <c r="S207" s="1582"/>
      <c r="T207" s="1582"/>
      <c r="U207" s="1582"/>
      <c r="V207" s="1582"/>
      <c r="W207" s="1582"/>
      <c r="X207" s="1582"/>
      <c r="CE207"/>
      <c r="CK207" s="2832"/>
      <c r="DI207"/>
    </row>
    <row r="208" spans="1:113">
      <c r="A208" s="6298" t="s">
        <v>41</v>
      </c>
      <c r="B208" s="7152" t="s">
        <v>91</v>
      </c>
      <c r="C208" s="7155" t="s">
        <v>43</v>
      </c>
      <c r="D208" s="7156"/>
      <c r="E208" s="7156"/>
      <c r="F208" s="7156"/>
      <c r="G208" s="7156"/>
      <c r="H208" s="7156"/>
      <c r="I208" s="7156"/>
      <c r="J208" s="7156"/>
      <c r="K208" s="7156"/>
      <c r="L208" s="7156"/>
      <c r="M208" s="7156"/>
      <c r="N208" s="7156"/>
      <c r="O208" s="7156"/>
      <c r="P208" s="7156"/>
      <c r="Q208" s="7156"/>
      <c r="R208" s="7156"/>
      <c r="S208" s="7157"/>
      <c r="T208" s="6053" t="s">
        <v>3558</v>
      </c>
      <c r="U208" s="6053"/>
      <c r="V208" s="6053"/>
      <c r="W208" s="6053"/>
      <c r="X208" s="6054"/>
      <c r="CE208"/>
      <c r="CK208" s="2832"/>
      <c r="DI208"/>
    </row>
    <row r="209" spans="1:113">
      <c r="A209" s="6299"/>
      <c r="B209" s="7153"/>
      <c r="C209" s="7158"/>
      <c r="D209" s="7159"/>
      <c r="E209" s="7159"/>
      <c r="F209" s="7159"/>
      <c r="G209" s="7159"/>
      <c r="H209" s="7159"/>
      <c r="I209" s="7159"/>
      <c r="J209" s="7159"/>
      <c r="K209" s="7159"/>
      <c r="L209" s="7159"/>
      <c r="M209" s="7159"/>
      <c r="N209" s="7159"/>
      <c r="O209" s="7159"/>
      <c r="P209" s="7159"/>
      <c r="Q209" s="7159"/>
      <c r="R209" s="7159"/>
      <c r="S209" s="7160"/>
      <c r="T209" s="7150" t="s">
        <v>3559</v>
      </c>
      <c r="U209" s="7150"/>
      <c r="V209" s="7151"/>
      <c r="W209" s="6397" t="s">
        <v>3582</v>
      </c>
      <c r="X209" s="6399"/>
      <c r="CE209"/>
      <c r="CK209" s="2832"/>
      <c r="DI209"/>
    </row>
    <row r="210" spans="1:113" ht="31.5">
      <c r="A210" s="6300"/>
      <c r="B210" s="7154"/>
      <c r="C210" s="4733" t="s">
        <v>364</v>
      </c>
      <c r="D210" s="4734" t="s">
        <v>347</v>
      </c>
      <c r="E210" s="4734" t="s">
        <v>108</v>
      </c>
      <c r="F210" s="4734" t="s">
        <v>58</v>
      </c>
      <c r="G210" s="4734" t="s">
        <v>59</v>
      </c>
      <c r="H210" s="4734" t="s">
        <v>1003</v>
      </c>
      <c r="I210" s="4734" t="s">
        <v>656</v>
      </c>
      <c r="J210" s="4734" t="s">
        <v>62</v>
      </c>
      <c r="K210" s="4734" t="s">
        <v>63</v>
      </c>
      <c r="L210" s="4734" t="s">
        <v>1004</v>
      </c>
      <c r="M210" s="4734" t="s">
        <v>65</v>
      </c>
      <c r="N210" s="4734" t="s">
        <v>66</v>
      </c>
      <c r="O210" s="4734" t="s">
        <v>67</v>
      </c>
      <c r="P210" s="4734" t="s">
        <v>68</v>
      </c>
      <c r="Q210" s="4734" t="s">
        <v>69</v>
      </c>
      <c r="R210" s="4734" t="s">
        <v>70</v>
      </c>
      <c r="S210" s="4735" t="s">
        <v>71</v>
      </c>
      <c r="T210" s="4724" t="s">
        <v>3583</v>
      </c>
      <c r="U210" s="2341" t="s">
        <v>3584</v>
      </c>
      <c r="V210" s="2342" t="s">
        <v>3585</v>
      </c>
      <c r="W210" s="2340" t="s">
        <v>3561</v>
      </c>
      <c r="X210" s="2342" t="s">
        <v>3562</v>
      </c>
      <c r="Y210" s="382"/>
      <c r="CE210"/>
      <c r="CK210" s="2832"/>
      <c r="DI210"/>
    </row>
    <row r="211" spans="1:113">
      <c r="A211" s="4725" t="s">
        <v>1471</v>
      </c>
      <c r="B211" s="2356">
        <f t="shared" ref="B211:B214" si="66">SUM(C211:S211)</f>
        <v>0</v>
      </c>
      <c r="C211" s="1440"/>
      <c r="D211" s="1442"/>
      <c r="E211" s="1442"/>
      <c r="F211" s="1442"/>
      <c r="G211" s="1442"/>
      <c r="H211" s="1442"/>
      <c r="I211" s="1442"/>
      <c r="J211" s="1442"/>
      <c r="K211" s="1442"/>
      <c r="L211" s="1442"/>
      <c r="M211" s="1442"/>
      <c r="N211" s="1442"/>
      <c r="O211" s="1442"/>
      <c r="P211" s="1442"/>
      <c r="Q211" s="1442"/>
      <c r="R211" s="1442"/>
      <c r="S211" s="1655"/>
      <c r="T211" s="1754"/>
      <c r="U211" s="1541"/>
      <c r="V211" s="1769"/>
      <c r="W211" s="1480"/>
      <c r="X211" s="1769"/>
      <c r="Y211" s="3373" t="str">
        <f t="shared" si="60"/>
        <v/>
      </c>
      <c r="BD211" s="417"/>
      <c r="BE211" s="417"/>
      <c r="BF211" s="417"/>
      <c r="BG211" s="417"/>
      <c r="BH211" s="417"/>
      <c r="BI211" s="417"/>
      <c r="BJ211" s="417"/>
      <c r="BK211" s="417"/>
      <c r="BL211" s="417"/>
      <c r="BM211" s="417"/>
      <c r="BN211" s="417"/>
      <c r="BO211" s="417"/>
      <c r="BP211" s="417"/>
      <c r="BQ211" s="417"/>
      <c r="BR211" s="417"/>
      <c r="BS211" s="417"/>
      <c r="BT211" s="417"/>
      <c r="BU211" s="417"/>
      <c r="BV211" s="417"/>
      <c r="BW211" s="417"/>
      <c r="BX211" s="417"/>
      <c r="BY211" s="417"/>
      <c r="BZ211" s="417"/>
      <c r="CA211" s="418" t="str">
        <f t="shared" si="61"/>
        <v/>
      </c>
      <c r="CB211" s="417"/>
      <c r="CC211" s="417"/>
      <c r="CD211" s="417"/>
      <c r="CE211"/>
      <c r="CK211" s="417"/>
      <c r="CM211" s="1945">
        <f t="shared" si="62"/>
        <v>0</v>
      </c>
      <c r="DI211"/>
    </row>
    <row r="212" spans="1:113">
      <c r="A212" s="4681" t="s">
        <v>2144</v>
      </c>
      <c r="B212" s="2353">
        <f t="shared" si="66"/>
        <v>0</v>
      </c>
      <c r="C212" s="1440"/>
      <c r="D212" s="1442"/>
      <c r="E212" s="1442"/>
      <c r="F212" s="1442"/>
      <c r="G212" s="1442"/>
      <c r="H212" s="1442"/>
      <c r="I212" s="1442"/>
      <c r="J212" s="1442"/>
      <c r="K212" s="1442"/>
      <c r="L212" s="1442"/>
      <c r="M212" s="1442"/>
      <c r="N212" s="1442"/>
      <c r="O212" s="1442"/>
      <c r="P212" s="1442"/>
      <c r="Q212" s="1442"/>
      <c r="R212" s="1442"/>
      <c r="S212" s="1655"/>
      <c r="T212" s="1709"/>
      <c r="U212" s="1442"/>
      <c r="V212" s="1680"/>
      <c r="W212" s="1440"/>
      <c r="X212" s="1680"/>
      <c r="Y212" s="3373" t="str">
        <f t="shared" si="60"/>
        <v/>
      </c>
      <c r="BD212" s="417"/>
      <c r="BE212" s="417"/>
      <c r="BF212" s="417"/>
      <c r="BG212" s="417"/>
      <c r="BH212" s="417"/>
      <c r="BI212" s="417"/>
      <c r="BJ212" s="417"/>
      <c r="BK212" s="417"/>
      <c r="BL212" s="417"/>
      <c r="BM212" s="417"/>
      <c r="BN212" s="417"/>
      <c r="BO212" s="417"/>
      <c r="BP212" s="417"/>
      <c r="BQ212" s="417"/>
      <c r="BR212" s="417"/>
      <c r="BS212" s="417"/>
      <c r="BT212" s="417"/>
      <c r="BU212" s="417"/>
      <c r="BV212" s="417"/>
      <c r="BW212" s="417"/>
      <c r="BX212" s="417"/>
      <c r="BY212" s="417"/>
      <c r="BZ212" s="417"/>
      <c r="CA212" s="418" t="str">
        <f t="shared" si="61"/>
        <v/>
      </c>
      <c r="CB212" s="417"/>
      <c r="CC212" s="417"/>
      <c r="CD212" s="417"/>
      <c r="CE212"/>
      <c r="CK212" s="417"/>
      <c r="CM212" s="1945">
        <f t="shared" si="62"/>
        <v>0</v>
      </c>
      <c r="DI212"/>
    </row>
    <row r="213" spans="1:113">
      <c r="A213" s="4681" t="s">
        <v>3586</v>
      </c>
      <c r="B213" s="2353">
        <f t="shared" si="66"/>
        <v>0</v>
      </c>
      <c r="C213" s="1440"/>
      <c r="D213" s="1442"/>
      <c r="E213" s="1442"/>
      <c r="F213" s="1442"/>
      <c r="G213" s="1442"/>
      <c r="H213" s="1442"/>
      <c r="I213" s="1442"/>
      <c r="J213" s="1442"/>
      <c r="K213" s="1442"/>
      <c r="L213" s="1442"/>
      <c r="M213" s="1442"/>
      <c r="N213" s="1442"/>
      <c r="O213" s="1442"/>
      <c r="P213" s="1442"/>
      <c r="Q213" s="1442"/>
      <c r="R213" s="1442"/>
      <c r="S213" s="1655"/>
      <c r="T213" s="1709"/>
      <c r="U213" s="1442"/>
      <c r="V213" s="1680"/>
      <c r="W213" s="1440"/>
      <c r="X213" s="1680"/>
      <c r="Y213" s="3373" t="str">
        <f t="shared" si="60"/>
        <v/>
      </c>
      <c r="BD213" s="417"/>
      <c r="BE213" s="417"/>
      <c r="BF213" s="417"/>
      <c r="BG213" s="417"/>
      <c r="BH213" s="417"/>
      <c r="BI213" s="417"/>
      <c r="BJ213" s="417"/>
      <c r="BK213" s="417"/>
      <c r="BL213" s="417"/>
      <c r="BM213" s="417"/>
      <c r="BN213" s="417"/>
      <c r="BO213" s="417"/>
      <c r="BP213" s="417"/>
      <c r="BQ213" s="417"/>
      <c r="BR213" s="417"/>
      <c r="BS213" s="417"/>
      <c r="BT213" s="417"/>
      <c r="BU213" s="417"/>
      <c r="BV213" s="417"/>
      <c r="BW213" s="417"/>
      <c r="BX213" s="417"/>
      <c r="BY213" s="417"/>
      <c r="BZ213" s="417"/>
      <c r="CA213" s="418" t="str">
        <f t="shared" si="61"/>
        <v/>
      </c>
      <c r="CB213" s="417"/>
      <c r="CC213" s="417"/>
      <c r="CD213" s="417"/>
      <c r="CE213"/>
      <c r="CK213" s="417"/>
      <c r="CM213" s="1945">
        <f t="shared" si="62"/>
        <v>0</v>
      </c>
      <c r="DI213"/>
    </row>
    <row r="214" spans="1:113">
      <c r="A214" s="420" t="s">
        <v>1065</v>
      </c>
      <c r="B214" s="2360">
        <f t="shared" si="66"/>
        <v>0</v>
      </c>
      <c r="C214" s="1455"/>
      <c r="D214" s="1457"/>
      <c r="E214" s="1457"/>
      <c r="F214" s="1457"/>
      <c r="G214" s="1457"/>
      <c r="H214" s="1457"/>
      <c r="I214" s="1457"/>
      <c r="J214" s="1457"/>
      <c r="K214" s="1457"/>
      <c r="L214" s="1457"/>
      <c r="M214" s="1457"/>
      <c r="N214" s="1457"/>
      <c r="O214" s="1457"/>
      <c r="P214" s="1457"/>
      <c r="Q214" s="1457"/>
      <c r="R214" s="1457"/>
      <c r="S214" s="1660"/>
      <c r="T214" s="1714"/>
      <c r="U214" s="1457"/>
      <c r="V214" s="1684"/>
      <c r="W214" s="1455"/>
      <c r="X214" s="1684"/>
      <c r="Y214" s="3373" t="str">
        <f t="shared" si="60"/>
        <v/>
      </c>
      <c r="BD214" s="417"/>
      <c r="BE214" s="417"/>
      <c r="BF214" s="417"/>
      <c r="BG214" s="417"/>
      <c r="BH214" s="417"/>
      <c r="BI214" s="417"/>
      <c r="BJ214" s="417"/>
      <c r="BK214" s="417"/>
      <c r="BL214" s="417"/>
      <c r="BM214" s="417"/>
      <c r="BN214" s="417"/>
      <c r="BO214" s="417"/>
      <c r="BP214" s="417"/>
      <c r="BQ214" s="417"/>
      <c r="BR214" s="417"/>
      <c r="BS214" s="417"/>
      <c r="BT214" s="417"/>
      <c r="BU214" s="417"/>
      <c r="BV214" s="417"/>
      <c r="BW214" s="417"/>
      <c r="BX214" s="417"/>
      <c r="BY214" s="417"/>
      <c r="BZ214" s="417"/>
      <c r="CA214" s="418" t="str">
        <f t="shared" si="61"/>
        <v/>
      </c>
      <c r="CB214" s="417"/>
      <c r="CC214" s="417"/>
      <c r="CD214" s="417"/>
      <c r="CE214"/>
      <c r="CK214" s="417"/>
      <c r="CM214" s="1945">
        <f t="shared" si="62"/>
        <v>0</v>
      </c>
      <c r="DI214"/>
    </row>
    <row r="215" spans="1:113">
      <c r="A215" s="4730" t="s">
        <v>91</v>
      </c>
      <c r="B215" s="3166">
        <f>SUM(B211:B214)</f>
        <v>0</v>
      </c>
      <c r="C215" s="3164">
        <f t="shared" ref="C215:X215" si="67">SUM(C211:C214)</f>
        <v>0</v>
      </c>
      <c r="D215" s="4779">
        <f t="shared" si="67"/>
        <v>0</v>
      </c>
      <c r="E215" s="4779">
        <f t="shared" si="67"/>
        <v>0</v>
      </c>
      <c r="F215" s="4779">
        <f t="shared" si="67"/>
        <v>0</v>
      </c>
      <c r="G215" s="4779">
        <f t="shared" si="67"/>
        <v>0</v>
      </c>
      <c r="H215" s="4779">
        <f t="shared" si="67"/>
        <v>0</v>
      </c>
      <c r="I215" s="4779">
        <f t="shared" si="67"/>
        <v>0</v>
      </c>
      <c r="J215" s="4779">
        <f t="shared" si="67"/>
        <v>0</v>
      </c>
      <c r="K215" s="4779">
        <f t="shared" si="67"/>
        <v>0</v>
      </c>
      <c r="L215" s="4779">
        <f t="shared" si="67"/>
        <v>0</v>
      </c>
      <c r="M215" s="4779">
        <f t="shared" si="67"/>
        <v>0</v>
      </c>
      <c r="N215" s="4779">
        <f t="shared" si="67"/>
        <v>0</v>
      </c>
      <c r="O215" s="4779">
        <f t="shared" si="67"/>
        <v>0</v>
      </c>
      <c r="P215" s="4779">
        <f t="shared" si="67"/>
        <v>0</v>
      </c>
      <c r="Q215" s="4779">
        <f t="shared" si="67"/>
        <v>0</v>
      </c>
      <c r="R215" s="4779">
        <f t="shared" si="67"/>
        <v>0</v>
      </c>
      <c r="S215" s="4780">
        <f t="shared" si="67"/>
        <v>0</v>
      </c>
      <c r="T215" s="4778">
        <f t="shared" si="67"/>
        <v>0</v>
      </c>
      <c r="U215" s="1713">
        <f t="shared" si="67"/>
        <v>0</v>
      </c>
      <c r="V215" s="1659">
        <f t="shared" si="67"/>
        <v>0</v>
      </c>
      <c r="W215" s="429">
        <f t="shared" si="67"/>
        <v>0</v>
      </c>
      <c r="X215" s="1659">
        <f t="shared" si="67"/>
        <v>0</v>
      </c>
    </row>
    <row r="216" spans="1:113" ht="18" customHeight="1">
      <c r="A216" s="2102" t="s">
        <v>3590</v>
      </c>
      <c r="B216" s="1582"/>
    </row>
    <row r="217" spans="1:113">
      <c r="A217" s="400" t="s">
        <v>3591</v>
      </c>
      <c r="B217" s="1574" t="s">
        <v>42</v>
      </c>
    </row>
    <row r="218" spans="1:113">
      <c r="A218" s="4505" t="s">
        <v>3592</v>
      </c>
      <c r="B218" s="1483"/>
    </row>
    <row r="219" spans="1:113">
      <c r="A219" s="1439" t="s">
        <v>3593</v>
      </c>
      <c r="B219" s="1446"/>
    </row>
    <row r="220" spans="1:113">
      <c r="A220" s="1439" t="s">
        <v>3594</v>
      </c>
      <c r="B220" s="1446"/>
    </row>
    <row r="221" spans="1:113">
      <c r="A221" s="1454" t="s">
        <v>3595</v>
      </c>
      <c r="B221" s="1461"/>
    </row>
    <row r="222" spans="1:113" ht="18" customHeight="1">
      <c r="A222" s="1468" t="s">
        <v>3596</v>
      </c>
      <c r="B222" s="1582"/>
    </row>
    <row r="223" spans="1:113">
      <c r="A223" s="391" t="s">
        <v>296</v>
      </c>
      <c r="B223" s="1574" t="s">
        <v>91</v>
      </c>
    </row>
    <row r="224" spans="1:113">
      <c r="A224" s="1439" t="s">
        <v>3597</v>
      </c>
      <c r="B224" s="1446"/>
    </row>
    <row r="225" spans="1:2">
      <c r="A225" s="1439" t="s">
        <v>2143</v>
      </c>
      <c r="B225" s="1446"/>
    </row>
    <row r="226" spans="1:2">
      <c r="A226" s="1439" t="s">
        <v>3598</v>
      </c>
      <c r="B226" s="1446"/>
    </row>
    <row r="227" spans="1:2" ht="24" customHeight="1">
      <c r="A227" s="4781" t="s">
        <v>3599</v>
      </c>
      <c r="B227" s="1446"/>
    </row>
    <row r="228" spans="1:2">
      <c r="A228" s="1439" t="s">
        <v>3600</v>
      </c>
      <c r="B228" s="1446"/>
    </row>
    <row r="229" spans="1:2">
      <c r="A229" s="1439" t="s">
        <v>3601</v>
      </c>
      <c r="B229" s="1446"/>
    </row>
    <row r="230" spans="1:2">
      <c r="A230" s="1439" t="s">
        <v>3602</v>
      </c>
      <c r="B230" s="1446"/>
    </row>
    <row r="231" spans="1:2">
      <c r="A231" s="1439" t="s">
        <v>3603</v>
      </c>
      <c r="B231" s="1446"/>
    </row>
    <row r="232" spans="1:2">
      <c r="A232" s="1439" t="s">
        <v>3604</v>
      </c>
      <c r="B232" s="1446"/>
    </row>
    <row r="233" spans="1:2">
      <c r="A233" s="1439" t="s">
        <v>3605</v>
      </c>
      <c r="B233" s="1446"/>
    </row>
    <row r="234" spans="1:2">
      <c r="A234" s="1439" t="s">
        <v>3606</v>
      </c>
      <c r="B234" s="1446"/>
    </row>
    <row r="235" spans="1:2">
      <c r="A235" s="1439" t="s">
        <v>3607</v>
      </c>
      <c r="B235" s="1446"/>
    </row>
    <row r="236" spans="1:2">
      <c r="A236" s="1439" t="s">
        <v>3608</v>
      </c>
      <c r="B236" s="1446"/>
    </row>
    <row r="237" spans="1:2">
      <c r="A237" s="1439" t="s">
        <v>3609</v>
      </c>
      <c r="B237" s="1446"/>
    </row>
    <row r="238" spans="1:2">
      <c r="A238" s="1439" t="s">
        <v>3610</v>
      </c>
      <c r="B238" s="1446"/>
    </row>
    <row r="239" spans="1:2">
      <c r="A239" s="1439" t="s">
        <v>3611</v>
      </c>
      <c r="B239" s="1446"/>
    </row>
    <row r="240" spans="1:2">
      <c r="A240" s="1439" t="s">
        <v>3612</v>
      </c>
      <c r="B240" s="1446"/>
    </row>
    <row r="241" spans="1:19">
      <c r="A241" s="1439" t="s">
        <v>3613</v>
      </c>
      <c r="B241" s="1446"/>
    </row>
    <row r="242" spans="1:19">
      <c r="A242" s="1439" t="s">
        <v>3514</v>
      </c>
      <c r="B242" s="1446"/>
    </row>
    <row r="243" spans="1:19">
      <c r="A243" s="1439" t="s">
        <v>3614</v>
      </c>
      <c r="B243" s="1446"/>
    </row>
    <row r="244" spans="1:19">
      <c r="A244" s="1439" t="s">
        <v>3615</v>
      </c>
      <c r="B244" s="1446"/>
    </row>
    <row r="245" spans="1:19">
      <c r="A245" s="1439" t="s">
        <v>3616</v>
      </c>
      <c r="B245" s="1446"/>
    </row>
    <row r="246" spans="1:19">
      <c r="A246" s="1439" t="s">
        <v>3617</v>
      </c>
      <c r="B246" s="1446"/>
    </row>
    <row r="247" spans="1:19">
      <c r="A247" s="1439" t="s">
        <v>3618</v>
      </c>
      <c r="B247" s="1446"/>
    </row>
    <row r="248" spans="1:19">
      <c r="A248" s="1454" t="s">
        <v>3619</v>
      </c>
      <c r="B248" s="1461"/>
    </row>
    <row r="249" spans="1:19">
      <c r="A249" s="4782" t="s">
        <v>91</v>
      </c>
      <c r="B249" s="1527">
        <f>SUM(B224:B248)</f>
        <v>0</v>
      </c>
    </row>
    <row r="250" spans="1:19" ht="18" customHeight="1">
      <c r="A250" s="2102" t="s">
        <v>3620</v>
      </c>
      <c r="B250" s="2102"/>
      <c r="C250" s="1582"/>
      <c r="D250" s="1582"/>
      <c r="E250" s="1582"/>
      <c r="F250" s="1582"/>
      <c r="G250" s="1582"/>
      <c r="H250" s="1582"/>
      <c r="I250" s="1582"/>
      <c r="J250" s="1582"/>
      <c r="K250" s="1582"/>
      <c r="L250" s="1582"/>
      <c r="M250" s="1582"/>
      <c r="N250" s="1582"/>
      <c r="O250" s="1582"/>
      <c r="P250" s="1582"/>
      <c r="Q250" s="1582"/>
      <c r="R250" s="1582"/>
      <c r="S250" s="1582"/>
    </row>
    <row r="251" spans="1:19" ht="18" customHeight="1">
      <c r="A251" s="2102" t="s">
        <v>3621</v>
      </c>
      <c r="B251" s="2101"/>
      <c r="C251" s="1582"/>
      <c r="D251" s="1582"/>
      <c r="E251" s="1582"/>
      <c r="F251" s="1582"/>
      <c r="G251" s="1582"/>
      <c r="H251" s="1582"/>
      <c r="I251" s="1582"/>
      <c r="J251" s="1582"/>
      <c r="K251" s="1582"/>
      <c r="L251" s="1582"/>
      <c r="M251" s="1582"/>
      <c r="N251" s="1582"/>
      <c r="O251" s="1582"/>
      <c r="P251" s="1582"/>
      <c r="Q251" s="1582"/>
      <c r="R251" s="1582"/>
      <c r="S251" s="1582"/>
    </row>
    <row r="252" spans="1:19">
      <c r="A252" s="5718" t="s">
        <v>3622</v>
      </c>
      <c r="B252" s="6766" t="s">
        <v>91</v>
      </c>
      <c r="C252" s="5707" t="s">
        <v>43</v>
      </c>
      <c r="D252" s="5708"/>
      <c r="E252" s="5708"/>
      <c r="F252" s="5708"/>
      <c r="G252" s="5708"/>
      <c r="H252" s="5708"/>
      <c r="I252" s="5708"/>
      <c r="J252" s="5708"/>
      <c r="K252" s="5708"/>
      <c r="L252" s="5708"/>
      <c r="M252" s="5708"/>
      <c r="N252" s="5708"/>
      <c r="O252" s="5708"/>
      <c r="P252" s="5708"/>
      <c r="Q252" s="5708"/>
      <c r="R252" s="5708"/>
      <c r="S252" s="5709"/>
    </row>
    <row r="253" spans="1:19">
      <c r="A253" s="5719"/>
      <c r="B253" s="6767"/>
      <c r="C253" s="4733" t="s">
        <v>364</v>
      </c>
      <c r="D253" s="4734" t="s">
        <v>347</v>
      </c>
      <c r="E253" s="4734" t="s">
        <v>108</v>
      </c>
      <c r="F253" s="4734" t="s">
        <v>58</v>
      </c>
      <c r="G253" s="4734" t="s">
        <v>59</v>
      </c>
      <c r="H253" s="4734" t="s">
        <v>1003</v>
      </c>
      <c r="I253" s="4734" t="s">
        <v>656</v>
      </c>
      <c r="J253" s="4734" t="s">
        <v>62</v>
      </c>
      <c r="K253" s="4734" t="s">
        <v>63</v>
      </c>
      <c r="L253" s="4734" t="s">
        <v>1004</v>
      </c>
      <c r="M253" s="4734" t="s">
        <v>65</v>
      </c>
      <c r="N253" s="4734" t="s">
        <v>66</v>
      </c>
      <c r="O253" s="4734" t="s">
        <v>67</v>
      </c>
      <c r="P253" s="4734" t="s">
        <v>68</v>
      </c>
      <c r="Q253" s="4734" t="s">
        <v>69</v>
      </c>
      <c r="R253" s="4734" t="s">
        <v>70</v>
      </c>
      <c r="S253" s="2339" t="s">
        <v>71</v>
      </c>
    </row>
    <row r="254" spans="1:19">
      <c r="A254" s="2291" t="s">
        <v>3623</v>
      </c>
      <c r="B254" s="2152">
        <f t="shared" ref="B254:B310" si="68">SUM(C254:S254)</f>
        <v>0</v>
      </c>
      <c r="C254" s="1424"/>
      <c r="D254" s="1426"/>
      <c r="E254" s="1426"/>
      <c r="F254" s="1426"/>
      <c r="G254" s="1426"/>
      <c r="H254" s="1426"/>
      <c r="I254" s="1426"/>
      <c r="J254" s="1426"/>
      <c r="K254" s="1426"/>
      <c r="L254" s="1426"/>
      <c r="M254" s="1426"/>
      <c r="N254" s="1426"/>
      <c r="O254" s="1426"/>
      <c r="P254" s="1426"/>
      <c r="Q254" s="1426"/>
      <c r="R254" s="1426"/>
      <c r="S254" s="1676"/>
    </row>
    <row r="255" spans="1:19">
      <c r="A255" s="3836" t="s">
        <v>3624</v>
      </c>
      <c r="B255" s="3555">
        <f t="shared" si="68"/>
        <v>0</v>
      </c>
      <c r="C255" s="1440"/>
      <c r="D255" s="1442"/>
      <c r="E255" s="1442"/>
      <c r="F255" s="1442"/>
      <c r="G255" s="1442"/>
      <c r="H255" s="1442"/>
      <c r="I255" s="1442"/>
      <c r="J255" s="1442"/>
      <c r="K255" s="1442"/>
      <c r="L255" s="1442"/>
      <c r="M255" s="1442"/>
      <c r="N255" s="1442"/>
      <c r="O255" s="1442"/>
      <c r="P255" s="1442"/>
      <c r="Q255" s="1442"/>
      <c r="R255" s="1442"/>
      <c r="S255" s="1452"/>
    </row>
    <row r="256" spans="1:19">
      <c r="A256" s="3530" t="s">
        <v>3625</v>
      </c>
      <c r="B256" s="2047">
        <f t="shared" si="68"/>
        <v>0</v>
      </c>
      <c r="C256" s="1528"/>
      <c r="D256" s="1529"/>
      <c r="E256" s="1529"/>
      <c r="F256" s="1529"/>
      <c r="G256" s="1529"/>
      <c r="H256" s="1529"/>
      <c r="I256" s="1529"/>
      <c r="J256" s="1529"/>
      <c r="K256" s="1529"/>
      <c r="L256" s="1529"/>
      <c r="M256" s="1529"/>
      <c r="N256" s="1529"/>
      <c r="O256" s="1529"/>
      <c r="P256" s="1529"/>
      <c r="Q256" s="1529"/>
      <c r="R256" s="1529"/>
      <c r="S256" s="1534"/>
    </row>
    <row r="257" spans="1:19" ht="18" customHeight="1">
      <c r="A257" s="2102" t="s">
        <v>3626</v>
      </c>
      <c r="B257" s="4783"/>
      <c r="C257" s="1582"/>
      <c r="D257" s="4783"/>
      <c r="E257" s="1582"/>
      <c r="F257" s="1582"/>
      <c r="G257" s="1582"/>
      <c r="H257" s="1582"/>
      <c r="I257" s="1582"/>
      <c r="J257" s="1582"/>
      <c r="K257" s="1582"/>
      <c r="L257" s="1582"/>
      <c r="M257" s="1582"/>
      <c r="N257" s="1582"/>
      <c r="O257" s="1582"/>
      <c r="P257" s="1582"/>
      <c r="Q257" s="1582"/>
      <c r="R257" s="1582"/>
      <c r="S257" s="1582"/>
    </row>
    <row r="258" spans="1:19">
      <c r="A258" s="5718" t="s">
        <v>3627</v>
      </c>
      <c r="B258" s="6766" t="s">
        <v>209</v>
      </c>
      <c r="C258" s="5707" t="s">
        <v>43</v>
      </c>
      <c r="D258" s="5708"/>
      <c r="E258" s="5708"/>
      <c r="F258" s="5708"/>
      <c r="G258" s="5708"/>
      <c r="H258" s="5708"/>
      <c r="I258" s="5708"/>
      <c r="J258" s="5708"/>
      <c r="K258" s="5708"/>
      <c r="L258" s="5708"/>
      <c r="M258" s="5708"/>
      <c r="N258" s="5708"/>
      <c r="O258" s="5708"/>
      <c r="P258" s="5708"/>
      <c r="Q258" s="5708"/>
      <c r="R258" s="5708"/>
      <c r="S258" s="5709"/>
    </row>
    <row r="259" spans="1:19">
      <c r="A259" s="5719"/>
      <c r="B259" s="6767"/>
      <c r="C259" s="4733" t="s">
        <v>364</v>
      </c>
      <c r="D259" s="4734" t="s">
        <v>347</v>
      </c>
      <c r="E259" s="4734" t="s">
        <v>108</v>
      </c>
      <c r="F259" s="4734" t="s">
        <v>58</v>
      </c>
      <c r="G259" s="4734" t="s">
        <v>59</v>
      </c>
      <c r="H259" s="4734" t="s">
        <v>1003</v>
      </c>
      <c r="I259" s="4734" t="s">
        <v>656</v>
      </c>
      <c r="J259" s="4734" t="s">
        <v>62</v>
      </c>
      <c r="K259" s="4734" t="s">
        <v>63</v>
      </c>
      <c r="L259" s="4734" t="s">
        <v>1004</v>
      </c>
      <c r="M259" s="4734" t="s">
        <v>65</v>
      </c>
      <c r="N259" s="4734" t="s">
        <v>66</v>
      </c>
      <c r="O259" s="4734" t="s">
        <v>67</v>
      </c>
      <c r="P259" s="4734" t="s">
        <v>68</v>
      </c>
      <c r="Q259" s="4734" t="s">
        <v>69</v>
      </c>
      <c r="R259" s="4734" t="s">
        <v>70</v>
      </c>
      <c r="S259" s="2339" t="s">
        <v>71</v>
      </c>
    </row>
    <row r="260" spans="1:19">
      <c r="A260" s="1540" t="s">
        <v>3628</v>
      </c>
      <c r="B260" s="1540">
        <f t="shared" si="68"/>
        <v>0</v>
      </c>
      <c r="C260" s="1424"/>
      <c r="D260" s="1426"/>
      <c r="E260" s="1426"/>
      <c r="F260" s="1426"/>
      <c r="G260" s="1426"/>
      <c r="H260" s="1426"/>
      <c r="I260" s="1426"/>
      <c r="J260" s="1426"/>
      <c r="K260" s="1426"/>
      <c r="L260" s="1426"/>
      <c r="M260" s="1426"/>
      <c r="N260" s="1426"/>
      <c r="O260" s="1426"/>
      <c r="P260" s="1426"/>
      <c r="Q260" s="1426"/>
      <c r="R260" s="1426"/>
      <c r="S260" s="1436"/>
    </row>
    <row r="261" spans="1:19">
      <c r="A261" s="1512" t="s">
        <v>3629</v>
      </c>
      <c r="B261" s="1512">
        <f t="shared" si="68"/>
        <v>0</v>
      </c>
      <c r="C261" s="1440"/>
      <c r="D261" s="1442"/>
      <c r="E261" s="1442"/>
      <c r="F261" s="1442"/>
      <c r="G261" s="1442"/>
      <c r="H261" s="1442"/>
      <c r="I261" s="1442"/>
      <c r="J261" s="1442"/>
      <c r="K261" s="1442"/>
      <c r="L261" s="1442"/>
      <c r="M261" s="1442"/>
      <c r="N261" s="1442"/>
      <c r="O261" s="1442"/>
      <c r="P261" s="1442"/>
      <c r="Q261" s="1442"/>
      <c r="R261" s="1442"/>
      <c r="S261" s="1452"/>
    </row>
    <row r="262" spans="1:19">
      <c r="A262" s="1512" t="s">
        <v>3630</v>
      </c>
      <c r="B262" s="1512">
        <f t="shared" si="68"/>
        <v>0</v>
      </c>
      <c r="C262" s="1440"/>
      <c r="D262" s="1442"/>
      <c r="E262" s="1442"/>
      <c r="F262" s="1442"/>
      <c r="G262" s="1442"/>
      <c r="H262" s="1442"/>
      <c r="I262" s="1442"/>
      <c r="J262" s="1442"/>
      <c r="K262" s="1442"/>
      <c r="L262" s="1442"/>
      <c r="M262" s="1442"/>
      <c r="N262" s="1442"/>
      <c r="O262" s="1442"/>
      <c r="P262" s="1442"/>
      <c r="Q262" s="1442"/>
      <c r="R262" s="1442"/>
      <c r="S262" s="1452"/>
    </row>
    <row r="263" spans="1:19">
      <c r="A263" s="1512" t="s">
        <v>3631</v>
      </c>
      <c r="B263" s="1512">
        <f t="shared" si="68"/>
        <v>0</v>
      </c>
      <c r="C263" s="1440"/>
      <c r="D263" s="1442"/>
      <c r="E263" s="1442"/>
      <c r="F263" s="1442"/>
      <c r="G263" s="1442"/>
      <c r="H263" s="1442"/>
      <c r="I263" s="1442"/>
      <c r="J263" s="1442"/>
      <c r="K263" s="1442"/>
      <c r="L263" s="1442"/>
      <c r="M263" s="1442"/>
      <c r="N263" s="1442"/>
      <c r="O263" s="1442"/>
      <c r="P263" s="1442"/>
      <c r="Q263" s="1442"/>
      <c r="R263" s="1442"/>
      <c r="S263" s="1452"/>
    </row>
    <row r="264" spans="1:19">
      <c r="A264" s="1512" t="s">
        <v>3632</v>
      </c>
      <c r="B264" s="1512">
        <f t="shared" si="68"/>
        <v>0</v>
      </c>
      <c r="C264" s="1440"/>
      <c r="D264" s="1442"/>
      <c r="E264" s="1442"/>
      <c r="F264" s="1442"/>
      <c r="G264" s="1442"/>
      <c r="H264" s="1442"/>
      <c r="I264" s="1442"/>
      <c r="J264" s="1442"/>
      <c r="K264" s="1442"/>
      <c r="L264" s="1442"/>
      <c r="M264" s="1442"/>
      <c r="N264" s="1442"/>
      <c r="O264" s="1442"/>
      <c r="P264" s="1442"/>
      <c r="Q264" s="1442"/>
      <c r="R264" s="1442"/>
      <c r="S264" s="1452"/>
    </row>
    <row r="265" spans="1:19">
      <c r="A265" s="1512" t="s">
        <v>3633</v>
      </c>
      <c r="B265" s="1512">
        <f t="shared" si="68"/>
        <v>0</v>
      </c>
      <c r="C265" s="1440"/>
      <c r="D265" s="1442"/>
      <c r="E265" s="1442"/>
      <c r="F265" s="1442"/>
      <c r="G265" s="1442"/>
      <c r="H265" s="1442"/>
      <c r="I265" s="1442"/>
      <c r="J265" s="1442"/>
      <c r="K265" s="1442"/>
      <c r="L265" s="1442"/>
      <c r="M265" s="1442"/>
      <c r="N265" s="1442"/>
      <c r="O265" s="1442"/>
      <c r="P265" s="1442"/>
      <c r="Q265" s="1442"/>
      <c r="R265" s="1442"/>
      <c r="S265" s="1452"/>
    </row>
    <row r="266" spans="1:19">
      <c r="A266" s="1512" t="s">
        <v>3634</v>
      </c>
      <c r="B266" s="1512">
        <f t="shared" si="68"/>
        <v>0</v>
      </c>
      <c r="C266" s="1440"/>
      <c r="D266" s="1442"/>
      <c r="E266" s="1442"/>
      <c r="F266" s="1442"/>
      <c r="G266" s="1442"/>
      <c r="H266" s="1442"/>
      <c r="I266" s="1442"/>
      <c r="J266" s="1442"/>
      <c r="K266" s="1442"/>
      <c r="L266" s="1442"/>
      <c r="M266" s="1442"/>
      <c r="N266" s="1442"/>
      <c r="O266" s="1442"/>
      <c r="P266" s="1442"/>
      <c r="Q266" s="1442"/>
      <c r="R266" s="1442"/>
      <c r="S266" s="1452"/>
    </row>
    <row r="267" spans="1:19">
      <c r="A267" s="1512" t="s">
        <v>3635</v>
      </c>
      <c r="B267" s="1512">
        <f t="shared" si="68"/>
        <v>0</v>
      </c>
      <c r="C267" s="1440"/>
      <c r="D267" s="1442"/>
      <c r="E267" s="1442"/>
      <c r="F267" s="1442"/>
      <c r="G267" s="1442"/>
      <c r="H267" s="1442"/>
      <c r="I267" s="1442"/>
      <c r="J267" s="1442"/>
      <c r="K267" s="1442"/>
      <c r="L267" s="1442"/>
      <c r="M267" s="1442"/>
      <c r="N267" s="1442"/>
      <c r="O267" s="1442"/>
      <c r="P267" s="1442"/>
      <c r="Q267" s="1442"/>
      <c r="R267" s="1442"/>
      <c r="S267" s="1452"/>
    </row>
    <row r="268" spans="1:19">
      <c r="A268" s="1512" t="s">
        <v>3636</v>
      </c>
      <c r="B268" s="1512">
        <f t="shared" si="68"/>
        <v>0</v>
      </c>
      <c r="C268" s="1440"/>
      <c r="D268" s="1442"/>
      <c r="E268" s="1442"/>
      <c r="F268" s="1442"/>
      <c r="G268" s="1442"/>
      <c r="H268" s="1442"/>
      <c r="I268" s="1442"/>
      <c r="J268" s="1442"/>
      <c r="K268" s="1442"/>
      <c r="L268" s="1442"/>
      <c r="M268" s="1442"/>
      <c r="N268" s="1442"/>
      <c r="O268" s="1442"/>
      <c r="P268" s="1442"/>
      <c r="Q268" s="1442"/>
      <c r="R268" s="1442"/>
      <c r="S268" s="1452"/>
    </row>
    <row r="269" spans="1:19">
      <c r="A269" s="1512" t="s">
        <v>3637</v>
      </c>
      <c r="B269" s="1512">
        <f t="shared" si="68"/>
        <v>0</v>
      </c>
      <c r="C269" s="1440"/>
      <c r="D269" s="1442"/>
      <c r="E269" s="1442"/>
      <c r="F269" s="1442"/>
      <c r="G269" s="1442"/>
      <c r="H269" s="1442"/>
      <c r="I269" s="1442"/>
      <c r="J269" s="1442"/>
      <c r="K269" s="1442"/>
      <c r="L269" s="1442"/>
      <c r="M269" s="1442"/>
      <c r="N269" s="1442"/>
      <c r="O269" s="1442"/>
      <c r="P269" s="1442"/>
      <c r="Q269" s="1442"/>
      <c r="R269" s="1442"/>
      <c r="S269" s="1452"/>
    </row>
    <row r="270" spans="1:19" ht="22.5">
      <c r="A270" s="1691" t="s">
        <v>3638</v>
      </c>
      <c r="B270" s="1512">
        <f t="shared" si="68"/>
        <v>0</v>
      </c>
      <c r="C270" s="1440"/>
      <c r="D270" s="1442"/>
      <c r="E270" s="1442"/>
      <c r="F270" s="1442"/>
      <c r="G270" s="1442"/>
      <c r="H270" s="1442"/>
      <c r="I270" s="1442"/>
      <c r="J270" s="1442"/>
      <c r="K270" s="1442"/>
      <c r="L270" s="1442"/>
      <c r="M270" s="1442"/>
      <c r="N270" s="1442"/>
      <c r="O270" s="1442"/>
      <c r="P270" s="1442"/>
      <c r="Q270" s="1442"/>
      <c r="R270" s="1442"/>
      <c r="S270" s="1452"/>
    </row>
    <row r="271" spans="1:19" ht="22.5">
      <c r="A271" s="1691" t="s">
        <v>3639</v>
      </c>
      <c r="B271" s="1512">
        <f t="shared" si="68"/>
        <v>0</v>
      </c>
      <c r="C271" s="1440"/>
      <c r="D271" s="1442"/>
      <c r="E271" s="1442"/>
      <c r="F271" s="1442"/>
      <c r="G271" s="1442"/>
      <c r="H271" s="1442"/>
      <c r="I271" s="1442"/>
      <c r="J271" s="1442"/>
      <c r="K271" s="1442"/>
      <c r="L271" s="1442"/>
      <c r="M271" s="1442"/>
      <c r="N271" s="1442"/>
      <c r="O271" s="1442"/>
      <c r="P271" s="1442"/>
      <c r="Q271" s="1442"/>
      <c r="R271" s="1442"/>
      <c r="S271" s="1452"/>
    </row>
    <row r="272" spans="1:19">
      <c r="A272" s="1512" t="s">
        <v>3640</v>
      </c>
      <c r="B272" s="1512">
        <f t="shared" si="68"/>
        <v>0</v>
      </c>
      <c r="C272" s="1440"/>
      <c r="D272" s="1442"/>
      <c r="E272" s="1442"/>
      <c r="F272" s="1442"/>
      <c r="G272" s="1442"/>
      <c r="H272" s="1442"/>
      <c r="I272" s="1442"/>
      <c r="J272" s="1442"/>
      <c r="K272" s="1442"/>
      <c r="L272" s="1442"/>
      <c r="M272" s="1442"/>
      <c r="N272" s="1442"/>
      <c r="O272" s="1442"/>
      <c r="P272" s="1442"/>
      <c r="Q272" s="1442"/>
      <c r="R272" s="1442"/>
      <c r="S272" s="1452"/>
    </row>
    <row r="273" spans="1:19">
      <c r="A273" s="1512" t="s">
        <v>3641</v>
      </c>
      <c r="B273" s="1512">
        <f t="shared" si="68"/>
        <v>0</v>
      </c>
      <c r="C273" s="1440"/>
      <c r="D273" s="1442"/>
      <c r="E273" s="1442"/>
      <c r="F273" s="1442"/>
      <c r="G273" s="1442"/>
      <c r="H273" s="1442"/>
      <c r="I273" s="1442"/>
      <c r="J273" s="1442"/>
      <c r="K273" s="1442"/>
      <c r="L273" s="1442"/>
      <c r="M273" s="1442"/>
      <c r="N273" s="1442"/>
      <c r="O273" s="1442"/>
      <c r="P273" s="1442"/>
      <c r="Q273" s="1442"/>
      <c r="R273" s="1442"/>
      <c r="S273" s="1452"/>
    </row>
    <row r="274" spans="1:19">
      <c r="A274" s="1512" t="s">
        <v>3642</v>
      </c>
      <c r="B274" s="1512">
        <f t="shared" si="68"/>
        <v>0</v>
      </c>
      <c r="C274" s="1440"/>
      <c r="D274" s="1442"/>
      <c r="E274" s="1442"/>
      <c r="F274" s="1442"/>
      <c r="G274" s="1442"/>
      <c r="H274" s="1442"/>
      <c r="I274" s="1442"/>
      <c r="J274" s="1442"/>
      <c r="K274" s="1442"/>
      <c r="L274" s="1442"/>
      <c r="M274" s="1442"/>
      <c r="N274" s="1442"/>
      <c r="O274" s="1442"/>
      <c r="P274" s="1442"/>
      <c r="Q274" s="1442"/>
      <c r="R274" s="1442"/>
      <c r="S274" s="1452"/>
    </row>
    <row r="275" spans="1:19">
      <c r="A275" s="1512" t="s">
        <v>3643</v>
      </c>
      <c r="B275" s="1512">
        <f t="shared" si="68"/>
        <v>0</v>
      </c>
      <c r="C275" s="1440"/>
      <c r="D275" s="1442"/>
      <c r="E275" s="1442"/>
      <c r="F275" s="1442"/>
      <c r="G275" s="1442"/>
      <c r="H275" s="1442"/>
      <c r="I275" s="1442"/>
      <c r="J275" s="1442"/>
      <c r="K275" s="1442"/>
      <c r="L275" s="1442"/>
      <c r="M275" s="1442"/>
      <c r="N275" s="1442"/>
      <c r="O275" s="1442"/>
      <c r="P275" s="1442"/>
      <c r="Q275" s="1442"/>
      <c r="R275" s="1442"/>
      <c r="S275" s="1452"/>
    </row>
    <row r="276" spans="1:19">
      <c r="A276" s="1512" t="s">
        <v>3644</v>
      </c>
      <c r="B276" s="1512">
        <f t="shared" si="68"/>
        <v>0</v>
      </c>
      <c r="C276" s="1440"/>
      <c r="D276" s="1442"/>
      <c r="E276" s="1442"/>
      <c r="F276" s="1442"/>
      <c r="G276" s="1442"/>
      <c r="H276" s="1442"/>
      <c r="I276" s="1442"/>
      <c r="J276" s="1442"/>
      <c r="K276" s="1442"/>
      <c r="L276" s="1442"/>
      <c r="M276" s="1442"/>
      <c r="N276" s="1442"/>
      <c r="O276" s="1442"/>
      <c r="P276" s="1442"/>
      <c r="Q276" s="1442"/>
      <c r="R276" s="1442"/>
      <c r="S276" s="1452"/>
    </row>
    <row r="277" spans="1:19">
      <c r="A277" s="1512" t="s">
        <v>3645</v>
      </c>
      <c r="B277" s="1512">
        <f t="shared" si="68"/>
        <v>0</v>
      </c>
      <c r="C277" s="1440"/>
      <c r="D277" s="1442"/>
      <c r="E277" s="1442"/>
      <c r="F277" s="1442"/>
      <c r="G277" s="1442"/>
      <c r="H277" s="1442"/>
      <c r="I277" s="1442"/>
      <c r="J277" s="1442"/>
      <c r="K277" s="1442"/>
      <c r="L277" s="1442"/>
      <c r="M277" s="1442"/>
      <c r="N277" s="1442"/>
      <c r="O277" s="1442"/>
      <c r="P277" s="1442"/>
      <c r="Q277" s="1442"/>
      <c r="R277" s="1442"/>
      <c r="S277" s="1452"/>
    </row>
    <row r="278" spans="1:19">
      <c r="A278" s="1512" t="s">
        <v>3646</v>
      </c>
      <c r="B278" s="1512">
        <f t="shared" si="68"/>
        <v>0</v>
      </c>
      <c r="C278" s="1440"/>
      <c r="D278" s="1442"/>
      <c r="E278" s="1442"/>
      <c r="F278" s="1442"/>
      <c r="G278" s="1442"/>
      <c r="H278" s="1442"/>
      <c r="I278" s="1442"/>
      <c r="J278" s="1442"/>
      <c r="K278" s="1442"/>
      <c r="L278" s="1442"/>
      <c r="M278" s="1442"/>
      <c r="N278" s="1442"/>
      <c r="O278" s="1442"/>
      <c r="P278" s="1442"/>
      <c r="Q278" s="1442"/>
      <c r="R278" s="1442"/>
      <c r="S278" s="1452"/>
    </row>
    <row r="279" spans="1:19">
      <c r="A279" s="1512" t="s">
        <v>3647</v>
      </c>
      <c r="B279" s="1512">
        <f t="shared" si="68"/>
        <v>0</v>
      </c>
      <c r="C279" s="1440"/>
      <c r="D279" s="1442"/>
      <c r="E279" s="1442"/>
      <c r="F279" s="1442"/>
      <c r="G279" s="1442"/>
      <c r="H279" s="1442"/>
      <c r="I279" s="1442"/>
      <c r="J279" s="1442"/>
      <c r="K279" s="1442"/>
      <c r="L279" s="1442"/>
      <c r="M279" s="1442"/>
      <c r="N279" s="1442"/>
      <c r="O279" s="1442"/>
      <c r="P279" s="1442"/>
      <c r="Q279" s="1442"/>
      <c r="R279" s="1442"/>
      <c r="S279" s="1452"/>
    </row>
    <row r="280" spans="1:19">
      <c r="A280" s="1512" t="s">
        <v>3648</v>
      </c>
      <c r="B280" s="1512">
        <f t="shared" si="68"/>
        <v>0</v>
      </c>
      <c r="C280" s="1440"/>
      <c r="D280" s="1442"/>
      <c r="E280" s="1442"/>
      <c r="F280" s="1442"/>
      <c r="G280" s="1442"/>
      <c r="H280" s="1442"/>
      <c r="I280" s="1442"/>
      <c r="J280" s="1442"/>
      <c r="K280" s="1442"/>
      <c r="L280" s="1442"/>
      <c r="M280" s="1442"/>
      <c r="N280" s="1442"/>
      <c r="O280" s="1442"/>
      <c r="P280" s="1442"/>
      <c r="Q280" s="1442"/>
      <c r="R280" s="1442"/>
      <c r="S280" s="1452"/>
    </row>
    <row r="281" spans="1:19">
      <c r="A281" s="1729" t="s">
        <v>3649</v>
      </c>
      <c r="B281" s="1512">
        <f t="shared" si="68"/>
        <v>0</v>
      </c>
      <c r="C281" s="1480"/>
      <c r="D281" s="1541"/>
      <c r="E281" s="1541"/>
      <c r="F281" s="1541"/>
      <c r="G281" s="1541"/>
      <c r="H281" s="1541"/>
      <c r="I281" s="1541"/>
      <c r="J281" s="1541"/>
      <c r="K281" s="1541"/>
      <c r="L281" s="1541"/>
      <c r="M281" s="1541"/>
      <c r="N281" s="1541"/>
      <c r="O281" s="1541"/>
      <c r="P281" s="1541"/>
      <c r="Q281" s="1541"/>
      <c r="R281" s="1541"/>
      <c r="S281" s="1545"/>
    </row>
    <row r="282" spans="1:19">
      <c r="A282" s="1729" t="s">
        <v>3650</v>
      </c>
      <c r="B282" s="1512">
        <f t="shared" si="68"/>
        <v>0</v>
      </c>
      <c r="C282" s="1440"/>
      <c r="D282" s="1442"/>
      <c r="E282" s="1442"/>
      <c r="F282" s="1442"/>
      <c r="G282" s="1442"/>
      <c r="H282" s="1442"/>
      <c r="I282" s="1442"/>
      <c r="J282" s="1442"/>
      <c r="K282" s="1442"/>
      <c r="L282" s="1442"/>
      <c r="M282" s="1442"/>
      <c r="N282" s="1442"/>
      <c r="O282" s="1442"/>
      <c r="P282" s="1442"/>
      <c r="Q282" s="1442"/>
      <c r="R282" s="1442"/>
      <c r="S282" s="1452"/>
    </row>
    <row r="283" spans="1:19" ht="15" customHeight="1">
      <c r="A283" s="1694" t="s">
        <v>3651</v>
      </c>
      <c r="B283" s="1512">
        <f t="shared" si="68"/>
        <v>0</v>
      </c>
      <c r="C283" s="1440"/>
      <c r="D283" s="1442"/>
      <c r="E283" s="1442"/>
      <c r="F283" s="1442"/>
      <c r="G283" s="1442"/>
      <c r="H283" s="1442"/>
      <c r="I283" s="1442"/>
      <c r="J283" s="1442"/>
      <c r="K283" s="1442"/>
      <c r="L283" s="1442"/>
      <c r="M283" s="1442"/>
      <c r="N283" s="1442"/>
      <c r="O283" s="1442"/>
      <c r="P283" s="1442"/>
      <c r="Q283" s="1442"/>
      <c r="R283" s="1442"/>
      <c r="S283" s="1452"/>
    </row>
    <row r="284" spans="1:19">
      <c r="A284" s="1729" t="s">
        <v>3652</v>
      </c>
      <c r="B284" s="1512">
        <f t="shared" si="68"/>
        <v>0</v>
      </c>
      <c r="C284" s="1440"/>
      <c r="D284" s="1442"/>
      <c r="E284" s="1442"/>
      <c r="F284" s="1442"/>
      <c r="G284" s="1442"/>
      <c r="H284" s="1442"/>
      <c r="I284" s="1442"/>
      <c r="J284" s="1442"/>
      <c r="K284" s="1442"/>
      <c r="L284" s="1442"/>
      <c r="M284" s="1442"/>
      <c r="N284" s="1442"/>
      <c r="O284" s="1442"/>
      <c r="P284" s="1442"/>
      <c r="Q284" s="1442"/>
      <c r="R284" s="1442"/>
      <c r="S284" s="1452"/>
    </row>
    <row r="285" spans="1:19">
      <c r="A285" s="1729" t="s">
        <v>3653</v>
      </c>
      <c r="B285" s="1512">
        <f t="shared" si="68"/>
        <v>0</v>
      </c>
      <c r="C285" s="1440"/>
      <c r="D285" s="1442"/>
      <c r="E285" s="1442"/>
      <c r="F285" s="1442"/>
      <c r="G285" s="1442"/>
      <c r="H285" s="1442"/>
      <c r="I285" s="1442"/>
      <c r="J285" s="1442"/>
      <c r="K285" s="1442"/>
      <c r="L285" s="1442"/>
      <c r="M285" s="1442"/>
      <c r="N285" s="1442"/>
      <c r="O285" s="1442"/>
      <c r="P285" s="1442"/>
      <c r="Q285" s="1442"/>
      <c r="R285" s="1442"/>
      <c r="S285" s="1452"/>
    </row>
    <row r="286" spans="1:19">
      <c r="A286" s="444" t="s">
        <v>930</v>
      </c>
      <c r="B286" s="1506">
        <f t="shared" si="68"/>
        <v>0</v>
      </c>
      <c r="C286" s="1455"/>
      <c r="D286" s="1457"/>
      <c r="E286" s="1457"/>
      <c r="F286" s="1457"/>
      <c r="G286" s="1457"/>
      <c r="H286" s="1457"/>
      <c r="I286" s="1457"/>
      <c r="J286" s="1457"/>
      <c r="K286" s="1457"/>
      <c r="L286" s="1457"/>
      <c r="M286" s="1457"/>
      <c r="N286" s="1457"/>
      <c r="O286" s="1457"/>
      <c r="P286" s="1457"/>
      <c r="Q286" s="1457"/>
      <c r="R286" s="1457"/>
      <c r="S286" s="1467"/>
    </row>
    <row r="287" spans="1:19" ht="18" customHeight="1">
      <c r="A287" s="2101" t="s">
        <v>3654</v>
      </c>
      <c r="B287" s="2101"/>
      <c r="C287" s="1582"/>
      <c r="D287" s="1582"/>
      <c r="E287" s="1582"/>
      <c r="F287" s="1582"/>
      <c r="G287" s="1582"/>
      <c r="H287" s="1582"/>
      <c r="I287" s="1582"/>
      <c r="J287" s="1582"/>
      <c r="K287" s="1582"/>
      <c r="L287" s="1582"/>
      <c r="M287" s="1582"/>
      <c r="N287" s="1582"/>
      <c r="O287" s="1582"/>
      <c r="P287" s="1582"/>
      <c r="Q287" s="1582"/>
      <c r="R287" s="1582"/>
      <c r="S287" s="1582"/>
    </row>
    <row r="288" spans="1:19">
      <c r="A288" s="5718" t="s">
        <v>3655</v>
      </c>
      <c r="B288" s="6766" t="s">
        <v>91</v>
      </c>
      <c r="C288" s="5707" t="s">
        <v>3656</v>
      </c>
      <c r="D288" s="5708"/>
      <c r="E288" s="5708"/>
      <c r="F288" s="5708"/>
      <c r="G288" s="5708"/>
      <c r="H288" s="5708"/>
      <c r="I288" s="5708"/>
      <c r="J288" s="5708"/>
      <c r="K288" s="5708"/>
      <c r="L288" s="5708"/>
      <c r="M288" s="5708"/>
      <c r="N288" s="5708"/>
      <c r="O288" s="5708"/>
      <c r="P288" s="5708"/>
      <c r="Q288" s="5708"/>
      <c r="R288" s="5708"/>
      <c r="S288" s="5709"/>
    </row>
    <row r="289" spans="1:19">
      <c r="A289" s="5719"/>
      <c r="B289" s="6767"/>
      <c r="C289" s="4733" t="s">
        <v>364</v>
      </c>
      <c r="D289" s="4734" t="s">
        <v>347</v>
      </c>
      <c r="E289" s="4734" t="s">
        <v>108</v>
      </c>
      <c r="F289" s="4734" t="s">
        <v>58</v>
      </c>
      <c r="G289" s="4734" t="s">
        <v>59</v>
      </c>
      <c r="H289" s="4734" t="s">
        <v>1003</v>
      </c>
      <c r="I289" s="4734" t="s">
        <v>656</v>
      </c>
      <c r="J289" s="4734" t="s">
        <v>62</v>
      </c>
      <c r="K289" s="4734" t="s">
        <v>63</v>
      </c>
      <c r="L289" s="4734" t="s">
        <v>1004</v>
      </c>
      <c r="M289" s="4734" t="s">
        <v>65</v>
      </c>
      <c r="N289" s="4734" t="s">
        <v>66</v>
      </c>
      <c r="O289" s="4734" t="s">
        <v>67</v>
      </c>
      <c r="P289" s="4734" t="s">
        <v>68</v>
      </c>
      <c r="Q289" s="4734" t="s">
        <v>69</v>
      </c>
      <c r="R289" s="4734" t="s">
        <v>70</v>
      </c>
      <c r="S289" s="2339" t="s">
        <v>71</v>
      </c>
    </row>
    <row r="290" spans="1:19">
      <c r="A290" s="446" t="s">
        <v>3471</v>
      </c>
      <c r="B290" s="3555">
        <f t="shared" si="68"/>
        <v>0</v>
      </c>
      <c r="C290" s="1541"/>
      <c r="D290" s="1541"/>
      <c r="E290" s="1541"/>
      <c r="F290" s="1541"/>
      <c r="G290" s="1541"/>
      <c r="H290" s="1541"/>
      <c r="I290" s="1541"/>
      <c r="J290" s="1541"/>
      <c r="K290" s="1541"/>
      <c r="L290" s="1541"/>
      <c r="M290" s="1541"/>
      <c r="N290" s="1541"/>
      <c r="O290" s="1541"/>
      <c r="P290" s="1541"/>
      <c r="Q290" s="1541"/>
      <c r="R290" s="1541"/>
      <c r="S290" s="1545"/>
    </row>
    <row r="291" spans="1:19">
      <c r="A291" s="4714" t="s">
        <v>3476</v>
      </c>
      <c r="B291" s="3555">
        <f t="shared" si="68"/>
        <v>0</v>
      </c>
      <c r="C291" s="1442"/>
      <c r="D291" s="1442"/>
      <c r="E291" s="1442"/>
      <c r="F291" s="1442"/>
      <c r="G291" s="1442"/>
      <c r="H291" s="1442"/>
      <c r="I291" s="1442"/>
      <c r="J291" s="1442"/>
      <c r="K291" s="1442"/>
      <c r="L291" s="1442"/>
      <c r="M291" s="1442"/>
      <c r="N291" s="1442"/>
      <c r="O291" s="1442"/>
      <c r="P291" s="1442"/>
      <c r="Q291" s="1442"/>
      <c r="R291" s="1442"/>
      <c r="S291" s="1452"/>
    </row>
    <row r="292" spans="1:19">
      <c r="A292" s="420" t="s">
        <v>3472</v>
      </c>
      <c r="B292" s="3555">
        <f t="shared" si="68"/>
        <v>0</v>
      </c>
      <c r="C292" s="1442"/>
      <c r="D292" s="1442"/>
      <c r="E292" s="1442"/>
      <c r="F292" s="1442"/>
      <c r="G292" s="1442"/>
      <c r="H292" s="1442"/>
      <c r="I292" s="1442"/>
      <c r="J292" s="1442"/>
      <c r="K292" s="1442"/>
      <c r="L292" s="1442"/>
      <c r="M292" s="1442"/>
      <c r="N292" s="1442"/>
      <c r="O292" s="1442"/>
      <c r="P292" s="1442"/>
      <c r="Q292" s="1442"/>
      <c r="R292" s="1442"/>
      <c r="S292" s="1452"/>
    </row>
    <row r="293" spans="1:19">
      <c r="A293" s="420" t="s">
        <v>3470</v>
      </c>
      <c r="B293" s="3555">
        <f t="shared" si="68"/>
        <v>0</v>
      </c>
      <c r="C293" s="1442"/>
      <c r="D293" s="1442"/>
      <c r="E293" s="1442"/>
      <c r="F293" s="1442"/>
      <c r="G293" s="1442"/>
      <c r="H293" s="1442"/>
      <c r="I293" s="1442"/>
      <c r="J293" s="1442"/>
      <c r="K293" s="1442"/>
      <c r="L293" s="1442"/>
      <c r="M293" s="1442"/>
      <c r="N293" s="1442"/>
      <c r="O293" s="1442"/>
      <c r="P293" s="1442"/>
      <c r="Q293" s="1442"/>
      <c r="R293" s="1442"/>
      <c r="S293" s="1452"/>
    </row>
    <row r="294" spans="1:19">
      <c r="A294" s="4714" t="s">
        <v>3568</v>
      </c>
      <c r="B294" s="3555">
        <f t="shared" si="68"/>
        <v>0</v>
      </c>
      <c r="C294" s="1442"/>
      <c r="D294" s="1442"/>
      <c r="E294" s="1442"/>
      <c r="F294" s="1442"/>
      <c r="G294" s="1442"/>
      <c r="H294" s="1442"/>
      <c r="I294" s="1442"/>
      <c r="J294" s="1442"/>
      <c r="K294" s="1442"/>
      <c r="L294" s="1442"/>
      <c r="M294" s="1442"/>
      <c r="N294" s="1442"/>
      <c r="O294" s="1442"/>
      <c r="P294" s="1442"/>
      <c r="Q294" s="1442"/>
      <c r="R294" s="1442"/>
      <c r="S294" s="1452"/>
    </row>
    <row r="295" spans="1:19">
      <c r="A295" s="4681" t="s">
        <v>3473</v>
      </c>
      <c r="B295" s="3555">
        <f t="shared" si="68"/>
        <v>0</v>
      </c>
      <c r="C295" s="1442"/>
      <c r="D295" s="1442"/>
      <c r="E295" s="1442"/>
      <c r="F295" s="1442"/>
      <c r="G295" s="1442"/>
      <c r="H295" s="1442"/>
      <c r="I295" s="1442"/>
      <c r="J295" s="1442"/>
      <c r="K295" s="1442"/>
      <c r="L295" s="1442"/>
      <c r="M295" s="1442"/>
      <c r="N295" s="1442"/>
      <c r="O295" s="1442"/>
      <c r="P295" s="1442"/>
      <c r="Q295" s="1442"/>
      <c r="R295" s="1442"/>
      <c r="S295" s="1452"/>
    </row>
    <row r="296" spans="1:19">
      <c r="A296" s="4681" t="s">
        <v>3657</v>
      </c>
      <c r="B296" s="3555">
        <f t="shared" si="68"/>
        <v>0</v>
      </c>
      <c r="C296" s="1442"/>
      <c r="D296" s="1442"/>
      <c r="E296" s="1442"/>
      <c r="F296" s="1442"/>
      <c r="G296" s="1442"/>
      <c r="H296" s="1442"/>
      <c r="I296" s="1442"/>
      <c r="J296" s="1442"/>
      <c r="K296" s="1442"/>
      <c r="L296" s="1442"/>
      <c r="M296" s="1442"/>
      <c r="N296" s="1442"/>
      <c r="O296" s="1442"/>
      <c r="P296" s="1442"/>
      <c r="Q296" s="1442"/>
      <c r="R296" s="1442"/>
      <c r="S296" s="1452"/>
    </row>
    <row r="297" spans="1:19">
      <c r="A297" s="4681" t="s">
        <v>3566</v>
      </c>
      <c r="B297" s="3555">
        <f t="shared" si="68"/>
        <v>0</v>
      </c>
      <c r="C297" s="1442"/>
      <c r="D297" s="1442"/>
      <c r="E297" s="1442"/>
      <c r="F297" s="1442"/>
      <c r="G297" s="1442"/>
      <c r="H297" s="1442"/>
      <c r="I297" s="1442"/>
      <c r="J297" s="1442"/>
      <c r="K297" s="1442"/>
      <c r="L297" s="1442"/>
      <c r="M297" s="1442"/>
      <c r="N297" s="1442"/>
      <c r="O297" s="1442"/>
      <c r="P297" s="1442"/>
      <c r="Q297" s="1442"/>
      <c r="R297" s="1442"/>
      <c r="S297" s="1452"/>
    </row>
    <row r="298" spans="1:19">
      <c r="A298" s="4714" t="s">
        <v>3573</v>
      </c>
      <c r="B298" s="3555">
        <f t="shared" si="68"/>
        <v>0</v>
      </c>
      <c r="C298" s="1442"/>
      <c r="D298" s="1442"/>
      <c r="E298" s="1442"/>
      <c r="F298" s="1442"/>
      <c r="G298" s="1442"/>
      <c r="H298" s="1442"/>
      <c r="I298" s="1442"/>
      <c r="J298" s="1442"/>
      <c r="K298" s="1442"/>
      <c r="L298" s="1442"/>
      <c r="M298" s="1442"/>
      <c r="N298" s="1442"/>
      <c r="O298" s="1442"/>
      <c r="P298" s="1442"/>
      <c r="Q298" s="1442"/>
      <c r="R298" s="1442"/>
      <c r="S298" s="1452"/>
    </row>
    <row r="299" spans="1:19">
      <c r="A299" s="4681" t="s">
        <v>3658</v>
      </c>
      <c r="B299" s="3555">
        <f t="shared" si="68"/>
        <v>0</v>
      </c>
      <c r="C299" s="1442"/>
      <c r="D299" s="1442"/>
      <c r="E299" s="1442"/>
      <c r="F299" s="1442"/>
      <c r="G299" s="1442"/>
      <c r="H299" s="1442"/>
      <c r="I299" s="1442"/>
      <c r="J299" s="1442"/>
      <c r="K299" s="1442"/>
      <c r="L299" s="1442"/>
      <c r="M299" s="1442"/>
      <c r="N299" s="1442"/>
      <c r="O299" s="1442"/>
      <c r="P299" s="1442"/>
      <c r="Q299" s="1442"/>
      <c r="R299" s="1442"/>
      <c r="S299" s="1452"/>
    </row>
    <row r="300" spans="1:19">
      <c r="A300" s="4714" t="s">
        <v>3480</v>
      </c>
      <c r="B300" s="3555">
        <f t="shared" si="68"/>
        <v>0</v>
      </c>
      <c r="C300" s="1442"/>
      <c r="D300" s="1442"/>
      <c r="E300" s="1442"/>
      <c r="F300" s="1442"/>
      <c r="G300" s="1442"/>
      <c r="H300" s="1442"/>
      <c r="I300" s="1442"/>
      <c r="J300" s="1442"/>
      <c r="K300" s="1442"/>
      <c r="L300" s="1442"/>
      <c r="M300" s="1442"/>
      <c r="N300" s="1442"/>
      <c r="O300" s="1442"/>
      <c r="P300" s="1442"/>
      <c r="Q300" s="1442"/>
      <c r="R300" s="1442"/>
      <c r="S300" s="1452"/>
    </row>
    <row r="301" spans="1:19">
      <c r="A301" s="4681" t="s">
        <v>3241</v>
      </c>
      <c r="B301" s="3555">
        <f t="shared" si="68"/>
        <v>0</v>
      </c>
      <c r="C301" s="1442"/>
      <c r="D301" s="1442"/>
      <c r="E301" s="1442"/>
      <c r="F301" s="1442"/>
      <c r="G301" s="1442"/>
      <c r="H301" s="1442"/>
      <c r="I301" s="1442"/>
      <c r="J301" s="1442"/>
      <c r="K301" s="1442"/>
      <c r="L301" s="1442"/>
      <c r="M301" s="1442"/>
      <c r="N301" s="1442"/>
      <c r="O301" s="1442"/>
      <c r="P301" s="1442"/>
      <c r="Q301" s="1442"/>
      <c r="R301" s="1442"/>
      <c r="S301" s="1452"/>
    </row>
    <row r="302" spans="1:19">
      <c r="A302" s="4714" t="s">
        <v>3481</v>
      </c>
      <c r="B302" s="3555">
        <f t="shared" si="68"/>
        <v>0</v>
      </c>
      <c r="C302" s="1541"/>
      <c r="D302" s="1541"/>
      <c r="E302" s="1541"/>
      <c r="F302" s="1541"/>
      <c r="G302" s="1541"/>
      <c r="H302" s="1541"/>
      <c r="I302" s="1541"/>
      <c r="J302" s="1541"/>
      <c r="K302" s="1541"/>
      <c r="L302" s="1541"/>
      <c r="M302" s="1541"/>
      <c r="N302" s="1541"/>
      <c r="O302" s="1541"/>
      <c r="P302" s="1541"/>
      <c r="Q302" s="1541"/>
      <c r="R302" s="1541"/>
      <c r="S302" s="1545"/>
    </row>
    <row r="303" spans="1:19">
      <c r="A303" s="4681" t="s">
        <v>3659</v>
      </c>
      <c r="B303" s="3555">
        <f t="shared" si="68"/>
        <v>0</v>
      </c>
      <c r="C303" s="1541"/>
      <c r="D303" s="1541"/>
      <c r="E303" s="1541"/>
      <c r="F303" s="1541"/>
      <c r="G303" s="1541"/>
      <c r="H303" s="1541"/>
      <c r="I303" s="1541"/>
      <c r="J303" s="1541"/>
      <c r="K303" s="1541"/>
      <c r="L303" s="1541"/>
      <c r="M303" s="1541"/>
      <c r="N303" s="1541"/>
      <c r="O303" s="1541"/>
      <c r="P303" s="1541"/>
      <c r="Q303" s="1541"/>
      <c r="R303" s="1541"/>
      <c r="S303" s="1545"/>
    </row>
    <row r="304" spans="1:19">
      <c r="A304" s="4681" t="s">
        <v>3660</v>
      </c>
      <c r="B304" s="3555">
        <f t="shared" si="68"/>
        <v>0</v>
      </c>
      <c r="C304" s="1541"/>
      <c r="D304" s="1541"/>
      <c r="E304" s="1541"/>
      <c r="F304" s="1541"/>
      <c r="G304" s="1541"/>
      <c r="H304" s="1541"/>
      <c r="I304" s="1541"/>
      <c r="J304" s="1541"/>
      <c r="K304" s="1541"/>
      <c r="L304" s="1541"/>
      <c r="M304" s="1541"/>
      <c r="N304" s="1541"/>
      <c r="O304" s="1541"/>
      <c r="P304" s="1541"/>
      <c r="Q304" s="1541"/>
      <c r="R304" s="1541"/>
      <c r="S304" s="1545"/>
    </row>
    <row r="305" spans="1:19">
      <c r="A305" s="4714" t="s">
        <v>3482</v>
      </c>
      <c r="B305" s="3555">
        <f t="shared" si="68"/>
        <v>0</v>
      </c>
      <c r="C305" s="1442"/>
      <c r="D305" s="1442"/>
      <c r="E305" s="1442"/>
      <c r="F305" s="1442"/>
      <c r="G305" s="1442"/>
      <c r="H305" s="1442"/>
      <c r="I305" s="1442"/>
      <c r="J305" s="1442"/>
      <c r="K305" s="1442"/>
      <c r="L305" s="1442"/>
      <c r="M305" s="1442"/>
      <c r="N305" s="1442"/>
      <c r="O305" s="1442"/>
      <c r="P305" s="1442"/>
      <c r="Q305" s="1442"/>
      <c r="R305" s="1442"/>
      <c r="S305" s="1452"/>
    </row>
    <row r="306" spans="1:19">
      <c r="A306" s="4552" t="s">
        <v>3570</v>
      </c>
      <c r="B306" s="3555">
        <f t="shared" si="68"/>
        <v>0</v>
      </c>
      <c r="C306" s="1442"/>
      <c r="D306" s="1442"/>
      <c r="E306" s="1442"/>
      <c r="F306" s="1442"/>
      <c r="G306" s="1442"/>
      <c r="H306" s="1442"/>
      <c r="I306" s="1442"/>
      <c r="J306" s="1442"/>
      <c r="K306" s="1442"/>
      <c r="L306" s="1442"/>
      <c r="M306" s="1442"/>
      <c r="N306" s="1442"/>
      <c r="O306" s="1442"/>
      <c r="P306" s="1442"/>
      <c r="Q306" s="1442"/>
      <c r="R306" s="1442"/>
      <c r="S306" s="1452"/>
    </row>
    <row r="307" spans="1:19">
      <c r="A307" s="2237" t="s">
        <v>3661</v>
      </c>
      <c r="B307" s="3555">
        <f t="shared" si="68"/>
        <v>0</v>
      </c>
      <c r="C307" s="1442"/>
      <c r="D307" s="1442"/>
      <c r="E307" s="1442"/>
      <c r="F307" s="1442"/>
      <c r="G307" s="1442"/>
      <c r="H307" s="1442"/>
      <c r="I307" s="1442"/>
      <c r="J307" s="1442"/>
      <c r="K307" s="1442"/>
      <c r="L307" s="1442"/>
      <c r="M307" s="1442"/>
      <c r="N307" s="1442"/>
      <c r="O307" s="1442"/>
      <c r="P307" s="1442"/>
      <c r="Q307" s="1442"/>
      <c r="R307" s="1442"/>
      <c r="S307" s="1452"/>
    </row>
    <row r="308" spans="1:19">
      <c r="A308" s="2237" t="s">
        <v>3468</v>
      </c>
      <c r="B308" s="3555">
        <f t="shared" si="68"/>
        <v>0</v>
      </c>
      <c r="C308" s="1442"/>
      <c r="D308" s="1442"/>
      <c r="E308" s="1442"/>
      <c r="F308" s="1442"/>
      <c r="G308" s="1442"/>
      <c r="H308" s="1442"/>
      <c r="I308" s="1442"/>
      <c r="J308" s="1442"/>
      <c r="K308" s="1442"/>
      <c r="L308" s="1442"/>
      <c r="M308" s="1442"/>
      <c r="N308" s="1442"/>
      <c r="O308" s="1442"/>
      <c r="P308" s="1442"/>
      <c r="Q308" s="1442"/>
      <c r="R308" s="1442"/>
      <c r="S308" s="1452"/>
    </row>
    <row r="309" spans="1:19">
      <c r="A309" s="2237" t="s">
        <v>3574</v>
      </c>
      <c r="B309" s="3012">
        <f t="shared" si="68"/>
        <v>0</v>
      </c>
      <c r="C309" s="1712"/>
      <c r="D309" s="1712"/>
      <c r="E309" s="1712"/>
      <c r="F309" s="1712"/>
      <c r="G309" s="1712"/>
      <c r="H309" s="1712"/>
      <c r="I309" s="1712"/>
      <c r="J309" s="1712"/>
      <c r="K309" s="1712"/>
      <c r="L309" s="1712"/>
      <c r="M309" s="1712"/>
      <c r="N309" s="1712"/>
      <c r="O309" s="1712"/>
      <c r="P309" s="1712"/>
      <c r="Q309" s="1712"/>
      <c r="R309" s="1712"/>
      <c r="S309" s="1692"/>
    </row>
    <row r="310" spans="1:19">
      <c r="A310" s="4784" t="s">
        <v>3662</v>
      </c>
      <c r="B310" s="2154">
        <f t="shared" si="68"/>
        <v>0</v>
      </c>
      <c r="C310" s="1457"/>
      <c r="D310" s="1457"/>
      <c r="E310" s="1457"/>
      <c r="F310" s="1457"/>
      <c r="G310" s="1457"/>
      <c r="H310" s="1457"/>
      <c r="I310" s="1457"/>
      <c r="J310" s="1457"/>
      <c r="K310" s="1457"/>
      <c r="L310" s="1457"/>
      <c r="M310" s="1457"/>
      <c r="N310" s="1457"/>
      <c r="O310" s="1457"/>
      <c r="P310" s="1457"/>
      <c r="Q310" s="1457"/>
      <c r="R310" s="1457"/>
      <c r="S310" s="1467"/>
    </row>
    <row r="351" spans="1:2" hidden="1">
      <c r="A351" s="4785">
        <f>SUM(B13:B24,B29:B52,B56:B60,B65:B68,B73:B76,B97:E97,B105:E105,B113:E113,B117:B118,B122:B124,C128:L143,B149:B177,B179:B183,B188:B194,B200:B205,B211:B214,B218:B221,B249,B254:B256,B260:B286,B290:B310)</f>
        <v>0</v>
      </c>
      <c r="B351" s="4785">
        <f>SUM(CM13:CQ214)</f>
        <v>0</v>
      </c>
    </row>
  </sheetData>
  <sheetProtection algorithmName="SHA-512" hashValue="LTmpxVB9g6yjgo3DpHRLr98pSrtvjW9zLSa9ofbB2DT08l0VQemZ49xG0oWMijQN1XyPXAT67F4B+9cauW8zkA==" saltValue="oT1qjh0pWKtqlgGqt4Un5Q==" spinCount="100000" sheet="1" objects="1" scenarios="1"/>
  <mergeCells count="138">
    <mergeCell ref="A6:N6"/>
    <mergeCell ref="A10:A12"/>
    <mergeCell ref="B10:D11"/>
    <mergeCell ref="E10:AL10"/>
    <mergeCell ref="AM10:AP10"/>
    <mergeCell ref="AQ10:AQ12"/>
    <mergeCell ref="U11:V11"/>
    <mergeCell ref="W11:X11"/>
    <mergeCell ref="Y11:Z11"/>
    <mergeCell ref="AA11:AB11"/>
    <mergeCell ref="AR10:AR12"/>
    <mergeCell ref="AS10:AS12"/>
    <mergeCell ref="E11:F11"/>
    <mergeCell ref="G11:H11"/>
    <mergeCell ref="I11:J11"/>
    <mergeCell ref="K11:L11"/>
    <mergeCell ref="M11:N11"/>
    <mergeCell ref="O11:P11"/>
    <mergeCell ref="Q11:R11"/>
    <mergeCell ref="S11:T11"/>
    <mergeCell ref="AC11:AD11"/>
    <mergeCell ref="AE11:AF11"/>
    <mergeCell ref="AG11:AH11"/>
    <mergeCell ref="AI11:AJ11"/>
    <mergeCell ref="AK11:AL11"/>
    <mergeCell ref="AM11:AM12"/>
    <mergeCell ref="AN11:AN12"/>
    <mergeCell ref="AO11:AO12"/>
    <mergeCell ref="AP11:AP12"/>
    <mergeCell ref="A26:A28"/>
    <mergeCell ref="B26:D27"/>
    <mergeCell ref="E26:AL26"/>
    <mergeCell ref="AM26:AP26"/>
    <mergeCell ref="E27:F27"/>
    <mergeCell ref="G27:H27"/>
    <mergeCell ref="AP27:AP28"/>
    <mergeCell ref="M27:N27"/>
    <mergeCell ref="O27:P27"/>
    <mergeCell ref="Q27:R27"/>
    <mergeCell ref="S27:T27"/>
    <mergeCell ref="AA27:AB27"/>
    <mergeCell ref="AC27:AD27"/>
    <mergeCell ref="AE27:AF27"/>
    <mergeCell ref="AG27:AH27"/>
    <mergeCell ref="AN27:AN28"/>
    <mergeCell ref="AO27:AO28"/>
    <mergeCell ref="I27:J27"/>
    <mergeCell ref="K27:L27"/>
    <mergeCell ref="T71:W71"/>
    <mergeCell ref="X71:Z71"/>
    <mergeCell ref="U27:V27"/>
    <mergeCell ref="W27:X27"/>
    <mergeCell ref="Y27:Z27"/>
    <mergeCell ref="G54:H54"/>
    <mergeCell ref="AI27:AJ27"/>
    <mergeCell ref="AK27:AL27"/>
    <mergeCell ref="AM27:AM28"/>
    <mergeCell ref="T63:W63"/>
    <mergeCell ref="X63:Z63"/>
    <mergeCell ref="A115:A116"/>
    <mergeCell ref="B115:B116"/>
    <mergeCell ref="C115:F115"/>
    <mergeCell ref="G115:H115"/>
    <mergeCell ref="A63:A64"/>
    <mergeCell ref="B63:B64"/>
    <mergeCell ref="C63:S63"/>
    <mergeCell ref="A54:A55"/>
    <mergeCell ref="B54:B55"/>
    <mergeCell ref="C54:F54"/>
    <mergeCell ref="A71:A72"/>
    <mergeCell ref="B71:B72"/>
    <mergeCell ref="C71:S71"/>
    <mergeCell ref="A137:A142"/>
    <mergeCell ref="A146:A148"/>
    <mergeCell ref="B146:D147"/>
    <mergeCell ref="E146:AL146"/>
    <mergeCell ref="W147:X147"/>
    <mergeCell ref="Y147:Z147"/>
    <mergeCell ref="AA147:AB147"/>
    <mergeCell ref="A120:A121"/>
    <mergeCell ref="B120:B121"/>
    <mergeCell ref="C120:E120"/>
    <mergeCell ref="F120:F121"/>
    <mergeCell ref="G120:G121"/>
    <mergeCell ref="H120:K120"/>
    <mergeCell ref="A126:A127"/>
    <mergeCell ref="B126:B127"/>
    <mergeCell ref="C126:D126"/>
    <mergeCell ref="E126:F126"/>
    <mergeCell ref="G126:H126"/>
    <mergeCell ref="I126:J126"/>
    <mergeCell ref="K126:L126"/>
    <mergeCell ref="A128:A131"/>
    <mergeCell ref="A132:A136"/>
    <mergeCell ref="AM146:AO146"/>
    <mergeCell ref="E147:F147"/>
    <mergeCell ref="G147:H147"/>
    <mergeCell ref="I147:J147"/>
    <mergeCell ref="K147:L147"/>
    <mergeCell ref="M147:N147"/>
    <mergeCell ref="O147:P147"/>
    <mergeCell ref="Q147:R147"/>
    <mergeCell ref="S147:T147"/>
    <mergeCell ref="U147:V147"/>
    <mergeCell ref="AN147:AO147"/>
    <mergeCell ref="AI147:AJ147"/>
    <mergeCell ref="AK147:AL147"/>
    <mergeCell ref="AM147:AM148"/>
    <mergeCell ref="AC147:AD147"/>
    <mergeCell ref="AE147:AF147"/>
    <mergeCell ref="AG147:AH147"/>
    <mergeCell ref="A288:A289"/>
    <mergeCell ref="B288:B289"/>
    <mergeCell ref="C288:S288"/>
    <mergeCell ref="A252:A253"/>
    <mergeCell ref="B252:B253"/>
    <mergeCell ref="A208:A210"/>
    <mergeCell ref="B208:B210"/>
    <mergeCell ref="C208:S209"/>
    <mergeCell ref="T208:X208"/>
    <mergeCell ref="T209:V209"/>
    <mergeCell ref="W209:X209"/>
    <mergeCell ref="C252:S252"/>
    <mergeCell ref="A258:A259"/>
    <mergeCell ref="B258:B259"/>
    <mergeCell ref="C258:S258"/>
    <mergeCell ref="T197:X197"/>
    <mergeCell ref="T198:V198"/>
    <mergeCell ref="W198:X198"/>
    <mergeCell ref="A185:A187"/>
    <mergeCell ref="B185:B187"/>
    <mergeCell ref="C185:S186"/>
    <mergeCell ref="T185:X185"/>
    <mergeCell ref="T186:V186"/>
    <mergeCell ref="W186:X186"/>
    <mergeCell ref="A197:A199"/>
    <mergeCell ref="B197:B199"/>
    <mergeCell ref="C197:S198"/>
  </mergeCells>
  <dataValidations count="5">
    <dataValidation allowBlank="1" showInputMessage="1" showErrorMessage="1" error="Valor no Permitido" sqref="T64 T72" xr:uid="{00000000-0002-0000-1400-000000000000}"/>
    <dataValidation allowBlank="1" sqref="CA6:CE6 CL53 CA53:CE53 CL6 CA29:CF52" xr:uid="{00000000-0002-0000-1400-000001000000}"/>
    <dataValidation type="whole" operator="greaterThanOrEqual" allowBlank="1" showInputMessage="1" showErrorMessage="1" error="Valor no Permitido" sqref="C122:K124 C260:S286 C290:S310 C65:Z68 B108:E112 C117:H118 C73:Z76 C128:L143 C211:X214 B218:B221 B224:B248 C254:S256 C56:H60 B13:AS24 B80:E97 B100:E105 E149:AO183 C188:X195 C200:X206 E29:AP44 E46:AP52" xr:uid="{008C002D-0025-47F0-A982-0099004900E1}">
      <formula1>0</formula1>
    </dataValidation>
    <dataValidation type="whole" allowBlank="1" showInputMessage="1" showErrorMessage="1" error="Valor no Permitido" sqref="F62 C61 F70 C179:D183 C146:D177 B144:B177 E148:AL148 W63 T77:Z77 CM6:CT6 CM28 CQ29 CM53:CQ53 CM29:CP52" xr:uid="{00DC0080-0082-4162-B8AB-00B8003E00BA}">
      <formula1>0</formula1>
      <formula2>1E+30</formula2>
    </dataValidation>
    <dataValidation type="whole" operator="equal" allowBlank="1" showInputMessage="1" showErrorMessage="1" error="Valor no Permitido" sqref="E45:AP45" xr:uid="{001A004F-0070-4364-BB81-00A900930075}">
      <formula1>0</formula1>
    </dataValidation>
  </dataValidations>
  <pageMargins left="0.7" right="0.7" top="0.75" bottom="0.75" header="0.3" footer="0.3"/>
  <pageSetup paperSize="9" orientation="portrait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Hoja22"/>
  <dimension ref="A1:CF205"/>
  <sheetViews>
    <sheetView showGridLines="0" workbookViewId="0"/>
  </sheetViews>
  <sheetFormatPr baseColWidth="10" defaultColWidth="11.42578125" defaultRowHeight="15"/>
  <cols>
    <col min="1" max="1" width="71.28515625" customWidth="1"/>
    <col min="2" max="2" width="35.42578125" customWidth="1"/>
    <col min="3" max="3" width="19.140625" customWidth="1"/>
    <col min="4" max="4" width="18" customWidth="1"/>
    <col min="5" max="5" width="13.42578125" customWidth="1"/>
    <col min="6" max="6" width="12.5703125" customWidth="1"/>
    <col min="7" max="7" width="12.7109375" customWidth="1"/>
    <col min="12" max="12" width="13.7109375" customWidth="1"/>
    <col min="13" max="13" width="12.28515625" customWidth="1"/>
    <col min="14" max="14" width="15" customWidth="1"/>
    <col min="15" max="16" width="14.7109375" customWidth="1"/>
    <col min="73" max="77" width="13.28515625" customWidth="1"/>
    <col min="78" max="78" width="12.85546875" customWidth="1"/>
    <col min="79" max="84" width="11.42578125" hidden="1" customWidth="1"/>
    <col min="85" max="104" width="11.42578125" customWidth="1"/>
    <col min="105" max="105" width="12" customWidth="1"/>
  </cols>
  <sheetData>
    <row r="1" spans="1:84">
      <c r="A1" s="378" t="s">
        <v>37</v>
      </c>
    </row>
    <row r="2" spans="1:84">
      <c r="A2" s="378" t="str">
        <f>CONCATENATE("COMUNA: ",NOMBRE!B2, " (",NOMBRE!C2,NOMBRE!D2,NOMBRE!E2,NOMBRE!F2,NOMBRE!G2,")")</f>
        <v>COMUNA: MAIPU (13119)</v>
      </c>
    </row>
    <row r="3" spans="1:84">
      <c r="A3" s="378" t="str">
        <f>CONCATENATE("ESTABLECIMIENTO/ESTRATEGIA: ", NOMBRE!B3, " (",NOMBRE!C3,NOMBRE!D3,NOMBRE!E3,NOMBRE!F3,NOMBRE!G3,NOMBRE!H3,")")</f>
        <v>ESTABLECIMIENTO/ESTRATEGIA: CESFAM DR. CARLOS GODOY (111380)</v>
      </c>
    </row>
    <row r="4" spans="1:84">
      <c r="A4" s="378" t="str">
        <f>CONCATENATE("MES: ",NOMBRE!B6, " (",NOMBRE!C6,NOMBRE!D6,")")</f>
        <v>MES: MARZO (03)</v>
      </c>
    </row>
    <row r="5" spans="1:84">
      <c r="A5" s="378" t="str">
        <f>CONCATENATE("AÑO: ",NOMBRE!B7)</f>
        <v>AÑO: 2026</v>
      </c>
    </row>
    <row r="6" spans="1:84" s="383" customFormat="1" ht="18" customHeight="1">
      <c r="A6" s="5704" t="s">
        <v>3663</v>
      </c>
      <c r="B6" s="5704"/>
      <c r="C6" s="5704"/>
      <c r="D6" s="5704"/>
      <c r="E6" s="5704"/>
      <c r="F6" s="5704"/>
      <c r="G6" s="5704"/>
      <c r="H6" s="5704"/>
      <c r="I6" s="5704"/>
      <c r="J6" s="5704"/>
      <c r="K6" s="5704"/>
      <c r="L6" s="5704"/>
      <c r="M6" s="5704"/>
      <c r="N6" s="5704"/>
      <c r="O6" s="5704"/>
      <c r="P6" s="5704"/>
      <c r="Q6" s="5704"/>
      <c r="R6" s="5704"/>
      <c r="S6" s="5704"/>
      <c r="T6" s="5704"/>
      <c r="CA6" s="384"/>
      <c r="CB6" s="384"/>
      <c r="CC6" s="384"/>
      <c r="CD6" s="384"/>
      <c r="CE6" s="384"/>
      <c r="CF6" s="384"/>
    </row>
    <row r="8" spans="1:84" ht="18" customHeight="1">
      <c r="A8" s="2283" t="s">
        <v>3664</v>
      </c>
      <c r="B8" s="1582"/>
      <c r="C8" s="1493"/>
      <c r="D8" s="1582"/>
      <c r="E8" s="1582"/>
      <c r="F8" s="1582"/>
      <c r="G8" s="1582"/>
      <c r="H8" s="1582"/>
      <c r="I8" s="1582"/>
      <c r="J8" s="1582"/>
      <c r="K8" s="1582"/>
      <c r="L8" s="1582"/>
      <c r="M8" s="1582"/>
      <c r="N8" s="1582"/>
      <c r="O8" s="1582"/>
      <c r="P8" s="1582"/>
      <c r="Q8" s="1582"/>
      <c r="R8" s="1582"/>
      <c r="S8" s="1582"/>
      <c r="T8" s="1582"/>
    </row>
    <row r="9" spans="1:84" ht="50.25" customHeight="1">
      <c r="A9" s="6298" t="s">
        <v>3665</v>
      </c>
      <c r="B9" s="5707" t="s">
        <v>91</v>
      </c>
      <c r="C9" s="5708"/>
      <c r="D9" s="5709"/>
      <c r="E9" s="6142" t="s">
        <v>3666</v>
      </c>
      <c r="F9" s="6142"/>
      <c r="G9" s="6142" t="s">
        <v>58</v>
      </c>
      <c r="H9" s="6142"/>
      <c r="I9" s="6142" t="s">
        <v>3216</v>
      </c>
      <c r="J9" s="6142"/>
      <c r="K9" s="6142" t="s">
        <v>691</v>
      </c>
      <c r="L9" s="7076"/>
      <c r="M9" s="6059" t="s">
        <v>3667</v>
      </c>
      <c r="N9" s="6494"/>
      <c r="O9" s="6494" t="s">
        <v>3668</v>
      </c>
      <c r="P9" s="6494"/>
      <c r="Q9" s="6494" t="s">
        <v>3669</v>
      </c>
      <c r="R9" s="6737"/>
      <c r="S9" s="6768" t="s">
        <v>50</v>
      </c>
      <c r="T9" s="6766" t="s">
        <v>51</v>
      </c>
    </row>
    <row r="10" spans="1:84" ht="21">
      <c r="A10" s="6300"/>
      <c r="B10" s="1395" t="s">
        <v>93</v>
      </c>
      <c r="C10" s="1397" t="s">
        <v>72</v>
      </c>
      <c r="D10" s="1778" t="s">
        <v>73</v>
      </c>
      <c r="E10" s="396" t="s">
        <v>72</v>
      </c>
      <c r="F10" s="1778" t="s">
        <v>73</v>
      </c>
      <c r="G10" s="396" t="s">
        <v>72</v>
      </c>
      <c r="H10" s="1778" t="s">
        <v>73</v>
      </c>
      <c r="I10" s="396" t="s">
        <v>72</v>
      </c>
      <c r="J10" s="1778" t="s">
        <v>73</v>
      </c>
      <c r="K10" s="396" t="s">
        <v>72</v>
      </c>
      <c r="L10" s="1392" t="s">
        <v>73</v>
      </c>
      <c r="M10" s="1576" t="s">
        <v>3670</v>
      </c>
      <c r="N10" s="1594" t="s">
        <v>2491</v>
      </c>
      <c r="O10" s="1497" t="s">
        <v>3670</v>
      </c>
      <c r="P10" s="1594" t="s">
        <v>2491</v>
      </c>
      <c r="Q10" s="1497" t="s">
        <v>3671</v>
      </c>
      <c r="R10" s="2552" t="s">
        <v>3672</v>
      </c>
      <c r="S10" s="6769"/>
      <c r="T10" s="6767"/>
    </row>
    <row r="11" spans="1:84">
      <c r="A11" s="4786" t="s">
        <v>3673</v>
      </c>
      <c r="B11" s="6875"/>
      <c r="C11" s="6219"/>
      <c r="D11" s="6219"/>
      <c r="E11" s="6219"/>
      <c r="F11" s="6219"/>
      <c r="G11" s="6219"/>
      <c r="H11" s="6219"/>
      <c r="I11" s="6219"/>
      <c r="J11" s="6219"/>
      <c r="K11" s="6219"/>
      <c r="L11" s="6219"/>
      <c r="M11" s="6219"/>
      <c r="N11" s="6219"/>
      <c r="O11" s="6219"/>
      <c r="P11" s="6219"/>
      <c r="Q11" s="6219"/>
      <c r="R11" s="6219"/>
      <c r="S11" s="6219"/>
      <c r="T11" s="6876"/>
      <c r="U11" s="382"/>
    </row>
    <row r="12" spans="1:84">
      <c r="A12" s="4066" t="s">
        <v>3674</v>
      </c>
      <c r="B12" s="1791">
        <f t="shared" ref="B12:B28" si="0">SUM(C12+D12)</f>
        <v>0</v>
      </c>
      <c r="C12" s="1792">
        <f t="shared" ref="C12:D28" si="1">SUM(E12+G12+I12+K12)</f>
        <v>0</v>
      </c>
      <c r="D12" s="1672">
        <f t="shared" si="1"/>
        <v>0</v>
      </c>
      <c r="E12" s="1424"/>
      <c r="F12" s="1436"/>
      <c r="G12" s="1424"/>
      <c r="H12" s="1436"/>
      <c r="I12" s="1424"/>
      <c r="J12" s="1436"/>
      <c r="K12" s="1424"/>
      <c r="L12" s="1650"/>
      <c r="M12" s="1707"/>
      <c r="N12" s="1545"/>
      <c r="O12" s="1424"/>
      <c r="P12" s="1545"/>
      <c r="Q12" s="1424"/>
      <c r="R12" s="1650"/>
      <c r="S12" s="1429"/>
      <c r="T12" s="1430"/>
      <c r="U12" s="3373" t="str">
        <f t="shared" ref="U12:U28" si="2">CA12&amp;CB12</f>
        <v/>
      </c>
      <c r="AZ12" s="417"/>
      <c r="BA12" s="417"/>
      <c r="BB12" s="417"/>
      <c r="BC12" s="417"/>
      <c r="BD12" s="417"/>
      <c r="BE12" s="417"/>
      <c r="BF12" s="417"/>
      <c r="BG12" s="417"/>
      <c r="BH12" s="417"/>
      <c r="BI12" s="417"/>
      <c r="BJ12" s="417"/>
      <c r="BK12" s="417"/>
      <c r="BL12" s="417"/>
      <c r="BM12" s="417"/>
      <c r="BN12" s="417"/>
      <c r="BO12" s="417"/>
      <c r="BP12" s="417"/>
      <c r="BQ12" s="417"/>
      <c r="BR12" s="417"/>
      <c r="BS12" s="417"/>
      <c r="BT12" s="417"/>
      <c r="BU12" s="417"/>
      <c r="BV12" s="417"/>
      <c r="BW12" s="417"/>
      <c r="BX12" s="417"/>
      <c r="BY12" s="417"/>
      <c r="BZ12" s="417"/>
      <c r="CA12" s="418" t="str">
        <f t="shared" ref="CA12:CA28" si="3">IF(AND($B12&lt;&gt;0,S12=""),"* No olvide digitar la variable "&amp;S$9&amp;""&amp;". Digite CERO si no tiene. ",IF(S12&gt;$B12,"* La variable Pueblos Originarios no puede superar el Total Ambos Sexos. ",""))</f>
        <v/>
      </c>
      <c r="CB12" s="418" t="str">
        <f t="shared" ref="CB12:CB28" si="4">IF(AND($B12&lt;&gt;0,T12=""),"* No olvide digitar la variable "&amp;T$9&amp;""&amp;". Digite CERO si no tiene. ",IF(T12&gt;$B12,"* La variable Migrantes no puede superar el Total Ambos Sexos. ",""))</f>
        <v/>
      </c>
      <c r="CC12" s="417"/>
      <c r="CD12" s="417"/>
      <c r="CE12" s="419">
        <f t="shared" ref="CE12:CF28" si="5">IF(AND($B12&lt;&gt;0,S12=""),1,IF(S12&gt;$B12,1,0))</f>
        <v>0</v>
      </c>
      <c r="CF12" s="419">
        <f>IF(AND($B12&lt;&gt;0,T12=""),1,IF(T12&gt;$B12,1,0))</f>
        <v>0</v>
      </c>
    </row>
    <row r="13" spans="1:84">
      <c r="A13" s="3970" t="s">
        <v>3675</v>
      </c>
      <c r="B13" s="1840">
        <f t="shared" si="0"/>
        <v>0</v>
      </c>
      <c r="C13" s="1825">
        <f t="shared" si="1"/>
        <v>0</v>
      </c>
      <c r="D13" s="1841">
        <f t="shared" si="1"/>
        <v>0</v>
      </c>
      <c r="E13" s="1485"/>
      <c r="F13" s="1692"/>
      <c r="G13" s="1485"/>
      <c r="H13" s="1692"/>
      <c r="I13" s="1485"/>
      <c r="J13" s="1692"/>
      <c r="K13" s="1485"/>
      <c r="L13" s="1710"/>
      <c r="M13" s="1711"/>
      <c r="N13" s="1692"/>
      <c r="O13" s="1485"/>
      <c r="P13" s="1692"/>
      <c r="Q13" s="1440"/>
      <c r="R13" s="1655"/>
      <c r="S13" s="1693"/>
      <c r="T13" s="1488"/>
      <c r="U13" s="3373" t="str">
        <f t="shared" si="2"/>
        <v/>
      </c>
      <c r="AZ13" s="417"/>
      <c r="BA13" s="417"/>
      <c r="BB13" s="417"/>
      <c r="BC13" s="417"/>
      <c r="BD13" s="417"/>
      <c r="BE13" s="417"/>
      <c r="BF13" s="417"/>
      <c r="BG13" s="417"/>
      <c r="BH13" s="417"/>
      <c r="BI13" s="417"/>
      <c r="BJ13" s="417"/>
      <c r="BK13" s="417"/>
      <c r="BL13" s="417"/>
      <c r="BM13" s="417"/>
      <c r="BN13" s="417"/>
      <c r="BO13" s="417"/>
      <c r="BP13" s="417"/>
      <c r="BQ13" s="417"/>
      <c r="BR13" s="417"/>
      <c r="BS13" s="417"/>
      <c r="BT13" s="417"/>
      <c r="BU13" s="417"/>
      <c r="BV13" s="417"/>
      <c r="BW13" s="417"/>
      <c r="BX13" s="417"/>
      <c r="BY13" s="417"/>
      <c r="BZ13" s="417"/>
      <c r="CA13" s="418" t="str">
        <f t="shared" si="3"/>
        <v/>
      </c>
      <c r="CB13" s="418" t="str">
        <f t="shared" si="4"/>
        <v/>
      </c>
      <c r="CC13" s="417"/>
      <c r="CD13" s="417"/>
      <c r="CE13" s="419">
        <f t="shared" si="5"/>
        <v>0</v>
      </c>
      <c r="CF13" s="419">
        <f t="shared" si="5"/>
        <v>0</v>
      </c>
    </row>
    <row r="14" spans="1:84">
      <c r="A14" s="3970" t="s">
        <v>3676</v>
      </c>
      <c r="B14" s="1822">
        <f t="shared" si="0"/>
        <v>0</v>
      </c>
      <c r="C14" s="1823">
        <f t="shared" si="1"/>
        <v>0</v>
      </c>
      <c r="D14" s="1438">
        <f t="shared" si="1"/>
        <v>0</v>
      </c>
      <c r="E14" s="1440"/>
      <c r="F14" s="1452"/>
      <c r="G14" s="1440"/>
      <c r="H14" s="1452"/>
      <c r="I14" s="1440"/>
      <c r="J14" s="1452"/>
      <c r="K14" s="1440"/>
      <c r="L14" s="1655"/>
      <c r="M14" s="1709"/>
      <c r="N14" s="1452"/>
      <c r="O14" s="1440"/>
      <c r="P14" s="1452"/>
      <c r="Q14" s="1440"/>
      <c r="R14" s="2058"/>
      <c r="S14" s="1445"/>
      <c r="T14" s="1446"/>
      <c r="U14" s="3373" t="str">
        <f t="shared" si="2"/>
        <v/>
      </c>
      <c r="AZ14" s="417"/>
      <c r="BA14" s="417"/>
      <c r="BB14" s="417"/>
      <c r="BC14" s="417"/>
      <c r="BD14" s="417"/>
      <c r="BE14" s="417"/>
      <c r="BF14" s="417"/>
      <c r="BG14" s="417"/>
      <c r="BH14" s="417"/>
      <c r="BI14" s="417"/>
      <c r="BJ14" s="417"/>
      <c r="BK14" s="417"/>
      <c r="BL14" s="417"/>
      <c r="BM14" s="417"/>
      <c r="BN14" s="417"/>
      <c r="BO14" s="417"/>
      <c r="BP14" s="417"/>
      <c r="BQ14" s="417"/>
      <c r="BR14" s="417"/>
      <c r="BS14" s="417"/>
      <c r="BT14" s="417"/>
      <c r="BU14" s="417"/>
      <c r="BV14" s="417"/>
      <c r="BW14" s="417"/>
      <c r="BX14" s="417"/>
      <c r="BY14" s="417"/>
      <c r="BZ14" s="417"/>
      <c r="CA14" s="418" t="str">
        <f t="shared" si="3"/>
        <v/>
      </c>
      <c r="CB14" s="418" t="str">
        <f t="shared" si="4"/>
        <v/>
      </c>
      <c r="CC14" s="417"/>
      <c r="CD14" s="417"/>
      <c r="CE14" s="419">
        <f t="shared" si="5"/>
        <v>0</v>
      </c>
      <c r="CF14" s="419">
        <f t="shared" si="5"/>
        <v>0</v>
      </c>
    </row>
    <row r="15" spans="1:84">
      <c r="A15" s="3970" t="s">
        <v>3677</v>
      </c>
      <c r="B15" s="1847">
        <f t="shared" si="0"/>
        <v>0</v>
      </c>
      <c r="C15" s="1848">
        <f t="shared" si="1"/>
        <v>0</v>
      </c>
      <c r="D15" s="1841">
        <f t="shared" si="1"/>
        <v>0</v>
      </c>
      <c r="E15" s="1485"/>
      <c r="F15" s="1692"/>
      <c r="G15" s="1485"/>
      <c r="H15" s="1692"/>
      <c r="I15" s="1485"/>
      <c r="J15" s="1692"/>
      <c r="K15" s="1485"/>
      <c r="L15" s="1710"/>
      <c r="M15" s="1714"/>
      <c r="N15" s="1692"/>
      <c r="O15" s="1455"/>
      <c r="P15" s="1692"/>
      <c r="Q15" s="1455"/>
      <c r="R15" s="4787"/>
      <c r="S15" s="1460"/>
      <c r="T15" s="1461"/>
      <c r="U15" s="3373" t="str">
        <f t="shared" si="2"/>
        <v/>
      </c>
      <c r="AZ15" s="417"/>
      <c r="BA15" s="417"/>
      <c r="BB15" s="417"/>
      <c r="BC15" s="417"/>
      <c r="BD15" s="417"/>
      <c r="BE15" s="417"/>
      <c r="BF15" s="417"/>
      <c r="BG15" s="417"/>
      <c r="BH15" s="417"/>
      <c r="BI15" s="417"/>
      <c r="BJ15" s="417"/>
      <c r="BK15" s="417"/>
      <c r="BL15" s="417"/>
      <c r="BM15" s="417"/>
      <c r="BN15" s="417"/>
      <c r="BO15" s="417"/>
      <c r="BP15" s="417"/>
      <c r="BQ15" s="417"/>
      <c r="BR15" s="417"/>
      <c r="BS15" s="417"/>
      <c r="BT15" s="417"/>
      <c r="BU15" s="417"/>
      <c r="BV15" s="417"/>
      <c r="BW15" s="417"/>
      <c r="BX15" s="417"/>
      <c r="BY15" s="417"/>
      <c r="BZ15" s="417"/>
      <c r="CA15" s="418" t="str">
        <f t="shared" si="3"/>
        <v/>
      </c>
      <c r="CB15" s="418" t="str">
        <f t="shared" si="4"/>
        <v/>
      </c>
      <c r="CC15" s="417"/>
      <c r="CD15" s="417"/>
      <c r="CE15" s="419">
        <f t="shared" si="5"/>
        <v>0</v>
      </c>
      <c r="CF15" s="419">
        <f t="shared" si="5"/>
        <v>0</v>
      </c>
    </row>
    <row r="16" spans="1:84">
      <c r="A16" s="4786" t="s">
        <v>3678</v>
      </c>
      <c r="B16" s="6875"/>
      <c r="C16" s="6219"/>
      <c r="D16" s="6219"/>
      <c r="E16" s="6219"/>
      <c r="F16" s="6219"/>
      <c r="G16" s="6219"/>
      <c r="H16" s="6219"/>
      <c r="I16" s="6219"/>
      <c r="J16" s="6219"/>
      <c r="K16" s="6219"/>
      <c r="L16" s="6219"/>
      <c r="M16" s="6219"/>
      <c r="N16" s="6219"/>
      <c r="O16" s="6219"/>
      <c r="P16" s="6219"/>
      <c r="Q16" s="6219"/>
      <c r="R16" s="6219"/>
      <c r="S16" s="6219"/>
      <c r="T16" s="6876"/>
    </row>
    <row r="17" spans="1:84">
      <c r="A17" s="2108" t="s">
        <v>3679</v>
      </c>
      <c r="B17" s="1791">
        <f t="shared" si="0"/>
        <v>0</v>
      </c>
      <c r="C17" s="1792">
        <f t="shared" si="1"/>
        <v>0</v>
      </c>
      <c r="D17" s="1795">
        <f t="shared" si="1"/>
        <v>0</v>
      </c>
      <c r="E17" s="1480"/>
      <c r="F17" s="1545"/>
      <c r="G17" s="1480"/>
      <c r="H17" s="1545"/>
      <c r="I17" s="1480"/>
      <c r="J17" s="1545"/>
      <c r="K17" s="1480"/>
      <c r="L17" s="1725"/>
      <c r="M17" s="1897"/>
      <c r="N17" s="1912"/>
      <c r="O17" s="1814"/>
      <c r="P17" s="1912"/>
      <c r="Q17" s="1424"/>
      <c r="R17" s="2053"/>
      <c r="S17" s="1429"/>
      <c r="T17" s="1430"/>
      <c r="U17" s="3373" t="str">
        <f t="shared" si="2"/>
        <v/>
      </c>
      <c r="AZ17" s="417"/>
      <c r="BA17" s="417"/>
      <c r="BB17" s="417"/>
      <c r="BC17" s="417"/>
      <c r="BD17" s="417"/>
      <c r="BE17" s="417"/>
      <c r="BF17" s="417"/>
      <c r="BG17" s="417"/>
      <c r="BH17" s="417"/>
      <c r="BI17" s="417"/>
      <c r="BJ17" s="417"/>
      <c r="BK17" s="417"/>
      <c r="BL17" s="417"/>
      <c r="BM17" s="417"/>
      <c r="BN17" s="417"/>
      <c r="BO17" s="417"/>
      <c r="BP17" s="417"/>
      <c r="BQ17" s="417"/>
      <c r="BR17" s="417"/>
      <c r="BS17" s="417"/>
      <c r="BT17" s="417"/>
      <c r="BU17" s="417"/>
      <c r="BV17" s="417"/>
      <c r="BW17" s="417"/>
      <c r="BX17" s="417"/>
      <c r="BY17" s="417"/>
      <c r="BZ17" s="417"/>
      <c r="CA17" s="418" t="str">
        <f t="shared" si="3"/>
        <v/>
      </c>
      <c r="CB17" s="418" t="str">
        <f t="shared" si="4"/>
        <v/>
      </c>
      <c r="CC17" s="417"/>
      <c r="CD17" s="417"/>
      <c r="CE17" s="419">
        <f t="shared" si="5"/>
        <v>0</v>
      </c>
      <c r="CF17" s="419">
        <f t="shared" si="5"/>
        <v>0</v>
      </c>
    </row>
    <row r="18" spans="1:84">
      <c r="A18" s="4788" t="s">
        <v>3680</v>
      </c>
      <c r="B18" s="1822">
        <f t="shared" si="0"/>
        <v>0</v>
      </c>
      <c r="C18" s="1823">
        <f t="shared" si="1"/>
        <v>0</v>
      </c>
      <c r="D18" s="1438">
        <f t="shared" si="1"/>
        <v>0</v>
      </c>
      <c r="E18" s="1440"/>
      <c r="F18" s="1452"/>
      <c r="G18" s="1440"/>
      <c r="H18" s="1452"/>
      <c r="I18" s="1440"/>
      <c r="J18" s="1452"/>
      <c r="K18" s="1440"/>
      <c r="L18" s="1655"/>
      <c r="M18" s="2039"/>
      <c r="N18" s="1870"/>
      <c r="O18" s="1869"/>
      <c r="P18" s="1870"/>
      <c r="Q18" s="1440"/>
      <c r="R18" s="2058"/>
      <c r="S18" s="1445"/>
      <c r="T18" s="1446"/>
      <c r="U18" s="3373" t="str">
        <f t="shared" si="2"/>
        <v/>
      </c>
      <c r="AZ18" s="417"/>
      <c r="BA18" s="417"/>
      <c r="BB18" s="417"/>
      <c r="BC18" s="417"/>
      <c r="BD18" s="417"/>
      <c r="BE18" s="417"/>
      <c r="BF18" s="417"/>
      <c r="BG18" s="417"/>
      <c r="BH18" s="417"/>
      <c r="BI18" s="417"/>
      <c r="BJ18" s="417"/>
      <c r="BK18" s="417"/>
      <c r="BL18" s="417"/>
      <c r="BM18" s="417"/>
      <c r="BN18" s="417"/>
      <c r="BO18" s="417"/>
      <c r="BP18" s="417"/>
      <c r="BQ18" s="417"/>
      <c r="BR18" s="417"/>
      <c r="BS18" s="417"/>
      <c r="BT18" s="417"/>
      <c r="BU18" s="417"/>
      <c r="BV18" s="417"/>
      <c r="BW18" s="417"/>
      <c r="BX18" s="417"/>
      <c r="BY18" s="417"/>
      <c r="BZ18" s="417"/>
      <c r="CA18" s="418" t="str">
        <f t="shared" si="3"/>
        <v/>
      </c>
      <c r="CB18" s="418" t="str">
        <f t="shared" si="4"/>
        <v/>
      </c>
      <c r="CC18" s="417"/>
      <c r="CD18" s="417"/>
      <c r="CE18" s="419">
        <f t="shared" si="5"/>
        <v>0</v>
      </c>
      <c r="CF18" s="419">
        <f t="shared" si="5"/>
        <v>0</v>
      </c>
    </row>
    <row r="19" spans="1:84">
      <c r="A19" s="4788" t="s">
        <v>3681</v>
      </c>
      <c r="B19" s="1822">
        <f t="shared" si="0"/>
        <v>0</v>
      </c>
      <c r="C19" s="1823">
        <f t="shared" si="1"/>
        <v>0</v>
      </c>
      <c r="D19" s="1827">
        <f t="shared" si="1"/>
        <v>0</v>
      </c>
      <c r="E19" s="1440"/>
      <c r="F19" s="1447"/>
      <c r="G19" s="1440"/>
      <c r="H19" s="1447"/>
      <c r="I19" s="1440"/>
      <c r="J19" s="1447"/>
      <c r="K19" s="1440"/>
      <c r="L19" s="1655"/>
      <c r="M19" s="2039"/>
      <c r="N19" s="1870"/>
      <c r="O19" s="1869"/>
      <c r="P19" s="1870"/>
      <c r="Q19" s="1440"/>
      <c r="R19" s="2058"/>
      <c r="S19" s="1445"/>
      <c r="T19" s="1446"/>
      <c r="U19" s="3373" t="str">
        <f t="shared" si="2"/>
        <v/>
      </c>
      <c r="AZ19" s="417"/>
      <c r="BA19" s="417"/>
      <c r="BB19" s="417"/>
      <c r="BC19" s="417"/>
      <c r="BD19" s="417"/>
      <c r="BE19" s="417"/>
      <c r="BF19" s="417"/>
      <c r="BG19" s="417"/>
      <c r="BH19" s="417"/>
      <c r="BI19" s="417"/>
      <c r="BJ19" s="417"/>
      <c r="BK19" s="417"/>
      <c r="BL19" s="417"/>
      <c r="BM19" s="417"/>
      <c r="BN19" s="417"/>
      <c r="BO19" s="417"/>
      <c r="BP19" s="417"/>
      <c r="BQ19" s="417"/>
      <c r="BR19" s="417"/>
      <c r="BS19" s="417"/>
      <c r="BT19" s="417"/>
      <c r="BU19" s="417"/>
      <c r="BV19" s="417"/>
      <c r="BW19" s="417"/>
      <c r="BX19" s="417"/>
      <c r="BY19" s="417"/>
      <c r="BZ19" s="417"/>
      <c r="CA19" s="418" t="str">
        <f t="shared" si="3"/>
        <v/>
      </c>
      <c r="CB19" s="418" t="str">
        <f t="shared" si="4"/>
        <v/>
      </c>
      <c r="CC19" s="417"/>
      <c r="CD19" s="417"/>
      <c r="CE19" s="419">
        <f t="shared" si="5"/>
        <v>0</v>
      </c>
      <c r="CF19" s="419">
        <f t="shared" si="5"/>
        <v>0</v>
      </c>
    </row>
    <row r="20" spans="1:84">
      <c r="A20" s="4788" t="s">
        <v>3682</v>
      </c>
      <c r="B20" s="1822">
        <f t="shared" si="0"/>
        <v>0</v>
      </c>
      <c r="C20" s="1823">
        <f t="shared" si="1"/>
        <v>0</v>
      </c>
      <c r="D20" s="1438">
        <f t="shared" si="1"/>
        <v>0</v>
      </c>
      <c r="E20" s="1440"/>
      <c r="F20" s="1680"/>
      <c r="G20" s="1440"/>
      <c r="H20" s="1680"/>
      <c r="I20" s="1440"/>
      <c r="J20" s="1680"/>
      <c r="K20" s="1440"/>
      <c r="L20" s="1444"/>
      <c r="M20" s="2039"/>
      <c r="N20" s="1870"/>
      <c r="O20" s="1869"/>
      <c r="P20" s="1870"/>
      <c r="Q20" s="1440"/>
      <c r="R20" s="2058"/>
      <c r="S20" s="1445"/>
      <c r="T20" s="1446"/>
      <c r="U20" s="3373" t="str">
        <f t="shared" si="2"/>
        <v/>
      </c>
      <c r="AZ20" s="417"/>
      <c r="BA20" s="417"/>
      <c r="BB20" s="417"/>
      <c r="BC20" s="417"/>
      <c r="BD20" s="417"/>
      <c r="BE20" s="417"/>
      <c r="BF20" s="417"/>
      <c r="BG20" s="417"/>
      <c r="BH20" s="417"/>
      <c r="BI20" s="417"/>
      <c r="BJ20" s="417"/>
      <c r="BK20" s="417"/>
      <c r="BL20" s="417"/>
      <c r="BM20" s="417"/>
      <c r="BN20" s="417"/>
      <c r="BO20" s="417"/>
      <c r="BP20" s="417"/>
      <c r="BQ20" s="417"/>
      <c r="BR20" s="417"/>
      <c r="BS20" s="417"/>
      <c r="BT20" s="417"/>
      <c r="BU20" s="417"/>
      <c r="BV20" s="417"/>
      <c r="BW20" s="417"/>
      <c r="BX20" s="417"/>
      <c r="BY20" s="417"/>
      <c r="BZ20" s="417"/>
      <c r="CA20" s="418" t="str">
        <f t="shared" si="3"/>
        <v/>
      </c>
      <c r="CB20" s="418" t="str">
        <f t="shared" si="4"/>
        <v/>
      </c>
      <c r="CC20" s="417"/>
      <c r="CD20" s="417"/>
      <c r="CE20" s="419">
        <f t="shared" si="5"/>
        <v>0</v>
      </c>
      <c r="CF20" s="419">
        <f t="shared" si="5"/>
        <v>0</v>
      </c>
    </row>
    <row r="21" spans="1:84">
      <c r="A21" s="4789" t="s">
        <v>3683</v>
      </c>
      <c r="B21" s="1822">
        <f t="shared" si="0"/>
        <v>0</v>
      </c>
      <c r="C21" s="1823">
        <f t="shared" si="1"/>
        <v>0</v>
      </c>
      <c r="D21" s="1438">
        <f t="shared" si="1"/>
        <v>0</v>
      </c>
      <c r="E21" s="1440"/>
      <c r="F21" s="1680"/>
      <c r="G21" s="1440"/>
      <c r="H21" s="1680"/>
      <c r="I21" s="1440"/>
      <c r="J21" s="1680"/>
      <c r="K21" s="1440"/>
      <c r="L21" s="1444"/>
      <c r="M21" s="2039"/>
      <c r="N21" s="1870"/>
      <c r="O21" s="1869"/>
      <c r="P21" s="1870"/>
      <c r="Q21" s="1440"/>
      <c r="R21" s="2058"/>
      <c r="S21" s="1445"/>
      <c r="T21" s="1446"/>
      <c r="U21" s="3373" t="str">
        <f t="shared" si="2"/>
        <v/>
      </c>
      <c r="AZ21" s="417"/>
      <c r="BA21" s="417"/>
      <c r="BB21" s="417"/>
      <c r="BC21" s="417"/>
      <c r="BD21" s="417"/>
      <c r="BE21" s="417"/>
      <c r="BF21" s="417"/>
      <c r="BG21" s="417"/>
      <c r="BH21" s="417"/>
      <c r="BI21" s="417"/>
      <c r="BJ21" s="417"/>
      <c r="BK21" s="417"/>
      <c r="BL21" s="417"/>
      <c r="BM21" s="417"/>
      <c r="BN21" s="417"/>
      <c r="BO21" s="417"/>
      <c r="BP21" s="417"/>
      <c r="BQ21" s="417"/>
      <c r="BR21" s="417"/>
      <c r="BS21" s="417"/>
      <c r="BT21" s="417"/>
      <c r="BU21" s="417"/>
      <c r="BV21" s="417"/>
      <c r="BW21" s="417"/>
      <c r="BX21" s="417"/>
      <c r="BY21" s="417"/>
      <c r="BZ21" s="417"/>
      <c r="CA21" s="418" t="str">
        <f t="shared" si="3"/>
        <v/>
      </c>
      <c r="CB21" s="418" t="str">
        <f t="shared" si="4"/>
        <v/>
      </c>
      <c r="CC21" s="417"/>
      <c r="CD21" s="417"/>
      <c r="CE21" s="419">
        <f t="shared" si="5"/>
        <v>0</v>
      </c>
      <c r="CF21" s="419">
        <f t="shared" si="5"/>
        <v>0</v>
      </c>
    </row>
    <row r="22" spans="1:84">
      <c r="A22" s="4790" t="s">
        <v>1068</v>
      </c>
      <c r="B22" s="1847">
        <f t="shared" si="0"/>
        <v>0</v>
      </c>
      <c r="C22" s="1848">
        <f t="shared" si="1"/>
        <v>0</v>
      </c>
      <c r="D22" s="1841">
        <f t="shared" si="1"/>
        <v>0</v>
      </c>
      <c r="E22" s="1485"/>
      <c r="F22" s="1824"/>
      <c r="G22" s="1485"/>
      <c r="H22" s="1824"/>
      <c r="I22" s="1485"/>
      <c r="J22" s="1824"/>
      <c r="K22" s="1485"/>
      <c r="L22" s="1486"/>
      <c r="M22" s="2018"/>
      <c r="N22" s="1873"/>
      <c r="O22" s="1875"/>
      <c r="P22" s="1873"/>
      <c r="Q22" s="1875"/>
      <c r="R22" s="4787"/>
      <c r="S22" s="1460"/>
      <c r="T22" s="1461"/>
      <c r="U22" s="3373" t="str">
        <f t="shared" si="2"/>
        <v/>
      </c>
      <c r="AZ22" s="417"/>
      <c r="BA22" s="417"/>
      <c r="BB22" s="417"/>
      <c r="BC22" s="417"/>
      <c r="BD22" s="417"/>
      <c r="BE22" s="417"/>
      <c r="BF22" s="417"/>
      <c r="BG22" s="417"/>
      <c r="BH22" s="417"/>
      <c r="BI22" s="417"/>
      <c r="BJ22" s="417"/>
      <c r="BK22" s="417"/>
      <c r="BL22" s="417"/>
      <c r="BM22" s="417"/>
      <c r="BN22" s="417"/>
      <c r="BO22" s="417"/>
      <c r="BP22" s="417"/>
      <c r="BQ22" s="417"/>
      <c r="BR22" s="417"/>
      <c r="BS22" s="417"/>
      <c r="BT22" s="417"/>
      <c r="BU22" s="417"/>
      <c r="BV22" s="417"/>
      <c r="BW22" s="417"/>
      <c r="BX22" s="417"/>
      <c r="BY22" s="417"/>
      <c r="BZ22" s="417"/>
      <c r="CA22" s="418" t="str">
        <f t="shared" si="3"/>
        <v/>
      </c>
      <c r="CB22" s="418" t="str">
        <f t="shared" si="4"/>
        <v/>
      </c>
      <c r="CC22" s="417"/>
      <c r="CD22" s="417"/>
      <c r="CE22" s="419">
        <f t="shared" si="5"/>
        <v>0</v>
      </c>
      <c r="CF22" s="419">
        <f t="shared" si="5"/>
        <v>0</v>
      </c>
    </row>
    <row r="23" spans="1:84">
      <c r="A23" s="4791" t="s">
        <v>3684</v>
      </c>
      <c r="B23" s="6875"/>
      <c r="C23" s="6219"/>
      <c r="D23" s="6219"/>
      <c r="E23" s="6219"/>
      <c r="F23" s="6219"/>
      <c r="G23" s="6219"/>
      <c r="H23" s="6219"/>
      <c r="I23" s="6219"/>
      <c r="J23" s="6219"/>
      <c r="K23" s="6219"/>
      <c r="L23" s="6219"/>
      <c r="M23" s="6219"/>
      <c r="N23" s="6219"/>
      <c r="O23" s="6219"/>
      <c r="P23" s="6219"/>
      <c r="Q23" s="6219"/>
      <c r="R23" s="6219"/>
      <c r="S23" s="6219"/>
      <c r="T23" s="6876"/>
    </row>
    <row r="24" spans="1:84">
      <c r="A24" s="2543" t="s">
        <v>3685</v>
      </c>
      <c r="B24" s="4792">
        <f t="shared" si="0"/>
        <v>0</v>
      </c>
      <c r="C24" s="4793">
        <f t="shared" si="1"/>
        <v>0</v>
      </c>
      <c r="D24" s="4794">
        <f t="shared" ref="D24:D28" si="6">SUM(F24+H24+J24+L24)</f>
        <v>0</v>
      </c>
      <c r="E24" s="1405"/>
      <c r="F24" s="1417"/>
      <c r="G24" s="1405"/>
      <c r="H24" s="1417"/>
      <c r="I24" s="1405"/>
      <c r="J24" s="1417"/>
      <c r="K24" s="1405"/>
      <c r="L24" s="4795"/>
      <c r="M24" s="1897"/>
      <c r="N24" s="1912"/>
      <c r="O24" s="1814"/>
      <c r="P24" s="1912"/>
      <c r="Q24" s="1424"/>
      <c r="R24" s="2053"/>
      <c r="S24" s="1429"/>
      <c r="T24" s="1430"/>
      <c r="U24" s="3373" t="str">
        <f t="shared" si="2"/>
        <v/>
      </c>
      <c r="AZ24" s="417"/>
      <c r="BA24" s="417"/>
      <c r="BB24" s="417"/>
      <c r="BC24" s="417"/>
      <c r="BD24" s="417"/>
      <c r="BE24" s="417"/>
      <c r="BF24" s="417"/>
      <c r="BG24" s="417"/>
      <c r="BH24" s="417"/>
      <c r="BI24" s="417"/>
      <c r="BJ24" s="417"/>
      <c r="BK24" s="417"/>
      <c r="BL24" s="417"/>
      <c r="BM24" s="417"/>
      <c r="BN24" s="417"/>
      <c r="BO24" s="417"/>
      <c r="BP24" s="417"/>
      <c r="BQ24" s="417"/>
      <c r="BR24" s="417"/>
      <c r="BS24" s="417"/>
      <c r="BT24" s="417"/>
      <c r="BU24" s="417"/>
      <c r="BV24" s="417"/>
      <c r="BW24" s="417"/>
      <c r="BX24" s="417"/>
      <c r="BY24" s="417"/>
      <c r="BZ24" s="417"/>
      <c r="CA24" s="418" t="str">
        <f t="shared" si="3"/>
        <v/>
      </c>
      <c r="CB24" s="418" t="str">
        <f t="shared" si="4"/>
        <v/>
      </c>
      <c r="CC24" s="417"/>
      <c r="CD24" s="417"/>
      <c r="CE24" s="419">
        <f t="shared" si="5"/>
        <v>0</v>
      </c>
      <c r="CF24" s="419">
        <f t="shared" si="5"/>
        <v>0</v>
      </c>
    </row>
    <row r="25" spans="1:84">
      <c r="A25" s="382" t="s">
        <v>3686</v>
      </c>
      <c r="B25" s="1847">
        <f t="shared" si="0"/>
        <v>0</v>
      </c>
      <c r="C25" s="1848">
        <f t="shared" si="1"/>
        <v>0</v>
      </c>
      <c r="D25" s="1841">
        <f t="shared" si="6"/>
        <v>0</v>
      </c>
      <c r="E25" s="1485"/>
      <c r="F25" s="1692"/>
      <c r="G25" s="1485"/>
      <c r="H25" s="1692"/>
      <c r="I25" s="1485"/>
      <c r="J25" s="1692"/>
      <c r="K25" s="1485"/>
      <c r="L25" s="1710"/>
      <c r="M25" s="2018"/>
      <c r="N25" s="1873"/>
      <c r="O25" s="1875"/>
      <c r="P25" s="1873"/>
      <c r="Q25" s="1875"/>
      <c r="R25" s="4787"/>
      <c r="S25" s="1460"/>
      <c r="T25" s="1461"/>
      <c r="U25" s="3373" t="str">
        <f t="shared" si="2"/>
        <v/>
      </c>
      <c r="AZ25" s="417"/>
      <c r="BA25" s="417"/>
      <c r="BB25" s="417"/>
      <c r="BC25" s="417"/>
      <c r="BD25" s="417"/>
      <c r="BE25" s="417"/>
      <c r="BF25" s="417"/>
      <c r="BG25" s="417"/>
      <c r="BH25" s="417"/>
      <c r="BI25" s="417"/>
      <c r="BJ25" s="417"/>
      <c r="BK25" s="417"/>
      <c r="BL25" s="417"/>
      <c r="BM25" s="417"/>
      <c r="BN25" s="417"/>
      <c r="BO25" s="417"/>
      <c r="BP25" s="417"/>
      <c r="BQ25" s="417"/>
      <c r="BR25" s="417"/>
      <c r="BS25" s="417"/>
      <c r="BT25" s="417"/>
      <c r="BU25" s="417"/>
      <c r="BV25" s="417"/>
      <c r="BW25" s="417"/>
      <c r="BX25" s="417"/>
      <c r="BY25" s="417"/>
      <c r="BZ25" s="417"/>
      <c r="CA25" s="418" t="str">
        <f t="shared" si="3"/>
        <v/>
      </c>
      <c r="CB25" s="418" t="str">
        <f t="shared" si="4"/>
        <v/>
      </c>
      <c r="CC25" s="417"/>
      <c r="CD25" s="417"/>
      <c r="CE25" s="419">
        <f t="shared" si="5"/>
        <v>0</v>
      </c>
      <c r="CF25" s="419">
        <f t="shared" si="5"/>
        <v>0</v>
      </c>
    </row>
    <row r="26" spans="1:84">
      <c r="A26" s="4791" t="s">
        <v>3687</v>
      </c>
      <c r="B26" s="6875"/>
      <c r="C26" s="6219"/>
      <c r="D26" s="6219"/>
      <c r="E26" s="6219"/>
      <c r="F26" s="6219"/>
      <c r="G26" s="6219"/>
      <c r="H26" s="6219"/>
      <c r="I26" s="6219"/>
      <c r="J26" s="6219"/>
      <c r="K26" s="6219"/>
      <c r="L26" s="6219"/>
      <c r="M26" s="6219"/>
      <c r="N26" s="6219"/>
      <c r="O26" s="6219"/>
      <c r="P26" s="6219"/>
      <c r="Q26" s="6219"/>
      <c r="R26" s="6219"/>
      <c r="S26" s="6219"/>
      <c r="T26" s="6876"/>
    </row>
    <row r="27" spans="1:84">
      <c r="A27" s="2543" t="s">
        <v>3688</v>
      </c>
      <c r="B27" s="1791">
        <f t="shared" si="0"/>
        <v>0</v>
      </c>
      <c r="C27" s="4793">
        <f t="shared" si="1"/>
        <v>0</v>
      </c>
      <c r="D27" s="1785">
        <f t="shared" si="6"/>
        <v>0</v>
      </c>
      <c r="E27" s="1480"/>
      <c r="F27" s="1545"/>
      <c r="G27" s="1796"/>
      <c r="H27" s="1545"/>
      <c r="I27" s="1480"/>
      <c r="J27" s="1545"/>
      <c r="K27" s="1480"/>
      <c r="L27" s="1725"/>
      <c r="M27" s="1897"/>
      <c r="N27" s="1912"/>
      <c r="O27" s="1814"/>
      <c r="P27" s="1912"/>
      <c r="Q27" s="1424"/>
      <c r="R27" s="1725"/>
      <c r="S27" s="1429"/>
      <c r="T27" s="1430"/>
      <c r="U27" s="3373" t="str">
        <f t="shared" si="2"/>
        <v/>
      </c>
      <c r="AZ27" s="417"/>
      <c r="BA27" s="417"/>
      <c r="BB27" s="417"/>
      <c r="BC27" s="417"/>
      <c r="BD27" s="417"/>
      <c r="BE27" s="417"/>
      <c r="BF27" s="417"/>
      <c r="BG27" s="417"/>
      <c r="BH27" s="417"/>
      <c r="BI27" s="417"/>
      <c r="BJ27" s="417"/>
      <c r="BK27" s="417"/>
      <c r="BL27" s="417"/>
      <c r="BM27" s="417"/>
      <c r="BN27" s="417"/>
      <c r="BO27" s="417"/>
      <c r="BP27" s="417"/>
      <c r="BQ27" s="417"/>
      <c r="BR27" s="417"/>
      <c r="BS27" s="417"/>
      <c r="BT27" s="417"/>
      <c r="BU27" s="417"/>
      <c r="BV27" s="417"/>
      <c r="BW27" s="417"/>
      <c r="BX27" s="417"/>
      <c r="BY27" s="417"/>
      <c r="BZ27" s="417"/>
      <c r="CA27" s="418" t="str">
        <f t="shared" si="3"/>
        <v/>
      </c>
      <c r="CB27" s="418" t="str">
        <f t="shared" si="4"/>
        <v/>
      </c>
      <c r="CC27" s="417"/>
      <c r="CD27" s="417"/>
      <c r="CE27" s="419">
        <f t="shared" si="5"/>
        <v>0</v>
      </c>
      <c r="CF27" s="419">
        <f t="shared" si="5"/>
        <v>0</v>
      </c>
    </row>
    <row r="28" spans="1:84">
      <c r="A28" s="4790" t="s">
        <v>3689</v>
      </c>
      <c r="B28" s="1797">
        <f t="shared" si="0"/>
        <v>0</v>
      </c>
      <c r="C28" s="1848">
        <f t="shared" si="1"/>
        <v>0</v>
      </c>
      <c r="D28" s="1453">
        <f t="shared" si="6"/>
        <v>0</v>
      </c>
      <c r="E28" s="1455"/>
      <c r="F28" s="1467"/>
      <c r="G28" s="1455"/>
      <c r="H28" s="1684"/>
      <c r="I28" s="1455"/>
      <c r="J28" s="1684"/>
      <c r="K28" s="1455"/>
      <c r="L28" s="1459"/>
      <c r="M28" s="2018"/>
      <c r="N28" s="1876"/>
      <c r="O28" s="1875"/>
      <c r="P28" s="1876"/>
      <c r="Q28" s="1455"/>
      <c r="R28" s="1660"/>
      <c r="S28" s="1460"/>
      <c r="T28" s="1461"/>
      <c r="U28" s="3373" t="str">
        <f t="shared" si="2"/>
        <v/>
      </c>
      <c r="AZ28" s="417"/>
      <c r="BA28" s="417"/>
      <c r="BB28" s="417"/>
      <c r="BC28" s="417"/>
      <c r="BD28" s="417"/>
      <c r="BE28" s="417"/>
      <c r="BF28" s="417"/>
      <c r="BG28" s="417"/>
      <c r="BH28" s="417"/>
      <c r="BI28" s="417"/>
      <c r="BJ28" s="417"/>
      <c r="BK28" s="417"/>
      <c r="BL28" s="417"/>
      <c r="BM28" s="417"/>
      <c r="BN28" s="417"/>
      <c r="BO28" s="417"/>
      <c r="BP28" s="417"/>
      <c r="BQ28" s="417"/>
      <c r="BR28" s="417"/>
      <c r="BS28" s="417"/>
      <c r="BT28" s="417"/>
      <c r="BU28" s="417"/>
      <c r="BV28" s="417"/>
      <c r="BW28" s="417"/>
      <c r="BX28" s="417"/>
      <c r="BY28" s="417"/>
      <c r="BZ28" s="417"/>
      <c r="CA28" s="418" t="str">
        <f t="shared" si="3"/>
        <v/>
      </c>
      <c r="CB28" s="418" t="str">
        <f t="shared" si="4"/>
        <v/>
      </c>
      <c r="CC28" s="417"/>
      <c r="CD28" s="417"/>
      <c r="CE28" s="419">
        <f t="shared" si="5"/>
        <v>0</v>
      </c>
      <c r="CF28" s="419">
        <f t="shared" si="5"/>
        <v>0</v>
      </c>
    </row>
    <row r="29" spans="1:84" ht="18" customHeight="1">
      <c r="A29" s="2283" t="s">
        <v>3690</v>
      </c>
      <c r="B29" s="1582"/>
      <c r="C29" s="1493"/>
      <c r="D29" s="1582"/>
      <c r="E29" s="1582"/>
      <c r="F29" s="1582"/>
      <c r="G29" s="1582"/>
      <c r="H29" s="1582"/>
      <c r="I29" s="1582"/>
      <c r="J29" s="1582"/>
      <c r="K29" s="1582"/>
      <c r="L29" s="1582"/>
      <c r="M29" s="1582"/>
      <c r="N29" s="1582"/>
      <c r="O29" s="1582"/>
      <c r="P29" s="1582"/>
      <c r="Q29" s="1582"/>
    </row>
    <row r="30" spans="1:84">
      <c r="A30" s="6152" t="s">
        <v>3691</v>
      </c>
      <c r="B30" s="6154"/>
      <c r="C30" s="6152" t="s">
        <v>91</v>
      </c>
      <c r="D30" s="5707" t="s">
        <v>3414</v>
      </c>
      <c r="E30" s="5708"/>
      <c r="F30" s="5708"/>
      <c r="G30" s="5708"/>
      <c r="H30" s="5708"/>
      <c r="I30" s="5708"/>
      <c r="J30" s="5708"/>
      <c r="K30" s="5708"/>
      <c r="L30" s="6147"/>
      <c r="M30" s="6106" t="s">
        <v>3692</v>
      </c>
      <c r="N30" s="6106"/>
      <c r="O30" s="5716"/>
      <c r="P30" s="6768" t="s">
        <v>50</v>
      </c>
      <c r="Q30" s="6766" t="s">
        <v>51</v>
      </c>
    </row>
    <row r="31" spans="1:84" ht="21">
      <c r="A31" s="6447"/>
      <c r="B31" s="6448"/>
      <c r="C31" s="6155"/>
      <c r="D31" s="396" t="s">
        <v>3693</v>
      </c>
      <c r="E31" s="1397" t="s">
        <v>3694</v>
      </c>
      <c r="F31" s="1646" t="s">
        <v>65</v>
      </c>
      <c r="G31" s="1646" t="s">
        <v>66</v>
      </c>
      <c r="H31" s="1646" t="s">
        <v>67</v>
      </c>
      <c r="I31" s="1646" t="s">
        <v>68</v>
      </c>
      <c r="J31" s="1646" t="s">
        <v>69</v>
      </c>
      <c r="K31" s="1646" t="s">
        <v>70</v>
      </c>
      <c r="L31" s="1703" t="s">
        <v>71</v>
      </c>
      <c r="M31" s="1701" t="s">
        <v>3695</v>
      </c>
      <c r="N31" s="1702" t="s">
        <v>3696</v>
      </c>
      <c r="O31" s="1703" t="s">
        <v>3697</v>
      </c>
      <c r="P31" s="6769"/>
      <c r="Q31" s="6767"/>
    </row>
    <row r="32" spans="1:84">
      <c r="A32" s="6854" t="s">
        <v>3698</v>
      </c>
      <c r="B32" s="1555" t="s">
        <v>3008</v>
      </c>
      <c r="C32" s="1938">
        <f t="shared" ref="C32:C71" si="7">SUM(D32:L32)</f>
        <v>0</v>
      </c>
      <c r="D32" s="4796"/>
      <c r="E32" s="4797"/>
      <c r="F32" s="4797"/>
      <c r="G32" s="4797"/>
      <c r="H32" s="4797"/>
      <c r="I32" s="4797"/>
      <c r="J32" s="4797"/>
      <c r="K32" s="4797"/>
      <c r="L32" s="4798"/>
      <c r="M32" s="4799"/>
      <c r="N32" s="4800"/>
      <c r="O32" s="4801"/>
      <c r="P32" s="4802"/>
      <c r="Q32" s="4803"/>
      <c r="R32" s="3373" t="str">
        <f t="shared" ref="R32:R71" si="8">CA32&amp;CB32</f>
        <v/>
      </c>
      <c r="AW32" s="417"/>
      <c r="AX32" s="417"/>
      <c r="AY32" s="417"/>
      <c r="AZ32" s="417"/>
      <c r="BA32" s="417"/>
      <c r="BB32" s="417"/>
      <c r="BC32" s="417"/>
      <c r="BD32" s="417"/>
      <c r="BE32" s="417"/>
      <c r="BF32" s="417"/>
      <c r="BG32" s="417"/>
      <c r="BH32" s="417"/>
      <c r="BI32" s="417"/>
      <c r="BJ32" s="417"/>
      <c r="BK32" s="417"/>
      <c r="BL32" s="417"/>
      <c r="BM32" s="417"/>
      <c r="BN32" s="417"/>
      <c r="BO32" s="417"/>
      <c r="BP32" s="417"/>
      <c r="BQ32" s="417"/>
      <c r="BR32" s="417"/>
      <c r="BS32" s="417"/>
      <c r="BT32" s="417"/>
      <c r="BU32" s="417"/>
      <c r="BV32" s="417"/>
      <c r="BW32" s="417"/>
      <c r="BX32" s="417"/>
      <c r="BY32" s="417"/>
      <c r="BZ32" s="417"/>
      <c r="CA32" s="418" t="str">
        <f>IF(AND($C32&lt;&gt;0,P32=""),"* No olvide digitar la variable "&amp;P$30&amp;""&amp;". Digite CERO si no tiene. ",IF(P32&gt;$C32,"* La variable Pueblos Originarios no puede superar el Total. ",""))</f>
        <v/>
      </c>
      <c r="CB32" s="418" t="str">
        <f>IF(AND($C32&lt;&gt;0,Q32=""),"* No olvide digitar la variable "&amp;Q$30&amp;""&amp;". Digite CERO si no tiene. ",IF(Q32&gt;$C32,"* La variable  Migrantes no puede superar el Total. ",""))</f>
        <v/>
      </c>
      <c r="CC32" s="417"/>
      <c r="CD32" s="417"/>
      <c r="CE32" s="419">
        <f>IF(AND($C32&lt;&gt;0,P32=""),1,IF(P32&gt;$C32,1,0))</f>
        <v>0</v>
      </c>
      <c r="CF32" s="419">
        <f>IF(AND($C32&lt;&gt;0,Q32=""),1,IF(Q32&gt;$C32,1,0))</f>
        <v>0</v>
      </c>
    </row>
    <row r="33" spans="1:84">
      <c r="A33" s="6855"/>
      <c r="B33" s="406" t="s">
        <v>3699</v>
      </c>
      <c r="C33" s="406">
        <f t="shared" si="7"/>
        <v>0</v>
      </c>
      <c r="D33" s="4804">
        <f>SUM(D34:D38)</f>
        <v>0</v>
      </c>
      <c r="E33" s="4805">
        <f>SUM(E34:E38)</f>
        <v>0</v>
      </c>
      <c r="F33" s="4805">
        <f>SUM(F34:F38)</f>
        <v>0</v>
      </c>
      <c r="G33" s="4805">
        <f t="shared" ref="G33:L33" si="9">SUM(G34:G38)</f>
        <v>0</v>
      </c>
      <c r="H33" s="4805">
        <f t="shared" si="9"/>
        <v>0</v>
      </c>
      <c r="I33" s="4805">
        <f t="shared" si="9"/>
        <v>0</v>
      </c>
      <c r="J33" s="4805">
        <f t="shared" si="9"/>
        <v>0</v>
      </c>
      <c r="K33" s="4805">
        <f t="shared" si="9"/>
        <v>0</v>
      </c>
      <c r="L33" s="4806">
        <f t="shared" si="9"/>
        <v>0</v>
      </c>
      <c r="M33" s="4807"/>
      <c r="N33" s="4808"/>
      <c r="O33" s="4809"/>
      <c r="P33" s="4802"/>
      <c r="Q33" s="4803"/>
      <c r="R33" s="3373" t="str">
        <f t="shared" si="8"/>
        <v/>
      </c>
      <c r="AW33" s="417"/>
      <c r="AX33" s="417"/>
      <c r="AY33" s="417"/>
      <c r="AZ33" s="417"/>
      <c r="BA33" s="417"/>
      <c r="BB33" s="417"/>
      <c r="BC33" s="417"/>
      <c r="BD33" s="417"/>
      <c r="BE33" s="417"/>
      <c r="BF33" s="417"/>
      <c r="BG33" s="417"/>
      <c r="BH33" s="417"/>
      <c r="BI33" s="417"/>
      <c r="BJ33" s="417"/>
      <c r="BK33" s="417"/>
      <c r="BL33" s="417"/>
      <c r="BM33" s="417"/>
      <c r="BN33" s="417"/>
      <c r="BO33" s="417"/>
      <c r="BP33" s="417"/>
      <c r="BQ33" s="417"/>
      <c r="BR33" s="417"/>
      <c r="BS33" s="417"/>
      <c r="BT33" s="417"/>
      <c r="BU33" s="417"/>
      <c r="BV33" s="417"/>
      <c r="BW33" s="417"/>
      <c r="BX33" s="417"/>
      <c r="BY33" s="417"/>
      <c r="BZ33" s="417"/>
      <c r="CA33" s="417"/>
      <c r="CB33" s="417"/>
      <c r="CC33" s="417"/>
      <c r="CD33" s="417"/>
    </row>
    <row r="34" spans="1:84">
      <c r="A34" s="6855"/>
      <c r="B34" s="1540" t="s">
        <v>3700</v>
      </c>
      <c r="C34" s="4810">
        <f t="shared" si="7"/>
        <v>0</v>
      </c>
      <c r="D34" s="4811"/>
      <c r="E34" s="4812"/>
      <c r="F34" s="4812"/>
      <c r="G34" s="4812"/>
      <c r="H34" s="4812"/>
      <c r="I34" s="4812"/>
      <c r="J34" s="4812"/>
      <c r="K34" s="4812"/>
      <c r="L34" s="4813"/>
      <c r="M34" s="4814"/>
      <c r="N34" s="4815"/>
      <c r="O34" s="4816"/>
      <c r="P34" s="4802"/>
      <c r="Q34" s="4803"/>
      <c r="R34" s="3373" t="str">
        <f t="shared" si="8"/>
        <v/>
      </c>
      <c r="AW34" s="417"/>
      <c r="AX34" s="417"/>
      <c r="AY34" s="417"/>
      <c r="AZ34" s="417"/>
      <c r="BA34" s="417"/>
      <c r="BB34" s="417"/>
      <c r="BC34" s="417"/>
      <c r="BD34" s="417"/>
      <c r="BE34" s="417"/>
      <c r="BF34" s="417"/>
      <c r="BG34" s="417"/>
      <c r="BH34" s="417"/>
      <c r="BI34" s="417"/>
      <c r="BJ34" s="417"/>
      <c r="BK34" s="417"/>
      <c r="BL34" s="417"/>
      <c r="BM34" s="417"/>
      <c r="BN34" s="417"/>
      <c r="BO34" s="417"/>
      <c r="BP34" s="417"/>
      <c r="BQ34" s="417"/>
      <c r="BR34" s="417"/>
      <c r="BS34" s="417"/>
      <c r="BT34" s="417"/>
      <c r="BU34" s="417"/>
      <c r="BV34" s="417"/>
      <c r="BW34" s="417"/>
      <c r="BX34" s="417"/>
      <c r="BY34" s="417"/>
      <c r="BZ34" s="417"/>
      <c r="CA34" s="418" t="str">
        <f t="shared" ref="CA34:CA70" si="10">IF(AND($C34&lt;&gt;0,P34=""),"* No olvide digitar la variable "&amp;P$30&amp;""&amp;". Digite CERO si no tiene. ",IF(P34&gt;$C34,"* La variable Pueblos Originarios no puede superar el Total. ",""))</f>
        <v/>
      </c>
      <c r="CB34" s="418" t="str">
        <f t="shared" ref="CB34:CB71" si="11">IF(AND($C34&lt;&gt;0,Q34=""),"* No olvide digitar la variable "&amp;Q$30&amp;""&amp;". Digite CERO si no tiene. ",IF(Q34&gt;$C34,"* La variable Migrantes no puede superar el Total. ",""))</f>
        <v/>
      </c>
      <c r="CC34" s="417"/>
      <c r="CD34" s="417"/>
      <c r="CE34" s="419">
        <f t="shared" ref="CE34:CF71" si="12">IF(AND($C34&lt;&gt;0,P34=""),1,IF(P34&gt;$C34,1,0))</f>
        <v>0</v>
      </c>
      <c r="CF34" s="419">
        <f t="shared" si="12"/>
        <v>0</v>
      </c>
    </row>
    <row r="35" spans="1:84">
      <c r="A35" s="6855"/>
      <c r="B35" s="1512" t="s">
        <v>3701</v>
      </c>
      <c r="C35" s="1691">
        <f t="shared" si="7"/>
        <v>0</v>
      </c>
      <c r="D35" s="4817"/>
      <c r="E35" s="4808"/>
      <c r="F35" s="4808"/>
      <c r="G35" s="4808"/>
      <c r="H35" s="4808"/>
      <c r="I35" s="4808"/>
      <c r="J35" s="4808"/>
      <c r="K35" s="4808"/>
      <c r="L35" s="4809"/>
      <c r="M35" s="4818"/>
      <c r="N35" s="4819"/>
      <c r="O35" s="4820"/>
      <c r="P35" s="4802"/>
      <c r="Q35" s="4803"/>
      <c r="R35" s="3373" t="str">
        <f t="shared" si="8"/>
        <v/>
      </c>
      <c r="AW35" s="417"/>
      <c r="AX35" s="417"/>
      <c r="AY35" s="417"/>
      <c r="AZ35" s="417"/>
      <c r="BA35" s="417"/>
      <c r="BB35" s="417"/>
      <c r="BC35" s="417"/>
      <c r="BD35" s="417"/>
      <c r="BE35" s="417"/>
      <c r="BF35" s="417"/>
      <c r="BG35" s="417"/>
      <c r="BH35" s="417"/>
      <c r="BI35" s="417"/>
      <c r="BJ35" s="417"/>
      <c r="BK35" s="417"/>
      <c r="BL35" s="417"/>
      <c r="BM35" s="417"/>
      <c r="BN35" s="417"/>
      <c r="BO35" s="417"/>
      <c r="BP35" s="417"/>
      <c r="BQ35" s="417"/>
      <c r="BR35" s="417"/>
      <c r="BS35" s="417"/>
      <c r="BT35" s="417"/>
      <c r="BU35" s="417"/>
      <c r="BV35" s="417"/>
      <c r="BW35" s="417"/>
      <c r="BX35" s="417"/>
      <c r="BY35" s="417"/>
      <c r="BZ35" s="417"/>
      <c r="CA35" s="418" t="str">
        <f t="shared" si="10"/>
        <v/>
      </c>
      <c r="CB35" s="418" t="str">
        <f t="shared" si="11"/>
        <v/>
      </c>
      <c r="CC35" s="417"/>
      <c r="CD35" s="417"/>
      <c r="CE35" s="419">
        <f t="shared" si="12"/>
        <v>0</v>
      </c>
      <c r="CF35" s="419">
        <f t="shared" si="12"/>
        <v>0</v>
      </c>
    </row>
    <row r="36" spans="1:84">
      <c r="A36" s="6855"/>
      <c r="B36" s="1512" t="s">
        <v>3702</v>
      </c>
      <c r="C36" s="1691">
        <f t="shared" si="7"/>
        <v>0</v>
      </c>
      <c r="D36" s="4821"/>
      <c r="E36" s="4822"/>
      <c r="F36" s="4822"/>
      <c r="G36" s="4822"/>
      <c r="H36" s="4822"/>
      <c r="I36" s="4822"/>
      <c r="J36" s="4822"/>
      <c r="K36" s="4822"/>
      <c r="L36" s="4823"/>
      <c r="M36" s="4824"/>
      <c r="N36" s="4825"/>
      <c r="O36" s="4826"/>
      <c r="P36" s="4802"/>
      <c r="Q36" s="4803"/>
      <c r="R36" s="3373" t="str">
        <f t="shared" si="8"/>
        <v/>
      </c>
      <c r="AW36" s="417"/>
      <c r="AX36" s="417"/>
      <c r="AY36" s="417"/>
      <c r="AZ36" s="417"/>
      <c r="BA36" s="417"/>
      <c r="BB36" s="417"/>
      <c r="BC36" s="417"/>
      <c r="BD36" s="417"/>
      <c r="BE36" s="417"/>
      <c r="BF36" s="417"/>
      <c r="BG36" s="417"/>
      <c r="BH36" s="417"/>
      <c r="BI36" s="417"/>
      <c r="BJ36" s="417"/>
      <c r="BK36" s="417"/>
      <c r="BL36" s="417"/>
      <c r="BM36" s="417"/>
      <c r="BN36" s="417"/>
      <c r="BO36" s="417"/>
      <c r="BP36" s="417"/>
      <c r="BQ36" s="417"/>
      <c r="BR36" s="417"/>
      <c r="BS36" s="417"/>
      <c r="BT36" s="417"/>
      <c r="BU36" s="417"/>
      <c r="BV36" s="417"/>
      <c r="BW36" s="417"/>
      <c r="BX36" s="417"/>
      <c r="BY36" s="417"/>
      <c r="BZ36" s="417"/>
      <c r="CA36" s="418" t="str">
        <f t="shared" si="10"/>
        <v/>
      </c>
      <c r="CB36" s="418" t="str">
        <f t="shared" si="11"/>
        <v/>
      </c>
      <c r="CC36" s="417"/>
      <c r="CD36" s="417"/>
      <c r="CE36" s="419">
        <f t="shared" si="12"/>
        <v>0</v>
      </c>
      <c r="CF36" s="419">
        <f t="shared" si="12"/>
        <v>0</v>
      </c>
    </row>
    <row r="37" spans="1:84">
      <c r="A37" s="6855"/>
      <c r="B37" s="1512" t="s">
        <v>3703</v>
      </c>
      <c r="C37" s="1691">
        <f t="shared" si="7"/>
        <v>0</v>
      </c>
      <c r="D37" s="4827"/>
      <c r="E37" s="4828"/>
      <c r="F37" s="4828"/>
      <c r="G37" s="4828"/>
      <c r="H37" s="4828"/>
      <c r="I37" s="4828"/>
      <c r="J37" s="4828"/>
      <c r="K37" s="4828"/>
      <c r="L37" s="4829"/>
      <c r="M37" s="4830"/>
      <c r="N37" s="4831"/>
      <c r="O37" s="4832"/>
      <c r="P37" s="4802"/>
      <c r="Q37" s="4803"/>
      <c r="R37" s="3373" t="str">
        <f t="shared" si="8"/>
        <v/>
      </c>
      <c r="AW37" s="417"/>
      <c r="AX37" s="417"/>
      <c r="AY37" s="417"/>
      <c r="AZ37" s="417"/>
      <c r="BA37" s="417"/>
      <c r="BB37" s="417"/>
      <c r="BC37" s="417"/>
      <c r="BD37" s="417"/>
      <c r="BE37" s="417"/>
      <c r="BF37" s="417"/>
      <c r="BG37" s="417"/>
      <c r="BH37" s="417"/>
      <c r="BI37" s="417"/>
      <c r="BJ37" s="417"/>
      <c r="BK37" s="417"/>
      <c r="BL37" s="417"/>
      <c r="BM37" s="417"/>
      <c r="BN37" s="417"/>
      <c r="BO37" s="417"/>
      <c r="BP37" s="417"/>
      <c r="BQ37" s="417"/>
      <c r="BR37" s="417"/>
      <c r="BS37" s="417"/>
      <c r="BT37" s="417"/>
      <c r="BU37" s="417"/>
      <c r="BV37" s="417"/>
      <c r="BW37" s="417"/>
      <c r="BX37" s="417"/>
      <c r="BY37" s="417"/>
      <c r="BZ37" s="417"/>
      <c r="CA37" s="418" t="str">
        <f t="shared" si="10"/>
        <v/>
      </c>
      <c r="CB37" s="418" t="str">
        <f t="shared" si="11"/>
        <v/>
      </c>
      <c r="CC37" s="417"/>
      <c r="CD37" s="417"/>
      <c r="CE37" s="419">
        <f t="shared" si="12"/>
        <v>0</v>
      </c>
      <c r="CF37" s="419">
        <f t="shared" si="12"/>
        <v>0</v>
      </c>
    </row>
    <row r="38" spans="1:84">
      <c r="A38" s="6855"/>
      <c r="B38" s="1512" t="s">
        <v>3704</v>
      </c>
      <c r="C38" s="1691">
        <f t="shared" si="7"/>
        <v>0</v>
      </c>
      <c r="D38" s="4817"/>
      <c r="E38" s="4808"/>
      <c r="F38" s="4808"/>
      <c r="G38" s="4808"/>
      <c r="H38" s="4808"/>
      <c r="I38" s="4808"/>
      <c r="J38" s="4808"/>
      <c r="K38" s="4808"/>
      <c r="L38" s="4809"/>
      <c r="M38" s="4818"/>
      <c r="N38" s="4819"/>
      <c r="O38" s="4820"/>
      <c r="P38" s="4802"/>
      <c r="Q38" s="4803"/>
      <c r="R38" s="3373" t="str">
        <f t="shared" si="8"/>
        <v/>
      </c>
      <c r="AW38" s="417"/>
      <c r="AX38" s="417"/>
      <c r="AY38" s="417"/>
      <c r="AZ38" s="417"/>
      <c r="BA38" s="417"/>
      <c r="BB38" s="417"/>
      <c r="BC38" s="417"/>
      <c r="BD38" s="417"/>
      <c r="BE38" s="417"/>
      <c r="BF38" s="417"/>
      <c r="BG38" s="417"/>
      <c r="BH38" s="417"/>
      <c r="BI38" s="417"/>
      <c r="BJ38" s="417"/>
      <c r="BK38" s="417"/>
      <c r="BL38" s="417"/>
      <c r="BM38" s="417"/>
      <c r="BN38" s="417"/>
      <c r="BO38" s="417"/>
      <c r="BP38" s="417"/>
      <c r="BQ38" s="417"/>
      <c r="BR38" s="417"/>
      <c r="BS38" s="417"/>
      <c r="BT38" s="417"/>
      <c r="BU38" s="417"/>
      <c r="BV38" s="417"/>
      <c r="BW38" s="417"/>
      <c r="BX38" s="417"/>
      <c r="BY38" s="417"/>
      <c r="BZ38" s="417"/>
      <c r="CA38" s="418" t="str">
        <f t="shared" si="10"/>
        <v/>
      </c>
      <c r="CB38" s="418" t="str">
        <f t="shared" si="11"/>
        <v/>
      </c>
      <c r="CC38" s="417"/>
      <c r="CD38" s="417"/>
      <c r="CE38" s="419">
        <f t="shared" si="12"/>
        <v>0</v>
      </c>
      <c r="CF38" s="419">
        <f t="shared" si="12"/>
        <v>0</v>
      </c>
    </row>
    <row r="39" spans="1:84">
      <c r="A39" s="6856"/>
      <c r="B39" s="1512" t="s">
        <v>3705</v>
      </c>
      <c r="C39" s="1691">
        <f t="shared" si="7"/>
        <v>0</v>
      </c>
      <c r="D39" s="4833"/>
      <c r="E39" s="4834"/>
      <c r="F39" s="4834"/>
      <c r="G39" s="4834"/>
      <c r="H39" s="4834"/>
      <c r="I39" s="4834"/>
      <c r="J39" s="4834"/>
      <c r="K39" s="4834"/>
      <c r="L39" s="4835"/>
      <c r="M39" s="4836"/>
      <c r="N39" s="4837"/>
      <c r="O39" s="4838"/>
      <c r="P39" s="4839"/>
      <c r="Q39" s="4840"/>
      <c r="R39" s="3373" t="str">
        <f t="shared" si="8"/>
        <v/>
      </c>
      <c r="AW39" s="417"/>
      <c r="AX39" s="417"/>
      <c r="AY39" s="417"/>
      <c r="AZ39" s="417"/>
      <c r="BA39" s="417"/>
      <c r="BB39" s="417"/>
      <c r="BC39" s="417"/>
      <c r="BD39" s="417"/>
      <c r="BE39" s="417"/>
      <c r="BF39" s="417"/>
      <c r="BG39" s="417"/>
      <c r="BH39" s="417"/>
      <c r="BI39" s="417"/>
      <c r="BJ39" s="417"/>
      <c r="BK39" s="417"/>
      <c r="BL39" s="417"/>
      <c r="BM39" s="417"/>
      <c r="BN39" s="417"/>
      <c r="BO39" s="417"/>
      <c r="BP39" s="417"/>
      <c r="BQ39" s="417"/>
      <c r="BR39" s="417"/>
      <c r="BS39" s="417"/>
      <c r="BT39" s="417"/>
      <c r="BU39" s="417"/>
      <c r="BV39" s="417"/>
      <c r="BW39" s="417"/>
      <c r="BX39" s="417"/>
      <c r="BY39" s="417"/>
      <c r="BZ39" s="417"/>
      <c r="CA39" s="418" t="str">
        <f t="shared" si="10"/>
        <v/>
      </c>
      <c r="CB39" s="418" t="str">
        <f t="shared" si="11"/>
        <v/>
      </c>
      <c r="CC39" s="417"/>
      <c r="CD39" s="417"/>
      <c r="CE39" s="419">
        <f t="shared" si="12"/>
        <v>0</v>
      </c>
      <c r="CF39" s="419">
        <f t="shared" si="12"/>
        <v>0</v>
      </c>
    </row>
    <row r="40" spans="1:84">
      <c r="A40" s="6127" t="s">
        <v>3706</v>
      </c>
      <c r="B40" s="1422" t="s">
        <v>3008</v>
      </c>
      <c r="C40" s="1862">
        <f t="shared" si="7"/>
        <v>0</v>
      </c>
      <c r="D40" s="4811"/>
      <c r="E40" s="4841"/>
      <c r="F40" s="4841"/>
      <c r="G40" s="4841"/>
      <c r="H40" s="4841"/>
      <c r="I40" s="4841"/>
      <c r="J40" s="4841"/>
      <c r="K40" s="4841"/>
      <c r="L40" s="4842"/>
      <c r="M40" s="4843"/>
      <c r="N40" s="4844"/>
      <c r="O40" s="4845"/>
      <c r="P40" s="4846"/>
      <c r="Q40" s="4847"/>
      <c r="R40" s="3373" t="str">
        <f t="shared" si="8"/>
        <v/>
      </c>
      <c r="AW40" s="417"/>
      <c r="AX40" s="417"/>
      <c r="AY40" s="417"/>
      <c r="AZ40" s="417"/>
      <c r="BA40" s="417"/>
      <c r="BB40" s="417"/>
      <c r="BC40" s="417"/>
      <c r="BD40" s="417"/>
      <c r="BE40" s="417"/>
      <c r="BF40" s="417"/>
      <c r="BG40" s="417"/>
      <c r="BH40" s="417"/>
      <c r="BI40" s="417"/>
      <c r="BJ40" s="417"/>
      <c r="BK40" s="417"/>
      <c r="BL40" s="417"/>
      <c r="BM40" s="417"/>
      <c r="BN40" s="417"/>
      <c r="BO40" s="417"/>
      <c r="BP40" s="417"/>
      <c r="BQ40" s="417"/>
      <c r="BR40" s="417"/>
      <c r="BS40" s="417"/>
      <c r="BT40" s="417"/>
      <c r="BU40" s="417"/>
      <c r="BV40" s="417"/>
      <c r="BW40" s="417"/>
      <c r="BX40" s="417"/>
      <c r="BY40" s="417"/>
      <c r="BZ40" s="417"/>
      <c r="CA40" s="418" t="str">
        <f t="shared" si="10"/>
        <v/>
      </c>
      <c r="CB40" s="418" t="str">
        <f t="shared" si="11"/>
        <v/>
      </c>
      <c r="CC40" s="417"/>
      <c r="CD40" s="417"/>
      <c r="CE40" s="419">
        <f t="shared" si="12"/>
        <v>0</v>
      </c>
      <c r="CF40" s="419">
        <f t="shared" si="12"/>
        <v>0</v>
      </c>
    </row>
    <row r="41" spans="1:84">
      <c r="A41" s="6128"/>
      <c r="B41" s="1540" t="s">
        <v>3699</v>
      </c>
      <c r="C41" s="4810">
        <f t="shared" si="7"/>
        <v>0</v>
      </c>
      <c r="D41" s="4817"/>
      <c r="E41" s="4808"/>
      <c r="F41" s="4808"/>
      <c r="G41" s="4808"/>
      <c r="H41" s="4808"/>
      <c r="I41" s="4808"/>
      <c r="J41" s="4808"/>
      <c r="K41" s="4808"/>
      <c r="L41" s="4809"/>
      <c r="M41" s="4807"/>
      <c r="N41" s="4808"/>
      <c r="O41" s="4809"/>
      <c r="P41" s="4802"/>
      <c r="Q41" s="4803"/>
      <c r="R41" s="3373" t="str">
        <f t="shared" si="8"/>
        <v/>
      </c>
      <c r="AW41" s="417"/>
      <c r="AX41" s="417"/>
      <c r="AY41" s="417"/>
      <c r="AZ41" s="417"/>
      <c r="BA41" s="417"/>
      <c r="BB41" s="417"/>
      <c r="BC41" s="417"/>
      <c r="BD41" s="417"/>
      <c r="BE41" s="417"/>
      <c r="BF41" s="417"/>
      <c r="BG41" s="417"/>
      <c r="BH41" s="417"/>
      <c r="BI41" s="417"/>
      <c r="BJ41" s="417"/>
      <c r="BK41" s="417"/>
      <c r="BL41" s="417"/>
      <c r="BM41" s="417"/>
      <c r="BN41" s="417"/>
      <c r="BO41" s="417"/>
      <c r="BP41" s="417"/>
      <c r="BQ41" s="417"/>
      <c r="BR41" s="417"/>
      <c r="BS41" s="417"/>
      <c r="BT41" s="417"/>
      <c r="BU41" s="417"/>
      <c r="BV41" s="417"/>
      <c r="BW41" s="417"/>
      <c r="BX41" s="417"/>
      <c r="BY41" s="417"/>
      <c r="BZ41" s="417"/>
      <c r="CA41" s="418" t="str">
        <f t="shared" si="10"/>
        <v/>
      </c>
      <c r="CB41" s="418" t="str">
        <f t="shared" si="11"/>
        <v/>
      </c>
      <c r="CC41" s="417"/>
      <c r="CD41" s="417"/>
      <c r="CE41" s="419">
        <f t="shared" si="12"/>
        <v>0</v>
      </c>
      <c r="CF41" s="419">
        <f t="shared" si="12"/>
        <v>0</v>
      </c>
    </row>
    <row r="42" spans="1:84">
      <c r="A42" s="6129"/>
      <c r="B42" s="2089" t="s">
        <v>3707</v>
      </c>
      <c r="C42" s="1883">
        <f t="shared" si="7"/>
        <v>0</v>
      </c>
      <c r="D42" s="4848"/>
      <c r="E42" s="4849"/>
      <c r="F42" s="4849"/>
      <c r="G42" s="4849"/>
      <c r="H42" s="4849"/>
      <c r="I42" s="4849"/>
      <c r="J42" s="4849"/>
      <c r="K42" s="4849"/>
      <c r="L42" s="4850"/>
      <c r="M42" s="4851"/>
      <c r="N42" s="4852"/>
      <c r="O42" s="4853"/>
      <c r="P42" s="4839"/>
      <c r="Q42" s="4840"/>
      <c r="R42" s="3373" t="str">
        <f t="shared" si="8"/>
        <v/>
      </c>
      <c r="AW42" s="417"/>
      <c r="AX42" s="417"/>
      <c r="AY42" s="417"/>
      <c r="AZ42" s="417"/>
      <c r="BA42" s="417"/>
      <c r="BB42" s="417"/>
      <c r="BC42" s="417"/>
      <c r="BD42" s="417"/>
      <c r="BE42" s="417"/>
      <c r="BF42" s="417"/>
      <c r="BG42" s="417"/>
      <c r="BH42" s="417"/>
      <c r="BI42" s="417"/>
      <c r="BJ42" s="417"/>
      <c r="BK42" s="417"/>
      <c r="BL42" s="417"/>
      <c r="BM42" s="417"/>
      <c r="BN42" s="417"/>
      <c r="BO42" s="417"/>
      <c r="BP42" s="417"/>
      <c r="BQ42" s="417"/>
      <c r="BR42" s="417"/>
      <c r="BS42" s="417"/>
      <c r="BT42" s="417"/>
      <c r="BU42" s="417"/>
      <c r="BV42" s="417"/>
      <c r="BW42" s="417"/>
      <c r="BX42" s="417"/>
      <c r="BY42" s="417"/>
      <c r="BZ42" s="417"/>
      <c r="CA42" s="418" t="str">
        <f t="shared" si="10"/>
        <v/>
      </c>
      <c r="CB42" s="418" t="str">
        <f t="shared" si="11"/>
        <v/>
      </c>
      <c r="CC42" s="417"/>
      <c r="CD42" s="417"/>
      <c r="CE42" s="419">
        <f t="shared" si="12"/>
        <v>0</v>
      </c>
      <c r="CF42" s="419">
        <f t="shared" si="12"/>
        <v>0</v>
      </c>
    </row>
    <row r="43" spans="1:84">
      <c r="A43" s="6127" t="s">
        <v>3708</v>
      </c>
      <c r="B43" s="4854" t="s">
        <v>3008</v>
      </c>
      <c r="C43" s="4810">
        <f t="shared" si="7"/>
        <v>0</v>
      </c>
      <c r="D43" s="4855"/>
      <c r="E43" s="4841"/>
      <c r="F43" s="4841"/>
      <c r="G43" s="4841"/>
      <c r="H43" s="4841"/>
      <c r="I43" s="4841"/>
      <c r="J43" s="4841"/>
      <c r="K43" s="4841"/>
      <c r="L43" s="4842"/>
      <c r="M43" s="4843"/>
      <c r="N43" s="4844"/>
      <c r="O43" s="4845"/>
      <c r="P43" s="4846"/>
      <c r="Q43" s="4847"/>
      <c r="R43" s="3373" t="str">
        <f t="shared" si="8"/>
        <v/>
      </c>
      <c r="AW43" s="417"/>
      <c r="AX43" s="417"/>
      <c r="AY43" s="417"/>
      <c r="AZ43" s="417"/>
      <c r="BA43" s="417"/>
      <c r="BB43" s="417"/>
      <c r="BC43" s="417"/>
      <c r="BD43" s="417"/>
      <c r="BE43" s="417"/>
      <c r="BF43" s="417"/>
      <c r="BG43" s="417"/>
      <c r="BH43" s="417"/>
      <c r="BI43" s="417"/>
      <c r="BJ43" s="417"/>
      <c r="BK43" s="417"/>
      <c r="BL43" s="417"/>
      <c r="BM43" s="417"/>
      <c r="BN43" s="417"/>
      <c r="BO43" s="417"/>
      <c r="BP43" s="417"/>
      <c r="BQ43" s="417"/>
      <c r="BR43" s="417"/>
      <c r="BS43" s="417"/>
      <c r="BT43" s="417"/>
      <c r="BU43" s="417"/>
      <c r="BV43" s="417"/>
      <c r="BW43" s="417"/>
      <c r="BX43" s="417"/>
      <c r="BY43" s="417"/>
      <c r="BZ43" s="417"/>
      <c r="CA43" s="418" t="str">
        <f t="shared" si="10"/>
        <v/>
      </c>
      <c r="CB43" s="418" t="str">
        <f t="shared" si="11"/>
        <v/>
      </c>
      <c r="CC43" s="417"/>
      <c r="CD43" s="417"/>
      <c r="CE43" s="419">
        <f t="shared" si="12"/>
        <v>0</v>
      </c>
      <c r="CF43" s="419">
        <f t="shared" si="12"/>
        <v>0</v>
      </c>
    </row>
    <row r="44" spans="1:84">
      <c r="A44" s="6128"/>
      <c r="B44" s="1729" t="s">
        <v>3699</v>
      </c>
      <c r="C44" s="1691">
        <f t="shared" si="7"/>
        <v>0</v>
      </c>
      <c r="D44" s="4817"/>
      <c r="E44" s="4808"/>
      <c r="F44" s="4808"/>
      <c r="G44" s="4808"/>
      <c r="H44" s="4808"/>
      <c r="I44" s="4808"/>
      <c r="J44" s="4808"/>
      <c r="K44" s="4808"/>
      <c r="L44" s="4809"/>
      <c r="M44" s="4807"/>
      <c r="N44" s="4808"/>
      <c r="O44" s="4809"/>
      <c r="P44" s="4802"/>
      <c r="Q44" s="4803"/>
      <c r="R44" s="3373" t="str">
        <f t="shared" si="8"/>
        <v/>
      </c>
      <c r="AW44" s="417"/>
      <c r="AX44" s="417"/>
      <c r="AY44" s="417"/>
      <c r="AZ44" s="417"/>
      <c r="BA44" s="417"/>
      <c r="BB44" s="417"/>
      <c r="BC44" s="417"/>
      <c r="BD44" s="417"/>
      <c r="BE44" s="417"/>
      <c r="BF44" s="417"/>
      <c r="BG44" s="417"/>
      <c r="BH44" s="417"/>
      <c r="BI44" s="417"/>
      <c r="BJ44" s="417"/>
      <c r="BK44" s="417"/>
      <c r="BL44" s="417"/>
      <c r="BM44" s="417"/>
      <c r="BN44" s="417"/>
      <c r="BO44" s="417"/>
      <c r="BP44" s="417"/>
      <c r="BQ44" s="417"/>
      <c r="BR44" s="417"/>
      <c r="BS44" s="417"/>
      <c r="BT44" s="417"/>
      <c r="BU44" s="417"/>
      <c r="BV44" s="417"/>
      <c r="BW44" s="417"/>
      <c r="BX44" s="417"/>
      <c r="BY44" s="417"/>
      <c r="BZ44" s="417"/>
      <c r="CA44" s="418" t="str">
        <f t="shared" si="10"/>
        <v/>
      </c>
      <c r="CB44" s="418" t="str">
        <f t="shared" si="11"/>
        <v/>
      </c>
      <c r="CC44" s="417"/>
      <c r="CD44" s="417"/>
      <c r="CE44" s="419">
        <f t="shared" si="12"/>
        <v>0</v>
      </c>
      <c r="CF44" s="419">
        <f t="shared" si="12"/>
        <v>0</v>
      </c>
    </row>
    <row r="45" spans="1:84">
      <c r="A45" s="6129"/>
      <c r="B45" s="1506" t="s">
        <v>3709</v>
      </c>
      <c r="C45" s="1973">
        <f t="shared" si="7"/>
        <v>0</v>
      </c>
      <c r="D45" s="4848"/>
      <c r="E45" s="4849"/>
      <c r="F45" s="4849"/>
      <c r="G45" s="4849"/>
      <c r="H45" s="4849"/>
      <c r="I45" s="4849"/>
      <c r="J45" s="4849"/>
      <c r="K45" s="4849"/>
      <c r="L45" s="4850"/>
      <c r="M45" s="4851"/>
      <c r="N45" s="4852"/>
      <c r="O45" s="4853"/>
      <c r="P45" s="4839"/>
      <c r="Q45" s="4840"/>
      <c r="R45" s="3373" t="str">
        <f t="shared" si="8"/>
        <v/>
      </c>
      <c r="AW45" s="417"/>
      <c r="AX45" s="417"/>
      <c r="AY45" s="417"/>
      <c r="AZ45" s="417"/>
      <c r="BA45" s="417"/>
      <c r="BB45" s="417"/>
      <c r="BC45" s="417"/>
      <c r="BD45" s="417"/>
      <c r="BE45" s="417"/>
      <c r="BF45" s="417"/>
      <c r="BG45" s="417"/>
      <c r="BH45" s="417"/>
      <c r="BI45" s="417"/>
      <c r="BJ45" s="417"/>
      <c r="BK45" s="417"/>
      <c r="BL45" s="417"/>
      <c r="BM45" s="417"/>
      <c r="BN45" s="417"/>
      <c r="BO45" s="417"/>
      <c r="BP45" s="417"/>
      <c r="BQ45" s="417"/>
      <c r="BR45" s="417"/>
      <c r="BS45" s="417"/>
      <c r="BT45" s="417"/>
      <c r="BU45" s="417"/>
      <c r="BV45" s="417"/>
      <c r="BW45" s="417"/>
      <c r="BX45" s="417"/>
      <c r="BY45" s="417"/>
      <c r="BZ45" s="417"/>
      <c r="CA45" s="418" t="str">
        <f t="shared" si="10"/>
        <v/>
      </c>
      <c r="CB45" s="418" t="str">
        <f t="shared" si="11"/>
        <v/>
      </c>
      <c r="CC45" s="417"/>
      <c r="CD45" s="417"/>
      <c r="CE45" s="419">
        <f t="shared" si="12"/>
        <v>0</v>
      </c>
      <c r="CF45" s="419">
        <f t="shared" si="12"/>
        <v>0</v>
      </c>
    </row>
    <row r="46" spans="1:84">
      <c r="A46" s="6127" t="s">
        <v>3710</v>
      </c>
      <c r="B46" s="4854" t="s">
        <v>3008</v>
      </c>
      <c r="C46" s="1862">
        <f t="shared" si="7"/>
        <v>0</v>
      </c>
      <c r="D46" s="4855"/>
      <c r="E46" s="4841"/>
      <c r="F46" s="4841"/>
      <c r="G46" s="4841"/>
      <c r="H46" s="4841"/>
      <c r="I46" s="4841"/>
      <c r="J46" s="4841"/>
      <c r="K46" s="4841"/>
      <c r="L46" s="4842"/>
      <c r="M46" s="4843"/>
      <c r="N46" s="4844"/>
      <c r="O46" s="4845"/>
      <c r="P46" s="4846"/>
      <c r="Q46" s="4847"/>
      <c r="R46" s="3373" t="str">
        <f t="shared" si="8"/>
        <v/>
      </c>
      <c r="AW46" s="417"/>
      <c r="AX46" s="417"/>
      <c r="AY46" s="417"/>
      <c r="AZ46" s="417"/>
      <c r="BA46" s="417"/>
      <c r="BB46" s="417"/>
      <c r="BC46" s="417"/>
      <c r="BD46" s="417"/>
      <c r="BE46" s="417"/>
      <c r="BF46" s="417"/>
      <c r="BG46" s="417"/>
      <c r="BH46" s="417"/>
      <c r="BI46" s="417"/>
      <c r="BJ46" s="417"/>
      <c r="BK46" s="417"/>
      <c r="BL46" s="417"/>
      <c r="BM46" s="417"/>
      <c r="BN46" s="417"/>
      <c r="BO46" s="417"/>
      <c r="BP46" s="417"/>
      <c r="BQ46" s="417"/>
      <c r="BR46" s="417"/>
      <c r="BS46" s="417"/>
      <c r="BT46" s="417"/>
      <c r="BU46" s="417"/>
      <c r="BV46" s="417"/>
      <c r="BW46" s="417"/>
      <c r="BX46" s="417"/>
      <c r="BY46" s="417"/>
      <c r="BZ46" s="417"/>
      <c r="CA46" s="418" t="str">
        <f t="shared" si="10"/>
        <v/>
      </c>
      <c r="CB46" s="418" t="str">
        <f t="shared" si="11"/>
        <v/>
      </c>
      <c r="CC46" s="417"/>
      <c r="CD46" s="417"/>
      <c r="CE46" s="419">
        <f t="shared" si="12"/>
        <v>0</v>
      </c>
      <c r="CF46" s="419">
        <f t="shared" si="12"/>
        <v>0</v>
      </c>
    </row>
    <row r="47" spans="1:84">
      <c r="A47" s="6128"/>
      <c r="B47" s="1512" t="s">
        <v>3699</v>
      </c>
      <c r="C47" s="1691">
        <f t="shared" si="7"/>
        <v>0</v>
      </c>
      <c r="D47" s="4817"/>
      <c r="E47" s="4808"/>
      <c r="F47" s="4808"/>
      <c r="G47" s="4808"/>
      <c r="H47" s="4808"/>
      <c r="I47" s="4808"/>
      <c r="J47" s="4808"/>
      <c r="K47" s="4808"/>
      <c r="L47" s="4809"/>
      <c r="M47" s="4807"/>
      <c r="N47" s="4808"/>
      <c r="O47" s="4809"/>
      <c r="P47" s="4802"/>
      <c r="Q47" s="4803"/>
      <c r="R47" s="3373" t="str">
        <f t="shared" si="8"/>
        <v/>
      </c>
      <c r="AW47" s="417"/>
      <c r="AX47" s="417"/>
      <c r="AY47" s="417"/>
      <c r="AZ47" s="417"/>
      <c r="BA47" s="417"/>
      <c r="BB47" s="417"/>
      <c r="BC47" s="417"/>
      <c r="BD47" s="417"/>
      <c r="BE47" s="417"/>
      <c r="BF47" s="417"/>
      <c r="BG47" s="417"/>
      <c r="BH47" s="417"/>
      <c r="BI47" s="417"/>
      <c r="BJ47" s="417"/>
      <c r="BK47" s="417"/>
      <c r="BL47" s="417"/>
      <c r="BM47" s="417"/>
      <c r="BN47" s="417"/>
      <c r="BO47" s="417"/>
      <c r="BP47" s="417"/>
      <c r="BQ47" s="417"/>
      <c r="BR47" s="417"/>
      <c r="BS47" s="417"/>
      <c r="BT47" s="417"/>
      <c r="BU47" s="417"/>
      <c r="BV47" s="417"/>
      <c r="BW47" s="417"/>
      <c r="BX47" s="417"/>
      <c r="BY47" s="417"/>
      <c r="BZ47" s="417"/>
      <c r="CA47" s="418" t="str">
        <f t="shared" si="10"/>
        <v/>
      </c>
      <c r="CB47" s="418" t="str">
        <f t="shared" si="11"/>
        <v/>
      </c>
      <c r="CC47" s="417"/>
      <c r="CD47" s="417"/>
      <c r="CE47" s="419">
        <f t="shared" si="12"/>
        <v>0</v>
      </c>
      <c r="CF47" s="419">
        <f t="shared" si="12"/>
        <v>0</v>
      </c>
    </row>
    <row r="48" spans="1:84" ht="21" customHeight="1">
      <c r="A48" s="6129"/>
      <c r="B48" s="2089" t="s">
        <v>3711</v>
      </c>
      <c r="C48" s="3686">
        <f t="shared" si="7"/>
        <v>0</v>
      </c>
      <c r="D48" s="4856"/>
      <c r="E48" s="4834"/>
      <c r="F48" s="4834"/>
      <c r="G48" s="4834"/>
      <c r="H48" s="4834"/>
      <c r="I48" s="4834"/>
      <c r="J48" s="4834"/>
      <c r="K48" s="4834"/>
      <c r="L48" s="4835"/>
      <c r="M48" s="4836"/>
      <c r="N48" s="4837"/>
      <c r="O48" s="4838"/>
      <c r="P48" s="4839"/>
      <c r="Q48" s="4840"/>
      <c r="R48" s="3373" t="str">
        <f t="shared" si="8"/>
        <v/>
      </c>
      <c r="AW48" s="417"/>
      <c r="AX48" s="417"/>
      <c r="AY48" s="417"/>
      <c r="AZ48" s="417"/>
      <c r="BA48" s="417"/>
      <c r="BB48" s="417"/>
      <c r="BC48" s="417"/>
      <c r="BD48" s="417"/>
      <c r="BE48" s="417"/>
      <c r="BF48" s="417"/>
      <c r="BG48" s="417"/>
      <c r="BH48" s="417"/>
      <c r="BI48" s="417"/>
      <c r="BJ48" s="417"/>
      <c r="BK48" s="417"/>
      <c r="BL48" s="417"/>
      <c r="BM48" s="417"/>
      <c r="BN48" s="417"/>
      <c r="BO48" s="417"/>
      <c r="BP48" s="417"/>
      <c r="BQ48" s="417"/>
      <c r="BR48" s="417"/>
      <c r="BS48" s="417"/>
      <c r="BT48" s="417"/>
      <c r="BU48" s="417"/>
      <c r="BV48" s="417"/>
      <c r="BW48" s="417"/>
      <c r="BX48" s="417"/>
      <c r="BY48" s="417"/>
      <c r="BZ48" s="417"/>
      <c r="CA48" s="418" t="str">
        <f t="shared" si="10"/>
        <v/>
      </c>
      <c r="CB48" s="418" t="str">
        <f t="shared" si="11"/>
        <v/>
      </c>
      <c r="CC48" s="417"/>
      <c r="CD48" s="417"/>
      <c r="CE48" s="419">
        <f t="shared" si="12"/>
        <v>0</v>
      </c>
      <c r="CF48" s="419">
        <f t="shared" si="12"/>
        <v>0</v>
      </c>
    </row>
    <row r="49" spans="1:84">
      <c r="A49" s="6127" t="s">
        <v>3712</v>
      </c>
      <c r="B49" s="4854" t="s">
        <v>3008</v>
      </c>
      <c r="C49" s="1862">
        <f t="shared" si="7"/>
        <v>0</v>
      </c>
      <c r="D49" s="4857"/>
      <c r="E49" s="4858"/>
      <c r="F49" s="4858"/>
      <c r="G49" s="4858"/>
      <c r="H49" s="4858"/>
      <c r="I49" s="4858"/>
      <c r="J49" s="4858"/>
      <c r="K49" s="4858"/>
      <c r="L49" s="4859"/>
      <c r="M49" s="4860"/>
      <c r="N49" s="4861"/>
      <c r="O49" s="4862"/>
      <c r="P49" s="4846"/>
      <c r="Q49" s="4847"/>
      <c r="R49" s="3373" t="str">
        <f t="shared" si="8"/>
        <v/>
      </c>
      <c r="AW49" s="417"/>
      <c r="AX49" s="417"/>
      <c r="AY49" s="417"/>
      <c r="AZ49" s="417"/>
      <c r="BA49" s="417"/>
      <c r="BB49" s="417"/>
      <c r="BC49" s="417"/>
      <c r="BD49" s="417"/>
      <c r="BE49" s="417"/>
      <c r="BF49" s="417"/>
      <c r="BG49" s="417"/>
      <c r="BH49" s="417"/>
      <c r="BI49" s="417"/>
      <c r="BJ49" s="417"/>
      <c r="BK49" s="417"/>
      <c r="BL49" s="417"/>
      <c r="BM49" s="417"/>
      <c r="BN49" s="417"/>
      <c r="BO49" s="417"/>
      <c r="BP49" s="417"/>
      <c r="BQ49" s="417"/>
      <c r="BR49" s="417"/>
      <c r="BS49" s="417"/>
      <c r="BT49" s="417"/>
      <c r="BU49" s="417"/>
      <c r="BV49" s="417"/>
      <c r="BW49" s="417"/>
      <c r="BX49" s="417"/>
      <c r="BY49" s="417"/>
      <c r="BZ49" s="417"/>
      <c r="CA49" s="418" t="str">
        <f t="shared" si="10"/>
        <v/>
      </c>
      <c r="CB49" s="418" t="str">
        <f t="shared" si="11"/>
        <v/>
      </c>
      <c r="CC49" s="417"/>
      <c r="CD49" s="417"/>
      <c r="CE49" s="419">
        <f t="shared" si="12"/>
        <v>0</v>
      </c>
      <c r="CF49" s="419">
        <f t="shared" si="12"/>
        <v>0</v>
      </c>
    </row>
    <row r="50" spans="1:84">
      <c r="A50" s="6128"/>
      <c r="B50" s="1729" t="s">
        <v>3699</v>
      </c>
      <c r="C50" s="4810">
        <f t="shared" si="7"/>
        <v>0</v>
      </c>
      <c r="D50" s="4827"/>
      <c r="E50" s="4828"/>
      <c r="F50" s="4828"/>
      <c r="G50" s="4828"/>
      <c r="H50" s="4828"/>
      <c r="I50" s="4828"/>
      <c r="J50" s="4828"/>
      <c r="K50" s="4828"/>
      <c r="L50" s="4829"/>
      <c r="M50" s="4863"/>
      <c r="N50" s="4828"/>
      <c r="O50" s="4829"/>
      <c r="P50" s="4802"/>
      <c r="Q50" s="4803"/>
      <c r="R50" s="3373" t="str">
        <f t="shared" si="8"/>
        <v/>
      </c>
      <c r="AW50" s="417"/>
      <c r="AX50" s="417"/>
      <c r="AY50" s="417"/>
      <c r="AZ50" s="417"/>
      <c r="BA50" s="417"/>
      <c r="BB50" s="417"/>
      <c r="BC50" s="417"/>
      <c r="BD50" s="417"/>
      <c r="BE50" s="417"/>
      <c r="BF50" s="417"/>
      <c r="BG50" s="417"/>
      <c r="BH50" s="417"/>
      <c r="BI50" s="417"/>
      <c r="BJ50" s="417"/>
      <c r="BK50" s="417"/>
      <c r="BL50" s="417"/>
      <c r="BM50" s="417"/>
      <c r="BN50" s="417"/>
      <c r="BO50" s="417"/>
      <c r="BP50" s="417"/>
      <c r="BQ50" s="417"/>
      <c r="BR50" s="417"/>
      <c r="BS50" s="417"/>
      <c r="BT50" s="417"/>
      <c r="BU50" s="417"/>
      <c r="BV50" s="417"/>
      <c r="BW50" s="417"/>
      <c r="BX50" s="417"/>
      <c r="BY50" s="417"/>
      <c r="BZ50" s="417"/>
      <c r="CA50" s="418" t="str">
        <f t="shared" si="10"/>
        <v/>
      </c>
      <c r="CB50" s="418" t="str">
        <f t="shared" si="11"/>
        <v/>
      </c>
      <c r="CC50" s="417"/>
      <c r="CD50" s="417"/>
      <c r="CE50" s="419">
        <f t="shared" si="12"/>
        <v>0</v>
      </c>
      <c r="CF50" s="419">
        <f t="shared" si="12"/>
        <v>0</v>
      </c>
    </row>
    <row r="51" spans="1:84">
      <c r="A51" s="6128"/>
      <c r="B51" s="1512" t="s">
        <v>3713</v>
      </c>
      <c r="C51" s="1691">
        <f t="shared" si="7"/>
        <v>0</v>
      </c>
      <c r="D51" s="4817"/>
      <c r="E51" s="4808"/>
      <c r="F51" s="4808"/>
      <c r="G51" s="4808"/>
      <c r="H51" s="4808"/>
      <c r="I51" s="4808"/>
      <c r="J51" s="4808"/>
      <c r="K51" s="4808"/>
      <c r="L51" s="4809"/>
      <c r="M51" s="4818"/>
      <c r="N51" s="4819"/>
      <c r="O51" s="4820"/>
      <c r="P51" s="4802"/>
      <c r="Q51" s="4803"/>
      <c r="R51" s="3373" t="str">
        <f t="shared" si="8"/>
        <v/>
      </c>
      <c r="AW51" s="417"/>
      <c r="AX51" s="417"/>
      <c r="AY51" s="417"/>
      <c r="AZ51" s="417"/>
      <c r="BA51" s="417"/>
      <c r="BB51" s="417"/>
      <c r="BC51" s="417"/>
      <c r="BD51" s="417"/>
      <c r="BE51" s="417"/>
      <c r="BF51" s="417"/>
      <c r="BG51" s="417"/>
      <c r="BH51" s="417"/>
      <c r="BI51" s="417"/>
      <c r="BJ51" s="417"/>
      <c r="BK51" s="417"/>
      <c r="BL51" s="417"/>
      <c r="BM51" s="417"/>
      <c r="BN51" s="417"/>
      <c r="BO51" s="417"/>
      <c r="BP51" s="417"/>
      <c r="BQ51" s="417"/>
      <c r="BR51" s="417"/>
      <c r="BS51" s="417"/>
      <c r="BT51" s="417"/>
      <c r="BU51" s="417"/>
      <c r="BV51" s="417"/>
      <c r="BW51" s="417"/>
      <c r="BX51" s="417"/>
      <c r="BY51" s="417"/>
      <c r="BZ51" s="417"/>
      <c r="CA51" s="418" t="str">
        <f t="shared" si="10"/>
        <v/>
      </c>
      <c r="CB51" s="418" t="str">
        <f t="shared" si="11"/>
        <v/>
      </c>
      <c r="CC51" s="417"/>
      <c r="CD51" s="417"/>
      <c r="CE51" s="419">
        <f t="shared" si="12"/>
        <v>0</v>
      </c>
      <c r="CF51" s="419">
        <f t="shared" si="12"/>
        <v>0</v>
      </c>
    </row>
    <row r="52" spans="1:84">
      <c r="A52" s="6128"/>
      <c r="B52" s="2057" t="s">
        <v>3707</v>
      </c>
      <c r="C52" s="1691">
        <f t="shared" si="7"/>
        <v>0</v>
      </c>
      <c r="D52" s="4817"/>
      <c r="E52" s="4808"/>
      <c r="F52" s="4808"/>
      <c r="G52" s="4808"/>
      <c r="H52" s="4808"/>
      <c r="I52" s="4808"/>
      <c r="J52" s="4808"/>
      <c r="K52" s="4808"/>
      <c r="L52" s="4809"/>
      <c r="M52" s="4818"/>
      <c r="N52" s="4819"/>
      <c r="O52" s="4820"/>
      <c r="P52" s="4802"/>
      <c r="Q52" s="4803"/>
      <c r="R52" s="3373" t="str">
        <f t="shared" si="8"/>
        <v/>
      </c>
      <c r="AW52" s="417"/>
      <c r="AX52" s="417"/>
      <c r="AY52" s="417"/>
      <c r="AZ52" s="417"/>
      <c r="BA52" s="417"/>
      <c r="BB52" s="417"/>
      <c r="BC52" s="417"/>
      <c r="BD52" s="417"/>
      <c r="BE52" s="417"/>
      <c r="BF52" s="417"/>
      <c r="BG52" s="417"/>
      <c r="BH52" s="417"/>
      <c r="BI52" s="417"/>
      <c r="BJ52" s="417"/>
      <c r="BK52" s="417"/>
      <c r="BL52" s="417"/>
      <c r="BM52" s="417"/>
      <c r="BN52" s="417"/>
      <c r="BO52" s="417"/>
      <c r="BP52" s="417"/>
      <c r="BQ52" s="417"/>
      <c r="BR52" s="417"/>
      <c r="BS52" s="417"/>
      <c r="BT52" s="417"/>
      <c r="BU52" s="417"/>
      <c r="BV52" s="417"/>
      <c r="BW52" s="417"/>
      <c r="BX52" s="417"/>
      <c r="BY52" s="417"/>
      <c r="BZ52" s="417"/>
      <c r="CA52" s="418" t="str">
        <f t="shared" si="10"/>
        <v/>
      </c>
      <c r="CB52" s="418" t="str">
        <f t="shared" si="11"/>
        <v/>
      </c>
      <c r="CC52" s="417"/>
      <c r="CD52" s="417"/>
      <c r="CE52" s="419">
        <f t="shared" si="12"/>
        <v>0</v>
      </c>
      <c r="CF52" s="419">
        <f t="shared" si="12"/>
        <v>0</v>
      </c>
    </row>
    <row r="53" spans="1:84">
      <c r="A53" s="6128"/>
      <c r="B53" s="1512" t="s">
        <v>3714</v>
      </c>
      <c r="C53" s="4810">
        <f t="shared" si="7"/>
        <v>0</v>
      </c>
      <c r="D53" s="4811"/>
      <c r="E53" s="4812"/>
      <c r="F53" s="4812"/>
      <c r="G53" s="4812"/>
      <c r="H53" s="4812"/>
      <c r="I53" s="4812"/>
      <c r="J53" s="4812"/>
      <c r="K53" s="4812"/>
      <c r="L53" s="4813"/>
      <c r="M53" s="4814"/>
      <c r="N53" s="4815"/>
      <c r="O53" s="4816"/>
      <c r="P53" s="4802"/>
      <c r="Q53" s="4803"/>
      <c r="R53" s="3373" t="str">
        <f t="shared" si="8"/>
        <v/>
      </c>
      <c r="AW53" s="417"/>
      <c r="AX53" s="417"/>
      <c r="AY53" s="417"/>
      <c r="AZ53" s="417"/>
      <c r="BA53" s="417"/>
      <c r="BB53" s="417"/>
      <c r="BC53" s="417"/>
      <c r="BD53" s="417"/>
      <c r="BE53" s="417"/>
      <c r="BF53" s="417"/>
      <c r="BG53" s="417"/>
      <c r="BH53" s="417"/>
      <c r="BI53" s="417"/>
      <c r="BJ53" s="417"/>
      <c r="BK53" s="417"/>
      <c r="BL53" s="417"/>
      <c r="BM53" s="417"/>
      <c r="BN53" s="417"/>
      <c r="BO53" s="417"/>
      <c r="BP53" s="417"/>
      <c r="BQ53" s="417"/>
      <c r="BR53" s="417"/>
      <c r="BS53" s="417"/>
      <c r="BT53" s="417"/>
      <c r="BU53" s="417"/>
      <c r="BV53" s="417"/>
      <c r="BW53" s="417"/>
      <c r="BX53" s="417"/>
      <c r="BY53" s="417"/>
      <c r="BZ53" s="417"/>
      <c r="CA53" s="418" t="str">
        <f t="shared" si="10"/>
        <v/>
      </c>
      <c r="CB53" s="418" t="str">
        <f t="shared" si="11"/>
        <v/>
      </c>
      <c r="CC53" s="417"/>
      <c r="CD53" s="417"/>
      <c r="CE53" s="419">
        <f t="shared" si="12"/>
        <v>0</v>
      </c>
      <c r="CF53" s="419">
        <f t="shared" si="12"/>
        <v>0</v>
      </c>
    </row>
    <row r="54" spans="1:84">
      <c r="A54" s="6129"/>
      <c r="B54" s="1973" t="s">
        <v>3715</v>
      </c>
      <c r="C54" s="1883">
        <f t="shared" si="7"/>
        <v>0</v>
      </c>
      <c r="D54" s="4848"/>
      <c r="E54" s="4849"/>
      <c r="F54" s="4849"/>
      <c r="G54" s="4849"/>
      <c r="H54" s="4849"/>
      <c r="I54" s="4849"/>
      <c r="J54" s="4849"/>
      <c r="K54" s="4849"/>
      <c r="L54" s="4850"/>
      <c r="M54" s="4851"/>
      <c r="N54" s="4852"/>
      <c r="O54" s="4853"/>
      <c r="P54" s="4839"/>
      <c r="Q54" s="4840"/>
      <c r="R54" s="3373" t="str">
        <f t="shared" si="8"/>
        <v/>
      </c>
      <c r="AW54" s="417"/>
      <c r="AX54" s="417"/>
      <c r="AY54" s="417"/>
      <c r="AZ54" s="417"/>
      <c r="BA54" s="417"/>
      <c r="BB54" s="417"/>
      <c r="BC54" s="417"/>
      <c r="BD54" s="417"/>
      <c r="BE54" s="417"/>
      <c r="BF54" s="417"/>
      <c r="BG54" s="417"/>
      <c r="BH54" s="417"/>
      <c r="BI54" s="417"/>
      <c r="BJ54" s="417"/>
      <c r="BK54" s="417"/>
      <c r="BL54" s="417"/>
      <c r="BM54" s="417"/>
      <c r="BN54" s="417"/>
      <c r="BO54" s="417"/>
      <c r="BP54" s="417"/>
      <c r="BQ54" s="417"/>
      <c r="BR54" s="417"/>
      <c r="BS54" s="417"/>
      <c r="BT54" s="417"/>
      <c r="BU54" s="417"/>
      <c r="BV54" s="417"/>
      <c r="BW54" s="417"/>
      <c r="BX54" s="417"/>
      <c r="BY54" s="417"/>
      <c r="BZ54" s="417"/>
      <c r="CA54" s="418" t="str">
        <f t="shared" si="10"/>
        <v/>
      </c>
      <c r="CB54" s="418" t="str">
        <f t="shared" si="11"/>
        <v/>
      </c>
      <c r="CC54" s="417"/>
      <c r="CD54" s="417"/>
      <c r="CE54" s="419">
        <f t="shared" si="12"/>
        <v>0</v>
      </c>
      <c r="CF54" s="419">
        <f t="shared" si="12"/>
        <v>0</v>
      </c>
    </row>
    <row r="55" spans="1:84">
      <c r="A55" s="6127" t="s">
        <v>3716</v>
      </c>
      <c r="B55" s="1403" t="s">
        <v>3008</v>
      </c>
      <c r="C55" s="1862">
        <f t="shared" si="7"/>
        <v>0</v>
      </c>
      <c r="D55" s="4855"/>
      <c r="E55" s="4841"/>
      <c r="F55" s="4841"/>
      <c r="G55" s="4841"/>
      <c r="H55" s="4841"/>
      <c r="I55" s="4841"/>
      <c r="J55" s="4841"/>
      <c r="K55" s="4841"/>
      <c r="L55" s="4842"/>
      <c r="M55" s="4843"/>
      <c r="N55" s="4844"/>
      <c r="O55" s="4845"/>
      <c r="P55" s="4846"/>
      <c r="Q55" s="4847"/>
      <c r="R55" s="3373" t="str">
        <f t="shared" si="8"/>
        <v/>
      </c>
      <c r="AW55" s="417"/>
      <c r="AX55" s="417"/>
      <c r="AY55" s="417"/>
      <c r="AZ55" s="417"/>
      <c r="BA55" s="417"/>
      <c r="BB55" s="417"/>
      <c r="BC55" s="417"/>
      <c r="BD55" s="417"/>
      <c r="BE55" s="417"/>
      <c r="BF55" s="417"/>
      <c r="BG55" s="417"/>
      <c r="BH55" s="417"/>
      <c r="BI55" s="417"/>
      <c r="BJ55" s="417"/>
      <c r="BK55" s="417"/>
      <c r="BL55" s="417"/>
      <c r="BM55" s="417"/>
      <c r="BN55" s="417"/>
      <c r="BO55" s="417"/>
      <c r="BP55" s="417"/>
      <c r="BQ55" s="417"/>
      <c r="BR55" s="417"/>
      <c r="BS55" s="417"/>
      <c r="BT55" s="417"/>
      <c r="BU55" s="417"/>
      <c r="BV55" s="417"/>
      <c r="BW55" s="417"/>
      <c r="BX55" s="417"/>
      <c r="BY55" s="417"/>
      <c r="BZ55" s="417"/>
      <c r="CA55" s="418" t="str">
        <f t="shared" si="10"/>
        <v/>
      </c>
      <c r="CB55" s="418" t="str">
        <f t="shared" si="11"/>
        <v/>
      </c>
      <c r="CC55" s="417"/>
      <c r="CD55" s="417"/>
      <c r="CE55" s="419">
        <f t="shared" si="12"/>
        <v>0</v>
      </c>
      <c r="CF55" s="419">
        <f t="shared" si="12"/>
        <v>0</v>
      </c>
    </row>
    <row r="56" spans="1:84">
      <c r="A56" s="6128"/>
      <c r="B56" s="1729" t="s">
        <v>3717</v>
      </c>
      <c r="C56" s="1691">
        <f t="shared" si="7"/>
        <v>0</v>
      </c>
      <c r="D56" s="4817"/>
      <c r="E56" s="4808"/>
      <c r="F56" s="4808"/>
      <c r="G56" s="4808"/>
      <c r="H56" s="4808"/>
      <c r="I56" s="4808"/>
      <c r="J56" s="4808"/>
      <c r="K56" s="4808"/>
      <c r="L56" s="4809"/>
      <c r="M56" s="4807"/>
      <c r="N56" s="4808"/>
      <c r="O56" s="4809"/>
      <c r="P56" s="4802"/>
      <c r="Q56" s="4803"/>
      <c r="R56" s="3373" t="str">
        <f t="shared" si="8"/>
        <v/>
      </c>
      <c r="AW56" s="417"/>
      <c r="AX56" s="417"/>
      <c r="AY56" s="417"/>
      <c r="AZ56" s="417"/>
      <c r="BA56" s="417"/>
      <c r="BB56" s="417"/>
      <c r="BC56" s="417"/>
      <c r="BD56" s="417"/>
      <c r="BE56" s="417"/>
      <c r="BF56" s="417"/>
      <c r="BG56" s="417"/>
      <c r="BH56" s="417"/>
      <c r="BI56" s="417"/>
      <c r="BJ56" s="417"/>
      <c r="BK56" s="417"/>
      <c r="BL56" s="417"/>
      <c r="BM56" s="417"/>
      <c r="BN56" s="417"/>
      <c r="BO56" s="417"/>
      <c r="BP56" s="417"/>
      <c r="BQ56" s="417"/>
      <c r="BR56" s="417"/>
      <c r="BS56" s="417"/>
      <c r="BT56" s="417"/>
      <c r="BU56" s="417"/>
      <c r="BV56" s="417"/>
      <c r="BW56" s="417"/>
      <c r="BX56" s="417"/>
      <c r="BY56" s="417"/>
      <c r="BZ56" s="417"/>
      <c r="CA56" s="418" t="str">
        <f t="shared" si="10"/>
        <v/>
      </c>
      <c r="CB56" s="418" t="str">
        <f t="shared" si="11"/>
        <v/>
      </c>
      <c r="CC56" s="417"/>
      <c r="CD56" s="417"/>
      <c r="CE56" s="419">
        <f t="shared" si="12"/>
        <v>0</v>
      </c>
      <c r="CF56" s="419">
        <f t="shared" si="12"/>
        <v>0</v>
      </c>
    </row>
    <row r="57" spans="1:84" ht="24" customHeight="1">
      <c r="A57" s="6128"/>
      <c r="B57" s="2057" t="s">
        <v>3718</v>
      </c>
      <c r="C57" s="1691">
        <f t="shared" si="7"/>
        <v>0</v>
      </c>
      <c r="D57" s="4811"/>
      <c r="E57" s="4812"/>
      <c r="F57" s="4812"/>
      <c r="G57" s="4812"/>
      <c r="H57" s="4812"/>
      <c r="I57" s="4812"/>
      <c r="J57" s="4812"/>
      <c r="K57" s="4812"/>
      <c r="L57" s="4813"/>
      <c r="M57" s="4814"/>
      <c r="N57" s="4815"/>
      <c r="O57" s="4816"/>
      <c r="P57" s="4802"/>
      <c r="Q57" s="4803"/>
      <c r="R57" s="3373" t="str">
        <f t="shared" si="8"/>
        <v/>
      </c>
      <c r="AW57" s="417"/>
      <c r="AX57" s="417"/>
      <c r="AY57" s="417"/>
      <c r="AZ57" s="417"/>
      <c r="BA57" s="417"/>
      <c r="BB57" s="417"/>
      <c r="BC57" s="417"/>
      <c r="BD57" s="417"/>
      <c r="BE57" s="417"/>
      <c r="BF57" s="417"/>
      <c r="BG57" s="417"/>
      <c r="BH57" s="417"/>
      <c r="BI57" s="417"/>
      <c r="BJ57" s="417"/>
      <c r="BK57" s="417"/>
      <c r="BL57" s="417"/>
      <c r="BM57" s="417"/>
      <c r="BN57" s="417"/>
      <c r="BO57" s="417"/>
      <c r="BP57" s="417"/>
      <c r="BQ57" s="417"/>
      <c r="BR57" s="417"/>
      <c r="BS57" s="417"/>
      <c r="BT57" s="417"/>
      <c r="BU57" s="417"/>
      <c r="BV57" s="417"/>
      <c r="BW57" s="417"/>
      <c r="BX57" s="417"/>
      <c r="BY57" s="417"/>
      <c r="BZ57" s="417"/>
      <c r="CA57" s="418" t="str">
        <f t="shared" si="10"/>
        <v/>
      </c>
      <c r="CB57" s="418" t="str">
        <f t="shared" si="11"/>
        <v/>
      </c>
      <c r="CC57" s="417"/>
      <c r="CD57" s="417"/>
      <c r="CE57" s="419">
        <f t="shared" si="12"/>
        <v>0</v>
      </c>
      <c r="CF57" s="419">
        <f t="shared" si="12"/>
        <v>0</v>
      </c>
    </row>
    <row r="58" spans="1:84" ht="21.75" customHeight="1">
      <c r="A58" s="6129"/>
      <c r="B58" s="4748" t="s">
        <v>3719</v>
      </c>
      <c r="C58" s="1973">
        <f t="shared" si="7"/>
        <v>0</v>
      </c>
      <c r="D58" s="4856"/>
      <c r="E58" s="4834"/>
      <c r="F58" s="4834"/>
      <c r="G58" s="4834"/>
      <c r="H58" s="4834"/>
      <c r="I58" s="4834"/>
      <c r="J58" s="4834"/>
      <c r="K58" s="4834"/>
      <c r="L58" s="4835"/>
      <c r="M58" s="4836"/>
      <c r="N58" s="4837"/>
      <c r="O58" s="4838"/>
      <c r="P58" s="4839"/>
      <c r="Q58" s="4840"/>
      <c r="R58" s="3373" t="str">
        <f t="shared" si="8"/>
        <v/>
      </c>
      <c r="AW58" s="417"/>
      <c r="AX58" s="417"/>
      <c r="AY58" s="417"/>
      <c r="AZ58" s="417"/>
      <c r="BA58" s="417"/>
      <c r="BB58" s="417"/>
      <c r="BC58" s="417"/>
      <c r="BD58" s="417"/>
      <c r="BE58" s="417"/>
      <c r="BF58" s="417"/>
      <c r="BG58" s="417"/>
      <c r="BH58" s="417"/>
      <c r="BI58" s="417"/>
      <c r="BJ58" s="417"/>
      <c r="BK58" s="417"/>
      <c r="BL58" s="417"/>
      <c r="BM58" s="417"/>
      <c r="BN58" s="417"/>
      <c r="BO58" s="417"/>
      <c r="BP58" s="417"/>
      <c r="BQ58" s="417"/>
      <c r="BR58" s="417"/>
      <c r="BS58" s="417"/>
      <c r="BT58" s="417"/>
      <c r="BU58" s="417"/>
      <c r="BV58" s="417"/>
      <c r="BW58" s="417"/>
      <c r="BX58" s="417"/>
      <c r="BY58" s="417"/>
      <c r="BZ58" s="417"/>
      <c r="CA58" s="418" t="str">
        <f t="shared" si="10"/>
        <v/>
      </c>
      <c r="CB58" s="418" t="str">
        <f t="shared" si="11"/>
        <v/>
      </c>
      <c r="CC58" s="417"/>
      <c r="CD58" s="417"/>
      <c r="CE58" s="419">
        <f t="shared" si="12"/>
        <v>0</v>
      </c>
      <c r="CF58" s="419">
        <f t="shared" si="12"/>
        <v>0</v>
      </c>
    </row>
    <row r="59" spans="1:84">
      <c r="A59" s="6127" t="s">
        <v>3720</v>
      </c>
      <c r="B59" s="406" t="s">
        <v>3008</v>
      </c>
      <c r="C59" s="4864"/>
      <c r="D59" s="4865"/>
      <c r="E59" s="4866"/>
      <c r="F59" s="4866"/>
      <c r="G59" s="4866"/>
      <c r="H59" s="4866"/>
      <c r="I59" s="4866"/>
      <c r="J59" s="4866"/>
      <c r="K59" s="4866"/>
      <c r="L59" s="4867"/>
      <c r="M59" s="4868"/>
      <c r="N59" s="4866"/>
      <c r="O59" s="4867"/>
      <c r="P59" s="4846"/>
      <c r="Q59" s="4847"/>
      <c r="R59" s="3373" t="str">
        <f t="shared" si="8"/>
        <v/>
      </c>
      <c r="AW59" s="417"/>
      <c r="AX59" s="417"/>
      <c r="AY59" s="417"/>
      <c r="AZ59" s="417"/>
      <c r="BA59" s="417"/>
      <c r="BB59" s="417"/>
      <c r="BC59" s="417"/>
      <c r="BD59" s="417"/>
      <c r="BE59" s="417"/>
      <c r="BF59" s="417"/>
      <c r="BG59" s="417"/>
      <c r="BH59" s="417"/>
      <c r="BI59" s="417"/>
      <c r="BJ59" s="417"/>
      <c r="BK59" s="417"/>
      <c r="BL59" s="417"/>
      <c r="BM59" s="417"/>
      <c r="BN59" s="417"/>
      <c r="BO59" s="417"/>
      <c r="BP59" s="417"/>
      <c r="BQ59" s="417"/>
      <c r="BR59" s="417"/>
      <c r="BS59" s="417"/>
      <c r="BT59" s="417"/>
      <c r="BU59" s="417"/>
      <c r="BV59" s="417"/>
      <c r="BW59" s="417"/>
      <c r="BX59" s="417"/>
      <c r="BY59" s="417"/>
      <c r="BZ59" s="417"/>
      <c r="CA59" s="418" t="str">
        <f t="shared" si="10"/>
        <v/>
      </c>
      <c r="CB59" s="418" t="str">
        <f t="shared" si="11"/>
        <v/>
      </c>
      <c r="CC59" s="417"/>
      <c r="CD59" s="417"/>
      <c r="CE59" s="419">
        <f t="shared" si="12"/>
        <v>0</v>
      </c>
      <c r="CF59" s="419">
        <f t="shared" si="12"/>
        <v>0</v>
      </c>
    </row>
    <row r="60" spans="1:84">
      <c r="A60" s="6128"/>
      <c r="B60" s="406" t="s">
        <v>3717</v>
      </c>
      <c r="C60" s="406">
        <f t="shared" si="7"/>
        <v>0</v>
      </c>
      <c r="D60" s="4804">
        <f>SUM(D61:D62)</f>
        <v>0</v>
      </c>
      <c r="E60" s="4805">
        <f t="shared" ref="E60:L60" si="13">SUM(E61:E62)</f>
        <v>0</v>
      </c>
      <c r="F60" s="4805">
        <f t="shared" si="13"/>
        <v>0</v>
      </c>
      <c r="G60" s="4805">
        <f t="shared" si="13"/>
        <v>0</v>
      </c>
      <c r="H60" s="4805">
        <f t="shared" si="13"/>
        <v>0</v>
      </c>
      <c r="I60" s="4805">
        <f t="shared" si="13"/>
        <v>0</v>
      </c>
      <c r="J60" s="4805">
        <f t="shared" si="13"/>
        <v>0</v>
      </c>
      <c r="K60" s="4805">
        <f t="shared" si="13"/>
        <v>0</v>
      </c>
      <c r="L60" s="4806">
        <f t="shared" si="13"/>
        <v>0</v>
      </c>
      <c r="M60" s="4869"/>
      <c r="N60" s="4797"/>
      <c r="O60" s="4798"/>
      <c r="P60" s="4802"/>
      <c r="Q60" s="4803"/>
      <c r="R60" s="3373" t="str">
        <f t="shared" si="8"/>
        <v/>
      </c>
      <c r="AW60" s="417"/>
      <c r="AX60" s="417"/>
      <c r="AY60" s="417"/>
      <c r="AZ60" s="417"/>
      <c r="BA60" s="417"/>
      <c r="BB60" s="417"/>
      <c r="BC60" s="417"/>
      <c r="BD60" s="417"/>
      <c r="BE60" s="417"/>
      <c r="BF60" s="417"/>
      <c r="BG60" s="417"/>
      <c r="BH60" s="417"/>
      <c r="BI60" s="417"/>
      <c r="BJ60" s="417"/>
      <c r="BK60" s="417"/>
      <c r="BL60" s="417"/>
      <c r="BM60" s="417"/>
      <c r="BN60" s="417"/>
      <c r="BO60" s="417"/>
      <c r="BP60" s="417"/>
      <c r="BQ60" s="417"/>
      <c r="BR60" s="417"/>
      <c r="BS60" s="417"/>
      <c r="BT60" s="417"/>
      <c r="BU60" s="417"/>
      <c r="BV60" s="417"/>
      <c r="BW60" s="417"/>
      <c r="BX60" s="417"/>
      <c r="BY60" s="417"/>
      <c r="BZ60" s="417"/>
      <c r="CA60" s="417"/>
      <c r="CB60" s="417"/>
      <c r="CC60" s="417"/>
      <c r="CD60" s="417"/>
    </row>
    <row r="61" spans="1:84">
      <c r="A61" s="6128"/>
      <c r="B61" s="3673" t="s">
        <v>3721</v>
      </c>
      <c r="C61" s="1728">
        <f t="shared" si="7"/>
        <v>0</v>
      </c>
      <c r="D61" s="4811"/>
      <c r="E61" s="4812"/>
      <c r="F61" s="4812"/>
      <c r="G61" s="4812"/>
      <c r="H61" s="4812"/>
      <c r="I61" s="4812"/>
      <c r="J61" s="4812"/>
      <c r="K61" s="4812"/>
      <c r="L61" s="4813"/>
      <c r="M61" s="4814"/>
      <c r="N61" s="4815"/>
      <c r="O61" s="4816"/>
      <c r="P61" s="4802"/>
      <c r="Q61" s="4803"/>
      <c r="R61" s="3373" t="str">
        <f t="shared" si="8"/>
        <v/>
      </c>
      <c r="AW61" s="417"/>
      <c r="AX61" s="417"/>
      <c r="AY61" s="417"/>
      <c r="AZ61" s="417"/>
      <c r="BA61" s="417"/>
      <c r="BB61" s="417"/>
      <c r="BC61" s="417"/>
      <c r="BD61" s="417"/>
      <c r="BE61" s="417"/>
      <c r="BF61" s="417"/>
      <c r="BG61" s="417"/>
      <c r="BH61" s="417"/>
      <c r="BI61" s="417"/>
      <c r="BJ61" s="417"/>
      <c r="BK61" s="417"/>
      <c r="BL61" s="417"/>
      <c r="BM61" s="417"/>
      <c r="BN61" s="417"/>
      <c r="BO61" s="417"/>
      <c r="BP61" s="417"/>
      <c r="BQ61" s="417"/>
      <c r="BR61" s="417"/>
      <c r="BS61" s="417"/>
      <c r="BT61" s="417"/>
      <c r="BU61" s="417"/>
      <c r="BV61" s="417"/>
      <c r="BW61" s="417"/>
      <c r="BX61" s="417"/>
      <c r="BY61" s="417"/>
      <c r="BZ61" s="417"/>
      <c r="CA61" s="418" t="str">
        <f t="shared" si="10"/>
        <v/>
      </c>
      <c r="CB61" s="418" t="str">
        <f t="shared" si="11"/>
        <v/>
      </c>
      <c r="CC61" s="417"/>
      <c r="CD61" s="417"/>
      <c r="CE61" s="419">
        <f t="shared" si="12"/>
        <v>0</v>
      </c>
      <c r="CF61" s="419">
        <f t="shared" si="12"/>
        <v>0</v>
      </c>
    </row>
    <row r="62" spans="1:84">
      <c r="A62" s="6129"/>
      <c r="B62" s="1516" t="s">
        <v>3722</v>
      </c>
      <c r="C62" s="1454">
        <f t="shared" si="7"/>
        <v>0</v>
      </c>
      <c r="D62" s="4848"/>
      <c r="E62" s="4849"/>
      <c r="F62" s="4849"/>
      <c r="G62" s="4849"/>
      <c r="H62" s="4849"/>
      <c r="I62" s="4849"/>
      <c r="J62" s="4849"/>
      <c r="K62" s="4849"/>
      <c r="L62" s="4850"/>
      <c r="M62" s="4851"/>
      <c r="N62" s="4852"/>
      <c r="O62" s="4853"/>
      <c r="P62" s="4839"/>
      <c r="Q62" s="4840"/>
      <c r="R62" s="3373" t="str">
        <f t="shared" si="8"/>
        <v/>
      </c>
      <c r="AW62" s="417"/>
      <c r="AX62" s="417"/>
      <c r="AY62" s="417"/>
      <c r="AZ62" s="417"/>
      <c r="BA62" s="417"/>
      <c r="BB62" s="417"/>
      <c r="BC62" s="417"/>
      <c r="BD62" s="417"/>
      <c r="BE62" s="417"/>
      <c r="BF62" s="417"/>
      <c r="BG62" s="417"/>
      <c r="BH62" s="417"/>
      <c r="BI62" s="417"/>
      <c r="BJ62" s="417"/>
      <c r="BK62" s="417"/>
      <c r="BL62" s="417"/>
      <c r="BM62" s="417"/>
      <c r="BN62" s="417"/>
      <c r="BO62" s="417"/>
      <c r="BP62" s="417"/>
      <c r="BQ62" s="417"/>
      <c r="BR62" s="417"/>
      <c r="BS62" s="417"/>
      <c r="BT62" s="417"/>
      <c r="BU62" s="417"/>
      <c r="BV62" s="417"/>
      <c r="BW62" s="417"/>
      <c r="BX62" s="417"/>
      <c r="BY62" s="417"/>
      <c r="BZ62" s="417"/>
      <c r="CA62" s="418" t="str">
        <f t="shared" si="10"/>
        <v/>
      </c>
      <c r="CB62" s="418" t="str">
        <f t="shared" si="11"/>
        <v/>
      </c>
      <c r="CC62" s="417"/>
      <c r="CD62" s="417"/>
      <c r="CE62" s="419">
        <f t="shared" si="12"/>
        <v>0</v>
      </c>
      <c r="CF62" s="419">
        <f t="shared" si="12"/>
        <v>0</v>
      </c>
    </row>
    <row r="63" spans="1:84">
      <c r="A63" s="6127" t="s">
        <v>3723</v>
      </c>
      <c r="B63" s="1403" t="s">
        <v>3008</v>
      </c>
      <c r="C63" s="4817"/>
      <c r="D63" s="4870"/>
      <c r="E63" s="4844"/>
      <c r="F63" s="4844"/>
      <c r="G63" s="4844"/>
      <c r="H63" s="4844"/>
      <c r="I63" s="4844"/>
      <c r="J63" s="4844"/>
      <c r="K63" s="4844"/>
      <c r="L63" s="4845"/>
      <c r="M63" s="4843"/>
      <c r="N63" s="4844"/>
      <c r="O63" s="4845"/>
      <c r="P63" s="4846"/>
      <c r="Q63" s="4847"/>
      <c r="R63" s="3373" t="str">
        <f t="shared" si="8"/>
        <v/>
      </c>
      <c r="AW63" s="417"/>
      <c r="AX63" s="417"/>
      <c r="AY63" s="417"/>
      <c r="AZ63" s="417"/>
      <c r="BA63" s="417"/>
      <c r="BB63" s="417"/>
      <c r="BC63" s="417"/>
      <c r="BD63" s="417"/>
      <c r="BE63" s="417"/>
      <c r="BF63" s="417"/>
      <c r="BG63" s="417"/>
      <c r="BH63" s="417"/>
      <c r="BI63" s="417"/>
      <c r="BJ63" s="417"/>
      <c r="BK63" s="417"/>
      <c r="BL63" s="417"/>
      <c r="BM63" s="417"/>
      <c r="BN63" s="417"/>
      <c r="BO63" s="417"/>
      <c r="BP63" s="417"/>
      <c r="BQ63" s="417"/>
      <c r="BR63" s="417"/>
      <c r="BS63" s="417"/>
      <c r="BT63" s="417"/>
      <c r="BU63" s="417"/>
      <c r="BV63" s="417"/>
      <c r="BW63" s="417"/>
      <c r="BX63" s="417"/>
      <c r="BY63" s="417"/>
      <c r="BZ63" s="417"/>
      <c r="CA63" s="418" t="str">
        <f t="shared" si="10"/>
        <v/>
      </c>
      <c r="CB63" s="418" t="str">
        <f t="shared" si="11"/>
        <v/>
      </c>
      <c r="CC63" s="417"/>
      <c r="CD63" s="417"/>
      <c r="CE63" s="419">
        <f t="shared" si="12"/>
        <v>0</v>
      </c>
      <c r="CF63" s="419">
        <f t="shared" si="12"/>
        <v>0</v>
      </c>
    </row>
    <row r="64" spans="1:84">
      <c r="A64" s="6129"/>
      <c r="B64" s="1506" t="s">
        <v>3699</v>
      </c>
      <c r="C64" s="4848"/>
      <c r="D64" s="4871"/>
      <c r="E64" s="4872"/>
      <c r="F64" s="4872"/>
      <c r="G64" s="4872"/>
      <c r="H64" s="4872"/>
      <c r="I64" s="4872"/>
      <c r="J64" s="4872"/>
      <c r="K64" s="4872"/>
      <c r="L64" s="4873"/>
      <c r="M64" s="4874"/>
      <c r="N64" s="4875"/>
      <c r="O64" s="4876"/>
      <c r="P64" s="4839"/>
      <c r="Q64" s="4840"/>
      <c r="R64" s="3373" t="str">
        <f t="shared" si="8"/>
        <v/>
      </c>
      <c r="AW64" s="417"/>
      <c r="AX64" s="417"/>
      <c r="AY64" s="417"/>
      <c r="AZ64" s="417"/>
      <c r="BA64" s="417"/>
      <c r="BB64" s="417"/>
      <c r="BC64" s="417"/>
      <c r="BD64" s="417"/>
      <c r="BE64" s="417"/>
      <c r="BF64" s="417"/>
      <c r="BG64" s="417"/>
      <c r="BH64" s="417"/>
      <c r="BI64" s="417"/>
      <c r="BJ64" s="417"/>
      <c r="BK64" s="417"/>
      <c r="BL64" s="417"/>
      <c r="BM64" s="417"/>
      <c r="BN64" s="417"/>
      <c r="BO64" s="417"/>
      <c r="BP64" s="417"/>
      <c r="BQ64" s="417"/>
      <c r="BR64" s="417"/>
      <c r="BS64" s="417"/>
      <c r="BT64" s="417"/>
      <c r="BU64" s="417"/>
      <c r="BV64" s="417"/>
      <c r="BW64" s="417"/>
      <c r="BX64" s="417"/>
      <c r="BY64" s="417"/>
      <c r="BZ64" s="417"/>
      <c r="CA64" s="418" t="str">
        <f t="shared" si="10"/>
        <v/>
      </c>
      <c r="CB64" s="418" t="str">
        <f t="shared" si="11"/>
        <v/>
      </c>
      <c r="CC64" s="417"/>
      <c r="CD64" s="417"/>
      <c r="CE64" s="419">
        <f t="shared" si="12"/>
        <v>0</v>
      </c>
      <c r="CF64" s="419">
        <f t="shared" ref="CF64:CF71" si="14">IF(AND($C64&lt;&gt;0,Q64=""),1,IF(Q64&gt;$C64,1,0))</f>
        <v>0</v>
      </c>
    </row>
    <row r="65" spans="1:84">
      <c r="A65" s="7186" t="s">
        <v>3724</v>
      </c>
      <c r="B65" s="4877" t="s">
        <v>3008</v>
      </c>
      <c r="C65" s="4878">
        <f t="shared" si="7"/>
        <v>0</v>
      </c>
      <c r="D65" s="4879"/>
      <c r="E65" s="4880"/>
      <c r="F65" s="4880"/>
      <c r="G65" s="4880"/>
      <c r="H65" s="4880"/>
      <c r="I65" s="4880"/>
      <c r="J65" s="4880"/>
      <c r="K65" s="4880"/>
      <c r="L65" s="4881"/>
      <c r="M65" s="4882"/>
      <c r="N65" s="4880"/>
      <c r="O65" s="4883"/>
      <c r="P65" s="4884"/>
      <c r="Q65" s="4885"/>
      <c r="R65" s="3373" t="str">
        <f t="shared" si="8"/>
        <v/>
      </c>
      <c r="AW65" s="417"/>
      <c r="AX65" s="417"/>
      <c r="AY65" s="417"/>
      <c r="AZ65" s="417"/>
      <c r="BA65" s="417"/>
      <c r="BB65" s="417"/>
      <c r="BC65" s="417"/>
      <c r="BD65" s="417"/>
      <c r="BE65" s="417"/>
      <c r="BF65" s="417"/>
      <c r="BG65" s="417"/>
      <c r="BH65" s="417"/>
      <c r="BI65" s="417"/>
      <c r="BJ65" s="417"/>
      <c r="BK65" s="417"/>
      <c r="BL65" s="417"/>
      <c r="BM65" s="417"/>
      <c r="BN65" s="417"/>
      <c r="BO65" s="417"/>
      <c r="BP65" s="417"/>
      <c r="BQ65" s="417"/>
      <c r="BR65" s="417"/>
      <c r="BS65" s="417"/>
      <c r="BT65" s="417"/>
      <c r="BU65" s="417"/>
      <c r="BV65" s="417"/>
      <c r="BW65" s="417"/>
      <c r="BX65" s="417"/>
      <c r="BY65" s="417"/>
      <c r="BZ65" s="417"/>
      <c r="CA65" s="418" t="str">
        <f t="shared" si="10"/>
        <v/>
      </c>
      <c r="CB65" s="418" t="str">
        <f t="shared" si="11"/>
        <v/>
      </c>
      <c r="CC65" s="417"/>
      <c r="CD65" s="417"/>
      <c r="CE65" s="419">
        <f t="shared" si="12"/>
        <v>0</v>
      </c>
      <c r="CF65" s="419">
        <f t="shared" si="14"/>
        <v>0</v>
      </c>
    </row>
    <row r="66" spans="1:84">
      <c r="A66" s="7187"/>
      <c r="B66" s="4887" t="s">
        <v>3699</v>
      </c>
      <c r="C66" s="4888">
        <f t="shared" si="7"/>
        <v>0</v>
      </c>
      <c r="D66" s="4889"/>
      <c r="E66" s="4890"/>
      <c r="F66" s="4890"/>
      <c r="G66" s="4890"/>
      <c r="H66" s="4890"/>
      <c r="I66" s="4890"/>
      <c r="J66" s="4890"/>
      <c r="K66" s="4890"/>
      <c r="L66" s="4891"/>
      <c r="M66" s="4892"/>
      <c r="N66" s="4890"/>
      <c r="O66" s="4893"/>
      <c r="P66" s="4894"/>
      <c r="Q66" s="4895"/>
      <c r="R66" s="3373" t="str">
        <f t="shared" si="8"/>
        <v/>
      </c>
      <c r="AW66" s="417"/>
      <c r="AX66" s="417"/>
      <c r="AY66" s="417"/>
      <c r="AZ66" s="417"/>
      <c r="BA66" s="417"/>
      <c r="BB66" s="417"/>
      <c r="BC66" s="417"/>
      <c r="BD66" s="417"/>
      <c r="BE66" s="417"/>
      <c r="BF66" s="417"/>
      <c r="BG66" s="417"/>
      <c r="BH66" s="417"/>
      <c r="BI66" s="417"/>
      <c r="BJ66" s="417"/>
      <c r="BK66" s="417"/>
      <c r="BL66" s="417"/>
      <c r="BM66" s="417"/>
      <c r="BN66" s="417"/>
      <c r="BO66" s="417"/>
      <c r="BP66" s="417"/>
      <c r="BQ66" s="417"/>
      <c r="BR66" s="417"/>
      <c r="BS66" s="417"/>
      <c r="BT66" s="417"/>
      <c r="BU66" s="417"/>
      <c r="BV66" s="417"/>
      <c r="BW66" s="417"/>
      <c r="BX66" s="417"/>
      <c r="BY66" s="417"/>
      <c r="BZ66" s="417"/>
      <c r="CA66" s="418" t="str">
        <f t="shared" si="10"/>
        <v/>
      </c>
      <c r="CB66" s="418" t="str">
        <f t="shared" si="11"/>
        <v/>
      </c>
      <c r="CC66" s="417"/>
      <c r="CD66" s="417"/>
      <c r="CE66" s="419">
        <f t="shared" si="12"/>
        <v>0</v>
      </c>
      <c r="CF66" s="419">
        <f t="shared" si="14"/>
        <v>0</v>
      </c>
    </row>
    <row r="67" spans="1:84">
      <c r="A67" s="7186" t="s">
        <v>3725</v>
      </c>
      <c r="B67" s="4877" t="s">
        <v>3008</v>
      </c>
      <c r="C67" s="4878">
        <f t="shared" si="7"/>
        <v>0</v>
      </c>
      <c r="D67" s="4896"/>
      <c r="E67" s="4880"/>
      <c r="F67" s="4880"/>
      <c r="G67" s="4880"/>
      <c r="H67" s="4880"/>
      <c r="I67" s="4880"/>
      <c r="J67" s="4880"/>
      <c r="K67" s="4880"/>
      <c r="L67" s="4881"/>
      <c r="M67" s="4882"/>
      <c r="N67" s="4880"/>
      <c r="O67" s="4883"/>
      <c r="P67" s="4884"/>
      <c r="Q67" s="4885"/>
      <c r="R67" s="3373" t="str">
        <f t="shared" si="8"/>
        <v/>
      </c>
      <c r="AW67" s="417"/>
      <c r="AX67" s="417"/>
      <c r="AY67" s="417"/>
      <c r="AZ67" s="417"/>
      <c r="BA67" s="417"/>
      <c r="BB67" s="417"/>
      <c r="BC67" s="417"/>
      <c r="BD67" s="417"/>
      <c r="BE67" s="417"/>
      <c r="BF67" s="417"/>
      <c r="BG67" s="417"/>
      <c r="BH67" s="417"/>
      <c r="BI67" s="417"/>
      <c r="BJ67" s="417"/>
      <c r="BK67" s="417"/>
      <c r="BL67" s="417"/>
      <c r="BM67" s="417"/>
      <c r="BN67" s="417"/>
      <c r="BO67" s="417"/>
      <c r="BP67" s="417"/>
      <c r="BQ67" s="417"/>
      <c r="BR67" s="417"/>
      <c r="BS67" s="417"/>
      <c r="BT67" s="417"/>
      <c r="BU67" s="417"/>
      <c r="BV67" s="417"/>
      <c r="BW67" s="417"/>
      <c r="BX67" s="417"/>
      <c r="BY67" s="417"/>
      <c r="BZ67" s="417"/>
      <c r="CA67" s="418" t="str">
        <f t="shared" si="10"/>
        <v/>
      </c>
      <c r="CB67" s="418" t="str">
        <f t="shared" si="11"/>
        <v/>
      </c>
      <c r="CC67" s="417"/>
      <c r="CD67" s="417"/>
      <c r="CE67" s="419">
        <f t="shared" si="12"/>
        <v>0</v>
      </c>
      <c r="CF67" s="419">
        <f t="shared" si="14"/>
        <v>0</v>
      </c>
    </row>
    <row r="68" spans="1:84">
      <c r="A68" s="7187"/>
      <c r="B68" s="4887" t="s">
        <v>3699</v>
      </c>
      <c r="C68" s="4888">
        <f t="shared" si="7"/>
        <v>0</v>
      </c>
      <c r="D68" s="4897"/>
      <c r="E68" s="4890"/>
      <c r="F68" s="4890"/>
      <c r="G68" s="4890"/>
      <c r="H68" s="4890"/>
      <c r="I68" s="4890"/>
      <c r="J68" s="4890"/>
      <c r="K68" s="4890"/>
      <c r="L68" s="4891"/>
      <c r="M68" s="4892"/>
      <c r="N68" s="4890"/>
      <c r="O68" s="4893"/>
      <c r="P68" s="4894"/>
      <c r="Q68" s="4895"/>
      <c r="R68" s="3373" t="str">
        <f t="shared" si="8"/>
        <v/>
      </c>
      <c r="AW68" s="417"/>
      <c r="AX68" s="417"/>
      <c r="AY68" s="417"/>
      <c r="AZ68" s="417"/>
      <c r="BA68" s="417"/>
      <c r="BB68" s="417"/>
      <c r="BC68" s="417"/>
      <c r="BD68" s="417"/>
      <c r="BE68" s="417"/>
      <c r="BF68" s="417"/>
      <c r="BG68" s="417"/>
      <c r="BH68" s="417"/>
      <c r="BI68" s="417"/>
      <c r="BJ68" s="417"/>
      <c r="BK68" s="417"/>
      <c r="BL68" s="417"/>
      <c r="BM68" s="417"/>
      <c r="BN68" s="417"/>
      <c r="BO68" s="417"/>
      <c r="BP68" s="417"/>
      <c r="BQ68" s="417"/>
      <c r="BR68" s="417"/>
      <c r="BS68" s="417"/>
      <c r="BT68" s="417"/>
      <c r="BU68" s="417"/>
      <c r="BV68" s="417"/>
      <c r="BW68" s="417"/>
      <c r="BX68" s="417"/>
      <c r="BY68" s="417"/>
      <c r="BZ68" s="417"/>
      <c r="CA68" s="418" t="str">
        <f t="shared" si="10"/>
        <v/>
      </c>
      <c r="CB68" s="418" t="str">
        <f t="shared" si="11"/>
        <v/>
      </c>
      <c r="CC68" s="417"/>
      <c r="CD68" s="417"/>
      <c r="CE68" s="419">
        <f t="shared" si="12"/>
        <v>0</v>
      </c>
      <c r="CF68" s="419">
        <f t="shared" si="14"/>
        <v>0</v>
      </c>
    </row>
    <row r="69" spans="1:84">
      <c r="A69" s="7183" t="s">
        <v>3726</v>
      </c>
      <c r="B69" s="4898" t="s">
        <v>3008</v>
      </c>
      <c r="C69" s="4899">
        <f t="shared" si="7"/>
        <v>0</v>
      </c>
      <c r="D69" s="4900"/>
      <c r="E69" s="4901"/>
      <c r="F69" s="4901"/>
      <c r="G69" s="4901"/>
      <c r="H69" s="4901"/>
      <c r="I69" s="4901"/>
      <c r="J69" s="4901"/>
      <c r="K69" s="4901"/>
      <c r="L69" s="4902"/>
      <c r="M69" s="4799"/>
      <c r="N69" s="4800"/>
      <c r="O69" s="4801"/>
      <c r="P69" s="4903"/>
      <c r="Q69" s="4904"/>
      <c r="R69" s="3373" t="str">
        <f t="shared" si="8"/>
        <v/>
      </c>
      <c r="AW69" s="417"/>
      <c r="AX69" s="417"/>
      <c r="AY69" s="417"/>
      <c r="AZ69" s="417"/>
      <c r="BA69" s="417"/>
      <c r="BB69" s="417"/>
      <c r="BC69" s="417"/>
      <c r="BD69" s="417"/>
      <c r="BE69" s="417"/>
      <c r="BF69" s="417"/>
      <c r="BG69" s="417"/>
      <c r="BH69" s="417"/>
      <c r="BI69" s="417"/>
      <c r="BJ69" s="417"/>
      <c r="BK69" s="417"/>
      <c r="BL69" s="417"/>
      <c r="BM69" s="417"/>
      <c r="BN69" s="417"/>
      <c r="BO69" s="417"/>
      <c r="BP69" s="417"/>
      <c r="BQ69" s="417"/>
      <c r="BR69" s="417"/>
      <c r="BS69" s="417"/>
      <c r="BT69" s="417"/>
      <c r="BU69" s="417"/>
      <c r="BV69" s="417"/>
      <c r="BW69" s="417"/>
      <c r="BX69" s="417"/>
      <c r="BY69" s="417"/>
      <c r="BZ69" s="417"/>
      <c r="CA69" s="418" t="str">
        <f t="shared" si="10"/>
        <v/>
      </c>
      <c r="CB69" s="418" t="str">
        <f t="shared" si="11"/>
        <v/>
      </c>
      <c r="CC69" s="417"/>
      <c r="CD69" s="417"/>
      <c r="CE69" s="419">
        <f t="shared" si="12"/>
        <v>0</v>
      </c>
      <c r="CF69" s="419">
        <f t="shared" si="14"/>
        <v>0</v>
      </c>
    </row>
    <row r="70" spans="1:84">
      <c r="A70" s="7184"/>
      <c r="B70" s="4905" t="s">
        <v>3699</v>
      </c>
      <c r="C70" s="1512">
        <f t="shared" si="7"/>
        <v>0</v>
      </c>
      <c r="D70" s="4817"/>
      <c r="E70" s="4808"/>
      <c r="F70" s="4808"/>
      <c r="G70" s="4808"/>
      <c r="H70" s="4808"/>
      <c r="I70" s="4808"/>
      <c r="J70" s="4808"/>
      <c r="K70" s="4808"/>
      <c r="L70" s="4906"/>
      <c r="M70" s="4907"/>
      <c r="N70" s="4808"/>
      <c r="O70" s="4809"/>
      <c r="P70" s="4802"/>
      <c r="Q70" s="4803"/>
      <c r="R70" s="3373" t="str">
        <f t="shared" si="8"/>
        <v/>
      </c>
      <c r="AW70" s="417"/>
      <c r="AX70" s="417"/>
      <c r="AY70" s="417"/>
      <c r="AZ70" s="417"/>
      <c r="BA70" s="417"/>
      <c r="BB70" s="417"/>
      <c r="BC70" s="417"/>
      <c r="BD70" s="417"/>
      <c r="BE70" s="417"/>
      <c r="BF70" s="417"/>
      <c r="BG70" s="417"/>
      <c r="BH70" s="417"/>
      <c r="BI70" s="417"/>
      <c r="BJ70" s="417"/>
      <c r="BK70" s="417"/>
      <c r="BL70" s="417"/>
      <c r="BM70" s="417"/>
      <c r="BN70" s="417"/>
      <c r="BO70" s="417"/>
      <c r="BP70" s="417"/>
      <c r="BQ70" s="417"/>
      <c r="BR70" s="417"/>
      <c r="BS70" s="417"/>
      <c r="BT70" s="417"/>
      <c r="BU70" s="417"/>
      <c r="BV70" s="417"/>
      <c r="BW70" s="417"/>
      <c r="BX70" s="417"/>
      <c r="BY70" s="417"/>
      <c r="BZ70" s="417"/>
      <c r="CA70" s="418" t="str">
        <f t="shared" si="10"/>
        <v/>
      </c>
      <c r="CB70" s="418" t="str">
        <f t="shared" si="11"/>
        <v/>
      </c>
      <c r="CC70" s="417"/>
      <c r="CD70" s="417"/>
      <c r="CE70" s="419">
        <f t="shared" si="12"/>
        <v>0</v>
      </c>
      <c r="CF70" s="419">
        <f t="shared" si="14"/>
        <v>0</v>
      </c>
    </row>
    <row r="71" spans="1:84">
      <c r="A71" s="7185"/>
      <c r="B71" s="4908" t="s">
        <v>3727</v>
      </c>
      <c r="C71" s="1527">
        <f t="shared" si="7"/>
        <v>0</v>
      </c>
      <c r="D71" s="4848"/>
      <c r="E71" s="4849"/>
      <c r="F71" s="4849"/>
      <c r="G71" s="4849"/>
      <c r="H71" s="4849"/>
      <c r="I71" s="4849"/>
      <c r="J71" s="4849"/>
      <c r="K71" s="4849"/>
      <c r="L71" s="4909"/>
      <c r="M71" s="4910"/>
      <c r="N71" s="4875"/>
      <c r="O71" s="4876"/>
      <c r="P71" s="4839"/>
      <c r="Q71" s="4840"/>
      <c r="R71" s="3373" t="str">
        <f t="shared" si="8"/>
        <v/>
      </c>
      <c r="AW71" s="417"/>
      <c r="AX71" s="417"/>
      <c r="AY71" s="417"/>
      <c r="AZ71" s="417"/>
      <c r="BA71" s="417"/>
      <c r="BB71" s="417"/>
      <c r="BC71" s="417"/>
      <c r="BD71" s="417"/>
      <c r="BE71" s="417"/>
      <c r="BF71" s="417"/>
      <c r="BG71" s="417"/>
      <c r="BH71" s="417"/>
      <c r="BI71" s="417"/>
      <c r="BJ71" s="417"/>
      <c r="BK71" s="417"/>
      <c r="BL71" s="417"/>
      <c r="BM71" s="417"/>
      <c r="BN71" s="417"/>
      <c r="BO71" s="417"/>
      <c r="BP71" s="417"/>
      <c r="BQ71" s="417"/>
      <c r="BR71" s="417"/>
      <c r="BS71" s="417"/>
      <c r="BT71" s="417"/>
      <c r="BU71" s="417"/>
      <c r="BV71" s="417"/>
      <c r="BW71" s="417"/>
      <c r="BX71" s="417"/>
      <c r="BY71" s="417"/>
      <c r="BZ71" s="417"/>
      <c r="CA71" s="418" t="str">
        <f>IF(AND($C71&lt;&gt;0,P71=""),"* No olvide digitar la variable "&amp;P$30&amp;""&amp;". Digite CERO si no tiene. ",IF(P71&gt;$C71," * La variable Pueblos Originarios no puede superar el Total. ",""))</f>
        <v/>
      </c>
      <c r="CB71" s="418" t="str">
        <f t="shared" si="11"/>
        <v/>
      </c>
      <c r="CC71" s="417"/>
      <c r="CD71" s="417"/>
      <c r="CE71" s="419">
        <f t="shared" si="12"/>
        <v>0</v>
      </c>
      <c r="CF71" s="419">
        <f t="shared" si="14"/>
        <v>0</v>
      </c>
    </row>
    <row r="72" spans="1:84" ht="18" customHeight="1">
      <c r="A72" s="2283" t="s">
        <v>3728</v>
      </c>
      <c r="B72" s="1582"/>
      <c r="C72" s="1493"/>
      <c r="D72" s="1582"/>
    </row>
    <row r="73" spans="1:84" ht="42">
      <c r="A73" s="400" t="s">
        <v>3729</v>
      </c>
      <c r="B73" s="387" t="s">
        <v>2588</v>
      </c>
      <c r="C73" s="3494" t="s">
        <v>3730</v>
      </c>
      <c r="D73" s="3494" t="s">
        <v>3731</v>
      </c>
    </row>
    <row r="74" spans="1:84" ht="22.5">
      <c r="A74" s="6854" t="s">
        <v>1285</v>
      </c>
      <c r="B74" s="1479" t="s">
        <v>3732</v>
      </c>
      <c r="C74" s="4911"/>
      <c r="D74" s="4911"/>
    </row>
    <row r="75" spans="1:84" ht="22.5">
      <c r="A75" s="6855"/>
      <c r="B75" s="1484" t="s">
        <v>3733</v>
      </c>
      <c r="C75" s="4912"/>
      <c r="D75" s="4912"/>
    </row>
    <row r="76" spans="1:84">
      <c r="A76" s="6855"/>
      <c r="B76" s="1484" t="s">
        <v>3734</v>
      </c>
      <c r="C76" s="4912"/>
      <c r="D76" s="4912"/>
    </row>
    <row r="77" spans="1:84" ht="22.5">
      <c r="A77" s="6855"/>
      <c r="B77" s="1484" t="s">
        <v>3735</v>
      </c>
      <c r="C77" s="4912"/>
      <c r="D77" s="4912"/>
    </row>
    <row r="78" spans="1:84" ht="22.5">
      <c r="A78" s="6855"/>
      <c r="B78" s="1484" t="s">
        <v>3736</v>
      </c>
      <c r="C78" s="4912"/>
      <c r="D78" s="4912"/>
    </row>
    <row r="79" spans="1:84">
      <c r="A79" s="6855"/>
      <c r="B79" s="3448" t="s">
        <v>3737</v>
      </c>
      <c r="C79" s="4912"/>
      <c r="D79" s="4912"/>
    </row>
    <row r="80" spans="1:84" ht="22.5">
      <c r="A80" s="6855"/>
      <c r="B80" s="1484" t="s">
        <v>3738</v>
      </c>
      <c r="C80" s="4912"/>
      <c r="D80" s="4912"/>
    </row>
    <row r="81" spans="1:4" ht="22.5">
      <c r="A81" s="6855"/>
      <c r="B81" s="1484" t="s">
        <v>3739</v>
      </c>
      <c r="C81" s="4912"/>
      <c r="D81" s="4912"/>
    </row>
    <row r="82" spans="1:4">
      <c r="A82" s="6855"/>
      <c r="B82" s="3448" t="s">
        <v>3740</v>
      </c>
      <c r="C82" s="4912"/>
      <c r="D82" s="4912"/>
    </row>
    <row r="83" spans="1:4" ht="22.5">
      <c r="A83" s="6855"/>
      <c r="B83" s="1484" t="s">
        <v>3741</v>
      </c>
      <c r="C83" s="4912"/>
      <c r="D83" s="4912"/>
    </row>
    <row r="84" spans="1:4">
      <c r="A84" s="6855"/>
      <c r="B84" s="3448" t="s">
        <v>3742</v>
      </c>
      <c r="C84" s="4913"/>
      <c r="D84" s="4913"/>
    </row>
    <row r="85" spans="1:4">
      <c r="A85" s="6855"/>
      <c r="B85" s="3448" t="s">
        <v>3743</v>
      </c>
      <c r="C85" s="4913"/>
      <c r="D85" s="4913"/>
    </row>
    <row r="86" spans="1:4">
      <c r="A86" s="6855"/>
      <c r="B86" s="3448" t="s">
        <v>3744</v>
      </c>
      <c r="C86" s="4913"/>
      <c r="D86" s="4913"/>
    </row>
    <row r="87" spans="1:4">
      <c r="A87" s="6855"/>
      <c r="B87" s="3448" t="s">
        <v>3745</v>
      </c>
      <c r="C87" s="4913"/>
      <c r="D87" s="4913"/>
    </row>
    <row r="88" spans="1:4">
      <c r="A88" s="6855"/>
      <c r="B88" s="3448" t="s">
        <v>3746</v>
      </c>
      <c r="C88" s="4913"/>
      <c r="D88" s="4913"/>
    </row>
    <row r="89" spans="1:4" ht="22.5">
      <c r="A89" s="6855"/>
      <c r="B89" s="1484" t="s">
        <v>3747</v>
      </c>
      <c r="C89" s="4913"/>
      <c r="D89" s="4913"/>
    </row>
    <row r="90" spans="1:4" ht="22.5">
      <c r="A90" s="6855"/>
      <c r="B90" s="1484" t="s">
        <v>3748</v>
      </c>
      <c r="C90" s="4913"/>
      <c r="D90" s="4913"/>
    </row>
    <row r="91" spans="1:4">
      <c r="A91" s="6855"/>
      <c r="B91" s="3448" t="s">
        <v>3749</v>
      </c>
      <c r="C91" s="4913"/>
      <c r="D91" s="4913"/>
    </row>
    <row r="92" spans="1:4">
      <c r="A92" s="6855"/>
      <c r="B92" s="3448" t="s">
        <v>3750</v>
      </c>
      <c r="C92" s="4913"/>
      <c r="D92" s="4913"/>
    </row>
    <row r="93" spans="1:4" ht="22.5">
      <c r="A93" s="6856"/>
      <c r="B93" s="1489" t="s">
        <v>3751</v>
      </c>
      <c r="C93" s="4914"/>
      <c r="D93" s="4914"/>
    </row>
    <row r="94" spans="1:4">
      <c r="A94" s="6160" t="s">
        <v>1286</v>
      </c>
      <c r="B94" s="1479" t="s">
        <v>3752</v>
      </c>
      <c r="C94" s="4911"/>
      <c r="D94" s="4911"/>
    </row>
    <row r="95" spans="1:4">
      <c r="A95" s="6158"/>
      <c r="B95" s="1484" t="s">
        <v>3753</v>
      </c>
      <c r="C95" s="4912"/>
      <c r="D95" s="4912"/>
    </row>
    <row r="96" spans="1:4">
      <c r="A96" s="6158"/>
      <c r="B96" s="1484" t="s">
        <v>3754</v>
      </c>
      <c r="C96" s="4913"/>
      <c r="D96" s="4913"/>
    </row>
    <row r="97" spans="1:4">
      <c r="A97" s="6158"/>
      <c r="B97" s="1484" t="s">
        <v>3755</v>
      </c>
      <c r="C97" s="4913"/>
      <c r="D97" s="4913"/>
    </row>
    <row r="98" spans="1:4" ht="22.5">
      <c r="A98" s="6158"/>
      <c r="B98" s="1484" t="s">
        <v>3756</v>
      </c>
      <c r="C98" s="4915"/>
      <c r="D98" s="4915"/>
    </row>
    <row r="99" spans="1:4">
      <c r="A99" s="6158"/>
      <c r="B99" s="1484" t="s">
        <v>3757</v>
      </c>
      <c r="C99" s="4916"/>
      <c r="D99" s="4917"/>
    </row>
    <row r="100" spans="1:4">
      <c r="A100" s="6158"/>
      <c r="B100" s="1484" t="s">
        <v>3758</v>
      </c>
      <c r="C100" s="4916"/>
      <c r="D100" s="4917"/>
    </row>
    <row r="101" spans="1:4">
      <c r="A101" s="6158"/>
      <c r="B101" s="1484" t="s">
        <v>3759</v>
      </c>
      <c r="C101" s="4916"/>
      <c r="D101" s="4917"/>
    </row>
    <row r="102" spans="1:4">
      <c r="A102" s="6158"/>
      <c r="B102" s="1484" t="s">
        <v>3760</v>
      </c>
      <c r="C102" s="4916"/>
      <c r="D102" s="4917"/>
    </row>
    <row r="103" spans="1:4">
      <c r="A103" s="6158"/>
      <c r="B103" s="1484" t="s">
        <v>3761</v>
      </c>
      <c r="C103" s="4916"/>
      <c r="D103" s="4917"/>
    </row>
    <row r="104" spans="1:4">
      <c r="A104" s="6158"/>
      <c r="B104" s="1484" t="s">
        <v>3762</v>
      </c>
      <c r="C104" s="4916"/>
      <c r="D104" s="4917"/>
    </row>
    <row r="105" spans="1:4" ht="22.5">
      <c r="A105" s="6158"/>
      <c r="B105" s="1484" t="s">
        <v>3763</v>
      </c>
      <c r="C105" s="4916"/>
      <c r="D105" s="4917"/>
    </row>
    <row r="106" spans="1:4">
      <c r="A106" s="6158"/>
      <c r="B106" s="1878" t="s">
        <v>3764</v>
      </c>
      <c r="C106" s="4916"/>
      <c r="D106" s="4917"/>
    </row>
    <row r="107" spans="1:4">
      <c r="A107" s="6159"/>
      <c r="B107" s="1489" t="s">
        <v>3765</v>
      </c>
      <c r="C107" s="4918"/>
      <c r="D107" s="4919"/>
    </row>
    <row r="108" spans="1:4" ht="18" customHeight="1">
      <c r="A108" s="2283" t="s">
        <v>3766</v>
      </c>
      <c r="B108" s="1582"/>
      <c r="C108" s="1493"/>
      <c r="D108" s="1582"/>
    </row>
    <row r="109" spans="1:4">
      <c r="A109" s="6298" t="s">
        <v>305</v>
      </c>
      <c r="B109" s="6298" t="s">
        <v>91</v>
      </c>
      <c r="C109" s="5707" t="s">
        <v>3767</v>
      </c>
      <c r="D109" s="5709"/>
    </row>
    <row r="110" spans="1:4">
      <c r="A110" s="6300"/>
      <c r="B110" s="6300"/>
      <c r="C110" s="396" t="s">
        <v>72</v>
      </c>
      <c r="D110" s="1778" t="s">
        <v>73</v>
      </c>
    </row>
    <row r="111" spans="1:4" ht="15" customHeight="1">
      <c r="A111" s="4066" t="s">
        <v>3768</v>
      </c>
      <c r="B111" s="1862">
        <f t="shared" ref="B111:B112" si="15">SUM(C111:D111)</f>
        <v>0</v>
      </c>
      <c r="C111" s="4920"/>
      <c r="D111" s="4921"/>
    </row>
    <row r="112" spans="1:4" ht="15" customHeight="1">
      <c r="A112" s="4922" t="s">
        <v>3769</v>
      </c>
      <c r="B112" s="1883">
        <f t="shared" si="15"/>
        <v>0</v>
      </c>
      <c r="C112" s="4848"/>
      <c r="D112" s="4923"/>
    </row>
    <row r="113" spans="1:2" ht="18" customHeight="1">
      <c r="A113" s="2283" t="s">
        <v>3770</v>
      </c>
      <c r="B113" s="1582"/>
    </row>
    <row r="114" spans="1:2" ht="17.25" customHeight="1">
      <c r="A114" s="1574" t="s">
        <v>3771</v>
      </c>
      <c r="B114" s="1574" t="s">
        <v>947</v>
      </c>
    </row>
    <row r="115" spans="1:2">
      <c r="A115" s="2392" t="s">
        <v>3772</v>
      </c>
      <c r="B115" s="4904"/>
    </row>
    <row r="116" spans="1:2">
      <c r="A116" s="4612" t="s">
        <v>3773</v>
      </c>
      <c r="B116" s="4847"/>
    </row>
    <row r="117" spans="1:2">
      <c r="A117" s="4612" t="s">
        <v>3774</v>
      </c>
      <c r="B117" s="4803"/>
    </row>
    <row r="118" spans="1:2">
      <c r="A118" s="4612" t="s">
        <v>3775</v>
      </c>
      <c r="B118" s="4803"/>
    </row>
    <row r="119" spans="1:2">
      <c r="A119" s="4612" t="s">
        <v>3776</v>
      </c>
      <c r="B119" s="4803"/>
    </row>
    <row r="120" spans="1:2">
      <c r="A120" s="4612" t="s">
        <v>3777</v>
      </c>
      <c r="B120" s="4803"/>
    </row>
    <row r="121" spans="1:2">
      <c r="A121" s="4612" t="s">
        <v>3778</v>
      </c>
      <c r="B121" s="4803"/>
    </row>
    <row r="122" spans="1:2">
      <c r="A122" s="4612" t="s">
        <v>3779</v>
      </c>
      <c r="B122" s="4803"/>
    </row>
    <row r="123" spans="1:2">
      <c r="A123" s="4612" t="s">
        <v>3780</v>
      </c>
      <c r="B123" s="4803"/>
    </row>
    <row r="124" spans="1:2">
      <c r="A124" s="4612" t="s">
        <v>3781</v>
      </c>
      <c r="B124" s="4803"/>
    </row>
    <row r="125" spans="1:2">
      <c r="A125" s="4612" t="s">
        <v>3782</v>
      </c>
      <c r="B125" s="4803"/>
    </row>
    <row r="126" spans="1:2">
      <c r="A126" s="4612" t="s">
        <v>3783</v>
      </c>
      <c r="B126" s="4803"/>
    </row>
    <row r="127" spans="1:2">
      <c r="A127" s="4612" t="s">
        <v>3784</v>
      </c>
      <c r="B127" s="4803"/>
    </row>
    <row r="128" spans="1:2">
      <c r="A128" s="4612" t="s">
        <v>3785</v>
      </c>
      <c r="B128" s="4803"/>
    </row>
    <row r="129" spans="1:7">
      <c r="A129" s="4612" t="s">
        <v>3786</v>
      </c>
      <c r="B129" s="4803"/>
    </row>
    <row r="130" spans="1:7">
      <c r="A130" s="4612" t="s">
        <v>3787</v>
      </c>
      <c r="B130" s="4803"/>
    </row>
    <row r="131" spans="1:7">
      <c r="A131" s="2396" t="s">
        <v>3788</v>
      </c>
      <c r="B131" s="4840"/>
    </row>
    <row r="132" spans="1:7">
      <c r="A132" s="4924" t="s">
        <v>91</v>
      </c>
      <c r="B132" s="4925">
        <f>SUM(B115:B131)</f>
        <v>0</v>
      </c>
    </row>
    <row r="133" spans="1:7" ht="18" customHeight="1">
      <c r="A133" s="2283" t="s">
        <v>3789</v>
      </c>
      <c r="B133" s="1582"/>
      <c r="C133" s="1493"/>
      <c r="D133" s="1582"/>
      <c r="E133" s="1582"/>
    </row>
    <row r="134" spans="1:7" ht="27.75" customHeight="1">
      <c r="A134" s="1574" t="s">
        <v>3790</v>
      </c>
      <c r="B134" s="1574" t="s">
        <v>1659</v>
      </c>
      <c r="C134" s="1574" t="s">
        <v>91</v>
      </c>
      <c r="D134" s="1395" t="s">
        <v>3791</v>
      </c>
      <c r="E134" s="393" t="s">
        <v>3792</v>
      </c>
      <c r="F134" s="391" t="s">
        <v>3793</v>
      </c>
      <c r="G134" s="1574" t="s">
        <v>3794</v>
      </c>
    </row>
    <row r="135" spans="1:7">
      <c r="A135" s="6469" t="s">
        <v>3795</v>
      </c>
      <c r="B135" s="457" t="s">
        <v>3796</v>
      </c>
      <c r="C135" s="4904"/>
      <c r="D135" s="4926"/>
      <c r="E135" s="4927"/>
      <c r="F135" s="4928"/>
      <c r="G135" s="4929"/>
    </row>
    <row r="136" spans="1:7">
      <c r="A136" s="6471"/>
      <c r="B136" s="453" t="s">
        <v>3797</v>
      </c>
      <c r="C136" s="4840"/>
      <c r="D136" s="4930"/>
      <c r="E136" s="4931"/>
      <c r="F136" s="4932"/>
      <c r="G136" s="4933"/>
    </row>
    <row r="137" spans="1:7">
      <c r="A137" s="4759" t="s">
        <v>3798</v>
      </c>
      <c r="B137" s="1509" t="s">
        <v>3799</v>
      </c>
      <c r="C137" s="4847"/>
      <c r="D137" s="4934"/>
      <c r="E137" s="4935"/>
      <c r="F137" s="4936"/>
      <c r="G137" s="4937"/>
    </row>
    <row r="138" spans="1:7">
      <c r="A138" s="7182" t="s">
        <v>3800</v>
      </c>
      <c r="B138" s="2153" t="s">
        <v>3801</v>
      </c>
      <c r="C138" s="4803"/>
      <c r="D138" s="4938"/>
      <c r="E138" s="4939"/>
      <c r="F138" s="4940"/>
      <c r="G138" s="4941"/>
    </row>
    <row r="139" spans="1:7" ht="21">
      <c r="A139" s="6471"/>
      <c r="B139" s="453" t="s">
        <v>3802</v>
      </c>
      <c r="C139" s="4840"/>
      <c r="D139" s="4833"/>
      <c r="E139" s="4942"/>
      <c r="F139" s="4932"/>
      <c r="G139" s="4933"/>
    </row>
    <row r="140" spans="1:7">
      <c r="A140" s="6469" t="s">
        <v>3803</v>
      </c>
      <c r="B140" s="2153" t="s">
        <v>3801</v>
      </c>
      <c r="C140" s="4904"/>
      <c r="D140" s="4855"/>
      <c r="E140" s="4927"/>
      <c r="F140" s="4943"/>
      <c r="G140" s="4904"/>
    </row>
    <row r="141" spans="1:7" ht="21">
      <c r="A141" s="6471"/>
      <c r="B141" s="453" t="s">
        <v>3802</v>
      </c>
      <c r="C141" s="4840"/>
      <c r="D141" s="4833"/>
      <c r="E141" s="4931"/>
      <c r="F141" s="4944"/>
      <c r="G141" s="4840"/>
    </row>
    <row r="142" spans="1:7">
      <c r="A142" s="6469" t="s">
        <v>3804</v>
      </c>
      <c r="B142" s="457" t="s">
        <v>3671</v>
      </c>
      <c r="C142" s="4904"/>
      <c r="D142" s="4926"/>
      <c r="E142" s="4927"/>
      <c r="F142" s="4928"/>
      <c r="G142" s="4929"/>
    </row>
    <row r="143" spans="1:7">
      <c r="A143" s="6471"/>
      <c r="B143" s="453" t="s">
        <v>3672</v>
      </c>
      <c r="C143" s="4840"/>
      <c r="D143" s="4930"/>
      <c r="E143" s="4931"/>
      <c r="F143" s="4932"/>
      <c r="G143" s="4933"/>
    </row>
    <row r="144" spans="1:7" ht="18" customHeight="1">
      <c r="A144" s="2283" t="s">
        <v>3805</v>
      </c>
      <c r="B144" s="1582"/>
      <c r="C144" s="1493"/>
      <c r="D144" s="1582"/>
    </row>
    <row r="145" spans="1:13" ht="21">
      <c r="A145" s="1574" t="s">
        <v>1124</v>
      </c>
      <c r="B145" s="1574" t="s">
        <v>3806</v>
      </c>
      <c r="C145" s="1395" t="s">
        <v>3807</v>
      </c>
      <c r="D145" s="393" t="s">
        <v>3808</v>
      </c>
    </row>
    <row r="146" spans="1:13">
      <c r="A146" s="446" t="s">
        <v>3809</v>
      </c>
      <c r="B146" s="4904"/>
      <c r="C146" s="4855"/>
      <c r="D146" s="4945"/>
    </row>
    <row r="147" spans="1:13">
      <c r="A147" s="420" t="s">
        <v>3810</v>
      </c>
      <c r="B147" s="4803"/>
      <c r="C147" s="4817"/>
      <c r="D147" s="4946"/>
    </row>
    <row r="148" spans="1:13">
      <c r="A148" s="420" t="s">
        <v>3811</v>
      </c>
      <c r="B148" s="4803"/>
      <c r="C148" s="4938"/>
      <c r="D148" s="4939"/>
    </row>
    <row r="149" spans="1:13">
      <c r="A149" s="420" t="s">
        <v>3812</v>
      </c>
      <c r="B149" s="4803"/>
      <c r="C149" s="4938"/>
      <c r="D149" s="4939"/>
    </row>
    <row r="150" spans="1:13">
      <c r="A150" s="420" t="s">
        <v>3813</v>
      </c>
      <c r="B150" s="4803"/>
      <c r="C150" s="4817"/>
      <c r="D150" s="4946"/>
    </row>
    <row r="151" spans="1:13">
      <c r="A151" s="3390" t="s">
        <v>3814</v>
      </c>
      <c r="B151" s="4947"/>
      <c r="C151" s="4848"/>
      <c r="D151" s="4923"/>
    </row>
    <row r="152" spans="1:13" ht="18" customHeight="1">
      <c r="A152" s="2283" t="s">
        <v>3815</v>
      </c>
      <c r="B152" s="1582"/>
      <c r="C152" s="1493"/>
      <c r="D152" s="1582"/>
      <c r="E152" s="1582"/>
      <c r="F152" s="1582"/>
      <c r="G152" s="1582"/>
      <c r="H152" s="1582"/>
      <c r="I152" s="1582"/>
      <c r="J152" s="1582"/>
      <c r="K152" s="1582"/>
      <c r="L152" s="1582"/>
      <c r="M152" s="1582"/>
    </row>
    <row r="153" spans="1:13">
      <c r="A153" s="6298" t="s">
        <v>3816</v>
      </c>
      <c r="B153" s="6298" t="s">
        <v>91</v>
      </c>
      <c r="C153" s="6142" t="s">
        <v>3666</v>
      </c>
      <c r="D153" s="6142"/>
      <c r="E153" s="5707" t="s">
        <v>58</v>
      </c>
      <c r="F153" s="5709"/>
      <c r="G153" s="6142" t="s">
        <v>3216</v>
      </c>
      <c r="H153" s="6142"/>
      <c r="I153" s="6142" t="s">
        <v>691</v>
      </c>
      <c r="J153" s="7076"/>
      <c r="K153" s="7178" t="s">
        <v>3817</v>
      </c>
      <c r="L153" s="7179"/>
      <c r="M153" s="7179"/>
    </row>
    <row r="154" spans="1:13">
      <c r="A154" s="6300"/>
      <c r="B154" s="6300"/>
      <c r="C154" s="396" t="s">
        <v>72</v>
      </c>
      <c r="D154" s="390" t="s">
        <v>73</v>
      </c>
      <c r="E154" s="396" t="s">
        <v>72</v>
      </c>
      <c r="F154" s="390" t="s">
        <v>73</v>
      </c>
      <c r="G154" s="396" t="s">
        <v>72</v>
      </c>
      <c r="H154" s="390" t="s">
        <v>73</v>
      </c>
      <c r="I154" s="396" t="s">
        <v>72</v>
      </c>
      <c r="J154" s="1392" t="s">
        <v>73</v>
      </c>
      <c r="K154" s="4948" t="s">
        <v>3695</v>
      </c>
      <c r="L154" s="2471" t="s">
        <v>3818</v>
      </c>
      <c r="M154" s="2473" t="s">
        <v>3819</v>
      </c>
    </row>
    <row r="155" spans="1:13">
      <c r="A155" s="2386" t="s">
        <v>3820</v>
      </c>
      <c r="B155" s="4949"/>
      <c r="C155" s="2197"/>
      <c r="D155" s="2198"/>
      <c r="E155" s="2197"/>
      <c r="F155" s="2198"/>
      <c r="G155" s="2197"/>
      <c r="H155" s="2198"/>
      <c r="I155" s="2197"/>
      <c r="J155" s="4950"/>
      <c r="K155" s="1707"/>
      <c r="L155" s="1426"/>
      <c r="M155" s="1436"/>
    </row>
    <row r="156" spans="1:13">
      <c r="A156" s="2387" t="s">
        <v>3821</v>
      </c>
      <c r="B156" s="4951">
        <f t="shared" ref="B156:B157" si="16">SUM(C156:J156)</f>
        <v>0</v>
      </c>
      <c r="C156" s="1440"/>
      <c r="D156" s="1452"/>
      <c r="E156" s="1440"/>
      <c r="F156" s="1452"/>
      <c r="G156" s="1440"/>
      <c r="H156" s="1452"/>
      <c r="I156" s="1440"/>
      <c r="J156" s="1655"/>
      <c r="K156" s="1709"/>
      <c r="L156" s="1442"/>
      <c r="M156" s="1452"/>
    </row>
    <row r="157" spans="1:13">
      <c r="A157" s="4952" t="s">
        <v>3822</v>
      </c>
      <c r="B157" s="4953">
        <f t="shared" si="16"/>
        <v>0</v>
      </c>
      <c r="C157" s="1528"/>
      <c r="D157" s="1534"/>
      <c r="E157" s="1528"/>
      <c r="F157" s="1534"/>
      <c r="G157" s="1528"/>
      <c r="H157" s="1534"/>
      <c r="I157" s="1528"/>
      <c r="J157" s="1721"/>
      <c r="K157" s="1722"/>
      <c r="L157" s="1529"/>
      <c r="M157" s="1534"/>
    </row>
    <row r="158" spans="1:13" ht="18" customHeight="1">
      <c r="A158" s="2283" t="s">
        <v>3823</v>
      </c>
      <c r="B158" s="1582"/>
      <c r="C158" s="1493"/>
      <c r="D158" s="1582"/>
      <c r="E158" s="1582"/>
      <c r="F158" s="1582"/>
      <c r="G158" s="1582"/>
      <c r="H158" s="1582"/>
    </row>
    <row r="159" spans="1:13">
      <c r="A159" s="6298" t="s">
        <v>3816</v>
      </c>
      <c r="B159" s="6298" t="s">
        <v>91</v>
      </c>
      <c r="C159" s="6730" t="s">
        <v>43</v>
      </c>
      <c r="D159" s="6732"/>
      <c r="E159" s="7180"/>
      <c r="F159" s="6370" t="s">
        <v>3692</v>
      </c>
      <c r="G159" s="6370"/>
      <c r="H159" s="6370"/>
      <c r="I159" s="6371"/>
    </row>
    <row r="160" spans="1:13" ht="15" customHeight="1">
      <c r="A160" s="6299"/>
      <c r="B160" s="6299"/>
      <c r="C160" s="6357"/>
      <c r="D160" s="6733"/>
      <c r="E160" s="7181"/>
      <c r="F160" s="6137" t="s">
        <v>3695</v>
      </c>
      <c r="G160" s="6137"/>
      <c r="H160" s="6137" t="s">
        <v>3824</v>
      </c>
      <c r="I160" s="6137"/>
    </row>
    <row r="161" spans="1:9">
      <c r="A161" s="6300"/>
      <c r="B161" s="6300"/>
      <c r="C161" s="396" t="s">
        <v>657</v>
      </c>
      <c r="D161" s="1397" t="s">
        <v>388</v>
      </c>
      <c r="E161" s="1392" t="s">
        <v>691</v>
      </c>
      <c r="F161" s="4763" t="s">
        <v>3671</v>
      </c>
      <c r="G161" s="1962" t="s">
        <v>1380</v>
      </c>
      <c r="H161" s="396" t="s">
        <v>3671</v>
      </c>
      <c r="I161" s="390" t="s">
        <v>1380</v>
      </c>
    </row>
    <row r="162" spans="1:9" ht="15" customHeight="1">
      <c r="A162" s="2386" t="s">
        <v>3825</v>
      </c>
      <c r="B162" s="4954">
        <f t="shared" ref="B162:B164" si="17">SUM(C162:E162)</f>
        <v>0</v>
      </c>
      <c r="C162" s="1424"/>
      <c r="D162" s="1426"/>
      <c r="E162" s="1650"/>
      <c r="F162" s="1707"/>
      <c r="G162" s="1676"/>
      <c r="H162" s="1424"/>
      <c r="I162" s="1676"/>
    </row>
    <row r="163" spans="1:9" ht="15" customHeight="1">
      <c r="A163" s="3970" t="s">
        <v>3826</v>
      </c>
      <c r="B163" s="4955">
        <f t="shared" si="17"/>
        <v>0</v>
      </c>
      <c r="C163" s="1440"/>
      <c r="D163" s="1442"/>
      <c r="E163" s="1655"/>
      <c r="F163" s="1709"/>
      <c r="G163" s="2205"/>
      <c r="H163" s="1440"/>
      <c r="I163" s="2205"/>
    </row>
    <row r="164" spans="1:9" ht="15" customHeight="1">
      <c r="A164" s="4956" t="s">
        <v>3827</v>
      </c>
      <c r="B164" s="4957">
        <f t="shared" si="17"/>
        <v>0</v>
      </c>
      <c r="C164" s="1528"/>
      <c r="D164" s="1529"/>
      <c r="E164" s="1721"/>
      <c r="F164" s="1722"/>
      <c r="G164" s="1663"/>
      <c r="H164" s="1528"/>
      <c r="I164" s="1663"/>
    </row>
    <row r="205" spans="1:2" ht="18.75" hidden="1" customHeight="1">
      <c r="A205" s="460">
        <f>SUM(B12:B28,C32:C71,C74:D107,B111:B112,B132,C135:E143,B146:D151,B156:B157,B162:B164)</f>
        <v>0</v>
      </c>
      <c r="B205" s="460">
        <f>SUM(CE12:CF71)</f>
        <v>0</v>
      </c>
    </row>
  </sheetData>
  <sheetProtection algorithmName="SHA-512" hashValue="uhfoINOAs01Yb67dF+5GotqYL64jyyuBlLUtAN2WMZBYorJcpFyC5I4UL1qyXFJGtRDj1LPwzxs98WQNzbZTkQ==" saltValue="/GKeh06F1J/OGV3GtOiiEw==" spinCount="100000" sheet="1" objects="1" scenarios="1"/>
  <mergeCells count="55">
    <mergeCell ref="A32:A39"/>
    <mergeCell ref="A6:T6"/>
    <mergeCell ref="A9:A10"/>
    <mergeCell ref="B9:D9"/>
    <mergeCell ref="E9:F9"/>
    <mergeCell ref="G9:H9"/>
    <mergeCell ref="I9:J9"/>
    <mergeCell ref="K9:L9"/>
    <mergeCell ref="M9:N9"/>
    <mergeCell ref="O9:P9"/>
    <mergeCell ref="Q9:R9"/>
    <mergeCell ref="S9:S10"/>
    <mergeCell ref="T9:T10"/>
    <mergeCell ref="A30:B31"/>
    <mergeCell ref="C30:C31"/>
    <mergeCell ref="D30:L30"/>
    <mergeCell ref="M30:O30"/>
    <mergeCell ref="P30:P31"/>
    <mergeCell ref="B11:T11"/>
    <mergeCell ref="B16:T16"/>
    <mergeCell ref="B23:T23"/>
    <mergeCell ref="B26:T26"/>
    <mergeCell ref="Q30:Q31"/>
    <mergeCell ref="C109:D109"/>
    <mergeCell ref="A55:A58"/>
    <mergeCell ref="A59:A62"/>
    <mergeCell ref="A63:A64"/>
    <mergeCell ref="A109:A110"/>
    <mergeCell ref="B109:B110"/>
    <mergeCell ref="A65:A66"/>
    <mergeCell ref="A67:A68"/>
    <mergeCell ref="A40:A42"/>
    <mergeCell ref="A135:A136"/>
    <mergeCell ref="A138:A139"/>
    <mergeCell ref="A140:A141"/>
    <mergeCell ref="A142:A143"/>
    <mergeCell ref="A49:A54"/>
    <mergeCell ref="A94:A107"/>
    <mergeCell ref="A43:A45"/>
    <mergeCell ref="A46:A48"/>
    <mergeCell ref="A74:A93"/>
    <mergeCell ref="A69:A71"/>
    <mergeCell ref="F160:G160"/>
    <mergeCell ref="H160:I160"/>
    <mergeCell ref="A153:A154"/>
    <mergeCell ref="I153:J153"/>
    <mergeCell ref="K153:M153"/>
    <mergeCell ref="A159:A161"/>
    <mergeCell ref="B159:B161"/>
    <mergeCell ref="B153:B154"/>
    <mergeCell ref="C153:D153"/>
    <mergeCell ref="E153:F153"/>
    <mergeCell ref="G153:H153"/>
    <mergeCell ref="C159:E160"/>
    <mergeCell ref="F159:I159"/>
  </mergeCells>
  <dataValidations count="7">
    <dataValidation allowBlank="1" showInputMessage="1" showErrorMessage="1" error="Valor no Permitido" sqref="A6:XFD6 A11:A13 S9:T9 A15:A46 Q10:R10 C12:D15 F159 C9:P10 C108:D110 C27:D28 C17:D22 B111:B112 A205:B205 C8:T8 A8:A9 U11 P29:Q30 A49:A64 B72:B99 D72 A94 B132:B145 A108:A109 B101:B109 B152:B153 D33:L33 F153 F152:H152 C152:D154 G153:H154 I152:M154 E152:E153 C158:H158 D60:L60 C161:G161 B8:B64 C24:D25 A72:A74 C133:E134 C60:C62 C144:D145 A111:A153 C73:D73 C159 H160:I161 D29:O31 B156:B164 C29:C58 A155:A164 C65:C68 C72:C73 B69:C70 A69" xr:uid="{00000000-0002-0000-1500-000000000000}"/>
    <dataValidation type="whole" operator="greaterThanOrEqual" allowBlank="1" showInputMessage="1" showErrorMessage="1" error="Valor no Permitido" sqref="C59 C63:C64 C111:D112 B115:B131 C74:D107" xr:uid="{00420071-00D5-4581-BA53-00D200530038}">
      <formula1>0</formula1>
    </dataValidation>
    <dataValidation type="whole" allowBlank="1" showInputMessage="1" showErrorMessage="1" sqref="E12:T15 E17:T22 E24:T25 E27:T28 C135:E143 M32:Q71" xr:uid="{00050081-00A6-49E5-89EB-001B0058008F}">
      <formula1>0</formula1>
      <formula2>9.99999999999999E+34</formula2>
    </dataValidation>
    <dataValidation type="whole" allowBlank="1" showInputMessage="1" showErrorMessage="1" sqref="D32:L32 D34:L59 D61:L68" xr:uid="{0047005E-0070-47E3-A802-007000D600EB}">
      <formula1>0</formula1>
      <formula2>9.99999999999999E+36</formula2>
    </dataValidation>
    <dataValidation type="whole" allowBlank="1" showInputMessage="1" showErrorMessage="1" sqref="B146:D151 C155:M157 B155" xr:uid="{00A000AA-00D0-4670-A7C4-004300D1001E}">
      <formula1>0</formula1>
      <formula2>9.99999999999999E+38</formula2>
    </dataValidation>
    <dataValidation type="whole" allowBlank="1" showInputMessage="1" showErrorMessage="1" error="Valor no Permitido" sqref="C162:I164" xr:uid="{00DC004B-00FA-46A5-AE54-000700A100E1}">
      <formula1>0</formula1>
      <formula2>9.99999999999999E+36</formula2>
    </dataValidation>
    <dataValidation type="whole" operator="greaterThanOrEqual" allowBlank="1" showInputMessage="1" showErrorMessage="1" sqref="F140:G141 D69:L71" xr:uid="{007B00EC-0036-4E41-BF48-00B60075004F}">
      <formula1>0</formula1>
    </dataValidation>
  </dataValidations>
  <pageMargins left="0.7" right="0.7" top="0.75" bottom="0.75" header="0.3" footer="0.3"/>
  <pageSetup paperSize="9" orientation="portrait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Hoja23"/>
  <dimension ref="A1:AU174"/>
  <sheetViews>
    <sheetView showGridLines="0" workbookViewId="0"/>
  </sheetViews>
  <sheetFormatPr baseColWidth="10" defaultColWidth="11.42578125" defaultRowHeight="15"/>
  <cols>
    <col min="1" max="1" width="66.42578125" style="4958" customWidth="1"/>
    <col min="2" max="2" width="13.5703125" style="4958" customWidth="1"/>
    <col min="3" max="5" width="11.42578125" style="4958"/>
    <col min="6" max="6" width="13.28515625" style="4958" customWidth="1"/>
    <col min="7" max="7" width="12.140625" style="4958" customWidth="1"/>
    <col min="8" max="8" width="13.7109375" style="4958" customWidth="1"/>
    <col min="9" max="9" width="13.42578125" style="4958" customWidth="1"/>
    <col min="10" max="10" width="17.85546875" style="4958" customWidth="1"/>
    <col min="11" max="17" width="11.42578125" style="4958"/>
    <col min="18" max="19" width="13.7109375" style="4958" customWidth="1"/>
    <col min="20" max="20" width="14.42578125" style="4958" customWidth="1"/>
    <col min="21" max="23" width="11.42578125" style="4958"/>
    <col min="24" max="24" width="11.28515625" style="4958" customWidth="1"/>
    <col min="25" max="25" width="12" style="4958" customWidth="1"/>
    <col min="26" max="40" width="11.42578125" style="4958"/>
  </cols>
  <sheetData>
    <row r="1" spans="1:47">
      <c r="A1" s="378" t="s">
        <v>37</v>
      </c>
    </row>
    <row r="2" spans="1:47">
      <c r="A2" s="378" t="str">
        <f>CONCATENATE("COMUNA: ",NOMBRE!B2, " (",NOMBRE!C2,NOMBRE!D2,NOMBRE!E2,NOMBRE!F2,NOMBRE!G2,")")</f>
        <v>COMUNA: MAIPU (13119)</v>
      </c>
    </row>
    <row r="3" spans="1:47">
      <c r="A3" s="378" t="str">
        <f>CONCATENATE("ESTABLECIMIENTO/ESTRATEGIA: ", NOMBRE!B3, " (",NOMBRE!C3,NOMBRE!D3,NOMBRE!E3,NOMBRE!F3,NOMBRE!G3,NOMBRE!H3,")")</f>
        <v>ESTABLECIMIENTO/ESTRATEGIA: CESFAM DR. CARLOS GODOY (111380)</v>
      </c>
    </row>
    <row r="4" spans="1:47">
      <c r="A4" s="378" t="str">
        <f>CONCATENATE("MES: ",NOMBRE!B6, " (",NOMBRE!C6,NOMBRE!D6,")")</f>
        <v>MES: MARZO (03)</v>
      </c>
    </row>
    <row r="5" spans="1:47">
      <c r="A5" s="378" t="str">
        <f>CONCATENATE("AÑO: ",NOMBRE!B7)</f>
        <v>AÑO: 2026</v>
      </c>
    </row>
    <row r="6" spans="1:47" s="383" customFormat="1" ht="18" customHeight="1">
      <c r="A6" s="6811" t="s">
        <v>3828</v>
      </c>
      <c r="B6" s="6811"/>
      <c r="C6" s="6811"/>
      <c r="D6" s="6811"/>
      <c r="E6" s="6811"/>
      <c r="F6" s="6811"/>
      <c r="G6" s="6811"/>
      <c r="H6" s="6811"/>
      <c r="I6" s="6811"/>
      <c r="J6" s="6811"/>
      <c r="K6" s="6811"/>
      <c r="L6" s="6811"/>
      <c r="M6" s="6811"/>
      <c r="N6" s="6811"/>
      <c r="O6" s="6811"/>
      <c r="P6" s="6811"/>
      <c r="Q6" s="6811"/>
      <c r="R6" s="6811"/>
      <c r="S6" s="6811"/>
      <c r="T6" s="6811"/>
      <c r="U6" s="6811"/>
      <c r="V6" s="6811"/>
      <c r="W6" s="6811"/>
      <c r="X6" s="6811"/>
      <c r="Y6" s="6811"/>
      <c r="Z6" s="3361"/>
      <c r="AA6" s="3361"/>
      <c r="AB6" s="3361"/>
      <c r="AC6" s="3361"/>
      <c r="AD6" s="3361"/>
      <c r="AE6" s="3361"/>
      <c r="AF6" s="382"/>
      <c r="AG6" s="382"/>
    </row>
    <row r="7" spans="1:47" s="383" customFormat="1">
      <c r="A7" s="4959"/>
      <c r="B7" s="382"/>
      <c r="C7" s="382"/>
      <c r="D7" s="382"/>
      <c r="E7" s="382"/>
      <c r="F7" s="382"/>
      <c r="G7" s="382"/>
      <c r="H7" s="382"/>
      <c r="I7" s="382"/>
      <c r="J7" s="382"/>
      <c r="K7" s="382"/>
      <c r="L7" s="382"/>
      <c r="M7" s="382"/>
      <c r="N7" s="382"/>
      <c r="O7" s="382"/>
      <c r="P7" s="382"/>
      <c r="Q7" s="382"/>
      <c r="R7" s="382"/>
      <c r="S7" s="382"/>
      <c r="T7" s="382"/>
      <c r="U7" s="382"/>
      <c r="V7" s="382"/>
      <c r="W7" s="382"/>
      <c r="X7" s="382"/>
      <c r="Y7" s="382"/>
      <c r="Z7" s="382"/>
      <c r="AA7" s="382"/>
      <c r="AB7" s="382"/>
      <c r="AC7" s="382"/>
      <c r="AD7" s="382"/>
      <c r="AE7" s="382"/>
      <c r="AF7" s="382"/>
      <c r="AG7" s="382"/>
    </row>
    <row r="8" spans="1:47" s="1582" customFormat="1" ht="18" customHeight="1">
      <c r="A8" s="2162" t="s">
        <v>3829</v>
      </c>
      <c r="B8" s="2162"/>
      <c r="C8" s="2162"/>
      <c r="D8" s="2162"/>
      <c r="E8" s="2162"/>
      <c r="F8" s="2162"/>
      <c r="G8" s="2162"/>
    </row>
    <row r="9" spans="1:47" s="382" customFormat="1" ht="24.95" customHeight="1">
      <c r="A9" s="5718" t="s">
        <v>3830</v>
      </c>
      <c r="B9" s="5710" t="s">
        <v>3831</v>
      </c>
      <c r="C9" s="6106"/>
      <c r="D9" s="6106"/>
      <c r="E9" s="6106"/>
      <c r="F9" s="6106"/>
      <c r="G9" s="6106"/>
      <c r="H9" s="6106"/>
      <c r="I9" s="5712"/>
      <c r="J9" s="5710" t="s">
        <v>3832</v>
      </c>
      <c r="K9" s="6106"/>
      <c r="L9" s="6106"/>
      <c r="M9" s="6106"/>
      <c r="N9" s="6106"/>
      <c r="O9" s="6106"/>
      <c r="P9" s="6106"/>
      <c r="Q9" s="5712"/>
      <c r="R9" s="5710" t="s">
        <v>3833</v>
      </c>
      <c r="S9" s="6106"/>
      <c r="T9" s="6106"/>
      <c r="U9" s="6106"/>
      <c r="V9" s="6106"/>
      <c r="W9" s="6106"/>
      <c r="X9" s="6106"/>
      <c r="Y9" s="5716"/>
      <c r="Z9" s="5708" t="s">
        <v>3669</v>
      </c>
      <c r="AA9" s="5708"/>
      <c r="AB9" s="6147"/>
      <c r="AC9" s="6191" t="s">
        <v>3834</v>
      </c>
      <c r="AD9" s="6106"/>
      <c r="AE9" s="6106"/>
      <c r="AF9" s="6106"/>
      <c r="AG9" s="6106"/>
      <c r="AH9" s="6106"/>
      <c r="AI9" s="6106"/>
      <c r="AJ9" s="5716"/>
      <c r="AK9" s="6444" t="s">
        <v>3669</v>
      </c>
      <c r="AL9" s="5708"/>
      <c r="AM9" s="6147"/>
      <c r="AN9" s="6191" t="s">
        <v>3835</v>
      </c>
      <c r="AO9" s="6106"/>
      <c r="AP9" s="6106"/>
      <c r="AQ9" s="6106"/>
      <c r="AR9" s="6106"/>
      <c r="AS9" s="6106"/>
      <c r="AT9" s="6106"/>
      <c r="AU9" s="5712"/>
    </row>
    <row r="10" spans="1:47" s="382" customFormat="1" ht="15" customHeight="1">
      <c r="A10" s="6110"/>
      <c r="B10" s="5708" t="s">
        <v>3271</v>
      </c>
      <c r="C10" s="5709"/>
      <c r="D10" s="5707" t="s">
        <v>1235</v>
      </c>
      <c r="E10" s="5709"/>
      <c r="F10" s="5707" t="s">
        <v>3836</v>
      </c>
      <c r="G10" s="5709"/>
      <c r="H10" s="5707" t="s">
        <v>734</v>
      </c>
      <c r="I10" s="5709"/>
      <c r="J10" s="5708" t="s">
        <v>3271</v>
      </c>
      <c r="K10" s="5709"/>
      <c r="L10" s="5707" t="s">
        <v>1235</v>
      </c>
      <c r="M10" s="5709"/>
      <c r="N10" s="5707" t="s">
        <v>1236</v>
      </c>
      <c r="O10" s="5709"/>
      <c r="P10" s="5707" t="s">
        <v>734</v>
      </c>
      <c r="Q10" s="5709"/>
      <c r="R10" s="5707" t="s">
        <v>3271</v>
      </c>
      <c r="S10" s="5709"/>
      <c r="T10" s="5707" t="s">
        <v>1235</v>
      </c>
      <c r="U10" s="5709"/>
      <c r="V10" s="5707" t="s">
        <v>1332</v>
      </c>
      <c r="W10" s="5709"/>
      <c r="X10" s="5708" t="s">
        <v>734</v>
      </c>
      <c r="Y10" s="6147"/>
      <c r="Z10" s="6133" t="s">
        <v>3695</v>
      </c>
      <c r="AA10" s="7195" t="s">
        <v>1661</v>
      </c>
      <c r="AB10" s="5716"/>
      <c r="AC10" s="5708" t="s">
        <v>3271</v>
      </c>
      <c r="AD10" s="5709"/>
      <c r="AE10" s="5707" t="s">
        <v>1235</v>
      </c>
      <c r="AF10" s="5709"/>
      <c r="AG10" s="5707" t="s">
        <v>3837</v>
      </c>
      <c r="AH10" s="5709"/>
      <c r="AI10" s="5708" t="s">
        <v>3838</v>
      </c>
      <c r="AJ10" s="5709"/>
      <c r="AK10" s="6762" t="s">
        <v>3695</v>
      </c>
      <c r="AL10" s="6106" t="s">
        <v>1661</v>
      </c>
      <c r="AM10" s="5716"/>
      <c r="AN10" s="5708" t="s">
        <v>3271</v>
      </c>
      <c r="AO10" s="5709"/>
      <c r="AP10" s="5707" t="s">
        <v>1235</v>
      </c>
      <c r="AQ10" s="5709"/>
      <c r="AR10" s="5707" t="s">
        <v>1236</v>
      </c>
      <c r="AS10" s="5709"/>
      <c r="AT10" s="5707" t="s">
        <v>734</v>
      </c>
      <c r="AU10" s="5709"/>
    </row>
    <row r="11" spans="1:47" s="382" customFormat="1" ht="15" customHeight="1">
      <c r="A11" s="5719"/>
      <c r="B11" s="397" t="s">
        <v>72</v>
      </c>
      <c r="C11" s="398" t="s">
        <v>73</v>
      </c>
      <c r="D11" s="396" t="s">
        <v>72</v>
      </c>
      <c r="E11" s="398" t="s">
        <v>73</v>
      </c>
      <c r="F11" s="396" t="s">
        <v>72</v>
      </c>
      <c r="G11" s="398" t="s">
        <v>73</v>
      </c>
      <c r="H11" s="396" t="s">
        <v>72</v>
      </c>
      <c r="I11" s="398" t="s">
        <v>73</v>
      </c>
      <c r="J11" s="396" t="s">
        <v>72</v>
      </c>
      <c r="K11" s="398" t="s">
        <v>73</v>
      </c>
      <c r="L11" s="396" t="s">
        <v>72</v>
      </c>
      <c r="M11" s="398" t="s">
        <v>73</v>
      </c>
      <c r="N11" s="396" t="s">
        <v>72</v>
      </c>
      <c r="O11" s="398" t="s">
        <v>73</v>
      </c>
      <c r="P11" s="396" t="s">
        <v>72</v>
      </c>
      <c r="Q11" s="398" t="s">
        <v>73</v>
      </c>
      <c r="R11" s="396" t="s">
        <v>72</v>
      </c>
      <c r="S11" s="398" t="s">
        <v>73</v>
      </c>
      <c r="T11" s="396" t="s">
        <v>72</v>
      </c>
      <c r="U11" s="398" t="s">
        <v>73</v>
      </c>
      <c r="V11" s="396" t="s">
        <v>72</v>
      </c>
      <c r="W11" s="398" t="s">
        <v>73</v>
      </c>
      <c r="X11" s="397" t="s">
        <v>72</v>
      </c>
      <c r="Y11" s="399" t="s">
        <v>73</v>
      </c>
      <c r="Z11" s="6134"/>
      <c r="AA11" s="1646" t="s">
        <v>3839</v>
      </c>
      <c r="AB11" s="4960" t="s">
        <v>2606</v>
      </c>
      <c r="AC11" s="3657" t="s">
        <v>72</v>
      </c>
      <c r="AD11" s="398" t="s">
        <v>73</v>
      </c>
      <c r="AE11" s="397" t="s">
        <v>72</v>
      </c>
      <c r="AF11" s="398" t="s">
        <v>73</v>
      </c>
      <c r="AG11" s="396" t="s">
        <v>72</v>
      </c>
      <c r="AH11" s="398" t="s">
        <v>73</v>
      </c>
      <c r="AI11" s="397" t="s">
        <v>72</v>
      </c>
      <c r="AJ11" s="399" t="s">
        <v>73</v>
      </c>
      <c r="AK11" s="6764"/>
      <c r="AL11" s="1396" t="s">
        <v>3839</v>
      </c>
      <c r="AM11" s="4960" t="s">
        <v>2606</v>
      </c>
      <c r="AN11" s="3657" t="s">
        <v>72</v>
      </c>
      <c r="AO11" s="398" t="s">
        <v>73</v>
      </c>
      <c r="AP11" s="397" t="s">
        <v>72</v>
      </c>
      <c r="AQ11" s="398" t="s">
        <v>73</v>
      </c>
      <c r="AR11" s="396" t="s">
        <v>72</v>
      </c>
      <c r="AS11" s="398" t="s">
        <v>73</v>
      </c>
      <c r="AT11" s="396" t="s">
        <v>72</v>
      </c>
      <c r="AU11" s="398" t="s">
        <v>73</v>
      </c>
    </row>
    <row r="12" spans="1:47" s="382" customFormat="1" ht="15" customHeight="1">
      <c r="A12" s="400" t="s">
        <v>91</v>
      </c>
      <c r="B12" s="430">
        <f t="shared" ref="B12:AU12" si="0">SUM(B13:B67)</f>
        <v>0</v>
      </c>
      <c r="C12" s="1659">
        <f t="shared" si="0"/>
        <v>0</v>
      </c>
      <c r="D12" s="429">
        <f t="shared" si="0"/>
        <v>0</v>
      </c>
      <c r="E12" s="1659">
        <f t="shared" si="0"/>
        <v>0</v>
      </c>
      <c r="F12" s="429">
        <f t="shared" si="0"/>
        <v>0</v>
      </c>
      <c r="G12" s="1659">
        <f t="shared" si="0"/>
        <v>0</v>
      </c>
      <c r="H12" s="429">
        <f t="shared" si="0"/>
        <v>0</v>
      </c>
      <c r="I12" s="1659">
        <f t="shared" si="0"/>
        <v>0</v>
      </c>
      <c r="J12" s="429">
        <f t="shared" si="0"/>
        <v>0</v>
      </c>
      <c r="K12" s="1659">
        <f t="shared" si="0"/>
        <v>0</v>
      </c>
      <c r="L12" s="429">
        <f t="shared" si="0"/>
        <v>0</v>
      </c>
      <c r="M12" s="1659">
        <f t="shared" si="0"/>
        <v>0</v>
      </c>
      <c r="N12" s="429">
        <f t="shared" si="0"/>
        <v>0</v>
      </c>
      <c r="O12" s="1659">
        <f t="shared" si="0"/>
        <v>0</v>
      </c>
      <c r="P12" s="429">
        <f t="shared" si="0"/>
        <v>0</v>
      </c>
      <c r="Q12" s="1659">
        <f t="shared" si="0"/>
        <v>0</v>
      </c>
      <c r="R12" s="429">
        <f t="shared" si="0"/>
        <v>0</v>
      </c>
      <c r="S12" s="1659">
        <f t="shared" si="0"/>
        <v>0</v>
      </c>
      <c r="T12" s="430">
        <f t="shared" si="0"/>
        <v>0</v>
      </c>
      <c r="U12" s="1659">
        <f t="shared" si="0"/>
        <v>0</v>
      </c>
      <c r="V12" s="429">
        <f t="shared" si="0"/>
        <v>0</v>
      </c>
      <c r="W12" s="1659">
        <f t="shared" si="0"/>
        <v>0</v>
      </c>
      <c r="X12" s="430">
        <f t="shared" si="0"/>
        <v>0</v>
      </c>
      <c r="Y12" s="4961">
        <f t="shared" si="0"/>
        <v>0</v>
      </c>
      <c r="Z12" s="402">
        <f t="shared" si="0"/>
        <v>0</v>
      </c>
      <c r="AA12" s="430">
        <f t="shared" si="0"/>
        <v>0</v>
      </c>
      <c r="AB12" s="2363">
        <f t="shared" si="0"/>
        <v>0</v>
      </c>
      <c r="AC12" s="4778">
        <f t="shared" si="0"/>
        <v>0</v>
      </c>
      <c r="AD12" s="1659">
        <f t="shared" si="0"/>
        <v>0</v>
      </c>
      <c r="AE12" s="430">
        <f t="shared" si="0"/>
        <v>0</v>
      </c>
      <c r="AF12" s="1659">
        <f t="shared" si="0"/>
        <v>0</v>
      </c>
      <c r="AG12" s="429">
        <f t="shared" si="0"/>
        <v>0</v>
      </c>
      <c r="AH12" s="1659">
        <f t="shared" si="0"/>
        <v>0</v>
      </c>
      <c r="AI12" s="430">
        <f t="shared" si="0"/>
        <v>0</v>
      </c>
      <c r="AJ12" s="4961">
        <f t="shared" si="0"/>
        <v>0</v>
      </c>
      <c r="AK12" s="4675">
        <f t="shared" si="0"/>
        <v>0</v>
      </c>
      <c r="AL12" s="430">
        <f t="shared" si="0"/>
        <v>0</v>
      </c>
      <c r="AM12" s="2363">
        <f t="shared" si="0"/>
        <v>0</v>
      </c>
      <c r="AN12" s="4778">
        <f t="shared" si="0"/>
        <v>0</v>
      </c>
      <c r="AO12" s="1659">
        <f t="shared" si="0"/>
        <v>0</v>
      </c>
      <c r="AP12" s="430">
        <f t="shared" si="0"/>
        <v>0</v>
      </c>
      <c r="AQ12" s="1659">
        <f t="shared" si="0"/>
        <v>0</v>
      </c>
      <c r="AR12" s="429">
        <f t="shared" si="0"/>
        <v>0</v>
      </c>
      <c r="AS12" s="1659">
        <f t="shared" si="0"/>
        <v>0</v>
      </c>
      <c r="AT12" s="429">
        <f t="shared" si="0"/>
        <v>0</v>
      </c>
      <c r="AU12" s="1659">
        <f t="shared" si="0"/>
        <v>0</v>
      </c>
    </row>
    <row r="13" spans="1:47" s="382" customFormat="1" ht="15" customHeight="1">
      <c r="A13" s="1946" t="s">
        <v>1239</v>
      </c>
      <c r="B13" s="1424"/>
      <c r="C13" s="1676"/>
      <c r="D13" s="1424"/>
      <c r="E13" s="1676"/>
      <c r="F13" s="1424"/>
      <c r="G13" s="1676"/>
      <c r="H13" s="1424"/>
      <c r="I13" s="1676"/>
      <c r="J13" s="1424"/>
      <c r="K13" s="1676"/>
      <c r="L13" s="1424"/>
      <c r="M13" s="1676"/>
      <c r="N13" s="1424"/>
      <c r="O13" s="1676"/>
      <c r="P13" s="1424"/>
      <c r="Q13" s="1676"/>
      <c r="R13" s="409">
        <f t="shared" ref="R13:Y67" si="1">SUM(B13+J13)</f>
        <v>0</v>
      </c>
      <c r="S13" s="1649">
        <f t="shared" si="1"/>
        <v>0</v>
      </c>
      <c r="T13" s="409">
        <f t="shared" si="1"/>
        <v>0</v>
      </c>
      <c r="U13" s="1649">
        <f t="shared" si="1"/>
        <v>0</v>
      </c>
      <c r="V13" s="447">
        <f t="shared" si="1"/>
        <v>0</v>
      </c>
      <c r="W13" s="1649">
        <f t="shared" si="1"/>
        <v>0</v>
      </c>
      <c r="X13" s="409">
        <f t="shared" si="1"/>
        <v>0</v>
      </c>
      <c r="Y13" s="2839">
        <f t="shared" si="1"/>
        <v>0</v>
      </c>
      <c r="Z13" s="1707"/>
      <c r="AA13" s="1652"/>
      <c r="AB13" s="1676"/>
      <c r="AC13" s="1707"/>
      <c r="AD13" s="1676"/>
      <c r="AE13" s="1425"/>
      <c r="AF13" s="1676"/>
      <c r="AG13" s="1424"/>
      <c r="AH13" s="1676"/>
      <c r="AI13" s="1425"/>
      <c r="AJ13" s="1428"/>
      <c r="AK13" s="1651"/>
      <c r="AL13" s="1652"/>
      <c r="AM13" s="1676"/>
      <c r="AN13" s="4962"/>
      <c r="AO13" s="4963"/>
      <c r="AP13" s="4964"/>
      <c r="AQ13" s="4963"/>
      <c r="AR13" s="4965"/>
      <c r="AS13" s="4963"/>
      <c r="AT13" s="4965"/>
      <c r="AU13" s="4963"/>
    </row>
    <row r="14" spans="1:47" s="382" customFormat="1" ht="15" customHeight="1">
      <c r="A14" s="1947" t="s">
        <v>3840</v>
      </c>
      <c r="B14" s="1485"/>
      <c r="C14" s="1824"/>
      <c r="D14" s="1485"/>
      <c r="E14" s="1824"/>
      <c r="F14" s="1485"/>
      <c r="G14" s="1824"/>
      <c r="H14" s="1485"/>
      <c r="I14" s="1824"/>
      <c r="J14" s="1485"/>
      <c r="K14" s="1824"/>
      <c r="L14" s="1485"/>
      <c r="M14" s="1824"/>
      <c r="N14" s="1485"/>
      <c r="O14" s="1824"/>
      <c r="P14" s="1485"/>
      <c r="Q14" s="1824"/>
      <c r="R14" s="3051">
        <f t="shared" si="1"/>
        <v>0</v>
      </c>
      <c r="S14" s="1697">
        <f t="shared" ref="S14:S67" si="2">SUM(C14+K14)</f>
        <v>0</v>
      </c>
      <c r="T14" s="3051">
        <f t="shared" ref="T14:T67" si="3">SUM(D14+L14)</f>
        <v>0</v>
      </c>
      <c r="U14" s="1697">
        <f t="shared" ref="U14:U67" si="4">SUM(E14+M14)</f>
        <v>0</v>
      </c>
      <c r="V14" s="1695">
        <f t="shared" ref="V14:V67" si="5">SUM(F14+N14)</f>
        <v>0</v>
      </c>
      <c r="W14" s="1697">
        <f t="shared" ref="W14:W67" si="6">SUM(G14+O14)</f>
        <v>0</v>
      </c>
      <c r="X14" s="3051">
        <f t="shared" ref="X14:X67" si="7">SUM(H14+P14)</f>
        <v>0</v>
      </c>
      <c r="Y14" s="4966">
        <f t="shared" ref="Y14:Y67" si="8">SUM(I14+Q14)</f>
        <v>0</v>
      </c>
      <c r="Z14" s="1711"/>
      <c r="AA14" s="1487"/>
      <c r="AB14" s="1824"/>
      <c r="AC14" s="1711"/>
      <c r="AD14" s="1824"/>
      <c r="AE14" s="1826"/>
      <c r="AF14" s="1824"/>
      <c r="AG14" s="1485"/>
      <c r="AH14" s="1824"/>
      <c r="AI14" s="1826"/>
      <c r="AJ14" s="1486"/>
      <c r="AK14" s="4559"/>
      <c r="AL14" s="1487"/>
      <c r="AM14" s="1824"/>
      <c r="AN14" s="4967"/>
      <c r="AO14" s="4968"/>
      <c r="AP14" s="4969"/>
      <c r="AQ14" s="4968"/>
      <c r="AR14" s="4970"/>
      <c r="AS14" s="4968"/>
      <c r="AT14" s="4970"/>
      <c r="AU14" s="4968"/>
    </row>
    <row r="15" spans="1:47" s="382" customFormat="1" ht="15" customHeight="1">
      <c r="A15" s="1947" t="s">
        <v>1241</v>
      </c>
      <c r="B15" s="1485"/>
      <c r="C15" s="1824"/>
      <c r="D15" s="1485"/>
      <c r="E15" s="1824"/>
      <c r="F15" s="1485"/>
      <c r="G15" s="1824"/>
      <c r="H15" s="1485"/>
      <c r="I15" s="1824"/>
      <c r="J15" s="1485"/>
      <c r="K15" s="1824"/>
      <c r="L15" s="1485"/>
      <c r="M15" s="1824"/>
      <c r="N15" s="1485"/>
      <c r="O15" s="1824"/>
      <c r="P15" s="1485"/>
      <c r="Q15" s="1824"/>
      <c r="R15" s="3051">
        <f t="shared" si="1"/>
        <v>0</v>
      </c>
      <c r="S15" s="1697">
        <f t="shared" si="2"/>
        <v>0</v>
      </c>
      <c r="T15" s="3051">
        <f t="shared" si="3"/>
        <v>0</v>
      </c>
      <c r="U15" s="1697">
        <f t="shared" si="4"/>
        <v>0</v>
      </c>
      <c r="V15" s="1695">
        <f t="shared" si="5"/>
        <v>0</v>
      </c>
      <c r="W15" s="1697">
        <f t="shared" si="6"/>
        <v>0</v>
      </c>
      <c r="X15" s="3051">
        <f t="shared" si="7"/>
        <v>0</v>
      </c>
      <c r="Y15" s="4966">
        <f t="shared" si="8"/>
        <v>0</v>
      </c>
      <c r="Z15" s="1711"/>
      <c r="AA15" s="1487"/>
      <c r="AB15" s="1824"/>
      <c r="AC15" s="1711"/>
      <c r="AD15" s="1824"/>
      <c r="AE15" s="1826"/>
      <c r="AF15" s="1824"/>
      <c r="AG15" s="1485"/>
      <c r="AH15" s="1824"/>
      <c r="AI15" s="1826"/>
      <c r="AJ15" s="1486"/>
      <c r="AK15" s="4559"/>
      <c r="AL15" s="1487"/>
      <c r="AM15" s="1824"/>
      <c r="AN15" s="4967"/>
      <c r="AO15" s="4968"/>
      <c r="AP15" s="4969"/>
      <c r="AQ15" s="4968"/>
      <c r="AR15" s="4970"/>
      <c r="AS15" s="4968"/>
      <c r="AT15" s="4970"/>
      <c r="AU15" s="4968"/>
    </row>
    <row r="16" spans="1:47" s="382" customFormat="1" ht="15" customHeight="1">
      <c r="A16" s="1947" t="s">
        <v>3841</v>
      </c>
      <c r="B16" s="1485"/>
      <c r="C16" s="1824"/>
      <c r="D16" s="1485"/>
      <c r="E16" s="1824"/>
      <c r="F16" s="1485"/>
      <c r="G16" s="1824"/>
      <c r="H16" s="1485"/>
      <c r="I16" s="1824"/>
      <c r="J16" s="1485"/>
      <c r="K16" s="1824"/>
      <c r="L16" s="1485"/>
      <c r="M16" s="1824"/>
      <c r="N16" s="1485"/>
      <c r="O16" s="1824"/>
      <c r="P16" s="1485"/>
      <c r="Q16" s="1824"/>
      <c r="R16" s="3051">
        <f t="shared" si="1"/>
        <v>0</v>
      </c>
      <c r="S16" s="1697">
        <f t="shared" si="2"/>
        <v>0</v>
      </c>
      <c r="T16" s="3051">
        <f t="shared" si="3"/>
        <v>0</v>
      </c>
      <c r="U16" s="1697">
        <f t="shared" si="4"/>
        <v>0</v>
      </c>
      <c r="V16" s="1695">
        <f t="shared" si="5"/>
        <v>0</v>
      </c>
      <c r="W16" s="1697">
        <f t="shared" si="6"/>
        <v>0</v>
      </c>
      <c r="X16" s="3051">
        <f t="shared" si="7"/>
        <v>0</v>
      </c>
      <c r="Y16" s="4966">
        <f t="shared" si="8"/>
        <v>0</v>
      </c>
      <c r="Z16" s="1711"/>
      <c r="AA16" s="1487"/>
      <c r="AB16" s="1824"/>
      <c r="AC16" s="1711"/>
      <c r="AD16" s="1824"/>
      <c r="AE16" s="1826"/>
      <c r="AF16" s="1824"/>
      <c r="AG16" s="1485"/>
      <c r="AH16" s="1824"/>
      <c r="AI16" s="1826"/>
      <c r="AJ16" s="1486"/>
      <c r="AK16" s="4559"/>
      <c r="AL16" s="1487"/>
      <c r="AM16" s="1824"/>
      <c r="AN16" s="4967"/>
      <c r="AO16" s="4968"/>
      <c r="AP16" s="4969"/>
      <c r="AQ16" s="4968"/>
      <c r="AR16" s="4970"/>
      <c r="AS16" s="4968"/>
      <c r="AT16" s="4970"/>
      <c r="AU16" s="4968"/>
    </row>
    <row r="17" spans="1:47" s="382" customFormat="1" ht="15" customHeight="1">
      <c r="A17" s="1947" t="s">
        <v>3842</v>
      </c>
      <c r="B17" s="1485"/>
      <c r="C17" s="1824"/>
      <c r="D17" s="1485"/>
      <c r="E17" s="1824"/>
      <c r="F17" s="1485"/>
      <c r="G17" s="1824"/>
      <c r="H17" s="1485"/>
      <c r="I17" s="1824"/>
      <c r="J17" s="1485"/>
      <c r="K17" s="1824"/>
      <c r="L17" s="1485"/>
      <c r="M17" s="1824"/>
      <c r="N17" s="1485"/>
      <c r="O17" s="1824"/>
      <c r="P17" s="1485"/>
      <c r="Q17" s="1824"/>
      <c r="R17" s="3051">
        <f t="shared" si="1"/>
        <v>0</v>
      </c>
      <c r="S17" s="1697">
        <f t="shared" si="2"/>
        <v>0</v>
      </c>
      <c r="T17" s="3051">
        <f t="shared" si="3"/>
        <v>0</v>
      </c>
      <c r="U17" s="1697">
        <f t="shared" si="4"/>
        <v>0</v>
      </c>
      <c r="V17" s="1695">
        <f t="shared" si="5"/>
        <v>0</v>
      </c>
      <c r="W17" s="1697">
        <f t="shared" si="6"/>
        <v>0</v>
      </c>
      <c r="X17" s="3051">
        <f t="shared" si="7"/>
        <v>0</v>
      </c>
      <c r="Y17" s="4966">
        <f t="shared" si="8"/>
        <v>0</v>
      </c>
      <c r="Z17" s="1711"/>
      <c r="AA17" s="1487"/>
      <c r="AB17" s="1824"/>
      <c r="AC17" s="1711"/>
      <c r="AD17" s="1824"/>
      <c r="AE17" s="1826"/>
      <c r="AF17" s="1824"/>
      <c r="AG17" s="1485"/>
      <c r="AH17" s="1824"/>
      <c r="AI17" s="1826"/>
      <c r="AJ17" s="1486"/>
      <c r="AK17" s="4559"/>
      <c r="AL17" s="1487"/>
      <c r="AM17" s="1824"/>
      <c r="AN17" s="4967"/>
      <c r="AO17" s="4968"/>
      <c r="AP17" s="4969"/>
      <c r="AQ17" s="4968"/>
      <c r="AR17" s="4970"/>
      <c r="AS17" s="4968"/>
      <c r="AT17" s="4970"/>
      <c r="AU17" s="4968"/>
    </row>
    <row r="18" spans="1:47" s="382" customFormat="1" ht="15" customHeight="1">
      <c r="A18" s="1947" t="s">
        <v>1244</v>
      </c>
      <c r="B18" s="1485"/>
      <c r="C18" s="1824"/>
      <c r="D18" s="1485"/>
      <c r="E18" s="1824"/>
      <c r="F18" s="1485"/>
      <c r="G18" s="1824"/>
      <c r="H18" s="1485"/>
      <c r="I18" s="1824"/>
      <c r="J18" s="1485"/>
      <c r="K18" s="1824"/>
      <c r="L18" s="1485"/>
      <c r="M18" s="1824"/>
      <c r="N18" s="1485"/>
      <c r="O18" s="1824"/>
      <c r="P18" s="1485"/>
      <c r="Q18" s="1824"/>
      <c r="R18" s="3051">
        <f t="shared" si="1"/>
        <v>0</v>
      </c>
      <c r="S18" s="1697">
        <f t="shared" si="2"/>
        <v>0</v>
      </c>
      <c r="T18" s="3051">
        <f t="shared" si="3"/>
        <v>0</v>
      </c>
      <c r="U18" s="1697">
        <f t="shared" si="4"/>
        <v>0</v>
      </c>
      <c r="V18" s="1695">
        <f t="shared" si="5"/>
        <v>0</v>
      </c>
      <c r="W18" s="1697">
        <f t="shared" si="6"/>
        <v>0</v>
      </c>
      <c r="X18" s="3051">
        <f t="shared" si="7"/>
        <v>0</v>
      </c>
      <c r="Y18" s="4966">
        <f t="shared" si="8"/>
        <v>0</v>
      </c>
      <c r="Z18" s="1711"/>
      <c r="AA18" s="1487"/>
      <c r="AB18" s="1824"/>
      <c r="AC18" s="1711"/>
      <c r="AD18" s="1824"/>
      <c r="AE18" s="1826"/>
      <c r="AF18" s="1824"/>
      <c r="AG18" s="1485"/>
      <c r="AH18" s="1824"/>
      <c r="AI18" s="1826"/>
      <c r="AJ18" s="1486"/>
      <c r="AK18" s="4559"/>
      <c r="AL18" s="1487"/>
      <c r="AM18" s="1824"/>
      <c r="AN18" s="4967"/>
      <c r="AO18" s="4968"/>
      <c r="AP18" s="4969"/>
      <c r="AQ18" s="4968"/>
      <c r="AR18" s="4970"/>
      <c r="AS18" s="4968"/>
      <c r="AT18" s="4970"/>
      <c r="AU18" s="4968"/>
    </row>
    <row r="19" spans="1:47" s="382" customFormat="1" ht="15" customHeight="1">
      <c r="A19" s="1947" t="s">
        <v>1245</v>
      </c>
      <c r="B19" s="1485"/>
      <c r="C19" s="1824"/>
      <c r="D19" s="1485"/>
      <c r="E19" s="1824"/>
      <c r="F19" s="1485"/>
      <c r="G19" s="1824"/>
      <c r="H19" s="1485"/>
      <c r="I19" s="1824"/>
      <c r="J19" s="1485"/>
      <c r="K19" s="1824"/>
      <c r="L19" s="1485"/>
      <c r="M19" s="1824"/>
      <c r="N19" s="1485"/>
      <c r="O19" s="1824"/>
      <c r="P19" s="1485"/>
      <c r="Q19" s="1824"/>
      <c r="R19" s="3051">
        <f t="shared" si="1"/>
        <v>0</v>
      </c>
      <c r="S19" s="1697">
        <f t="shared" si="2"/>
        <v>0</v>
      </c>
      <c r="T19" s="3051">
        <f t="shared" si="3"/>
        <v>0</v>
      </c>
      <c r="U19" s="1697">
        <f t="shared" si="4"/>
        <v>0</v>
      </c>
      <c r="V19" s="1695">
        <f t="shared" si="5"/>
        <v>0</v>
      </c>
      <c r="W19" s="1697">
        <f t="shared" si="6"/>
        <v>0</v>
      </c>
      <c r="X19" s="3051">
        <f t="shared" si="7"/>
        <v>0</v>
      </c>
      <c r="Y19" s="4966">
        <f t="shared" si="8"/>
        <v>0</v>
      </c>
      <c r="Z19" s="1711"/>
      <c r="AA19" s="1487"/>
      <c r="AB19" s="1824"/>
      <c r="AC19" s="1711"/>
      <c r="AD19" s="1824"/>
      <c r="AE19" s="1826"/>
      <c r="AF19" s="1824"/>
      <c r="AG19" s="1485"/>
      <c r="AH19" s="1824"/>
      <c r="AI19" s="1826"/>
      <c r="AJ19" s="1486"/>
      <c r="AK19" s="4559"/>
      <c r="AL19" s="1487"/>
      <c r="AM19" s="1824"/>
      <c r="AN19" s="4967"/>
      <c r="AO19" s="4968"/>
      <c r="AP19" s="4969"/>
      <c r="AQ19" s="4968"/>
      <c r="AR19" s="4970"/>
      <c r="AS19" s="4968"/>
      <c r="AT19" s="4970"/>
      <c r="AU19" s="4968"/>
    </row>
    <row r="20" spans="1:47" s="382" customFormat="1" ht="15" customHeight="1">
      <c r="A20" s="1947" t="s">
        <v>3843</v>
      </c>
      <c r="B20" s="1485"/>
      <c r="C20" s="1824"/>
      <c r="D20" s="1485"/>
      <c r="E20" s="1824"/>
      <c r="F20" s="1485"/>
      <c r="G20" s="1824"/>
      <c r="H20" s="1485"/>
      <c r="I20" s="1824"/>
      <c r="J20" s="1485"/>
      <c r="K20" s="1824"/>
      <c r="L20" s="1485"/>
      <c r="M20" s="1824"/>
      <c r="N20" s="1485"/>
      <c r="O20" s="1824"/>
      <c r="P20" s="1485"/>
      <c r="Q20" s="1824"/>
      <c r="R20" s="3051">
        <f t="shared" si="1"/>
        <v>0</v>
      </c>
      <c r="S20" s="1697">
        <f t="shared" si="2"/>
        <v>0</v>
      </c>
      <c r="T20" s="3051">
        <f t="shared" si="3"/>
        <v>0</v>
      </c>
      <c r="U20" s="1697">
        <f t="shared" si="4"/>
        <v>0</v>
      </c>
      <c r="V20" s="1695">
        <f t="shared" si="5"/>
        <v>0</v>
      </c>
      <c r="W20" s="1697">
        <f t="shared" si="6"/>
        <v>0</v>
      </c>
      <c r="X20" s="3051">
        <f t="shared" si="7"/>
        <v>0</v>
      </c>
      <c r="Y20" s="4966">
        <f t="shared" si="8"/>
        <v>0</v>
      </c>
      <c r="Z20" s="1711"/>
      <c r="AA20" s="1487"/>
      <c r="AB20" s="1824"/>
      <c r="AC20" s="1711"/>
      <c r="AD20" s="1824"/>
      <c r="AE20" s="1826"/>
      <c r="AF20" s="1824"/>
      <c r="AG20" s="1485"/>
      <c r="AH20" s="1824"/>
      <c r="AI20" s="1826"/>
      <c r="AJ20" s="1486"/>
      <c r="AK20" s="4559"/>
      <c r="AL20" s="1487"/>
      <c r="AM20" s="1824"/>
      <c r="AN20" s="4967"/>
      <c r="AO20" s="4968"/>
      <c r="AP20" s="4969"/>
      <c r="AQ20" s="4968"/>
      <c r="AR20" s="4970"/>
      <c r="AS20" s="4968"/>
      <c r="AT20" s="4970"/>
      <c r="AU20" s="4968"/>
    </row>
    <row r="21" spans="1:47" s="382" customFormat="1" ht="15" customHeight="1">
      <c r="A21" s="1947" t="s">
        <v>3263</v>
      </c>
      <c r="B21" s="1485"/>
      <c r="C21" s="1824"/>
      <c r="D21" s="1485"/>
      <c r="E21" s="1824"/>
      <c r="F21" s="1485"/>
      <c r="G21" s="1824"/>
      <c r="H21" s="1485"/>
      <c r="I21" s="1824"/>
      <c r="J21" s="1485"/>
      <c r="K21" s="1824"/>
      <c r="L21" s="1485"/>
      <c r="M21" s="1824"/>
      <c r="N21" s="1485"/>
      <c r="O21" s="1824"/>
      <c r="P21" s="1485"/>
      <c r="Q21" s="1824"/>
      <c r="R21" s="3051">
        <f t="shared" si="1"/>
        <v>0</v>
      </c>
      <c r="S21" s="1697">
        <f t="shared" si="2"/>
        <v>0</v>
      </c>
      <c r="T21" s="3051">
        <f t="shared" si="3"/>
        <v>0</v>
      </c>
      <c r="U21" s="1697">
        <f t="shared" si="4"/>
        <v>0</v>
      </c>
      <c r="V21" s="1695">
        <f t="shared" si="5"/>
        <v>0</v>
      </c>
      <c r="W21" s="1697">
        <f t="shared" si="6"/>
        <v>0</v>
      </c>
      <c r="X21" s="3051">
        <f t="shared" si="7"/>
        <v>0</v>
      </c>
      <c r="Y21" s="4966">
        <f t="shared" si="8"/>
        <v>0</v>
      </c>
      <c r="Z21" s="1711"/>
      <c r="AA21" s="1487"/>
      <c r="AB21" s="1824"/>
      <c r="AC21" s="1711"/>
      <c r="AD21" s="1824"/>
      <c r="AE21" s="1826"/>
      <c r="AF21" s="1824"/>
      <c r="AG21" s="1485"/>
      <c r="AH21" s="1824"/>
      <c r="AI21" s="1826"/>
      <c r="AJ21" s="1486"/>
      <c r="AK21" s="4559"/>
      <c r="AL21" s="1487"/>
      <c r="AM21" s="1824"/>
      <c r="AN21" s="4967"/>
      <c r="AO21" s="4968"/>
      <c r="AP21" s="4969"/>
      <c r="AQ21" s="4968"/>
      <c r="AR21" s="4970"/>
      <c r="AS21" s="4968"/>
      <c r="AT21" s="4970"/>
      <c r="AU21" s="4968"/>
    </row>
    <row r="22" spans="1:47" s="382" customFormat="1" ht="15" customHeight="1">
      <c r="A22" s="1947" t="s">
        <v>3844</v>
      </c>
      <c r="B22" s="1485"/>
      <c r="C22" s="1824"/>
      <c r="D22" s="1485"/>
      <c r="E22" s="1824"/>
      <c r="F22" s="1485"/>
      <c r="G22" s="1824"/>
      <c r="H22" s="1485"/>
      <c r="I22" s="1824"/>
      <c r="J22" s="1485"/>
      <c r="K22" s="1824"/>
      <c r="L22" s="1485"/>
      <c r="M22" s="1824"/>
      <c r="N22" s="1485"/>
      <c r="O22" s="1824"/>
      <c r="P22" s="1485"/>
      <c r="Q22" s="1824"/>
      <c r="R22" s="3051">
        <f t="shared" si="1"/>
        <v>0</v>
      </c>
      <c r="S22" s="1697">
        <f t="shared" si="2"/>
        <v>0</v>
      </c>
      <c r="T22" s="3051">
        <f t="shared" si="3"/>
        <v>0</v>
      </c>
      <c r="U22" s="1697">
        <f t="shared" si="4"/>
        <v>0</v>
      </c>
      <c r="V22" s="1695">
        <f t="shared" si="5"/>
        <v>0</v>
      </c>
      <c r="W22" s="1697">
        <f t="shared" si="6"/>
        <v>0</v>
      </c>
      <c r="X22" s="3051">
        <f t="shared" si="7"/>
        <v>0</v>
      </c>
      <c r="Y22" s="4966">
        <f t="shared" si="8"/>
        <v>0</v>
      </c>
      <c r="Z22" s="1711"/>
      <c r="AA22" s="1487"/>
      <c r="AB22" s="1824"/>
      <c r="AC22" s="1711"/>
      <c r="AD22" s="1824"/>
      <c r="AE22" s="1826"/>
      <c r="AF22" s="1824"/>
      <c r="AG22" s="1485"/>
      <c r="AH22" s="1824"/>
      <c r="AI22" s="1826"/>
      <c r="AJ22" s="1486"/>
      <c r="AK22" s="4559"/>
      <c r="AL22" s="1487"/>
      <c r="AM22" s="1824"/>
      <c r="AN22" s="4967"/>
      <c r="AO22" s="4968"/>
      <c r="AP22" s="4969"/>
      <c r="AQ22" s="4968"/>
      <c r="AR22" s="4970"/>
      <c r="AS22" s="4968"/>
      <c r="AT22" s="4970"/>
      <c r="AU22" s="4968"/>
    </row>
    <row r="23" spans="1:47" s="382" customFormat="1" ht="15" customHeight="1">
      <c r="A23" s="1947" t="s">
        <v>3845</v>
      </c>
      <c r="B23" s="1485"/>
      <c r="C23" s="1824"/>
      <c r="D23" s="1485"/>
      <c r="E23" s="1824"/>
      <c r="F23" s="1485"/>
      <c r="G23" s="1824"/>
      <c r="H23" s="1485"/>
      <c r="I23" s="1824"/>
      <c r="J23" s="1485"/>
      <c r="K23" s="1824"/>
      <c r="L23" s="1485"/>
      <c r="M23" s="1824"/>
      <c r="N23" s="1485"/>
      <c r="O23" s="1824"/>
      <c r="P23" s="1485"/>
      <c r="Q23" s="1824"/>
      <c r="R23" s="3051">
        <f t="shared" si="1"/>
        <v>0</v>
      </c>
      <c r="S23" s="1697">
        <f t="shared" si="2"/>
        <v>0</v>
      </c>
      <c r="T23" s="3051">
        <f t="shared" si="3"/>
        <v>0</v>
      </c>
      <c r="U23" s="1697">
        <f t="shared" si="4"/>
        <v>0</v>
      </c>
      <c r="V23" s="1695">
        <f t="shared" si="5"/>
        <v>0</v>
      </c>
      <c r="W23" s="1697">
        <f t="shared" si="6"/>
        <v>0</v>
      </c>
      <c r="X23" s="3051">
        <f t="shared" si="7"/>
        <v>0</v>
      </c>
      <c r="Y23" s="4966">
        <f t="shared" si="8"/>
        <v>0</v>
      </c>
      <c r="Z23" s="1711"/>
      <c r="AA23" s="1487"/>
      <c r="AB23" s="1824"/>
      <c r="AC23" s="1711"/>
      <c r="AD23" s="1824"/>
      <c r="AE23" s="1826"/>
      <c r="AF23" s="1824"/>
      <c r="AG23" s="1485"/>
      <c r="AH23" s="1824"/>
      <c r="AI23" s="1826"/>
      <c r="AJ23" s="1486"/>
      <c r="AK23" s="4559"/>
      <c r="AL23" s="1487"/>
      <c r="AM23" s="1824"/>
      <c r="AN23" s="4967"/>
      <c r="AO23" s="4968"/>
      <c r="AP23" s="4969"/>
      <c r="AQ23" s="4968"/>
      <c r="AR23" s="4970"/>
      <c r="AS23" s="4968"/>
      <c r="AT23" s="4970"/>
      <c r="AU23" s="4968"/>
    </row>
    <row r="24" spans="1:47" s="382" customFormat="1" ht="15" customHeight="1">
      <c r="A24" s="1947" t="s">
        <v>3846</v>
      </c>
      <c r="B24" s="1485"/>
      <c r="C24" s="1824"/>
      <c r="D24" s="1485"/>
      <c r="E24" s="1824"/>
      <c r="F24" s="1485"/>
      <c r="G24" s="1824"/>
      <c r="H24" s="1485"/>
      <c r="I24" s="1824"/>
      <c r="J24" s="1485"/>
      <c r="K24" s="1824"/>
      <c r="L24" s="1485"/>
      <c r="M24" s="1824"/>
      <c r="N24" s="1485"/>
      <c r="O24" s="1824"/>
      <c r="P24" s="1485"/>
      <c r="Q24" s="1824"/>
      <c r="R24" s="3051">
        <f t="shared" si="1"/>
        <v>0</v>
      </c>
      <c r="S24" s="1697">
        <f t="shared" si="2"/>
        <v>0</v>
      </c>
      <c r="T24" s="3051">
        <f t="shared" si="3"/>
        <v>0</v>
      </c>
      <c r="U24" s="1697">
        <f t="shared" si="4"/>
        <v>0</v>
      </c>
      <c r="V24" s="1695">
        <f t="shared" si="5"/>
        <v>0</v>
      </c>
      <c r="W24" s="1697">
        <f t="shared" si="6"/>
        <v>0</v>
      </c>
      <c r="X24" s="3051">
        <f t="shared" si="7"/>
        <v>0</v>
      </c>
      <c r="Y24" s="4966">
        <f t="shared" si="8"/>
        <v>0</v>
      </c>
      <c r="Z24" s="1711"/>
      <c r="AA24" s="1487"/>
      <c r="AB24" s="1824"/>
      <c r="AC24" s="1711"/>
      <c r="AD24" s="1824"/>
      <c r="AE24" s="1826"/>
      <c r="AF24" s="1824"/>
      <c r="AG24" s="1485"/>
      <c r="AH24" s="1824"/>
      <c r="AI24" s="1826"/>
      <c r="AJ24" s="1486"/>
      <c r="AK24" s="4559"/>
      <c r="AL24" s="1487"/>
      <c r="AM24" s="1824"/>
      <c r="AN24" s="4967"/>
      <c r="AO24" s="4968"/>
      <c r="AP24" s="4969"/>
      <c r="AQ24" s="4968"/>
      <c r="AR24" s="4970"/>
      <c r="AS24" s="4968"/>
      <c r="AT24" s="4970"/>
      <c r="AU24" s="4968"/>
    </row>
    <row r="25" spans="1:47" s="382" customFormat="1" ht="15" customHeight="1">
      <c r="A25" s="1947" t="s">
        <v>1251</v>
      </c>
      <c r="B25" s="1485"/>
      <c r="C25" s="1824"/>
      <c r="D25" s="1485"/>
      <c r="E25" s="1824"/>
      <c r="F25" s="1485"/>
      <c r="G25" s="1824"/>
      <c r="H25" s="1485"/>
      <c r="I25" s="1824"/>
      <c r="J25" s="1485"/>
      <c r="K25" s="1824"/>
      <c r="L25" s="1485"/>
      <c r="M25" s="1824"/>
      <c r="N25" s="1485"/>
      <c r="O25" s="1824"/>
      <c r="P25" s="1485"/>
      <c r="Q25" s="1824"/>
      <c r="R25" s="3051">
        <f t="shared" si="1"/>
        <v>0</v>
      </c>
      <c r="S25" s="1697">
        <f t="shared" si="2"/>
        <v>0</v>
      </c>
      <c r="T25" s="3051">
        <f t="shared" si="3"/>
        <v>0</v>
      </c>
      <c r="U25" s="1697">
        <f t="shared" si="4"/>
        <v>0</v>
      </c>
      <c r="V25" s="1695">
        <f t="shared" si="5"/>
        <v>0</v>
      </c>
      <c r="W25" s="1697">
        <f t="shared" si="6"/>
        <v>0</v>
      </c>
      <c r="X25" s="3051">
        <f t="shared" si="7"/>
        <v>0</v>
      </c>
      <c r="Y25" s="4966">
        <f t="shared" si="8"/>
        <v>0</v>
      </c>
      <c r="Z25" s="1711"/>
      <c r="AA25" s="1487"/>
      <c r="AB25" s="1824"/>
      <c r="AC25" s="1711"/>
      <c r="AD25" s="1824"/>
      <c r="AE25" s="1826"/>
      <c r="AF25" s="1824"/>
      <c r="AG25" s="1485"/>
      <c r="AH25" s="1824"/>
      <c r="AI25" s="1826"/>
      <c r="AJ25" s="1486"/>
      <c r="AK25" s="4559"/>
      <c r="AL25" s="1487"/>
      <c r="AM25" s="1824"/>
      <c r="AN25" s="4967"/>
      <c r="AO25" s="4968"/>
      <c r="AP25" s="4969"/>
      <c r="AQ25" s="4968"/>
      <c r="AR25" s="4970"/>
      <c r="AS25" s="4968"/>
      <c r="AT25" s="4970"/>
      <c r="AU25" s="4968"/>
    </row>
    <row r="26" spans="1:47" s="382" customFormat="1" ht="15" customHeight="1">
      <c r="A26" s="2328" t="s">
        <v>1252</v>
      </c>
      <c r="B26" s="1485"/>
      <c r="C26" s="1824"/>
      <c r="D26" s="1485"/>
      <c r="E26" s="1824"/>
      <c r="F26" s="1485"/>
      <c r="G26" s="1824"/>
      <c r="H26" s="1485"/>
      <c r="I26" s="1824"/>
      <c r="J26" s="1485"/>
      <c r="K26" s="1824"/>
      <c r="L26" s="1485"/>
      <c r="M26" s="1824"/>
      <c r="N26" s="1485"/>
      <c r="O26" s="1824"/>
      <c r="P26" s="1485"/>
      <c r="Q26" s="1824"/>
      <c r="R26" s="3051">
        <f t="shared" si="1"/>
        <v>0</v>
      </c>
      <c r="S26" s="1697">
        <f t="shared" si="2"/>
        <v>0</v>
      </c>
      <c r="T26" s="3051">
        <f t="shared" si="3"/>
        <v>0</v>
      </c>
      <c r="U26" s="1697">
        <f t="shared" si="4"/>
        <v>0</v>
      </c>
      <c r="V26" s="1695">
        <f t="shared" si="5"/>
        <v>0</v>
      </c>
      <c r="W26" s="1697">
        <f t="shared" si="6"/>
        <v>0</v>
      </c>
      <c r="X26" s="3051">
        <f t="shared" si="7"/>
        <v>0</v>
      </c>
      <c r="Y26" s="4966">
        <f t="shared" si="8"/>
        <v>0</v>
      </c>
      <c r="Z26" s="1711"/>
      <c r="AA26" s="1487"/>
      <c r="AB26" s="1824"/>
      <c r="AC26" s="1711"/>
      <c r="AD26" s="1824"/>
      <c r="AE26" s="1826"/>
      <c r="AF26" s="1824"/>
      <c r="AG26" s="1485"/>
      <c r="AH26" s="1824"/>
      <c r="AI26" s="1826"/>
      <c r="AJ26" s="1486"/>
      <c r="AK26" s="4559"/>
      <c r="AL26" s="1487"/>
      <c r="AM26" s="1824"/>
      <c r="AN26" s="4967"/>
      <c r="AO26" s="4968"/>
      <c r="AP26" s="4969"/>
      <c r="AQ26" s="4968"/>
      <c r="AR26" s="4970"/>
      <c r="AS26" s="4968"/>
      <c r="AT26" s="4970"/>
      <c r="AU26" s="4968"/>
    </row>
    <row r="27" spans="1:47" s="382" customFormat="1" ht="15" customHeight="1">
      <c r="A27" s="1947" t="s">
        <v>3847</v>
      </c>
      <c r="B27" s="1485"/>
      <c r="C27" s="1824"/>
      <c r="D27" s="1485"/>
      <c r="E27" s="1824"/>
      <c r="F27" s="1485"/>
      <c r="G27" s="1824"/>
      <c r="H27" s="1485"/>
      <c r="I27" s="1824"/>
      <c r="J27" s="1485"/>
      <c r="K27" s="1824"/>
      <c r="L27" s="1485"/>
      <c r="M27" s="1824"/>
      <c r="N27" s="1485"/>
      <c r="O27" s="1824"/>
      <c r="P27" s="1485"/>
      <c r="Q27" s="1824"/>
      <c r="R27" s="3051">
        <f t="shared" si="1"/>
        <v>0</v>
      </c>
      <c r="S27" s="1697">
        <f t="shared" si="2"/>
        <v>0</v>
      </c>
      <c r="T27" s="3051">
        <f t="shared" si="3"/>
        <v>0</v>
      </c>
      <c r="U27" s="1697">
        <f t="shared" si="4"/>
        <v>0</v>
      </c>
      <c r="V27" s="1695">
        <f t="shared" si="5"/>
        <v>0</v>
      </c>
      <c r="W27" s="1697">
        <f t="shared" si="6"/>
        <v>0</v>
      </c>
      <c r="X27" s="3051">
        <f t="shared" si="7"/>
        <v>0</v>
      </c>
      <c r="Y27" s="4966">
        <f t="shared" si="8"/>
        <v>0</v>
      </c>
      <c r="Z27" s="1711"/>
      <c r="AA27" s="1487"/>
      <c r="AB27" s="1824"/>
      <c r="AC27" s="1711"/>
      <c r="AD27" s="1824"/>
      <c r="AE27" s="1826"/>
      <c r="AF27" s="1824"/>
      <c r="AG27" s="1485"/>
      <c r="AH27" s="1824"/>
      <c r="AI27" s="1826"/>
      <c r="AJ27" s="1486"/>
      <c r="AK27" s="4559"/>
      <c r="AL27" s="1487"/>
      <c r="AM27" s="1824"/>
      <c r="AN27" s="4967"/>
      <c r="AO27" s="4968"/>
      <c r="AP27" s="4969"/>
      <c r="AQ27" s="4968"/>
      <c r="AR27" s="4970"/>
      <c r="AS27" s="4968"/>
      <c r="AT27" s="4970"/>
      <c r="AU27" s="4968"/>
    </row>
    <row r="28" spans="1:47" s="382" customFormat="1" ht="15" customHeight="1">
      <c r="A28" s="1947" t="s">
        <v>3848</v>
      </c>
      <c r="B28" s="1485"/>
      <c r="C28" s="1824"/>
      <c r="D28" s="1485"/>
      <c r="E28" s="1824"/>
      <c r="F28" s="1485"/>
      <c r="G28" s="1824"/>
      <c r="H28" s="1485"/>
      <c r="I28" s="1824"/>
      <c r="J28" s="1485"/>
      <c r="K28" s="1824"/>
      <c r="L28" s="1485"/>
      <c r="M28" s="1824"/>
      <c r="N28" s="1485"/>
      <c r="O28" s="1824"/>
      <c r="P28" s="1485"/>
      <c r="Q28" s="1824"/>
      <c r="R28" s="3051">
        <f t="shared" si="1"/>
        <v>0</v>
      </c>
      <c r="S28" s="1697">
        <f t="shared" si="2"/>
        <v>0</v>
      </c>
      <c r="T28" s="3051">
        <f t="shared" si="3"/>
        <v>0</v>
      </c>
      <c r="U28" s="1697">
        <f t="shared" si="4"/>
        <v>0</v>
      </c>
      <c r="V28" s="1695">
        <f t="shared" si="5"/>
        <v>0</v>
      </c>
      <c r="W28" s="1697">
        <f t="shared" si="6"/>
        <v>0</v>
      </c>
      <c r="X28" s="3051">
        <f t="shared" si="7"/>
        <v>0</v>
      </c>
      <c r="Y28" s="4966">
        <f t="shared" si="8"/>
        <v>0</v>
      </c>
      <c r="Z28" s="1711"/>
      <c r="AA28" s="1487"/>
      <c r="AB28" s="1824"/>
      <c r="AC28" s="1711"/>
      <c r="AD28" s="1824"/>
      <c r="AE28" s="1826"/>
      <c r="AF28" s="1824"/>
      <c r="AG28" s="1485"/>
      <c r="AH28" s="1824"/>
      <c r="AI28" s="1826"/>
      <c r="AJ28" s="1486"/>
      <c r="AK28" s="4559"/>
      <c r="AL28" s="1487"/>
      <c r="AM28" s="1824"/>
      <c r="AN28" s="4967"/>
      <c r="AO28" s="4968"/>
      <c r="AP28" s="4969"/>
      <c r="AQ28" s="4968"/>
      <c r="AR28" s="4970"/>
      <c r="AS28" s="4968"/>
      <c r="AT28" s="4970"/>
      <c r="AU28" s="4968"/>
    </row>
    <row r="29" spans="1:47" s="382" customFormat="1" ht="15" customHeight="1">
      <c r="A29" s="1947" t="s">
        <v>1255</v>
      </c>
      <c r="B29" s="1485"/>
      <c r="C29" s="1824"/>
      <c r="D29" s="1485"/>
      <c r="E29" s="1824"/>
      <c r="F29" s="1485"/>
      <c r="G29" s="1824"/>
      <c r="H29" s="1485"/>
      <c r="I29" s="1824"/>
      <c r="J29" s="1485"/>
      <c r="K29" s="1824"/>
      <c r="L29" s="1485"/>
      <c r="M29" s="1824"/>
      <c r="N29" s="1485"/>
      <c r="O29" s="1824"/>
      <c r="P29" s="1485"/>
      <c r="Q29" s="1824"/>
      <c r="R29" s="3051">
        <f t="shared" si="1"/>
        <v>0</v>
      </c>
      <c r="S29" s="1697">
        <f t="shared" si="2"/>
        <v>0</v>
      </c>
      <c r="T29" s="3051">
        <f t="shared" si="3"/>
        <v>0</v>
      </c>
      <c r="U29" s="1697">
        <f t="shared" si="4"/>
        <v>0</v>
      </c>
      <c r="V29" s="1695">
        <f t="shared" si="5"/>
        <v>0</v>
      </c>
      <c r="W29" s="1697">
        <f t="shared" si="6"/>
        <v>0</v>
      </c>
      <c r="X29" s="3051">
        <f t="shared" si="7"/>
        <v>0</v>
      </c>
      <c r="Y29" s="4966">
        <f t="shared" si="8"/>
        <v>0</v>
      </c>
      <c r="Z29" s="1711"/>
      <c r="AA29" s="1487"/>
      <c r="AB29" s="1824"/>
      <c r="AC29" s="1711"/>
      <c r="AD29" s="1824"/>
      <c r="AE29" s="1826"/>
      <c r="AF29" s="1824"/>
      <c r="AG29" s="1485"/>
      <c r="AH29" s="1824"/>
      <c r="AI29" s="1826"/>
      <c r="AJ29" s="1486"/>
      <c r="AK29" s="4559"/>
      <c r="AL29" s="1487"/>
      <c r="AM29" s="1824"/>
      <c r="AN29" s="4967"/>
      <c r="AO29" s="4968"/>
      <c r="AP29" s="4969"/>
      <c r="AQ29" s="4968"/>
      <c r="AR29" s="4970"/>
      <c r="AS29" s="4968"/>
      <c r="AT29" s="4970"/>
      <c r="AU29" s="4968"/>
    </row>
    <row r="30" spans="1:47" s="382" customFormat="1" ht="15" customHeight="1">
      <c r="A30" s="1947" t="s">
        <v>1256</v>
      </c>
      <c r="B30" s="1485"/>
      <c r="C30" s="1824"/>
      <c r="D30" s="1485"/>
      <c r="E30" s="1824"/>
      <c r="F30" s="1485"/>
      <c r="G30" s="1824"/>
      <c r="H30" s="1485"/>
      <c r="I30" s="1824"/>
      <c r="J30" s="1485"/>
      <c r="K30" s="1824"/>
      <c r="L30" s="1485"/>
      <c r="M30" s="1824"/>
      <c r="N30" s="1485"/>
      <c r="O30" s="1824"/>
      <c r="P30" s="1485"/>
      <c r="Q30" s="1824"/>
      <c r="R30" s="3051">
        <f t="shared" si="1"/>
        <v>0</v>
      </c>
      <c r="S30" s="1697">
        <f t="shared" si="2"/>
        <v>0</v>
      </c>
      <c r="T30" s="3051">
        <f t="shared" si="3"/>
        <v>0</v>
      </c>
      <c r="U30" s="1697">
        <f t="shared" si="4"/>
        <v>0</v>
      </c>
      <c r="V30" s="1695">
        <f t="shared" si="5"/>
        <v>0</v>
      </c>
      <c r="W30" s="1697">
        <f t="shared" si="6"/>
        <v>0</v>
      </c>
      <c r="X30" s="3051">
        <f t="shared" si="7"/>
        <v>0</v>
      </c>
      <c r="Y30" s="4966">
        <f t="shared" si="8"/>
        <v>0</v>
      </c>
      <c r="Z30" s="1711"/>
      <c r="AA30" s="1487"/>
      <c r="AB30" s="1824"/>
      <c r="AC30" s="1711"/>
      <c r="AD30" s="1824"/>
      <c r="AE30" s="1826"/>
      <c r="AF30" s="1824"/>
      <c r="AG30" s="1485"/>
      <c r="AH30" s="1824"/>
      <c r="AI30" s="1826"/>
      <c r="AJ30" s="1486"/>
      <c r="AK30" s="4559"/>
      <c r="AL30" s="1487"/>
      <c r="AM30" s="1824"/>
      <c r="AN30" s="4967"/>
      <c r="AO30" s="4968"/>
      <c r="AP30" s="4969"/>
      <c r="AQ30" s="4968"/>
      <c r="AR30" s="4970"/>
      <c r="AS30" s="4968"/>
      <c r="AT30" s="4970"/>
      <c r="AU30" s="4968"/>
    </row>
    <row r="31" spans="1:47" s="382" customFormat="1" ht="15" customHeight="1">
      <c r="A31" s="1947" t="s">
        <v>1257</v>
      </c>
      <c r="B31" s="1485"/>
      <c r="C31" s="1824"/>
      <c r="D31" s="1485"/>
      <c r="E31" s="1824"/>
      <c r="F31" s="1485"/>
      <c r="G31" s="1824"/>
      <c r="H31" s="1485"/>
      <c r="I31" s="1824"/>
      <c r="J31" s="1485"/>
      <c r="K31" s="1824"/>
      <c r="L31" s="1485"/>
      <c r="M31" s="1824"/>
      <c r="N31" s="1485"/>
      <c r="O31" s="1824"/>
      <c r="P31" s="1485"/>
      <c r="Q31" s="1824"/>
      <c r="R31" s="3051">
        <f t="shared" si="1"/>
        <v>0</v>
      </c>
      <c r="S31" s="1697">
        <f t="shared" si="2"/>
        <v>0</v>
      </c>
      <c r="T31" s="3051">
        <f t="shared" si="3"/>
        <v>0</v>
      </c>
      <c r="U31" s="1697">
        <f t="shared" si="4"/>
        <v>0</v>
      </c>
      <c r="V31" s="1695">
        <f t="shared" si="5"/>
        <v>0</v>
      </c>
      <c r="W31" s="1697">
        <f t="shared" si="6"/>
        <v>0</v>
      </c>
      <c r="X31" s="3051">
        <f t="shared" si="7"/>
        <v>0</v>
      </c>
      <c r="Y31" s="4966">
        <f t="shared" si="8"/>
        <v>0</v>
      </c>
      <c r="Z31" s="1711"/>
      <c r="AA31" s="1487"/>
      <c r="AB31" s="1824"/>
      <c r="AC31" s="1711"/>
      <c r="AD31" s="1824"/>
      <c r="AE31" s="1826"/>
      <c r="AF31" s="1824"/>
      <c r="AG31" s="1485"/>
      <c r="AH31" s="1824"/>
      <c r="AI31" s="1826"/>
      <c r="AJ31" s="1486"/>
      <c r="AK31" s="4559"/>
      <c r="AL31" s="1487"/>
      <c r="AM31" s="1824"/>
      <c r="AN31" s="4967"/>
      <c r="AO31" s="4968"/>
      <c r="AP31" s="4969"/>
      <c r="AQ31" s="4968"/>
      <c r="AR31" s="4970"/>
      <c r="AS31" s="4968"/>
      <c r="AT31" s="4970"/>
      <c r="AU31" s="4968"/>
    </row>
    <row r="32" spans="1:47" s="382" customFormat="1" ht="15" customHeight="1">
      <c r="A32" s="2329" t="s">
        <v>1258</v>
      </c>
      <c r="B32" s="1485"/>
      <c r="C32" s="1824"/>
      <c r="D32" s="1485"/>
      <c r="E32" s="1824"/>
      <c r="F32" s="1485"/>
      <c r="G32" s="1824"/>
      <c r="H32" s="1485"/>
      <c r="I32" s="1824"/>
      <c r="J32" s="1485"/>
      <c r="K32" s="1824"/>
      <c r="L32" s="1485"/>
      <c r="M32" s="1824"/>
      <c r="N32" s="1485"/>
      <c r="O32" s="1824"/>
      <c r="P32" s="1485"/>
      <c r="Q32" s="1824"/>
      <c r="R32" s="3051">
        <f t="shared" si="1"/>
        <v>0</v>
      </c>
      <c r="S32" s="1697">
        <f t="shared" si="2"/>
        <v>0</v>
      </c>
      <c r="T32" s="3051">
        <f t="shared" si="3"/>
        <v>0</v>
      </c>
      <c r="U32" s="1697">
        <f t="shared" si="4"/>
        <v>0</v>
      </c>
      <c r="V32" s="1695">
        <f t="shared" si="5"/>
        <v>0</v>
      </c>
      <c r="W32" s="1697">
        <f t="shared" si="6"/>
        <v>0</v>
      </c>
      <c r="X32" s="3051">
        <f t="shared" si="7"/>
        <v>0</v>
      </c>
      <c r="Y32" s="4966">
        <f t="shared" si="8"/>
        <v>0</v>
      </c>
      <c r="Z32" s="1711"/>
      <c r="AA32" s="1487"/>
      <c r="AB32" s="1824"/>
      <c r="AC32" s="1711"/>
      <c r="AD32" s="1824"/>
      <c r="AE32" s="1826"/>
      <c r="AF32" s="1824"/>
      <c r="AG32" s="1485"/>
      <c r="AH32" s="1824"/>
      <c r="AI32" s="1826"/>
      <c r="AJ32" s="1486"/>
      <c r="AK32" s="4559"/>
      <c r="AL32" s="1487"/>
      <c r="AM32" s="1824"/>
      <c r="AN32" s="4967"/>
      <c r="AO32" s="4968"/>
      <c r="AP32" s="4969"/>
      <c r="AQ32" s="4968"/>
      <c r="AR32" s="4970"/>
      <c r="AS32" s="4968"/>
      <c r="AT32" s="4970"/>
      <c r="AU32" s="4968"/>
    </row>
    <row r="33" spans="1:47" s="382" customFormat="1" ht="15" customHeight="1">
      <c r="A33" s="1947" t="s">
        <v>1259</v>
      </c>
      <c r="B33" s="1485"/>
      <c r="C33" s="1824"/>
      <c r="D33" s="1485"/>
      <c r="E33" s="1824"/>
      <c r="F33" s="1485"/>
      <c r="G33" s="1824"/>
      <c r="H33" s="1485"/>
      <c r="I33" s="1824"/>
      <c r="J33" s="1485"/>
      <c r="K33" s="1824"/>
      <c r="L33" s="1485"/>
      <c r="M33" s="1824"/>
      <c r="N33" s="1485"/>
      <c r="O33" s="1824"/>
      <c r="P33" s="1485"/>
      <c r="Q33" s="1824"/>
      <c r="R33" s="3051">
        <f t="shared" si="1"/>
        <v>0</v>
      </c>
      <c r="S33" s="1697">
        <f t="shared" si="2"/>
        <v>0</v>
      </c>
      <c r="T33" s="3051">
        <f t="shared" si="3"/>
        <v>0</v>
      </c>
      <c r="U33" s="1697">
        <f t="shared" si="4"/>
        <v>0</v>
      </c>
      <c r="V33" s="1695">
        <f t="shared" si="5"/>
        <v>0</v>
      </c>
      <c r="W33" s="1697">
        <f t="shared" si="6"/>
        <v>0</v>
      </c>
      <c r="X33" s="3051">
        <f t="shared" si="7"/>
        <v>0</v>
      </c>
      <c r="Y33" s="4966">
        <f t="shared" si="8"/>
        <v>0</v>
      </c>
      <c r="Z33" s="1711"/>
      <c r="AA33" s="1487"/>
      <c r="AB33" s="1824"/>
      <c r="AC33" s="1711"/>
      <c r="AD33" s="1824"/>
      <c r="AE33" s="1826"/>
      <c r="AF33" s="1824"/>
      <c r="AG33" s="1485"/>
      <c r="AH33" s="1824"/>
      <c r="AI33" s="1826"/>
      <c r="AJ33" s="1486"/>
      <c r="AK33" s="4559"/>
      <c r="AL33" s="1487"/>
      <c r="AM33" s="1824"/>
      <c r="AN33" s="4967"/>
      <c r="AO33" s="4968"/>
      <c r="AP33" s="4969"/>
      <c r="AQ33" s="4968"/>
      <c r="AR33" s="4970"/>
      <c r="AS33" s="4968"/>
      <c r="AT33" s="4970"/>
      <c r="AU33" s="4968"/>
    </row>
    <row r="34" spans="1:47" s="382" customFormat="1" ht="15" customHeight="1">
      <c r="A34" s="1947" t="s">
        <v>1260</v>
      </c>
      <c r="B34" s="1485"/>
      <c r="C34" s="1824"/>
      <c r="D34" s="1485"/>
      <c r="E34" s="1824"/>
      <c r="F34" s="1485"/>
      <c r="G34" s="1824"/>
      <c r="H34" s="1485"/>
      <c r="I34" s="1824"/>
      <c r="J34" s="1485"/>
      <c r="K34" s="1824"/>
      <c r="L34" s="1485"/>
      <c r="M34" s="1824"/>
      <c r="N34" s="1485"/>
      <c r="O34" s="1824"/>
      <c r="P34" s="1485"/>
      <c r="Q34" s="1824"/>
      <c r="R34" s="3051">
        <f t="shared" si="1"/>
        <v>0</v>
      </c>
      <c r="S34" s="1697">
        <f t="shared" si="2"/>
        <v>0</v>
      </c>
      <c r="T34" s="3051">
        <f t="shared" si="3"/>
        <v>0</v>
      </c>
      <c r="U34" s="1697">
        <f t="shared" si="4"/>
        <v>0</v>
      </c>
      <c r="V34" s="1695">
        <f t="shared" si="5"/>
        <v>0</v>
      </c>
      <c r="W34" s="1697">
        <f t="shared" si="6"/>
        <v>0</v>
      </c>
      <c r="X34" s="3051">
        <f t="shared" si="7"/>
        <v>0</v>
      </c>
      <c r="Y34" s="4966">
        <f t="shared" si="8"/>
        <v>0</v>
      </c>
      <c r="Z34" s="1711"/>
      <c r="AA34" s="1487"/>
      <c r="AB34" s="1824"/>
      <c r="AC34" s="1711"/>
      <c r="AD34" s="1824"/>
      <c r="AE34" s="1826"/>
      <c r="AF34" s="1824"/>
      <c r="AG34" s="1485"/>
      <c r="AH34" s="1824"/>
      <c r="AI34" s="1826"/>
      <c r="AJ34" s="1486"/>
      <c r="AK34" s="4559"/>
      <c r="AL34" s="1487"/>
      <c r="AM34" s="1824"/>
      <c r="AN34" s="4967"/>
      <c r="AO34" s="4968"/>
      <c r="AP34" s="4969"/>
      <c r="AQ34" s="4968"/>
      <c r="AR34" s="4970"/>
      <c r="AS34" s="4968"/>
      <c r="AT34" s="4970"/>
      <c r="AU34" s="4968"/>
    </row>
    <row r="35" spans="1:47" s="382" customFormat="1" ht="15" customHeight="1">
      <c r="A35" s="1947" t="s">
        <v>1261</v>
      </c>
      <c r="B35" s="1485"/>
      <c r="C35" s="1824"/>
      <c r="D35" s="1485"/>
      <c r="E35" s="1824"/>
      <c r="F35" s="1485"/>
      <c r="G35" s="1824"/>
      <c r="H35" s="1485"/>
      <c r="I35" s="1824"/>
      <c r="J35" s="1485"/>
      <c r="K35" s="1824"/>
      <c r="L35" s="1485"/>
      <c r="M35" s="1824"/>
      <c r="N35" s="1485"/>
      <c r="O35" s="1824"/>
      <c r="P35" s="1485"/>
      <c r="Q35" s="1824"/>
      <c r="R35" s="3051">
        <f t="shared" si="1"/>
        <v>0</v>
      </c>
      <c r="S35" s="1697">
        <f t="shared" si="2"/>
        <v>0</v>
      </c>
      <c r="T35" s="3051">
        <f t="shared" si="3"/>
        <v>0</v>
      </c>
      <c r="U35" s="1697">
        <f t="shared" si="4"/>
        <v>0</v>
      </c>
      <c r="V35" s="1695">
        <f t="shared" si="5"/>
        <v>0</v>
      </c>
      <c r="W35" s="1697">
        <f t="shared" si="6"/>
        <v>0</v>
      </c>
      <c r="X35" s="3051">
        <f t="shared" si="7"/>
        <v>0</v>
      </c>
      <c r="Y35" s="4966">
        <f t="shared" si="8"/>
        <v>0</v>
      </c>
      <c r="Z35" s="1711"/>
      <c r="AA35" s="1487"/>
      <c r="AB35" s="1824"/>
      <c r="AC35" s="1711"/>
      <c r="AD35" s="1824"/>
      <c r="AE35" s="1826"/>
      <c r="AF35" s="1824"/>
      <c r="AG35" s="1485"/>
      <c r="AH35" s="1824"/>
      <c r="AI35" s="1826"/>
      <c r="AJ35" s="1486"/>
      <c r="AK35" s="4559"/>
      <c r="AL35" s="1487"/>
      <c r="AM35" s="1824"/>
      <c r="AN35" s="4967"/>
      <c r="AO35" s="4968"/>
      <c r="AP35" s="4969"/>
      <c r="AQ35" s="4968"/>
      <c r="AR35" s="4970"/>
      <c r="AS35" s="4968"/>
      <c r="AT35" s="4970"/>
      <c r="AU35" s="4968"/>
    </row>
    <row r="36" spans="1:47" s="382" customFormat="1" ht="15" customHeight="1">
      <c r="A36" s="1947" t="s">
        <v>1262</v>
      </c>
      <c r="B36" s="1485"/>
      <c r="C36" s="1824"/>
      <c r="D36" s="1485"/>
      <c r="E36" s="1824"/>
      <c r="F36" s="1485"/>
      <c r="G36" s="1824"/>
      <c r="H36" s="1485"/>
      <c r="I36" s="1824"/>
      <c r="J36" s="1485"/>
      <c r="K36" s="1824"/>
      <c r="L36" s="1485"/>
      <c r="M36" s="1824"/>
      <c r="N36" s="1485"/>
      <c r="O36" s="1824"/>
      <c r="P36" s="1485"/>
      <c r="Q36" s="1824"/>
      <c r="R36" s="3051">
        <f t="shared" si="1"/>
        <v>0</v>
      </c>
      <c r="S36" s="1697">
        <f t="shared" si="2"/>
        <v>0</v>
      </c>
      <c r="T36" s="3051">
        <f t="shared" si="3"/>
        <v>0</v>
      </c>
      <c r="U36" s="1697">
        <f t="shared" si="4"/>
        <v>0</v>
      </c>
      <c r="V36" s="1695">
        <f t="shared" si="5"/>
        <v>0</v>
      </c>
      <c r="W36" s="1697">
        <f t="shared" si="6"/>
        <v>0</v>
      </c>
      <c r="X36" s="3051">
        <f t="shared" si="7"/>
        <v>0</v>
      </c>
      <c r="Y36" s="4966">
        <f t="shared" si="8"/>
        <v>0</v>
      </c>
      <c r="Z36" s="1711"/>
      <c r="AA36" s="1487"/>
      <c r="AB36" s="1824"/>
      <c r="AC36" s="1711"/>
      <c r="AD36" s="1824"/>
      <c r="AE36" s="1826"/>
      <c r="AF36" s="1824"/>
      <c r="AG36" s="1485"/>
      <c r="AH36" s="1824"/>
      <c r="AI36" s="1826"/>
      <c r="AJ36" s="1486"/>
      <c r="AK36" s="4559"/>
      <c r="AL36" s="1487"/>
      <c r="AM36" s="1824"/>
      <c r="AN36" s="4967"/>
      <c r="AO36" s="4968"/>
      <c r="AP36" s="4969"/>
      <c r="AQ36" s="4968"/>
      <c r="AR36" s="4970"/>
      <c r="AS36" s="4968"/>
      <c r="AT36" s="4970"/>
      <c r="AU36" s="4968"/>
    </row>
    <row r="37" spans="1:47" s="382" customFormat="1" ht="15" customHeight="1">
      <c r="A37" s="1947" t="s">
        <v>1263</v>
      </c>
      <c r="B37" s="1485"/>
      <c r="C37" s="1824"/>
      <c r="D37" s="1485"/>
      <c r="E37" s="1824"/>
      <c r="F37" s="1485"/>
      <c r="G37" s="1824"/>
      <c r="H37" s="1485"/>
      <c r="I37" s="1824"/>
      <c r="J37" s="1485"/>
      <c r="K37" s="1824"/>
      <c r="L37" s="1485"/>
      <c r="M37" s="1824"/>
      <c r="N37" s="1485"/>
      <c r="O37" s="1824"/>
      <c r="P37" s="1485"/>
      <c r="Q37" s="1824"/>
      <c r="R37" s="3051">
        <f t="shared" si="1"/>
        <v>0</v>
      </c>
      <c r="S37" s="1697">
        <f t="shared" si="2"/>
        <v>0</v>
      </c>
      <c r="T37" s="3051">
        <f t="shared" si="3"/>
        <v>0</v>
      </c>
      <c r="U37" s="1697">
        <f t="shared" si="4"/>
        <v>0</v>
      </c>
      <c r="V37" s="1695">
        <f t="shared" si="5"/>
        <v>0</v>
      </c>
      <c r="W37" s="1697">
        <f t="shared" si="6"/>
        <v>0</v>
      </c>
      <c r="X37" s="3051">
        <f t="shared" si="7"/>
        <v>0</v>
      </c>
      <c r="Y37" s="4966">
        <f t="shared" si="8"/>
        <v>0</v>
      </c>
      <c r="Z37" s="1711"/>
      <c r="AA37" s="1487"/>
      <c r="AB37" s="1824"/>
      <c r="AC37" s="1711"/>
      <c r="AD37" s="1824"/>
      <c r="AE37" s="1826"/>
      <c r="AF37" s="1824"/>
      <c r="AG37" s="1485"/>
      <c r="AH37" s="1824"/>
      <c r="AI37" s="1826"/>
      <c r="AJ37" s="1486"/>
      <c r="AK37" s="4559"/>
      <c r="AL37" s="1487"/>
      <c r="AM37" s="1824"/>
      <c r="AN37" s="4967"/>
      <c r="AO37" s="4968"/>
      <c r="AP37" s="4969"/>
      <c r="AQ37" s="4968"/>
      <c r="AR37" s="4970"/>
      <c r="AS37" s="4968"/>
      <c r="AT37" s="4970"/>
      <c r="AU37" s="4968"/>
    </row>
    <row r="38" spans="1:47" s="382" customFormat="1" ht="15" customHeight="1">
      <c r="A38" s="2329" t="s">
        <v>1264</v>
      </c>
      <c r="B38" s="1485"/>
      <c r="C38" s="1824"/>
      <c r="D38" s="1485"/>
      <c r="E38" s="1824"/>
      <c r="F38" s="1485"/>
      <c r="G38" s="1824"/>
      <c r="H38" s="1485"/>
      <c r="I38" s="1824"/>
      <c r="J38" s="1485"/>
      <c r="K38" s="1824"/>
      <c r="L38" s="1485"/>
      <c r="M38" s="1824"/>
      <c r="N38" s="1485"/>
      <c r="O38" s="1824"/>
      <c r="P38" s="1485"/>
      <c r="Q38" s="1824"/>
      <c r="R38" s="3051">
        <f t="shared" si="1"/>
        <v>0</v>
      </c>
      <c r="S38" s="1697">
        <f t="shared" si="2"/>
        <v>0</v>
      </c>
      <c r="T38" s="3051">
        <f t="shared" si="3"/>
        <v>0</v>
      </c>
      <c r="U38" s="1697">
        <f t="shared" si="4"/>
        <v>0</v>
      </c>
      <c r="V38" s="1695">
        <f t="shared" si="5"/>
        <v>0</v>
      </c>
      <c r="W38" s="1697">
        <f t="shared" si="6"/>
        <v>0</v>
      </c>
      <c r="X38" s="3051">
        <f t="shared" si="7"/>
        <v>0</v>
      </c>
      <c r="Y38" s="4966">
        <f t="shared" si="8"/>
        <v>0</v>
      </c>
      <c r="Z38" s="1711"/>
      <c r="AA38" s="1487"/>
      <c r="AB38" s="1824"/>
      <c r="AC38" s="1711"/>
      <c r="AD38" s="1824"/>
      <c r="AE38" s="1826"/>
      <c r="AF38" s="1824"/>
      <c r="AG38" s="1485"/>
      <c r="AH38" s="1824"/>
      <c r="AI38" s="1826"/>
      <c r="AJ38" s="1486"/>
      <c r="AK38" s="4559"/>
      <c r="AL38" s="1487"/>
      <c r="AM38" s="1824"/>
      <c r="AN38" s="4967"/>
      <c r="AO38" s="4968"/>
      <c r="AP38" s="4969"/>
      <c r="AQ38" s="4968"/>
      <c r="AR38" s="4970"/>
      <c r="AS38" s="4968"/>
      <c r="AT38" s="4970"/>
      <c r="AU38" s="4968"/>
    </row>
    <row r="39" spans="1:47" s="382" customFormat="1" ht="15" customHeight="1">
      <c r="A39" s="1947" t="s">
        <v>3849</v>
      </c>
      <c r="B39" s="1485"/>
      <c r="C39" s="1824"/>
      <c r="D39" s="1485"/>
      <c r="E39" s="1824"/>
      <c r="F39" s="1485"/>
      <c r="G39" s="1824"/>
      <c r="H39" s="1485"/>
      <c r="I39" s="1824"/>
      <c r="J39" s="1485"/>
      <c r="K39" s="1824"/>
      <c r="L39" s="1485"/>
      <c r="M39" s="1824"/>
      <c r="N39" s="1485"/>
      <c r="O39" s="1824"/>
      <c r="P39" s="1485"/>
      <c r="Q39" s="1824"/>
      <c r="R39" s="3051">
        <f t="shared" si="1"/>
        <v>0</v>
      </c>
      <c r="S39" s="1697">
        <f t="shared" si="2"/>
        <v>0</v>
      </c>
      <c r="T39" s="3051">
        <f t="shared" si="3"/>
        <v>0</v>
      </c>
      <c r="U39" s="1697">
        <f t="shared" si="4"/>
        <v>0</v>
      </c>
      <c r="V39" s="1695">
        <f t="shared" si="5"/>
        <v>0</v>
      </c>
      <c r="W39" s="1697">
        <f t="shared" si="6"/>
        <v>0</v>
      </c>
      <c r="X39" s="3051">
        <f t="shared" si="7"/>
        <v>0</v>
      </c>
      <c r="Y39" s="4966">
        <f t="shared" si="8"/>
        <v>0</v>
      </c>
      <c r="Z39" s="1711"/>
      <c r="AA39" s="1487"/>
      <c r="AB39" s="1824"/>
      <c r="AC39" s="1711"/>
      <c r="AD39" s="1824"/>
      <c r="AE39" s="1826"/>
      <c r="AF39" s="1824"/>
      <c r="AG39" s="1485"/>
      <c r="AH39" s="1824"/>
      <c r="AI39" s="1826"/>
      <c r="AJ39" s="1486"/>
      <c r="AK39" s="4559"/>
      <c r="AL39" s="1487"/>
      <c r="AM39" s="1824"/>
      <c r="AN39" s="4967"/>
      <c r="AO39" s="4968"/>
      <c r="AP39" s="4969"/>
      <c r="AQ39" s="4968"/>
      <c r="AR39" s="4970"/>
      <c r="AS39" s="4968"/>
      <c r="AT39" s="4970"/>
      <c r="AU39" s="4968"/>
    </row>
    <row r="40" spans="1:47" s="382" customFormat="1" ht="15" customHeight="1">
      <c r="A40" s="1947" t="s">
        <v>3850</v>
      </c>
      <c r="B40" s="1485"/>
      <c r="C40" s="1824"/>
      <c r="D40" s="1485"/>
      <c r="E40" s="1824"/>
      <c r="F40" s="1485"/>
      <c r="G40" s="1824"/>
      <c r="H40" s="1485"/>
      <c r="I40" s="1824"/>
      <c r="J40" s="1485"/>
      <c r="K40" s="1824"/>
      <c r="L40" s="1485"/>
      <c r="M40" s="1824"/>
      <c r="N40" s="1485"/>
      <c r="O40" s="1824"/>
      <c r="P40" s="1485"/>
      <c r="Q40" s="1824"/>
      <c r="R40" s="3051">
        <f t="shared" si="1"/>
        <v>0</v>
      </c>
      <c r="S40" s="1697">
        <f t="shared" si="2"/>
        <v>0</v>
      </c>
      <c r="T40" s="3051">
        <f t="shared" si="3"/>
        <v>0</v>
      </c>
      <c r="U40" s="1697">
        <f t="shared" si="4"/>
        <v>0</v>
      </c>
      <c r="V40" s="1695">
        <f t="shared" si="5"/>
        <v>0</v>
      </c>
      <c r="W40" s="1697">
        <f t="shared" si="6"/>
        <v>0</v>
      </c>
      <c r="X40" s="3051">
        <f t="shared" si="7"/>
        <v>0</v>
      </c>
      <c r="Y40" s="4966">
        <f t="shared" si="8"/>
        <v>0</v>
      </c>
      <c r="Z40" s="1711"/>
      <c r="AA40" s="1487"/>
      <c r="AB40" s="1824"/>
      <c r="AC40" s="1711"/>
      <c r="AD40" s="1824"/>
      <c r="AE40" s="1826"/>
      <c r="AF40" s="1824"/>
      <c r="AG40" s="1485"/>
      <c r="AH40" s="1824"/>
      <c r="AI40" s="1826"/>
      <c r="AJ40" s="1486"/>
      <c r="AK40" s="4559"/>
      <c r="AL40" s="1487"/>
      <c r="AM40" s="1824"/>
      <c r="AN40" s="4967"/>
      <c r="AO40" s="4968"/>
      <c r="AP40" s="4969"/>
      <c r="AQ40" s="4968"/>
      <c r="AR40" s="4970"/>
      <c r="AS40" s="4968"/>
      <c r="AT40" s="4970"/>
      <c r="AU40" s="4968"/>
    </row>
    <row r="41" spans="1:47" s="382" customFormat="1" ht="15" customHeight="1">
      <c r="A41" s="1947" t="s">
        <v>3851</v>
      </c>
      <c r="B41" s="1485"/>
      <c r="C41" s="1824"/>
      <c r="D41" s="1485"/>
      <c r="E41" s="1824"/>
      <c r="F41" s="1485"/>
      <c r="G41" s="1824"/>
      <c r="H41" s="1485"/>
      <c r="I41" s="1824"/>
      <c r="J41" s="1485"/>
      <c r="K41" s="1824"/>
      <c r="L41" s="1485"/>
      <c r="M41" s="1824"/>
      <c r="N41" s="1485"/>
      <c r="O41" s="1824"/>
      <c r="P41" s="1485"/>
      <c r="Q41" s="1824"/>
      <c r="R41" s="3051">
        <f t="shared" si="1"/>
        <v>0</v>
      </c>
      <c r="S41" s="1697">
        <f t="shared" si="2"/>
        <v>0</v>
      </c>
      <c r="T41" s="3051">
        <f t="shared" si="3"/>
        <v>0</v>
      </c>
      <c r="U41" s="1697">
        <f t="shared" si="4"/>
        <v>0</v>
      </c>
      <c r="V41" s="1695">
        <f t="shared" si="5"/>
        <v>0</v>
      </c>
      <c r="W41" s="1697">
        <f t="shared" si="6"/>
        <v>0</v>
      </c>
      <c r="X41" s="3051">
        <f t="shared" si="7"/>
        <v>0</v>
      </c>
      <c r="Y41" s="4966">
        <f t="shared" si="8"/>
        <v>0</v>
      </c>
      <c r="Z41" s="1711"/>
      <c r="AA41" s="1487"/>
      <c r="AB41" s="1824"/>
      <c r="AC41" s="1711"/>
      <c r="AD41" s="1824"/>
      <c r="AE41" s="1826"/>
      <c r="AF41" s="1824"/>
      <c r="AG41" s="1485"/>
      <c r="AH41" s="1824"/>
      <c r="AI41" s="1826"/>
      <c r="AJ41" s="1486"/>
      <c r="AK41" s="4559"/>
      <c r="AL41" s="1487"/>
      <c r="AM41" s="1824"/>
      <c r="AN41" s="4967"/>
      <c r="AO41" s="4968"/>
      <c r="AP41" s="4969"/>
      <c r="AQ41" s="4968"/>
      <c r="AR41" s="4970"/>
      <c r="AS41" s="4968"/>
      <c r="AT41" s="4970"/>
      <c r="AU41" s="4968"/>
    </row>
    <row r="42" spans="1:47" s="382" customFormat="1" ht="15" customHeight="1">
      <c r="A42" s="1947" t="s">
        <v>3852</v>
      </c>
      <c r="B42" s="1485"/>
      <c r="C42" s="1824"/>
      <c r="D42" s="1485"/>
      <c r="E42" s="1824"/>
      <c r="F42" s="1485"/>
      <c r="G42" s="1824"/>
      <c r="H42" s="1485"/>
      <c r="I42" s="1824"/>
      <c r="J42" s="1485"/>
      <c r="K42" s="1824"/>
      <c r="L42" s="1485"/>
      <c r="M42" s="1824"/>
      <c r="N42" s="1485"/>
      <c r="O42" s="1824"/>
      <c r="P42" s="1485"/>
      <c r="Q42" s="1824"/>
      <c r="R42" s="3051">
        <f t="shared" si="1"/>
        <v>0</v>
      </c>
      <c r="S42" s="1697">
        <f t="shared" si="2"/>
        <v>0</v>
      </c>
      <c r="T42" s="3051">
        <f t="shared" si="3"/>
        <v>0</v>
      </c>
      <c r="U42" s="1697">
        <f t="shared" si="4"/>
        <v>0</v>
      </c>
      <c r="V42" s="1695">
        <f t="shared" si="5"/>
        <v>0</v>
      </c>
      <c r="W42" s="1697">
        <f t="shared" si="6"/>
        <v>0</v>
      </c>
      <c r="X42" s="3051">
        <f t="shared" si="7"/>
        <v>0</v>
      </c>
      <c r="Y42" s="4966">
        <f t="shared" si="8"/>
        <v>0</v>
      </c>
      <c r="Z42" s="1711"/>
      <c r="AA42" s="1487"/>
      <c r="AB42" s="1824"/>
      <c r="AC42" s="1711"/>
      <c r="AD42" s="1824"/>
      <c r="AE42" s="1826"/>
      <c r="AF42" s="1824"/>
      <c r="AG42" s="1485"/>
      <c r="AH42" s="1824"/>
      <c r="AI42" s="1826"/>
      <c r="AJ42" s="1486"/>
      <c r="AK42" s="4559"/>
      <c r="AL42" s="1487"/>
      <c r="AM42" s="1824"/>
      <c r="AN42" s="4967"/>
      <c r="AO42" s="4968"/>
      <c r="AP42" s="4969"/>
      <c r="AQ42" s="4968"/>
      <c r="AR42" s="4970"/>
      <c r="AS42" s="4968"/>
      <c r="AT42" s="4970"/>
      <c r="AU42" s="4968"/>
    </row>
    <row r="43" spans="1:47" s="382" customFormat="1" ht="15" customHeight="1">
      <c r="A43" s="1947" t="s">
        <v>3853</v>
      </c>
      <c r="B43" s="1485"/>
      <c r="C43" s="1824"/>
      <c r="D43" s="1485"/>
      <c r="E43" s="1824"/>
      <c r="F43" s="1485"/>
      <c r="G43" s="1824"/>
      <c r="H43" s="1485"/>
      <c r="I43" s="1824"/>
      <c r="J43" s="1485"/>
      <c r="K43" s="1824"/>
      <c r="L43" s="1485"/>
      <c r="M43" s="1824"/>
      <c r="N43" s="1485"/>
      <c r="O43" s="1824"/>
      <c r="P43" s="1485"/>
      <c r="Q43" s="1824"/>
      <c r="R43" s="3051">
        <f t="shared" si="1"/>
        <v>0</v>
      </c>
      <c r="S43" s="1697">
        <f t="shared" si="2"/>
        <v>0</v>
      </c>
      <c r="T43" s="3051">
        <f t="shared" si="3"/>
        <v>0</v>
      </c>
      <c r="U43" s="1697">
        <f t="shared" si="4"/>
        <v>0</v>
      </c>
      <c r="V43" s="1695">
        <f t="shared" si="5"/>
        <v>0</v>
      </c>
      <c r="W43" s="1697">
        <f t="shared" si="6"/>
        <v>0</v>
      </c>
      <c r="X43" s="3051">
        <f t="shared" si="7"/>
        <v>0</v>
      </c>
      <c r="Y43" s="4966">
        <f t="shared" si="8"/>
        <v>0</v>
      </c>
      <c r="Z43" s="1711"/>
      <c r="AA43" s="1487"/>
      <c r="AB43" s="1824"/>
      <c r="AC43" s="1711"/>
      <c r="AD43" s="1824"/>
      <c r="AE43" s="1826"/>
      <c r="AF43" s="1824"/>
      <c r="AG43" s="1485"/>
      <c r="AH43" s="1824"/>
      <c r="AI43" s="1826"/>
      <c r="AJ43" s="1486"/>
      <c r="AK43" s="4559"/>
      <c r="AL43" s="1487"/>
      <c r="AM43" s="1824"/>
      <c r="AN43" s="4967"/>
      <c r="AO43" s="4968"/>
      <c r="AP43" s="4969"/>
      <c r="AQ43" s="4968"/>
      <c r="AR43" s="4970"/>
      <c r="AS43" s="4968"/>
      <c r="AT43" s="4970"/>
      <c r="AU43" s="4968"/>
    </row>
    <row r="44" spans="1:47" s="382" customFormat="1" ht="15" customHeight="1">
      <c r="A44" s="1947" t="s">
        <v>3854</v>
      </c>
      <c r="B44" s="1485"/>
      <c r="C44" s="1824"/>
      <c r="D44" s="1485"/>
      <c r="E44" s="1824"/>
      <c r="F44" s="1485"/>
      <c r="G44" s="1824"/>
      <c r="H44" s="1485"/>
      <c r="I44" s="1824"/>
      <c r="J44" s="1485"/>
      <c r="K44" s="1824"/>
      <c r="L44" s="1485"/>
      <c r="M44" s="1824"/>
      <c r="N44" s="1485"/>
      <c r="O44" s="1824"/>
      <c r="P44" s="1485"/>
      <c r="Q44" s="1824"/>
      <c r="R44" s="3051">
        <f t="shared" si="1"/>
        <v>0</v>
      </c>
      <c r="S44" s="1697">
        <f t="shared" si="2"/>
        <v>0</v>
      </c>
      <c r="T44" s="3051">
        <f t="shared" si="3"/>
        <v>0</v>
      </c>
      <c r="U44" s="1697">
        <f t="shared" si="4"/>
        <v>0</v>
      </c>
      <c r="V44" s="1695">
        <f t="shared" si="5"/>
        <v>0</v>
      </c>
      <c r="W44" s="1697">
        <f t="shared" si="6"/>
        <v>0</v>
      </c>
      <c r="X44" s="3051">
        <f t="shared" si="7"/>
        <v>0</v>
      </c>
      <c r="Y44" s="4966">
        <f t="shared" si="8"/>
        <v>0</v>
      </c>
      <c r="Z44" s="1711"/>
      <c r="AA44" s="1487"/>
      <c r="AB44" s="1824"/>
      <c r="AC44" s="1711"/>
      <c r="AD44" s="1824"/>
      <c r="AE44" s="1826"/>
      <c r="AF44" s="1824"/>
      <c r="AG44" s="1485"/>
      <c r="AH44" s="1824"/>
      <c r="AI44" s="1826"/>
      <c r="AJ44" s="1486"/>
      <c r="AK44" s="4559"/>
      <c r="AL44" s="1487"/>
      <c r="AM44" s="1824"/>
      <c r="AN44" s="4967"/>
      <c r="AO44" s="4968"/>
      <c r="AP44" s="4969"/>
      <c r="AQ44" s="4968"/>
      <c r="AR44" s="4970"/>
      <c r="AS44" s="4968"/>
      <c r="AT44" s="4970"/>
      <c r="AU44" s="4968"/>
    </row>
    <row r="45" spans="1:47" s="382" customFormat="1" ht="15" customHeight="1">
      <c r="A45" s="1947" t="s">
        <v>1326</v>
      </c>
      <c r="B45" s="1485"/>
      <c r="C45" s="1824"/>
      <c r="D45" s="1485"/>
      <c r="E45" s="1824"/>
      <c r="F45" s="1485"/>
      <c r="G45" s="1824"/>
      <c r="H45" s="1485"/>
      <c r="I45" s="1824"/>
      <c r="J45" s="1485"/>
      <c r="K45" s="1824"/>
      <c r="L45" s="1485"/>
      <c r="M45" s="1824"/>
      <c r="N45" s="1485"/>
      <c r="O45" s="1824"/>
      <c r="P45" s="1485"/>
      <c r="Q45" s="1824"/>
      <c r="R45" s="3051">
        <f t="shared" si="1"/>
        <v>0</v>
      </c>
      <c r="S45" s="1697">
        <f t="shared" si="2"/>
        <v>0</v>
      </c>
      <c r="T45" s="3051">
        <f t="shared" si="3"/>
        <v>0</v>
      </c>
      <c r="U45" s="1697">
        <f t="shared" si="4"/>
        <v>0</v>
      </c>
      <c r="V45" s="1695">
        <f t="shared" si="5"/>
        <v>0</v>
      </c>
      <c r="W45" s="1697">
        <f t="shared" si="6"/>
        <v>0</v>
      </c>
      <c r="X45" s="3051">
        <f t="shared" si="7"/>
        <v>0</v>
      </c>
      <c r="Y45" s="4966">
        <f t="shared" si="8"/>
        <v>0</v>
      </c>
      <c r="Z45" s="1711"/>
      <c r="AA45" s="1487"/>
      <c r="AB45" s="1824"/>
      <c r="AC45" s="1711"/>
      <c r="AD45" s="1824"/>
      <c r="AE45" s="1826"/>
      <c r="AF45" s="1824"/>
      <c r="AG45" s="1485"/>
      <c r="AH45" s="1824"/>
      <c r="AI45" s="1826"/>
      <c r="AJ45" s="1486"/>
      <c r="AK45" s="4559"/>
      <c r="AL45" s="1487"/>
      <c r="AM45" s="1824"/>
      <c r="AN45" s="4967"/>
      <c r="AO45" s="4968"/>
      <c r="AP45" s="4969"/>
      <c r="AQ45" s="4968"/>
      <c r="AR45" s="4970"/>
      <c r="AS45" s="4968"/>
      <c r="AT45" s="4970"/>
      <c r="AU45" s="4968"/>
    </row>
    <row r="46" spans="1:47" s="382" customFormat="1" ht="15" customHeight="1">
      <c r="A46" s="441" t="s">
        <v>3855</v>
      </c>
      <c r="B46" s="1485"/>
      <c r="C46" s="1824"/>
      <c r="D46" s="1485"/>
      <c r="E46" s="1824"/>
      <c r="F46" s="1485"/>
      <c r="G46" s="1824"/>
      <c r="H46" s="1485"/>
      <c r="I46" s="1824"/>
      <c r="J46" s="1485"/>
      <c r="K46" s="1824"/>
      <c r="L46" s="1485"/>
      <c r="M46" s="1824"/>
      <c r="N46" s="1485"/>
      <c r="O46" s="1824"/>
      <c r="P46" s="1485"/>
      <c r="Q46" s="1824"/>
      <c r="R46" s="3051">
        <f t="shared" si="1"/>
        <v>0</v>
      </c>
      <c r="S46" s="1697">
        <f t="shared" si="2"/>
        <v>0</v>
      </c>
      <c r="T46" s="3051">
        <f t="shared" si="3"/>
        <v>0</v>
      </c>
      <c r="U46" s="1697">
        <f t="shared" si="4"/>
        <v>0</v>
      </c>
      <c r="V46" s="1695">
        <f t="shared" si="5"/>
        <v>0</v>
      </c>
      <c r="W46" s="1697">
        <f t="shared" si="6"/>
        <v>0</v>
      </c>
      <c r="X46" s="3051">
        <f t="shared" si="7"/>
        <v>0</v>
      </c>
      <c r="Y46" s="4966">
        <f t="shared" si="8"/>
        <v>0</v>
      </c>
      <c r="Z46" s="1711"/>
      <c r="AA46" s="1487"/>
      <c r="AB46" s="1824"/>
      <c r="AC46" s="1711"/>
      <c r="AD46" s="1824"/>
      <c r="AE46" s="1826"/>
      <c r="AF46" s="1824"/>
      <c r="AG46" s="1485"/>
      <c r="AH46" s="1824"/>
      <c r="AI46" s="1826"/>
      <c r="AJ46" s="1486"/>
      <c r="AK46" s="4559"/>
      <c r="AL46" s="1487"/>
      <c r="AM46" s="1824"/>
      <c r="AN46" s="4967"/>
      <c r="AO46" s="4968"/>
      <c r="AP46" s="4969"/>
      <c r="AQ46" s="4968"/>
      <c r="AR46" s="4970"/>
      <c r="AS46" s="4968"/>
      <c r="AT46" s="4970"/>
      <c r="AU46" s="4968"/>
    </row>
    <row r="47" spans="1:47" s="382" customFormat="1" ht="15" customHeight="1">
      <c r="A47" s="1437" t="s">
        <v>3856</v>
      </c>
      <c r="B47" s="1485"/>
      <c r="C47" s="1824"/>
      <c r="D47" s="1485"/>
      <c r="E47" s="1824"/>
      <c r="F47" s="1485"/>
      <c r="G47" s="1824"/>
      <c r="H47" s="1485"/>
      <c r="I47" s="1824"/>
      <c r="J47" s="1485"/>
      <c r="K47" s="1824"/>
      <c r="L47" s="1485"/>
      <c r="M47" s="1824"/>
      <c r="N47" s="1485"/>
      <c r="O47" s="1824"/>
      <c r="P47" s="1485"/>
      <c r="Q47" s="1824"/>
      <c r="R47" s="3051">
        <f t="shared" si="1"/>
        <v>0</v>
      </c>
      <c r="S47" s="1697">
        <f t="shared" si="2"/>
        <v>0</v>
      </c>
      <c r="T47" s="3051">
        <f t="shared" si="3"/>
        <v>0</v>
      </c>
      <c r="U47" s="1697">
        <f t="shared" si="4"/>
        <v>0</v>
      </c>
      <c r="V47" s="1695">
        <f t="shared" si="5"/>
        <v>0</v>
      </c>
      <c r="W47" s="1697">
        <f t="shared" si="6"/>
        <v>0</v>
      </c>
      <c r="X47" s="3051">
        <f t="shared" si="7"/>
        <v>0</v>
      </c>
      <c r="Y47" s="4966">
        <f t="shared" si="8"/>
        <v>0</v>
      </c>
      <c r="Z47" s="1711"/>
      <c r="AA47" s="1487"/>
      <c r="AB47" s="1824"/>
      <c r="AC47" s="1711"/>
      <c r="AD47" s="1824"/>
      <c r="AE47" s="1826"/>
      <c r="AF47" s="1824"/>
      <c r="AG47" s="1485"/>
      <c r="AH47" s="1824"/>
      <c r="AI47" s="1826"/>
      <c r="AJ47" s="1486"/>
      <c r="AK47" s="4559"/>
      <c r="AL47" s="1487"/>
      <c r="AM47" s="1824"/>
      <c r="AN47" s="4967"/>
      <c r="AO47" s="4968"/>
      <c r="AP47" s="4969"/>
      <c r="AQ47" s="4968"/>
      <c r="AR47" s="4970"/>
      <c r="AS47" s="4968"/>
      <c r="AT47" s="4970"/>
      <c r="AU47" s="4968"/>
    </row>
    <row r="48" spans="1:47" s="382" customFormat="1" ht="15" customHeight="1">
      <c r="A48" s="1947" t="s">
        <v>1274</v>
      </c>
      <c r="B48" s="1485"/>
      <c r="C48" s="1824"/>
      <c r="D48" s="1485"/>
      <c r="E48" s="1824"/>
      <c r="F48" s="1485"/>
      <c r="G48" s="1824"/>
      <c r="H48" s="1485"/>
      <c r="I48" s="1824"/>
      <c r="J48" s="1485"/>
      <c r="K48" s="1824"/>
      <c r="L48" s="1485"/>
      <c r="M48" s="1824"/>
      <c r="N48" s="1485"/>
      <c r="O48" s="1824"/>
      <c r="P48" s="1485"/>
      <c r="Q48" s="1824"/>
      <c r="R48" s="3051">
        <f t="shared" si="1"/>
        <v>0</v>
      </c>
      <c r="S48" s="1697">
        <f t="shared" si="2"/>
        <v>0</v>
      </c>
      <c r="T48" s="3051">
        <f t="shared" si="3"/>
        <v>0</v>
      </c>
      <c r="U48" s="1697">
        <f t="shared" si="4"/>
        <v>0</v>
      </c>
      <c r="V48" s="1695">
        <f t="shared" si="5"/>
        <v>0</v>
      </c>
      <c r="W48" s="1697">
        <f t="shared" si="6"/>
        <v>0</v>
      </c>
      <c r="X48" s="3051">
        <f t="shared" si="7"/>
        <v>0</v>
      </c>
      <c r="Y48" s="4966">
        <f t="shared" si="8"/>
        <v>0</v>
      </c>
      <c r="Z48" s="1711"/>
      <c r="AA48" s="1487"/>
      <c r="AB48" s="1824"/>
      <c r="AC48" s="1711"/>
      <c r="AD48" s="1824"/>
      <c r="AE48" s="1826"/>
      <c r="AF48" s="1824"/>
      <c r="AG48" s="1485"/>
      <c r="AH48" s="1824"/>
      <c r="AI48" s="1826"/>
      <c r="AJ48" s="1486"/>
      <c r="AK48" s="4559"/>
      <c r="AL48" s="1487"/>
      <c r="AM48" s="1824"/>
      <c r="AN48" s="4967"/>
      <c r="AO48" s="4968"/>
      <c r="AP48" s="4969"/>
      <c r="AQ48" s="4968"/>
      <c r="AR48" s="4970"/>
      <c r="AS48" s="4968"/>
      <c r="AT48" s="4970"/>
      <c r="AU48" s="4968"/>
    </row>
    <row r="49" spans="1:47" s="382" customFormat="1" ht="15" customHeight="1">
      <c r="A49" s="1947" t="s">
        <v>1275</v>
      </c>
      <c r="B49" s="1485"/>
      <c r="C49" s="1824"/>
      <c r="D49" s="1485"/>
      <c r="E49" s="1824"/>
      <c r="F49" s="1485"/>
      <c r="G49" s="1824"/>
      <c r="H49" s="1485"/>
      <c r="I49" s="1824"/>
      <c r="J49" s="1485"/>
      <c r="K49" s="1824"/>
      <c r="L49" s="1485"/>
      <c r="M49" s="1824"/>
      <c r="N49" s="1485"/>
      <c r="O49" s="1824"/>
      <c r="P49" s="1485"/>
      <c r="Q49" s="1824"/>
      <c r="R49" s="3051">
        <f t="shared" si="1"/>
        <v>0</v>
      </c>
      <c r="S49" s="1697">
        <f t="shared" si="2"/>
        <v>0</v>
      </c>
      <c r="T49" s="3051">
        <f t="shared" si="3"/>
        <v>0</v>
      </c>
      <c r="U49" s="1697">
        <f t="shared" si="4"/>
        <v>0</v>
      </c>
      <c r="V49" s="1695">
        <f t="shared" si="5"/>
        <v>0</v>
      </c>
      <c r="W49" s="1697">
        <f t="shared" si="6"/>
        <v>0</v>
      </c>
      <c r="X49" s="3051">
        <f t="shared" si="7"/>
        <v>0</v>
      </c>
      <c r="Y49" s="4966">
        <f t="shared" si="8"/>
        <v>0</v>
      </c>
      <c r="Z49" s="1711"/>
      <c r="AA49" s="1487"/>
      <c r="AB49" s="1824"/>
      <c r="AC49" s="1711"/>
      <c r="AD49" s="1824"/>
      <c r="AE49" s="1826"/>
      <c r="AF49" s="1824"/>
      <c r="AG49" s="1485"/>
      <c r="AH49" s="1824"/>
      <c r="AI49" s="1826"/>
      <c r="AJ49" s="1486"/>
      <c r="AK49" s="4559"/>
      <c r="AL49" s="1487"/>
      <c r="AM49" s="1824"/>
      <c r="AN49" s="4967"/>
      <c r="AO49" s="4968"/>
      <c r="AP49" s="4969"/>
      <c r="AQ49" s="4968"/>
      <c r="AR49" s="4970"/>
      <c r="AS49" s="4968"/>
      <c r="AT49" s="4970"/>
      <c r="AU49" s="4968"/>
    </row>
    <row r="50" spans="1:47" s="382" customFormat="1" ht="15" customHeight="1">
      <c r="A50" s="1947" t="s">
        <v>1276</v>
      </c>
      <c r="B50" s="1485"/>
      <c r="C50" s="1824"/>
      <c r="D50" s="1485"/>
      <c r="E50" s="1824"/>
      <c r="F50" s="1485"/>
      <c r="G50" s="1824"/>
      <c r="H50" s="1485"/>
      <c r="I50" s="1824"/>
      <c r="J50" s="1485"/>
      <c r="K50" s="1824"/>
      <c r="L50" s="1485"/>
      <c r="M50" s="1824"/>
      <c r="N50" s="1485"/>
      <c r="O50" s="1824"/>
      <c r="P50" s="1485"/>
      <c r="Q50" s="1824"/>
      <c r="R50" s="3051">
        <f t="shared" si="1"/>
        <v>0</v>
      </c>
      <c r="S50" s="1697">
        <f t="shared" si="2"/>
        <v>0</v>
      </c>
      <c r="T50" s="3051">
        <f t="shared" si="3"/>
        <v>0</v>
      </c>
      <c r="U50" s="1697">
        <f t="shared" si="4"/>
        <v>0</v>
      </c>
      <c r="V50" s="1695">
        <f t="shared" si="5"/>
        <v>0</v>
      </c>
      <c r="W50" s="1697">
        <f t="shared" si="6"/>
        <v>0</v>
      </c>
      <c r="X50" s="3051">
        <f t="shared" si="7"/>
        <v>0</v>
      </c>
      <c r="Y50" s="4966">
        <f t="shared" si="8"/>
        <v>0</v>
      </c>
      <c r="Z50" s="1711"/>
      <c r="AA50" s="1487"/>
      <c r="AB50" s="1824"/>
      <c r="AC50" s="1711"/>
      <c r="AD50" s="1824"/>
      <c r="AE50" s="1826"/>
      <c r="AF50" s="1824"/>
      <c r="AG50" s="1485"/>
      <c r="AH50" s="1824"/>
      <c r="AI50" s="1826"/>
      <c r="AJ50" s="1486"/>
      <c r="AK50" s="4559"/>
      <c r="AL50" s="1487"/>
      <c r="AM50" s="1824"/>
      <c r="AN50" s="4967"/>
      <c r="AO50" s="4968"/>
      <c r="AP50" s="4969"/>
      <c r="AQ50" s="4968"/>
      <c r="AR50" s="4970"/>
      <c r="AS50" s="4968"/>
      <c r="AT50" s="4970"/>
      <c r="AU50" s="4968"/>
    </row>
    <row r="51" spans="1:47" s="382" customFormat="1" ht="15" customHeight="1">
      <c r="A51" s="1947" t="s">
        <v>3857</v>
      </c>
      <c r="B51" s="1485"/>
      <c r="C51" s="1824"/>
      <c r="D51" s="1485"/>
      <c r="E51" s="1824"/>
      <c r="F51" s="1485"/>
      <c r="G51" s="1824"/>
      <c r="H51" s="1485"/>
      <c r="I51" s="1824"/>
      <c r="J51" s="1485"/>
      <c r="K51" s="1824"/>
      <c r="L51" s="1485"/>
      <c r="M51" s="1824"/>
      <c r="N51" s="1485"/>
      <c r="O51" s="1824"/>
      <c r="P51" s="1485"/>
      <c r="Q51" s="1824"/>
      <c r="R51" s="3051">
        <f t="shared" si="1"/>
        <v>0</v>
      </c>
      <c r="S51" s="1697">
        <f t="shared" si="2"/>
        <v>0</v>
      </c>
      <c r="T51" s="3051">
        <f t="shared" si="3"/>
        <v>0</v>
      </c>
      <c r="U51" s="1697">
        <f t="shared" si="4"/>
        <v>0</v>
      </c>
      <c r="V51" s="1695">
        <f t="shared" si="5"/>
        <v>0</v>
      </c>
      <c r="W51" s="1697">
        <f t="shared" si="6"/>
        <v>0</v>
      </c>
      <c r="X51" s="3051">
        <f t="shared" si="7"/>
        <v>0</v>
      </c>
      <c r="Y51" s="4966">
        <f t="shared" si="8"/>
        <v>0</v>
      </c>
      <c r="Z51" s="1711"/>
      <c r="AA51" s="1487"/>
      <c r="AB51" s="1824"/>
      <c r="AC51" s="1711"/>
      <c r="AD51" s="1824"/>
      <c r="AE51" s="1826"/>
      <c r="AF51" s="1824"/>
      <c r="AG51" s="1485"/>
      <c r="AH51" s="1824"/>
      <c r="AI51" s="1826"/>
      <c r="AJ51" s="1486"/>
      <c r="AK51" s="4559"/>
      <c r="AL51" s="1487"/>
      <c r="AM51" s="1824"/>
      <c r="AN51" s="4967"/>
      <c r="AO51" s="4968"/>
      <c r="AP51" s="4969"/>
      <c r="AQ51" s="4968"/>
      <c r="AR51" s="4970"/>
      <c r="AS51" s="4968"/>
      <c r="AT51" s="4970"/>
      <c r="AU51" s="4968"/>
    </row>
    <row r="52" spans="1:47" s="382" customFormat="1" ht="15" customHeight="1">
      <c r="A52" s="1947" t="s">
        <v>3858</v>
      </c>
      <c r="B52" s="1485"/>
      <c r="C52" s="1824"/>
      <c r="D52" s="1485"/>
      <c r="E52" s="1824"/>
      <c r="F52" s="1485"/>
      <c r="G52" s="1824"/>
      <c r="H52" s="1485"/>
      <c r="I52" s="1824"/>
      <c r="J52" s="1485"/>
      <c r="K52" s="1824"/>
      <c r="L52" s="1485"/>
      <c r="M52" s="1824"/>
      <c r="N52" s="1485"/>
      <c r="O52" s="1824"/>
      <c r="P52" s="1485"/>
      <c r="Q52" s="1824"/>
      <c r="R52" s="3051">
        <f t="shared" si="1"/>
        <v>0</v>
      </c>
      <c r="S52" s="1697">
        <f t="shared" si="2"/>
        <v>0</v>
      </c>
      <c r="T52" s="3051">
        <f t="shared" si="3"/>
        <v>0</v>
      </c>
      <c r="U52" s="1697">
        <f t="shared" si="4"/>
        <v>0</v>
      </c>
      <c r="V52" s="1695">
        <f t="shared" si="5"/>
        <v>0</v>
      </c>
      <c r="W52" s="1697">
        <f t="shared" si="6"/>
        <v>0</v>
      </c>
      <c r="X52" s="3051">
        <f t="shared" si="7"/>
        <v>0</v>
      </c>
      <c r="Y52" s="4966">
        <f t="shared" si="8"/>
        <v>0</v>
      </c>
      <c r="Z52" s="1711"/>
      <c r="AA52" s="1487"/>
      <c r="AB52" s="1824"/>
      <c r="AC52" s="1711"/>
      <c r="AD52" s="1824"/>
      <c r="AE52" s="1826"/>
      <c r="AF52" s="1824"/>
      <c r="AG52" s="1485"/>
      <c r="AH52" s="1824"/>
      <c r="AI52" s="1826"/>
      <c r="AJ52" s="1486"/>
      <c r="AK52" s="4559"/>
      <c r="AL52" s="1487"/>
      <c r="AM52" s="1824"/>
      <c r="AN52" s="4967"/>
      <c r="AO52" s="4968"/>
      <c r="AP52" s="4969"/>
      <c r="AQ52" s="4968"/>
      <c r="AR52" s="4970"/>
      <c r="AS52" s="4968"/>
      <c r="AT52" s="4970"/>
      <c r="AU52" s="4968"/>
    </row>
    <row r="53" spans="1:47" s="382" customFormat="1" ht="15" customHeight="1">
      <c r="A53" s="1947" t="s">
        <v>1279</v>
      </c>
      <c r="B53" s="1485"/>
      <c r="C53" s="1824"/>
      <c r="D53" s="1485"/>
      <c r="E53" s="1824"/>
      <c r="F53" s="1485"/>
      <c r="G53" s="1824"/>
      <c r="H53" s="1485"/>
      <c r="I53" s="1824"/>
      <c r="J53" s="1485"/>
      <c r="K53" s="1824"/>
      <c r="L53" s="1485"/>
      <c r="M53" s="1824"/>
      <c r="N53" s="1485"/>
      <c r="O53" s="1824"/>
      <c r="P53" s="1485"/>
      <c r="Q53" s="1824"/>
      <c r="R53" s="3051">
        <f t="shared" si="1"/>
        <v>0</v>
      </c>
      <c r="S53" s="1697">
        <f t="shared" si="2"/>
        <v>0</v>
      </c>
      <c r="T53" s="3051">
        <f t="shared" si="3"/>
        <v>0</v>
      </c>
      <c r="U53" s="1697">
        <f t="shared" si="4"/>
        <v>0</v>
      </c>
      <c r="V53" s="1695">
        <f t="shared" si="5"/>
        <v>0</v>
      </c>
      <c r="W53" s="1697">
        <f t="shared" si="6"/>
        <v>0</v>
      </c>
      <c r="X53" s="3051">
        <f t="shared" si="7"/>
        <v>0</v>
      </c>
      <c r="Y53" s="4966">
        <f t="shared" si="8"/>
        <v>0</v>
      </c>
      <c r="Z53" s="1711"/>
      <c r="AA53" s="1487"/>
      <c r="AB53" s="1824"/>
      <c r="AC53" s="1711"/>
      <c r="AD53" s="1824"/>
      <c r="AE53" s="1826"/>
      <c r="AF53" s="1824"/>
      <c r="AG53" s="1485"/>
      <c r="AH53" s="1824"/>
      <c r="AI53" s="1826"/>
      <c r="AJ53" s="1486"/>
      <c r="AK53" s="4559"/>
      <c r="AL53" s="1487"/>
      <c r="AM53" s="1824"/>
      <c r="AN53" s="4967"/>
      <c r="AO53" s="4968"/>
      <c r="AP53" s="4969"/>
      <c r="AQ53" s="4968"/>
      <c r="AR53" s="4970"/>
      <c r="AS53" s="4968"/>
      <c r="AT53" s="4970"/>
      <c r="AU53" s="4968"/>
    </row>
    <row r="54" spans="1:47" s="382" customFormat="1" ht="15" customHeight="1">
      <c r="A54" s="1947" t="s">
        <v>3859</v>
      </c>
      <c r="B54" s="1485"/>
      <c r="C54" s="1824"/>
      <c r="D54" s="1485"/>
      <c r="E54" s="1824"/>
      <c r="F54" s="1485"/>
      <c r="G54" s="1824"/>
      <c r="H54" s="1485"/>
      <c r="I54" s="1824"/>
      <c r="J54" s="1485"/>
      <c r="K54" s="1824"/>
      <c r="L54" s="1485"/>
      <c r="M54" s="1824"/>
      <c r="N54" s="1485"/>
      <c r="O54" s="1824"/>
      <c r="P54" s="1485"/>
      <c r="Q54" s="1824"/>
      <c r="R54" s="3051">
        <f t="shared" si="1"/>
        <v>0</v>
      </c>
      <c r="S54" s="1697">
        <f t="shared" si="2"/>
        <v>0</v>
      </c>
      <c r="T54" s="3051">
        <f t="shared" si="3"/>
        <v>0</v>
      </c>
      <c r="U54" s="1697">
        <f t="shared" si="4"/>
        <v>0</v>
      </c>
      <c r="V54" s="1695">
        <f t="shared" si="5"/>
        <v>0</v>
      </c>
      <c r="W54" s="1697">
        <f t="shared" si="6"/>
        <v>0</v>
      </c>
      <c r="X54" s="3051">
        <f t="shared" si="7"/>
        <v>0</v>
      </c>
      <c r="Y54" s="4966">
        <f t="shared" si="8"/>
        <v>0</v>
      </c>
      <c r="Z54" s="1711"/>
      <c r="AA54" s="1487"/>
      <c r="AB54" s="1824"/>
      <c r="AC54" s="1711"/>
      <c r="AD54" s="1824"/>
      <c r="AE54" s="1826"/>
      <c r="AF54" s="1824"/>
      <c r="AG54" s="1485"/>
      <c r="AH54" s="1824"/>
      <c r="AI54" s="1826"/>
      <c r="AJ54" s="1486"/>
      <c r="AK54" s="4559"/>
      <c r="AL54" s="1487"/>
      <c r="AM54" s="1824"/>
      <c r="AN54" s="4967"/>
      <c r="AO54" s="4968"/>
      <c r="AP54" s="4969"/>
      <c r="AQ54" s="4968"/>
      <c r="AR54" s="4970"/>
      <c r="AS54" s="4968"/>
      <c r="AT54" s="4970"/>
      <c r="AU54" s="4968"/>
    </row>
    <row r="55" spans="1:47" s="382" customFormat="1" ht="15" customHeight="1">
      <c r="A55" s="1946" t="s">
        <v>1281</v>
      </c>
      <c r="B55" s="1485"/>
      <c r="C55" s="1824"/>
      <c r="D55" s="1485"/>
      <c r="E55" s="1824"/>
      <c r="F55" s="1485"/>
      <c r="G55" s="1824"/>
      <c r="H55" s="1485"/>
      <c r="I55" s="1824"/>
      <c r="J55" s="1485"/>
      <c r="K55" s="1824"/>
      <c r="L55" s="1485"/>
      <c r="M55" s="1824"/>
      <c r="N55" s="1485"/>
      <c r="O55" s="1824"/>
      <c r="P55" s="1485"/>
      <c r="Q55" s="1824"/>
      <c r="R55" s="3051">
        <f t="shared" si="1"/>
        <v>0</v>
      </c>
      <c r="S55" s="1697">
        <f t="shared" si="2"/>
        <v>0</v>
      </c>
      <c r="T55" s="3051">
        <f t="shared" si="3"/>
        <v>0</v>
      </c>
      <c r="U55" s="1697">
        <f t="shared" si="4"/>
        <v>0</v>
      </c>
      <c r="V55" s="1695">
        <f t="shared" si="5"/>
        <v>0</v>
      </c>
      <c r="W55" s="1697">
        <f t="shared" si="6"/>
        <v>0</v>
      </c>
      <c r="X55" s="3051">
        <f t="shared" si="7"/>
        <v>0</v>
      </c>
      <c r="Y55" s="4966">
        <f t="shared" si="8"/>
        <v>0</v>
      </c>
      <c r="Z55" s="1711"/>
      <c r="AA55" s="1487"/>
      <c r="AB55" s="1824"/>
      <c r="AC55" s="1711"/>
      <c r="AD55" s="1824"/>
      <c r="AE55" s="1826"/>
      <c r="AF55" s="1824"/>
      <c r="AG55" s="1485"/>
      <c r="AH55" s="1824"/>
      <c r="AI55" s="1826"/>
      <c r="AJ55" s="1486"/>
      <c r="AK55" s="4559"/>
      <c r="AL55" s="1487"/>
      <c r="AM55" s="1824"/>
      <c r="AN55" s="4967"/>
      <c r="AO55" s="4968"/>
      <c r="AP55" s="4969"/>
      <c r="AQ55" s="4968"/>
      <c r="AR55" s="4970"/>
      <c r="AS55" s="4968"/>
      <c r="AT55" s="4970"/>
      <c r="AU55" s="4968"/>
    </row>
    <row r="56" spans="1:47" s="382" customFormat="1" ht="15" customHeight="1">
      <c r="A56" s="1437" t="s">
        <v>1282</v>
      </c>
      <c r="B56" s="1485"/>
      <c r="C56" s="1824"/>
      <c r="D56" s="1485"/>
      <c r="E56" s="1824"/>
      <c r="F56" s="1485"/>
      <c r="G56" s="1824"/>
      <c r="H56" s="1485"/>
      <c r="I56" s="1824"/>
      <c r="J56" s="1485"/>
      <c r="K56" s="1824"/>
      <c r="L56" s="1485"/>
      <c r="M56" s="1824"/>
      <c r="N56" s="1485"/>
      <c r="O56" s="1824"/>
      <c r="P56" s="1485"/>
      <c r="Q56" s="1824"/>
      <c r="R56" s="3051">
        <f t="shared" si="1"/>
        <v>0</v>
      </c>
      <c r="S56" s="1697">
        <f t="shared" si="2"/>
        <v>0</v>
      </c>
      <c r="T56" s="3051">
        <f t="shared" si="3"/>
        <v>0</v>
      </c>
      <c r="U56" s="1697">
        <f t="shared" si="4"/>
        <v>0</v>
      </c>
      <c r="V56" s="1695">
        <f t="shared" si="5"/>
        <v>0</v>
      </c>
      <c r="W56" s="1697">
        <f t="shared" si="6"/>
        <v>0</v>
      </c>
      <c r="X56" s="3051">
        <f t="shared" si="7"/>
        <v>0</v>
      </c>
      <c r="Y56" s="4966">
        <f t="shared" si="8"/>
        <v>0</v>
      </c>
      <c r="Z56" s="1711"/>
      <c r="AA56" s="1487"/>
      <c r="AB56" s="1824"/>
      <c r="AC56" s="1711"/>
      <c r="AD56" s="1824"/>
      <c r="AE56" s="1826"/>
      <c r="AF56" s="1824"/>
      <c r="AG56" s="1485"/>
      <c r="AH56" s="1824"/>
      <c r="AI56" s="1826"/>
      <c r="AJ56" s="1486"/>
      <c r="AK56" s="4559"/>
      <c r="AL56" s="1487"/>
      <c r="AM56" s="1824"/>
      <c r="AN56" s="4967"/>
      <c r="AO56" s="4968"/>
      <c r="AP56" s="4969"/>
      <c r="AQ56" s="4968"/>
      <c r="AR56" s="4970"/>
      <c r="AS56" s="4968"/>
      <c r="AT56" s="4970"/>
      <c r="AU56" s="4968"/>
    </row>
    <row r="57" spans="1:47" s="382" customFormat="1" ht="15" customHeight="1">
      <c r="A57" s="1437" t="s">
        <v>1283</v>
      </c>
      <c r="B57" s="1485"/>
      <c r="C57" s="1824"/>
      <c r="D57" s="1485"/>
      <c r="E57" s="1824"/>
      <c r="F57" s="1485"/>
      <c r="G57" s="1824"/>
      <c r="H57" s="1485"/>
      <c r="I57" s="1824"/>
      <c r="J57" s="1485"/>
      <c r="K57" s="1824"/>
      <c r="L57" s="1485"/>
      <c r="M57" s="1824"/>
      <c r="N57" s="1485"/>
      <c r="O57" s="1824"/>
      <c r="P57" s="1485"/>
      <c r="Q57" s="1824"/>
      <c r="R57" s="3051">
        <f t="shared" si="1"/>
        <v>0</v>
      </c>
      <c r="S57" s="1697">
        <f t="shared" si="2"/>
        <v>0</v>
      </c>
      <c r="T57" s="3051">
        <f t="shared" si="3"/>
        <v>0</v>
      </c>
      <c r="U57" s="1697">
        <f t="shared" si="4"/>
        <v>0</v>
      </c>
      <c r="V57" s="1695">
        <f t="shared" si="5"/>
        <v>0</v>
      </c>
      <c r="W57" s="1697">
        <f t="shared" si="6"/>
        <v>0</v>
      </c>
      <c r="X57" s="3051">
        <f t="shared" si="7"/>
        <v>0</v>
      </c>
      <c r="Y57" s="4966">
        <f t="shared" si="8"/>
        <v>0</v>
      </c>
      <c r="Z57" s="1711"/>
      <c r="AA57" s="1487"/>
      <c r="AB57" s="1824"/>
      <c r="AC57" s="1711"/>
      <c r="AD57" s="1824"/>
      <c r="AE57" s="1826"/>
      <c r="AF57" s="1824"/>
      <c r="AG57" s="1485"/>
      <c r="AH57" s="1824"/>
      <c r="AI57" s="1826"/>
      <c r="AJ57" s="1486"/>
      <c r="AK57" s="4559"/>
      <c r="AL57" s="1487"/>
      <c r="AM57" s="1824"/>
      <c r="AN57" s="4967"/>
      <c r="AO57" s="4968"/>
      <c r="AP57" s="4969"/>
      <c r="AQ57" s="4968"/>
      <c r="AR57" s="4970"/>
      <c r="AS57" s="4968"/>
      <c r="AT57" s="4970"/>
      <c r="AU57" s="4968"/>
    </row>
    <row r="58" spans="1:47" s="382" customFormat="1" ht="15" customHeight="1">
      <c r="A58" s="2329" t="s">
        <v>1284</v>
      </c>
      <c r="B58" s="1485"/>
      <c r="C58" s="1824"/>
      <c r="D58" s="1485"/>
      <c r="E58" s="1824"/>
      <c r="F58" s="1485"/>
      <c r="G58" s="1824"/>
      <c r="H58" s="1485"/>
      <c r="I58" s="1824"/>
      <c r="J58" s="1485"/>
      <c r="K58" s="1824"/>
      <c r="L58" s="1485"/>
      <c r="M58" s="1824"/>
      <c r="N58" s="1485"/>
      <c r="O58" s="1824"/>
      <c r="P58" s="1485"/>
      <c r="Q58" s="1824"/>
      <c r="R58" s="3051">
        <f t="shared" si="1"/>
        <v>0</v>
      </c>
      <c r="S58" s="1697">
        <f t="shared" si="2"/>
        <v>0</v>
      </c>
      <c r="T58" s="3051">
        <f t="shared" si="3"/>
        <v>0</v>
      </c>
      <c r="U58" s="1697">
        <f t="shared" si="4"/>
        <v>0</v>
      </c>
      <c r="V58" s="1695">
        <f t="shared" si="5"/>
        <v>0</v>
      </c>
      <c r="W58" s="1697">
        <f t="shared" si="6"/>
        <v>0</v>
      </c>
      <c r="X58" s="3051">
        <f t="shared" si="7"/>
        <v>0</v>
      </c>
      <c r="Y58" s="4966">
        <f t="shared" si="8"/>
        <v>0</v>
      </c>
      <c r="Z58" s="1711"/>
      <c r="AA58" s="1487"/>
      <c r="AB58" s="1824"/>
      <c r="AC58" s="1711"/>
      <c r="AD58" s="1824"/>
      <c r="AE58" s="1826"/>
      <c r="AF58" s="1824"/>
      <c r="AG58" s="1485"/>
      <c r="AH58" s="1824"/>
      <c r="AI58" s="1826"/>
      <c r="AJ58" s="1486"/>
      <c r="AK58" s="4559"/>
      <c r="AL58" s="1487"/>
      <c r="AM58" s="1824"/>
      <c r="AN58" s="4967"/>
      <c r="AO58" s="4968"/>
      <c r="AP58" s="4969"/>
      <c r="AQ58" s="4968"/>
      <c r="AR58" s="4970"/>
      <c r="AS58" s="4968"/>
      <c r="AT58" s="4970"/>
      <c r="AU58" s="4968"/>
    </row>
    <row r="59" spans="1:47" s="382" customFormat="1" ht="15" customHeight="1">
      <c r="A59" s="1947" t="s">
        <v>1285</v>
      </c>
      <c r="B59" s="1485"/>
      <c r="C59" s="1824"/>
      <c r="D59" s="1485"/>
      <c r="E59" s="1824"/>
      <c r="F59" s="1485"/>
      <c r="G59" s="1824"/>
      <c r="H59" s="1485"/>
      <c r="I59" s="1824"/>
      <c r="J59" s="1485"/>
      <c r="K59" s="1824"/>
      <c r="L59" s="1485"/>
      <c r="M59" s="1824"/>
      <c r="N59" s="1485"/>
      <c r="O59" s="1824"/>
      <c r="P59" s="1485"/>
      <c r="Q59" s="1824"/>
      <c r="R59" s="3051">
        <f t="shared" si="1"/>
        <v>0</v>
      </c>
      <c r="S59" s="1697">
        <f t="shared" si="2"/>
        <v>0</v>
      </c>
      <c r="T59" s="3051">
        <f t="shared" si="3"/>
        <v>0</v>
      </c>
      <c r="U59" s="1697">
        <f t="shared" si="4"/>
        <v>0</v>
      </c>
      <c r="V59" s="1695">
        <f t="shared" si="5"/>
        <v>0</v>
      </c>
      <c r="W59" s="1697">
        <f t="shared" si="6"/>
        <v>0</v>
      </c>
      <c r="X59" s="3051">
        <f t="shared" si="7"/>
        <v>0</v>
      </c>
      <c r="Y59" s="4966">
        <f t="shared" si="8"/>
        <v>0</v>
      </c>
      <c r="Z59" s="1711"/>
      <c r="AA59" s="1487"/>
      <c r="AB59" s="1824"/>
      <c r="AC59" s="1711"/>
      <c r="AD59" s="1824"/>
      <c r="AE59" s="1826"/>
      <c r="AF59" s="1824"/>
      <c r="AG59" s="1485"/>
      <c r="AH59" s="1824"/>
      <c r="AI59" s="1826"/>
      <c r="AJ59" s="1486"/>
      <c r="AK59" s="4559"/>
      <c r="AL59" s="1487"/>
      <c r="AM59" s="1824"/>
      <c r="AN59" s="4967"/>
      <c r="AO59" s="4968"/>
      <c r="AP59" s="4969"/>
      <c r="AQ59" s="4968"/>
      <c r="AR59" s="4970"/>
      <c r="AS59" s="4968"/>
      <c r="AT59" s="4970"/>
      <c r="AU59" s="4968"/>
    </row>
    <row r="60" spans="1:47" s="382" customFormat="1" ht="15" customHeight="1">
      <c r="A60" s="1947" t="s">
        <v>1286</v>
      </c>
      <c r="B60" s="1485"/>
      <c r="C60" s="1824"/>
      <c r="D60" s="1485"/>
      <c r="E60" s="1824"/>
      <c r="F60" s="1485"/>
      <c r="G60" s="1824"/>
      <c r="H60" s="1485"/>
      <c r="I60" s="1824"/>
      <c r="J60" s="1485"/>
      <c r="K60" s="1824"/>
      <c r="L60" s="1485"/>
      <c r="M60" s="1824"/>
      <c r="N60" s="1485"/>
      <c r="O60" s="1824"/>
      <c r="P60" s="1485"/>
      <c r="Q60" s="1824"/>
      <c r="R60" s="3051">
        <f t="shared" si="1"/>
        <v>0</v>
      </c>
      <c r="S60" s="1697">
        <f t="shared" si="2"/>
        <v>0</v>
      </c>
      <c r="T60" s="3051">
        <f t="shared" si="3"/>
        <v>0</v>
      </c>
      <c r="U60" s="1697">
        <f t="shared" si="4"/>
        <v>0</v>
      </c>
      <c r="V60" s="1695">
        <f t="shared" si="5"/>
        <v>0</v>
      </c>
      <c r="W60" s="1697">
        <f t="shared" si="6"/>
        <v>0</v>
      </c>
      <c r="X60" s="3051">
        <f t="shared" si="7"/>
        <v>0</v>
      </c>
      <c r="Y60" s="4966">
        <f t="shared" si="8"/>
        <v>0</v>
      </c>
      <c r="Z60" s="1711"/>
      <c r="AA60" s="1487"/>
      <c r="AB60" s="1824"/>
      <c r="AC60" s="1711"/>
      <c r="AD60" s="1824"/>
      <c r="AE60" s="1826"/>
      <c r="AF60" s="1824"/>
      <c r="AG60" s="1485"/>
      <c r="AH60" s="1824"/>
      <c r="AI60" s="1826"/>
      <c r="AJ60" s="1486"/>
      <c r="AK60" s="4559"/>
      <c r="AL60" s="1487"/>
      <c r="AM60" s="1824"/>
      <c r="AN60" s="4967"/>
      <c r="AO60" s="4968"/>
      <c r="AP60" s="4969"/>
      <c r="AQ60" s="4968"/>
      <c r="AR60" s="4970"/>
      <c r="AS60" s="4968"/>
      <c r="AT60" s="4970"/>
      <c r="AU60" s="4968"/>
    </row>
    <row r="61" spans="1:47" s="382" customFormat="1" ht="15" customHeight="1">
      <c r="A61" s="1947" t="s">
        <v>1287</v>
      </c>
      <c r="B61" s="1485"/>
      <c r="C61" s="1824"/>
      <c r="D61" s="1485"/>
      <c r="E61" s="1824"/>
      <c r="F61" s="1485"/>
      <c r="G61" s="1824"/>
      <c r="H61" s="1485"/>
      <c r="I61" s="1824"/>
      <c r="J61" s="1485"/>
      <c r="K61" s="1824"/>
      <c r="L61" s="1485"/>
      <c r="M61" s="1824"/>
      <c r="N61" s="1485"/>
      <c r="O61" s="1824"/>
      <c r="P61" s="1485"/>
      <c r="Q61" s="1824"/>
      <c r="R61" s="3051">
        <f t="shared" si="1"/>
        <v>0</v>
      </c>
      <c r="S61" s="1697">
        <f t="shared" si="2"/>
        <v>0</v>
      </c>
      <c r="T61" s="3051">
        <f t="shared" si="3"/>
        <v>0</v>
      </c>
      <c r="U61" s="1697">
        <f t="shared" si="4"/>
        <v>0</v>
      </c>
      <c r="V61" s="1695">
        <f t="shared" si="5"/>
        <v>0</v>
      </c>
      <c r="W61" s="1697">
        <f t="shared" si="6"/>
        <v>0</v>
      </c>
      <c r="X61" s="3051">
        <f t="shared" si="7"/>
        <v>0</v>
      </c>
      <c r="Y61" s="4966">
        <f t="shared" si="8"/>
        <v>0</v>
      </c>
      <c r="Z61" s="1711"/>
      <c r="AA61" s="1487"/>
      <c r="AB61" s="1824"/>
      <c r="AC61" s="1711"/>
      <c r="AD61" s="1824"/>
      <c r="AE61" s="1826"/>
      <c r="AF61" s="1824"/>
      <c r="AG61" s="1485"/>
      <c r="AH61" s="1824"/>
      <c r="AI61" s="1826"/>
      <c r="AJ61" s="1486"/>
      <c r="AK61" s="4559"/>
      <c r="AL61" s="1487"/>
      <c r="AM61" s="1824"/>
      <c r="AN61" s="4967"/>
      <c r="AO61" s="4968"/>
      <c r="AP61" s="4969"/>
      <c r="AQ61" s="4968"/>
      <c r="AR61" s="4970"/>
      <c r="AS61" s="4968"/>
      <c r="AT61" s="4970"/>
      <c r="AU61" s="4968"/>
    </row>
    <row r="62" spans="1:47" s="382" customFormat="1" ht="15" customHeight="1">
      <c r="A62" s="1947" t="s">
        <v>1288</v>
      </c>
      <c r="B62" s="1485"/>
      <c r="C62" s="1824"/>
      <c r="D62" s="1485"/>
      <c r="E62" s="1824"/>
      <c r="F62" s="1485"/>
      <c r="G62" s="1824"/>
      <c r="H62" s="1485"/>
      <c r="I62" s="1824"/>
      <c r="J62" s="1485"/>
      <c r="K62" s="1824"/>
      <c r="L62" s="1485"/>
      <c r="M62" s="1824"/>
      <c r="N62" s="1485"/>
      <c r="O62" s="1824"/>
      <c r="P62" s="1485"/>
      <c r="Q62" s="1824"/>
      <c r="R62" s="3051">
        <f t="shared" si="1"/>
        <v>0</v>
      </c>
      <c r="S62" s="1697">
        <f t="shared" si="2"/>
        <v>0</v>
      </c>
      <c r="T62" s="3051">
        <f t="shared" si="3"/>
        <v>0</v>
      </c>
      <c r="U62" s="1697">
        <f t="shared" si="4"/>
        <v>0</v>
      </c>
      <c r="V62" s="1695">
        <f t="shared" si="5"/>
        <v>0</v>
      </c>
      <c r="W62" s="1697">
        <f t="shared" si="6"/>
        <v>0</v>
      </c>
      <c r="X62" s="3051">
        <f t="shared" si="7"/>
        <v>0</v>
      </c>
      <c r="Y62" s="4966">
        <f t="shared" si="8"/>
        <v>0</v>
      </c>
      <c r="Z62" s="1711"/>
      <c r="AA62" s="1487"/>
      <c r="AB62" s="1824"/>
      <c r="AC62" s="1711"/>
      <c r="AD62" s="1824"/>
      <c r="AE62" s="1826"/>
      <c r="AF62" s="1824"/>
      <c r="AG62" s="1485"/>
      <c r="AH62" s="1824"/>
      <c r="AI62" s="1826"/>
      <c r="AJ62" s="1486"/>
      <c r="AK62" s="4559"/>
      <c r="AL62" s="1487"/>
      <c r="AM62" s="1824"/>
      <c r="AN62" s="4967"/>
      <c r="AO62" s="4968"/>
      <c r="AP62" s="4969"/>
      <c r="AQ62" s="4968"/>
      <c r="AR62" s="4970"/>
      <c r="AS62" s="4968"/>
      <c r="AT62" s="4970"/>
      <c r="AU62" s="4968"/>
    </row>
    <row r="63" spans="1:47" s="382" customFormat="1" ht="15" customHeight="1">
      <c r="A63" s="1947" t="s">
        <v>3860</v>
      </c>
      <c r="B63" s="1485"/>
      <c r="C63" s="1824"/>
      <c r="D63" s="1485"/>
      <c r="E63" s="1824"/>
      <c r="F63" s="1485"/>
      <c r="G63" s="1824"/>
      <c r="H63" s="1485"/>
      <c r="I63" s="1824"/>
      <c r="J63" s="1485"/>
      <c r="K63" s="1824"/>
      <c r="L63" s="1485"/>
      <c r="M63" s="1824"/>
      <c r="N63" s="1485"/>
      <c r="O63" s="1824"/>
      <c r="P63" s="1485"/>
      <c r="Q63" s="1824"/>
      <c r="R63" s="3051">
        <f t="shared" si="1"/>
        <v>0</v>
      </c>
      <c r="S63" s="1697">
        <f t="shared" si="2"/>
        <v>0</v>
      </c>
      <c r="T63" s="3051">
        <f t="shared" si="3"/>
        <v>0</v>
      </c>
      <c r="U63" s="1697">
        <f t="shared" si="4"/>
        <v>0</v>
      </c>
      <c r="V63" s="1695">
        <f t="shared" si="5"/>
        <v>0</v>
      </c>
      <c r="W63" s="1697">
        <f t="shared" si="6"/>
        <v>0</v>
      </c>
      <c r="X63" s="3051">
        <f t="shared" si="7"/>
        <v>0</v>
      </c>
      <c r="Y63" s="4966">
        <f t="shared" si="8"/>
        <v>0</v>
      </c>
      <c r="Z63" s="1711"/>
      <c r="AA63" s="1487"/>
      <c r="AB63" s="1824"/>
      <c r="AC63" s="1711"/>
      <c r="AD63" s="1824"/>
      <c r="AE63" s="1826"/>
      <c r="AF63" s="1824"/>
      <c r="AG63" s="1485"/>
      <c r="AH63" s="1824"/>
      <c r="AI63" s="1826"/>
      <c r="AJ63" s="1486"/>
      <c r="AK63" s="4559"/>
      <c r="AL63" s="1487"/>
      <c r="AM63" s="1824"/>
      <c r="AN63" s="4967"/>
      <c r="AO63" s="4968"/>
      <c r="AP63" s="4969"/>
      <c r="AQ63" s="4968"/>
      <c r="AR63" s="4970"/>
      <c r="AS63" s="4968"/>
      <c r="AT63" s="4970"/>
      <c r="AU63" s="4968"/>
    </row>
    <row r="64" spans="1:47" s="382" customFormat="1" ht="15" customHeight="1">
      <c r="A64" s="1947" t="s">
        <v>1290</v>
      </c>
      <c r="B64" s="1485"/>
      <c r="C64" s="1824"/>
      <c r="D64" s="1485"/>
      <c r="E64" s="1824"/>
      <c r="F64" s="1485"/>
      <c r="G64" s="1824"/>
      <c r="H64" s="1485"/>
      <c r="I64" s="1824"/>
      <c r="J64" s="1485"/>
      <c r="K64" s="1824"/>
      <c r="L64" s="1485"/>
      <c r="M64" s="1824"/>
      <c r="N64" s="1485"/>
      <c r="O64" s="1824"/>
      <c r="P64" s="1485"/>
      <c r="Q64" s="1824"/>
      <c r="R64" s="3051">
        <f t="shared" si="1"/>
        <v>0</v>
      </c>
      <c r="S64" s="1697">
        <f t="shared" si="2"/>
        <v>0</v>
      </c>
      <c r="T64" s="3051">
        <f t="shared" si="3"/>
        <v>0</v>
      </c>
      <c r="U64" s="1697">
        <f t="shared" si="4"/>
        <v>0</v>
      </c>
      <c r="V64" s="1695">
        <f t="shared" si="5"/>
        <v>0</v>
      </c>
      <c r="W64" s="1697">
        <f t="shared" si="6"/>
        <v>0</v>
      </c>
      <c r="X64" s="3051">
        <f t="shared" si="7"/>
        <v>0</v>
      </c>
      <c r="Y64" s="4966">
        <f t="shared" si="8"/>
        <v>0</v>
      </c>
      <c r="Z64" s="1711"/>
      <c r="AA64" s="1487"/>
      <c r="AB64" s="1824"/>
      <c r="AC64" s="1711"/>
      <c r="AD64" s="1824"/>
      <c r="AE64" s="1826"/>
      <c r="AF64" s="1824"/>
      <c r="AG64" s="1485"/>
      <c r="AH64" s="1824"/>
      <c r="AI64" s="1826"/>
      <c r="AJ64" s="1486"/>
      <c r="AK64" s="4559"/>
      <c r="AL64" s="1487"/>
      <c r="AM64" s="1824"/>
      <c r="AN64" s="4967"/>
      <c r="AO64" s="4968"/>
      <c r="AP64" s="4969"/>
      <c r="AQ64" s="4968"/>
      <c r="AR64" s="4970"/>
      <c r="AS64" s="4968"/>
      <c r="AT64" s="4970"/>
      <c r="AU64" s="4968"/>
    </row>
    <row r="65" spans="1:47" s="382" customFormat="1" ht="15" customHeight="1">
      <c r="A65" s="1512" t="s">
        <v>3861</v>
      </c>
      <c r="B65" s="1440"/>
      <c r="C65" s="1680"/>
      <c r="D65" s="1440"/>
      <c r="E65" s="1680"/>
      <c r="F65" s="1440"/>
      <c r="G65" s="1680"/>
      <c r="H65" s="1440"/>
      <c r="I65" s="1680"/>
      <c r="J65" s="1440"/>
      <c r="K65" s="1680"/>
      <c r="L65" s="1440"/>
      <c r="M65" s="1680"/>
      <c r="N65" s="1440"/>
      <c r="O65" s="1680"/>
      <c r="P65" s="1440"/>
      <c r="Q65" s="1680"/>
      <c r="R65" s="421">
        <f t="shared" si="1"/>
        <v>0</v>
      </c>
      <c r="S65" s="1654">
        <f t="shared" si="2"/>
        <v>0</v>
      </c>
      <c r="T65" s="421">
        <f t="shared" si="3"/>
        <v>0</v>
      </c>
      <c r="U65" s="1654">
        <f t="shared" si="4"/>
        <v>0</v>
      </c>
      <c r="V65" s="408">
        <f t="shared" si="5"/>
        <v>0</v>
      </c>
      <c r="W65" s="1654">
        <f t="shared" si="6"/>
        <v>0</v>
      </c>
      <c r="X65" s="421">
        <f t="shared" si="7"/>
        <v>0</v>
      </c>
      <c r="Y65" s="2843">
        <f t="shared" si="8"/>
        <v>0</v>
      </c>
      <c r="Z65" s="1709"/>
      <c r="AA65" s="1447"/>
      <c r="AB65" s="1680"/>
      <c r="AC65" s="1709"/>
      <c r="AD65" s="1680"/>
      <c r="AE65" s="1441"/>
      <c r="AF65" s="1680"/>
      <c r="AG65" s="1440"/>
      <c r="AH65" s="1680"/>
      <c r="AI65" s="1441"/>
      <c r="AJ65" s="1444"/>
      <c r="AK65" s="1656"/>
      <c r="AL65" s="1447"/>
      <c r="AM65" s="1680"/>
      <c r="AN65" s="4971"/>
      <c r="AO65" s="4972"/>
      <c r="AP65" s="4973"/>
      <c r="AQ65" s="4972"/>
      <c r="AR65" s="4974"/>
      <c r="AS65" s="4972"/>
      <c r="AT65" s="4974"/>
      <c r="AU65" s="4972"/>
    </row>
    <row r="66" spans="1:47" s="382" customFormat="1" ht="15" customHeight="1">
      <c r="A66" s="1946" t="s">
        <v>1292</v>
      </c>
      <c r="B66" s="1440"/>
      <c r="C66" s="1680"/>
      <c r="D66" s="1440"/>
      <c r="E66" s="1680"/>
      <c r="F66" s="1440"/>
      <c r="G66" s="1680"/>
      <c r="H66" s="1440"/>
      <c r="I66" s="1680"/>
      <c r="J66" s="1440"/>
      <c r="K66" s="1680"/>
      <c r="L66" s="1440"/>
      <c r="M66" s="1680"/>
      <c r="N66" s="1440"/>
      <c r="O66" s="1680"/>
      <c r="P66" s="1440"/>
      <c r="Q66" s="1680"/>
      <c r="R66" s="421">
        <f t="shared" si="1"/>
        <v>0</v>
      </c>
      <c r="S66" s="1654">
        <f t="shared" si="2"/>
        <v>0</v>
      </c>
      <c r="T66" s="421">
        <f t="shared" si="3"/>
        <v>0</v>
      </c>
      <c r="U66" s="1654">
        <f t="shared" si="4"/>
        <v>0</v>
      </c>
      <c r="V66" s="408">
        <f t="shared" si="5"/>
        <v>0</v>
      </c>
      <c r="W66" s="1654">
        <f t="shared" si="6"/>
        <v>0</v>
      </c>
      <c r="X66" s="421">
        <f t="shared" si="7"/>
        <v>0</v>
      </c>
      <c r="Y66" s="2843">
        <f t="shared" si="8"/>
        <v>0</v>
      </c>
      <c r="Z66" s="1709"/>
      <c r="AA66" s="1447"/>
      <c r="AB66" s="1680"/>
      <c r="AC66" s="1709"/>
      <c r="AD66" s="1680"/>
      <c r="AE66" s="1441"/>
      <c r="AF66" s="1680"/>
      <c r="AG66" s="1440"/>
      <c r="AH66" s="1680"/>
      <c r="AI66" s="1441"/>
      <c r="AJ66" s="1444"/>
      <c r="AK66" s="1656"/>
      <c r="AL66" s="1447"/>
      <c r="AM66" s="1680"/>
      <c r="AN66" s="4971"/>
      <c r="AO66" s="4972"/>
      <c r="AP66" s="4973"/>
      <c r="AQ66" s="4972"/>
      <c r="AR66" s="4974"/>
      <c r="AS66" s="4972"/>
      <c r="AT66" s="4974"/>
      <c r="AU66" s="4972"/>
    </row>
    <row r="67" spans="1:47" s="382" customFormat="1" ht="15" customHeight="1">
      <c r="A67" s="1506" t="s">
        <v>3862</v>
      </c>
      <c r="B67" s="1455"/>
      <c r="C67" s="1684"/>
      <c r="D67" s="1455"/>
      <c r="E67" s="1684"/>
      <c r="F67" s="1455"/>
      <c r="G67" s="1684"/>
      <c r="H67" s="1455"/>
      <c r="I67" s="1684"/>
      <c r="J67" s="1455"/>
      <c r="K67" s="1684"/>
      <c r="L67" s="1455"/>
      <c r="M67" s="1684"/>
      <c r="N67" s="1455"/>
      <c r="O67" s="1684"/>
      <c r="P67" s="1455"/>
      <c r="Q67" s="1684"/>
      <c r="R67" s="430">
        <f t="shared" si="1"/>
        <v>0</v>
      </c>
      <c r="S67" s="1659">
        <f t="shared" si="2"/>
        <v>0</v>
      </c>
      <c r="T67" s="430">
        <f t="shared" si="3"/>
        <v>0</v>
      </c>
      <c r="U67" s="1659">
        <f t="shared" si="4"/>
        <v>0</v>
      </c>
      <c r="V67" s="429">
        <f t="shared" si="5"/>
        <v>0</v>
      </c>
      <c r="W67" s="1659">
        <f t="shared" si="6"/>
        <v>0</v>
      </c>
      <c r="X67" s="430">
        <f t="shared" si="7"/>
        <v>0</v>
      </c>
      <c r="Y67" s="4975">
        <f t="shared" si="8"/>
        <v>0</v>
      </c>
      <c r="Z67" s="1714"/>
      <c r="AA67" s="1490"/>
      <c r="AB67" s="1684"/>
      <c r="AC67" s="1714"/>
      <c r="AD67" s="1684"/>
      <c r="AE67" s="1456"/>
      <c r="AF67" s="1684"/>
      <c r="AG67" s="1455"/>
      <c r="AH67" s="1684"/>
      <c r="AI67" s="1456"/>
      <c r="AJ67" s="1459"/>
      <c r="AK67" s="1661"/>
      <c r="AL67" s="1490"/>
      <c r="AM67" s="1684"/>
      <c r="AN67" s="4976"/>
      <c r="AO67" s="4977"/>
      <c r="AP67" s="4978"/>
      <c r="AQ67" s="4977"/>
      <c r="AR67" s="4979"/>
      <c r="AS67" s="4977"/>
      <c r="AT67" s="4979"/>
      <c r="AU67" s="4977"/>
    </row>
    <row r="68" spans="1:47" s="1582" customFormat="1" ht="18" customHeight="1">
      <c r="A68" s="2162" t="s">
        <v>3863</v>
      </c>
      <c r="B68" s="2162"/>
      <c r="C68" s="2162"/>
      <c r="D68" s="2162"/>
      <c r="E68" s="2162"/>
      <c r="F68" s="2162"/>
      <c r="G68" s="2162"/>
    </row>
    <row r="69" spans="1:47" s="383" customFormat="1" ht="24.75" customHeight="1">
      <c r="A69" s="6298" t="s">
        <v>3864</v>
      </c>
      <c r="B69" s="5710" t="s">
        <v>3865</v>
      </c>
      <c r="C69" s="6106"/>
      <c r="D69" s="6106"/>
      <c r="E69" s="6106"/>
      <c r="F69" s="6106"/>
      <c r="G69" s="6106"/>
      <c r="H69" s="6106"/>
      <c r="I69" s="5716"/>
      <c r="J69" s="5708" t="s">
        <v>3669</v>
      </c>
      <c r="K69" s="5708"/>
      <c r="L69" s="6147"/>
      <c r="M69" s="6191" t="s">
        <v>3835</v>
      </c>
      <c r="N69" s="6106"/>
      <c r="O69" s="6106"/>
      <c r="P69" s="6106"/>
      <c r="Q69" s="6106"/>
      <c r="R69" s="6106"/>
      <c r="S69" s="6106"/>
      <c r="T69" s="5712"/>
    </row>
    <row r="70" spans="1:47" s="383" customFormat="1" ht="15" customHeight="1">
      <c r="A70" s="6299"/>
      <c r="B70" s="5708" t="s">
        <v>3271</v>
      </c>
      <c r="C70" s="5709"/>
      <c r="D70" s="5707" t="s">
        <v>1235</v>
      </c>
      <c r="E70" s="5709"/>
      <c r="F70" s="5707" t="s">
        <v>1236</v>
      </c>
      <c r="G70" s="5709"/>
      <c r="H70" s="5707" t="s">
        <v>734</v>
      </c>
      <c r="I70" s="6147"/>
      <c r="J70" s="393" t="s">
        <v>3866</v>
      </c>
      <c r="K70" s="5710" t="s">
        <v>1661</v>
      </c>
      <c r="L70" s="5716"/>
      <c r="M70" s="5708" t="s">
        <v>3271</v>
      </c>
      <c r="N70" s="5709"/>
      <c r="O70" s="5707" t="s">
        <v>1235</v>
      </c>
      <c r="P70" s="5709"/>
      <c r="Q70" s="5707" t="s">
        <v>1236</v>
      </c>
      <c r="R70" s="5709"/>
      <c r="S70" s="5707" t="s">
        <v>734</v>
      </c>
      <c r="T70" s="5709"/>
    </row>
    <row r="71" spans="1:47" s="383" customFormat="1" ht="23.25" customHeight="1">
      <c r="A71" s="6300"/>
      <c r="B71" s="397" t="s">
        <v>482</v>
      </c>
      <c r="C71" s="398" t="s">
        <v>73</v>
      </c>
      <c r="D71" s="396" t="s">
        <v>72</v>
      </c>
      <c r="E71" s="398" t="s">
        <v>73</v>
      </c>
      <c r="F71" s="396" t="s">
        <v>72</v>
      </c>
      <c r="G71" s="398" t="s">
        <v>73</v>
      </c>
      <c r="H71" s="397" t="s">
        <v>72</v>
      </c>
      <c r="I71" s="399" t="s">
        <v>73</v>
      </c>
      <c r="J71" s="393" t="s">
        <v>3867</v>
      </c>
      <c r="K71" s="1395" t="s">
        <v>3839</v>
      </c>
      <c r="L71" s="393" t="s">
        <v>2606</v>
      </c>
      <c r="M71" s="3657" t="s">
        <v>72</v>
      </c>
      <c r="N71" s="398" t="s">
        <v>73</v>
      </c>
      <c r="O71" s="397" t="s">
        <v>72</v>
      </c>
      <c r="P71" s="398" t="s">
        <v>73</v>
      </c>
      <c r="Q71" s="397" t="s">
        <v>72</v>
      </c>
      <c r="R71" s="398" t="s">
        <v>73</v>
      </c>
      <c r="S71" s="396" t="s">
        <v>72</v>
      </c>
      <c r="T71" s="398" t="s">
        <v>73</v>
      </c>
    </row>
    <row r="72" spans="1:47" s="383" customFormat="1" ht="15" customHeight="1">
      <c r="A72" s="446" t="s">
        <v>3868</v>
      </c>
      <c r="B72" s="1424"/>
      <c r="C72" s="1676"/>
      <c r="D72" s="1424"/>
      <c r="E72" s="1676"/>
      <c r="F72" s="1424"/>
      <c r="G72" s="1676"/>
      <c r="H72" s="1425"/>
      <c r="I72" s="1428"/>
      <c r="J72" s="1436"/>
      <c r="K72" s="1424"/>
      <c r="L72" s="1676"/>
      <c r="M72" s="1707"/>
      <c r="N72" s="1676"/>
      <c r="O72" s="1425"/>
      <c r="P72" s="1676"/>
      <c r="Q72" s="1425"/>
      <c r="R72" s="1676"/>
      <c r="S72" s="1424"/>
      <c r="T72" s="1676"/>
    </row>
    <row r="73" spans="1:47" s="383" customFormat="1" ht="15" customHeight="1">
      <c r="A73" s="420" t="s">
        <v>3869</v>
      </c>
      <c r="B73" s="1440"/>
      <c r="C73" s="1680"/>
      <c r="D73" s="1440"/>
      <c r="E73" s="1680"/>
      <c r="F73" s="1440"/>
      <c r="G73" s="1680"/>
      <c r="H73" s="1441"/>
      <c r="I73" s="1444"/>
      <c r="J73" s="1680"/>
      <c r="K73" s="1440"/>
      <c r="L73" s="1680"/>
      <c r="M73" s="1709"/>
      <c r="N73" s="1680"/>
      <c r="O73" s="1441"/>
      <c r="P73" s="1680"/>
      <c r="Q73" s="1441"/>
      <c r="R73" s="1680"/>
      <c r="S73" s="1440"/>
      <c r="T73" s="1680"/>
    </row>
    <row r="74" spans="1:47" s="383" customFormat="1" ht="15" customHeight="1">
      <c r="A74" s="458" t="s">
        <v>3481</v>
      </c>
      <c r="B74" s="1552"/>
      <c r="C74" s="1801"/>
      <c r="D74" s="1528"/>
      <c r="E74" s="1801"/>
      <c r="F74" s="1528"/>
      <c r="G74" s="1801"/>
      <c r="H74" s="1552"/>
      <c r="I74" s="1553"/>
      <c r="J74" s="1801"/>
      <c r="K74" s="1528"/>
      <c r="L74" s="1801"/>
      <c r="M74" s="1722"/>
      <c r="N74" s="1801"/>
      <c r="O74" s="1552"/>
      <c r="P74" s="1801"/>
      <c r="Q74" s="1552"/>
      <c r="R74" s="1801"/>
      <c r="S74" s="1528"/>
      <c r="T74" s="1801"/>
    </row>
    <row r="75" spans="1:47" s="1582" customFormat="1" ht="18" customHeight="1">
      <c r="A75" s="2162" t="s">
        <v>3870</v>
      </c>
      <c r="B75" s="2162"/>
      <c r="C75" s="2162"/>
      <c r="D75" s="2162"/>
      <c r="E75" s="2162"/>
      <c r="F75" s="2162"/>
      <c r="G75" s="2162"/>
    </row>
    <row r="76" spans="1:47" s="383" customFormat="1" ht="15" customHeight="1">
      <c r="A76" s="7200" t="s">
        <v>3871</v>
      </c>
      <c r="B76" s="5710" t="s">
        <v>3872</v>
      </c>
      <c r="C76" s="6106"/>
      <c r="D76" s="6106"/>
      <c r="E76" s="6106"/>
      <c r="F76" s="6106"/>
      <c r="G76" s="6106"/>
      <c r="H76" s="6106"/>
      <c r="I76" s="6106"/>
      <c r="J76" s="4980"/>
      <c r="K76" s="4980"/>
      <c r="L76" s="4981"/>
      <c r="M76" s="6191" t="s">
        <v>3873</v>
      </c>
      <c r="N76" s="6106"/>
      <c r="O76" s="6106"/>
      <c r="P76" s="6106"/>
      <c r="Q76" s="6106"/>
      <c r="R76" s="6106"/>
      <c r="S76" s="6106"/>
      <c r="T76" s="6106"/>
      <c r="U76" s="6106"/>
      <c r="V76" s="6106"/>
      <c r="W76" s="5716"/>
      <c r="X76" s="6231" t="s">
        <v>3874</v>
      </c>
      <c r="Y76" s="6582"/>
      <c r="Z76" s="4982"/>
      <c r="AA76" s="4982"/>
      <c r="AB76" s="4982"/>
      <c r="AC76" s="4982"/>
      <c r="AD76" s="4982"/>
      <c r="AE76" s="4982"/>
      <c r="AF76" s="4982"/>
      <c r="AG76" s="4982"/>
      <c r="AH76" s="4982"/>
      <c r="AI76" s="4982"/>
      <c r="AJ76" s="4982"/>
      <c r="AK76" s="4982"/>
      <c r="AL76" s="4982"/>
      <c r="AM76" s="4982"/>
      <c r="AN76" s="4982"/>
      <c r="AO76" s="4982"/>
    </row>
    <row r="77" spans="1:47" s="383" customFormat="1" ht="15" customHeight="1">
      <c r="A77" s="7201"/>
      <c r="B77" s="5708" t="s">
        <v>3271</v>
      </c>
      <c r="C77" s="5709"/>
      <c r="D77" s="5707" t="s">
        <v>1235</v>
      </c>
      <c r="E77" s="5709"/>
      <c r="F77" s="5707" t="s">
        <v>1236</v>
      </c>
      <c r="G77" s="5709"/>
      <c r="H77" s="5707" t="s">
        <v>734</v>
      </c>
      <c r="I77" s="5709"/>
      <c r="J77" s="6444" t="s">
        <v>3669</v>
      </c>
      <c r="K77" s="5708"/>
      <c r="L77" s="6147"/>
      <c r="M77" s="5708" t="s">
        <v>3271</v>
      </c>
      <c r="N77" s="5709"/>
      <c r="O77" s="5707" t="s">
        <v>1235</v>
      </c>
      <c r="P77" s="5709"/>
      <c r="Q77" s="5707" t="s">
        <v>1236</v>
      </c>
      <c r="R77" s="5709"/>
      <c r="S77" s="5707" t="s">
        <v>734</v>
      </c>
      <c r="T77" s="5709"/>
      <c r="U77" s="6444" t="s">
        <v>3669</v>
      </c>
      <c r="V77" s="5708"/>
      <c r="W77" s="6147"/>
      <c r="X77" s="6231"/>
      <c r="Y77" s="6582"/>
      <c r="Z77" s="4982"/>
      <c r="AA77" s="4982"/>
      <c r="AB77" s="4982"/>
      <c r="AC77" s="4982"/>
      <c r="AD77" s="4982"/>
      <c r="AE77" s="4982"/>
      <c r="AF77" s="4982"/>
      <c r="AG77" s="4982"/>
      <c r="AH77" s="4982"/>
      <c r="AI77" s="4982"/>
      <c r="AJ77" s="4982"/>
      <c r="AK77" s="4982"/>
      <c r="AL77" s="4982"/>
      <c r="AM77" s="4982"/>
      <c r="AN77" s="4982"/>
      <c r="AO77" s="4982"/>
    </row>
    <row r="78" spans="1:47" s="383" customFormat="1" ht="15" customHeight="1">
      <c r="A78" s="7201"/>
      <c r="B78" s="7190" t="s">
        <v>72</v>
      </c>
      <c r="C78" s="6154" t="s">
        <v>73</v>
      </c>
      <c r="D78" s="7190" t="s">
        <v>72</v>
      </c>
      <c r="E78" s="6154" t="s">
        <v>73</v>
      </c>
      <c r="F78" s="7190" t="s">
        <v>72</v>
      </c>
      <c r="G78" s="6154" t="s">
        <v>73</v>
      </c>
      <c r="H78" s="7196" t="s">
        <v>72</v>
      </c>
      <c r="I78" s="7198" t="s">
        <v>73</v>
      </c>
      <c r="J78" s="7203" t="s">
        <v>3695</v>
      </c>
      <c r="K78" s="5712" t="s">
        <v>1661</v>
      </c>
      <c r="L78" s="6148"/>
      <c r="M78" s="7196" t="s">
        <v>72</v>
      </c>
      <c r="N78" s="6154" t="s">
        <v>73</v>
      </c>
      <c r="O78" s="7196" t="s">
        <v>72</v>
      </c>
      <c r="P78" s="6154" t="s">
        <v>73</v>
      </c>
      <c r="Q78" s="7196" t="s">
        <v>72</v>
      </c>
      <c r="R78" s="6154" t="s">
        <v>73</v>
      </c>
      <c r="S78" s="7190" t="s">
        <v>72</v>
      </c>
      <c r="T78" s="6388" t="s">
        <v>73</v>
      </c>
      <c r="U78" s="6762" t="s">
        <v>3695</v>
      </c>
      <c r="V78" s="6106" t="s">
        <v>1661</v>
      </c>
      <c r="W78" s="5716"/>
      <c r="X78" s="7188" t="s">
        <v>3875</v>
      </c>
      <c r="Y78" s="7189" t="s">
        <v>3876</v>
      </c>
      <c r="Z78" s="4982"/>
      <c r="AA78" s="4982"/>
      <c r="AB78" s="4982"/>
      <c r="AC78" s="4982"/>
      <c r="AD78" s="4982"/>
      <c r="AE78" s="4982"/>
      <c r="AF78" s="4982"/>
      <c r="AG78" s="4982"/>
      <c r="AH78" s="4982"/>
      <c r="AI78" s="4982"/>
      <c r="AJ78" s="4982"/>
      <c r="AK78" s="4982"/>
      <c r="AL78" s="4982"/>
      <c r="AM78" s="4982"/>
      <c r="AN78" s="4982"/>
      <c r="AO78" s="4982"/>
    </row>
    <row r="79" spans="1:47" s="383" customFormat="1" ht="30" customHeight="1">
      <c r="A79" s="7202"/>
      <c r="B79" s="7191"/>
      <c r="C79" s="6157"/>
      <c r="D79" s="7191"/>
      <c r="E79" s="6157"/>
      <c r="F79" s="7191"/>
      <c r="G79" s="6157"/>
      <c r="H79" s="7197"/>
      <c r="I79" s="7199"/>
      <c r="J79" s="7203"/>
      <c r="K79" s="1396" t="s">
        <v>3839</v>
      </c>
      <c r="L79" s="394" t="s">
        <v>2606</v>
      </c>
      <c r="M79" s="7197"/>
      <c r="N79" s="6157"/>
      <c r="O79" s="7197"/>
      <c r="P79" s="6157"/>
      <c r="Q79" s="7197"/>
      <c r="R79" s="6157"/>
      <c r="S79" s="7191"/>
      <c r="T79" s="6389"/>
      <c r="U79" s="6764"/>
      <c r="V79" s="1647" t="s">
        <v>3839</v>
      </c>
      <c r="W79" s="1472" t="s">
        <v>2606</v>
      </c>
      <c r="X79" s="7188"/>
      <c r="Y79" s="7189"/>
      <c r="Z79" s="4982"/>
      <c r="AA79" s="4982"/>
      <c r="AB79" s="4982"/>
      <c r="AC79" s="4982"/>
      <c r="AD79" s="4982"/>
      <c r="AE79" s="4982"/>
      <c r="AF79" s="4982"/>
      <c r="AG79" s="4982"/>
      <c r="AH79" s="4982"/>
      <c r="AI79" s="4982"/>
      <c r="AJ79" s="4982"/>
      <c r="AK79" s="4982"/>
      <c r="AL79" s="4982"/>
      <c r="AM79" s="4982"/>
      <c r="AN79" s="4982"/>
      <c r="AO79" s="4982"/>
    </row>
    <row r="80" spans="1:47" s="383" customFormat="1" ht="15" customHeight="1">
      <c r="A80" s="4984" t="s">
        <v>3877</v>
      </c>
      <c r="B80" s="401">
        <f t="shared" ref="B80:L80" si="9">B81+B82+B83+B84+B85+B86+B87+B88+B89+B92+B93</f>
        <v>0</v>
      </c>
      <c r="C80" s="402">
        <f t="shared" si="9"/>
        <v>0</v>
      </c>
      <c r="D80" s="401">
        <f t="shared" si="9"/>
        <v>0</v>
      </c>
      <c r="E80" s="402">
        <f t="shared" si="9"/>
        <v>0</v>
      </c>
      <c r="F80" s="401">
        <f t="shared" si="9"/>
        <v>0</v>
      </c>
      <c r="G80" s="402">
        <f t="shared" si="9"/>
        <v>0</v>
      </c>
      <c r="H80" s="401">
        <f t="shared" si="9"/>
        <v>0</v>
      </c>
      <c r="I80" s="1556">
        <f t="shared" si="9"/>
        <v>0</v>
      </c>
      <c r="J80" s="4675">
        <f t="shared" si="9"/>
        <v>0</v>
      </c>
      <c r="K80" s="402">
        <f t="shared" si="9"/>
        <v>0</v>
      </c>
      <c r="L80" s="1556">
        <f t="shared" si="9"/>
        <v>0</v>
      </c>
      <c r="M80" s="4741">
        <f>SUM(M81:M93)</f>
        <v>0</v>
      </c>
      <c r="N80" s="4742">
        <f>SUM(N81:N93)</f>
        <v>0</v>
      </c>
      <c r="O80" s="2479">
        <f t="shared" ref="O80:W80" si="10">SUM(O81:O93)</f>
        <v>0</v>
      </c>
      <c r="P80" s="4742">
        <f t="shared" si="10"/>
        <v>0</v>
      </c>
      <c r="Q80" s="2479">
        <f t="shared" ref="Q80:R80" si="11">SUM(Q81:Q93)</f>
        <v>0</v>
      </c>
      <c r="R80" s="4742">
        <f t="shared" si="11"/>
        <v>0</v>
      </c>
      <c r="S80" s="402">
        <f t="shared" si="10"/>
        <v>0</v>
      </c>
      <c r="T80" s="440">
        <f t="shared" si="10"/>
        <v>0</v>
      </c>
      <c r="U80" s="4675">
        <f t="shared" si="10"/>
        <v>0</v>
      </c>
      <c r="V80" s="402">
        <f t="shared" si="10"/>
        <v>0</v>
      </c>
      <c r="W80" s="440">
        <f t="shared" si="10"/>
        <v>0</v>
      </c>
      <c r="X80" s="4742">
        <f>SUM(X81:X93)</f>
        <v>0</v>
      </c>
      <c r="Y80" s="4742">
        <f>SUM(Y81:Y93)</f>
        <v>0</v>
      </c>
      <c r="Z80" s="4982"/>
      <c r="AA80" s="4982"/>
      <c r="AB80" s="382"/>
      <c r="AC80" s="4982"/>
      <c r="AD80" s="4982"/>
      <c r="AE80" s="4982"/>
      <c r="AF80" s="4982"/>
      <c r="AG80" s="4982"/>
      <c r="AH80" s="4982"/>
      <c r="AI80" s="4982"/>
      <c r="AJ80" s="4982"/>
      <c r="AK80" s="4982"/>
      <c r="AL80" s="4982"/>
      <c r="AM80" s="4982"/>
      <c r="AN80" s="4982"/>
      <c r="AO80" s="4982"/>
    </row>
    <row r="81" spans="1:45" s="383" customFormat="1" ht="15" customHeight="1">
      <c r="A81" s="2057" t="s">
        <v>3878</v>
      </c>
      <c r="B81" s="1517"/>
      <c r="C81" s="1821"/>
      <c r="D81" s="1517"/>
      <c r="E81" s="1821"/>
      <c r="F81" s="1517"/>
      <c r="G81" s="1821"/>
      <c r="H81" s="1881"/>
      <c r="I81" s="3015"/>
      <c r="J81" s="4560"/>
      <c r="K81" s="1770"/>
      <c r="L81" s="3015"/>
      <c r="M81" s="1881"/>
      <c r="N81" s="1821"/>
      <c r="O81" s="1881"/>
      <c r="P81" s="1821"/>
      <c r="Q81" s="1881"/>
      <c r="R81" s="1821"/>
      <c r="S81" s="1517"/>
      <c r="T81" s="3015"/>
      <c r="U81" s="4560"/>
      <c r="V81" s="1406"/>
      <c r="W81" s="1908"/>
      <c r="X81" s="1436"/>
      <c r="Y81" s="1430"/>
      <c r="Z81" s="4982"/>
      <c r="AA81" s="4982"/>
      <c r="AB81" s="382"/>
      <c r="AC81" s="4982"/>
      <c r="AD81" s="4982"/>
      <c r="AE81" s="4982"/>
      <c r="AF81" s="4982"/>
      <c r="AG81" s="4982"/>
      <c r="AH81" s="4982"/>
      <c r="AI81" s="4982"/>
      <c r="AJ81" s="4982"/>
      <c r="AK81" s="4982"/>
      <c r="AL81" s="4982"/>
      <c r="AM81" s="4982"/>
      <c r="AN81" s="4982"/>
      <c r="AO81" s="4982"/>
    </row>
    <row r="82" spans="1:45" s="383" customFormat="1" ht="15" customHeight="1">
      <c r="A82" s="2057" t="s">
        <v>3879</v>
      </c>
      <c r="B82" s="1485"/>
      <c r="C82" s="1824"/>
      <c r="D82" s="1485"/>
      <c r="E82" s="1824"/>
      <c r="F82" s="1485"/>
      <c r="G82" s="1824"/>
      <c r="H82" s="1826"/>
      <c r="I82" s="1486"/>
      <c r="J82" s="4559"/>
      <c r="K82" s="1487"/>
      <c r="L82" s="1486"/>
      <c r="M82" s="1711"/>
      <c r="N82" s="1824"/>
      <c r="O82" s="1826"/>
      <c r="P82" s="1824"/>
      <c r="Q82" s="1826"/>
      <c r="R82" s="1824"/>
      <c r="S82" s="1485"/>
      <c r="T82" s="1486"/>
      <c r="U82" s="4559"/>
      <c r="V82" s="1826"/>
      <c r="W82" s="1710"/>
      <c r="X82" s="1452"/>
      <c r="Y82" s="1446"/>
      <c r="Z82" s="4982"/>
      <c r="AA82" s="4982"/>
      <c r="AB82" s="382"/>
      <c r="AC82" s="4982"/>
      <c r="AD82" s="4982"/>
      <c r="AE82" s="4982"/>
      <c r="AF82" s="4982"/>
      <c r="AG82" s="4982"/>
      <c r="AH82" s="4982"/>
      <c r="AI82" s="4982"/>
      <c r="AJ82" s="4982"/>
      <c r="AK82" s="4982"/>
      <c r="AL82" s="4982"/>
      <c r="AM82" s="4982"/>
      <c r="AN82" s="4982"/>
      <c r="AO82" s="4982"/>
    </row>
    <row r="83" spans="1:45" s="383" customFormat="1" ht="15" customHeight="1">
      <c r="A83" s="2057" t="s">
        <v>3880</v>
      </c>
      <c r="B83" s="1485"/>
      <c r="C83" s="1824"/>
      <c r="D83" s="1485"/>
      <c r="E83" s="1824"/>
      <c r="F83" s="1485"/>
      <c r="G83" s="1824"/>
      <c r="H83" s="1826"/>
      <c r="I83" s="1486"/>
      <c r="J83" s="4559"/>
      <c r="K83" s="1487"/>
      <c r="L83" s="1486"/>
      <c r="M83" s="1711"/>
      <c r="N83" s="1824"/>
      <c r="O83" s="1826"/>
      <c r="P83" s="1824"/>
      <c r="Q83" s="1826"/>
      <c r="R83" s="1824"/>
      <c r="S83" s="1485"/>
      <c r="T83" s="1486"/>
      <c r="U83" s="4559"/>
      <c r="V83" s="1826"/>
      <c r="W83" s="1710"/>
      <c r="X83" s="1452"/>
      <c r="Y83" s="1446"/>
      <c r="Z83" s="4982"/>
      <c r="AA83" s="4982"/>
      <c r="AB83" s="382"/>
      <c r="AC83" s="4982"/>
      <c r="AD83" s="4982"/>
      <c r="AE83" s="4982"/>
      <c r="AF83" s="4982"/>
      <c r="AG83" s="4982"/>
      <c r="AH83" s="4982"/>
      <c r="AI83" s="4982"/>
      <c r="AJ83" s="4982"/>
      <c r="AK83" s="4982"/>
      <c r="AL83" s="4982"/>
      <c r="AM83" s="4982"/>
      <c r="AN83" s="4982"/>
      <c r="AO83" s="4982"/>
    </row>
    <row r="84" spans="1:45" s="383" customFormat="1" ht="15" customHeight="1">
      <c r="A84" s="2057" t="s">
        <v>3881</v>
      </c>
      <c r="B84" s="1485"/>
      <c r="C84" s="1824"/>
      <c r="D84" s="1485"/>
      <c r="E84" s="1824"/>
      <c r="F84" s="1485"/>
      <c r="G84" s="1824"/>
      <c r="H84" s="1826"/>
      <c r="I84" s="1486"/>
      <c r="J84" s="4559"/>
      <c r="K84" s="1487"/>
      <c r="L84" s="1486"/>
      <c r="M84" s="1711"/>
      <c r="N84" s="1824"/>
      <c r="O84" s="1826"/>
      <c r="P84" s="1824"/>
      <c r="Q84" s="1826"/>
      <c r="R84" s="1824"/>
      <c r="S84" s="1485"/>
      <c r="T84" s="1486"/>
      <c r="U84" s="4559"/>
      <c r="V84" s="1826"/>
      <c r="W84" s="1710"/>
      <c r="X84" s="1452"/>
      <c r="Y84" s="1446"/>
      <c r="Z84" s="4982"/>
      <c r="AA84" s="4982"/>
      <c r="AB84" s="382"/>
      <c r="AC84" s="4982"/>
      <c r="AD84" s="4982"/>
      <c r="AE84" s="4982"/>
      <c r="AF84" s="4982"/>
      <c r="AG84" s="4982"/>
      <c r="AH84" s="4982"/>
      <c r="AI84" s="4982"/>
      <c r="AJ84" s="4982"/>
      <c r="AK84" s="4982"/>
      <c r="AL84" s="4982"/>
      <c r="AM84" s="4982"/>
      <c r="AN84" s="4982"/>
      <c r="AO84" s="4982"/>
    </row>
    <row r="85" spans="1:45" s="383" customFormat="1" ht="15" customHeight="1">
      <c r="A85" s="2057" t="s">
        <v>3882</v>
      </c>
      <c r="B85" s="1485"/>
      <c r="C85" s="1824"/>
      <c r="D85" s="1485"/>
      <c r="E85" s="1824"/>
      <c r="F85" s="1485"/>
      <c r="G85" s="1824"/>
      <c r="H85" s="1826"/>
      <c r="I85" s="1486"/>
      <c r="J85" s="4559"/>
      <c r="K85" s="1487"/>
      <c r="L85" s="1486"/>
      <c r="M85" s="1711"/>
      <c r="N85" s="1824"/>
      <c r="O85" s="1826"/>
      <c r="P85" s="1824"/>
      <c r="Q85" s="1826"/>
      <c r="R85" s="1824"/>
      <c r="S85" s="1485"/>
      <c r="T85" s="1486"/>
      <c r="U85" s="4559"/>
      <c r="V85" s="1826"/>
      <c r="W85" s="1710"/>
      <c r="X85" s="1452"/>
      <c r="Y85" s="1446"/>
      <c r="Z85" s="4982"/>
      <c r="AA85" s="4982"/>
      <c r="AB85" s="382"/>
      <c r="AC85" s="4982"/>
      <c r="AD85" s="4982"/>
      <c r="AE85" s="4982"/>
      <c r="AF85" s="4982"/>
      <c r="AG85" s="4982"/>
      <c r="AH85" s="4982"/>
      <c r="AI85" s="4982"/>
      <c r="AJ85" s="4982"/>
      <c r="AK85" s="4982"/>
      <c r="AL85" s="4982"/>
      <c r="AM85" s="4982"/>
      <c r="AN85" s="4982"/>
      <c r="AO85" s="4982"/>
    </row>
    <row r="86" spans="1:45" s="383" customFormat="1" ht="15" customHeight="1">
      <c r="A86" s="2057" t="s">
        <v>3883</v>
      </c>
      <c r="B86" s="1485"/>
      <c r="C86" s="1824"/>
      <c r="D86" s="1485"/>
      <c r="E86" s="1824"/>
      <c r="F86" s="1485"/>
      <c r="G86" s="1824"/>
      <c r="H86" s="1826"/>
      <c r="I86" s="1486"/>
      <c r="J86" s="4559"/>
      <c r="K86" s="1487"/>
      <c r="L86" s="1486"/>
      <c r="M86" s="1711"/>
      <c r="N86" s="1824"/>
      <c r="O86" s="1826"/>
      <c r="P86" s="1824"/>
      <c r="Q86" s="1826"/>
      <c r="R86" s="1824"/>
      <c r="S86" s="1485"/>
      <c r="T86" s="1486"/>
      <c r="U86" s="4559"/>
      <c r="V86" s="1826"/>
      <c r="W86" s="1710"/>
      <c r="X86" s="1452"/>
      <c r="Y86" s="1446"/>
      <c r="Z86" s="4982"/>
      <c r="AA86" s="4982"/>
      <c r="AB86" s="382"/>
      <c r="AC86" s="4982"/>
      <c r="AD86" s="4982"/>
      <c r="AE86" s="4982"/>
      <c r="AF86" s="4982"/>
      <c r="AG86" s="4982"/>
      <c r="AH86" s="4982"/>
      <c r="AI86" s="4982"/>
      <c r="AJ86" s="4982"/>
      <c r="AK86" s="4982"/>
      <c r="AL86" s="4982"/>
      <c r="AM86" s="4982"/>
      <c r="AN86" s="4982"/>
      <c r="AO86" s="4982"/>
    </row>
    <row r="87" spans="1:45" s="383" customFormat="1" ht="15" customHeight="1">
      <c r="A87" s="2057" t="s">
        <v>3884</v>
      </c>
      <c r="B87" s="1485"/>
      <c r="C87" s="1824"/>
      <c r="D87" s="1485"/>
      <c r="E87" s="1824"/>
      <c r="F87" s="1485"/>
      <c r="G87" s="1824"/>
      <c r="H87" s="1826"/>
      <c r="I87" s="1486"/>
      <c r="J87" s="4559"/>
      <c r="K87" s="1487"/>
      <c r="L87" s="1486"/>
      <c r="M87" s="1711"/>
      <c r="N87" s="1824"/>
      <c r="O87" s="1826"/>
      <c r="P87" s="1824"/>
      <c r="Q87" s="1826"/>
      <c r="R87" s="1824"/>
      <c r="S87" s="1485"/>
      <c r="T87" s="1486"/>
      <c r="U87" s="4559"/>
      <c r="V87" s="1826"/>
      <c r="W87" s="1710"/>
      <c r="X87" s="1452"/>
      <c r="Y87" s="1446"/>
      <c r="Z87" s="4982"/>
      <c r="AA87" s="4982"/>
      <c r="AB87" s="382"/>
      <c r="AC87" s="4982"/>
      <c r="AD87" s="4982"/>
      <c r="AE87" s="4982"/>
      <c r="AF87" s="4982"/>
      <c r="AG87" s="4982"/>
      <c r="AH87" s="4982"/>
      <c r="AI87" s="4982"/>
      <c r="AJ87" s="4982"/>
      <c r="AK87" s="4982"/>
      <c r="AL87" s="4982"/>
      <c r="AM87" s="4982"/>
      <c r="AN87" s="4982"/>
      <c r="AO87" s="4982"/>
    </row>
    <row r="88" spans="1:45" s="383" customFormat="1" ht="15" customHeight="1">
      <c r="A88" s="2057" t="s">
        <v>3885</v>
      </c>
      <c r="B88" s="1485"/>
      <c r="C88" s="1824"/>
      <c r="D88" s="1485"/>
      <c r="E88" s="1824"/>
      <c r="F88" s="1485"/>
      <c r="G88" s="1824"/>
      <c r="H88" s="1826"/>
      <c r="I88" s="1486"/>
      <c r="J88" s="4559"/>
      <c r="K88" s="1487"/>
      <c r="L88" s="1486"/>
      <c r="M88" s="1711"/>
      <c r="N88" s="1824"/>
      <c r="O88" s="1826"/>
      <c r="P88" s="1824"/>
      <c r="Q88" s="1826"/>
      <c r="R88" s="1824"/>
      <c r="S88" s="1485"/>
      <c r="T88" s="1486"/>
      <c r="U88" s="4559"/>
      <c r="V88" s="1826"/>
      <c r="W88" s="1710"/>
      <c r="X88" s="1452"/>
      <c r="Y88" s="1446"/>
      <c r="Z88" s="4982"/>
      <c r="AA88" s="4982"/>
      <c r="AB88" s="382"/>
      <c r="AC88" s="4982"/>
      <c r="AD88" s="4982"/>
      <c r="AE88" s="4982"/>
      <c r="AF88" s="4982"/>
      <c r="AG88" s="4982"/>
      <c r="AH88" s="4982"/>
      <c r="AI88" s="4982"/>
      <c r="AJ88" s="4982"/>
      <c r="AK88" s="4982"/>
      <c r="AL88" s="4982"/>
      <c r="AM88" s="4982"/>
      <c r="AN88" s="4982"/>
      <c r="AO88" s="4982"/>
    </row>
    <row r="89" spans="1:45" s="383" customFormat="1" ht="15" customHeight="1">
      <c r="A89" s="2057" t="s">
        <v>3886</v>
      </c>
      <c r="B89" s="1485"/>
      <c r="C89" s="1824"/>
      <c r="D89" s="1485"/>
      <c r="E89" s="1824"/>
      <c r="F89" s="1485"/>
      <c r="G89" s="1824"/>
      <c r="H89" s="1826"/>
      <c r="I89" s="1486"/>
      <c r="J89" s="1656"/>
      <c r="K89" s="1447"/>
      <c r="L89" s="1444"/>
      <c r="M89" s="1711"/>
      <c r="N89" s="1824"/>
      <c r="O89" s="1826"/>
      <c r="P89" s="1824"/>
      <c r="Q89" s="1826"/>
      <c r="R89" s="1824"/>
      <c r="S89" s="1485"/>
      <c r="T89" s="1486"/>
      <c r="U89" s="4559"/>
      <c r="V89" s="1826"/>
      <c r="W89" s="1710"/>
      <c r="X89" s="1452"/>
      <c r="Y89" s="1446"/>
      <c r="Z89" s="4982"/>
      <c r="AA89" s="4982"/>
      <c r="AB89" s="382"/>
      <c r="AC89" s="4982"/>
      <c r="AD89" s="4982"/>
      <c r="AE89" s="4982"/>
      <c r="AF89" s="4982"/>
      <c r="AG89" s="4982"/>
      <c r="AH89" s="4982"/>
      <c r="AI89" s="4982"/>
      <c r="AJ89" s="4982"/>
      <c r="AK89" s="4982"/>
      <c r="AL89" s="4982"/>
      <c r="AM89" s="4982"/>
      <c r="AN89" s="4982"/>
      <c r="AO89" s="4982"/>
    </row>
    <row r="90" spans="1:45" s="383" customFormat="1" ht="15" customHeight="1">
      <c r="A90" s="2057" t="s">
        <v>3887</v>
      </c>
      <c r="B90" s="1763"/>
      <c r="C90" s="1764"/>
      <c r="D90" s="1763"/>
      <c r="E90" s="2205"/>
      <c r="F90" s="1763"/>
      <c r="G90" s="2205"/>
      <c r="H90" s="1833"/>
      <c r="I90" s="2206"/>
      <c r="J90" s="4985"/>
      <c r="K90" s="3183"/>
      <c r="L90" s="4986"/>
      <c r="M90" s="1711"/>
      <c r="N90" s="1824"/>
      <c r="O90" s="1826"/>
      <c r="P90" s="1824"/>
      <c r="Q90" s="1826"/>
      <c r="R90" s="1824"/>
      <c r="S90" s="1485"/>
      <c r="T90" s="1486"/>
      <c r="U90" s="4559"/>
      <c r="V90" s="1826"/>
      <c r="W90" s="1710"/>
      <c r="X90" s="1452"/>
      <c r="Y90" s="1446"/>
      <c r="Z90" s="4982"/>
      <c r="AA90" s="4982"/>
      <c r="AB90" s="382"/>
      <c r="AC90" s="4982"/>
      <c r="AD90" s="4982"/>
      <c r="AE90" s="4982"/>
      <c r="AF90" s="4982"/>
      <c r="AG90" s="4982"/>
      <c r="AH90" s="4982"/>
      <c r="AI90" s="4982"/>
      <c r="AJ90" s="4982"/>
      <c r="AK90" s="4982"/>
      <c r="AL90" s="4982"/>
      <c r="AM90" s="4982"/>
      <c r="AN90" s="4982"/>
      <c r="AO90" s="4982"/>
    </row>
    <row r="91" spans="1:45" s="383" customFormat="1" ht="15" customHeight="1">
      <c r="A91" s="4449" t="s">
        <v>3888</v>
      </c>
      <c r="B91" s="1765"/>
      <c r="C91" s="1766"/>
      <c r="D91" s="1765"/>
      <c r="E91" s="2202"/>
      <c r="F91" s="1765"/>
      <c r="G91" s="2202"/>
      <c r="H91" s="3126"/>
      <c r="I91" s="2203"/>
      <c r="J91" s="4987"/>
      <c r="K91" s="1970"/>
      <c r="L91" s="2383"/>
      <c r="M91" s="1711"/>
      <c r="N91" s="1824"/>
      <c r="O91" s="1826"/>
      <c r="P91" s="1824"/>
      <c r="Q91" s="1826"/>
      <c r="R91" s="1824"/>
      <c r="S91" s="1485"/>
      <c r="T91" s="1486"/>
      <c r="U91" s="4559"/>
      <c r="V91" s="1826"/>
      <c r="W91" s="1710"/>
      <c r="X91" s="1452"/>
      <c r="Y91" s="1446"/>
      <c r="Z91" s="4982"/>
      <c r="AA91" s="4982"/>
      <c r="AB91" s="382"/>
      <c r="AC91" s="4982"/>
      <c r="AD91" s="4982"/>
      <c r="AE91" s="4982"/>
      <c r="AF91" s="4982"/>
      <c r="AG91" s="4982"/>
      <c r="AH91" s="4982"/>
      <c r="AI91" s="4982"/>
      <c r="AJ91" s="4982"/>
      <c r="AK91" s="4982"/>
      <c r="AL91" s="4982"/>
      <c r="AM91" s="4982"/>
      <c r="AN91" s="4982"/>
      <c r="AO91" s="4982"/>
    </row>
    <row r="92" spans="1:45" s="383" customFormat="1" ht="15" customHeight="1">
      <c r="A92" s="4449" t="s">
        <v>3889</v>
      </c>
      <c r="B92" s="1485"/>
      <c r="C92" s="1824"/>
      <c r="D92" s="1485"/>
      <c r="E92" s="1824"/>
      <c r="F92" s="1485"/>
      <c r="G92" s="1824"/>
      <c r="H92" s="1826"/>
      <c r="I92" s="1486"/>
      <c r="J92" s="4559"/>
      <c r="K92" s="1487"/>
      <c r="L92" s="1486"/>
      <c r="M92" s="1711"/>
      <c r="N92" s="1824"/>
      <c r="O92" s="1826"/>
      <c r="P92" s="1824"/>
      <c r="Q92" s="1826"/>
      <c r="R92" s="1824"/>
      <c r="S92" s="1485"/>
      <c r="T92" s="1486"/>
      <c r="U92" s="4559"/>
      <c r="V92" s="1826"/>
      <c r="W92" s="1710"/>
      <c r="X92" s="1452"/>
      <c r="Y92" s="1446"/>
      <c r="Z92" s="4982"/>
      <c r="AA92" s="4982"/>
      <c r="AB92" s="4982"/>
      <c r="AC92" s="4982"/>
      <c r="AD92" s="4982"/>
      <c r="AE92" s="4982"/>
      <c r="AF92" s="4982"/>
      <c r="AG92" s="4982"/>
      <c r="AH92" s="4982"/>
      <c r="AI92" s="4982"/>
      <c r="AJ92" s="4982"/>
      <c r="AK92" s="4982"/>
      <c r="AL92" s="4982"/>
      <c r="AM92" s="4982"/>
    </row>
    <row r="93" spans="1:45" s="383" customFormat="1" ht="15" customHeight="1">
      <c r="A93" s="2303" t="s">
        <v>3890</v>
      </c>
      <c r="B93" s="1455"/>
      <c r="C93" s="1684"/>
      <c r="D93" s="1455"/>
      <c r="E93" s="1684"/>
      <c r="F93" s="1455"/>
      <c r="G93" s="1684"/>
      <c r="H93" s="1456"/>
      <c r="I93" s="1459"/>
      <c r="J93" s="1661"/>
      <c r="K93" s="1490"/>
      <c r="L93" s="1459"/>
      <c r="M93" s="1714"/>
      <c r="N93" s="1684"/>
      <c r="O93" s="1456"/>
      <c r="P93" s="1684"/>
      <c r="Q93" s="1456"/>
      <c r="R93" s="1684"/>
      <c r="S93" s="1455"/>
      <c r="T93" s="1459"/>
      <c r="U93" s="1661"/>
      <c r="V93" s="1456"/>
      <c r="W93" s="1660"/>
      <c r="X93" s="1467"/>
      <c r="Y93" s="1461"/>
      <c r="Z93" s="4982"/>
      <c r="AA93" s="4982"/>
      <c r="AB93" s="4982"/>
      <c r="AC93" s="4982"/>
      <c r="AD93" s="4982"/>
      <c r="AE93" s="4982"/>
      <c r="AF93" s="4982"/>
      <c r="AG93" s="4982"/>
      <c r="AH93" s="4982"/>
      <c r="AI93" s="4982"/>
      <c r="AJ93" s="4982"/>
      <c r="AK93" s="4982"/>
      <c r="AL93" s="4982"/>
      <c r="AM93" s="4982"/>
    </row>
    <row r="94" spans="1:45" s="1582" customFormat="1" ht="18" customHeight="1">
      <c r="A94" s="2162" t="s">
        <v>3891</v>
      </c>
      <c r="B94" s="2162"/>
      <c r="C94" s="2162"/>
      <c r="D94" s="2162"/>
      <c r="E94" s="2162"/>
      <c r="F94" s="2162"/>
      <c r="G94" s="2162"/>
    </row>
    <row r="95" spans="1:45" s="382" customFormat="1" ht="15" customHeight="1">
      <c r="A95" s="7192" t="s">
        <v>3892</v>
      </c>
      <c r="B95" s="5710" t="s">
        <v>3893</v>
      </c>
      <c r="C95" s="6106"/>
      <c r="D95" s="6106"/>
      <c r="E95" s="6106"/>
      <c r="F95" s="6106"/>
      <c r="G95" s="6106"/>
      <c r="H95" s="6106"/>
      <c r="I95" s="5712"/>
      <c r="J95" s="5710" t="s">
        <v>3894</v>
      </c>
      <c r="K95" s="6106"/>
      <c r="L95" s="6106"/>
      <c r="M95" s="6106"/>
      <c r="N95" s="6106"/>
      <c r="O95" s="6106"/>
      <c r="P95" s="6106"/>
      <c r="Q95" s="5716"/>
      <c r="R95" s="6191" t="s">
        <v>3895</v>
      </c>
      <c r="S95" s="6106"/>
      <c r="T95" s="6106"/>
      <c r="U95" s="6106"/>
      <c r="V95" s="6106"/>
      <c r="W95" s="6106"/>
      <c r="X95" s="6106"/>
      <c r="Y95" s="5716"/>
      <c r="Z95" s="5708" t="s">
        <v>3669</v>
      </c>
      <c r="AA95" s="5708"/>
      <c r="AB95" s="6147"/>
      <c r="AC95" s="6191" t="s">
        <v>3896</v>
      </c>
      <c r="AD95" s="6106"/>
      <c r="AE95" s="6106"/>
      <c r="AF95" s="6106"/>
      <c r="AG95" s="6106"/>
      <c r="AH95" s="6106"/>
      <c r="AI95" s="6106"/>
      <c r="AJ95" s="5712"/>
      <c r="AK95" s="4982"/>
      <c r="AL95" s="4982"/>
      <c r="AM95" s="4982"/>
      <c r="AN95" s="4982"/>
      <c r="AO95" s="4982"/>
      <c r="AP95" s="4982"/>
      <c r="AQ95" s="4982"/>
      <c r="AR95" s="4982"/>
      <c r="AS95" s="4982"/>
    </row>
    <row r="96" spans="1:45" s="382" customFormat="1" ht="15" customHeight="1">
      <c r="A96" s="7193"/>
      <c r="B96" s="5708" t="s">
        <v>3271</v>
      </c>
      <c r="C96" s="5709"/>
      <c r="D96" s="5707" t="s">
        <v>1235</v>
      </c>
      <c r="E96" s="5709"/>
      <c r="F96" s="5707" t="s">
        <v>1236</v>
      </c>
      <c r="G96" s="5709"/>
      <c r="H96" s="5707" t="s">
        <v>734</v>
      </c>
      <c r="I96" s="5709"/>
      <c r="J96" s="5708" t="s">
        <v>3271</v>
      </c>
      <c r="K96" s="5709"/>
      <c r="L96" s="5707" t="s">
        <v>1235</v>
      </c>
      <c r="M96" s="5709"/>
      <c r="N96" s="5707" t="s">
        <v>1236</v>
      </c>
      <c r="O96" s="5709"/>
      <c r="P96" s="5707" t="s">
        <v>734</v>
      </c>
      <c r="Q96" s="6147"/>
      <c r="R96" s="5708" t="s">
        <v>3271</v>
      </c>
      <c r="S96" s="5709"/>
      <c r="T96" s="5707" t="s">
        <v>1235</v>
      </c>
      <c r="U96" s="5709"/>
      <c r="V96" s="5707" t="s">
        <v>1236</v>
      </c>
      <c r="W96" s="5709"/>
      <c r="X96" s="5707" t="s">
        <v>734</v>
      </c>
      <c r="Y96" s="6147"/>
      <c r="Z96" s="1396" t="s">
        <v>3695</v>
      </c>
      <c r="AA96" s="6106" t="s">
        <v>1661</v>
      </c>
      <c r="AB96" s="5716"/>
      <c r="AC96" s="5708" t="s">
        <v>3271</v>
      </c>
      <c r="AD96" s="5709"/>
      <c r="AE96" s="5707" t="s">
        <v>1235</v>
      </c>
      <c r="AF96" s="5709"/>
      <c r="AG96" s="5707" t="s">
        <v>1356</v>
      </c>
      <c r="AH96" s="5709"/>
      <c r="AI96" s="5707" t="s">
        <v>734</v>
      </c>
      <c r="AJ96" s="5709"/>
      <c r="AK96" s="4982"/>
      <c r="AL96" s="4982"/>
      <c r="AM96" s="4982"/>
      <c r="AN96" s="4982"/>
      <c r="AO96" s="4982"/>
      <c r="AP96" s="4982"/>
      <c r="AQ96" s="4982"/>
      <c r="AR96" s="4982"/>
      <c r="AS96" s="4982"/>
    </row>
    <row r="97" spans="1:45" s="382" customFormat="1" ht="21" customHeight="1">
      <c r="A97" s="7194"/>
      <c r="B97" s="397" t="s">
        <v>72</v>
      </c>
      <c r="C97" s="398" t="s">
        <v>73</v>
      </c>
      <c r="D97" s="396" t="s">
        <v>72</v>
      </c>
      <c r="E97" s="398" t="s">
        <v>73</v>
      </c>
      <c r="F97" s="396" t="s">
        <v>72</v>
      </c>
      <c r="G97" s="398" t="s">
        <v>73</v>
      </c>
      <c r="H97" s="396" t="s">
        <v>72</v>
      </c>
      <c r="I97" s="398" t="s">
        <v>73</v>
      </c>
      <c r="J97" s="396" t="s">
        <v>72</v>
      </c>
      <c r="K97" s="398" t="s">
        <v>73</v>
      </c>
      <c r="L97" s="396" t="s">
        <v>72</v>
      </c>
      <c r="M97" s="398" t="s">
        <v>73</v>
      </c>
      <c r="N97" s="396" t="s">
        <v>72</v>
      </c>
      <c r="O97" s="398" t="s">
        <v>73</v>
      </c>
      <c r="P97" s="396" t="s">
        <v>72</v>
      </c>
      <c r="Q97" s="399" t="s">
        <v>73</v>
      </c>
      <c r="R97" s="397" t="s">
        <v>72</v>
      </c>
      <c r="S97" s="398" t="s">
        <v>73</v>
      </c>
      <c r="T97" s="397" t="s">
        <v>72</v>
      </c>
      <c r="U97" s="398" t="s">
        <v>73</v>
      </c>
      <c r="V97" s="397" t="s">
        <v>72</v>
      </c>
      <c r="W97" s="398" t="s">
        <v>73</v>
      </c>
      <c r="X97" s="396" t="s">
        <v>72</v>
      </c>
      <c r="Y97" s="399" t="s">
        <v>73</v>
      </c>
      <c r="Z97" s="1781" t="s">
        <v>3867</v>
      </c>
      <c r="AA97" s="1646" t="s">
        <v>3839</v>
      </c>
      <c r="AB97" s="4960" t="s">
        <v>2606</v>
      </c>
      <c r="AC97" s="3657" t="s">
        <v>72</v>
      </c>
      <c r="AD97" s="398" t="s">
        <v>73</v>
      </c>
      <c r="AE97" s="397" t="s">
        <v>72</v>
      </c>
      <c r="AF97" s="398" t="s">
        <v>73</v>
      </c>
      <c r="AG97" s="396" t="s">
        <v>72</v>
      </c>
      <c r="AH97" s="398" t="s">
        <v>73</v>
      </c>
      <c r="AI97" s="396" t="s">
        <v>72</v>
      </c>
      <c r="AJ97" s="398" t="s">
        <v>73</v>
      </c>
      <c r="AK97" s="4982"/>
      <c r="AL97" s="4982"/>
      <c r="AM97" s="4982"/>
      <c r="AN97" s="4982"/>
      <c r="AO97" s="4982"/>
      <c r="AP97" s="4982"/>
      <c r="AQ97" s="4982"/>
      <c r="AR97" s="4982"/>
      <c r="AS97" s="4982"/>
    </row>
    <row r="98" spans="1:45" s="382" customFormat="1" ht="15" customHeight="1">
      <c r="A98" s="400" t="s">
        <v>91</v>
      </c>
      <c r="B98" s="430">
        <f t="shared" ref="B98:AJ98" si="12">SUM(B99:B108)</f>
        <v>0</v>
      </c>
      <c r="C98" s="403">
        <f t="shared" si="12"/>
        <v>0</v>
      </c>
      <c r="D98" s="430">
        <f t="shared" si="12"/>
        <v>0</v>
      </c>
      <c r="E98" s="403">
        <f t="shared" si="12"/>
        <v>0</v>
      </c>
      <c r="F98" s="430">
        <f t="shared" si="12"/>
        <v>0</v>
      </c>
      <c r="G98" s="403">
        <f t="shared" si="12"/>
        <v>0</v>
      </c>
      <c r="H98" s="430">
        <f t="shared" si="12"/>
        <v>0</v>
      </c>
      <c r="I98" s="403">
        <f t="shared" si="12"/>
        <v>0</v>
      </c>
      <c r="J98" s="430">
        <f t="shared" si="12"/>
        <v>0</v>
      </c>
      <c r="K98" s="403">
        <f t="shared" si="12"/>
        <v>0</v>
      </c>
      <c r="L98" s="430">
        <f t="shared" si="12"/>
        <v>0</v>
      </c>
      <c r="M98" s="403">
        <f t="shared" si="12"/>
        <v>0</v>
      </c>
      <c r="N98" s="430">
        <f t="shared" si="12"/>
        <v>0</v>
      </c>
      <c r="O98" s="403">
        <f t="shared" si="12"/>
        <v>0</v>
      </c>
      <c r="P98" s="430">
        <f t="shared" si="12"/>
        <v>0</v>
      </c>
      <c r="Q98" s="430">
        <f t="shared" si="12"/>
        <v>0</v>
      </c>
      <c r="R98" s="2060">
        <f t="shared" si="12"/>
        <v>0</v>
      </c>
      <c r="S98" s="4064">
        <f t="shared" si="12"/>
        <v>0</v>
      </c>
      <c r="T98" s="401">
        <f t="shared" si="12"/>
        <v>0</v>
      </c>
      <c r="U98" s="4064">
        <f t="shared" si="12"/>
        <v>0</v>
      </c>
      <c r="V98" s="401">
        <f t="shared" si="12"/>
        <v>0</v>
      </c>
      <c r="W98" s="4064">
        <f t="shared" si="12"/>
        <v>0</v>
      </c>
      <c r="X98" s="401">
        <f t="shared" si="12"/>
        <v>0</v>
      </c>
      <c r="Y98" s="440">
        <f t="shared" si="12"/>
        <v>0</v>
      </c>
      <c r="Z98" s="2060">
        <f t="shared" si="12"/>
        <v>0</v>
      </c>
      <c r="AA98" s="2054">
        <f t="shared" si="12"/>
        <v>0</v>
      </c>
      <c r="AB98" s="1767">
        <f t="shared" si="12"/>
        <v>0</v>
      </c>
      <c r="AC98" s="4778">
        <f t="shared" si="12"/>
        <v>0</v>
      </c>
      <c r="AD98" s="1659">
        <f t="shared" si="12"/>
        <v>0</v>
      </c>
      <c r="AE98" s="430">
        <f t="shared" si="12"/>
        <v>0</v>
      </c>
      <c r="AF98" s="1659">
        <f t="shared" si="12"/>
        <v>0</v>
      </c>
      <c r="AG98" s="429">
        <f t="shared" si="12"/>
        <v>0</v>
      </c>
      <c r="AH98" s="1659">
        <f t="shared" si="12"/>
        <v>0</v>
      </c>
      <c r="AI98" s="429">
        <f t="shared" si="12"/>
        <v>0</v>
      </c>
      <c r="AJ98" s="1659">
        <f t="shared" si="12"/>
        <v>0</v>
      </c>
      <c r="AK98" s="4982"/>
      <c r="AL98" s="4982"/>
      <c r="AM98" s="4982"/>
      <c r="AN98" s="4982"/>
      <c r="AO98" s="4982"/>
      <c r="AP98" s="4982"/>
      <c r="AQ98" s="4982"/>
      <c r="AR98" s="4982"/>
      <c r="AS98" s="4982"/>
    </row>
    <row r="99" spans="1:45" s="382" customFormat="1" ht="15" customHeight="1">
      <c r="A99" s="2057" t="s">
        <v>3897</v>
      </c>
      <c r="B99" s="1826"/>
      <c r="C99" s="1824"/>
      <c r="D99" s="1485"/>
      <c r="E99" s="1824"/>
      <c r="F99" s="1485"/>
      <c r="G99" s="1824"/>
      <c r="H99" s="1485"/>
      <c r="I99" s="1824"/>
      <c r="J99" s="1485"/>
      <c r="K99" s="1824"/>
      <c r="L99" s="1485"/>
      <c r="M99" s="1824"/>
      <c r="N99" s="1485"/>
      <c r="O99" s="1824"/>
      <c r="P99" s="1485"/>
      <c r="Q99" s="1486"/>
      <c r="R99" s="4988">
        <f t="shared" ref="R99:R108" si="13">+B99+J99</f>
        <v>0</v>
      </c>
      <c r="S99" s="1697">
        <f t="shared" ref="S99:S108" si="14">+C99+K99</f>
        <v>0</v>
      </c>
      <c r="T99" s="3051">
        <f t="shared" ref="T99:T108" si="15">+D99+L99</f>
        <v>0</v>
      </c>
      <c r="U99" s="1697">
        <f t="shared" ref="U99:U108" si="16">+E99+M99</f>
        <v>0</v>
      </c>
      <c r="V99" s="3051">
        <f t="shared" ref="V99:V108" si="17">+F99+N99</f>
        <v>0</v>
      </c>
      <c r="W99" s="1697">
        <f t="shared" ref="W99:W108" si="18">+G99+O99</f>
        <v>0</v>
      </c>
      <c r="X99" s="1695">
        <f t="shared" ref="X99:X108" si="19">+H99+P99</f>
        <v>0</v>
      </c>
      <c r="Y99" s="4989">
        <f t="shared" ref="Y99:Y108" si="20">+I99+Q99</f>
        <v>0</v>
      </c>
      <c r="Z99" s="1826"/>
      <c r="AA99" s="1487"/>
      <c r="AB99" s="1486"/>
      <c r="AC99" s="4967"/>
      <c r="AD99" s="4968"/>
      <c r="AE99" s="4969"/>
      <c r="AF99" s="4968"/>
      <c r="AG99" s="4970"/>
      <c r="AH99" s="4968"/>
      <c r="AI99" s="4970"/>
      <c r="AJ99" s="4968"/>
      <c r="AK99" s="4982"/>
      <c r="AL99" s="4982"/>
      <c r="AM99" s="4982"/>
      <c r="AN99" s="4982"/>
      <c r="AO99" s="4982"/>
      <c r="AP99" s="4982"/>
      <c r="AQ99" s="4982"/>
      <c r="AR99" s="4982"/>
      <c r="AS99" s="4982"/>
    </row>
    <row r="100" spans="1:45" s="382" customFormat="1" ht="15" customHeight="1">
      <c r="A100" s="2057" t="s">
        <v>3898</v>
      </c>
      <c r="B100" s="1826"/>
      <c r="C100" s="1824"/>
      <c r="D100" s="1485"/>
      <c r="E100" s="1824"/>
      <c r="F100" s="1485"/>
      <c r="G100" s="1824"/>
      <c r="H100" s="1485"/>
      <c r="I100" s="1824"/>
      <c r="J100" s="1485"/>
      <c r="K100" s="1824"/>
      <c r="L100" s="1485"/>
      <c r="M100" s="1824"/>
      <c r="N100" s="1485"/>
      <c r="O100" s="1824"/>
      <c r="P100" s="1485"/>
      <c r="Q100" s="1486"/>
      <c r="R100" s="4988">
        <f t="shared" si="13"/>
        <v>0</v>
      </c>
      <c r="S100" s="1697">
        <f t="shared" si="14"/>
        <v>0</v>
      </c>
      <c r="T100" s="3051">
        <f t="shared" si="15"/>
        <v>0</v>
      </c>
      <c r="U100" s="1697">
        <f t="shared" si="16"/>
        <v>0</v>
      </c>
      <c r="V100" s="3051">
        <f t="shared" si="17"/>
        <v>0</v>
      </c>
      <c r="W100" s="1697">
        <f t="shared" si="18"/>
        <v>0</v>
      </c>
      <c r="X100" s="1695">
        <f t="shared" si="19"/>
        <v>0</v>
      </c>
      <c r="Y100" s="4989">
        <f t="shared" si="20"/>
        <v>0</v>
      </c>
      <c r="Z100" s="1826"/>
      <c r="AA100" s="1487"/>
      <c r="AB100" s="1486"/>
      <c r="AC100" s="4967"/>
      <c r="AD100" s="4968"/>
      <c r="AE100" s="4969"/>
      <c r="AF100" s="4968"/>
      <c r="AG100" s="4970"/>
      <c r="AH100" s="4968"/>
      <c r="AI100" s="4970"/>
      <c r="AJ100" s="4968"/>
      <c r="AK100" s="4982"/>
      <c r="AL100" s="4982"/>
      <c r="AM100" s="4982"/>
      <c r="AN100" s="4982"/>
      <c r="AO100" s="4982"/>
      <c r="AP100" s="4982"/>
      <c r="AQ100" s="4982"/>
      <c r="AR100" s="4982"/>
      <c r="AS100" s="4982"/>
    </row>
    <row r="101" spans="1:45" s="382" customFormat="1" ht="15" customHeight="1">
      <c r="A101" s="2057" t="s">
        <v>3899</v>
      </c>
      <c r="B101" s="1826"/>
      <c r="C101" s="1824"/>
      <c r="D101" s="1485"/>
      <c r="E101" s="1824"/>
      <c r="F101" s="1485"/>
      <c r="G101" s="1824"/>
      <c r="H101" s="1485"/>
      <c r="I101" s="1824"/>
      <c r="J101" s="1485"/>
      <c r="K101" s="1824"/>
      <c r="L101" s="1485"/>
      <c r="M101" s="1824"/>
      <c r="N101" s="1485"/>
      <c r="O101" s="1824"/>
      <c r="P101" s="1485"/>
      <c r="Q101" s="1486"/>
      <c r="R101" s="4988">
        <f t="shared" si="13"/>
        <v>0</v>
      </c>
      <c r="S101" s="1697">
        <f t="shared" si="14"/>
        <v>0</v>
      </c>
      <c r="T101" s="3051">
        <f t="shared" si="15"/>
        <v>0</v>
      </c>
      <c r="U101" s="1697">
        <f t="shared" si="16"/>
        <v>0</v>
      </c>
      <c r="V101" s="3051">
        <f t="shared" si="17"/>
        <v>0</v>
      </c>
      <c r="W101" s="1697">
        <f t="shared" si="18"/>
        <v>0</v>
      </c>
      <c r="X101" s="1695">
        <f t="shared" si="19"/>
        <v>0</v>
      </c>
      <c r="Y101" s="4989">
        <f t="shared" si="20"/>
        <v>0</v>
      </c>
      <c r="Z101" s="1826"/>
      <c r="AA101" s="1487"/>
      <c r="AB101" s="1486"/>
      <c r="AC101" s="4967"/>
      <c r="AD101" s="4968"/>
      <c r="AE101" s="4969"/>
      <c r="AF101" s="4968"/>
      <c r="AG101" s="4970"/>
      <c r="AH101" s="4968"/>
      <c r="AI101" s="4970"/>
      <c r="AJ101" s="4968"/>
      <c r="AK101" s="4982"/>
      <c r="AL101" s="4982"/>
      <c r="AM101" s="4982"/>
      <c r="AN101" s="4982"/>
      <c r="AO101" s="4982"/>
      <c r="AP101" s="4982"/>
      <c r="AQ101" s="4982"/>
      <c r="AR101" s="4982"/>
      <c r="AS101" s="4982"/>
    </row>
    <row r="102" spans="1:45" s="382" customFormat="1" ht="15" customHeight="1">
      <c r="A102" s="2057" t="s">
        <v>3900</v>
      </c>
      <c r="B102" s="1826"/>
      <c r="C102" s="1824"/>
      <c r="D102" s="1485"/>
      <c r="E102" s="1824"/>
      <c r="F102" s="1485"/>
      <c r="G102" s="1824"/>
      <c r="H102" s="1485"/>
      <c r="I102" s="1824"/>
      <c r="J102" s="1485"/>
      <c r="K102" s="1824"/>
      <c r="L102" s="1485"/>
      <c r="M102" s="1824"/>
      <c r="N102" s="1485"/>
      <c r="O102" s="1824"/>
      <c r="P102" s="1485"/>
      <c r="Q102" s="1486"/>
      <c r="R102" s="4988">
        <f t="shared" si="13"/>
        <v>0</v>
      </c>
      <c r="S102" s="1697">
        <f t="shared" si="14"/>
        <v>0</v>
      </c>
      <c r="T102" s="3051">
        <f t="shared" si="15"/>
        <v>0</v>
      </c>
      <c r="U102" s="1697">
        <f t="shared" si="16"/>
        <v>0</v>
      </c>
      <c r="V102" s="3051">
        <f t="shared" si="17"/>
        <v>0</v>
      </c>
      <c r="W102" s="1697">
        <f t="shared" si="18"/>
        <v>0</v>
      </c>
      <c r="X102" s="1695">
        <f t="shared" si="19"/>
        <v>0</v>
      </c>
      <c r="Y102" s="4989">
        <f t="shared" si="20"/>
        <v>0</v>
      </c>
      <c r="Z102" s="1826"/>
      <c r="AA102" s="1487"/>
      <c r="AB102" s="1486"/>
      <c r="AC102" s="4967"/>
      <c r="AD102" s="4968"/>
      <c r="AE102" s="4969"/>
      <c r="AF102" s="4968"/>
      <c r="AG102" s="4970"/>
      <c r="AH102" s="4968"/>
      <c r="AI102" s="4970"/>
      <c r="AJ102" s="4968"/>
      <c r="AK102" s="4982"/>
      <c r="AL102" s="4982"/>
      <c r="AM102" s="4982"/>
      <c r="AN102" s="4982"/>
      <c r="AO102" s="4982"/>
      <c r="AP102" s="4982"/>
      <c r="AQ102" s="4982"/>
      <c r="AR102" s="4982"/>
      <c r="AS102" s="4982"/>
    </row>
    <row r="103" spans="1:45" s="382" customFormat="1" ht="15" customHeight="1">
      <c r="A103" s="2057" t="s">
        <v>1738</v>
      </c>
      <c r="B103" s="1826"/>
      <c r="C103" s="1824"/>
      <c r="D103" s="1485"/>
      <c r="E103" s="1824"/>
      <c r="F103" s="1485"/>
      <c r="G103" s="1824"/>
      <c r="H103" s="1485"/>
      <c r="I103" s="1824"/>
      <c r="J103" s="1485"/>
      <c r="K103" s="1824"/>
      <c r="L103" s="1485"/>
      <c r="M103" s="1824"/>
      <c r="N103" s="1485"/>
      <c r="O103" s="1824"/>
      <c r="P103" s="1485"/>
      <c r="Q103" s="1486"/>
      <c r="R103" s="4988">
        <f t="shared" si="13"/>
        <v>0</v>
      </c>
      <c r="S103" s="1697">
        <f t="shared" si="14"/>
        <v>0</v>
      </c>
      <c r="T103" s="3051">
        <f t="shared" si="15"/>
        <v>0</v>
      </c>
      <c r="U103" s="1697">
        <f t="shared" si="16"/>
        <v>0</v>
      </c>
      <c r="V103" s="3051">
        <f t="shared" si="17"/>
        <v>0</v>
      </c>
      <c r="W103" s="1697">
        <f t="shared" si="18"/>
        <v>0</v>
      </c>
      <c r="X103" s="1695">
        <f t="shared" si="19"/>
        <v>0</v>
      </c>
      <c r="Y103" s="4989">
        <f t="shared" si="20"/>
        <v>0</v>
      </c>
      <c r="Z103" s="1826"/>
      <c r="AA103" s="1487"/>
      <c r="AB103" s="1486"/>
      <c r="AC103" s="4967"/>
      <c r="AD103" s="4968"/>
      <c r="AE103" s="4969"/>
      <c r="AF103" s="4968"/>
      <c r="AG103" s="4970"/>
      <c r="AH103" s="4968"/>
      <c r="AI103" s="4970"/>
      <c r="AJ103" s="4968"/>
      <c r="AK103" s="4982"/>
      <c r="AL103" s="4982"/>
      <c r="AM103" s="4982"/>
      <c r="AN103" s="4982"/>
      <c r="AO103" s="4982"/>
      <c r="AP103" s="4982"/>
      <c r="AQ103" s="4982"/>
      <c r="AR103" s="4982"/>
      <c r="AS103" s="4982"/>
    </row>
    <row r="104" spans="1:45" s="382" customFormat="1" ht="15" customHeight="1">
      <c r="A104" s="2057" t="s">
        <v>3901</v>
      </c>
      <c r="B104" s="1826"/>
      <c r="C104" s="1824"/>
      <c r="D104" s="1485"/>
      <c r="E104" s="1824"/>
      <c r="F104" s="1485"/>
      <c r="G104" s="1824"/>
      <c r="H104" s="1485"/>
      <c r="I104" s="1824"/>
      <c r="J104" s="1485"/>
      <c r="K104" s="1824"/>
      <c r="L104" s="1485"/>
      <c r="M104" s="1824"/>
      <c r="N104" s="1485"/>
      <c r="O104" s="1824"/>
      <c r="P104" s="1485"/>
      <c r="Q104" s="1486"/>
      <c r="R104" s="4988">
        <f t="shared" si="13"/>
        <v>0</v>
      </c>
      <c r="S104" s="1697">
        <f t="shared" si="14"/>
        <v>0</v>
      </c>
      <c r="T104" s="3051">
        <f t="shared" si="15"/>
        <v>0</v>
      </c>
      <c r="U104" s="1697">
        <f t="shared" si="16"/>
        <v>0</v>
      </c>
      <c r="V104" s="3051">
        <f t="shared" si="17"/>
        <v>0</v>
      </c>
      <c r="W104" s="1697">
        <f t="shared" si="18"/>
        <v>0</v>
      </c>
      <c r="X104" s="1695">
        <f t="shared" si="19"/>
        <v>0</v>
      </c>
      <c r="Y104" s="4989">
        <f t="shared" si="20"/>
        <v>0</v>
      </c>
      <c r="Z104" s="1826"/>
      <c r="AA104" s="1487"/>
      <c r="AB104" s="1486"/>
      <c r="AC104" s="4967"/>
      <c r="AD104" s="4968"/>
      <c r="AE104" s="4969"/>
      <c r="AF104" s="4968"/>
      <c r="AG104" s="4970"/>
      <c r="AH104" s="4968"/>
      <c r="AI104" s="4970"/>
      <c r="AJ104" s="4968"/>
      <c r="AK104" s="4982"/>
      <c r="AL104" s="4982"/>
      <c r="AM104" s="4982"/>
      <c r="AN104" s="4982"/>
      <c r="AO104" s="4982"/>
      <c r="AP104" s="4982"/>
      <c r="AQ104" s="4982"/>
      <c r="AR104" s="4982"/>
      <c r="AS104" s="4982"/>
    </row>
    <row r="105" spans="1:45" s="382" customFormat="1" ht="15" customHeight="1">
      <c r="A105" s="2057" t="s">
        <v>3902</v>
      </c>
      <c r="B105" s="1826"/>
      <c r="C105" s="1824"/>
      <c r="D105" s="1485"/>
      <c r="E105" s="1824"/>
      <c r="F105" s="1485"/>
      <c r="G105" s="1824"/>
      <c r="H105" s="1485"/>
      <c r="I105" s="1824"/>
      <c r="J105" s="1485"/>
      <c r="K105" s="1824"/>
      <c r="L105" s="1485"/>
      <c r="M105" s="1824"/>
      <c r="N105" s="1485"/>
      <c r="O105" s="1824"/>
      <c r="P105" s="1485"/>
      <c r="Q105" s="1486"/>
      <c r="R105" s="4988">
        <f t="shared" si="13"/>
        <v>0</v>
      </c>
      <c r="S105" s="1697">
        <f t="shared" si="14"/>
        <v>0</v>
      </c>
      <c r="T105" s="3051">
        <f t="shared" si="15"/>
        <v>0</v>
      </c>
      <c r="U105" s="1697">
        <f t="shared" si="16"/>
        <v>0</v>
      </c>
      <c r="V105" s="3051">
        <f t="shared" si="17"/>
        <v>0</v>
      </c>
      <c r="W105" s="1697">
        <f t="shared" si="18"/>
        <v>0</v>
      </c>
      <c r="X105" s="1695">
        <f t="shared" si="19"/>
        <v>0</v>
      </c>
      <c r="Y105" s="4989">
        <f t="shared" si="20"/>
        <v>0</v>
      </c>
      <c r="Z105" s="1826"/>
      <c r="AA105" s="1487"/>
      <c r="AB105" s="1486"/>
      <c r="AC105" s="4967"/>
      <c r="AD105" s="4968"/>
      <c r="AE105" s="4969"/>
      <c r="AF105" s="4968"/>
      <c r="AG105" s="4970"/>
      <c r="AH105" s="4968"/>
      <c r="AI105" s="4970"/>
      <c r="AJ105" s="4968"/>
      <c r="AK105" s="4982"/>
      <c r="AL105" s="4982"/>
      <c r="AM105" s="4982"/>
      <c r="AN105" s="4982"/>
      <c r="AO105" s="4982"/>
      <c r="AP105" s="4982"/>
      <c r="AQ105" s="4982"/>
      <c r="AR105" s="4982"/>
      <c r="AS105" s="4982"/>
    </row>
    <row r="106" spans="1:45" s="382" customFormat="1" ht="15" customHeight="1">
      <c r="A106" s="2057" t="s">
        <v>3903</v>
      </c>
      <c r="B106" s="1826"/>
      <c r="C106" s="1824"/>
      <c r="D106" s="1485"/>
      <c r="E106" s="1824"/>
      <c r="F106" s="1485"/>
      <c r="G106" s="1824"/>
      <c r="H106" s="1485"/>
      <c r="I106" s="1824"/>
      <c r="J106" s="1485"/>
      <c r="K106" s="1824"/>
      <c r="L106" s="1485"/>
      <c r="M106" s="1824"/>
      <c r="N106" s="1485"/>
      <c r="O106" s="1824"/>
      <c r="P106" s="1485"/>
      <c r="Q106" s="1486"/>
      <c r="R106" s="4988">
        <f t="shared" si="13"/>
        <v>0</v>
      </c>
      <c r="S106" s="1697">
        <f t="shared" si="14"/>
        <v>0</v>
      </c>
      <c r="T106" s="3051">
        <f t="shared" si="15"/>
        <v>0</v>
      </c>
      <c r="U106" s="1697">
        <f t="shared" si="16"/>
        <v>0</v>
      </c>
      <c r="V106" s="3051">
        <f t="shared" si="17"/>
        <v>0</v>
      </c>
      <c r="W106" s="1697">
        <f t="shared" si="18"/>
        <v>0</v>
      </c>
      <c r="X106" s="1695">
        <f t="shared" si="19"/>
        <v>0</v>
      </c>
      <c r="Y106" s="4989">
        <f t="shared" si="20"/>
        <v>0</v>
      </c>
      <c r="Z106" s="1826"/>
      <c r="AA106" s="1487"/>
      <c r="AB106" s="1486"/>
      <c r="AC106" s="4967"/>
      <c r="AD106" s="4968"/>
      <c r="AE106" s="4969"/>
      <c r="AF106" s="4968"/>
      <c r="AG106" s="4970"/>
      <c r="AH106" s="4968"/>
      <c r="AI106" s="4970"/>
      <c r="AJ106" s="4968"/>
      <c r="AK106" s="4982"/>
      <c r="AL106" s="4982"/>
      <c r="AM106" s="4982"/>
      <c r="AN106" s="4982"/>
      <c r="AO106" s="4982"/>
      <c r="AP106" s="4982"/>
      <c r="AQ106" s="4982"/>
      <c r="AR106" s="4982"/>
      <c r="AS106" s="4982"/>
    </row>
    <row r="107" spans="1:45" s="382" customFormat="1" ht="15" customHeight="1">
      <c r="A107" s="2057" t="s">
        <v>3904</v>
      </c>
      <c r="B107" s="1826"/>
      <c r="C107" s="1824"/>
      <c r="D107" s="1485"/>
      <c r="E107" s="1824"/>
      <c r="F107" s="1485"/>
      <c r="G107" s="1824"/>
      <c r="H107" s="1485"/>
      <c r="I107" s="1824"/>
      <c r="J107" s="1485"/>
      <c r="K107" s="1824"/>
      <c r="L107" s="1485"/>
      <c r="M107" s="1824"/>
      <c r="N107" s="1485"/>
      <c r="O107" s="1824"/>
      <c r="P107" s="1485"/>
      <c r="Q107" s="1486"/>
      <c r="R107" s="4988">
        <f t="shared" si="13"/>
        <v>0</v>
      </c>
      <c r="S107" s="1697">
        <f t="shared" si="14"/>
        <v>0</v>
      </c>
      <c r="T107" s="3051">
        <f t="shared" si="15"/>
        <v>0</v>
      </c>
      <c r="U107" s="1697">
        <f t="shared" si="16"/>
        <v>0</v>
      </c>
      <c r="V107" s="3051">
        <f>+F107+N107</f>
        <v>0</v>
      </c>
      <c r="W107" s="1697">
        <f t="shared" si="18"/>
        <v>0</v>
      </c>
      <c r="X107" s="1695">
        <f t="shared" si="19"/>
        <v>0</v>
      </c>
      <c r="Y107" s="4989">
        <f t="shared" si="20"/>
        <v>0</v>
      </c>
      <c r="Z107" s="1826"/>
      <c r="AA107" s="1487"/>
      <c r="AB107" s="1486"/>
      <c r="AC107" s="4967"/>
      <c r="AD107" s="4968"/>
      <c r="AE107" s="4969"/>
      <c r="AF107" s="4968"/>
      <c r="AG107" s="4970"/>
      <c r="AH107" s="4968"/>
      <c r="AI107" s="4970"/>
      <c r="AJ107" s="4968"/>
      <c r="AK107" s="4982"/>
      <c r="AL107" s="4982"/>
      <c r="AM107" s="4982"/>
      <c r="AN107" s="4982"/>
      <c r="AO107" s="4982"/>
      <c r="AP107" s="4982"/>
      <c r="AQ107" s="4982"/>
      <c r="AR107" s="4982"/>
      <c r="AS107" s="4982"/>
    </row>
    <row r="108" spans="1:45" s="382" customFormat="1" ht="15" customHeight="1">
      <c r="A108" s="2303" t="s">
        <v>3905</v>
      </c>
      <c r="B108" s="1456"/>
      <c r="C108" s="1684"/>
      <c r="D108" s="1455"/>
      <c r="E108" s="1684"/>
      <c r="F108" s="1455"/>
      <c r="G108" s="1684"/>
      <c r="H108" s="1455"/>
      <c r="I108" s="1684"/>
      <c r="J108" s="1455"/>
      <c r="K108" s="1684"/>
      <c r="L108" s="1455"/>
      <c r="M108" s="1684"/>
      <c r="N108" s="1455"/>
      <c r="O108" s="1684"/>
      <c r="P108" s="1455"/>
      <c r="Q108" s="1459"/>
      <c r="R108" s="4778">
        <f t="shared" si="13"/>
        <v>0</v>
      </c>
      <c r="S108" s="1659">
        <f t="shared" si="14"/>
        <v>0</v>
      </c>
      <c r="T108" s="430">
        <f t="shared" si="15"/>
        <v>0</v>
      </c>
      <c r="U108" s="1659">
        <f t="shared" si="16"/>
        <v>0</v>
      </c>
      <c r="V108" s="430">
        <f t="shared" si="17"/>
        <v>0</v>
      </c>
      <c r="W108" s="1659">
        <f t="shared" si="18"/>
        <v>0</v>
      </c>
      <c r="X108" s="429">
        <f t="shared" si="19"/>
        <v>0</v>
      </c>
      <c r="Y108" s="4961">
        <f t="shared" si="20"/>
        <v>0</v>
      </c>
      <c r="Z108" s="1456"/>
      <c r="AA108" s="1490"/>
      <c r="AB108" s="1459"/>
      <c r="AC108" s="4976"/>
      <c r="AD108" s="4977"/>
      <c r="AE108" s="4978"/>
      <c r="AF108" s="4977"/>
      <c r="AG108" s="4979"/>
      <c r="AH108" s="4977"/>
      <c r="AI108" s="4979"/>
      <c r="AJ108" s="4977"/>
      <c r="AK108" s="4982"/>
      <c r="AL108" s="4982"/>
      <c r="AM108" s="4982"/>
      <c r="AN108" s="4982"/>
      <c r="AO108" s="4982"/>
      <c r="AP108" s="4982"/>
      <c r="AQ108" s="4982"/>
      <c r="AR108" s="4982"/>
      <c r="AS108" s="4982"/>
    </row>
    <row r="109" spans="1:45" s="1582" customFormat="1" ht="18" customHeight="1">
      <c r="A109" s="2162" t="s">
        <v>3906</v>
      </c>
      <c r="B109" s="2162"/>
      <c r="C109" s="2162"/>
      <c r="D109" s="2162"/>
      <c r="E109" s="2162"/>
      <c r="F109" s="2162"/>
      <c r="G109" s="2162"/>
    </row>
    <row r="110" spans="1:45" s="382" customFormat="1" ht="15" customHeight="1">
      <c r="A110" s="7192" t="s">
        <v>3907</v>
      </c>
      <c r="B110" s="5710" t="s">
        <v>3873</v>
      </c>
      <c r="C110" s="6106"/>
      <c r="D110" s="6106"/>
      <c r="E110" s="6106"/>
      <c r="F110" s="6106"/>
      <c r="G110" s="6106"/>
      <c r="H110" s="6106"/>
      <c r="I110" s="6106"/>
      <c r="J110" s="6106"/>
      <c r="K110" s="6106"/>
      <c r="L110" s="5716"/>
      <c r="M110" s="5714" t="s">
        <v>3908</v>
      </c>
      <c r="N110" s="6139"/>
      <c r="O110" s="6139"/>
      <c r="P110" s="6139"/>
      <c r="Q110" s="6139"/>
      <c r="R110" s="6139"/>
      <c r="S110" s="6139"/>
      <c r="T110" s="6119"/>
    </row>
    <row r="111" spans="1:45" s="382" customFormat="1" ht="15" customHeight="1">
      <c r="A111" s="7193"/>
      <c r="B111" s="5708" t="s">
        <v>3271</v>
      </c>
      <c r="C111" s="5709"/>
      <c r="D111" s="5707" t="s">
        <v>1235</v>
      </c>
      <c r="E111" s="5709"/>
      <c r="F111" s="5707" t="s">
        <v>1236</v>
      </c>
      <c r="G111" s="5709"/>
      <c r="H111" s="5707" t="s">
        <v>734</v>
      </c>
      <c r="I111" s="5709"/>
      <c r="J111" s="6444" t="s">
        <v>3669</v>
      </c>
      <c r="K111" s="5708"/>
      <c r="L111" s="6147"/>
      <c r="M111" s="5715"/>
      <c r="N111" s="6115"/>
      <c r="O111" s="6115"/>
      <c r="P111" s="6115"/>
      <c r="Q111" s="6115"/>
      <c r="R111" s="6115"/>
      <c r="S111" s="6115"/>
      <c r="T111" s="6116"/>
    </row>
    <row r="112" spans="1:45" s="382" customFormat="1" ht="15" customHeight="1">
      <c r="A112" s="7193"/>
      <c r="B112" s="7190" t="s">
        <v>72</v>
      </c>
      <c r="C112" s="6154" t="s">
        <v>73</v>
      </c>
      <c r="D112" s="7190" t="s">
        <v>72</v>
      </c>
      <c r="E112" s="6154" t="s">
        <v>73</v>
      </c>
      <c r="F112" s="7190" t="s">
        <v>72</v>
      </c>
      <c r="G112" s="6154" t="s">
        <v>73</v>
      </c>
      <c r="H112" s="7190" t="s">
        <v>72</v>
      </c>
      <c r="I112" s="6388" t="s">
        <v>73</v>
      </c>
      <c r="J112" s="393" t="s">
        <v>3695</v>
      </c>
      <c r="K112" s="5710" t="s">
        <v>1661</v>
      </c>
      <c r="L112" s="5716"/>
      <c r="M112" s="5708" t="s">
        <v>3271</v>
      </c>
      <c r="N112" s="5709"/>
      <c r="O112" s="5707" t="s">
        <v>1235</v>
      </c>
      <c r="P112" s="5709"/>
      <c r="Q112" s="5708" t="s">
        <v>1236</v>
      </c>
      <c r="R112" s="5709"/>
      <c r="S112" s="5707" t="s">
        <v>734</v>
      </c>
      <c r="T112" s="5709"/>
    </row>
    <row r="113" spans="1:21" s="382" customFormat="1" ht="20.100000000000001" customHeight="1">
      <c r="A113" s="7194"/>
      <c r="B113" s="7191"/>
      <c r="C113" s="6157"/>
      <c r="D113" s="7191"/>
      <c r="E113" s="6157"/>
      <c r="F113" s="7191"/>
      <c r="G113" s="6157"/>
      <c r="H113" s="7191"/>
      <c r="I113" s="6389"/>
      <c r="J113" s="393" t="s">
        <v>3867</v>
      </c>
      <c r="K113" s="1647" t="s">
        <v>3839</v>
      </c>
      <c r="L113" s="4990" t="s">
        <v>2606</v>
      </c>
      <c r="M113" s="3657" t="s">
        <v>72</v>
      </c>
      <c r="N113" s="398" t="s">
        <v>73</v>
      </c>
      <c r="O113" s="396" t="s">
        <v>72</v>
      </c>
      <c r="P113" s="398" t="s">
        <v>73</v>
      </c>
      <c r="Q113" s="397" t="s">
        <v>72</v>
      </c>
      <c r="R113" s="398" t="s">
        <v>73</v>
      </c>
      <c r="S113" s="396" t="s">
        <v>72</v>
      </c>
      <c r="T113" s="398" t="s">
        <v>73</v>
      </c>
    </row>
    <row r="114" spans="1:21" s="382" customFormat="1" ht="15" customHeight="1">
      <c r="A114" s="400" t="s">
        <v>91</v>
      </c>
      <c r="B114" s="402">
        <f t="shared" ref="B114:G114" si="21">SUM(B115:B118)</f>
        <v>0</v>
      </c>
      <c r="C114" s="403">
        <f t="shared" si="21"/>
        <v>0</v>
      </c>
      <c r="D114" s="401">
        <f t="shared" si="21"/>
        <v>0</v>
      </c>
      <c r="E114" s="403">
        <f t="shared" si="21"/>
        <v>0</v>
      </c>
      <c r="F114" s="401">
        <f t="shared" si="21"/>
        <v>0</v>
      </c>
      <c r="G114" s="403">
        <f t="shared" si="21"/>
        <v>0</v>
      </c>
      <c r="H114" s="402">
        <f t="shared" ref="H114:T114" si="22">SUM(H115:H118)</f>
        <v>0</v>
      </c>
      <c r="I114" s="440">
        <f t="shared" si="22"/>
        <v>0</v>
      </c>
      <c r="J114" s="4742">
        <f t="shared" si="22"/>
        <v>0</v>
      </c>
      <c r="K114" s="4741">
        <f t="shared" si="22"/>
        <v>0</v>
      </c>
      <c r="L114" s="4991">
        <f t="shared" si="22"/>
        <v>0</v>
      </c>
      <c r="M114" s="4739">
        <f t="shared" si="22"/>
        <v>0</v>
      </c>
      <c r="N114" s="4747">
        <f t="shared" si="22"/>
        <v>0</v>
      </c>
      <c r="O114" s="2479">
        <f t="shared" si="22"/>
        <v>0</v>
      </c>
      <c r="P114" s="4747">
        <f t="shared" si="22"/>
        <v>0</v>
      </c>
      <c r="Q114" s="4741">
        <f t="shared" ref="Q114:R114" si="23">SUM(Q115:Q118)</f>
        <v>0</v>
      </c>
      <c r="R114" s="4740">
        <f t="shared" si="23"/>
        <v>0</v>
      </c>
      <c r="S114" s="2479">
        <f t="shared" si="22"/>
        <v>0</v>
      </c>
      <c r="T114" s="4747">
        <f t="shared" si="22"/>
        <v>0</v>
      </c>
    </row>
    <row r="115" spans="1:21" s="382" customFormat="1" ht="15" customHeight="1">
      <c r="A115" s="2057" t="s">
        <v>3909</v>
      </c>
      <c r="B115" s="1881"/>
      <c r="C115" s="1821"/>
      <c r="D115" s="1517"/>
      <c r="E115" s="1821"/>
      <c r="F115" s="1517"/>
      <c r="G115" s="1821"/>
      <c r="H115" s="1881"/>
      <c r="I115" s="3015"/>
      <c r="J115" s="1523"/>
      <c r="K115" s="1881"/>
      <c r="L115" s="1908"/>
      <c r="M115" s="4992"/>
      <c r="N115" s="4993"/>
      <c r="O115" s="4994"/>
      <c r="P115" s="4993"/>
      <c r="Q115" s="4995"/>
      <c r="R115" s="4993"/>
      <c r="S115" s="4994"/>
      <c r="T115" s="4968"/>
    </row>
    <row r="116" spans="1:21" s="382" customFormat="1" ht="15" customHeight="1">
      <c r="A116" s="2057" t="s">
        <v>3910</v>
      </c>
      <c r="B116" s="1826"/>
      <c r="C116" s="1824"/>
      <c r="D116" s="1485"/>
      <c r="E116" s="1824"/>
      <c r="F116" s="1485"/>
      <c r="G116" s="1824"/>
      <c r="H116" s="1826"/>
      <c r="I116" s="1486"/>
      <c r="J116" s="1692"/>
      <c r="K116" s="1826"/>
      <c r="L116" s="1710"/>
      <c r="M116" s="4967"/>
      <c r="N116" s="4968"/>
      <c r="O116" s="4970"/>
      <c r="P116" s="4968"/>
      <c r="Q116" s="4969"/>
      <c r="R116" s="4968"/>
      <c r="S116" s="4970"/>
      <c r="T116" s="4968"/>
    </row>
    <row r="117" spans="1:21" s="382" customFormat="1" ht="15" customHeight="1">
      <c r="A117" s="2057" t="s">
        <v>3911</v>
      </c>
      <c r="B117" s="1826"/>
      <c r="C117" s="1824"/>
      <c r="D117" s="1485"/>
      <c r="E117" s="1824"/>
      <c r="F117" s="1485"/>
      <c r="G117" s="1824"/>
      <c r="H117" s="1826"/>
      <c r="I117" s="1486"/>
      <c r="J117" s="1692"/>
      <c r="K117" s="1826"/>
      <c r="L117" s="1710"/>
      <c r="M117" s="4967"/>
      <c r="N117" s="4968"/>
      <c r="O117" s="4970"/>
      <c r="P117" s="4968"/>
      <c r="Q117" s="4969"/>
      <c r="R117" s="4968"/>
      <c r="S117" s="4970"/>
      <c r="T117" s="4968"/>
    </row>
    <row r="118" spans="1:21" s="382" customFormat="1" ht="15" customHeight="1">
      <c r="A118" s="2303" t="s">
        <v>3912</v>
      </c>
      <c r="B118" s="1456"/>
      <c r="C118" s="1684"/>
      <c r="D118" s="1455"/>
      <c r="E118" s="1684"/>
      <c r="F118" s="1455"/>
      <c r="G118" s="1684"/>
      <c r="H118" s="1456"/>
      <c r="I118" s="1459"/>
      <c r="J118" s="1467"/>
      <c r="K118" s="1456"/>
      <c r="L118" s="1660"/>
      <c r="M118" s="4976"/>
      <c r="N118" s="4977"/>
      <c r="O118" s="4979"/>
      <c r="P118" s="4977"/>
      <c r="Q118" s="4978"/>
      <c r="R118" s="4977"/>
      <c r="S118" s="4979"/>
      <c r="T118" s="4977"/>
    </row>
    <row r="119" spans="1:21" s="1582" customFormat="1" ht="18" customHeight="1">
      <c r="A119" s="2162" t="s">
        <v>3913</v>
      </c>
      <c r="B119" s="2162"/>
      <c r="C119" s="2162"/>
      <c r="D119" s="2162"/>
      <c r="E119" s="2162"/>
      <c r="F119" s="2162"/>
      <c r="G119" s="2162"/>
    </row>
    <row r="120" spans="1:21" s="383" customFormat="1" ht="20.100000000000001" customHeight="1">
      <c r="A120" s="6137" t="s">
        <v>3914</v>
      </c>
      <c r="B120" s="5718" t="s">
        <v>209</v>
      </c>
      <c r="C120" s="6140" t="s">
        <v>3915</v>
      </c>
      <c r="D120" s="6139"/>
      <c r="E120" s="6139"/>
      <c r="F120" s="6119"/>
      <c r="G120" s="6152" t="s">
        <v>3916</v>
      </c>
      <c r="H120" s="6153"/>
      <c r="I120" s="6388"/>
      <c r="J120" s="6191" t="s">
        <v>3917</v>
      </c>
      <c r="K120" s="6106"/>
      <c r="L120" s="6106"/>
      <c r="M120" s="6106"/>
      <c r="N120" s="6106"/>
      <c r="O120" s="6106"/>
      <c r="P120" s="6106"/>
      <c r="Q120" s="5712"/>
      <c r="R120" s="5707" t="s">
        <v>3918</v>
      </c>
      <c r="S120" s="5708"/>
      <c r="T120" s="5708"/>
      <c r="U120" s="5709"/>
    </row>
    <row r="121" spans="1:21" s="383" customFormat="1" ht="20.100000000000001" customHeight="1">
      <c r="A121" s="6137"/>
      <c r="B121" s="6110"/>
      <c r="C121" s="6114"/>
      <c r="D121" s="6115"/>
      <c r="E121" s="6115"/>
      <c r="F121" s="6116"/>
      <c r="G121" s="6155"/>
      <c r="H121" s="6156"/>
      <c r="I121" s="6389"/>
      <c r="J121" s="5708" t="s">
        <v>3271</v>
      </c>
      <c r="K121" s="5709"/>
      <c r="L121" s="5707" t="s">
        <v>1235</v>
      </c>
      <c r="M121" s="5709"/>
      <c r="N121" s="5707" t="s">
        <v>1236</v>
      </c>
      <c r="O121" s="5709"/>
      <c r="P121" s="5707" t="s">
        <v>734</v>
      </c>
      <c r="Q121" s="5709"/>
      <c r="R121" s="6074" t="s">
        <v>689</v>
      </c>
      <c r="S121" s="6076"/>
      <c r="T121" s="6074" t="s">
        <v>1405</v>
      </c>
      <c r="U121" s="6076"/>
    </row>
    <row r="122" spans="1:21" s="383" customFormat="1" ht="20.100000000000001" customHeight="1">
      <c r="A122" s="6137" t="s">
        <v>3919</v>
      </c>
      <c r="B122" s="5719"/>
      <c r="C122" s="1395" t="s">
        <v>3920</v>
      </c>
      <c r="D122" s="1396" t="s">
        <v>1235</v>
      </c>
      <c r="E122" s="1396" t="s">
        <v>1236</v>
      </c>
      <c r="F122" s="393" t="s">
        <v>734</v>
      </c>
      <c r="G122" s="400" t="s">
        <v>93</v>
      </c>
      <c r="H122" s="397" t="s">
        <v>72</v>
      </c>
      <c r="I122" s="1392" t="s">
        <v>73</v>
      </c>
      <c r="J122" s="3657" t="s">
        <v>72</v>
      </c>
      <c r="K122" s="390" t="s">
        <v>73</v>
      </c>
      <c r="L122" s="397" t="s">
        <v>72</v>
      </c>
      <c r="M122" s="390" t="s">
        <v>73</v>
      </c>
      <c r="N122" s="397" t="s">
        <v>72</v>
      </c>
      <c r="O122" s="390" t="s">
        <v>73</v>
      </c>
      <c r="P122" s="397" t="s">
        <v>72</v>
      </c>
      <c r="Q122" s="398" t="s">
        <v>73</v>
      </c>
      <c r="R122" s="3494" t="s">
        <v>1411</v>
      </c>
      <c r="S122" s="1588" t="s">
        <v>779</v>
      </c>
      <c r="T122" s="2290" t="s">
        <v>1411</v>
      </c>
      <c r="U122" s="2290" t="s">
        <v>779</v>
      </c>
    </row>
    <row r="123" spans="1:21" s="383" customFormat="1" ht="15" customHeight="1">
      <c r="A123" s="5718"/>
      <c r="B123" s="406">
        <f>SUM(B124:B129)</f>
        <v>0</v>
      </c>
      <c r="C123" s="401">
        <f t="shared" ref="C123:Q123" si="24">SUM(C124:C129)</f>
        <v>0</v>
      </c>
      <c r="D123" s="402">
        <f t="shared" si="24"/>
        <v>0</v>
      </c>
      <c r="E123" s="402">
        <f>SUM(E124:E129)</f>
        <v>0</v>
      </c>
      <c r="F123" s="392">
        <f t="shared" si="24"/>
        <v>0</v>
      </c>
      <c r="G123" s="406">
        <f>SUM(G124:G129)</f>
        <v>0</v>
      </c>
      <c r="H123" s="402">
        <f>SUM(H124:H129)</f>
        <v>0</v>
      </c>
      <c r="I123" s="1556">
        <f t="shared" si="24"/>
        <v>0</v>
      </c>
      <c r="J123" s="4739">
        <f t="shared" si="24"/>
        <v>0</v>
      </c>
      <c r="K123" s="4742">
        <f t="shared" si="24"/>
        <v>0</v>
      </c>
      <c r="L123" s="4741">
        <f t="shared" si="24"/>
        <v>0</v>
      </c>
      <c r="M123" s="4742">
        <f t="shared" si="24"/>
        <v>0</v>
      </c>
      <c r="N123" s="4741">
        <f t="shared" ref="N123:O123" si="25">SUM(N124:N129)</f>
        <v>0</v>
      </c>
      <c r="O123" s="4742">
        <f t="shared" si="25"/>
        <v>0</v>
      </c>
      <c r="P123" s="2479">
        <f t="shared" si="24"/>
        <v>0</v>
      </c>
      <c r="Q123" s="4742">
        <f t="shared" si="24"/>
        <v>0</v>
      </c>
      <c r="R123" s="4742">
        <f>SUM(R124)</f>
        <v>0</v>
      </c>
      <c r="S123" s="4742">
        <f t="shared" ref="S123:U123" si="26">SUM(S124)</f>
        <v>0</v>
      </c>
      <c r="T123" s="4742">
        <f t="shared" si="26"/>
        <v>0</v>
      </c>
      <c r="U123" s="4742">
        <f t="shared" si="26"/>
        <v>0</v>
      </c>
    </row>
    <row r="124" spans="1:21" s="383" customFormat="1" ht="15" customHeight="1">
      <c r="A124" s="4996" t="s">
        <v>851</v>
      </c>
      <c r="B124" s="1422">
        <f t="shared" ref="B124:B129" si="27">SUM(C124:F124)</f>
        <v>0</v>
      </c>
      <c r="C124" s="1485"/>
      <c r="D124" s="1826"/>
      <c r="E124" s="1826"/>
      <c r="F124" s="1692"/>
      <c r="G124" s="1422">
        <f>SUM(H124:I124)</f>
        <v>0</v>
      </c>
      <c r="H124" s="1826"/>
      <c r="I124" s="1710"/>
      <c r="J124" s="2029"/>
      <c r="K124" s="1873"/>
      <c r="L124" s="3090"/>
      <c r="M124" s="1873"/>
      <c r="N124" s="3090"/>
      <c r="O124" s="1873"/>
      <c r="P124" s="1872"/>
      <c r="Q124" s="1873"/>
      <c r="R124" s="1692"/>
      <c r="S124" s="1692"/>
      <c r="T124" s="1692"/>
      <c r="U124" s="1692"/>
    </row>
    <row r="125" spans="1:21" s="383" customFormat="1" ht="15" customHeight="1">
      <c r="A125" s="4997" t="s">
        <v>3921</v>
      </c>
      <c r="B125" s="3108"/>
      <c r="C125" s="1872"/>
      <c r="D125" s="3090"/>
      <c r="E125" s="3090"/>
      <c r="F125" s="1873"/>
      <c r="G125" s="3108"/>
      <c r="H125" s="3090"/>
      <c r="I125" s="4787"/>
      <c r="J125" s="2029"/>
      <c r="K125" s="1873"/>
      <c r="L125" s="3090"/>
      <c r="M125" s="1873"/>
      <c r="N125" s="3090"/>
      <c r="O125" s="1873"/>
      <c r="P125" s="1872"/>
      <c r="Q125" s="1873"/>
      <c r="R125" s="1873"/>
      <c r="S125" s="1873"/>
      <c r="T125" s="1873"/>
      <c r="U125" s="1873"/>
    </row>
    <row r="126" spans="1:21" s="383" customFormat="1" ht="15" customHeight="1">
      <c r="A126" s="4997" t="s">
        <v>3922</v>
      </c>
      <c r="B126" s="3108"/>
      <c r="C126" s="1872"/>
      <c r="D126" s="3090"/>
      <c r="E126" s="3090"/>
      <c r="F126" s="1873"/>
      <c r="G126" s="3108"/>
      <c r="H126" s="3090"/>
      <c r="I126" s="4787"/>
      <c r="J126" s="2029"/>
      <c r="K126" s="1873"/>
      <c r="L126" s="3090"/>
      <c r="M126" s="1873"/>
      <c r="N126" s="3090"/>
      <c r="O126" s="1873"/>
      <c r="P126" s="1872"/>
      <c r="Q126" s="1873"/>
      <c r="R126" s="1873"/>
      <c r="S126" s="1873"/>
      <c r="T126" s="1873"/>
      <c r="U126" s="1873"/>
    </row>
    <row r="127" spans="1:21" s="383" customFormat="1" ht="15" customHeight="1">
      <c r="A127" s="4998" t="s">
        <v>749</v>
      </c>
      <c r="B127" s="1512">
        <f t="shared" si="27"/>
        <v>0</v>
      </c>
      <c r="C127" s="1485"/>
      <c r="D127" s="1826"/>
      <c r="E127" s="1826"/>
      <c r="F127" s="1692"/>
      <c r="G127" s="1512">
        <f t="shared" ref="G127:G129" si="28">SUM(H127:I127)</f>
        <v>0</v>
      </c>
      <c r="H127" s="1826"/>
      <c r="I127" s="1710"/>
      <c r="J127" s="4967"/>
      <c r="K127" s="4968"/>
      <c r="L127" s="4970"/>
      <c r="M127" s="4968"/>
      <c r="N127" s="4969"/>
      <c r="O127" s="4968"/>
      <c r="P127" s="4970"/>
      <c r="Q127" s="4968"/>
      <c r="R127" s="1873"/>
      <c r="S127" s="1873"/>
      <c r="T127" s="1873"/>
      <c r="U127" s="1873"/>
    </row>
    <row r="128" spans="1:21" s="383" customFormat="1" ht="15" customHeight="1">
      <c r="A128" s="4998" t="s">
        <v>3923</v>
      </c>
      <c r="B128" s="1512">
        <f t="shared" si="27"/>
        <v>0</v>
      </c>
      <c r="C128" s="1485"/>
      <c r="D128" s="1826"/>
      <c r="E128" s="1826"/>
      <c r="F128" s="1692"/>
      <c r="G128" s="1512">
        <f t="shared" si="28"/>
        <v>0</v>
      </c>
      <c r="H128" s="1826"/>
      <c r="I128" s="1710"/>
      <c r="J128" s="4967"/>
      <c r="K128" s="4968"/>
      <c r="L128" s="4970"/>
      <c r="M128" s="4968"/>
      <c r="N128" s="4969"/>
      <c r="O128" s="4968"/>
      <c r="P128" s="4970"/>
      <c r="Q128" s="4968"/>
      <c r="R128" s="1873"/>
      <c r="S128" s="1873"/>
      <c r="T128" s="1873"/>
      <c r="U128" s="1873"/>
    </row>
    <row r="129" spans="1:21" s="383" customFormat="1" ht="15" customHeight="1">
      <c r="A129" s="4999" t="s">
        <v>619</v>
      </c>
      <c r="B129" s="1506">
        <f t="shared" si="27"/>
        <v>0</v>
      </c>
      <c r="C129" s="1455"/>
      <c r="D129" s="1456"/>
      <c r="E129" s="1456"/>
      <c r="F129" s="1467"/>
      <c r="G129" s="1506">
        <f t="shared" si="28"/>
        <v>0</v>
      </c>
      <c r="H129" s="1456"/>
      <c r="I129" s="1660"/>
      <c r="J129" s="4976"/>
      <c r="K129" s="4977"/>
      <c r="L129" s="4979"/>
      <c r="M129" s="4977"/>
      <c r="N129" s="4978"/>
      <c r="O129" s="4977"/>
      <c r="P129" s="4979"/>
      <c r="Q129" s="4977"/>
      <c r="R129" s="5000"/>
      <c r="S129" s="5001"/>
      <c r="T129" s="5000"/>
      <c r="U129" s="1876"/>
    </row>
    <row r="130" spans="1:21" s="1582" customFormat="1" ht="18" customHeight="1">
      <c r="A130" s="2162" t="s">
        <v>3924</v>
      </c>
      <c r="B130" s="2162"/>
      <c r="C130" s="2162"/>
      <c r="D130" s="2162"/>
      <c r="E130" s="2162"/>
      <c r="F130" s="2162"/>
      <c r="G130" s="2162"/>
    </row>
    <row r="131" spans="1:21" s="383" customFormat="1" ht="15" customHeight="1">
      <c r="A131" s="6298" t="s">
        <v>3925</v>
      </c>
      <c r="B131" s="5707" t="s">
        <v>3669</v>
      </c>
      <c r="C131" s="5708"/>
      <c r="D131" s="5709"/>
    </row>
    <row r="132" spans="1:21" s="383" customFormat="1" ht="15" customHeight="1">
      <c r="A132" s="6299"/>
      <c r="B132" s="391" t="s">
        <v>3695</v>
      </c>
      <c r="C132" s="6137" t="s">
        <v>1661</v>
      </c>
      <c r="D132" s="6137"/>
    </row>
    <row r="133" spans="1:21" s="383" customFormat="1" ht="24" customHeight="1">
      <c r="A133" s="6300"/>
      <c r="B133" s="1574" t="s">
        <v>3867</v>
      </c>
      <c r="C133" s="1395" t="s">
        <v>3839</v>
      </c>
      <c r="D133" s="5002" t="s">
        <v>2606</v>
      </c>
    </row>
    <row r="134" spans="1:21" s="383" customFormat="1" ht="18" customHeight="1">
      <c r="A134" s="2266" t="s">
        <v>3926</v>
      </c>
      <c r="B134" s="1478"/>
      <c r="C134" s="1585"/>
      <c r="D134" s="1786"/>
    </row>
    <row r="174" spans="1:2" hidden="1">
      <c r="A174" s="5003">
        <f>SUM(B12:Q12,R12:Y67,Z12:AU12,B72:T74,B80:Y80,B98:Q98,R98:Y108,Z98:AJ98,B114:T114,C123:F123,H123:I123,,J123:Q123,B134:D134)</f>
        <v>0</v>
      </c>
      <c r="B174" s="379">
        <f>SUM(CE12:CF67)</f>
        <v>0</v>
      </c>
    </row>
  </sheetData>
  <sheetProtection algorithmName="SHA-512" hashValue="G+99XNa1KCUfNJuiNmtOlPqaFuz9G25YqtnI4sQzUlEutuPStDosp58eF25n6HXbngKvEylbaDU+w/jzanNA8A==" saltValue="djSL1XrWwICSC/76SqHTGA==" spinCount="100000" sheet="1" objects="1" scenarios="1"/>
  <mergeCells count="142">
    <mergeCell ref="A95:A97"/>
    <mergeCell ref="D96:E96"/>
    <mergeCell ref="A76:A79"/>
    <mergeCell ref="B77:C77"/>
    <mergeCell ref="H77:I77"/>
    <mergeCell ref="O77:P77"/>
    <mergeCell ref="J78:J79"/>
    <mergeCell ref="D77:E77"/>
    <mergeCell ref="D78:D79"/>
    <mergeCell ref="F78:F79"/>
    <mergeCell ref="B76:I76"/>
    <mergeCell ref="F77:G77"/>
    <mergeCell ref="B96:C96"/>
    <mergeCell ref="H96:I96"/>
    <mergeCell ref="J96:K96"/>
    <mergeCell ref="M76:W76"/>
    <mergeCell ref="J77:L77"/>
    <mergeCell ref="T96:U96"/>
    <mergeCell ref="A6:Y6"/>
    <mergeCell ref="A69:A71"/>
    <mergeCell ref="B70:C70"/>
    <mergeCell ref="H70:I70"/>
    <mergeCell ref="M70:N70"/>
    <mergeCell ref="O70:P70"/>
    <mergeCell ref="D70:E70"/>
    <mergeCell ref="S70:T70"/>
    <mergeCell ref="B69:I69"/>
    <mergeCell ref="F70:G70"/>
    <mergeCell ref="J69:L69"/>
    <mergeCell ref="B9:I9"/>
    <mergeCell ref="M69:T69"/>
    <mergeCell ref="Q70:R70"/>
    <mergeCell ref="V10:W10"/>
    <mergeCell ref="J9:Q9"/>
    <mergeCell ref="A9:A11"/>
    <mergeCell ref="P10:Q10"/>
    <mergeCell ref="D10:E10"/>
    <mergeCell ref="B10:C10"/>
    <mergeCell ref="H10:I10"/>
    <mergeCell ref="J10:K10"/>
    <mergeCell ref="F10:G10"/>
    <mergeCell ref="AT10:AU10"/>
    <mergeCell ref="AK10:AK11"/>
    <mergeCell ref="D111:E111"/>
    <mergeCell ref="V78:W78"/>
    <mergeCell ref="Q78:Q79"/>
    <mergeCell ref="U78:U79"/>
    <mergeCell ref="G78:G79"/>
    <mergeCell ref="B95:I95"/>
    <mergeCell ref="O78:O79"/>
    <mergeCell ref="P78:P79"/>
    <mergeCell ref="K78:L78"/>
    <mergeCell ref="M78:M79"/>
    <mergeCell ref="N78:N79"/>
    <mergeCell ref="H78:H79"/>
    <mergeCell ref="I78:I79"/>
    <mergeCell ref="R78:R79"/>
    <mergeCell ref="M77:N77"/>
    <mergeCell ref="U77:W77"/>
    <mergeCell ref="AG10:AH10"/>
    <mergeCell ref="AN10:AO10"/>
    <mergeCell ref="AP10:AQ10"/>
    <mergeCell ref="AL10:AM10"/>
    <mergeCell ref="X76:Y77"/>
    <mergeCell ref="AI10:AJ10"/>
    <mergeCell ref="Z10:Z11"/>
    <mergeCell ref="AA10:AB10"/>
    <mergeCell ref="L10:M10"/>
    <mergeCell ref="R10:S10"/>
    <mergeCell ref="T10:U10"/>
    <mergeCell ref="X10:Y10"/>
    <mergeCell ref="AC10:AD10"/>
    <mergeCell ref="AE10:AF10"/>
    <mergeCell ref="N10:O10"/>
    <mergeCell ref="AC9:AJ9"/>
    <mergeCell ref="R9:Y9"/>
    <mergeCell ref="Z9:AB9"/>
    <mergeCell ref="A131:A133"/>
    <mergeCell ref="B131:D131"/>
    <mergeCell ref="C132:D132"/>
    <mergeCell ref="M112:N112"/>
    <mergeCell ref="O112:P112"/>
    <mergeCell ref="A110:A113"/>
    <mergeCell ref="B111:C111"/>
    <mergeCell ref="H111:I111"/>
    <mergeCell ref="A120:A121"/>
    <mergeCell ref="B120:B122"/>
    <mergeCell ref="B112:B113"/>
    <mergeCell ref="C112:C113"/>
    <mergeCell ref="H112:H113"/>
    <mergeCell ref="I112:I113"/>
    <mergeCell ref="J111:L111"/>
    <mergeCell ref="K112:L112"/>
    <mergeCell ref="A122:A123"/>
    <mergeCell ref="D112:D113"/>
    <mergeCell ref="E112:E113"/>
    <mergeCell ref="B110:L110"/>
    <mergeCell ref="F111:G111"/>
    <mergeCell ref="X96:Y96"/>
    <mergeCell ref="F112:F113"/>
    <mergeCell ref="G120:I121"/>
    <mergeCell ref="J120:Q120"/>
    <mergeCell ref="K70:L70"/>
    <mergeCell ref="Q77:R77"/>
    <mergeCell ref="E78:E79"/>
    <mergeCell ref="B78:B79"/>
    <mergeCell ref="C78:C79"/>
    <mergeCell ref="L96:M96"/>
    <mergeCell ref="R96:S96"/>
    <mergeCell ref="S77:T77"/>
    <mergeCell ref="N121:O121"/>
    <mergeCell ref="C120:F121"/>
    <mergeCell ref="J121:K121"/>
    <mergeCell ref="L121:M121"/>
    <mergeCell ref="P121:Q121"/>
    <mergeCell ref="R121:S121"/>
    <mergeCell ref="T121:U121"/>
    <mergeCell ref="R120:U120"/>
    <mergeCell ref="Z95:AB95"/>
    <mergeCell ref="G112:G113"/>
    <mergeCell ref="AN9:AU9"/>
    <mergeCell ref="AK9:AM9"/>
    <mergeCell ref="AR10:AS10"/>
    <mergeCell ref="X78:X79"/>
    <mergeCell ref="F96:G96"/>
    <mergeCell ref="P96:Q96"/>
    <mergeCell ref="S112:T112"/>
    <mergeCell ref="M110:T111"/>
    <mergeCell ref="AC95:AJ95"/>
    <mergeCell ref="AG96:AH96"/>
    <mergeCell ref="R95:Y95"/>
    <mergeCell ref="V96:W96"/>
    <mergeCell ref="J95:Q95"/>
    <mergeCell ref="N96:O96"/>
    <mergeCell ref="Y78:Y79"/>
    <mergeCell ref="S78:S79"/>
    <mergeCell ref="T78:T79"/>
    <mergeCell ref="Q112:R112"/>
    <mergeCell ref="AI96:AJ96"/>
    <mergeCell ref="AA96:AB96"/>
    <mergeCell ref="AC96:AD96"/>
    <mergeCell ref="AE96:AF96"/>
  </mergeCells>
  <dataValidations count="2">
    <dataValidation type="whole" operator="greaterThanOrEqual" allowBlank="1" showInputMessage="1" showErrorMessage="1" sqref="B115:T118 B72:T74 B99:Q108 B134:D134 Z13:AU67 B13:Q67 Z99:AJ108 B124:Q129 R124:U129" xr:uid="{0031007D-005D-4225-992D-004C00CD0067}">
      <formula1>0</formula1>
    </dataValidation>
    <dataValidation type="whole" allowBlank="1" showInputMessage="1" showErrorMessage="1" sqref="B81:Y93" xr:uid="{006700AF-0061-40D6-A1FD-004900FE008D}">
      <formula1>0</formula1>
      <formula2>9.99999999999999E+40</formula2>
    </dataValidation>
  </dataValidations>
  <pageMargins left="0.7" right="0.7" top="0.75" bottom="0.75" header="0.3" footer="0.3"/>
  <pageSetup paperSize="9" orientation="portrait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Hoja24"/>
  <dimension ref="A1:U138"/>
  <sheetViews>
    <sheetView showGridLines="0" workbookViewId="0"/>
  </sheetViews>
  <sheetFormatPr baseColWidth="10" defaultColWidth="11.42578125" defaultRowHeight="15"/>
  <cols>
    <col min="1" max="1" width="57.42578125" customWidth="1"/>
    <col min="2" max="2" width="11.28515625" customWidth="1"/>
    <col min="3" max="3" width="12.85546875" customWidth="1"/>
    <col min="4" max="4" width="14.28515625" customWidth="1"/>
    <col min="5" max="5" width="14.7109375" customWidth="1"/>
    <col min="6" max="6" width="18.42578125" customWidth="1"/>
    <col min="7" max="7" width="16.140625" customWidth="1"/>
    <col min="8" max="8" width="12" customWidth="1"/>
    <col min="9" max="9" width="11.7109375" customWidth="1"/>
    <col min="10" max="10" width="12" customWidth="1"/>
    <col min="11" max="11" width="11.7109375" customWidth="1"/>
    <col min="13" max="13" width="12.42578125" customWidth="1"/>
    <col min="15" max="15" width="12.28515625" customWidth="1"/>
    <col min="17" max="17" width="11.28515625" customWidth="1"/>
    <col min="18" max="18" width="12" customWidth="1"/>
    <col min="19" max="19" width="11.7109375" customWidth="1"/>
    <col min="21" max="21" width="12.42578125" customWidth="1"/>
    <col min="23" max="23" width="12.28515625" customWidth="1"/>
    <col min="25" max="25" width="11.28515625" customWidth="1"/>
    <col min="28" max="28" width="12.7109375" customWidth="1"/>
    <col min="73" max="96" width="11.7109375" customWidth="1"/>
  </cols>
  <sheetData>
    <row r="1" spans="1:17">
      <c r="A1" s="378" t="s">
        <v>37</v>
      </c>
    </row>
    <row r="2" spans="1:17">
      <c r="A2" s="378" t="str">
        <f>CONCATENATE("COMUNA: ",NOMBRE!B2, " (",NOMBRE!C2,NOMBRE!D2,NOMBRE!E2,NOMBRE!F2,NOMBRE!G2,")")</f>
        <v>COMUNA: MAIPU (13119)</v>
      </c>
    </row>
    <row r="3" spans="1:17">
      <c r="A3" s="378" t="str">
        <f>CONCATENATE("ESTABLECIMIENTO/ESTRATEGIA: ", NOMBRE!B3, " (",NOMBRE!C3,NOMBRE!D3,NOMBRE!E3,NOMBRE!F3,NOMBRE!G3,NOMBRE!H3,")")</f>
        <v>ESTABLECIMIENTO/ESTRATEGIA: CESFAM DR. CARLOS GODOY (111380)</v>
      </c>
    </row>
    <row r="4" spans="1:17">
      <c r="A4" s="378" t="str">
        <f>CONCATENATE("MES: ",NOMBRE!B6, " (",NOMBRE!C6,NOMBRE!D6,")")</f>
        <v>MES: MARZO (03)</v>
      </c>
    </row>
    <row r="5" spans="1:17" ht="18" customHeight="1">
      <c r="A5" s="2312" t="str">
        <f>CONCATENATE("AÑO: ",NOMBRE!B7)</f>
        <v>AÑO: 2026</v>
      </c>
    </row>
    <row r="6" spans="1:17" s="5004" customFormat="1" ht="18" customHeight="1">
      <c r="A6" s="6443" t="s">
        <v>3927</v>
      </c>
      <c r="B6" s="6443"/>
      <c r="C6" s="6443"/>
      <c r="D6" s="6443"/>
      <c r="E6" s="6443"/>
      <c r="F6" s="6443"/>
      <c r="G6" s="6443"/>
      <c r="H6" s="6443"/>
      <c r="I6" s="6443"/>
      <c r="J6" s="6443"/>
      <c r="K6" s="6443"/>
      <c r="L6" s="6443"/>
      <c r="M6" s="6443"/>
      <c r="N6" s="6443"/>
      <c r="O6" s="6443"/>
      <c r="P6" s="6443"/>
      <c r="Q6" s="6443"/>
    </row>
    <row r="7" spans="1:17" s="5004" customFormat="1" ht="18" customHeight="1">
      <c r="A7" s="7205" t="s">
        <v>3928</v>
      </c>
      <c r="B7" s="6443"/>
      <c r="C7" s="6443"/>
      <c r="D7" s="6443"/>
      <c r="E7" s="6443"/>
      <c r="F7" s="6443"/>
      <c r="G7" s="6443"/>
      <c r="H7" s="6443"/>
      <c r="I7" s="6443"/>
      <c r="J7" s="6443"/>
      <c r="K7" s="6443"/>
      <c r="L7" s="6443"/>
      <c r="M7" s="6443"/>
      <c r="N7" s="6443"/>
      <c r="O7" s="6443"/>
      <c r="P7" s="6443"/>
      <c r="Q7" s="6443"/>
    </row>
    <row r="10" spans="1:17" s="1582" customFormat="1" ht="17.100000000000001" customHeight="1">
      <c r="A10" s="2102" t="s">
        <v>3929</v>
      </c>
    </row>
    <row r="11" spans="1:17" s="1582" customFormat="1" ht="17.100000000000001" customHeight="1">
      <c r="A11" s="2102" t="s">
        <v>3930</v>
      </c>
      <c r="B11" s="2102"/>
      <c r="C11" s="2102"/>
      <c r="D11" s="2102"/>
      <c r="E11" s="2102"/>
    </row>
    <row r="12" spans="1:17" ht="36" customHeight="1">
      <c r="A12" s="5714" t="s">
        <v>3931</v>
      </c>
      <c r="B12" s="5710" t="s">
        <v>3932</v>
      </c>
      <c r="C12" s="6106"/>
      <c r="D12" s="6106"/>
      <c r="E12" s="5712"/>
      <c r="F12" s="6137" t="s">
        <v>3933</v>
      </c>
      <c r="G12" s="6137"/>
      <c r="H12" s="6137"/>
      <c r="I12" s="5710"/>
      <c r="J12" s="5710" t="s">
        <v>3934</v>
      </c>
      <c r="K12" s="6106"/>
      <c r="L12" s="6106"/>
      <c r="M12" s="5712"/>
      <c r="N12" s="5710" t="s">
        <v>3935</v>
      </c>
      <c r="O12" s="6106"/>
      <c r="P12" s="6106"/>
      <c r="Q12" s="5712"/>
    </row>
    <row r="13" spans="1:17">
      <c r="A13" s="6138"/>
      <c r="B13" s="5707" t="s">
        <v>3936</v>
      </c>
      <c r="C13" s="5709"/>
      <c r="D13" s="5707" t="s">
        <v>2491</v>
      </c>
      <c r="E13" s="5709"/>
      <c r="F13" s="5707" t="s">
        <v>3936</v>
      </c>
      <c r="G13" s="5709"/>
      <c r="H13" s="5707" t="s">
        <v>2491</v>
      </c>
      <c r="I13" s="5709"/>
      <c r="J13" s="5707" t="s">
        <v>3936</v>
      </c>
      <c r="K13" s="5709"/>
      <c r="L13" s="5707" t="s">
        <v>2491</v>
      </c>
      <c r="M13" s="5709"/>
      <c r="N13" s="5707" t="s">
        <v>3936</v>
      </c>
      <c r="O13" s="5709"/>
      <c r="P13" s="5707" t="s">
        <v>2491</v>
      </c>
      <c r="Q13" s="5709"/>
    </row>
    <row r="14" spans="1:17">
      <c r="A14" s="5715"/>
      <c r="B14" s="396" t="s">
        <v>72</v>
      </c>
      <c r="C14" s="390" t="s">
        <v>73</v>
      </c>
      <c r="D14" s="396" t="s">
        <v>72</v>
      </c>
      <c r="E14" s="390" t="s">
        <v>73</v>
      </c>
      <c r="F14" s="396" t="s">
        <v>72</v>
      </c>
      <c r="G14" s="390" t="s">
        <v>73</v>
      </c>
      <c r="H14" s="396" t="s">
        <v>72</v>
      </c>
      <c r="I14" s="389" t="s">
        <v>73</v>
      </c>
      <c r="J14" s="396" t="s">
        <v>72</v>
      </c>
      <c r="K14" s="398" t="s">
        <v>73</v>
      </c>
      <c r="L14" s="1979" t="s">
        <v>72</v>
      </c>
      <c r="M14" s="1778" t="s">
        <v>73</v>
      </c>
      <c r="N14" s="396" t="s">
        <v>72</v>
      </c>
      <c r="O14" s="390" t="s">
        <v>73</v>
      </c>
      <c r="P14" s="396" t="s">
        <v>72</v>
      </c>
      <c r="Q14" s="390" t="s">
        <v>73</v>
      </c>
    </row>
    <row r="15" spans="1:17">
      <c r="A15" s="4112" t="s">
        <v>91</v>
      </c>
      <c r="B15" s="5005">
        <f t="shared" ref="B15:Q15" si="0">SUM(B16:B27)</f>
        <v>0</v>
      </c>
      <c r="C15" s="2161">
        <f t="shared" si="0"/>
        <v>0</v>
      </c>
      <c r="D15" s="5005">
        <f t="shared" si="0"/>
        <v>0</v>
      </c>
      <c r="E15" s="2161">
        <f t="shared" si="0"/>
        <v>0</v>
      </c>
      <c r="F15" s="5005">
        <f t="shared" si="0"/>
        <v>0</v>
      </c>
      <c r="G15" s="2161">
        <f t="shared" si="0"/>
        <v>0</v>
      </c>
      <c r="H15" s="5005">
        <f t="shared" si="0"/>
        <v>0</v>
      </c>
      <c r="I15" s="2161">
        <f t="shared" si="0"/>
        <v>0</v>
      </c>
      <c r="J15" s="5005">
        <f t="shared" si="0"/>
        <v>0</v>
      </c>
      <c r="K15" s="2161">
        <f t="shared" si="0"/>
        <v>0</v>
      </c>
      <c r="L15" s="2157">
        <f t="shared" si="0"/>
        <v>0</v>
      </c>
      <c r="M15" s="2159">
        <f t="shared" si="0"/>
        <v>0</v>
      </c>
      <c r="N15" s="5005">
        <f t="shared" si="0"/>
        <v>0</v>
      </c>
      <c r="O15" s="2161">
        <f t="shared" si="0"/>
        <v>0</v>
      </c>
      <c r="P15" s="5005">
        <f t="shared" si="0"/>
        <v>0</v>
      </c>
      <c r="Q15" s="2161">
        <f t="shared" si="0"/>
        <v>0</v>
      </c>
    </row>
    <row r="16" spans="1:17">
      <c r="A16" s="4681" t="s">
        <v>1254</v>
      </c>
      <c r="B16" s="1814"/>
      <c r="C16" s="2051"/>
      <c r="D16" s="4468">
        <f t="shared" ref="D16:E27" si="1">SUM(H16+L16)</f>
        <v>0</v>
      </c>
      <c r="E16" s="1654">
        <f t="shared" si="1"/>
        <v>0</v>
      </c>
      <c r="F16" s="1869"/>
      <c r="G16" s="3023"/>
      <c r="H16" s="1440"/>
      <c r="I16" s="1443"/>
      <c r="J16" s="1869"/>
      <c r="K16" s="3023"/>
      <c r="L16" s="1652"/>
      <c r="M16" s="1676"/>
      <c r="N16" s="1869"/>
      <c r="O16" s="3023"/>
      <c r="P16" s="4974"/>
      <c r="Q16" s="4972"/>
    </row>
    <row r="17" spans="1:17">
      <c r="A17" s="4681" t="s">
        <v>1259</v>
      </c>
      <c r="B17" s="408">
        <f>SUM(F17+J17)</f>
        <v>0</v>
      </c>
      <c r="C17" s="1654">
        <f>SUM(G17+K17)</f>
        <v>0</v>
      </c>
      <c r="D17" s="1695">
        <f t="shared" si="1"/>
        <v>0</v>
      </c>
      <c r="E17" s="1654">
        <f t="shared" si="1"/>
        <v>0</v>
      </c>
      <c r="F17" s="1440"/>
      <c r="G17" s="1680"/>
      <c r="H17" s="1440"/>
      <c r="I17" s="1443"/>
      <c r="J17" s="1440"/>
      <c r="K17" s="1680"/>
      <c r="L17" s="1441"/>
      <c r="M17" s="1452"/>
      <c r="N17" s="4974"/>
      <c r="O17" s="4972"/>
      <c r="P17" s="4974"/>
      <c r="Q17" s="4972"/>
    </row>
    <row r="18" spans="1:17">
      <c r="A18" s="4681" t="s">
        <v>1262</v>
      </c>
      <c r="B18" s="1869"/>
      <c r="C18" s="3023"/>
      <c r="D18" s="1695">
        <f t="shared" si="1"/>
        <v>0</v>
      </c>
      <c r="E18" s="1654">
        <f t="shared" si="1"/>
        <v>0</v>
      </c>
      <c r="F18" s="1869"/>
      <c r="G18" s="3023"/>
      <c r="H18" s="1440"/>
      <c r="I18" s="1443"/>
      <c r="J18" s="1869"/>
      <c r="K18" s="3023"/>
      <c r="L18" s="1441"/>
      <c r="M18" s="1680"/>
      <c r="N18" s="1869"/>
      <c r="O18" s="3023"/>
      <c r="P18" s="4974"/>
      <c r="Q18" s="4972"/>
    </row>
    <row r="19" spans="1:17">
      <c r="A19" s="4681" t="s">
        <v>1290</v>
      </c>
      <c r="B19" s="408">
        <f t="shared" ref="B19:C27" si="2">SUM(F19+J19)</f>
        <v>0</v>
      </c>
      <c r="C19" s="1654">
        <f t="shared" ref="C19:C20" si="3">SUM(G19+K19)</f>
        <v>0</v>
      </c>
      <c r="D19" s="1695">
        <f t="shared" si="1"/>
        <v>0</v>
      </c>
      <c r="E19" s="1654">
        <f t="shared" si="1"/>
        <v>0</v>
      </c>
      <c r="F19" s="1440"/>
      <c r="G19" s="1680"/>
      <c r="H19" s="1440"/>
      <c r="I19" s="1443"/>
      <c r="J19" s="1440"/>
      <c r="K19" s="1680"/>
      <c r="L19" s="1441"/>
      <c r="M19" s="1680"/>
      <c r="N19" s="4974"/>
      <c r="O19" s="4972"/>
      <c r="P19" s="4970"/>
      <c r="Q19" s="4968"/>
    </row>
    <row r="20" spans="1:17">
      <c r="A20" s="4681" t="s">
        <v>3266</v>
      </c>
      <c r="B20" s="408">
        <f t="shared" si="2"/>
        <v>0</v>
      </c>
      <c r="C20" s="1654">
        <f t="shared" si="3"/>
        <v>0</v>
      </c>
      <c r="D20" s="1695">
        <f t="shared" si="1"/>
        <v>0</v>
      </c>
      <c r="E20" s="1654">
        <f t="shared" si="1"/>
        <v>0</v>
      </c>
      <c r="F20" s="1517"/>
      <c r="G20" s="1821"/>
      <c r="H20" s="1440"/>
      <c r="I20" s="1443"/>
      <c r="J20" s="1517"/>
      <c r="K20" s="1821"/>
      <c r="L20" s="1447"/>
      <c r="M20" s="1680"/>
      <c r="N20" s="4974"/>
      <c r="O20" s="4972"/>
      <c r="P20" s="4970"/>
      <c r="Q20" s="4968"/>
    </row>
    <row r="21" spans="1:17">
      <c r="A21" s="4681" t="s">
        <v>1257</v>
      </c>
      <c r="B21" s="1869"/>
      <c r="C21" s="3023"/>
      <c r="D21" s="1695">
        <f t="shared" si="1"/>
        <v>0</v>
      </c>
      <c r="E21" s="1654">
        <f t="shared" si="1"/>
        <v>0</v>
      </c>
      <c r="F21" s="1818"/>
      <c r="G21" s="2073"/>
      <c r="H21" s="1440"/>
      <c r="I21" s="1443"/>
      <c r="J21" s="1818"/>
      <c r="K21" s="2073"/>
      <c r="L21" s="1441"/>
      <c r="M21" s="1680"/>
      <c r="N21" s="1872"/>
      <c r="O21" s="3196"/>
      <c r="P21" s="4970"/>
      <c r="Q21" s="4968"/>
    </row>
    <row r="22" spans="1:17">
      <c r="A22" s="4685" t="s">
        <v>3937</v>
      </c>
      <c r="B22" s="1869"/>
      <c r="C22" s="3023"/>
      <c r="D22" s="1695">
        <f t="shared" si="1"/>
        <v>0</v>
      </c>
      <c r="E22" s="1654">
        <f t="shared" si="1"/>
        <v>0</v>
      </c>
      <c r="F22" s="1818"/>
      <c r="G22" s="2073"/>
      <c r="H22" s="1440"/>
      <c r="I22" s="1443"/>
      <c r="J22" s="1818"/>
      <c r="K22" s="2073"/>
      <c r="L22" s="1441"/>
      <c r="M22" s="1452"/>
      <c r="N22" s="1872"/>
      <c r="O22" s="3196"/>
      <c r="P22" s="4970"/>
      <c r="Q22" s="4968"/>
    </row>
    <row r="23" spans="1:17">
      <c r="A23" s="4685" t="s">
        <v>3938</v>
      </c>
      <c r="B23" s="408">
        <f t="shared" si="2"/>
        <v>0</v>
      </c>
      <c r="C23" s="1654">
        <f t="shared" si="2"/>
        <v>0</v>
      </c>
      <c r="D23" s="408">
        <f t="shared" si="1"/>
        <v>0</v>
      </c>
      <c r="E23" s="1654">
        <f t="shared" si="1"/>
        <v>0</v>
      </c>
      <c r="F23" s="1440"/>
      <c r="G23" s="1680"/>
      <c r="H23" s="1440"/>
      <c r="I23" s="1443"/>
      <c r="J23" s="1440"/>
      <c r="K23" s="1680"/>
      <c r="L23" s="1441"/>
      <c r="M23" s="1680"/>
      <c r="N23" s="4970"/>
      <c r="O23" s="4968"/>
      <c r="P23" s="4974"/>
      <c r="Q23" s="4972"/>
    </row>
    <row r="24" spans="1:17">
      <c r="A24" s="4681" t="s">
        <v>3939</v>
      </c>
      <c r="B24" s="408">
        <f t="shared" si="2"/>
        <v>0</v>
      </c>
      <c r="C24" s="1654">
        <f t="shared" si="2"/>
        <v>0</v>
      </c>
      <c r="D24" s="408">
        <f t="shared" si="1"/>
        <v>0</v>
      </c>
      <c r="E24" s="1654">
        <f t="shared" si="1"/>
        <v>0</v>
      </c>
      <c r="F24" s="1440"/>
      <c r="G24" s="1680"/>
      <c r="H24" s="5006"/>
      <c r="I24" s="5007"/>
      <c r="J24" s="5008"/>
      <c r="K24" s="5009"/>
      <c r="L24" s="5008"/>
      <c r="M24" s="5009"/>
      <c r="N24" s="4974"/>
      <c r="O24" s="4972"/>
      <c r="P24" s="5010"/>
      <c r="Q24" s="5011"/>
    </row>
    <row r="25" spans="1:17">
      <c r="A25" s="4685" t="s">
        <v>1286</v>
      </c>
      <c r="B25" s="408">
        <f t="shared" si="2"/>
        <v>0</v>
      </c>
      <c r="C25" s="1654">
        <f t="shared" si="2"/>
        <v>0</v>
      </c>
      <c r="D25" s="408">
        <f t="shared" si="1"/>
        <v>0</v>
      </c>
      <c r="E25" s="1654">
        <f t="shared" si="1"/>
        <v>0</v>
      </c>
      <c r="F25" s="1440"/>
      <c r="G25" s="1680"/>
      <c r="H25" s="5008"/>
      <c r="I25" s="5009"/>
      <c r="J25" s="5006"/>
      <c r="K25" s="5007"/>
      <c r="L25" s="5012"/>
      <c r="M25" s="5013"/>
      <c r="N25" s="4974"/>
      <c r="O25" s="4972"/>
      <c r="P25" s="5014"/>
      <c r="Q25" s="4968"/>
    </row>
    <row r="26" spans="1:17">
      <c r="A26" s="4685" t="s">
        <v>2495</v>
      </c>
      <c r="B26" s="408">
        <f t="shared" si="2"/>
        <v>0</v>
      </c>
      <c r="C26" s="1654">
        <f t="shared" si="2"/>
        <v>0</v>
      </c>
      <c r="D26" s="1695">
        <f t="shared" si="1"/>
        <v>0</v>
      </c>
      <c r="E26" s="1654">
        <f t="shared" si="1"/>
        <v>0</v>
      </c>
      <c r="F26" s="1440"/>
      <c r="G26" s="1680"/>
      <c r="H26" s="5012"/>
      <c r="I26" s="5013"/>
      <c r="J26" s="1440"/>
      <c r="K26" s="1680"/>
      <c r="L26" s="5012"/>
      <c r="M26" s="5013"/>
      <c r="N26" s="5015"/>
      <c r="O26" s="5016"/>
      <c r="P26" s="5014"/>
      <c r="Q26" s="5017"/>
    </row>
    <row r="27" spans="1:17">
      <c r="A27" s="4685" t="s">
        <v>3940</v>
      </c>
      <c r="B27" s="1695">
        <f t="shared" si="2"/>
        <v>0</v>
      </c>
      <c r="C27" s="1697">
        <f t="shared" si="2"/>
        <v>0</v>
      </c>
      <c r="D27" s="1695">
        <f t="shared" si="1"/>
        <v>0</v>
      </c>
      <c r="E27" s="1697">
        <f t="shared" si="1"/>
        <v>0</v>
      </c>
      <c r="F27" s="5006"/>
      <c r="G27" s="5018"/>
      <c r="H27" s="5019"/>
      <c r="I27" s="5018"/>
      <c r="J27" s="5019"/>
      <c r="K27" s="5018"/>
      <c r="L27" s="5019"/>
      <c r="M27" s="5018"/>
      <c r="N27" s="5020"/>
      <c r="O27" s="5021"/>
      <c r="P27" s="5020"/>
      <c r="Q27" s="5021"/>
    </row>
    <row r="28" spans="1:17" s="385" customFormat="1" ht="18" customHeight="1">
      <c r="A28" s="7204" t="s">
        <v>3941</v>
      </c>
      <c r="B28" s="5717"/>
      <c r="C28" s="5717"/>
      <c r="D28" s="5717"/>
      <c r="E28" s="5717"/>
      <c r="F28" s="5717"/>
      <c r="G28" s="2288"/>
      <c r="H28" s="1582"/>
      <c r="I28" s="1582"/>
      <c r="J28" s="1582"/>
      <c r="K28" s="1582"/>
      <c r="L28" s="1582"/>
      <c r="M28" s="1582"/>
      <c r="N28" s="1582"/>
      <c r="O28" s="1582"/>
      <c r="P28" s="1582"/>
      <c r="Q28" s="1582"/>
    </row>
    <row r="29" spans="1:17" ht="24.75" customHeight="1">
      <c r="A29" s="5718" t="s">
        <v>3931</v>
      </c>
      <c r="B29" s="6137" t="s">
        <v>3942</v>
      </c>
      <c r="C29" s="6137"/>
      <c r="D29" s="6137"/>
      <c r="E29" s="6137"/>
      <c r="F29" s="6137" t="s">
        <v>3943</v>
      </c>
      <c r="G29" s="6137"/>
      <c r="H29" s="6137"/>
      <c r="I29" s="6137"/>
      <c r="J29" s="6137" t="s">
        <v>3944</v>
      </c>
      <c r="K29" s="6137"/>
      <c r="L29" s="6137"/>
      <c r="M29" s="6137"/>
      <c r="N29" s="5710" t="s">
        <v>3945</v>
      </c>
      <c r="O29" s="6106"/>
      <c r="P29" s="6106"/>
      <c r="Q29" s="5712"/>
    </row>
    <row r="30" spans="1:17">
      <c r="A30" s="6110"/>
      <c r="B30" s="5707" t="s">
        <v>3936</v>
      </c>
      <c r="C30" s="5709"/>
      <c r="D30" s="5707" t="s">
        <v>2491</v>
      </c>
      <c r="E30" s="5709"/>
      <c r="F30" s="5707" t="s">
        <v>3936</v>
      </c>
      <c r="G30" s="5709"/>
      <c r="H30" s="5707" t="s">
        <v>2491</v>
      </c>
      <c r="I30" s="5709"/>
      <c r="J30" s="5707" t="s">
        <v>3936</v>
      </c>
      <c r="K30" s="5709"/>
      <c r="L30" s="5707" t="s">
        <v>2491</v>
      </c>
      <c r="M30" s="5709"/>
      <c r="N30" s="5707" t="s">
        <v>3936</v>
      </c>
      <c r="O30" s="5709"/>
      <c r="P30" s="5707" t="s">
        <v>2491</v>
      </c>
      <c r="Q30" s="5709"/>
    </row>
    <row r="31" spans="1:17">
      <c r="A31" s="5719"/>
      <c r="B31" s="396" t="s">
        <v>72</v>
      </c>
      <c r="C31" s="390" t="s">
        <v>73</v>
      </c>
      <c r="D31" s="396" t="s">
        <v>72</v>
      </c>
      <c r="E31" s="390" t="s">
        <v>73</v>
      </c>
      <c r="F31" s="396" t="s">
        <v>72</v>
      </c>
      <c r="G31" s="390" t="s">
        <v>73</v>
      </c>
      <c r="H31" s="396" t="s">
        <v>72</v>
      </c>
      <c r="I31" s="390" t="s">
        <v>73</v>
      </c>
      <c r="J31" s="396" t="s">
        <v>72</v>
      </c>
      <c r="K31" s="390" t="s">
        <v>73</v>
      </c>
      <c r="L31" s="396" t="s">
        <v>72</v>
      </c>
      <c r="M31" s="390" t="s">
        <v>73</v>
      </c>
      <c r="N31" s="396" t="s">
        <v>72</v>
      </c>
      <c r="O31" s="390" t="s">
        <v>73</v>
      </c>
      <c r="P31" s="396" t="s">
        <v>72</v>
      </c>
      <c r="Q31" s="390" t="s">
        <v>73</v>
      </c>
    </row>
    <row r="32" spans="1:17">
      <c r="A32" s="400" t="s">
        <v>91</v>
      </c>
      <c r="B32" s="2157">
        <f>SUM(B33+B36+B38+B39+B40)</f>
        <v>0</v>
      </c>
      <c r="C32" s="2158">
        <f>SUM(C33+C36+C38+C39+C40)</f>
        <v>0</v>
      </c>
      <c r="D32" s="2157">
        <f>SUM(D33:D40)</f>
        <v>0</v>
      </c>
      <c r="E32" s="2158">
        <f>SUM(E33:E40)</f>
        <v>0</v>
      </c>
      <c r="F32" s="2157">
        <f>SUM(F33+F36+F38+F39+F40+F41+F42+F43)</f>
        <v>0</v>
      </c>
      <c r="G32" s="2159">
        <f>SUM(G33+G36+G38+G39+G40+G41+G42+G43)</f>
        <v>0</v>
      </c>
      <c r="H32" s="2157">
        <f>SUM(H33:H43)</f>
        <v>0</v>
      </c>
      <c r="I32" s="2159">
        <f>SUM(I33:I43)</f>
        <v>0</v>
      </c>
      <c r="J32" s="2157">
        <f>SUM(J33+J36+J38+J39+J40+J41+J42+J43)</f>
        <v>0</v>
      </c>
      <c r="K32" s="2159">
        <f>SUM(K33+K36+K38+K39+K40+K41+K42+K43)</f>
        <v>0</v>
      </c>
      <c r="L32" s="2157">
        <f>SUM(L33:L43)</f>
        <v>0</v>
      </c>
      <c r="M32" s="2159">
        <f>SUM(M33:M43)</f>
        <v>0</v>
      </c>
      <c r="N32" s="2157">
        <f>SUM(N33+N36+N38+N39+N40+N41+N42+N43)</f>
        <v>0</v>
      </c>
      <c r="O32" s="2159">
        <f>SUM(O33+O36+O38+O39+O40+O41+O42+O43)</f>
        <v>0</v>
      </c>
      <c r="P32" s="2157">
        <f>SUM(P33:P43)</f>
        <v>0</v>
      </c>
      <c r="Q32" s="2158">
        <f>SUM(Q33:Q43)</f>
        <v>0</v>
      </c>
    </row>
    <row r="33" spans="1:21">
      <c r="A33" s="4725" t="s">
        <v>1259</v>
      </c>
      <c r="B33" s="5022">
        <f>SUM(F33+J33)</f>
        <v>0</v>
      </c>
      <c r="C33" s="5023">
        <f>SUM(G33+K33)</f>
        <v>0</v>
      </c>
      <c r="D33" s="5022">
        <f t="shared" ref="D33:E43" si="4">SUM(H33+L33)</f>
        <v>0</v>
      </c>
      <c r="E33" s="5023">
        <f>SUM(I33+M33)</f>
        <v>0</v>
      </c>
      <c r="F33" s="1424"/>
      <c r="G33" s="1676"/>
      <c r="H33" s="1424"/>
      <c r="I33" s="1676"/>
      <c r="J33" s="1424"/>
      <c r="K33" s="1676"/>
      <c r="L33" s="1424"/>
      <c r="M33" s="1676"/>
      <c r="N33" s="4965"/>
      <c r="O33" s="4963"/>
      <c r="P33" s="4965"/>
      <c r="Q33" s="4963"/>
    </row>
    <row r="34" spans="1:21">
      <c r="A34" s="4681" t="s">
        <v>1288</v>
      </c>
      <c r="B34" s="1869"/>
      <c r="C34" s="3023"/>
      <c r="D34" s="5024">
        <f t="shared" si="4"/>
        <v>0</v>
      </c>
      <c r="E34" s="5025">
        <f t="shared" si="4"/>
        <v>0</v>
      </c>
      <c r="F34" s="1869"/>
      <c r="G34" s="3023"/>
      <c r="H34" s="1440"/>
      <c r="I34" s="1680"/>
      <c r="J34" s="1869"/>
      <c r="K34" s="3023"/>
      <c r="L34" s="1440"/>
      <c r="M34" s="1680"/>
      <c r="N34" s="1869"/>
      <c r="O34" s="3023"/>
      <c r="P34" s="4974"/>
      <c r="Q34" s="4972"/>
    </row>
    <row r="35" spans="1:21">
      <c r="A35" s="4681" t="s">
        <v>3266</v>
      </c>
      <c r="B35" s="5024">
        <f t="shared" ref="B35:C43" si="5">SUM(F35+J35)</f>
        <v>0</v>
      </c>
      <c r="C35" s="5025">
        <f t="shared" si="5"/>
        <v>0</v>
      </c>
      <c r="D35" s="5024">
        <f t="shared" si="4"/>
        <v>0</v>
      </c>
      <c r="E35" s="5025">
        <f t="shared" si="4"/>
        <v>0</v>
      </c>
      <c r="F35" s="1440"/>
      <c r="G35" s="1680"/>
      <c r="H35" s="1440"/>
      <c r="I35" s="1680"/>
      <c r="J35" s="1440"/>
      <c r="K35" s="1680"/>
      <c r="L35" s="1440"/>
      <c r="M35" s="1680"/>
      <c r="N35" s="4974"/>
      <c r="O35" s="4972"/>
      <c r="P35" s="4974"/>
      <c r="Q35" s="4972"/>
    </row>
    <row r="36" spans="1:21">
      <c r="A36" s="4681" t="s">
        <v>1286</v>
      </c>
      <c r="B36" s="5024">
        <f t="shared" si="5"/>
        <v>0</v>
      </c>
      <c r="C36" s="5025">
        <f>SUM(G36+K36)</f>
        <v>0</v>
      </c>
      <c r="D36" s="5024">
        <f t="shared" si="4"/>
        <v>0</v>
      </c>
      <c r="E36" s="5025">
        <f t="shared" si="4"/>
        <v>0</v>
      </c>
      <c r="F36" s="1440"/>
      <c r="G36" s="1680"/>
      <c r="H36" s="1440"/>
      <c r="I36" s="1680"/>
      <c r="J36" s="1440"/>
      <c r="K36" s="1680"/>
      <c r="L36" s="1440"/>
      <c r="M36" s="1680"/>
      <c r="N36" s="4974"/>
      <c r="O36" s="4972"/>
      <c r="P36" s="4974"/>
      <c r="Q36" s="4972"/>
    </row>
    <row r="37" spans="1:21">
      <c r="A37" s="4681" t="s">
        <v>1240</v>
      </c>
      <c r="B37" s="1869"/>
      <c r="C37" s="3023"/>
      <c r="D37" s="5024">
        <f t="shared" si="4"/>
        <v>0</v>
      </c>
      <c r="E37" s="5025">
        <f t="shared" si="4"/>
        <v>0</v>
      </c>
      <c r="F37" s="1869"/>
      <c r="G37" s="3023"/>
      <c r="H37" s="1440"/>
      <c r="I37" s="1680"/>
      <c r="J37" s="1869"/>
      <c r="K37" s="3023"/>
      <c r="L37" s="1440"/>
      <c r="M37" s="1680"/>
      <c r="N37" s="1869"/>
      <c r="O37" s="3023"/>
      <c r="P37" s="4974"/>
      <c r="Q37" s="4972"/>
    </row>
    <row r="38" spans="1:21">
      <c r="A38" s="4681" t="s">
        <v>3946</v>
      </c>
      <c r="B38" s="5024">
        <f t="shared" si="5"/>
        <v>0</v>
      </c>
      <c r="C38" s="5025">
        <f t="shared" si="5"/>
        <v>0</v>
      </c>
      <c r="D38" s="5024">
        <f t="shared" si="4"/>
        <v>0</v>
      </c>
      <c r="E38" s="5025">
        <f t="shared" si="4"/>
        <v>0</v>
      </c>
      <c r="F38" s="1517"/>
      <c r="G38" s="1821"/>
      <c r="H38" s="1517"/>
      <c r="I38" s="1821"/>
      <c r="J38" s="1517"/>
      <c r="K38" s="1821"/>
      <c r="L38" s="1517"/>
      <c r="M38" s="1821"/>
      <c r="N38" s="4970"/>
      <c r="O38" s="4972"/>
      <c r="P38" s="4974"/>
      <c r="Q38" s="4968"/>
    </row>
    <row r="39" spans="1:21">
      <c r="A39" s="4681" t="s">
        <v>3939</v>
      </c>
      <c r="B39" s="5024">
        <f t="shared" si="5"/>
        <v>0</v>
      </c>
      <c r="C39" s="5025">
        <f t="shared" si="5"/>
        <v>0</v>
      </c>
      <c r="D39" s="5024">
        <f t="shared" si="4"/>
        <v>0</v>
      </c>
      <c r="E39" s="5025">
        <f t="shared" si="4"/>
        <v>0</v>
      </c>
      <c r="F39" s="1485"/>
      <c r="G39" s="1824"/>
      <c r="H39" s="1485"/>
      <c r="I39" s="1824"/>
      <c r="J39" s="1485"/>
      <c r="K39" s="1824"/>
      <c r="L39" s="1485"/>
      <c r="M39" s="1824"/>
      <c r="N39" s="4970"/>
      <c r="O39" s="4972"/>
      <c r="P39" s="4974"/>
      <c r="Q39" s="4972"/>
    </row>
    <row r="40" spans="1:21">
      <c r="A40" s="4681" t="s">
        <v>2495</v>
      </c>
      <c r="B40" s="5024">
        <f t="shared" si="5"/>
        <v>0</v>
      </c>
      <c r="C40" s="5025">
        <f t="shared" si="5"/>
        <v>0</v>
      </c>
      <c r="D40" s="5024">
        <f t="shared" si="4"/>
        <v>0</v>
      </c>
      <c r="E40" s="5025">
        <f t="shared" si="4"/>
        <v>0</v>
      </c>
      <c r="F40" s="1485"/>
      <c r="G40" s="1824"/>
      <c r="H40" s="1485"/>
      <c r="I40" s="1824"/>
      <c r="J40" s="1485"/>
      <c r="K40" s="1824"/>
      <c r="L40" s="1485"/>
      <c r="M40" s="1824"/>
      <c r="N40" s="4970"/>
      <c r="O40" s="4972"/>
      <c r="P40" s="5026"/>
      <c r="Q40" s="4972"/>
    </row>
    <row r="41" spans="1:21">
      <c r="A41" s="4681" t="s">
        <v>1244</v>
      </c>
      <c r="B41" s="5024">
        <f t="shared" si="5"/>
        <v>0</v>
      </c>
      <c r="C41" s="5025">
        <f t="shared" si="5"/>
        <v>0</v>
      </c>
      <c r="D41" s="5024">
        <f t="shared" si="4"/>
        <v>0</v>
      </c>
      <c r="E41" s="5025">
        <f t="shared" si="4"/>
        <v>0</v>
      </c>
      <c r="F41" s="1485"/>
      <c r="G41" s="1692"/>
      <c r="H41" s="1485"/>
      <c r="I41" s="1824"/>
      <c r="J41" s="1826"/>
      <c r="K41" s="1824"/>
      <c r="L41" s="1485"/>
      <c r="M41" s="1824"/>
      <c r="N41" s="4969"/>
      <c r="O41" s="4972"/>
      <c r="P41" s="4974"/>
      <c r="Q41" s="4972"/>
    </row>
    <row r="42" spans="1:21">
      <c r="A42" s="4681" t="s">
        <v>3937</v>
      </c>
      <c r="B42" s="5024">
        <f t="shared" si="5"/>
        <v>0</v>
      </c>
      <c r="C42" s="5025">
        <f t="shared" si="5"/>
        <v>0</v>
      </c>
      <c r="D42" s="5024">
        <f t="shared" si="4"/>
        <v>0</v>
      </c>
      <c r="E42" s="5025">
        <f t="shared" si="4"/>
        <v>0</v>
      </c>
      <c r="F42" s="1440"/>
      <c r="G42" s="1452"/>
      <c r="H42" s="1440"/>
      <c r="I42" s="1680"/>
      <c r="J42" s="1441"/>
      <c r="K42" s="1680"/>
      <c r="L42" s="1440"/>
      <c r="M42" s="1680"/>
      <c r="N42" s="4969"/>
      <c r="O42" s="4972"/>
      <c r="P42" s="5026"/>
      <c r="Q42" s="4972"/>
    </row>
    <row r="43" spans="1:21">
      <c r="A43" s="3917" t="s">
        <v>3947</v>
      </c>
      <c r="B43" s="5027">
        <f t="shared" si="5"/>
        <v>0</v>
      </c>
      <c r="C43" s="5028">
        <f t="shared" si="5"/>
        <v>0</v>
      </c>
      <c r="D43" s="5027">
        <f t="shared" si="4"/>
        <v>0</v>
      </c>
      <c r="E43" s="5028">
        <f t="shared" si="4"/>
        <v>0</v>
      </c>
      <c r="F43" s="1528"/>
      <c r="G43" s="1534"/>
      <c r="H43" s="1528"/>
      <c r="I43" s="1801"/>
      <c r="J43" s="1552"/>
      <c r="K43" s="1801"/>
      <c r="L43" s="1528"/>
      <c r="M43" s="1801"/>
      <c r="N43" s="5029"/>
      <c r="O43" s="5030"/>
      <c r="P43" s="4979"/>
      <c r="Q43" s="4977"/>
    </row>
    <row r="44" spans="1:21" s="385" customFormat="1" ht="17.100000000000001" customHeight="1">
      <c r="A44" s="2162" t="s">
        <v>3948</v>
      </c>
      <c r="B44" s="1493"/>
      <c r="C44" s="1493"/>
      <c r="D44" s="1493"/>
      <c r="E44" s="1493"/>
      <c r="F44" s="1582"/>
      <c r="G44" s="1582"/>
      <c r="H44" s="1582"/>
      <c r="I44" s="1582"/>
      <c r="J44" s="2170"/>
      <c r="K44" s="2170"/>
      <c r="L44" s="2170"/>
      <c r="M44" s="2170"/>
      <c r="N44" s="2170"/>
      <c r="O44" s="2170"/>
      <c r="P44" s="2170"/>
      <c r="Q44" s="2170"/>
      <c r="R44" s="2170"/>
      <c r="S44" s="2170"/>
      <c r="T44" s="2170"/>
      <c r="U44" s="2170"/>
    </row>
    <row r="45" spans="1:21" ht="22.5" customHeight="1">
      <c r="A45" s="7206" t="s">
        <v>3949</v>
      </c>
      <c r="B45" s="6137" t="s">
        <v>3950</v>
      </c>
      <c r="C45" s="6137"/>
      <c r="D45" s="6137"/>
      <c r="E45" s="6137"/>
      <c r="F45" s="6137" t="s">
        <v>3951</v>
      </c>
      <c r="G45" s="6137"/>
      <c r="H45" s="6137"/>
      <c r="I45" s="6137"/>
      <c r="J45" s="6137" t="s">
        <v>3952</v>
      </c>
      <c r="K45" s="6137"/>
      <c r="L45" s="6137"/>
      <c r="M45" s="5710"/>
      <c r="N45" s="6137" t="s">
        <v>3953</v>
      </c>
      <c r="O45" s="6137"/>
      <c r="P45" s="6137"/>
      <c r="Q45" s="6137"/>
      <c r="R45" s="5712" t="s">
        <v>3954</v>
      </c>
      <c r="S45" s="6137"/>
      <c r="T45" s="6137"/>
      <c r="U45" s="6137"/>
    </row>
    <row r="46" spans="1:21">
      <c r="A46" s="7206"/>
      <c r="B46" s="5707" t="s">
        <v>3936</v>
      </c>
      <c r="C46" s="5709"/>
      <c r="D46" s="5707" t="s">
        <v>2491</v>
      </c>
      <c r="E46" s="5709"/>
      <c r="F46" s="5707" t="s">
        <v>3936</v>
      </c>
      <c r="G46" s="5709"/>
      <c r="H46" s="5707" t="s">
        <v>2491</v>
      </c>
      <c r="I46" s="5709"/>
      <c r="J46" s="5707" t="s">
        <v>3936</v>
      </c>
      <c r="K46" s="5709"/>
      <c r="L46" s="5707" t="s">
        <v>2491</v>
      </c>
      <c r="M46" s="5709"/>
      <c r="N46" s="5707" t="s">
        <v>3936</v>
      </c>
      <c r="O46" s="5709"/>
      <c r="P46" s="5707" t="s">
        <v>2491</v>
      </c>
      <c r="Q46" s="5709"/>
      <c r="R46" s="5707" t="s">
        <v>3936</v>
      </c>
      <c r="S46" s="5709"/>
      <c r="T46" s="5707" t="s">
        <v>2491</v>
      </c>
      <c r="U46" s="5709"/>
    </row>
    <row r="47" spans="1:21">
      <c r="A47" s="7206"/>
      <c r="B47" s="396" t="s">
        <v>72</v>
      </c>
      <c r="C47" s="390" t="s">
        <v>73</v>
      </c>
      <c r="D47" s="396" t="s">
        <v>72</v>
      </c>
      <c r="E47" s="390" t="s">
        <v>73</v>
      </c>
      <c r="F47" s="396" t="s">
        <v>72</v>
      </c>
      <c r="G47" s="390" t="s">
        <v>73</v>
      </c>
      <c r="H47" s="396" t="s">
        <v>72</v>
      </c>
      <c r="I47" s="390" t="s">
        <v>73</v>
      </c>
      <c r="J47" s="396" t="s">
        <v>72</v>
      </c>
      <c r="K47" s="390" t="s">
        <v>73</v>
      </c>
      <c r="L47" s="396" t="s">
        <v>72</v>
      </c>
      <c r="M47" s="389" t="s">
        <v>73</v>
      </c>
      <c r="N47" s="396" t="s">
        <v>72</v>
      </c>
      <c r="O47" s="390" t="s">
        <v>73</v>
      </c>
      <c r="P47" s="396" t="s">
        <v>72</v>
      </c>
      <c r="Q47" s="390" t="s">
        <v>73</v>
      </c>
      <c r="R47" s="397" t="s">
        <v>72</v>
      </c>
      <c r="S47" s="390" t="s">
        <v>73</v>
      </c>
      <c r="T47" s="396" t="s">
        <v>72</v>
      </c>
      <c r="U47" s="390" t="s">
        <v>73</v>
      </c>
    </row>
    <row r="48" spans="1:21">
      <c r="A48" s="5031" t="s">
        <v>91</v>
      </c>
      <c r="B48" s="401">
        <f t="shared" ref="B48:M48" si="6">SUM(B49:B52)</f>
        <v>0</v>
      </c>
      <c r="C48" s="392">
        <f t="shared" si="6"/>
        <v>0</v>
      </c>
      <c r="D48" s="402">
        <f t="shared" si="6"/>
        <v>0</v>
      </c>
      <c r="E48" s="392">
        <f t="shared" si="6"/>
        <v>0</v>
      </c>
      <c r="F48" s="401">
        <f t="shared" si="6"/>
        <v>0</v>
      </c>
      <c r="G48" s="402">
        <f t="shared" si="6"/>
        <v>0</v>
      </c>
      <c r="H48" s="401">
        <f t="shared" si="6"/>
        <v>0</v>
      </c>
      <c r="I48" s="402">
        <f t="shared" si="6"/>
        <v>0</v>
      </c>
      <c r="J48" s="401">
        <f t="shared" si="6"/>
        <v>0</v>
      </c>
      <c r="K48" s="402">
        <f t="shared" si="6"/>
        <v>0</v>
      </c>
      <c r="L48" s="401">
        <f t="shared" si="6"/>
        <v>0</v>
      </c>
      <c r="M48" s="404">
        <f t="shared" si="6"/>
        <v>0</v>
      </c>
      <c r="N48" s="401">
        <f>SUM(N49)</f>
        <v>0</v>
      </c>
      <c r="O48" s="392">
        <f>SUM(O49)</f>
        <v>0</v>
      </c>
      <c r="P48" s="402">
        <f>SUM(P49)</f>
        <v>0</v>
      </c>
      <c r="Q48" s="403">
        <f>SUM(Q49)</f>
        <v>0</v>
      </c>
      <c r="R48" s="402">
        <f t="shared" ref="R48:U48" si="7">SUM(R49:R52)</f>
        <v>0</v>
      </c>
      <c r="S48" s="392">
        <f t="shared" si="7"/>
        <v>0</v>
      </c>
      <c r="T48" s="401">
        <f t="shared" si="7"/>
        <v>0</v>
      </c>
      <c r="U48" s="392">
        <f t="shared" si="7"/>
        <v>0</v>
      </c>
    </row>
    <row r="49" spans="1:21">
      <c r="A49" s="2056" t="s">
        <v>3955</v>
      </c>
      <c r="B49" s="447">
        <f t="shared" ref="B49:E52" si="8">SUM(F49+J49)</f>
        <v>0</v>
      </c>
      <c r="C49" s="410">
        <f t="shared" si="8"/>
        <v>0</v>
      </c>
      <c r="D49" s="447">
        <f t="shared" si="8"/>
        <v>0</v>
      </c>
      <c r="E49" s="410">
        <f t="shared" si="8"/>
        <v>0</v>
      </c>
      <c r="F49" s="1425"/>
      <c r="G49" s="1676"/>
      <c r="H49" s="1424"/>
      <c r="I49" s="1676"/>
      <c r="J49" s="1424"/>
      <c r="K49" s="1676"/>
      <c r="L49" s="1424"/>
      <c r="M49" s="1427"/>
      <c r="N49" s="1424"/>
      <c r="O49" s="1676"/>
      <c r="P49" s="1424"/>
      <c r="Q49" s="1676"/>
      <c r="R49" s="1425"/>
      <c r="S49" s="1676"/>
      <c r="T49" s="1424"/>
      <c r="U49" s="1676"/>
    </row>
    <row r="50" spans="1:21">
      <c r="A50" s="2057" t="s">
        <v>3956</v>
      </c>
      <c r="B50" s="1687">
        <f t="shared" si="8"/>
        <v>0</v>
      </c>
      <c r="C50" s="1728">
        <f t="shared" si="8"/>
        <v>0</v>
      </c>
      <c r="D50" s="1687">
        <f t="shared" si="8"/>
        <v>0</v>
      </c>
      <c r="E50" s="1728">
        <f t="shared" si="8"/>
        <v>0</v>
      </c>
      <c r="F50" s="1441"/>
      <c r="G50" s="1680"/>
      <c r="H50" s="1440"/>
      <c r="I50" s="1680"/>
      <c r="J50" s="1440"/>
      <c r="K50" s="1680"/>
      <c r="L50" s="1440"/>
      <c r="M50" s="1443"/>
      <c r="N50" s="1869"/>
      <c r="O50" s="1870"/>
      <c r="P50" s="1869"/>
      <c r="Q50" s="1870"/>
      <c r="R50" s="1441"/>
      <c r="S50" s="1680"/>
      <c r="T50" s="1440"/>
      <c r="U50" s="1680"/>
    </row>
    <row r="51" spans="1:21">
      <c r="A51" s="2057" t="s">
        <v>3957</v>
      </c>
      <c r="B51" s="1687">
        <f t="shared" si="8"/>
        <v>0</v>
      </c>
      <c r="C51" s="1728">
        <f t="shared" si="8"/>
        <v>0</v>
      </c>
      <c r="D51" s="1687">
        <f t="shared" si="8"/>
        <v>0</v>
      </c>
      <c r="E51" s="1728">
        <f t="shared" si="8"/>
        <v>0</v>
      </c>
      <c r="F51" s="1441"/>
      <c r="G51" s="1680"/>
      <c r="H51" s="1440"/>
      <c r="I51" s="1680"/>
      <c r="J51" s="1440"/>
      <c r="K51" s="1680"/>
      <c r="L51" s="1440"/>
      <c r="M51" s="1443"/>
      <c r="N51" s="3122"/>
      <c r="O51" s="3023"/>
      <c r="P51" s="3107"/>
      <c r="Q51" s="3023"/>
      <c r="R51" s="1441"/>
      <c r="S51" s="1680"/>
      <c r="T51" s="1440"/>
      <c r="U51" s="1680"/>
    </row>
    <row r="52" spans="1:21">
      <c r="A52" s="2089" t="s">
        <v>3958</v>
      </c>
      <c r="B52" s="1658">
        <f t="shared" si="8"/>
        <v>0</v>
      </c>
      <c r="C52" s="1719">
        <f t="shared" si="8"/>
        <v>0</v>
      </c>
      <c r="D52" s="1658">
        <f t="shared" si="8"/>
        <v>0</v>
      </c>
      <c r="E52" s="1719">
        <f t="shared" si="8"/>
        <v>0</v>
      </c>
      <c r="F52" s="1552"/>
      <c r="G52" s="1801"/>
      <c r="H52" s="1528"/>
      <c r="I52" s="1801"/>
      <c r="J52" s="1528"/>
      <c r="K52" s="1801"/>
      <c r="L52" s="1528"/>
      <c r="M52" s="1986"/>
      <c r="N52" s="3153"/>
      <c r="O52" s="3152"/>
      <c r="P52" s="1875"/>
      <c r="Q52" s="1914"/>
      <c r="R52" s="1552"/>
      <c r="S52" s="1801"/>
      <c r="T52" s="1528"/>
      <c r="U52" s="1801"/>
    </row>
    <row r="53" spans="1:21" s="385" customFormat="1" ht="17.100000000000001" customHeight="1">
      <c r="A53" s="386" t="s">
        <v>3959</v>
      </c>
      <c r="B53" s="1582"/>
      <c r="C53" s="1582"/>
      <c r="D53" s="1582"/>
      <c r="E53" s="1582"/>
      <c r="F53" s="1582"/>
      <c r="G53" s="1582"/>
      <c r="H53" s="1582"/>
      <c r="I53" s="1582"/>
      <c r="J53" s="1582"/>
      <c r="K53" s="1582"/>
      <c r="L53" s="1582"/>
      <c r="M53" s="1582"/>
      <c r="N53" s="1582"/>
      <c r="O53" s="1582"/>
      <c r="P53" s="1582"/>
      <c r="Q53" s="1582"/>
    </row>
    <row r="54" spans="1:21" ht="22.5" customHeight="1">
      <c r="A54" s="7206" t="s">
        <v>3960</v>
      </c>
      <c r="B54" s="5710" t="s">
        <v>3961</v>
      </c>
      <c r="C54" s="6106"/>
      <c r="D54" s="6106"/>
      <c r="E54" s="5712"/>
      <c r="F54" s="5710" t="s">
        <v>3962</v>
      </c>
      <c r="G54" s="6106"/>
      <c r="H54" s="6106"/>
      <c r="I54" s="5712"/>
      <c r="J54" s="5710" t="s">
        <v>3963</v>
      </c>
      <c r="K54" s="6106"/>
      <c r="L54" s="6106"/>
      <c r="M54" s="5712"/>
      <c r="N54" s="5712" t="s">
        <v>3964</v>
      </c>
      <c r="O54" s="6137"/>
      <c r="P54" s="6137"/>
      <c r="Q54" s="6137"/>
    </row>
    <row r="55" spans="1:21">
      <c r="A55" s="7206"/>
      <c r="B55" s="5707" t="s">
        <v>3936</v>
      </c>
      <c r="C55" s="5709"/>
      <c r="D55" s="5707" t="s">
        <v>2491</v>
      </c>
      <c r="E55" s="5709"/>
      <c r="F55" s="5707" t="s">
        <v>3936</v>
      </c>
      <c r="G55" s="5709"/>
      <c r="H55" s="5707" t="s">
        <v>2491</v>
      </c>
      <c r="I55" s="5709"/>
      <c r="J55" s="5707" t="s">
        <v>3936</v>
      </c>
      <c r="K55" s="5709"/>
      <c r="L55" s="5707" t="s">
        <v>2491</v>
      </c>
      <c r="M55" s="5709"/>
      <c r="N55" s="5707" t="s">
        <v>3936</v>
      </c>
      <c r="O55" s="5709"/>
      <c r="P55" s="5707" t="s">
        <v>2491</v>
      </c>
      <c r="Q55" s="5709"/>
    </row>
    <row r="56" spans="1:21">
      <c r="A56" s="7206"/>
      <c r="B56" s="1666" t="s">
        <v>72</v>
      </c>
      <c r="C56" s="1962" t="s">
        <v>73</v>
      </c>
      <c r="D56" s="4062" t="s">
        <v>72</v>
      </c>
      <c r="E56" s="1962" t="s">
        <v>73</v>
      </c>
      <c r="F56" s="1666" t="s">
        <v>72</v>
      </c>
      <c r="G56" s="1962" t="s">
        <v>73</v>
      </c>
      <c r="H56" s="4062" t="s">
        <v>72</v>
      </c>
      <c r="I56" s="1962" t="s">
        <v>73</v>
      </c>
      <c r="J56" s="396" t="s">
        <v>72</v>
      </c>
      <c r="K56" s="390" t="s">
        <v>73</v>
      </c>
      <c r="L56" s="396" t="s">
        <v>72</v>
      </c>
      <c r="M56" s="390" t="s">
        <v>73</v>
      </c>
      <c r="N56" s="4062" t="s">
        <v>72</v>
      </c>
      <c r="O56" s="1962" t="s">
        <v>73</v>
      </c>
      <c r="P56" s="1666" t="s">
        <v>72</v>
      </c>
      <c r="Q56" s="1962" t="s">
        <v>73</v>
      </c>
    </row>
    <row r="57" spans="1:21">
      <c r="A57" s="5031" t="s">
        <v>91</v>
      </c>
      <c r="B57" s="5032">
        <f t="shared" ref="B57:E57" si="9">SUM(B58:B62)</f>
        <v>0</v>
      </c>
      <c r="C57" s="4705">
        <f t="shared" si="9"/>
        <v>0</v>
      </c>
      <c r="D57" s="4704">
        <f t="shared" si="9"/>
        <v>0</v>
      </c>
      <c r="E57" s="4705">
        <f t="shared" si="9"/>
        <v>0</v>
      </c>
      <c r="F57" s="5032">
        <f>SUM(F58:F63)</f>
        <v>0</v>
      </c>
      <c r="G57" s="4705">
        <f t="shared" ref="G57:P57" si="10">SUM(G58:G63)</f>
        <v>0</v>
      </c>
      <c r="H57" s="4704">
        <f t="shared" si="10"/>
        <v>0</v>
      </c>
      <c r="I57" s="4705">
        <f>SUM(I58:I63)</f>
        <v>0</v>
      </c>
      <c r="J57" s="4719">
        <f t="shared" si="10"/>
        <v>0</v>
      </c>
      <c r="K57" s="5033">
        <f t="shared" si="10"/>
        <v>0</v>
      </c>
      <c r="L57" s="4075">
        <f t="shared" si="10"/>
        <v>0</v>
      </c>
      <c r="M57" s="5034">
        <f t="shared" si="10"/>
        <v>0</v>
      </c>
      <c r="N57" s="5035">
        <f>SUM(N58:N63)</f>
        <v>0</v>
      </c>
      <c r="O57" s="5034">
        <f t="shared" si="10"/>
        <v>0</v>
      </c>
      <c r="P57" s="4704">
        <f t="shared" si="10"/>
        <v>0</v>
      </c>
      <c r="Q57" s="4490">
        <f>SUM(Q58:Q63)</f>
        <v>0</v>
      </c>
    </row>
    <row r="58" spans="1:21">
      <c r="A58" s="5036" t="s">
        <v>3965</v>
      </c>
      <c r="B58" s="447">
        <f t="shared" ref="B58:E63" si="11">SUM(F58+J58)</f>
        <v>0</v>
      </c>
      <c r="C58" s="1649">
        <f t="shared" si="11"/>
        <v>0</v>
      </c>
      <c r="D58" s="409">
        <f t="shared" si="11"/>
        <v>0</v>
      </c>
      <c r="E58" s="1649">
        <f t="shared" si="11"/>
        <v>0</v>
      </c>
      <c r="F58" s="1424"/>
      <c r="G58" s="1436"/>
      <c r="H58" s="1425"/>
      <c r="I58" s="1436"/>
      <c r="J58" s="1425"/>
      <c r="K58" s="1436"/>
      <c r="L58" s="1424"/>
      <c r="M58" s="1436"/>
      <c r="N58" s="4965"/>
      <c r="O58" s="4963"/>
      <c r="P58" s="4965"/>
      <c r="Q58" s="4963"/>
    </row>
    <row r="59" spans="1:21">
      <c r="A59" s="2057" t="s">
        <v>3898</v>
      </c>
      <c r="B59" s="408">
        <f t="shared" si="11"/>
        <v>0</v>
      </c>
      <c r="C59" s="1654">
        <f t="shared" si="11"/>
        <v>0</v>
      </c>
      <c r="D59" s="421">
        <f t="shared" si="11"/>
        <v>0</v>
      </c>
      <c r="E59" s="1654">
        <f t="shared" si="11"/>
        <v>0</v>
      </c>
      <c r="F59" s="1440"/>
      <c r="G59" s="1680"/>
      <c r="H59" s="1441"/>
      <c r="I59" s="1680"/>
      <c r="J59" s="1441"/>
      <c r="K59" s="1680"/>
      <c r="L59" s="1440"/>
      <c r="M59" s="1680"/>
      <c r="N59" s="4974"/>
      <c r="O59" s="4972"/>
      <c r="P59" s="4974"/>
      <c r="Q59" s="4972"/>
    </row>
    <row r="60" spans="1:21">
      <c r="A60" s="5037" t="s">
        <v>3966</v>
      </c>
      <c r="B60" s="408">
        <f t="shared" si="11"/>
        <v>0</v>
      </c>
      <c r="C60" s="1654">
        <f t="shared" si="11"/>
        <v>0</v>
      </c>
      <c r="D60" s="421">
        <f t="shared" si="11"/>
        <v>0</v>
      </c>
      <c r="E60" s="1654">
        <f t="shared" si="11"/>
        <v>0</v>
      </c>
      <c r="F60" s="1440"/>
      <c r="G60" s="1452"/>
      <c r="H60" s="1441"/>
      <c r="I60" s="1452"/>
      <c r="J60" s="1441"/>
      <c r="K60" s="1452"/>
      <c r="L60" s="1440"/>
      <c r="M60" s="1452"/>
      <c r="N60" s="4974"/>
      <c r="O60" s="4972"/>
      <c r="P60" s="4974"/>
      <c r="Q60" s="4972"/>
    </row>
    <row r="61" spans="1:21">
      <c r="A61" s="5037" t="s">
        <v>3967</v>
      </c>
      <c r="B61" s="408">
        <f t="shared" si="11"/>
        <v>0</v>
      </c>
      <c r="C61" s="1654">
        <f t="shared" si="11"/>
        <v>0</v>
      </c>
      <c r="D61" s="421">
        <f t="shared" si="11"/>
        <v>0</v>
      </c>
      <c r="E61" s="1654">
        <f t="shared" si="11"/>
        <v>0</v>
      </c>
      <c r="F61" s="1440"/>
      <c r="G61" s="1452"/>
      <c r="H61" s="1441"/>
      <c r="I61" s="1452"/>
      <c r="J61" s="1441"/>
      <c r="K61" s="1452"/>
      <c r="L61" s="1440"/>
      <c r="M61" s="1452"/>
      <c r="N61" s="4974"/>
      <c r="O61" s="4972"/>
      <c r="P61" s="4974"/>
      <c r="Q61" s="4972"/>
    </row>
    <row r="62" spans="1:21">
      <c r="A62" s="2057" t="s">
        <v>3968</v>
      </c>
      <c r="B62" s="408">
        <f t="shared" si="11"/>
        <v>0</v>
      </c>
      <c r="C62" s="1654">
        <f t="shared" si="11"/>
        <v>0</v>
      </c>
      <c r="D62" s="421">
        <f t="shared" si="11"/>
        <v>0</v>
      </c>
      <c r="E62" s="1654">
        <f t="shared" si="11"/>
        <v>0</v>
      </c>
      <c r="F62" s="1440"/>
      <c r="G62" s="1452"/>
      <c r="H62" s="1441"/>
      <c r="I62" s="1452"/>
      <c r="J62" s="1441"/>
      <c r="K62" s="1452"/>
      <c r="L62" s="1440"/>
      <c r="M62" s="1452"/>
      <c r="N62" s="4974"/>
      <c r="O62" s="4972"/>
      <c r="P62" s="4974"/>
      <c r="Q62" s="4972"/>
    </row>
    <row r="63" spans="1:21">
      <c r="A63" s="3404" t="s">
        <v>3969</v>
      </c>
      <c r="B63" s="1658">
        <f t="shared" si="11"/>
        <v>0</v>
      </c>
      <c r="C63" s="2363">
        <f t="shared" si="11"/>
        <v>0</v>
      </c>
      <c r="D63" s="2054">
        <f t="shared" si="11"/>
        <v>0</v>
      </c>
      <c r="E63" s="2363">
        <f t="shared" si="11"/>
        <v>0</v>
      </c>
      <c r="F63" s="1528"/>
      <c r="G63" s="1534"/>
      <c r="H63" s="1552"/>
      <c r="I63" s="1534"/>
      <c r="J63" s="1552"/>
      <c r="K63" s="1534"/>
      <c r="L63" s="1528"/>
      <c r="M63" s="1534"/>
      <c r="N63" s="5038"/>
      <c r="O63" s="5039"/>
      <c r="P63" s="5038"/>
      <c r="Q63" s="5039"/>
    </row>
    <row r="64" spans="1:21" s="385" customFormat="1" ht="17.100000000000001" customHeight="1">
      <c r="A64" s="1468" t="s">
        <v>3970</v>
      </c>
      <c r="B64" s="2185"/>
      <c r="C64" s="2185"/>
      <c r="D64" s="2185"/>
      <c r="E64" s="2185"/>
    </row>
    <row r="65" spans="1:9" ht="27" customHeight="1">
      <c r="A65" s="7207" t="s">
        <v>3971</v>
      </c>
      <c r="B65" s="6137" t="s">
        <v>3972</v>
      </c>
      <c r="C65" s="6137"/>
      <c r="D65" s="6137"/>
      <c r="E65" s="6137"/>
      <c r="F65" s="6119" t="s">
        <v>3973</v>
      </c>
      <c r="G65" s="5718" t="s">
        <v>3974</v>
      </c>
    </row>
    <row r="66" spans="1:9">
      <c r="A66" s="7207"/>
      <c r="B66" s="5707" t="s">
        <v>3936</v>
      </c>
      <c r="C66" s="5709"/>
      <c r="D66" s="5707" t="s">
        <v>2491</v>
      </c>
      <c r="E66" s="5709"/>
      <c r="F66" s="6120"/>
      <c r="G66" s="6110"/>
    </row>
    <row r="67" spans="1:9" ht="22.5" customHeight="1">
      <c r="A67" s="7207"/>
      <c r="B67" s="396" t="s">
        <v>72</v>
      </c>
      <c r="C67" s="390" t="s">
        <v>73</v>
      </c>
      <c r="D67" s="396" t="s">
        <v>72</v>
      </c>
      <c r="E67" s="390" t="s">
        <v>73</v>
      </c>
      <c r="F67" s="6116"/>
      <c r="G67" s="5719"/>
    </row>
    <row r="68" spans="1:9">
      <c r="A68" s="5040" t="s">
        <v>91</v>
      </c>
      <c r="B68" s="401">
        <f t="shared" ref="B68:G68" si="12">SUM(B69:B72)</f>
        <v>0</v>
      </c>
      <c r="C68" s="402">
        <f t="shared" si="12"/>
        <v>0</v>
      </c>
      <c r="D68" s="401">
        <f t="shared" si="12"/>
        <v>0</v>
      </c>
      <c r="E68" s="402">
        <f t="shared" si="12"/>
        <v>0</v>
      </c>
      <c r="F68" s="401">
        <f t="shared" si="12"/>
        <v>0</v>
      </c>
      <c r="G68" s="406">
        <f t="shared" si="12"/>
        <v>0</v>
      </c>
    </row>
    <row r="69" spans="1:9">
      <c r="A69" s="2056" t="s">
        <v>112</v>
      </c>
      <c r="B69" s="1480"/>
      <c r="C69" s="1769"/>
      <c r="D69" s="1796"/>
      <c r="E69" s="1769"/>
      <c r="F69" s="1482"/>
      <c r="G69" s="1430"/>
    </row>
    <row r="70" spans="1:9">
      <c r="A70" s="1512" t="s">
        <v>3975</v>
      </c>
      <c r="B70" s="1440"/>
      <c r="C70" s="1680"/>
      <c r="D70" s="1441"/>
      <c r="E70" s="1680"/>
      <c r="F70" s="1447"/>
      <c r="G70" s="1446"/>
    </row>
    <row r="71" spans="1:9">
      <c r="A71" s="1512" t="s">
        <v>3976</v>
      </c>
      <c r="B71" s="1440"/>
      <c r="C71" s="1680"/>
      <c r="D71" s="1441"/>
      <c r="E71" s="1680"/>
      <c r="F71" s="1447"/>
      <c r="G71" s="1446"/>
    </row>
    <row r="72" spans="1:9">
      <c r="A72" s="1506" t="s">
        <v>119</v>
      </c>
      <c r="B72" s="1455"/>
      <c r="C72" s="1684"/>
      <c r="D72" s="1456"/>
      <c r="E72" s="1684"/>
      <c r="F72" s="1490"/>
      <c r="G72" s="1461"/>
    </row>
    <row r="73" spans="1:9" s="385" customFormat="1" ht="17.100000000000001" customHeight="1">
      <c r="A73" s="386" t="s">
        <v>3977</v>
      </c>
      <c r="B73" s="2102"/>
      <c r="C73" s="2102"/>
      <c r="D73" s="2102"/>
      <c r="E73" s="2102"/>
      <c r="F73" s="2102"/>
      <c r="G73" s="2102"/>
      <c r="H73" s="2102"/>
      <c r="I73" s="2102"/>
    </row>
    <row r="74" spans="1:9" ht="22.5" customHeight="1">
      <c r="A74" s="7208" t="s">
        <v>3978</v>
      </c>
      <c r="B74" s="6137" t="s">
        <v>3979</v>
      </c>
      <c r="C74" s="6137"/>
      <c r="D74" s="6137"/>
      <c r="E74" s="6137"/>
      <c r="F74" s="6137" t="s">
        <v>3980</v>
      </c>
      <c r="G74" s="6137"/>
      <c r="H74" s="6137"/>
      <c r="I74" s="6137"/>
    </row>
    <row r="75" spans="1:9">
      <c r="A75" s="7209"/>
      <c r="B75" s="5707" t="s">
        <v>3936</v>
      </c>
      <c r="C75" s="5709"/>
      <c r="D75" s="5707" t="s">
        <v>2491</v>
      </c>
      <c r="E75" s="5709"/>
      <c r="F75" s="5707" t="s">
        <v>3936</v>
      </c>
      <c r="G75" s="5709"/>
      <c r="H75" s="5707" t="s">
        <v>2491</v>
      </c>
      <c r="I75" s="5709"/>
    </row>
    <row r="76" spans="1:9">
      <c r="A76" s="7210"/>
      <c r="B76" s="396" t="s">
        <v>72</v>
      </c>
      <c r="C76" s="398" t="s">
        <v>73</v>
      </c>
      <c r="D76" s="397" t="s">
        <v>72</v>
      </c>
      <c r="E76" s="390" t="s">
        <v>73</v>
      </c>
      <c r="F76" s="396" t="s">
        <v>72</v>
      </c>
      <c r="G76" s="390" t="s">
        <v>73</v>
      </c>
      <c r="H76" s="396" t="s">
        <v>72</v>
      </c>
      <c r="I76" s="398" t="s">
        <v>73</v>
      </c>
    </row>
    <row r="77" spans="1:9">
      <c r="A77" s="5031" t="s">
        <v>91</v>
      </c>
      <c r="B77" s="4075">
        <f t="shared" ref="B77:I77" si="13">SUM(B78:B79)</f>
        <v>0</v>
      </c>
      <c r="C77" s="5035">
        <f t="shared" si="13"/>
        <v>0</v>
      </c>
      <c r="D77" s="4075">
        <f t="shared" si="13"/>
        <v>0</v>
      </c>
      <c r="E77" s="5035">
        <f t="shared" si="13"/>
        <v>0</v>
      </c>
      <c r="F77" s="5041">
        <f t="shared" si="13"/>
        <v>0</v>
      </c>
      <c r="G77" s="4490">
        <f t="shared" si="13"/>
        <v>0</v>
      </c>
      <c r="H77" s="5041">
        <f t="shared" si="13"/>
        <v>0</v>
      </c>
      <c r="I77" s="4490">
        <f t="shared" si="13"/>
        <v>0</v>
      </c>
    </row>
    <row r="78" spans="1:9">
      <c r="A78" s="2056" t="s">
        <v>3981</v>
      </c>
      <c r="B78" s="1424"/>
      <c r="C78" s="1676"/>
      <c r="D78" s="1425"/>
      <c r="E78" s="1436"/>
      <c r="F78" s="4965"/>
      <c r="G78" s="4963"/>
      <c r="H78" s="4965"/>
      <c r="I78" s="4963"/>
    </row>
    <row r="79" spans="1:9">
      <c r="A79" s="2303" t="s">
        <v>3982</v>
      </c>
      <c r="B79" s="1528"/>
      <c r="C79" s="1801"/>
      <c r="D79" s="1552"/>
      <c r="E79" s="1801"/>
      <c r="F79" s="5038"/>
      <c r="G79" s="5039"/>
      <c r="H79" s="5038"/>
      <c r="I79" s="5039"/>
    </row>
    <row r="80" spans="1:9" s="385" customFormat="1" ht="17.100000000000001" customHeight="1">
      <c r="A80" s="2162" t="s">
        <v>3983</v>
      </c>
    </row>
    <row r="81" spans="1:7" s="385" customFormat="1" ht="17.100000000000001" customHeight="1">
      <c r="A81" s="2102" t="s">
        <v>3984</v>
      </c>
      <c r="B81" s="2162"/>
      <c r="C81" s="5042"/>
      <c r="D81" s="5042"/>
      <c r="E81" s="5042"/>
      <c r="F81" s="5042"/>
      <c r="G81" s="1582"/>
    </row>
    <row r="82" spans="1:7" ht="24.75" customHeight="1">
      <c r="A82" s="7200" t="s">
        <v>3985</v>
      </c>
      <c r="B82" s="5712" t="s">
        <v>91</v>
      </c>
      <c r="C82" s="6140" t="s">
        <v>3986</v>
      </c>
      <c r="D82" s="6139"/>
      <c r="E82" s="6119"/>
    </row>
    <row r="83" spans="1:7" ht="11.25" customHeight="1">
      <c r="A83" s="7201"/>
      <c r="B83" s="5712"/>
      <c r="C83" s="6114"/>
      <c r="D83" s="6115"/>
      <c r="E83" s="6116"/>
    </row>
    <row r="84" spans="1:7" ht="21">
      <c r="A84" s="7202"/>
      <c r="B84" s="6119"/>
      <c r="C84" s="1395" t="s">
        <v>3936</v>
      </c>
      <c r="D84" s="4585" t="s">
        <v>2491</v>
      </c>
      <c r="E84" s="4614" t="s">
        <v>3987</v>
      </c>
    </row>
    <row r="85" spans="1:7">
      <c r="A85" s="2056" t="s">
        <v>1212</v>
      </c>
      <c r="B85" s="1422">
        <f t="shared" ref="B85:B86" si="14">SUM(C85:E85)</f>
        <v>0</v>
      </c>
      <c r="C85" s="1796"/>
      <c r="D85" s="1769"/>
      <c r="E85" s="1430"/>
    </row>
    <row r="86" spans="1:7">
      <c r="A86" s="3673" t="s">
        <v>3988</v>
      </c>
      <c r="B86" s="1527">
        <f t="shared" si="14"/>
        <v>0</v>
      </c>
      <c r="C86" s="1552"/>
      <c r="D86" s="1801"/>
      <c r="E86" s="1533"/>
    </row>
    <row r="87" spans="1:7" s="385" customFormat="1" ht="17.100000000000001" customHeight="1">
      <c r="A87" s="5043" t="s">
        <v>3989</v>
      </c>
      <c r="B87" s="3630"/>
      <c r="C87" s="5044"/>
      <c r="D87" s="5044"/>
      <c r="E87" s="5044"/>
      <c r="F87" s="5045"/>
    </row>
    <row r="88" spans="1:7" ht="24.75" customHeight="1">
      <c r="A88" s="7200" t="s">
        <v>3990</v>
      </c>
      <c r="B88" s="6194" t="s">
        <v>91</v>
      </c>
      <c r="C88" s="5710" t="s">
        <v>3991</v>
      </c>
      <c r="D88" s="5716"/>
      <c r="E88" s="6139" t="s">
        <v>3992</v>
      </c>
      <c r="F88" s="6119"/>
    </row>
    <row r="89" spans="1:7">
      <c r="A89" s="7201"/>
      <c r="B89" s="7211"/>
      <c r="C89" s="5707" t="s">
        <v>2491</v>
      </c>
      <c r="D89" s="6147"/>
      <c r="E89" s="6115"/>
      <c r="F89" s="6116"/>
    </row>
    <row r="90" spans="1:7" ht="21">
      <c r="A90" s="7202"/>
      <c r="B90" s="7212"/>
      <c r="C90" s="1395" t="s">
        <v>72</v>
      </c>
      <c r="D90" s="394" t="s">
        <v>73</v>
      </c>
      <c r="E90" s="1701" t="s">
        <v>3993</v>
      </c>
      <c r="F90" s="1391" t="s">
        <v>3994</v>
      </c>
    </row>
    <row r="91" spans="1:7">
      <c r="A91" s="2056" t="s">
        <v>1212</v>
      </c>
      <c r="B91" s="1422">
        <f t="shared" ref="B91:B98" si="15">SUM(C91:D91)</f>
        <v>0</v>
      </c>
      <c r="C91" s="1796"/>
      <c r="D91" s="1481"/>
      <c r="E91" s="1707"/>
      <c r="F91" s="1436"/>
    </row>
    <row r="92" spans="1:7">
      <c r="A92" s="2303" t="s">
        <v>3995</v>
      </c>
      <c r="B92" s="1527">
        <f t="shared" si="15"/>
        <v>0</v>
      </c>
      <c r="C92" s="1552"/>
      <c r="D92" s="1553"/>
      <c r="E92" s="1722"/>
      <c r="F92" s="1534"/>
    </row>
    <row r="93" spans="1:7" s="385" customFormat="1" ht="17.100000000000001" customHeight="1">
      <c r="A93" s="2162" t="s">
        <v>3996</v>
      </c>
      <c r="B93" s="2162"/>
      <c r="C93" s="5042"/>
      <c r="D93" s="5042"/>
      <c r="E93" s="5042"/>
      <c r="F93" s="5042"/>
      <c r="G93" s="1582"/>
    </row>
    <row r="94" spans="1:7" ht="37.5" customHeight="1">
      <c r="A94" s="7200" t="s">
        <v>3997</v>
      </c>
      <c r="B94" s="5718" t="s">
        <v>91</v>
      </c>
      <c r="C94" s="5710" t="s">
        <v>3998</v>
      </c>
      <c r="D94" s="5712"/>
    </row>
    <row r="95" spans="1:7">
      <c r="A95" s="7201"/>
      <c r="B95" s="6110"/>
      <c r="C95" s="5707" t="s">
        <v>2491</v>
      </c>
      <c r="D95" s="5709"/>
    </row>
    <row r="96" spans="1:7">
      <c r="A96" s="7202"/>
      <c r="B96" s="5719"/>
      <c r="C96" s="397" t="s">
        <v>72</v>
      </c>
      <c r="D96" s="390" t="s">
        <v>73</v>
      </c>
    </row>
    <row r="97" spans="1:9" ht="14.25" customHeight="1">
      <c r="A97" s="2056" t="s">
        <v>3999</v>
      </c>
      <c r="B97" s="1423">
        <f t="shared" si="15"/>
        <v>0</v>
      </c>
      <c r="C97" s="1425"/>
      <c r="D97" s="1676"/>
    </row>
    <row r="98" spans="1:9" ht="14.25" customHeight="1">
      <c r="A98" s="3049" t="s">
        <v>4000</v>
      </c>
      <c r="B98" s="1527">
        <f t="shared" si="15"/>
        <v>0</v>
      </c>
      <c r="C98" s="1552"/>
      <c r="D98" s="1801"/>
    </row>
    <row r="99" spans="1:9" s="385" customFormat="1" ht="17.100000000000001" customHeight="1">
      <c r="A99" s="386" t="s">
        <v>4001</v>
      </c>
      <c r="B99" s="5042"/>
      <c r="C99" s="5042"/>
      <c r="D99" s="5042"/>
      <c r="E99" s="5042"/>
      <c r="F99" s="1582"/>
      <c r="G99" s="1582"/>
      <c r="H99" s="1582"/>
      <c r="I99" s="1582"/>
    </row>
    <row r="100" spans="1:9" ht="21.75" customHeight="1">
      <c r="A100" s="7200" t="s">
        <v>4002</v>
      </c>
      <c r="B100" s="6137" t="s">
        <v>4003</v>
      </c>
      <c r="C100" s="6137"/>
      <c r="D100" s="6137"/>
      <c r="E100" s="6137"/>
    </row>
    <row r="101" spans="1:9">
      <c r="A101" s="7201"/>
      <c r="B101" s="5707" t="s">
        <v>3936</v>
      </c>
      <c r="C101" s="5709"/>
      <c r="D101" s="5707" t="s">
        <v>2491</v>
      </c>
      <c r="E101" s="5709"/>
    </row>
    <row r="102" spans="1:9">
      <c r="A102" s="7202"/>
      <c r="B102" s="396" t="s">
        <v>72</v>
      </c>
      <c r="C102" s="390" t="s">
        <v>73</v>
      </c>
      <c r="D102" s="396" t="s">
        <v>72</v>
      </c>
      <c r="E102" s="390" t="s">
        <v>73</v>
      </c>
    </row>
    <row r="103" spans="1:9">
      <c r="A103" s="5031" t="s">
        <v>91</v>
      </c>
      <c r="B103" s="2157">
        <f>SUM(B104:B106)</f>
        <v>0</v>
      </c>
      <c r="C103" s="2158">
        <f>SUM(C104:C106)</f>
        <v>0</v>
      </c>
      <c r="D103" s="2157">
        <f>SUM(D104:D106)</f>
        <v>0</v>
      </c>
      <c r="E103" s="2158">
        <f>SUM(E104:E106)</f>
        <v>0</v>
      </c>
    </row>
    <row r="104" spans="1:9">
      <c r="A104" s="2056" t="s">
        <v>4004</v>
      </c>
      <c r="B104" s="1424"/>
      <c r="C104" s="1436"/>
      <c r="D104" s="1424"/>
      <c r="E104" s="1436"/>
    </row>
    <row r="105" spans="1:9">
      <c r="A105" s="2057" t="s">
        <v>4005</v>
      </c>
      <c r="B105" s="1440"/>
      <c r="C105" s="1452"/>
      <c r="D105" s="1440"/>
      <c r="E105" s="1452"/>
    </row>
    <row r="106" spans="1:9">
      <c r="A106" s="2303" t="s">
        <v>619</v>
      </c>
      <c r="B106" s="1455"/>
      <c r="C106" s="1467"/>
      <c r="D106" s="1455"/>
      <c r="E106" s="1467"/>
    </row>
    <row r="107" spans="1:9" s="385" customFormat="1" ht="17.100000000000001" customHeight="1">
      <c r="A107" s="386" t="s">
        <v>4006</v>
      </c>
      <c r="B107" s="5042"/>
      <c r="C107" s="5042"/>
      <c r="D107" s="5042"/>
      <c r="E107" s="5042"/>
      <c r="F107" s="1582"/>
      <c r="G107" s="1582"/>
    </row>
    <row r="108" spans="1:9">
      <c r="A108" s="7200" t="s">
        <v>4007</v>
      </c>
      <c r="B108" s="6298" t="s">
        <v>209</v>
      </c>
      <c r="C108" s="5712" t="s">
        <v>4008</v>
      </c>
      <c r="D108" s="6137"/>
      <c r="E108" s="6137"/>
      <c r="F108" s="6137"/>
      <c r="G108" s="6137"/>
    </row>
    <row r="109" spans="1:9">
      <c r="A109" s="7201"/>
      <c r="B109" s="6299"/>
      <c r="C109" s="5707" t="s">
        <v>3936</v>
      </c>
      <c r="D109" s="5709"/>
      <c r="E109" s="5707" t="s">
        <v>2491</v>
      </c>
      <c r="F109" s="5709"/>
      <c r="G109" s="5718" t="s">
        <v>4009</v>
      </c>
    </row>
    <row r="110" spans="1:9">
      <c r="A110" s="7202"/>
      <c r="B110" s="6300"/>
      <c r="C110" s="397" t="s">
        <v>72</v>
      </c>
      <c r="D110" s="390" t="s">
        <v>73</v>
      </c>
      <c r="E110" s="397" t="s">
        <v>72</v>
      </c>
      <c r="F110" s="390" t="s">
        <v>73</v>
      </c>
      <c r="G110" s="5719"/>
    </row>
    <row r="111" spans="1:9">
      <c r="A111" s="2056" t="s">
        <v>4010</v>
      </c>
      <c r="B111" s="1423">
        <f t="shared" ref="B111:B114" si="16">SUM(C111:G111)</f>
        <v>0</v>
      </c>
      <c r="C111" s="1424"/>
      <c r="D111" s="1676"/>
      <c r="E111" s="1424"/>
      <c r="F111" s="1676"/>
      <c r="G111" s="1430"/>
    </row>
    <row r="112" spans="1:9">
      <c r="A112" s="2057" t="s">
        <v>4011</v>
      </c>
      <c r="B112" s="1439">
        <f t="shared" si="16"/>
        <v>0</v>
      </c>
      <c r="C112" s="1440"/>
      <c r="D112" s="1680"/>
      <c r="E112" s="1440"/>
      <c r="F112" s="1680"/>
      <c r="G112" s="1446"/>
    </row>
    <row r="113" spans="1:12">
      <c r="A113" s="2057" t="s">
        <v>4012</v>
      </c>
      <c r="B113" s="1439">
        <f t="shared" si="16"/>
        <v>0</v>
      </c>
      <c r="C113" s="1485"/>
      <c r="D113" s="1824"/>
      <c r="E113" s="1485"/>
      <c r="F113" s="1824"/>
      <c r="G113" s="1488"/>
    </row>
    <row r="114" spans="1:12">
      <c r="A114" s="2089" t="s">
        <v>4013</v>
      </c>
      <c r="B114" s="4500">
        <f t="shared" si="16"/>
        <v>0</v>
      </c>
      <c r="C114" s="1455"/>
      <c r="D114" s="1684"/>
      <c r="E114" s="1455"/>
      <c r="F114" s="1684"/>
      <c r="G114" s="1461"/>
    </row>
    <row r="115" spans="1:12">
      <c r="A115" s="3919" t="s">
        <v>4014</v>
      </c>
      <c r="B115" s="2846"/>
      <c r="C115" s="2846"/>
      <c r="D115" s="441"/>
      <c r="E115" s="441"/>
      <c r="F115" s="441"/>
      <c r="G115" s="441"/>
      <c r="H115" s="455"/>
      <c r="I115" s="455"/>
    </row>
    <row r="116" spans="1:12">
      <c r="A116" s="6298" t="s">
        <v>4015</v>
      </c>
      <c r="B116" s="5710" t="s">
        <v>4016</v>
      </c>
      <c r="C116" s="6106"/>
      <c r="D116" s="6106"/>
      <c r="E116" s="5712"/>
      <c r="F116" s="5710" t="s">
        <v>4017</v>
      </c>
      <c r="G116" s="6106"/>
      <c r="H116" s="6106"/>
      <c r="I116" s="5712"/>
      <c r="K116" s="1645"/>
      <c r="L116" s="3037"/>
    </row>
    <row r="117" spans="1:12">
      <c r="A117" s="6299"/>
      <c r="B117" s="5707" t="s">
        <v>3936</v>
      </c>
      <c r="C117" s="5709"/>
      <c r="D117" s="5707" t="s">
        <v>2491</v>
      </c>
      <c r="E117" s="5709"/>
      <c r="F117" s="5707" t="s">
        <v>3936</v>
      </c>
      <c r="G117" s="5709"/>
      <c r="H117" s="5707" t="s">
        <v>2491</v>
      </c>
      <c r="I117" s="5709"/>
    </row>
    <row r="118" spans="1:12">
      <c r="A118" s="6300"/>
      <c r="B118" s="396" t="s">
        <v>72</v>
      </c>
      <c r="C118" s="398" t="s">
        <v>73</v>
      </c>
      <c r="D118" s="397" t="s">
        <v>72</v>
      </c>
      <c r="E118" s="398" t="s">
        <v>73</v>
      </c>
      <c r="F118" s="396" t="s">
        <v>72</v>
      </c>
      <c r="G118" s="398" t="s">
        <v>73</v>
      </c>
      <c r="H118" s="397" t="s">
        <v>72</v>
      </c>
      <c r="I118" s="398" t="s">
        <v>73</v>
      </c>
    </row>
    <row r="119" spans="1:12">
      <c r="A119" s="420" t="s">
        <v>3470</v>
      </c>
      <c r="B119" s="1869"/>
      <c r="C119" s="3023"/>
      <c r="D119" s="1425"/>
      <c r="E119" s="1676"/>
      <c r="F119" s="1869"/>
      <c r="G119" s="3023"/>
      <c r="H119" s="1425"/>
      <c r="I119" s="1676"/>
    </row>
    <row r="120" spans="1:12">
      <c r="A120" s="458" t="s">
        <v>4018</v>
      </c>
      <c r="B120" s="1528"/>
      <c r="C120" s="1801"/>
      <c r="D120" s="1552"/>
      <c r="E120" s="1801"/>
      <c r="F120" s="1913"/>
      <c r="G120" s="3113"/>
      <c r="H120" s="1572"/>
      <c r="I120" s="3113"/>
    </row>
    <row r="121" spans="1:12" s="385" customFormat="1" ht="17.100000000000001" customHeight="1">
      <c r="A121" s="3919" t="s">
        <v>4019</v>
      </c>
      <c r="B121" s="2846"/>
      <c r="C121" s="2846"/>
      <c r="D121" s="1493"/>
      <c r="E121" s="1493"/>
      <c r="F121" s="1493"/>
      <c r="G121" s="1493"/>
      <c r="H121" s="439"/>
      <c r="I121" s="439"/>
    </row>
    <row r="122" spans="1:12" ht="24" customHeight="1">
      <c r="A122" s="6298" t="s">
        <v>4020</v>
      </c>
      <c r="B122" s="5718" t="s">
        <v>4021</v>
      </c>
      <c r="C122" s="6137"/>
      <c r="D122" s="6137" t="s">
        <v>4022</v>
      </c>
      <c r="E122" s="6137"/>
      <c r="F122" s="6137"/>
      <c r="G122" s="383"/>
      <c r="H122" s="383"/>
      <c r="I122" s="383"/>
    </row>
    <row r="123" spans="1:12">
      <c r="A123" s="6155"/>
      <c r="B123" s="396" t="s">
        <v>72</v>
      </c>
      <c r="C123" s="390" t="s">
        <v>73</v>
      </c>
      <c r="D123" s="396" t="s">
        <v>2427</v>
      </c>
      <c r="E123" s="1397" t="s">
        <v>4023</v>
      </c>
      <c r="F123" s="390" t="s">
        <v>4024</v>
      </c>
      <c r="G123" s="383"/>
      <c r="H123" s="383"/>
      <c r="I123" s="383"/>
    </row>
    <row r="124" spans="1:12">
      <c r="A124" s="457" t="s">
        <v>4025</v>
      </c>
      <c r="B124" s="1425"/>
      <c r="C124" s="1427"/>
      <c r="D124" s="1480"/>
      <c r="E124" s="1541"/>
      <c r="F124" s="1482"/>
      <c r="G124" s="5046"/>
      <c r="H124" s="383"/>
      <c r="I124" s="383"/>
    </row>
    <row r="125" spans="1:12">
      <c r="A125" s="458" t="s">
        <v>4026</v>
      </c>
      <c r="B125" s="1552"/>
      <c r="C125" s="1801"/>
      <c r="D125" s="1528"/>
      <c r="E125" s="1529"/>
      <c r="F125" s="1534"/>
      <c r="G125" s="383"/>
      <c r="H125" s="383"/>
      <c r="I125" s="383"/>
    </row>
    <row r="138" spans="1:2" hidden="1">
      <c r="A138" s="2099">
        <f>SUM(B15:E27,N15:Q27,B32:E40,N32:Q40,B48:E52,N48:U52,B57:E62,B69:G72,N57:Q62,B77:I77,B85:B85,B91:B92,B97:B98,B103:E103,B111:B114,B119:I120,B124:F125)</f>
        <v>0</v>
      </c>
      <c r="B138">
        <f>SUM(CE12:CF68)</f>
        <v>0</v>
      </c>
    </row>
  </sheetData>
  <sheetProtection algorithmName="SHA-512" hashValue="qKJlALle/l/dwgcf3CwQuG9ijq8hbfAXnQFXd7LV6nVxaA/7bzVMwSMiILGF/AlFUle7zLr34WXHEVsJMnuI0A==" saltValue="PUcE/Gu0TdG+T0n4OCU73A==" spinCount="100000" sheet="1" objects="1" scenarios="1"/>
  <mergeCells count="103">
    <mergeCell ref="A122:A123"/>
    <mergeCell ref="B122:C122"/>
    <mergeCell ref="D122:F122"/>
    <mergeCell ref="A65:A67"/>
    <mergeCell ref="B65:E65"/>
    <mergeCell ref="F65:F67"/>
    <mergeCell ref="G65:G67"/>
    <mergeCell ref="B66:C66"/>
    <mergeCell ref="D66:E66"/>
    <mergeCell ref="A74:A76"/>
    <mergeCell ref="B74:E74"/>
    <mergeCell ref="F74:I74"/>
    <mergeCell ref="B75:C75"/>
    <mergeCell ref="D75:E75"/>
    <mergeCell ref="F75:G75"/>
    <mergeCell ref="H75:I75"/>
    <mergeCell ref="A82:A84"/>
    <mergeCell ref="B82:B84"/>
    <mergeCell ref="C82:E83"/>
    <mergeCell ref="A88:A90"/>
    <mergeCell ref="B88:B90"/>
    <mergeCell ref="C88:D88"/>
    <mergeCell ref="E88:F89"/>
    <mergeCell ref="C89:D89"/>
    <mergeCell ref="A54:A56"/>
    <mergeCell ref="B54:E54"/>
    <mergeCell ref="F54:I54"/>
    <mergeCell ref="J54:M54"/>
    <mergeCell ref="N54:Q54"/>
    <mergeCell ref="B55:C55"/>
    <mergeCell ref="D55:E55"/>
    <mergeCell ref="F55:G55"/>
    <mergeCell ref="H55:I55"/>
    <mergeCell ref="J55:K55"/>
    <mergeCell ref="L55:M55"/>
    <mergeCell ref="N55:O55"/>
    <mergeCell ref="P55:Q55"/>
    <mergeCell ref="A45:A47"/>
    <mergeCell ref="B45:E45"/>
    <mergeCell ref="F45:I45"/>
    <mergeCell ref="J45:M45"/>
    <mergeCell ref="N45:Q45"/>
    <mergeCell ref="R45:U45"/>
    <mergeCell ref="B46:C46"/>
    <mergeCell ref="D46:E46"/>
    <mergeCell ref="F46:G46"/>
    <mergeCell ref="H46:I46"/>
    <mergeCell ref="J46:K46"/>
    <mergeCell ref="L46:M46"/>
    <mergeCell ref="N46:O46"/>
    <mergeCell ref="P46:Q46"/>
    <mergeCell ref="R46:S46"/>
    <mergeCell ref="T46:U46"/>
    <mergeCell ref="A7:Q7"/>
    <mergeCell ref="A6:Q6"/>
    <mergeCell ref="L13:M13"/>
    <mergeCell ref="N13:O13"/>
    <mergeCell ref="P13:Q13"/>
    <mergeCell ref="A12:A14"/>
    <mergeCell ref="B12:E12"/>
    <mergeCell ref="F12:I12"/>
    <mergeCell ref="J12:M12"/>
    <mergeCell ref="N12:Q12"/>
    <mergeCell ref="B13:C13"/>
    <mergeCell ref="D13:E13"/>
    <mergeCell ref="F13:G13"/>
    <mergeCell ref="H13:I13"/>
    <mergeCell ref="J13:K13"/>
    <mergeCell ref="A28:F28"/>
    <mergeCell ref="A29:A31"/>
    <mergeCell ref="B29:E29"/>
    <mergeCell ref="F29:I29"/>
    <mergeCell ref="J29:M29"/>
    <mergeCell ref="N29:Q29"/>
    <mergeCell ref="B30:C30"/>
    <mergeCell ref="D30:E30"/>
    <mergeCell ref="F30:G30"/>
    <mergeCell ref="H30:I30"/>
    <mergeCell ref="J30:K30"/>
    <mergeCell ref="L30:M30"/>
    <mergeCell ref="N30:O30"/>
    <mergeCell ref="P30:Q30"/>
    <mergeCell ref="A116:A118"/>
    <mergeCell ref="A94:A96"/>
    <mergeCell ref="B94:B96"/>
    <mergeCell ref="C94:D94"/>
    <mergeCell ref="C95:D95"/>
    <mergeCell ref="A100:A102"/>
    <mergeCell ref="B100:E100"/>
    <mergeCell ref="B101:C101"/>
    <mergeCell ref="D101:E101"/>
    <mergeCell ref="A108:A110"/>
    <mergeCell ref="B108:B110"/>
    <mergeCell ref="C108:G108"/>
    <mergeCell ref="C109:D109"/>
    <mergeCell ref="E109:F109"/>
    <mergeCell ref="G109:G110"/>
    <mergeCell ref="B116:E116"/>
    <mergeCell ref="F116:I116"/>
    <mergeCell ref="B117:C117"/>
    <mergeCell ref="D117:E117"/>
    <mergeCell ref="F117:G117"/>
    <mergeCell ref="H117:I117"/>
  </mergeCells>
  <dataValidations count="8">
    <dataValidation operator="greaterThanOrEqual" allowBlank="1" showInputMessage="1" showErrorMessage="1" errorTitle="Error de ingreso" error="Debe ingresar sólo números." sqref="F65:G67" xr:uid="{00000000-0002-0000-1700-000000000000}"/>
    <dataValidation allowBlank="1" showInputMessage="1" showErrorMessage="1" errorTitle="Error de ingreso" error="Debe ingresar sólo números." sqref="B65:E65" xr:uid="{00000000-0002-0000-1700-000001000000}"/>
    <dataValidation type="whole" allowBlank="1" showInputMessage="1" showErrorMessage="1" errorTitle="Error de ingreso" error="Debe ingresar sólo números." sqref="B49:E52 B38:C43 B33:C33 B35:C36 B58:E64 D33:E43 B67:E68" xr:uid="{00B80079-00C3-4CFE-A3AE-003300B30009}">
      <formula1>0</formula1>
      <formula2>99999</formula2>
    </dataValidation>
    <dataValidation type="whole" operator="greaterThanOrEqual" allowBlank="1" showInputMessage="1" showErrorMessage="1" errorTitle="Error de ingreso" error="Debe ingresar sólo números." sqref="B78:I79 F58:Q63 D16:E27 H65:Q72 F68:G68 C97:D98 C91:F92 C85:E86" xr:uid="{00750096-001B-47EB-98A1-001200660087}">
      <formula1>0</formula1>
    </dataValidation>
    <dataValidation type="whole" operator="greaterThanOrEqual" allowBlank="1" showInputMessage="1" showErrorMessage="1" sqref="B23:C27 B15:Q15 B19:C20 B48:U48 B17:C17 B32:Q32" xr:uid="{00210004-0093-4C0E-8835-00F300EB0096}">
      <formula1>0</formula1>
    </dataValidation>
    <dataValidation type="whole" allowBlank="1" showInputMessage="1" showErrorMessage="1" sqref="B37:C37 B16:C16 B21:C22 B34:C34 B18:C18 F16:Q27 P33:Q43 F33:O34 F37:O43 F35:O36" xr:uid="{00F60087-006C-477E-B336-006600E50029}">
      <formula1>0</formula1>
      <formula2>9.99999999999999E+40</formula2>
    </dataValidation>
    <dataValidation type="whole" allowBlank="1" showInputMessage="1" showErrorMessage="1" sqref="F49:U52 B104:E106 C111:G114 B119:I120 B124:F125" xr:uid="{005E0024-0077-4673-9067-00FF004F0019}">
      <formula1>0</formula1>
      <formula2>9.99999999999999E+38</formula2>
    </dataValidation>
    <dataValidation type="whole" allowBlank="1" showInputMessage="1" showErrorMessage="1" sqref="B69:G72" xr:uid="{007B00A6-009D-4DCB-98FD-00D800F400A1}">
      <formula1>0</formula1>
      <formula2>9.99999999999999E+42</formula2>
    </dataValidation>
  </dataValidations>
  <pageMargins left="0.7" right="0.7" top="0.75" bottom="0.75" header="0.3" footer="0.3"/>
  <pageSetup paperSize="9" orientation="portrait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Hoja25"/>
  <dimension ref="A1:CK320"/>
  <sheetViews>
    <sheetView showGridLines="0" workbookViewId="0"/>
  </sheetViews>
  <sheetFormatPr baseColWidth="10" defaultColWidth="11.42578125" defaultRowHeight="15"/>
  <cols>
    <col min="1" max="1" width="41.85546875" customWidth="1"/>
    <col min="2" max="2" width="17.42578125" customWidth="1"/>
    <col min="3" max="3" width="14.140625" customWidth="1"/>
    <col min="6" max="11" width="11.140625" customWidth="1"/>
    <col min="12" max="12" width="12.42578125" customWidth="1"/>
    <col min="13" max="13" width="12.28515625" customWidth="1"/>
    <col min="14" max="14" width="12.85546875" customWidth="1"/>
    <col min="15" max="15" width="12.140625" customWidth="1"/>
    <col min="16" max="16" width="12" customWidth="1"/>
    <col min="17" max="17" width="13.7109375" customWidth="1"/>
    <col min="18" max="18" width="12.42578125" customWidth="1"/>
    <col min="19" max="19" width="11.140625" customWidth="1"/>
    <col min="20" max="21" width="12.42578125" customWidth="1"/>
    <col min="22" max="22" width="11" customWidth="1"/>
    <col min="23" max="23" width="10.7109375" customWidth="1"/>
    <col min="25" max="25" width="12.28515625" customWidth="1"/>
    <col min="26" max="26" width="13.140625" customWidth="1"/>
    <col min="27" max="27" width="10.28515625" customWidth="1"/>
    <col min="28" max="28" width="12.140625" customWidth="1"/>
    <col min="29" max="29" width="12.42578125" customWidth="1"/>
    <col min="30" max="30" width="12" customWidth="1"/>
    <col min="31" max="31" width="12.7109375" customWidth="1"/>
    <col min="32" max="32" width="11" customWidth="1"/>
    <col min="33" max="34" width="11.7109375" customWidth="1"/>
    <col min="35" max="35" width="10.42578125" customWidth="1"/>
    <col min="36" max="36" width="11.85546875" customWidth="1"/>
    <col min="38" max="38" width="10.85546875" customWidth="1"/>
    <col min="40" max="40" width="11.7109375" customWidth="1"/>
    <col min="44" max="44" width="13.5703125" customWidth="1"/>
    <col min="45" max="45" width="14.42578125" customWidth="1"/>
    <col min="79" max="84" width="11.42578125" style="1945" hidden="1" customWidth="1"/>
    <col min="85" max="85" width="11.42578125" hidden="1" customWidth="1"/>
    <col min="86" max="88" width="11.42578125" style="419" hidden="1" customWidth="1"/>
    <col min="89" max="89" width="11.42578125" hidden="1" customWidth="1"/>
    <col min="90" max="90" width="11.42578125" customWidth="1"/>
  </cols>
  <sheetData>
    <row r="1" spans="1:89">
      <c r="A1" s="378" t="s">
        <v>37</v>
      </c>
      <c r="CA1"/>
      <c r="CB1"/>
      <c r="CC1"/>
      <c r="CD1"/>
      <c r="CE1"/>
      <c r="CF1"/>
      <c r="CH1"/>
      <c r="CI1"/>
      <c r="CJ1"/>
    </row>
    <row r="2" spans="1:89">
      <c r="A2" s="378" t="str">
        <f>CONCATENATE("COMUNA: ",NOMBRE!B2, " (",NOMBRE!C2,NOMBRE!D2,NOMBRE!E2,NOMBRE!F2,NOMBRE!G2,")")</f>
        <v>COMUNA: MAIPU (13119)</v>
      </c>
      <c r="CA2"/>
      <c r="CB2"/>
      <c r="CC2"/>
      <c r="CD2"/>
      <c r="CE2"/>
      <c r="CF2"/>
      <c r="CH2"/>
      <c r="CI2"/>
      <c r="CJ2"/>
    </row>
    <row r="3" spans="1:89">
      <c r="A3" s="378" t="str">
        <f>CONCATENATE("ESTABLECIMIENTO/ESTRATEGIA: ", NOMBRE!B3, " (",NOMBRE!C3,NOMBRE!D3,NOMBRE!E3,NOMBRE!F3,NOMBRE!G3,NOMBRE!H3,")")</f>
        <v>ESTABLECIMIENTO/ESTRATEGIA: CESFAM DR. CARLOS GODOY (111380)</v>
      </c>
      <c r="CA3"/>
      <c r="CB3"/>
      <c r="CC3"/>
      <c r="CD3"/>
      <c r="CE3"/>
      <c r="CF3"/>
      <c r="CH3"/>
      <c r="CI3"/>
      <c r="CJ3"/>
    </row>
    <row r="4" spans="1:89">
      <c r="A4" s="378" t="str">
        <f>CONCATENATE("MES: ",NOMBRE!B6, " (",NOMBRE!C6,NOMBRE!D6,")")</f>
        <v>MES: MARZO (03)</v>
      </c>
      <c r="CA4"/>
      <c r="CB4"/>
      <c r="CC4"/>
      <c r="CD4"/>
      <c r="CE4"/>
      <c r="CF4"/>
      <c r="CH4"/>
      <c r="CI4"/>
      <c r="CJ4"/>
    </row>
    <row r="5" spans="1:89">
      <c r="A5" s="378" t="str">
        <f>CONCATENATE("AÑO: ",NOMBRE!B7)</f>
        <v>AÑO: 2026</v>
      </c>
      <c r="CA5"/>
      <c r="CB5"/>
      <c r="CC5"/>
      <c r="CD5"/>
      <c r="CE5"/>
      <c r="CF5"/>
      <c r="CH5"/>
      <c r="CI5"/>
      <c r="CJ5"/>
    </row>
    <row r="6" spans="1:89" ht="18" customHeight="1">
      <c r="A6" s="5704" t="s">
        <v>4027</v>
      </c>
      <c r="B6" s="5704"/>
      <c r="C6" s="5704"/>
      <c r="D6" s="5704"/>
      <c r="E6" s="5704"/>
      <c r="F6" s="5704"/>
      <c r="G6" s="5704"/>
      <c r="H6" s="5704"/>
      <c r="I6" s="5704"/>
      <c r="J6" s="5704"/>
      <c r="K6" s="5704"/>
      <c r="L6" s="5704"/>
      <c r="M6" s="5704"/>
      <c r="N6" s="5704"/>
      <c r="O6" s="5704"/>
      <c r="P6" s="5704"/>
      <c r="Q6" s="5704"/>
      <c r="R6" s="5704"/>
      <c r="S6" s="5704"/>
      <c r="T6" s="5704"/>
      <c r="CA6"/>
      <c r="CB6"/>
      <c r="CC6"/>
      <c r="CD6"/>
      <c r="CE6"/>
      <c r="CF6"/>
      <c r="CH6"/>
      <c r="CI6"/>
      <c r="CJ6"/>
    </row>
    <row r="7" spans="1:89">
      <c r="CA7"/>
      <c r="CB7"/>
      <c r="CC7"/>
      <c r="CD7"/>
      <c r="CE7"/>
      <c r="CF7"/>
      <c r="CH7"/>
      <c r="CI7"/>
      <c r="CJ7"/>
    </row>
    <row r="8" spans="1:89" s="2832" customFormat="1" ht="17.100000000000001" customHeight="1">
      <c r="A8" s="7216" t="s">
        <v>4028</v>
      </c>
      <c r="B8" s="7216"/>
      <c r="C8" s="7216"/>
      <c r="D8" s="7216"/>
      <c r="E8" s="7216"/>
      <c r="F8" s="7216"/>
      <c r="G8" s="7216"/>
      <c r="H8" s="7216"/>
      <c r="I8" s="7216"/>
      <c r="J8" s="7216"/>
      <c r="K8" s="5047"/>
    </row>
    <row r="9" spans="1:89" ht="20.100000000000001" customHeight="1">
      <c r="A9" s="6069" t="s">
        <v>4029</v>
      </c>
      <c r="B9" s="6070"/>
      <c r="C9" s="6069" t="s">
        <v>91</v>
      </c>
      <c r="D9" s="6069"/>
      <c r="E9" s="6070"/>
      <c r="F9" s="6049" t="s">
        <v>115</v>
      </c>
      <c r="G9" s="6060"/>
      <c r="H9" s="6060"/>
      <c r="I9" s="6060"/>
      <c r="J9" s="6060"/>
      <c r="K9" s="6060"/>
      <c r="L9" s="6060"/>
      <c r="M9" s="6060"/>
      <c r="N9" s="6060"/>
      <c r="O9" s="6060"/>
      <c r="P9" s="6060"/>
      <c r="Q9" s="6060"/>
      <c r="R9" s="6060"/>
      <c r="S9" s="6060"/>
      <c r="T9" s="6060"/>
      <c r="U9" s="6060"/>
      <c r="V9" s="6060"/>
      <c r="W9" s="6060"/>
      <c r="X9" s="6060"/>
      <c r="Y9" s="6060"/>
      <c r="Z9" s="6060"/>
      <c r="AA9" s="6060"/>
      <c r="AB9" s="6060"/>
      <c r="AC9" s="6060"/>
      <c r="AD9" s="6060"/>
      <c r="AE9" s="6060"/>
      <c r="AF9" s="6060"/>
      <c r="AG9" s="6060"/>
      <c r="AH9" s="6060"/>
      <c r="AI9" s="6060"/>
      <c r="AJ9" s="6060"/>
      <c r="AK9" s="6060"/>
      <c r="AL9" s="6060"/>
      <c r="AM9" s="6080"/>
      <c r="AN9" s="7217" t="s">
        <v>4030</v>
      </c>
      <c r="AO9" s="7226" t="s">
        <v>625</v>
      </c>
      <c r="AP9" s="7226" t="s">
        <v>50</v>
      </c>
      <c r="AQ9" s="7226" t="s">
        <v>51</v>
      </c>
      <c r="AR9" s="6256" t="s">
        <v>514</v>
      </c>
      <c r="AS9" s="7229" t="s">
        <v>4031</v>
      </c>
      <c r="AT9" s="7213" t="s">
        <v>1315</v>
      </c>
      <c r="AU9" s="6259" t="s">
        <v>3046</v>
      </c>
      <c r="AV9" s="7213" t="s">
        <v>4032</v>
      </c>
      <c r="AW9" s="7223" t="s">
        <v>4033</v>
      </c>
      <c r="CA9"/>
      <c r="CB9"/>
      <c r="CC9"/>
      <c r="CD9"/>
      <c r="CE9"/>
      <c r="CF9"/>
      <c r="CH9"/>
      <c r="CI9"/>
      <c r="CJ9"/>
    </row>
    <row r="10" spans="1:89" ht="18" customHeight="1">
      <c r="A10" s="6072"/>
      <c r="B10" s="6073"/>
      <c r="C10" s="6075"/>
      <c r="D10" s="6075"/>
      <c r="E10" s="6076"/>
      <c r="F10" s="6049" t="s">
        <v>117</v>
      </c>
      <c r="G10" s="6059"/>
      <c r="H10" s="6060" t="s">
        <v>56</v>
      </c>
      <c r="I10" s="6059"/>
      <c r="J10" s="6060" t="s">
        <v>4034</v>
      </c>
      <c r="K10" s="6059"/>
      <c r="L10" s="6049" t="s">
        <v>58</v>
      </c>
      <c r="M10" s="6059"/>
      <c r="N10" s="6727" t="s">
        <v>59</v>
      </c>
      <c r="O10" s="6371"/>
      <c r="P10" s="6727" t="s">
        <v>60</v>
      </c>
      <c r="Q10" s="6371"/>
      <c r="R10" s="6727" t="s">
        <v>61</v>
      </c>
      <c r="S10" s="6371"/>
      <c r="T10" s="6727" t="s">
        <v>62</v>
      </c>
      <c r="U10" s="6371"/>
      <c r="V10" s="6727" t="s">
        <v>63</v>
      </c>
      <c r="W10" s="6371"/>
      <c r="X10" s="6727" t="s">
        <v>64</v>
      </c>
      <c r="Y10" s="6371"/>
      <c r="Z10" s="6727" t="s">
        <v>65</v>
      </c>
      <c r="AA10" s="6371"/>
      <c r="AB10" s="6727" t="s">
        <v>66</v>
      </c>
      <c r="AC10" s="6371"/>
      <c r="AD10" s="6727" t="s">
        <v>67</v>
      </c>
      <c r="AE10" s="6371"/>
      <c r="AF10" s="6727" t="s">
        <v>68</v>
      </c>
      <c r="AG10" s="6371"/>
      <c r="AH10" s="6727" t="s">
        <v>69</v>
      </c>
      <c r="AI10" s="6371"/>
      <c r="AJ10" s="6727" t="s">
        <v>70</v>
      </c>
      <c r="AK10" s="6371"/>
      <c r="AL10" s="6727" t="s">
        <v>497</v>
      </c>
      <c r="AM10" s="7220"/>
      <c r="AN10" s="7218"/>
      <c r="AO10" s="7227"/>
      <c r="AP10" s="7227"/>
      <c r="AQ10" s="7227"/>
      <c r="AR10" s="6257"/>
      <c r="AS10" s="7230"/>
      <c r="AT10" s="7214"/>
      <c r="AU10" s="7221"/>
      <c r="AV10" s="7214"/>
      <c r="AW10" s="7224"/>
      <c r="CA10"/>
      <c r="CB10"/>
      <c r="CC10"/>
      <c r="CD10"/>
      <c r="CE10"/>
      <c r="CF10"/>
      <c r="CH10"/>
      <c r="CI10"/>
      <c r="CJ10"/>
    </row>
    <row r="11" spans="1:89" ht="18" customHeight="1">
      <c r="A11" s="6075"/>
      <c r="B11" s="6076"/>
      <c r="C11" s="5050" t="s">
        <v>93</v>
      </c>
      <c r="D11" s="5051" t="s">
        <v>72</v>
      </c>
      <c r="E11" s="1589" t="s">
        <v>73</v>
      </c>
      <c r="F11" s="1497" t="s">
        <v>72</v>
      </c>
      <c r="G11" s="1594" t="s">
        <v>73</v>
      </c>
      <c r="H11" s="2539" t="s">
        <v>72</v>
      </c>
      <c r="I11" s="1594" t="s">
        <v>73</v>
      </c>
      <c r="J11" s="2539" t="s">
        <v>72</v>
      </c>
      <c r="K11" s="1594" t="s">
        <v>73</v>
      </c>
      <c r="L11" s="1497" t="s">
        <v>72</v>
      </c>
      <c r="M11" s="1594" t="s">
        <v>73</v>
      </c>
      <c r="N11" s="1497" t="s">
        <v>72</v>
      </c>
      <c r="O11" s="1594" t="s">
        <v>73</v>
      </c>
      <c r="P11" s="1497" t="s">
        <v>72</v>
      </c>
      <c r="Q11" s="1594" t="s">
        <v>73</v>
      </c>
      <c r="R11" s="1497" t="s">
        <v>72</v>
      </c>
      <c r="S11" s="1594" t="s">
        <v>73</v>
      </c>
      <c r="T11" s="1497" t="s">
        <v>72</v>
      </c>
      <c r="U11" s="1594" t="s">
        <v>73</v>
      </c>
      <c r="V11" s="1497" t="s">
        <v>72</v>
      </c>
      <c r="W11" s="1594" t="s">
        <v>73</v>
      </c>
      <c r="X11" s="1497" t="s">
        <v>72</v>
      </c>
      <c r="Y11" s="1594" t="s">
        <v>73</v>
      </c>
      <c r="Z11" s="1497" t="s">
        <v>72</v>
      </c>
      <c r="AA11" s="1594" t="s">
        <v>73</v>
      </c>
      <c r="AB11" s="1497" t="s">
        <v>72</v>
      </c>
      <c r="AC11" s="1594" t="s">
        <v>73</v>
      </c>
      <c r="AD11" s="1497" t="s">
        <v>72</v>
      </c>
      <c r="AE11" s="1594" t="s">
        <v>73</v>
      </c>
      <c r="AF11" s="1497" t="s">
        <v>72</v>
      </c>
      <c r="AG11" s="1594" t="s">
        <v>73</v>
      </c>
      <c r="AH11" s="1497" t="s">
        <v>72</v>
      </c>
      <c r="AI11" s="1594" t="s">
        <v>73</v>
      </c>
      <c r="AJ11" s="1497" t="s">
        <v>72</v>
      </c>
      <c r="AK11" s="1594" t="s">
        <v>73</v>
      </c>
      <c r="AL11" s="1497" t="s">
        <v>72</v>
      </c>
      <c r="AM11" s="1596" t="s">
        <v>73</v>
      </c>
      <c r="AN11" s="7219"/>
      <c r="AO11" s="7228"/>
      <c r="AP11" s="7228"/>
      <c r="AQ11" s="7228"/>
      <c r="AR11" s="6258"/>
      <c r="AS11" s="7231"/>
      <c r="AT11" s="7215"/>
      <c r="AU11" s="7222"/>
      <c r="AV11" s="7215"/>
      <c r="AW11" s="7225"/>
      <c r="CA11"/>
      <c r="CB11"/>
      <c r="CC11"/>
      <c r="CD11"/>
      <c r="CE11"/>
      <c r="CF11"/>
      <c r="CH11"/>
      <c r="CI11"/>
      <c r="CJ11"/>
    </row>
    <row r="12" spans="1:89" s="1470" customFormat="1" ht="15" customHeight="1">
      <c r="A12" s="6887" t="s">
        <v>4035</v>
      </c>
      <c r="B12" s="5054" t="s">
        <v>4036</v>
      </c>
      <c r="C12" s="447">
        <f t="shared" ref="C12:C28" si="0">+D12+E12</f>
        <v>0</v>
      </c>
      <c r="D12" s="409">
        <f t="shared" ref="D12:E28" si="1">+F12+H12+J12+L12+N12+P12+R12+T12+V12+X12+Z12+AB12+AD12+AF12+AH12+AJ12+AL12</f>
        <v>0</v>
      </c>
      <c r="E12" s="410">
        <f>+G12+I12+K12+M12+O12+Q12+S12+U12+W12+Y12+AA12+AC12+AE12+AG12+AI12+AK12+AM12</f>
        <v>0</v>
      </c>
      <c r="F12" s="1517"/>
      <c r="G12" s="1821"/>
      <c r="H12" s="1881"/>
      <c r="I12" s="1821"/>
      <c r="J12" s="1881"/>
      <c r="K12" s="1821"/>
      <c r="L12" s="1881"/>
      <c r="M12" s="1821"/>
      <c r="N12" s="1881"/>
      <c r="O12" s="1821"/>
      <c r="P12" s="1881"/>
      <c r="Q12" s="1821"/>
      <c r="R12" s="1881"/>
      <c r="S12" s="1821"/>
      <c r="T12" s="1881"/>
      <c r="U12" s="1821"/>
      <c r="V12" s="1881"/>
      <c r="W12" s="1821"/>
      <c r="X12" s="1881"/>
      <c r="Y12" s="1821"/>
      <c r="Z12" s="1881"/>
      <c r="AA12" s="1821"/>
      <c r="AB12" s="1881"/>
      <c r="AC12" s="1821"/>
      <c r="AD12" s="1881"/>
      <c r="AE12" s="1821"/>
      <c r="AF12" s="1881"/>
      <c r="AG12" s="1821"/>
      <c r="AH12" s="1881"/>
      <c r="AI12" s="1821"/>
      <c r="AJ12" s="1881"/>
      <c r="AK12" s="1821"/>
      <c r="AL12" s="1881"/>
      <c r="AM12" s="2355"/>
      <c r="AN12" s="1907"/>
      <c r="AO12" s="1407"/>
      <c r="AP12" s="1518"/>
      <c r="AQ12" s="1518"/>
      <c r="AR12" s="1845"/>
      <c r="AS12" s="1521"/>
      <c r="AT12" s="1411"/>
      <c r="AU12" s="1770"/>
      <c r="AV12" s="1522"/>
      <c r="AW12" s="1523"/>
      <c r="AX12" s="1470" t="str">
        <f t="shared" ref="AX12:AX27" si="2">CA12&amp;CB12&amp;CC12&amp;CD12&amp;CE12&amp;CF12</f>
        <v/>
      </c>
      <c r="CA12" s="4429" t="str">
        <f t="shared" ref="CA12:CA27" si="3">IF(AND(C12&gt;0,AO12="")," * No olvide digitar la variable Beneficiarios. Digite Cero si no tiene.",IF(AO12&gt;C12,"  *La variable Beneficiarios No puede ser mayor al Total Ambos Sexos.",""))</f>
        <v/>
      </c>
      <c r="CB12" s="4429" t="str">
        <f t="shared" ref="CB12:CB27" si="4">IF(AND(C12&gt;0,AP12="")," * No olvide digitar la variable Pueblos originarios. Digite Cero si no tiene.",IF(AP12&gt;C12,"  * La variable pueblos originarios No puede ser mayor al Total Ambos Sexos.",""))</f>
        <v/>
      </c>
      <c r="CC12" s="4429" t="str">
        <f t="shared" ref="CC12:CC27" si="5">IF(AND(C12&gt;0,AQ12="")," * No olvide digitar la variable Migrantes. Digite Cero si no tiene.",IF(AQ12&gt;C12,"  * La variable Migrantes No puede ser mayor al Total Ambos Sexos.",""))</f>
        <v/>
      </c>
      <c r="CD12" s="4429" t="str">
        <f t="shared" ref="CD12:CD27" si="6">IF(AND(C12&gt;0,AR12="")," * No olvide digitar la variable "&amp;AR$9&amp;""&amp;". Digite Cero si no tiene.",IF(AR12&gt;C12,"  * La variable "&amp;AR$9&amp;""&amp;" No puede ser mayor al Total Ambos Sexos.",""))</f>
        <v/>
      </c>
      <c r="CH12" s="1420">
        <f t="shared" ref="CH12:CH27" si="7">IF(AND(C12&gt;0,AO12=""),1,IF(AO12&gt;C12,1,0))</f>
        <v>0</v>
      </c>
      <c r="CI12" s="1420">
        <f t="shared" ref="CI12:CI27" si="8">IF(AND(C12&gt;0,AP12=""),1,IF(AP12&gt;C12,1,0))</f>
        <v>0</v>
      </c>
      <c r="CJ12" s="1420">
        <f t="shared" ref="CJ12:CJ27" si="9">IF(AND(C12&gt;0,AQ12=""),1,IF(AQ12&gt;C12,1,0))</f>
        <v>0</v>
      </c>
      <c r="CK12" s="1420">
        <f t="shared" ref="CK12:CK27" si="10">IF(AND(C12&gt;0,AR12=""),1,IF(AR12&gt;C12,1,0))</f>
        <v>0</v>
      </c>
    </row>
    <row r="13" spans="1:89" s="1470" customFormat="1" ht="15" customHeight="1">
      <c r="A13" s="7232"/>
      <c r="B13" s="5055" t="s">
        <v>4037</v>
      </c>
      <c r="C13" s="408">
        <f t="shared" si="0"/>
        <v>0</v>
      </c>
      <c r="D13" s="421">
        <f t="shared" si="1"/>
        <v>0</v>
      </c>
      <c r="E13" s="422">
        <f t="shared" si="1"/>
        <v>0</v>
      </c>
      <c r="F13" s="1485"/>
      <c r="G13" s="1824"/>
      <c r="H13" s="1826"/>
      <c r="I13" s="1824"/>
      <c r="J13" s="1826"/>
      <c r="K13" s="1824"/>
      <c r="L13" s="1826"/>
      <c r="M13" s="1824"/>
      <c r="N13" s="1826"/>
      <c r="O13" s="1824"/>
      <c r="P13" s="1826"/>
      <c r="Q13" s="1824"/>
      <c r="R13" s="1826"/>
      <c r="S13" s="1824"/>
      <c r="T13" s="1826"/>
      <c r="U13" s="1824"/>
      <c r="V13" s="1826"/>
      <c r="W13" s="1824"/>
      <c r="X13" s="1826"/>
      <c r="Y13" s="1824"/>
      <c r="Z13" s="1826"/>
      <c r="AA13" s="1824"/>
      <c r="AB13" s="1826"/>
      <c r="AC13" s="1824"/>
      <c r="AD13" s="1826"/>
      <c r="AE13" s="1824"/>
      <c r="AF13" s="1826"/>
      <c r="AG13" s="1824"/>
      <c r="AH13" s="1826"/>
      <c r="AI13" s="1824"/>
      <c r="AJ13" s="1826"/>
      <c r="AK13" s="1824"/>
      <c r="AL13" s="1826"/>
      <c r="AM13" s="2352"/>
      <c r="AN13" s="1711"/>
      <c r="AO13" s="1712"/>
      <c r="AP13" s="1712"/>
      <c r="AQ13" s="1712"/>
      <c r="AR13" s="1487"/>
      <c r="AS13" s="1693"/>
      <c r="AT13" s="1488"/>
      <c r="AU13" s="1487"/>
      <c r="AV13" s="1488"/>
      <c r="AW13" s="1692"/>
      <c r="AX13" s="1470" t="str">
        <f t="shared" si="2"/>
        <v/>
      </c>
      <c r="CA13" s="4429" t="str">
        <f t="shared" si="3"/>
        <v/>
      </c>
      <c r="CB13" s="4429" t="str">
        <f t="shared" si="4"/>
        <v/>
      </c>
      <c r="CC13" s="4429" t="str">
        <f t="shared" si="5"/>
        <v/>
      </c>
      <c r="CD13" s="4429" t="str">
        <f t="shared" si="6"/>
        <v/>
      </c>
      <c r="CH13" s="1420">
        <f t="shared" si="7"/>
        <v>0</v>
      </c>
      <c r="CI13" s="1420">
        <f t="shared" si="8"/>
        <v>0</v>
      </c>
      <c r="CJ13" s="1420">
        <f t="shared" si="9"/>
        <v>0</v>
      </c>
      <c r="CK13" s="1420">
        <f t="shared" si="10"/>
        <v>0</v>
      </c>
    </row>
    <row r="14" spans="1:89" s="1470" customFormat="1" ht="15" customHeight="1">
      <c r="A14" s="6889"/>
      <c r="B14" s="5056" t="s">
        <v>4038</v>
      </c>
      <c r="C14" s="429">
        <f t="shared" si="0"/>
        <v>0</v>
      </c>
      <c r="D14" s="430">
        <f t="shared" si="1"/>
        <v>0</v>
      </c>
      <c r="E14" s="431">
        <f t="shared" si="1"/>
        <v>0</v>
      </c>
      <c r="F14" s="1455"/>
      <c r="G14" s="1684"/>
      <c r="H14" s="1456"/>
      <c r="I14" s="1684"/>
      <c r="J14" s="1456"/>
      <c r="K14" s="1684"/>
      <c r="L14" s="1456"/>
      <c r="M14" s="1684"/>
      <c r="N14" s="1456"/>
      <c r="O14" s="1684"/>
      <c r="P14" s="1456"/>
      <c r="Q14" s="1684"/>
      <c r="R14" s="1456"/>
      <c r="S14" s="1684"/>
      <c r="T14" s="1456"/>
      <c r="U14" s="1684"/>
      <c r="V14" s="1456"/>
      <c r="W14" s="1684"/>
      <c r="X14" s="1456"/>
      <c r="Y14" s="1684"/>
      <c r="Z14" s="1456"/>
      <c r="AA14" s="1684"/>
      <c r="AB14" s="1456"/>
      <c r="AC14" s="1684"/>
      <c r="AD14" s="1456"/>
      <c r="AE14" s="1684"/>
      <c r="AF14" s="1456"/>
      <c r="AG14" s="1684"/>
      <c r="AH14" s="1456"/>
      <c r="AI14" s="1684"/>
      <c r="AJ14" s="1456"/>
      <c r="AK14" s="1684"/>
      <c r="AL14" s="1456"/>
      <c r="AM14" s="1458"/>
      <c r="AN14" s="1714"/>
      <c r="AO14" s="1457"/>
      <c r="AP14" s="1457"/>
      <c r="AQ14" s="1457"/>
      <c r="AR14" s="1490"/>
      <c r="AS14" s="1460"/>
      <c r="AT14" s="1461"/>
      <c r="AU14" s="1490"/>
      <c r="AV14" s="1461"/>
      <c r="AW14" s="1467"/>
      <c r="AX14" s="1470" t="str">
        <f t="shared" si="2"/>
        <v/>
      </c>
      <c r="CA14" s="4429" t="str">
        <f t="shared" si="3"/>
        <v/>
      </c>
      <c r="CB14" s="4429" t="str">
        <f t="shared" si="4"/>
        <v/>
      </c>
      <c r="CC14" s="4429" t="str">
        <f t="shared" si="5"/>
        <v/>
      </c>
      <c r="CD14" s="4429" t="str">
        <f t="shared" si="6"/>
        <v/>
      </c>
      <c r="CH14" s="1420">
        <f t="shared" si="7"/>
        <v>0</v>
      </c>
      <c r="CI14" s="1420">
        <f t="shared" si="8"/>
        <v>0</v>
      </c>
      <c r="CJ14" s="1420">
        <f t="shared" si="9"/>
        <v>0</v>
      </c>
      <c r="CK14" s="1420">
        <f t="shared" si="10"/>
        <v>0</v>
      </c>
    </row>
    <row r="15" spans="1:89" s="1470" customFormat="1" ht="15" customHeight="1">
      <c r="A15" s="6373" t="s">
        <v>4039</v>
      </c>
      <c r="B15" s="3548" t="s">
        <v>4040</v>
      </c>
      <c r="C15" s="5057">
        <f t="shared" si="0"/>
        <v>0</v>
      </c>
      <c r="D15" s="5058">
        <f t="shared" si="1"/>
        <v>0</v>
      </c>
      <c r="E15" s="1607">
        <f t="shared" si="1"/>
        <v>0</v>
      </c>
      <c r="F15" s="1480"/>
      <c r="G15" s="1769"/>
      <c r="H15" s="1796"/>
      <c r="I15" s="1769"/>
      <c r="J15" s="1796"/>
      <c r="K15" s="1545"/>
      <c r="L15" s="1796"/>
      <c r="M15" s="1545"/>
      <c r="N15" s="1796"/>
      <c r="O15" s="1545"/>
      <c r="P15" s="1796"/>
      <c r="Q15" s="1545"/>
      <c r="R15" s="1796"/>
      <c r="S15" s="1545"/>
      <c r="T15" s="1796"/>
      <c r="U15" s="1545"/>
      <c r="V15" s="1796"/>
      <c r="W15" s="1545"/>
      <c r="X15" s="1796"/>
      <c r="Y15" s="1545"/>
      <c r="Z15" s="1796"/>
      <c r="AA15" s="1545"/>
      <c r="AB15" s="1796"/>
      <c r="AC15" s="1545"/>
      <c r="AD15" s="1796"/>
      <c r="AE15" s="1545"/>
      <c r="AF15" s="1796"/>
      <c r="AG15" s="1545"/>
      <c r="AH15" s="1796"/>
      <c r="AI15" s="1545"/>
      <c r="AJ15" s="1796"/>
      <c r="AK15" s="1545"/>
      <c r="AL15" s="1796"/>
      <c r="AM15" s="1482"/>
      <c r="AN15" s="1754"/>
      <c r="AO15" s="1541"/>
      <c r="AP15" s="1541"/>
      <c r="AQ15" s="1541"/>
      <c r="AR15" s="1482"/>
      <c r="AS15" s="1544"/>
      <c r="AT15" s="1483"/>
      <c r="AU15" s="1482"/>
      <c r="AV15" s="1483"/>
      <c r="AW15" s="1545"/>
      <c r="AX15" s="1470" t="str">
        <f t="shared" si="2"/>
        <v/>
      </c>
      <c r="CA15" s="4429" t="str">
        <f t="shared" si="3"/>
        <v/>
      </c>
      <c r="CB15" s="4429" t="str">
        <f t="shared" si="4"/>
        <v/>
      </c>
      <c r="CC15" s="4429" t="str">
        <f t="shared" si="5"/>
        <v/>
      </c>
      <c r="CD15" s="4429" t="str">
        <f t="shared" si="6"/>
        <v/>
      </c>
      <c r="CH15" s="1420">
        <f t="shared" si="7"/>
        <v>0</v>
      </c>
      <c r="CI15" s="1420">
        <f t="shared" si="8"/>
        <v>0</v>
      </c>
      <c r="CJ15" s="1420">
        <f t="shared" si="9"/>
        <v>0</v>
      </c>
      <c r="CK15" s="1420">
        <f t="shared" si="10"/>
        <v>0</v>
      </c>
    </row>
    <row r="16" spans="1:89" s="1470" customFormat="1" ht="15" customHeight="1">
      <c r="A16" s="6373"/>
      <c r="B16" s="3549" t="s">
        <v>4041</v>
      </c>
      <c r="C16" s="5057">
        <f t="shared" si="0"/>
        <v>0</v>
      </c>
      <c r="D16" s="5058">
        <f t="shared" si="1"/>
        <v>0</v>
      </c>
      <c r="E16" s="1619">
        <f t="shared" si="1"/>
        <v>0</v>
      </c>
      <c r="F16" s="1480"/>
      <c r="G16" s="1769"/>
      <c r="H16" s="1796"/>
      <c r="I16" s="1769"/>
      <c r="J16" s="1796"/>
      <c r="K16" s="1545"/>
      <c r="L16" s="1796"/>
      <c r="M16" s="1545"/>
      <c r="N16" s="1796"/>
      <c r="O16" s="1545"/>
      <c r="P16" s="1796"/>
      <c r="Q16" s="1545"/>
      <c r="R16" s="1796"/>
      <c r="S16" s="1545"/>
      <c r="T16" s="1796"/>
      <c r="U16" s="1545"/>
      <c r="V16" s="1796"/>
      <c r="W16" s="1545"/>
      <c r="X16" s="1796"/>
      <c r="Y16" s="1545"/>
      <c r="Z16" s="1796"/>
      <c r="AA16" s="1545"/>
      <c r="AB16" s="1796"/>
      <c r="AC16" s="1545"/>
      <c r="AD16" s="1796"/>
      <c r="AE16" s="1545"/>
      <c r="AF16" s="1796"/>
      <c r="AG16" s="1545"/>
      <c r="AH16" s="1796"/>
      <c r="AI16" s="1545"/>
      <c r="AJ16" s="1796"/>
      <c r="AK16" s="1545"/>
      <c r="AL16" s="1796"/>
      <c r="AM16" s="1482"/>
      <c r="AN16" s="1754"/>
      <c r="AO16" s="1541"/>
      <c r="AP16" s="1541"/>
      <c r="AQ16" s="1541"/>
      <c r="AR16" s="1482"/>
      <c r="AS16" s="1544"/>
      <c r="AT16" s="1483"/>
      <c r="AU16" s="1482"/>
      <c r="AV16" s="1483"/>
      <c r="AW16" s="1545"/>
      <c r="AX16" s="1470" t="str">
        <f t="shared" si="2"/>
        <v/>
      </c>
      <c r="CA16" s="4429" t="str">
        <f t="shared" si="3"/>
        <v/>
      </c>
      <c r="CB16" s="4429" t="str">
        <f t="shared" si="4"/>
        <v/>
      </c>
      <c r="CC16" s="4429" t="str">
        <f t="shared" si="5"/>
        <v/>
      </c>
      <c r="CD16" s="4429" t="str">
        <f t="shared" si="6"/>
        <v/>
      </c>
      <c r="CH16" s="1420">
        <f t="shared" si="7"/>
        <v>0</v>
      </c>
      <c r="CI16" s="1420">
        <f t="shared" si="8"/>
        <v>0</v>
      </c>
      <c r="CJ16" s="1420">
        <f t="shared" si="9"/>
        <v>0</v>
      </c>
      <c r="CK16" s="1420">
        <f t="shared" si="10"/>
        <v>0</v>
      </c>
    </row>
    <row r="17" spans="1:89" s="1470" customFormat="1" ht="15" customHeight="1">
      <c r="A17" s="6373"/>
      <c r="B17" s="3549" t="s">
        <v>4042</v>
      </c>
      <c r="C17" s="5057">
        <f t="shared" si="0"/>
        <v>0</v>
      </c>
      <c r="D17" s="2901">
        <f t="shared" si="1"/>
        <v>0</v>
      </c>
      <c r="E17" s="1619">
        <f t="shared" si="1"/>
        <v>0</v>
      </c>
      <c r="F17" s="1480"/>
      <c r="G17" s="1769"/>
      <c r="H17" s="1796"/>
      <c r="I17" s="1769"/>
      <c r="J17" s="1796"/>
      <c r="K17" s="1545"/>
      <c r="L17" s="1796"/>
      <c r="M17" s="1545"/>
      <c r="N17" s="1796"/>
      <c r="O17" s="1545"/>
      <c r="P17" s="1796"/>
      <c r="Q17" s="1545"/>
      <c r="R17" s="1796"/>
      <c r="S17" s="1545"/>
      <c r="T17" s="1796"/>
      <c r="U17" s="1545"/>
      <c r="V17" s="1796"/>
      <c r="W17" s="1545"/>
      <c r="X17" s="1796"/>
      <c r="Y17" s="1545"/>
      <c r="Z17" s="1796"/>
      <c r="AA17" s="1545"/>
      <c r="AB17" s="1796"/>
      <c r="AC17" s="1545"/>
      <c r="AD17" s="1796"/>
      <c r="AE17" s="1545"/>
      <c r="AF17" s="1796"/>
      <c r="AG17" s="1545"/>
      <c r="AH17" s="1796"/>
      <c r="AI17" s="1545"/>
      <c r="AJ17" s="1796"/>
      <c r="AK17" s="1545"/>
      <c r="AL17" s="1796"/>
      <c r="AM17" s="1482"/>
      <c r="AN17" s="1754"/>
      <c r="AO17" s="1541"/>
      <c r="AP17" s="1541"/>
      <c r="AQ17" s="1541"/>
      <c r="AR17" s="1482"/>
      <c r="AS17" s="1544"/>
      <c r="AT17" s="1483"/>
      <c r="AU17" s="1482"/>
      <c r="AV17" s="1483"/>
      <c r="AW17" s="1545"/>
      <c r="AX17" s="1470" t="str">
        <f t="shared" si="2"/>
        <v/>
      </c>
      <c r="CA17" s="4429" t="str">
        <f t="shared" si="3"/>
        <v/>
      </c>
      <c r="CB17" s="4429" t="str">
        <f t="shared" si="4"/>
        <v/>
      </c>
      <c r="CC17" s="4429" t="str">
        <f t="shared" si="5"/>
        <v/>
      </c>
      <c r="CD17" s="4429" t="str">
        <f t="shared" si="6"/>
        <v/>
      </c>
      <c r="CH17" s="1420">
        <f t="shared" si="7"/>
        <v>0</v>
      </c>
      <c r="CI17" s="1420">
        <f t="shared" si="8"/>
        <v>0</v>
      </c>
      <c r="CJ17" s="1420">
        <f t="shared" si="9"/>
        <v>0</v>
      </c>
      <c r="CK17" s="1420">
        <f t="shared" si="10"/>
        <v>0</v>
      </c>
    </row>
    <row r="18" spans="1:89" s="1470" customFormat="1" ht="15" customHeight="1">
      <c r="A18" s="6373"/>
      <c r="B18" s="3549" t="s">
        <v>4043</v>
      </c>
      <c r="C18" s="5057">
        <f t="shared" si="0"/>
        <v>0</v>
      </c>
      <c r="D18" s="5058">
        <f t="shared" si="1"/>
        <v>0</v>
      </c>
      <c r="E18" s="1619">
        <f t="shared" si="1"/>
        <v>0</v>
      </c>
      <c r="F18" s="1480"/>
      <c r="G18" s="1769"/>
      <c r="H18" s="1796"/>
      <c r="I18" s="1769"/>
      <c r="J18" s="1796"/>
      <c r="K18" s="1545"/>
      <c r="L18" s="1796"/>
      <c r="M18" s="1545"/>
      <c r="N18" s="1796"/>
      <c r="O18" s="1545"/>
      <c r="P18" s="1796"/>
      <c r="Q18" s="1545"/>
      <c r="R18" s="1796"/>
      <c r="S18" s="1545"/>
      <c r="T18" s="1796"/>
      <c r="U18" s="1545"/>
      <c r="V18" s="1796"/>
      <c r="W18" s="1545"/>
      <c r="X18" s="1796"/>
      <c r="Y18" s="1545"/>
      <c r="Z18" s="1796"/>
      <c r="AA18" s="1545"/>
      <c r="AB18" s="1796"/>
      <c r="AC18" s="1545"/>
      <c r="AD18" s="1796"/>
      <c r="AE18" s="1545"/>
      <c r="AF18" s="1796"/>
      <c r="AG18" s="1545"/>
      <c r="AH18" s="1796"/>
      <c r="AI18" s="1545"/>
      <c r="AJ18" s="1796"/>
      <c r="AK18" s="1545"/>
      <c r="AL18" s="1796"/>
      <c r="AM18" s="1482"/>
      <c r="AN18" s="1754"/>
      <c r="AO18" s="1541"/>
      <c r="AP18" s="1541"/>
      <c r="AQ18" s="1541"/>
      <c r="AR18" s="1482"/>
      <c r="AS18" s="1544"/>
      <c r="AT18" s="1483"/>
      <c r="AU18" s="1482"/>
      <c r="AV18" s="1483"/>
      <c r="AW18" s="1545"/>
      <c r="AX18" s="1470" t="str">
        <f t="shared" si="2"/>
        <v/>
      </c>
      <c r="CA18" s="4429" t="str">
        <f t="shared" si="3"/>
        <v/>
      </c>
      <c r="CB18" s="4429" t="str">
        <f t="shared" si="4"/>
        <v/>
      </c>
      <c r="CC18" s="4429" t="str">
        <f t="shared" si="5"/>
        <v/>
      </c>
      <c r="CD18" s="4429" t="str">
        <f t="shared" si="6"/>
        <v/>
      </c>
      <c r="CH18" s="1420">
        <f t="shared" si="7"/>
        <v>0</v>
      </c>
      <c r="CI18" s="1420">
        <f t="shared" si="8"/>
        <v>0</v>
      </c>
      <c r="CJ18" s="1420">
        <f t="shared" si="9"/>
        <v>0</v>
      </c>
      <c r="CK18" s="1420">
        <f t="shared" si="10"/>
        <v>0</v>
      </c>
    </row>
    <row r="19" spans="1:89" s="1470" customFormat="1" ht="15" customHeight="1">
      <c r="A19" s="6373"/>
      <c r="B19" s="3549" t="s">
        <v>4044</v>
      </c>
      <c r="C19" s="5057">
        <f t="shared" si="0"/>
        <v>0</v>
      </c>
      <c r="D19" s="5058">
        <f t="shared" si="1"/>
        <v>0</v>
      </c>
      <c r="E19" s="1619">
        <f t="shared" si="1"/>
        <v>0</v>
      </c>
      <c r="F19" s="1480"/>
      <c r="G19" s="1769"/>
      <c r="H19" s="1796"/>
      <c r="I19" s="1769"/>
      <c r="J19" s="1796"/>
      <c r="K19" s="1545"/>
      <c r="L19" s="1796"/>
      <c r="M19" s="1545"/>
      <c r="N19" s="1796"/>
      <c r="O19" s="1545"/>
      <c r="P19" s="1796"/>
      <c r="Q19" s="1545"/>
      <c r="R19" s="1796"/>
      <c r="S19" s="1545"/>
      <c r="T19" s="1796"/>
      <c r="U19" s="1545"/>
      <c r="V19" s="1796"/>
      <c r="W19" s="1545"/>
      <c r="X19" s="1796"/>
      <c r="Y19" s="1545"/>
      <c r="Z19" s="1796"/>
      <c r="AA19" s="1545"/>
      <c r="AB19" s="1796"/>
      <c r="AC19" s="1545"/>
      <c r="AD19" s="1796"/>
      <c r="AE19" s="1545"/>
      <c r="AF19" s="1796"/>
      <c r="AG19" s="1545"/>
      <c r="AH19" s="1796"/>
      <c r="AI19" s="1545"/>
      <c r="AJ19" s="1796"/>
      <c r="AK19" s="1545"/>
      <c r="AL19" s="1796"/>
      <c r="AM19" s="1482"/>
      <c r="AN19" s="1754"/>
      <c r="AO19" s="1541"/>
      <c r="AP19" s="1541"/>
      <c r="AQ19" s="1541"/>
      <c r="AR19" s="1482"/>
      <c r="AS19" s="1544"/>
      <c r="AT19" s="1483"/>
      <c r="AU19" s="1482"/>
      <c r="AV19" s="1483"/>
      <c r="AW19" s="1545"/>
      <c r="AX19" s="1470" t="str">
        <f t="shared" si="2"/>
        <v/>
      </c>
      <c r="CA19" s="4429" t="str">
        <f t="shared" si="3"/>
        <v/>
      </c>
      <c r="CB19" s="4429" t="str">
        <f t="shared" si="4"/>
        <v/>
      </c>
      <c r="CC19" s="4429" t="str">
        <f t="shared" si="5"/>
        <v/>
      </c>
      <c r="CD19" s="4429" t="str">
        <f t="shared" si="6"/>
        <v/>
      </c>
      <c r="CH19" s="1420">
        <f t="shared" si="7"/>
        <v>0</v>
      </c>
      <c r="CI19" s="1420">
        <f t="shared" si="8"/>
        <v>0</v>
      </c>
      <c r="CJ19" s="1420">
        <f t="shared" si="9"/>
        <v>0</v>
      </c>
      <c r="CK19" s="1420">
        <f t="shared" si="10"/>
        <v>0</v>
      </c>
    </row>
    <row r="20" spans="1:89" s="1470" customFormat="1" ht="21">
      <c r="A20" s="6373"/>
      <c r="B20" s="3549" t="s">
        <v>4045</v>
      </c>
      <c r="C20" s="5057">
        <f t="shared" si="0"/>
        <v>0</v>
      </c>
      <c r="D20" s="5058">
        <f t="shared" si="1"/>
        <v>0</v>
      </c>
      <c r="E20" s="1619">
        <f t="shared" si="1"/>
        <v>0</v>
      </c>
      <c r="F20" s="1480"/>
      <c r="G20" s="1769"/>
      <c r="H20" s="1796"/>
      <c r="I20" s="1769"/>
      <c r="J20" s="1796"/>
      <c r="K20" s="1545"/>
      <c r="L20" s="1796"/>
      <c r="M20" s="1545"/>
      <c r="N20" s="1796"/>
      <c r="O20" s="1545"/>
      <c r="P20" s="1796"/>
      <c r="Q20" s="1545"/>
      <c r="R20" s="1796"/>
      <c r="S20" s="1545"/>
      <c r="T20" s="1796"/>
      <c r="U20" s="1545"/>
      <c r="V20" s="1796"/>
      <c r="W20" s="1545"/>
      <c r="X20" s="1796"/>
      <c r="Y20" s="1545"/>
      <c r="Z20" s="1796"/>
      <c r="AA20" s="1545"/>
      <c r="AB20" s="1796"/>
      <c r="AC20" s="1545"/>
      <c r="AD20" s="1796"/>
      <c r="AE20" s="1545"/>
      <c r="AF20" s="1796"/>
      <c r="AG20" s="1545"/>
      <c r="AH20" s="1796"/>
      <c r="AI20" s="1545"/>
      <c r="AJ20" s="1796"/>
      <c r="AK20" s="1545"/>
      <c r="AL20" s="1796"/>
      <c r="AM20" s="1482"/>
      <c r="AN20" s="1754"/>
      <c r="AO20" s="1541"/>
      <c r="AP20" s="1541"/>
      <c r="AQ20" s="1541"/>
      <c r="AR20" s="1482"/>
      <c r="AS20" s="1544"/>
      <c r="AT20" s="1483"/>
      <c r="AU20" s="1482"/>
      <c r="AV20" s="1483"/>
      <c r="AW20" s="1545"/>
      <c r="AX20" s="1470" t="str">
        <f t="shared" si="2"/>
        <v/>
      </c>
      <c r="CA20" s="4429" t="str">
        <f t="shared" si="3"/>
        <v/>
      </c>
      <c r="CB20" s="4429" t="str">
        <f t="shared" si="4"/>
        <v/>
      </c>
      <c r="CC20" s="4429" t="str">
        <f t="shared" si="5"/>
        <v/>
      </c>
      <c r="CD20" s="4429" t="str">
        <f t="shared" si="6"/>
        <v/>
      </c>
      <c r="CH20" s="1420">
        <f t="shared" si="7"/>
        <v>0</v>
      </c>
      <c r="CI20" s="1420">
        <f t="shared" si="8"/>
        <v>0</v>
      </c>
      <c r="CJ20" s="1420">
        <f t="shared" si="9"/>
        <v>0</v>
      </c>
      <c r="CK20" s="1420">
        <f t="shared" si="10"/>
        <v>0</v>
      </c>
    </row>
    <row r="21" spans="1:89" s="1470" customFormat="1" ht="15" customHeight="1">
      <c r="A21" s="6373"/>
      <c r="B21" s="3549" t="s">
        <v>4046</v>
      </c>
      <c r="C21" s="5057">
        <f t="shared" si="0"/>
        <v>0</v>
      </c>
      <c r="D21" s="5058">
        <f t="shared" si="1"/>
        <v>0</v>
      </c>
      <c r="E21" s="1619">
        <f t="shared" si="1"/>
        <v>0</v>
      </c>
      <c r="F21" s="1480"/>
      <c r="G21" s="1769"/>
      <c r="H21" s="1796"/>
      <c r="I21" s="1769"/>
      <c r="J21" s="1796"/>
      <c r="K21" s="1545"/>
      <c r="L21" s="1796"/>
      <c r="M21" s="1545"/>
      <c r="N21" s="1796"/>
      <c r="O21" s="1545"/>
      <c r="P21" s="1796"/>
      <c r="Q21" s="1545"/>
      <c r="R21" s="1796"/>
      <c r="S21" s="1545"/>
      <c r="T21" s="1796"/>
      <c r="U21" s="1545"/>
      <c r="V21" s="1796"/>
      <c r="W21" s="1545"/>
      <c r="X21" s="1796"/>
      <c r="Y21" s="1545"/>
      <c r="Z21" s="1796"/>
      <c r="AA21" s="1545"/>
      <c r="AB21" s="1796"/>
      <c r="AC21" s="1545"/>
      <c r="AD21" s="1796"/>
      <c r="AE21" s="1545"/>
      <c r="AF21" s="1796"/>
      <c r="AG21" s="1545"/>
      <c r="AH21" s="1796"/>
      <c r="AI21" s="1545"/>
      <c r="AJ21" s="1796"/>
      <c r="AK21" s="1545"/>
      <c r="AL21" s="1796"/>
      <c r="AM21" s="1482"/>
      <c r="AN21" s="1754"/>
      <c r="AO21" s="1541"/>
      <c r="AP21" s="1541"/>
      <c r="AQ21" s="1541"/>
      <c r="AR21" s="1482"/>
      <c r="AS21" s="1544"/>
      <c r="AT21" s="1483"/>
      <c r="AU21" s="1482"/>
      <c r="AV21" s="1483"/>
      <c r="AW21" s="1545"/>
      <c r="AX21" s="1470" t="str">
        <f t="shared" si="2"/>
        <v/>
      </c>
      <c r="CA21" s="4429" t="str">
        <f t="shared" si="3"/>
        <v/>
      </c>
      <c r="CB21" s="4429" t="str">
        <f t="shared" si="4"/>
        <v/>
      </c>
      <c r="CC21" s="4429" t="str">
        <f t="shared" si="5"/>
        <v/>
      </c>
      <c r="CD21" s="4429" t="str">
        <f t="shared" si="6"/>
        <v/>
      </c>
      <c r="CH21" s="1420">
        <f t="shared" si="7"/>
        <v>0</v>
      </c>
      <c r="CI21" s="1420">
        <f t="shared" si="8"/>
        <v>0</v>
      </c>
      <c r="CJ21" s="1420">
        <f t="shared" si="9"/>
        <v>0</v>
      </c>
      <c r="CK21" s="1420">
        <f t="shared" si="10"/>
        <v>0</v>
      </c>
    </row>
    <row r="22" spans="1:89" s="1470" customFormat="1" ht="15" customHeight="1">
      <c r="A22" s="6373"/>
      <c r="B22" s="3549" t="s">
        <v>4047</v>
      </c>
      <c r="C22" s="5057">
        <f t="shared" si="0"/>
        <v>0</v>
      </c>
      <c r="D22" s="5058">
        <f t="shared" si="1"/>
        <v>0</v>
      </c>
      <c r="E22" s="1619">
        <f t="shared" si="1"/>
        <v>0</v>
      </c>
      <c r="F22" s="1480"/>
      <c r="G22" s="1769"/>
      <c r="H22" s="1796"/>
      <c r="I22" s="1769"/>
      <c r="J22" s="1796"/>
      <c r="K22" s="1545"/>
      <c r="L22" s="1796"/>
      <c r="M22" s="1545"/>
      <c r="N22" s="1796"/>
      <c r="O22" s="1545"/>
      <c r="P22" s="1796"/>
      <c r="Q22" s="1545"/>
      <c r="R22" s="1796"/>
      <c r="S22" s="1545"/>
      <c r="T22" s="1796"/>
      <c r="U22" s="1545"/>
      <c r="V22" s="1796"/>
      <c r="W22" s="1545"/>
      <c r="X22" s="1796"/>
      <c r="Y22" s="1545"/>
      <c r="Z22" s="1796"/>
      <c r="AA22" s="1545"/>
      <c r="AB22" s="1796"/>
      <c r="AC22" s="1545"/>
      <c r="AD22" s="1796"/>
      <c r="AE22" s="1545"/>
      <c r="AF22" s="1796"/>
      <c r="AG22" s="1545"/>
      <c r="AH22" s="1796"/>
      <c r="AI22" s="1545"/>
      <c r="AJ22" s="1796"/>
      <c r="AK22" s="1545"/>
      <c r="AL22" s="1796"/>
      <c r="AM22" s="1482"/>
      <c r="AN22" s="1754"/>
      <c r="AO22" s="1541"/>
      <c r="AP22" s="1541"/>
      <c r="AQ22" s="1541"/>
      <c r="AR22" s="1482"/>
      <c r="AS22" s="1544"/>
      <c r="AT22" s="1483"/>
      <c r="AU22" s="1482"/>
      <c r="AV22" s="1483"/>
      <c r="AW22" s="1545"/>
      <c r="AX22" s="1470" t="str">
        <f t="shared" si="2"/>
        <v/>
      </c>
      <c r="CA22" s="4429" t="str">
        <f t="shared" si="3"/>
        <v/>
      </c>
      <c r="CB22" s="4429" t="str">
        <f t="shared" si="4"/>
        <v/>
      </c>
      <c r="CC22" s="4429" t="str">
        <f t="shared" si="5"/>
        <v/>
      </c>
      <c r="CD22" s="4429" t="str">
        <f t="shared" si="6"/>
        <v/>
      </c>
      <c r="CH22" s="1420">
        <f t="shared" si="7"/>
        <v>0</v>
      </c>
      <c r="CI22" s="1420">
        <f t="shared" si="8"/>
        <v>0</v>
      </c>
      <c r="CJ22" s="1420">
        <f t="shared" si="9"/>
        <v>0</v>
      </c>
      <c r="CK22" s="1420">
        <f t="shared" si="10"/>
        <v>0</v>
      </c>
    </row>
    <row r="23" spans="1:89" s="1470" customFormat="1" ht="15" customHeight="1">
      <c r="A23" s="6373"/>
      <c r="B23" s="3549" t="s">
        <v>4048</v>
      </c>
      <c r="C23" s="5057">
        <f t="shared" si="0"/>
        <v>0</v>
      </c>
      <c r="D23" s="5059">
        <f t="shared" si="1"/>
        <v>0</v>
      </c>
      <c r="E23" s="5060">
        <f t="shared" si="1"/>
        <v>0</v>
      </c>
      <c r="F23" s="1440"/>
      <c r="G23" s="1680"/>
      <c r="H23" s="1441"/>
      <c r="I23" s="1680"/>
      <c r="J23" s="1441"/>
      <c r="K23" s="1452"/>
      <c r="L23" s="1441"/>
      <c r="M23" s="1452"/>
      <c r="N23" s="1441"/>
      <c r="O23" s="1452"/>
      <c r="P23" s="1441"/>
      <c r="Q23" s="1452"/>
      <c r="R23" s="1441"/>
      <c r="S23" s="1452"/>
      <c r="T23" s="1441"/>
      <c r="U23" s="1452"/>
      <c r="V23" s="1441"/>
      <c r="W23" s="1452"/>
      <c r="X23" s="1441"/>
      <c r="Y23" s="1452"/>
      <c r="Z23" s="1441"/>
      <c r="AA23" s="1452"/>
      <c r="AB23" s="1441"/>
      <c r="AC23" s="1452"/>
      <c r="AD23" s="1441"/>
      <c r="AE23" s="1452"/>
      <c r="AF23" s="1441"/>
      <c r="AG23" s="1452"/>
      <c r="AH23" s="1441"/>
      <c r="AI23" s="1452"/>
      <c r="AJ23" s="1441"/>
      <c r="AK23" s="1452"/>
      <c r="AL23" s="1441"/>
      <c r="AM23" s="1447"/>
      <c r="AN23" s="1709"/>
      <c r="AO23" s="1442"/>
      <c r="AP23" s="1442"/>
      <c r="AQ23" s="1442"/>
      <c r="AR23" s="1447"/>
      <c r="AS23" s="1445"/>
      <c r="AT23" s="1446"/>
      <c r="AU23" s="1447"/>
      <c r="AV23" s="1446"/>
      <c r="AW23" s="1452"/>
      <c r="AX23" s="1470" t="str">
        <f t="shared" si="2"/>
        <v/>
      </c>
      <c r="CA23" s="4429" t="str">
        <f t="shared" si="3"/>
        <v/>
      </c>
      <c r="CB23" s="4429" t="str">
        <f t="shared" si="4"/>
        <v/>
      </c>
      <c r="CC23" s="4429" t="str">
        <f t="shared" si="5"/>
        <v/>
      </c>
      <c r="CD23" s="4429" t="str">
        <f t="shared" si="6"/>
        <v/>
      </c>
      <c r="CH23" s="1420">
        <f t="shared" si="7"/>
        <v>0</v>
      </c>
      <c r="CI23" s="1420">
        <f t="shared" si="8"/>
        <v>0</v>
      </c>
      <c r="CJ23" s="1420">
        <f t="shared" si="9"/>
        <v>0</v>
      </c>
      <c r="CK23" s="1420">
        <f t="shared" si="10"/>
        <v>0</v>
      </c>
    </row>
    <row r="24" spans="1:89" s="1470" customFormat="1" ht="15" customHeight="1">
      <c r="A24" s="6373"/>
      <c r="B24" s="5061" t="s">
        <v>4049</v>
      </c>
      <c r="C24" s="5057">
        <f t="shared" si="0"/>
        <v>0</v>
      </c>
      <c r="D24" s="5059">
        <f t="shared" si="1"/>
        <v>0</v>
      </c>
      <c r="E24" s="5060">
        <f t="shared" si="1"/>
        <v>0</v>
      </c>
      <c r="F24" s="1440"/>
      <c r="G24" s="1680"/>
      <c r="H24" s="1441"/>
      <c r="I24" s="1680"/>
      <c r="J24" s="1441"/>
      <c r="K24" s="1452"/>
      <c r="L24" s="1441"/>
      <c r="M24" s="1452"/>
      <c r="N24" s="1441"/>
      <c r="O24" s="1452"/>
      <c r="P24" s="1441"/>
      <c r="Q24" s="1452"/>
      <c r="R24" s="1441"/>
      <c r="S24" s="1452"/>
      <c r="T24" s="1441"/>
      <c r="U24" s="1452"/>
      <c r="V24" s="1441"/>
      <c r="W24" s="1452"/>
      <c r="X24" s="1441"/>
      <c r="Y24" s="1452"/>
      <c r="Z24" s="1441"/>
      <c r="AA24" s="1452"/>
      <c r="AB24" s="1441"/>
      <c r="AC24" s="1452"/>
      <c r="AD24" s="1441"/>
      <c r="AE24" s="1452"/>
      <c r="AF24" s="1441"/>
      <c r="AG24" s="1452"/>
      <c r="AH24" s="1441"/>
      <c r="AI24" s="1452"/>
      <c r="AJ24" s="1441"/>
      <c r="AK24" s="1452"/>
      <c r="AL24" s="1441"/>
      <c r="AM24" s="1447"/>
      <c r="AN24" s="1709"/>
      <c r="AO24" s="1442"/>
      <c r="AP24" s="1442"/>
      <c r="AQ24" s="1442"/>
      <c r="AR24" s="1447"/>
      <c r="AS24" s="1445"/>
      <c r="AT24" s="1446"/>
      <c r="AU24" s="1447"/>
      <c r="AV24" s="1446"/>
      <c r="AW24" s="1452"/>
      <c r="AX24" s="1470" t="str">
        <f t="shared" si="2"/>
        <v/>
      </c>
      <c r="CA24" s="4429" t="str">
        <f t="shared" si="3"/>
        <v/>
      </c>
      <c r="CB24" s="4429" t="str">
        <f t="shared" si="4"/>
        <v/>
      </c>
      <c r="CC24" s="4429" t="str">
        <f t="shared" si="5"/>
        <v/>
      </c>
      <c r="CD24" s="4429" t="str">
        <f t="shared" si="6"/>
        <v/>
      </c>
      <c r="CH24" s="1420">
        <f t="shared" si="7"/>
        <v>0</v>
      </c>
      <c r="CI24" s="1420">
        <f t="shared" si="8"/>
        <v>0</v>
      </c>
      <c r="CJ24" s="1420">
        <f t="shared" si="9"/>
        <v>0</v>
      </c>
      <c r="CK24" s="1420">
        <f t="shared" si="10"/>
        <v>0</v>
      </c>
    </row>
    <row r="25" spans="1:89" s="1470" customFormat="1" ht="15" customHeight="1">
      <c r="A25" s="6373"/>
      <c r="B25" s="5055" t="s">
        <v>4050</v>
      </c>
      <c r="C25" s="5057">
        <f t="shared" si="0"/>
        <v>0</v>
      </c>
      <c r="D25" s="5059">
        <f t="shared" si="1"/>
        <v>0</v>
      </c>
      <c r="E25" s="5060">
        <f t="shared" si="1"/>
        <v>0</v>
      </c>
      <c r="F25" s="1440"/>
      <c r="G25" s="1680"/>
      <c r="H25" s="1441"/>
      <c r="I25" s="1680"/>
      <c r="J25" s="1441"/>
      <c r="K25" s="1452"/>
      <c r="L25" s="1441"/>
      <c r="M25" s="1452"/>
      <c r="N25" s="1441"/>
      <c r="O25" s="1452"/>
      <c r="P25" s="1441"/>
      <c r="Q25" s="1452"/>
      <c r="R25" s="1441"/>
      <c r="S25" s="1452"/>
      <c r="T25" s="1441"/>
      <c r="U25" s="1452"/>
      <c r="V25" s="1441"/>
      <c r="W25" s="1452"/>
      <c r="X25" s="1441"/>
      <c r="Y25" s="1452"/>
      <c r="Z25" s="1441"/>
      <c r="AA25" s="1452"/>
      <c r="AB25" s="1441"/>
      <c r="AC25" s="1452"/>
      <c r="AD25" s="1441"/>
      <c r="AE25" s="1452"/>
      <c r="AF25" s="1441"/>
      <c r="AG25" s="1452"/>
      <c r="AH25" s="1441"/>
      <c r="AI25" s="1452"/>
      <c r="AJ25" s="1441"/>
      <c r="AK25" s="1452"/>
      <c r="AL25" s="1441"/>
      <c r="AM25" s="1447"/>
      <c r="AN25" s="1709"/>
      <c r="AO25" s="1442"/>
      <c r="AP25" s="1442"/>
      <c r="AQ25" s="1442"/>
      <c r="AR25" s="1447"/>
      <c r="AS25" s="1445"/>
      <c r="AT25" s="1446"/>
      <c r="AU25" s="1447"/>
      <c r="AV25" s="1446"/>
      <c r="AW25" s="1452"/>
      <c r="AX25" s="1470" t="str">
        <f t="shared" si="2"/>
        <v/>
      </c>
      <c r="CA25" s="4429" t="str">
        <f t="shared" si="3"/>
        <v/>
      </c>
      <c r="CB25" s="4429" t="str">
        <f t="shared" si="4"/>
        <v/>
      </c>
      <c r="CC25" s="4429" t="str">
        <f t="shared" si="5"/>
        <v/>
      </c>
      <c r="CD25" s="4429" t="str">
        <f t="shared" si="6"/>
        <v/>
      </c>
      <c r="CH25" s="1420">
        <f t="shared" si="7"/>
        <v>0</v>
      </c>
      <c r="CI25" s="1420">
        <f t="shared" si="8"/>
        <v>0</v>
      </c>
      <c r="CJ25" s="1420">
        <f t="shared" si="9"/>
        <v>0</v>
      </c>
      <c r="CK25" s="1420">
        <f t="shared" si="10"/>
        <v>0</v>
      </c>
    </row>
    <row r="26" spans="1:89" s="1470" customFormat="1" ht="15" customHeight="1">
      <c r="A26" s="6373"/>
      <c r="B26" s="5062" t="s">
        <v>4051</v>
      </c>
      <c r="C26" s="5057">
        <f t="shared" si="0"/>
        <v>0</v>
      </c>
      <c r="D26" s="5059">
        <f t="shared" si="1"/>
        <v>0</v>
      </c>
      <c r="E26" s="5060">
        <f t="shared" si="1"/>
        <v>0</v>
      </c>
      <c r="F26" s="1440"/>
      <c r="G26" s="1680"/>
      <c r="H26" s="1441"/>
      <c r="I26" s="1680"/>
      <c r="J26" s="1441"/>
      <c r="K26" s="1452"/>
      <c r="L26" s="1441"/>
      <c r="M26" s="1452"/>
      <c r="N26" s="1441"/>
      <c r="O26" s="1452"/>
      <c r="P26" s="1441"/>
      <c r="Q26" s="1452"/>
      <c r="R26" s="1441"/>
      <c r="S26" s="1452"/>
      <c r="T26" s="1441"/>
      <c r="U26" s="1452"/>
      <c r="V26" s="1441"/>
      <c r="W26" s="1452"/>
      <c r="X26" s="1441"/>
      <c r="Y26" s="1452"/>
      <c r="Z26" s="1441"/>
      <c r="AA26" s="1452"/>
      <c r="AB26" s="1441"/>
      <c r="AC26" s="1452"/>
      <c r="AD26" s="1441"/>
      <c r="AE26" s="1452"/>
      <c r="AF26" s="1441"/>
      <c r="AG26" s="1452"/>
      <c r="AH26" s="1441"/>
      <c r="AI26" s="1452"/>
      <c r="AJ26" s="1441"/>
      <c r="AK26" s="1452"/>
      <c r="AL26" s="1441"/>
      <c r="AM26" s="1447"/>
      <c r="AN26" s="1709"/>
      <c r="AO26" s="1442"/>
      <c r="AP26" s="1442"/>
      <c r="AQ26" s="1442"/>
      <c r="AR26" s="1447"/>
      <c r="AS26" s="1445"/>
      <c r="AT26" s="1446"/>
      <c r="AU26" s="1447"/>
      <c r="AV26" s="1446"/>
      <c r="AW26" s="1452"/>
      <c r="AX26" s="1470" t="str">
        <f t="shared" si="2"/>
        <v/>
      </c>
      <c r="CA26" s="4429" t="str">
        <f t="shared" si="3"/>
        <v/>
      </c>
      <c r="CB26" s="4429" t="str">
        <f t="shared" si="4"/>
        <v/>
      </c>
      <c r="CC26" s="4429" t="str">
        <f t="shared" si="5"/>
        <v/>
      </c>
      <c r="CD26" s="4429" t="str">
        <f t="shared" si="6"/>
        <v/>
      </c>
      <c r="CH26" s="1420">
        <f t="shared" si="7"/>
        <v>0</v>
      </c>
      <c r="CI26" s="1420">
        <f t="shared" si="8"/>
        <v>0</v>
      </c>
      <c r="CJ26" s="1420">
        <f t="shared" si="9"/>
        <v>0</v>
      </c>
      <c r="CK26" s="1420">
        <f t="shared" si="10"/>
        <v>0</v>
      </c>
    </row>
    <row r="27" spans="1:89" s="1470" customFormat="1" ht="15" customHeight="1">
      <c r="A27" s="6374"/>
      <c r="B27" s="5055" t="s">
        <v>930</v>
      </c>
      <c r="C27" s="5063">
        <f t="shared" si="0"/>
        <v>0</v>
      </c>
      <c r="D27" s="5059">
        <f t="shared" si="1"/>
        <v>0</v>
      </c>
      <c r="E27" s="1628">
        <f t="shared" si="1"/>
        <v>0</v>
      </c>
      <c r="F27" s="1440"/>
      <c r="G27" s="1680"/>
      <c r="H27" s="1441"/>
      <c r="I27" s="1680"/>
      <c r="J27" s="1441"/>
      <c r="K27" s="1452"/>
      <c r="L27" s="1441"/>
      <c r="M27" s="1452"/>
      <c r="N27" s="1441"/>
      <c r="O27" s="1452"/>
      <c r="P27" s="1441"/>
      <c r="Q27" s="1452"/>
      <c r="R27" s="1441"/>
      <c r="S27" s="1452"/>
      <c r="T27" s="1441"/>
      <c r="U27" s="1452"/>
      <c r="V27" s="1441"/>
      <c r="W27" s="1452"/>
      <c r="X27" s="1441"/>
      <c r="Y27" s="1452"/>
      <c r="Z27" s="1441"/>
      <c r="AA27" s="1452"/>
      <c r="AB27" s="1441"/>
      <c r="AC27" s="1452"/>
      <c r="AD27" s="1441"/>
      <c r="AE27" s="1452"/>
      <c r="AF27" s="1441"/>
      <c r="AG27" s="1452"/>
      <c r="AH27" s="1441"/>
      <c r="AI27" s="1452"/>
      <c r="AJ27" s="1441"/>
      <c r="AK27" s="1452"/>
      <c r="AL27" s="1441"/>
      <c r="AM27" s="1490"/>
      <c r="AN27" s="1709"/>
      <c r="AO27" s="1442"/>
      <c r="AP27" s="1442"/>
      <c r="AQ27" s="1442"/>
      <c r="AR27" s="1447"/>
      <c r="AS27" s="1445"/>
      <c r="AT27" s="1446"/>
      <c r="AU27" s="1447"/>
      <c r="AV27" s="1446"/>
      <c r="AW27" s="1452"/>
      <c r="AX27" s="1470" t="str">
        <f t="shared" si="2"/>
        <v/>
      </c>
      <c r="CA27" s="4429" t="str">
        <f t="shared" si="3"/>
        <v/>
      </c>
      <c r="CB27" s="4429" t="str">
        <f t="shared" si="4"/>
        <v/>
      </c>
      <c r="CC27" s="4429" t="str">
        <f t="shared" si="5"/>
        <v/>
      </c>
      <c r="CD27" s="4429" t="str">
        <f t="shared" si="6"/>
        <v/>
      </c>
      <c r="CH27" s="1420">
        <f t="shared" si="7"/>
        <v>0</v>
      </c>
      <c r="CI27" s="1420">
        <f t="shared" si="8"/>
        <v>0</v>
      </c>
      <c r="CJ27" s="1420">
        <f t="shared" si="9"/>
        <v>0</v>
      </c>
      <c r="CK27" s="1420">
        <f t="shared" si="10"/>
        <v>0</v>
      </c>
    </row>
    <row r="28" spans="1:89" s="1470" customFormat="1" ht="15" customHeight="1">
      <c r="A28" s="6049" t="s">
        <v>91</v>
      </c>
      <c r="B28" s="6059"/>
      <c r="C28" s="5064">
        <f t="shared" si="0"/>
        <v>0</v>
      </c>
      <c r="D28" s="402">
        <f t="shared" si="1"/>
        <v>0</v>
      </c>
      <c r="E28" s="392">
        <f>+G28+I28+K28+M28+O28+Q28+S28+U28+W28+Y28+AA28+AC28+AE28+AG28+AI28+AK28+AM28</f>
        <v>0</v>
      </c>
      <c r="F28" s="401">
        <f>SUM(F12:F27)</f>
        <v>0</v>
      </c>
      <c r="G28" s="402">
        <f>SUM(G12:G27)</f>
        <v>0</v>
      </c>
      <c r="H28" s="401">
        <f t="shared" ref="H28:AW28" si="11">SUM(H12:H27)</f>
        <v>0</v>
      </c>
      <c r="I28" s="402">
        <f t="shared" si="11"/>
        <v>0</v>
      </c>
      <c r="J28" s="401">
        <f t="shared" si="11"/>
        <v>0</v>
      </c>
      <c r="K28" s="402">
        <f t="shared" si="11"/>
        <v>0</v>
      </c>
      <c r="L28" s="401">
        <f t="shared" si="11"/>
        <v>0</v>
      </c>
      <c r="M28" s="402">
        <f t="shared" si="11"/>
        <v>0</v>
      </c>
      <c r="N28" s="401">
        <f t="shared" si="11"/>
        <v>0</v>
      </c>
      <c r="O28" s="402">
        <f t="shared" si="11"/>
        <v>0</v>
      </c>
      <c r="P28" s="401">
        <f t="shared" si="11"/>
        <v>0</v>
      </c>
      <c r="Q28" s="402">
        <f t="shared" si="11"/>
        <v>0</v>
      </c>
      <c r="R28" s="401">
        <f t="shared" si="11"/>
        <v>0</v>
      </c>
      <c r="S28" s="402">
        <f t="shared" si="11"/>
        <v>0</v>
      </c>
      <c r="T28" s="401">
        <f t="shared" si="11"/>
        <v>0</v>
      </c>
      <c r="U28" s="402">
        <f t="shared" si="11"/>
        <v>0</v>
      </c>
      <c r="V28" s="401">
        <f t="shared" si="11"/>
        <v>0</v>
      </c>
      <c r="W28" s="402">
        <f t="shared" si="11"/>
        <v>0</v>
      </c>
      <c r="X28" s="401">
        <f t="shared" si="11"/>
        <v>0</v>
      </c>
      <c r="Y28" s="402">
        <f t="shared" si="11"/>
        <v>0</v>
      </c>
      <c r="Z28" s="401">
        <f t="shared" si="11"/>
        <v>0</v>
      </c>
      <c r="AA28" s="402">
        <f t="shared" si="11"/>
        <v>0</v>
      </c>
      <c r="AB28" s="401">
        <f t="shared" si="11"/>
        <v>0</v>
      </c>
      <c r="AC28" s="402">
        <f t="shared" si="11"/>
        <v>0</v>
      </c>
      <c r="AD28" s="401">
        <f t="shared" si="11"/>
        <v>0</v>
      </c>
      <c r="AE28" s="402">
        <f t="shared" si="11"/>
        <v>0</v>
      </c>
      <c r="AF28" s="401">
        <f t="shared" si="11"/>
        <v>0</v>
      </c>
      <c r="AG28" s="402">
        <f t="shared" si="11"/>
        <v>0</v>
      </c>
      <c r="AH28" s="401">
        <f t="shared" si="11"/>
        <v>0</v>
      </c>
      <c r="AI28" s="402">
        <f t="shared" si="11"/>
        <v>0</v>
      </c>
      <c r="AJ28" s="401">
        <f t="shared" si="11"/>
        <v>0</v>
      </c>
      <c r="AK28" s="402">
        <f t="shared" si="11"/>
        <v>0</v>
      </c>
      <c r="AL28" s="401">
        <f>SUM(AL12:AL27)</f>
        <v>0</v>
      </c>
      <c r="AM28" s="4064">
        <f t="shared" si="11"/>
        <v>0</v>
      </c>
      <c r="AN28" s="2060">
        <f t="shared" si="11"/>
        <v>0</v>
      </c>
      <c r="AO28" s="1501">
        <f t="shared" si="11"/>
        <v>0</v>
      </c>
      <c r="AP28" s="1501">
        <f t="shared" si="11"/>
        <v>0</v>
      </c>
      <c r="AQ28" s="1501">
        <f t="shared" si="11"/>
        <v>0</v>
      </c>
      <c r="AR28" s="404">
        <f t="shared" si="11"/>
        <v>0</v>
      </c>
      <c r="AS28" s="405">
        <f t="shared" si="11"/>
        <v>0</v>
      </c>
      <c r="AT28" s="406">
        <f t="shared" si="11"/>
        <v>0</v>
      </c>
      <c r="AU28" s="404">
        <f t="shared" si="11"/>
        <v>0</v>
      </c>
      <c r="AV28" s="406">
        <f>SUM(AV12:AV27)</f>
        <v>0</v>
      </c>
      <c r="AW28" s="392">
        <f t="shared" si="11"/>
        <v>0</v>
      </c>
    </row>
    <row r="29" spans="1:89" s="2832" customFormat="1" ht="17.100000000000001" customHeight="1">
      <c r="A29" s="7233" t="s">
        <v>4052</v>
      </c>
      <c r="B29" s="7233"/>
      <c r="C29" s="7233"/>
      <c r="D29" s="7233"/>
      <c r="E29" s="7233"/>
      <c r="F29" s="7233"/>
      <c r="G29" s="7233"/>
      <c r="H29" s="7233"/>
      <c r="I29" s="7233"/>
      <c r="J29" s="7233"/>
      <c r="K29" s="7233"/>
      <c r="L29" s="7233"/>
    </row>
    <row r="30" spans="1:89" s="1470" customFormat="1" ht="15" customHeight="1">
      <c r="A30" s="6766" t="s">
        <v>4053</v>
      </c>
      <c r="B30" s="6766" t="s">
        <v>91</v>
      </c>
      <c r="C30" s="7234" t="s">
        <v>4036</v>
      </c>
      <c r="D30" s="6787" t="s">
        <v>4037</v>
      </c>
      <c r="E30" s="7236" t="s">
        <v>4038</v>
      </c>
      <c r="F30" s="6049" t="s">
        <v>4054</v>
      </c>
      <c r="G30" s="6060"/>
      <c r="H30" s="6060"/>
      <c r="I30" s="6060"/>
      <c r="J30" s="6060"/>
      <c r="K30" s="6060"/>
      <c r="L30" s="6060"/>
      <c r="M30" s="6060"/>
      <c r="N30" s="6060"/>
      <c r="O30" s="6060"/>
      <c r="P30" s="6060"/>
      <c r="Q30" s="6060"/>
      <c r="R30" s="6060"/>
      <c r="S30" s="6060"/>
      <c r="T30" s="6060"/>
      <c r="U30" s="6060"/>
      <c r="V30" s="6060"/>
      <c r="W30" s="6060"/>
      <c r="X30" s="6060"/>
      <c r="Y30" s="6060"/>
      <c r="Z30" s="6060"/>
      <c r="AA30" s="6060"/>
      <c r="AB30" s="6060"/>
      <c r="AC30" s="6060"/>
      <c r="AD30" s="6060"/>
      <c r="AE30" s="6060"/>
      <c r="AF30" s="6059"/>
    </row>
    <row r="31" spans="1:89" ht="42">
      <c r="A31" s="6767"/>
      <c r="B31" s="6767"/>
      <c r="C31" s="7235"/>
      <c r="D31" s="6788"/>
      <c r="E31" s="7237"/>
      <c r="F31" s="5065" t="s">
        <v>4040</v>
      </c>
      <c r="G31" s="3685" t="s">
        <v>4055</v>
      </c>
      <c r="H31" s="3685" t="s">
        <v>4056</v>
      </c>
      <c r="I31" s="3685" t="s">
        <v>4057</v>
      </c>
      <c r="J31" s="2476" t="s">
        <v>4042</v>
      </c>
      <c r="K31" s="3685" t="s">
        <v>4058</v>
      </c>
      <c r="L31" s="1591" t="s">
        <v>4059</v>
      </c>
      <c r="M31" s="3685" t="s">
        <v>4060</v>
      </c>
      <c r="N31" s="3685" t="s">
        <v>4044</v>
      </c>
      <c r="O31" s="3685" t="s">
        <v>4045</v>
      </c>
      <c r="P31" s="1498" t="s">
        <v>4061</v>
      </c>
      <c r="Q31" s="1400" t="s">
        <v>4046</v>
      </c>
      <c r="R31" s="3685" t="s">
        <v>4047</v>
      </c>
      <c r="S31" s="1591" t="s">
        <v>4062</v>
      </c>
      <c r="T31" s="1498" t="s">
        <v>4049</v>
      </c>
      <c r="U31" s="2539" t="s">
        <v>4063</v>
      </c>
      <c r="V31" s="1498" t="s">
        <v>4064</v>
      </c>
      <c r="W31" s="1498" t="s">
        <v>4050</v>
      </c>
      <c r="X31" s="1591" t="s">
        <v>4051</v>
      </c>
      <c r="Y31" s="1498" t="s">
        <v>4065</v>
      </c>
      <c r="Z31" s="2539" t="s">
        <v>4066</v>
      </c>
      <c r="AA31" s="1498" t="s">
        <v>4067</v>
      </c>
      <c r="AB31" s="3685" t="s">
        <v>4068</v>
      </c>
      <c r="AC31" s="1498" t="s">
        <v>4069</v>
      </c>
      <c r="AD31" s="1498" t="s">
        <v>4070</v>
      </c>
      <c r="AE31" s="1498" t="s">
        <v>4071</v>
      </c>
      <c r="AF31" s="1594" t="s">
        <v>4072</v>
      </c>
      <c r="CA31"/>
      <c r="CB31"/>
      <c r="CC31"/>
      <c r="CD31"/>
      <c r="CE31"/>
      <c r="CF31"/>
      <c r="CH31"/>
      <c r="CI31"/>
      <c r="CJ31"/>
    </row>
    <row r="32" spans="1:89" s="1470" customFormat="1" ht="15" customHeight="1">
      <c r="A32" s="3548" t="s">
        <v>987</v>
      </c>
      <c r="B32" s="1422">
        <f t="shared" ref="B32:B45" si="12">SUM(C32:AF32)</f>
        <v>0</v>
      </c>
      <c r="C32" s="1881"/>
      <c r="D32" s="1881"/>
      <c r="E32" s="1821"/>
      <c r="F32" s="1480"/>
      <c r="G32" s="1541"/>
      <c r="H32" s="1541"/>
      <c r="I32" s="1541"/>
      <c r="J32" s="1959"/>
      <c r="K32" s="1426"/>
      <c r="L32" s="1426"/>
      <c r="M32" s="1426"/>
      <c r="N32" s="1426"/>
      <c r="O32" s="1426"/>
      <c r="P32" s="1426"/>
      <c r="Q32" s="1426"/>
      <c r="R32" s="1426"/>
      <c r="S32" s="1426"/>
      <c r="T32" s="1425"/>
      <c r="U32" s="1426"/>
      <c r="V32" s="1426"/>
      <c r="W32" s="1426"/>
      <c r="X32" s="1426"/>
      <c r="Y32" s="1426"/>
      <c r="Z32" s="1426"/>
      <c r="AA32" s="1426"/>
      <c r="AB32" s="1426"/>
      <c r="AC32" s="1426"/>
      <c r="AD32" s="1426"/>
      <c r="AE32" s="1426"/>
      <c r="AF32" s="1436"/>
    </row>
    <row r="33" spans="1:32" s="1470" customFormat="1" ht="15" customHeight="1">
      <c r="A33" s="3549" t="s">
        <v>615</v>
      </c>
      <c r="B33" s="1512">
        <f t="shared" si="12"/>
        <v>0</v>
      </c>
      <c r="C33" s="1826"/>
      <c r="D33" s="1826"/>
      <c r="E33" s="1824"/>
      <c r="F33" s="1485"/>
      <c r="G33" s="1712"/>
      <c r="H33" s="1712"/>
      <c r="I33" s="1712"/>
      <c r="J33" s="2352"/>
      <c r="K33" s="1442"/>
      <c r="L33" s="1442"/>
      <c r="M33" s="1442"/>
      <c r="N33" s="1442"/>
      <c r="O33" s="1442"/>
      <c r="P33" s="1442"/>
      <c r="Q33" s="1442"/>
      <c r="R33" s="1442"/>
      <c r="S33" s="1442"/>
      <c r="T33" s="1441"/>
      <c r="U33" s="1442"/>
      <c r="V33" s="1442"/>
      <c r="W33" s="1442"/>
      <c r="X33" s="1442"/>
      <c r="Y33" s="1442"/>
      <c r="Z33" s="1442"/>
      <c r="AA33" s="1442"/>
      <c r="AB33" s="1442"/>
      <c r="AC33" s="1442"/>
      <c r="AD33" s="1442"/>
      <c r="AE33" s="1442"/>
      <c r="AF33" s="1452"/>
    </row>
    <row r="34" spans="1:32" s="1470" customFormat="1" ht="15" customHeight="1">
      <c r="A34" s="3549" t="s">
        <v>4073</v>
      </c>
      <c r="B34" s="1512">
        <f t="shared" si="12"/>
        <v>0</v>
      </c>
      <c r="C34" s="1826"/>
      <c r="D34" s="1826"/>
      <c r="E34" s="1824"/>
      <c r="F34" s="1485"/>
      <c r="G34" s="1712"/>
      <c r="H34" s="1712"/>
      <c r="I34" s="1712"/>
      <c r="J34" s="2352"/>
      <c r="K34" s="1442"/>
      <c r="L34" s="1442"/>
      <c r="M34" s="1442"/>
      <c r="N34" s="1442"/>
      <c r="O34" s="1442"/>
      <c r="P34" s="1442"/>
      <c r="Q34" s="1442"/>
      <c r="R34" s="1442"/>
      <c r="S34" s="1442"/>
      <c r="T34" s="1441"/>
      <c r="U34" s="1442"/>
      <c r="V34" s="1442"/>
      <c r="W34" s="1442"/>
      <c r="X34" s="1442"/>
      <c r="Y34" s="1442"/>
      <c r="Z34" s="1442"/>
      <c r="AA34" s="1442"/>
      <c r="AB34" s="1442"/>
      <c r="AC34" s="1442"/>
      <c r="AD34" s="1442"/>
      <c r="AE34" s="1442"/>
      <c r="AF34" s="1452"/>
    </row>
    <row r="35" spans="1:32" s="1470" customFormat="1" ht="15" customHeight="1">
      <c r="A35" s="3549" t="s">
        <v>4074</v>
      </c>
      <c r="B35" s="1512">
        <f t="shared" si="12"/>
        <v>0</v>
      </c>
      <c r="C35" s="1826"/>
      <c r="D35" s="1826"/>
      <c r="E35" s="1824"/>
      <c r="F35" s="1485"/>
      <c r="G35" s="1712"/>
      <c r="H35" s="1712"/>
      <c r="I35" s="1712"/>
      <c r="J35" s="2352"/>
      <c r="K35" s="1442"/>
      <c r="L35" s="1442"/>
      <c r="M35" s="1442"/>
      <c r="N35" s="1442"/>
      <c r="O35" s="1442"/>
      <c r="P35" s="1442"/>
      <c r="Q35" s="1442"/>
      <c r="R35" s="1442"/>
      <c r="S35" s="1442"/>
      <c r="T35" s="1441"/>
      <c r="U35" s="1442"/>
      <c r="V35" s="1442"/>
      <c r="W35" s="1442"/>
      <c r="X35" s="1442"/>
      <c r="Y35" s="1442"/>
      <c r="Z35" s="1442"/>
      <c r="AA35" s="1442"/>
      <c r="AB35" s="1442"/>
      <c r="AC35" s="1442"/>
      <c r="AD35" s="1442"/>
      <c r="AE35" s="1442"/>
      <c r="AF35" s="1452"/>
    </row>
    <row r="36" spans="1:32" s="1470" customFormat="1" ht="15" customHeight="1">
      <c r="A36" s="3549" t="s">
        <v>617</v>
      </c>
      <c r="B36" s="1512">
        <f t="shared" si="12"/>
        <v>0</v>
      </c>
      <c r="C36" s="1826"/>
      <c r="D36" s="1826"/>
      <c r="E36" s="1824"/>
      <c r="F36" s="1485"/>
      <c r="G36" s="1712"/>
      <c r="H36" s="1712"/>
      <c r="I36" s="1712"/>
      <c r="J36" s="2352"/>
      <c r="K36" s="1442"/>
      <c r="L36" s="1442"/>
      <c r="M36" s="1442"/>
      <c r="N36" s="1442"/>
      <c r="O36" s="1442"/>
      <c r="P36" s="1442"/>
      <c r="Q36" s="1442"/>
      <c r="R36" s="1442"/>
      <c r="S36" s="1442"/>
      <c r="T36" s="1441"/>
      <c r="U36" s="1442"/>
      <c r="V36" s="1442"/>
      <c r="W36" s="1442"/>
      <c r="X36" s="1442"/>
      <c r="Y36" s="1442"/>
      <c r="Z36" s="1442"/>
      <c r="AA36" s="1442"/>
      <c r="AB36" s="1442"/>
      <c r="AC36" s="1442"/>
      <c r="AD36" s="1442"/>
      <c r="AE36" s="1442"/>
      <c r="AF36" s="1452"/>
    </row>
    <row r="37" spans="1:32" s="1470" customFormat="1" ht="15" customHeight="1">
      <c r="A37" s="3549" t="s">
        <v>4075</v>
      </c>
      <c r="B37" s="1512">
        <f t="shared" si="12"/>
        <v>0</v>
      </c>
      <c r="C37" s="1826"/>
      <c r="D37" s="1826"/>
      <c r="E37" s="1824"/>
      <c r="F37" s="1485"/>
      <c r="G37" s="1712"/>
      <c r="H37" s="1712"/>
      <c r="I37" s="1712"/>
      <c r="J37" s="2352"/>
      <c r="K37" s="1442"/>
      <c r="L37" s="1442"/>
      <c r="M37" s="1442"/>
      <c r="N37" s="1442"/>
      <c r="O37" s="1442"/>
      <c r="P37" s="1442"/>
      <c r="Q37" s="1442"/>
      <c r="R37" s="1442"/>
      <c r="S37" s="1442"/>
      <c r="T37" s="1441"/>
      <c r="U37" s="1442"/>
      <c r="V37" s="1442"/>
      <c r="W37" s="1442"/>
      <c r="X37" s="1442"/>
      <c r="Y37" s="1442"/>
      <c r="Z37" s="1442"/>
      <c r="AA37" s="1442"/>
      <c r="AB37" s="1442"/>
      <c r="AC37" s="1442"/>
      <c r="AD37" s="1442"/>
      <c r="AE37" s="1442"/>
      <c r="AF37" s="1452"/>
    </row>
    <row r="38" spans="1:32" s="1470" customFormat="1" ht="15" customHeight="1">
      <c r="A38" s="3549" t="s">
        <v>531</v>
      </c>
      <c r="B38" s="1512">
        <f t="shared" si="12"/>
        <v>0</v>
      </c>
      <c r="C38" s="1826"/>
      <c r="D38" s="1826"/>
      <c r="E38" s="1824"/>
      <c r="F38" s="1485"/>
      <c r="G38" s="1712"/>
      <c r="H38" s="1712"/>
      <c r="I38" s="1712"/>
      <c r="J38" s="2352"/>
      <c r="K38" s="1442"/>
      <c r="L38" s="1442"/>
      <c r="M38" s="1442"/>
      <c r="N38" s="1442"/>
      <c r="O38" s="1442"/>
      <c r="P38" s="1442"/>
      <c r="Q38" s="1442"/>
      <c r="R38" s="1442"/>
      <c r="S38" s="1442"/>
      <c r="T38" s="1441"/>
      <c r="U38" s="1442"/>
      <c r="V38" s="1442"/>
      <c r="W38" s="1442"/>
      <c r="X38" s="1442"/>
      <c r="Y38" s="1442"/>
      <c r="Z38" s="1442"/>
      <c r="AA38" s="1442"/>
      <c r="AB38" s="1442"/>
      <c r="AC38" s="1442"/>
      <c r="AD38" s="1442"/>
      <c r="AE38" s="1442"/>
      <c r="AF38" s="1452"/>
    </row>
    <row r="39" spans="1:32" s="1470" customFormat="1" ht="15" customHeight="1">
      <c r="A39" s="3549" t="s">
        <v>4076</v>
      </c>
      <c r="B39" s="1512">
        <f t="shared" si="12"/>
        <v>0</v>
      </c>
      <c r="C39" s="1826"/>
      <c r="D39" s="1826"/>
      <c r="E39" s="1824"/>
      <c r="F39" s="1485"/>
      <c r="G39" s="1712"/>
      <c r="H39" s="1712"/>
      <c r="I39" s="1712"/>
      <c r="J39" s="2352"/>
      <c r="K39" s="1442"/>
      <c r="L39" s="1442"/>
      <c r="M39" s="1442"/>
      <c r="N39" s="1442"/>
      <c r="O39" s="1442"/>
      <c r="P39" s="1442"/>
      <c r="Q39" s="1442"/>
      <c r="R39" s="1442"/>
      <c r="S39" s="1442"/>
      <c r="T39" s="1441"/>
      <c r="U39" s="1442"/>
      <c r="V39" s="1442"/>
      <c r="W39" s="1442"/>
      <c r="X39" s="1442"/>
      <c r="Y39" s="1442"/>
      <c r="Z39" s="1442"/>
      <c r="AA39" s="1442"/>
      <c r="AB39" s="1442"/>
      <c r="AC39" s="1442"/>
      <c r="AD39" s="1442"/>
      <c r="AE39" s="1442"/>
      <c r="AF39" s="1452"/>
    </row>
    <row r="40" spans="1:32" s="1470" customFormat="1" ht="15" customHeight="1">
      <c r="A40" s="3549" t="s">
        <v>4077</v>
      </c>
      <c r="B40" s="1512">
        <f t="shared" si="12"/>
        <v>0</v>
      </c>
      <c r="C40" s="1826"/>
      <c r="D40" s="1826"/>
      <c r="E40" s="1824"/>
      <c r="F40" s="1485"/>
      <c r="G40" s="1712"/>
      <c r="H40" s="1712"/>
      <c r="I40" s="1712"/>
      <c r="J40" s="2352"/>
      <c r="K40" s="1442"/>
      <c r="L40" s="1442"/>
      <c r="M40" s="1442"/>
      <c r="N40" s="1442"/>
      <c r="O40" s="1442"/>
      <c r="P40" s="1442"/>
      <c r="Q40" s="1442"/>
      <c r="R40" s="1442"/>
      <c r="S40" s="1442"/>
      <c r="T40" s="1441"/>
      <c r="U40" s="1442"/>
      <c r="V40" s="1442"/>
      <c r="W40" s="1442"/>
      <c r="X40" s="1442"/>
      <c r="Y40" s="1442"/>
      <c r="Z40" s="1442"/>
      <c r="AA40" s="1442"/>
      <c r="AB40" s="1442"/>
      <c r="AC40" s="1442"/>
      <c r="AD40" s="1442"/>
      <c r="AE40" s="1442"/>
      <c r="AF40" s="1452"/>
    </row>
    <row r="41" spans="1:32" s="1470" customFormat="1" ht="15" customHeight="1">
      <c r="A41" s="3549" t="s">
        <v>119</v>
      </c>
      <c r="B41" s="1512">
        <f t="shared" si="12"/>
        <v>0</v>
      </c>
      <c r="C41" s="1826"/>
      <c r="D41" s="1826"/>
      <c r="E41" s="1824"/>
      <c r="F41" s="1485"/>
      <c r="G41" s="1712"/>
      <c r="H41" s="1712"/>
      <c r="I41" s="1712"/>
      <c r="J41" s="2352"/>
      <c r="K41" s="1442"/>
      <c r="L41" s="1442"/>
      <c r="M41" s="1442"/>
      <c r="N41" s="1442"/>
      <c r="O41" s="1442"/>
      <c r="P41" s="1442"/>
      <c r="Q41" s="1442"/>
      <c r="R41" s="1442"/>
      <c r="S41" s="1442"/>
      <c r="T41" s="1441"/>
      <c r="U41" s="1442"/>
      <c r="V41" s="1442"/>
      <c r="W41" s="1442"/>
      <c r="X41" s="1442"/>
      <c r="Y41" s="1442"/>
      <c r="Z41" s="1442"/>
      <c r="AA41" s="1442"/>
      <c r="AB41" s="1442"/>
      <c r="AC41" s="1442"/>
      <c r="AD41" s="1442"/>
      <c r="AE41" s="1442"/>
      <c r="AF41" s="1452"/>
    </row>
    <row r="42" spans="1:32" s="1470" customFormat="1" ht="15" customHeight="1">
      <c r="A42" s="3549" t="s">
        <v>4078</v>
      </c>
      <c r="B42" s="1512">
        <f t="shared" si="12"/>
        <v>0</v>
      </c>
      <c r="C42" s="1826"/>
      <c r="D42" s="1826"/>
      <c r="E42" s="1824"/>
      <c r="F42" s="1485"/>
      <c r="G42" s="1712"/>
      <c r="H42" s="1712"/>
      <c r="I42" s="1712"/>
      <c r="J42" s="2352"/>
      <c r="K42" s="1442"/>
      <c r="L42" s="1442"/>
      <c r="M42" s="1442"/>
      <c r="N42" s="1442"/>
      <c r="O42" s="1442"/>
      <c r="P42" s="1442"/>
      <c r="Q42" s="1442"/>
      <c r="R42" s="1442"/>
      <c r="S42" s="1442"/>
      <c r="T42" s="1441"/>
      <c r="U42" s="1442"/>
      <c r="V42" s="1442"/>
      <c r="W42" s="1442"/>
      <c r="X42" s="1442"/>
      <c r="Y42" s="1442"/>
      <c r="Z42" s="1442"/>
      <c r="AA42" s="1442"/>
      <c r="AB42" s="1442"/>
      <c r="AC42" s="1442"/>
      <c r="AD42" s="1442"/>
      <c r="AE42" s="1442"/>
      <c r="AF42" s="1452"/>
    </row>
    <row r="43" spans="1:32" s="1470" customFormat="1" ht="15" customHeight="1">
      <c r="A43" s="3549" t="s">
        <v>1066</v>
      </c>
      <c r="B43" s="1512">
        <f t="shared" si="12"/>
        <v>0</v>
      </c>
      <c r="C43" s="1826"/>
      <c r="D43" s="1826"/>
      <c r="E43" s="1824"/>
      <c r="F43" s="1485"/>
      <c r="G43" s="1712"/>
      <c r="H43" s="1712"/>
      <c r="I43" s="1712"/>
      <c r="J43" s="2352"/>
      <c r="K43" s="1442"/>
      <c r="L43" s="1442"/>
      <c r="M43" s="1442"/>
      <c r="N43" s="1442"/>
      <c r="O43" s="1442"/>
      <c r="P43" s="1442"/>
      <c r="Q43" s="1442"/>
      <c r="R43" s="1442"/>
      <c r="S43" s="1442"/>
      <c r="T43" s="1441"/>
      <c r="U43" s="1442"/>
      <c r="V43" s="1442"/>
      <c r="W43" s="1442"/>
      <c r="X43" s="1442"/>
      <c r="Y43" s="1442"/>
      <c r="Z43" s="1442"/>
      <c r="AA43" s="1442"/>
      <c r="AB43" s="1442"/>
      <c r="AC43" s="1442"/>
      <c r="AD43" s="1442"/>
      <c r="AE43" s="1442"/>
      <c r="AF43" s="1452"/>
    </row>
    <row r="44" spans="1:32" s="1470" customFormat="1" ht="15" customHeight="1">
      <c r="A44" s="5066" t="s">
        <v>1068</v>
      </c>
      <c r="B44" s="422">
        <f t="shared" si="12"/>
        <v>0</v>
      </c>
      <c r="C44" s="1826"/>
      <c r="D44" s="1826"/>
      <c r="E44" s="1824"/>
      <c r="F44" s="1485"/>
      <c r="G44" s="1712"/>
      <c r="H44" s="1712"/>
      <c r="I44" s="1712"/>
      <c r="J44" s="2352"/>
      <c r="K44" s="1442"/>
      <c r="L44" s="1442"/>
      <c r="M44" s="1442"/>
      <c r="N44" s="1442"/>
      <c r="O44" s="1442"/>
      <c r="P44" s="1442"/>
      <c r="Q44" s="1442"/>
      <c r="R44" s="1442"/>
      <c r="S44" s="1442"/>
      <c r="T44" s="1441"/>
      <c r="U44" s="1442"/>
      <c r="V44" s="1442"/>
      <c r="W44" s="1442"/>
      <c r="X44" s="1442"/>
      <c r="Y44" s="1442"/>
      <c r="Z44" s="1442"/>
      <c r="AA44" s="1442"/>
      <c r="AB44" s="1442"/>
      <c r="AC44" s="1442"/>
      <c r="AD44" s="1442"/>
      <c r="AE44" s="1442"/>
      <c r="AF44" s="1452"/>
    </row>
    <row r="45" spans="1:32" s="1470" customFormat="1" ht="15" customHeight="1">
      <c r="A45" s="4886" t="s">
        <v>4079</v>
      </c>
      <c r="B45" s="431">
        <f t="shared" si="12"/>
        <v>0</v>
      </c>
      <c r="C45" s="1456"/>
      <c r="D45" s="1456"/>
      <c r="E45" s="1684"/>
      <c r="F45" s="1455"/>
      <c r="G45" s="1457"/>
      <c r="H45" s="1457"/>
      <c r="I45" s="1457"/>
      <c r="J45" s="1458"/>
      <c r="K45" s="1457"/>
      <c r="L45" s="1457"/>
      <c r="M45" s="1457"/>
      <c r="N45" s="1457"/>
      <c r="O45" s="1457"/>
      <c r="P45" s="1457"/>
      <c r="Q45" s="1457"/>
      <c r="R45" s="1457"/>
      <c r="S45" s="1457"/>
      <c r="T45" s="1456"/>
      <c r="U45" s="1457"/>
      <c r="V45" s="1457"/>
      <c r="W45" s="1457"/>
      <c r="X45" s="1457"/>
      <c r="Y45" s="1457"/>
      <c r="Z45" s="1457"/>
      <c r="AA45" s="1457"/>
      <c r="AB45" s="1457"/>
      <c r="AC45" s="1457"/>
      <c r="AD45" s="1457"/>
      <c r="AE45" s="1457"/>
      <c r="AF45" s="1467"/>
    </row>
    <row r="46" spans="1:32" s="1470" customFormat="1" ht="15" customHeight="1">
      <c r="A46" s="2290" t="s">
        <v>91</v>
      </c>
      <c r="B46" s="5002">
        <f>SUM(B32:B45)</f>
        <v>0</v>
      </c>
      <c r="C46" s="402">
        <f>SUM(C32:C45)</f>
        <v>0</v>
      </c>
      <c r="D46" s="402">
        <f t="shared" ref="D46:AE46" si="13">SUM(D32:D45)</f>
        <v>0</v>
      </c>
      <c r="E46" s="403">
        <f t="shared" si="13"/>
        <v>0</v>
      </c>
      <c r="F46" s="401">
        <f t="shared" si="13"/>
        <v>0</v>
      </c>
      <c r="G46" s="402">
        <f t="shared" si="13"/>
        <v>0</v>
      </c>
      <c r="H46" s="402">
        <f t="shared" si="13"/>
        <v>0</v>
      </c>
      <c r="I46" s="402">
        <f>SUM(I32:I45)</f>
        <v>0</v>
      </c>
      <c r="J46" s="1501">
        <f t="shared" si="13"/>
        <v>0</v>
      </c>
      <c r="K46" s="1501">
        <f t="shared" si="13"/>
        <v>0</v>
      </c>
      <c r="L46" s="1501">
        <f t="shared" si="13"/>
        <v>0</v>
      </c>
      <c r="M46" s="1501">
        <f t="shared" si="13"/>
        <v>0</v>
      </c>
      <c r="N46" s="1501">
        <f t="shared" si="13"/>
        <v>0</v>
      </c>
      <c r="O46" s="1501">
        <f t="shared" si="13"/>
        <v>0</v>
      </c>
      <c r="P46" s="1501">
        <f t="shared" si="13"/>
        <v>0</v>
      </c>
      <c r="Q46" s="1501">
        <f t="shared" si="13"/>
        <v>0</v>
      </c>
      <c r="R46" s="1501">
        <f t="shared" si="13"/>
        <v>0</v>
      </c>
      <c r="S46" s="1501">
        <f t="shared" si="13"/>
        <v>0</v>
      </c>
      <c r="T46" s="1501">
        <f t="shared" si="13"/>
        <v>0</v>
      </c>
      <c r="U46" s="1501">
        <f t="shared" si="13"/>
        <v>0</v>
      </c>
      <c r="V46" s="1501">
        <f t="shared" si="13"/>
        <v>0</v>
      </c>
      <c r="W46" s="1501">
        <f t="shared" si="13"/>
        <v>0</v>
      </c>
      <c r="X46" s="1501">
        <f t="shared" si="13"/>
        <v>0</v>
      </c>
      <c r="Y46" s="1501">
        <f t="shared" si="13"/>
        <v>0</v>
      </c>
      <c r="Z46" s="1501">
        <f t="shared" si="13"/>
        <v>0</v>
      </c>
      <c r="AA46" s="1501">
        <f t="shared" si="13"/>
        <v>0</v>
      </c>
      <c r="AB46" s="1501">
        <f t="shared" si="13"/>
        <v>0</v>
      </c>
      <c r="AC46" s="1501">
        <f t="shared" si="13"/>
        <v>0</v>
      </c>
      <c r="AD46" s="1501">
        <f t="shared" si="13"/>
        <v>0</v>
      </c>
      <c r="AE46" s="1501">
        <f t="shared" si="13"/>
        <v>0</v>
      </c>
      <c r="AF46" s="392">
        <f>SUM(AF32:AF45)</f>
        <v>0</v>
      </c>
    </row>
    <row r="47" spans="1:32" s="2832" customFormat="1" ht="17.100000000000001" customHeight="1">
      <c r="A47" s="7233" t="s">
        <v>4080</v>
      </c>
      <c r="B47" s="7233"/>
      <c r="C47" s="7233"/>
      <c r="D47" s="7233"/>
      <c r="E47" s="7233"/>
      <c r="F47" s="7233"/>
      <c r="G47" s="7233"/>
      <c r="H47" s="7233"/>
      <c r="I47" s="7233"/>
      <c r="J47" s="7233"/>
      <c r="K47" s="7233"/>
      <c r="L47" s="7233"/>
      <c r="M47" s="7233"/>
    </row>
    <row r="48" spans="1:32" s="1470" customFormat="1" ht="15" customHeight="1">
      <c r="A48" s="6070" t="s">
        <v>4081</v>
      </c>
      <c r="B48" s="6766" t="s">
        <v>91</v>
      </c>
      <c r="C48" s="7234" t="s">
        <v>4036</v>
      </c>
      <c r="D48" s="6787" t="s">
        <v>4037</v>
      </c>
      <c r="E48" s="7236" t="s">
        <v>4038</v>
      </c>
      <c r="F48" s="6049" t="s">
        <v>4054</v>
      </c>
      <c r="G48" s="6060"/>
      <c r="H48" s="6060"/>
      <c r="I48" s="6060"/>
      <c r="J48" s="6060"/>
      <c r="K48" s="6060"/>
      <c r="L48" s="6060"/>
      <c r="M48" s="6060"/>
      <c r="N48" s="6060"/>
      <c r="O48" s="6060"/>
      <c r="P48" s="6060"/>
      <c r="Q48" s="6060"/>
      <c r="R48" s="6060"/>
      <c r="S48" s="6060"/>
      <c r="T48" s="6060"/>
      <c r="U48" s="6060"/>
      <c r="V48" s="6060"/>
      <c r="W48" s="6060"/>
      <c r="X48" s="6060"/>
      <c r="Y48" s="6060"/>
      <c r="Z48" s="6060"/>
      <c r="AA48" s="6060"/>
      <c r="AB48" s="6060"/>
      <c r="AC48" s="6060"/>
      <c r="AD48" s="6060"/>
      <c r="AE48" s="6060"/>
      <c r="AF48" s="6059"/>
    </row>
    <row r="49" spans="1:32" s="1470" customFormat="1" ht="42" customHeight="1">
      <c r="A49" s="6076"/>
      <c r="B49" s="6767"/>
      <c r="C49" s="7235"/>
      <c r="D49" s="6788"/>
      <c r="E49" s="7237"/>
      <c r="F49" s="5065" t="s">
        <v>4040</v>
      </c>
      <c r="G49" s="3685" t="s">
        <v>4055</v>
      </c>
      <c r="H49" s="3685" t="s">
        <v>4056</v>
      </c>
      <c r="I49" s="3685" t="s">
        <v>4057</v>
      </c>
      <c r="J49" s="2476" t="s">
        <v>4042</v>
      </c>
      <c r="K49" s="3685" t="s">
        <v>4058</v>
      </c>
      <c r="L49" s="1591" t="s">
        <v>4059</v>
      </c>
      <c r="M49" s="3685" t="s">
        <v>4082</v>
      </c>
      <c r="N49" s="3685" t="s">
        <v>4044</v>
      </c>
      <c r="O49" s="3685" t="s">
        <v>4045</v>
      </c>
      <c r="P49" s="1498" t="s">
        <v>4061</v>
      </c>
      <c r="Q49" s="1400" t="s">
        <v>4046</v>
      </c>
      <c r="R49" s="3685" t="s">
        <v>4047</v>
      </c>
      <c r="S49" s="1591" t="s">
        <v>4062</v>
      </c>
      <c r="T49" s="1498" t="s">
        <v>4049</v>
      </c>
      <c r="U49" s="2539" t="s">
        <v>4063</v>
      </c>
      <c r="V49" s="1498" t="s">
        <v>4064</v>
      </c>
      <c r="W49" s="1498" t="s">
        <v>4050</v>
      </c>
      <c r="X49" s="1591" t="s">
        <v>4051</v>
      </c>
      <c r="Y49" s="1498" t="s">
        <v>4065</v>
      </c>
      <c r="Z49" s="2539" t="s">
        <v>4066</v>
      </c>
      <c r="AA49" s="1498" t="s">
        <v>4067</v>
      </c>
      <c r="AB49" s="3685" t="s">
        <v>4068</v>
      </c>
      <c r="AC49" s="1498" t="s">
        <v>4069</v>
      </c>
      <c r="AD49" s="1498" t="s">
        <v>4070</v>
      </c>
      <c r="AE49" s="1498" t="s">
        <v>4071</v>
      </c>
      <c r="AF49" s="2538" t="s">
        <v>4072</v>
      </c>
    </row>
    <row r="50" spans="1:32" s="1470" customFormat="1" ht="15" customHeight="1">
      <c r="A50" s="2291" t="s">
        <v>4083</v>
      </c>
      <c r="B50" s="2152">
        <f t="shared" ref="B50:B65" si="14">SUM(C50:AF50)</f>
        <v>0</v>
      </c>
      <c r="C50" s="1440"/>
      <c r="D50" s="1426"/>
      <c r="E50" s="1452"/>
      <c r="F50" s="1480"/>
      <c r="G50" s="1541"/>
      <c r="H50" s="1541"/>
      <c r="I50" s="1541"/>
      <c r="J50" s="1959"/>
      <c r="K50" s="1426"/>
      <c r="L50" s="1426"/>
      <c r="M50" s="1426"/>
      <c r="N50" s="1796"/>
      <c r="O50" s="1541"/>
      <c r="P50" s="1541"/>
      <c r="Q50" s="1541"/>
      <c r="R50" s="1541"/>
      <c r="S50" s="1541"/>
      <c r="T50" s="1541"/>
      <c r="U50" s="1541"/>
      <c r="V50" s="1541"/>
      <c r="W50" s="1541"/>
      <c r="X50" s="1541"/>
      <c r="Y50" s="1541"/>
      <c r="Z50" s="1959"/>
      <c r="AA50" s="1959"/>
      <c r="AB50" s="1959"/>
      <c r="AC50" s="1959"/>
      <c r="AD50" s="1426"/>
      <c r="AE50" s="1425"/>
      <c r="AF50" s="1769"/>
    </row>
    <row r="51" spans="1:32" s="1470" customFormat="1" ht="15" customHeight="1">
      <c r="A51" s="3836" t="s">
        <v>4084</v>
      </c>
      <c r="B51" s="3555">
        <f t="shared" si="14"/>
        <v>0</v>
      </c>
      <c r="C51" s="1440"/>
      <c r="D51" s="1442"/>
      <c r="E51" s="1452"/>
      <c r="F51" s="1485"/>
      <c r="G51" s="1712"/>
      <c r="H51" s="1712"/>
      <c r="I51" s="1712"/>
      <c r="J51" s="2352"/>
      <c r="K51" s="1712"/>
      <c r="L51" s="1712"/>
      <c r="M51" s="1712"/>
      <c r="N51" s="1826"/>
      <c r="O51" s="1712"/>
      <c r="P51" s="1712"/>
      <c r="Q51" s="1712"/>
      <c r="R51" s="1712"/>
      <c r="S51" s="1712"/>
      <c r="T51" s="1712"/>
      <c r="U51" s="1712"/>
      <c r="V51" s="1712"/>
      <c r="W51" s="1712"/>
      <c r="X51" s="1712"/>
      <c r="Y51" s="1712"/>
      <c r="Z51" s="2352"/>
      <c r="AA51" s="2352"/>
      <c r="AB51" s="2352"/>
      <c r="AC51" s="2352"/>
      <c r="AD51" s="1712"/>
      <c r="AE51" s="1826"/>
      <c r="AF51" s="1824"/>
    </row>
    <row r="52" spans="1:32" s="1470" customFormat="1" ht="15" customHeight="1">
      <c r="A52" s="3836" t="s">
        <v>4085</v>
      </c>
      <c r="B52" s="3555">
        <f t="shared" si="14"/>
        <v>0</v>
      </c>
      <c r="C52" s="1440"/>
      <c r="D52" s="1442"/>
      <c r="E52" s="1452"/>
      <c r="F52" s="1440"/>
      <c r="G52" s="1442"/>
      <c r="H52" s="1442"/>
      <c r="I52" s="1442"/>
      <c r="J52" s="1443"/>
      <c r="K52" s="1442"/>
      <c r="L52" s="1442"/>
      <c r="M52" s="1442"/>
      <c r="N52" s="1441"/>
      <c r="O52" s="1442"/>
      <c r="P52" s="1442"/>
      <c r="Q52" s="1442"/>
      <c r="R52" s="1442"/>
      <c r="S52" s="1442"/>
      <c r="T52" s="1442"/>
      <c r="U52" s="1442"/>
      <c r="V52" s="1442"/>
      <c r="W52" s="1442"/>
      <c r="X52" s="1442"/>
      <c r="Y52" s="1442"/>
      <c r="Z52" s="1443"/>
      <c r="AA52" s="1443"/>
      <c r="AB52" s="1443"/>
      <c r="AC52" s="1443"/>
      <c r="AD52" s="1442"/>
      <c r="AE52" s="1441"/>
      <c r="AF52" s="1680"/>
    </row>
    <row r="53" spans="1:32" s="1470" customFormat="1" ht="15" customHeight="1">
      <c r="A53" s="3836" t="s">
        <v>4086</v>
      </c>
      <c r="B53" s="3555">
        <f t="shared" si="14"/>
        <v>0</v>
      </c>
      <c r="C53" s="1440"/>
      <c r="D53" s="1442"/>
      <c r="E53" s="1452"/>
      <c r="F53" s="1440"/>
      <c r="G53" s="1442"/>
      <c r="H53" s="1442"/>
      <c r="I53" s="1442"/>
      <c r="J53" s="1443"/>
      <c r="K53" s="1442"/>
      <c r="L53" s="1442"/>
      <c r="M53" s="1442"/>
      <c r="N53" s="1441"/>
      <c r="O53" s="1442"/>
      <c r="P53" s="1442"/>
      <c r="Q53" s="1442"/>
      <c r="R53" s="1442"/>
      <c r="S53" s="1442"/>
      <c r="T53" s="1442"/>
      <c r="U53" s="1442"/>
      <c r="V53" s="1442"/>
      <c r="W53" s="1442"/>
      <c r="X53" s="1442"/>
      <c r="Y53" s="1442"/>
      <c r="Z53" s="1443"/>
      <c r="AA53" s="1443"/>
      <c r="AB53" s="1443"/>
      <c r="AC53" s="1443"/>
      <c r="AD53" s="1442"/>
      <c r="AE53" s="1441"/>
      <c r="AF53" s="1680"/>
    </row>
    <row r="54" spans="1:32" s="1470" customFormat="1" ht="15" customHeight="1">
      <c r="A54" s="3549" t="s">
        <v>4087</v>
      </c>
      <c r="B54" s="3555">
        <f t="shared" si="14"/>
        <v>0</v>
      </c>
      <c r="C54" s="1440"/>
      <c r="D54" s="1442"/>
      <c r="E54" s="1452"/>
      <c r="F54" s="1480"/>
      <c r="G54" s="1541"/>
      <c r="H54" s="1541"/>
      <c r="I54" s="1541"/>
      <c r="J54" s="1959"/>
      <c r="K54" s="1541"/>
      <c r="L54" s="1541"/>
      <c r="M54" s="1541"/>
      <c r="N54" s="1796"/>
      <c r="O54" s="1541"/>
      <c r="P54" s="1541"/>
      <c r="Q54" s="1541"/>
      <c r="R54" s="1541"/>
      <c r="S54" s="1541"/>
      <c r="T54" s="1541"/>
      <c r="U54" s="1541"/>
      <c r="V54" s="1541"/>
      <c r="W54" s="1541"/>
      <c r="X54" s="1541"/>
      <c r="Y54" s="1541"/>
      <c r="Z54" s="1959"/>
      <c r="AA54" s="1959"/>
      <c r="AB54" s="1959"/>
      <c r="AC54" s="1959"/>
      <c r="AD54" s="1541"/>
      <c r="AE54" s="1796"/>
      <c r="AF54" s="1769"/>
    </row>
    <row r="55" spans="1:32" s="1470" customFormat="1" ht="15" customHeight="1">
      <c r="A55" s="3549" t="s">
        <v>4088</v>
      </c>
      <c r="B55" s="3555">
        <f t="shared" si="14"/>
        <v>0</v>
      </c>
      <c r="C55" s="1440"/>
      <c r="D55" s="1442"/>
      <c r="E55" s="1452"/>
      <c r="F55" s="1480"/>
      <c r="G55" s="1541"/>
      <c r="H55" s="1541"/>
      <c r="I55" s="1541"/>
      <c r="J55" s="1959"/>
      <c r="K55" s="1541"/>
      <c r="L55" s="1442"/>
      <c r="M55" s="1442"/>
      <c r="N55" s="1796"/>
      <c r="O55" s="1541"/>
      <c r="P55" s="1541"/>
      <c r="Q55" s="1541"/>
      <c r="R55" s="1541"/>
      <c r="S55" s="1541"/>
      <c r="T55" s="1541"/>
      <c r="U55" s="1541"/>
      <c r="V55" s="1541"/>
      <c r="W55" s="1541"/>
      <c r="X55" s="1541"/>
      <c r="Y55" s="1541"/>
      <c r="Z55" s="1959"/>
      <c r="AA55" s="1959"/>
      <c r="AB55" s="1959"/>
      <c r="AC55" s="1959"/>
      <c r="AD55" s="1541"/>
      <c r="AE55" s="1441"/>
      <c r="AF55" s="1680"/>
    </row>
    <row r="56" spans="1:32" s="1470" customFormat="1" ht="15" customHeight="1">
      <c r="A56" s="3549" t="s">
        <v>4089</v>
      </c>
      <c r="B56" s="3555">
        <f t="shared" si="14"/>
        <v>0</v>
      </c>
      <c r="C56" s="1440"/>
      <c r="D56" s="1442"/>
      <c r="E56" s="1452"/>
      <c r="F56" s="1440"/>
      <c r="G56" s="1442"/>
      <c r="H56" s="1442"/>
      <c r="I56" s="1442"/>
      <c r="J56" s="1443"/>
      <c r="K56" s="1442"/>
      <c r="L56" s="1442"/>
      <c r="M56" s="1442"/>
      <c r="N56" s="1441"/>
      <c r="O56" s="1442"/>
      <c r="P56" s="1442"/>
      <c r="Q56" s="1442"/>
      <c r="R56" s="1442"/>
      <c r="S56" s="1442"/>
      <c r="T56" s="1442"/>
      <c r="U56" s="1442"/>
      <c r="V56" s="1442"/>
      <c r="W56" s="1442"/>
      <c r="X56" s="1442"/>
      <c r="Y56" s="1442"/>
      <c r="Z56" s="1443"/>
      <c r="AA56" s="1443"/>
      <c r="AB56" s="1443"/>
      <c r="AC56" s="1443"/>
      <c r="AD56" s="1442"/>
      <c r="AE56" s="1441"/>
      <c r="AF56" s="1680"/>
    </row>
    <row r="57" spans="1:32" s="1470" customFormat="1" ht="15" customHeight="1">
      <c r="A57" s="3549" t="s">
        <v>4090</v>
      </c>
      <c r="B57" s="3555">
        <f t="shared" si="14"/>
        <v>0</v>
      </c>
      <c r="C57" s="1440"/>
      <c r="D57" s="1442"/>
      <c r="E57" s="1452"/>
      <c r="F57" s="1440"/>
      <c r="G57" s="1442"/>
      <c r="H57" s="1442"/>
      <c r="I57" s="1442"/>
      <c r="J57" s="1443"/>
      <c r="K57" s="1442"/>
      <c r="L57" s="1442"/>
      <c r="M57" s="1442"/>
      <c r="N57" s="1441"/>
      <c r="O57" s="1442"/>
      <c r="P57" s="1442"/>
      <c r="Q57" s="1442"/>
      <c r="R57" s="1442"/>
      <c r="S57" s="1442"/>
      <c r="T57" s="1442"/>
      <c r="U57" s="1442"/>
      <c r="V57" s="1442"/>
      <c r="W57" s="1442"/>
      <c r="X57" s="1442"/>
      <c r="Y57" s="1442"/>
      <c r="Z57" s="1443"/>
      <c r="AA57" s="1443"/>
      <c r="AB57" s="1443"/>
      <c r="AC57" s="1443"/>
      <c r="AD57" s="1442"/>
      <c r="AE57" s="1441"/>
      <c r="AF57" s="1680"/>
    </row>
    <row r="58" spans="1:32" s="1470" customFormat="1" ht="15" customHeight="1">
      <c r="A58" s="3549" t="s">
        <v>4091</v>
      </c>
      <c r="B58" s="3555">
        <f t="shared" si="14"/>
        <v>0</v>
      </c>
      <c r="C58" s="1440"/>
      <c r="D58" s="1442"/>
      <c r="E58" s="1452"/>
      <c r="F58" s="1485"/>
      <c r="G58" s="1712"/>
      <c r="H58" s="1712"/>
      <c r="I58" s="1712"/>
      <c r="J58" s="1712"/>
      <c r="K58" s="1826"/>
      <c r="L58" s="1826"/>
      <c r="M58" s="1826"/>
      <c r="N58" s="1826"/>
      <c r="O58" s="1712"/>
      <c r="P58" s="1826"/>
      <c r="Q58" s="1712"/>
      <c r="R58" s="1826"/>
      <c r="S58" s="1712"/>
      <c r="T58" s="1826"/>
      <c r="U58" s="1712"/>
      <c r="V58" s="1826"/>
      <c r="W58" s="1712"/>
      <c r="X58" s="1826"/>
      <c r="Y58" s="1712"/>
      <c r="Z58" s="1826"/>
      <c r="AA58" s="1712"/>
      <c r="AB58" s="1826"/>
      <c r="AC58" s="1712"/>
      <c r="AD58" s="1712"/>
      <c r="AE58" s="1826"/>
      <c r="AF58" s="1824"/>
    </row>
    <row r="59" spans="1:32" s="1470" customFormat="1" ht="15" customHeight="1">
      <c r="A59" s="3836" t="s">
        <v>4092</v>
      </c>
      <c r="B59" s="4435">
        <f t="shared" si="14"/>
        <v>0</v>
      </c>
      <c r="C59" s="1480"/>
      <c r="D59" s="1541"/>
      <c r="E59" s="1545"/>
      <c r="F59" s="1485"/>
      <c r="G59" s="1712"/>
      <c r="H59" s="1712"/>
      <c r="I59" s="1712"/>
      <c r="J59" s="1442"/>
      <c r="K59" s="1441"/>
      <c r="L59" s="1826"/>
      <c r="M59" s="1441"/>
      <c r="N59" s="1826"/>
      <c r="O59" s="1442"/>
      <c r="P59" s="1826"/>
      <c r="Q59" s="1442"/>
      <c r="R59" s="1826"/>
      <c r="S59" s="1442"/>
      <c r="T59" s="1826"/>
      <c r="U59" s="1712"/>
      <c r="V59" s="1826"/>
      <c r="W59" s="1442"/>
      <c r="X59" s="1826"/>
      <c r="Y59" s="1442"/>
      <c r="Z59" s="1826"/>
      <c r="AA59" s="1712"/>
      <c r="AB59" s="1826"/>
      <c r="AC59" s="1442"/>
      <c r="AD59" s="1442"/>
      <c r="AE59" s="1441"/>
      <c r="AF59" s="1680"/>
    </row>
    <row r="60" spans="1:32" s="1470" customFormat="1" ht="15" customHeight="1">
      <c r="A60" s="3549" t="s">
        <v>4093</v>
      </c>
      <c r="B60" s="3555">
        <f t="shared" si="14"/>
        <v>0</v>
      </c>
      <c r="C60" s="1485"/>
      <c r="D60" s="1712"/>
      <c r="E60" s="1692"/>
      <c r="F60" s="1440"/>
      <c r="G60" s="1442"/>
      <c r="H60" s="1442"/>
      <c r="I60" s="1442"/>
      <c r="J60" s="1443"/>
      <c r="K60" s="1442"/>
      <c r="L60" s="1442"/>
      <c r="M60" s="1442"/>
      <c r="N60" s="1441"/>
      <c r="O60" s="1442"/>
      <c r="P60" s="1442"/>
      <c r="Q60" s="1442"/>
      <c r="R60" s="1442"/>
      <c r="S60" s="1442"/>
      <c r="T60" s="1442"/>
      <c r="U60" s="1442"/>
      <c r="V60" s="1441"/>
      <c r="W60" s="1442"/>
      <c r="X60" s="1442"/>
      <c r="Y60" s="1442"/>
      <c r="Z60" s="1443"/>
      <c r="AA60" s="1442"/>
      <c r="AB60" s="1447"/>
      <c r="AC60" s="1443"/>
      <c r="AD60" s="1442"/>
      <c r="AE60" s="1441"/>
      <c r="AF60" s="1680"/>
    </row>
    <row r="61" spans="1:32" s="1470" customFormat="1" ht="15" customHeight="1">
      <c r="A61" s="3549" t="s">
        <v>4094</v>
      </c>
      <c r="B61" s="3555">
        <f t="shared" si="14"/>
        <v>0</v>
      </c>
      <c r="C61" s="1440"/>
      <c r="D61" s="1442"/>
      <c r="E61" s="1452"/>
      <c r="F61" s="1440"/>
      <c r="G61" s="1442"/>
      <c r="H61" s="1442"/>
      <c r="I61" s="1442"/>
      <c r="J61" s="1443"/>
      <c r="K61" s="1442"/>
      <c r="L61" s="1442"/>
      <c r="M61" s="1442"/>
      <c r="N61" s="1441"/>
      <c r="O61" s="1442"/>
      <c r="P61" s="1442"/>
      <c r="Q61" s="1442"/>
      <c r="R61" s="1442"/>
      <c r="S61" s="1442"/>
      <c r="T61" s="1442"/>
      <c r="U61" s="1442"/>
      <c r="V61" s="1442"/>
      <c r="W61" s="1442"/>
      <c r="X61" s="1442"/>
      <c r="Y61" s="1442"/>
      <c r="Z61" s="1443"/>
      <c r="AA61" s="1443"/>
      <c r="AB61" s="1443"/>
      <c r="AC61" s="1443"/>
      <c r="AD61" s="1442"/>
      <c r="AE61" s="1441"/>
      <c r="AF61" s="1680"/>
    </row>
    <row r="62" spans="1:32" s="1470" customFormat="1" ht="15" customHeight="1">
      <c r="A62" s="3549" t="s">
        <v>4095</v>
      </c>
      <c r="B62" s="3555">
        <f t="shared" si="14"/>
        <v>0</v>
      </c>
      <c r="C62" s="1440"/>
      <c r="D62" s="1442"/>
      <c r="E62" s="1452"/>
      <c r="F62" s="1440"/>
      <c r="G62" s="1442"/>
      <c r="H62" s="1442"/>
      <c r="I62" s="1442"/>
      <c r="J62" s="1443"/>
      <c r="K62" s="1442"/>
      <c r="L62" s="1442"/>
      <c r="M62" s="1442"/>
      <c r="N62" s="1441"/>
      <c r="O62" s="1442"/>
      <c r="P62" s="1442"/>
      <c r="Q62" s="1442"/>
      <c r="R62" s="1442"/>
      <c r="S62" s="1442"/>
      <c r="T62" s="1442"/>
      <c r="U62" s="1442"/>
      <c r="V62" s="1442"/>
      <c r="W62" s="1442"/>
      <c r="X62" s="1442"/>
      <c r="Y62" s="1442"/>
      <c r="Z62" s="1443"/>
      <c r="AA62" s="1443"/>
      <c r="AB62" s="1443"/>
      <c r="AC62" s="1443"/>
      <c r="AD62" s="1442"/>
      <c r="AE62" s="1441"/>
      <c r="AF62" s="1680"/>
    </row>
    <row r="63" spans="1:32" s="1470" customFormat="1" ht="15" customHeight="1">
      <c r="A63" s="3549" t="s">
        <v>4096</v>
      </c>
      <c r="B63" s="3555">
        <f t="shared" si="14"/>
        <v>0</v>
      </c>
      <c r="C63" s="1440"/>
      <c r="D63" s="1442"/>
      <c r="E63" s="1452"/>
      <c r="F63" s="1440"/>
      <c r="G63" s="1442"/>
      <c r="H63" s="1442"/>
      <c r="I63" s="1442"/>
      <c r="J63" s="1443"/>
      <c r="K63" s="1442"/>
      <c r="L63" s="1442"/>
      <c r="M63" s="1442"/>
      <c r="N63" s="1441"/>
      <c r="O63" s="1442"/>
      <c r="P63" s="1442"/>
      <c r="Q63" s="1442"/>
      <c r="R63" s="1442"/>
      <c r="S63" s="1442"/>
      <c r="T63" s="1442"/>
      <c r="U63" s="1442"/>
      <c r="V63" s="1442"/>
      <c r="W63" s="1442"/>
      <c r="X63" s="1442"/>
      <c r="Y63" s="1442"/>
      <c r="Z63" s="1443"/>
      <c r="AA63" s="1443"/>
      <c r="AB63" s="1443"/>
      <c r="AC63" s="1443"/>
      <c r="AD63" s="1442"/>
      <c r="AE63" s="1441"/>
      <c r="AF63" s="1680"/>
    </row>
    <row r="64" spans="1:32" s="1470" customFormat="1" ht="21">
      <c r="A64" s="3836" t="s">
        <v>4097</v>
      </c>
      <c r="B64" s="3555">
        <f t="shared" si="14"/>
        <v>0</v>
      </c>
      <c r="C64" s="1440"/>
      <c r="D64" s="1442"/>
      <c r="E64" s="1452"/>
      <c r="F64" s="1440"/>
      <c r="G64" s="1442"/>
      <c r="H64" s="1442"/>
      <c r="I64" s="1442"/>
      <c r="J64" s="1443"/>
      <c r="K64" s="1442"/>
      <c r="L64" s="1442"/>
      <c r="M64" s="1442"/>
      <c r="N64" s="1441"/>
      <c r="O64" s="1442"/>
      <c r="P64" s="1442"/>
      <c r="Q64" s="1442"/>
      <c r="R64" s="1442"/>
      <c r="S64" s="1442"/>
      <c r="T64" s="1442"/>
      <c r="U64" s="1442"/>
      <c r="V64" s="1442"/>
      <c r="W64" s="1442"/>
      <c r="X64" s="1442"/>
      <c r="Y64" s="1442"/>
      <c r="Z64" s="1443"/>
      <c r="AA64" s="1443"/>
      <c r="AB64" s="1443"/>
      <c r="AC64" s="1443"/>
      <c r="AD64" s="1442"/>
      <c r="AE64" s="1441"/>
      <c r="AF64" s="1680"/>
    </row>
    <row r="65" spans="1:89" s="1470" customFormat="1" ht="15" customHeight="1">
      <c r="A65" s="3552" t="s">
        <v>4098</v>
      </c>
      <c r="B65" s="2047">
        <f t="shared" si="14"/>
        <v>0</v>
      </c>
      <c r="C65" s="1528"/>
      <c r="D65" s="1529"/>
      <c r="E65" s="1534"/>
      <c r="F65" s="1455"/>
      <c r="G65" s="1457"/>
      <c r="H65" s="1457"/>
      <c r="I65" s="1457"/>
      <c r="J65" s="1458"/>
      <c r="K65" s="1457"/>
      <c r="L65" s="1457"/>
      <c r="M65" s="1457"/>
      <c r="N65" s="1456"/>
      <c r="O65" s="1457"/>
      <c r="P65" s="1457"/>
      <c r="Q65" s="1457"/>
      <c r="R65" s="1457"/>
      <c r="S65" s="1457"/>
      <c r="T65" s="1457"/>
      <c r="U65" s="1457"/>
      <c r="V65" s="1457"/>
      <c r="W65" s="1457"/>
      <c r="X65" s="1457"/>
      <c r="Y65" s="1457"/>
      <c r="Z65" s="1458"/>
      <c r="AA65" s="1458"/>
      <c r="AB65" s="1458"/>
      <c r="AC65" s="1458"/>
      <c r="AD65" s="1457"/>
      <c r="AE65" s="1456"/>
      <c r="AF65" s="1684"/>
    </row>
    <row r="66" spans="1:89" s="1470" customFormat="1" ht="15" customHeight="1">
      <c r="A66" s="2290" t="s">
        <v>91</v>
      </c>
      <c r="B66" s="1527">
        <f>SUM(B50:B65)</f>
        <v>0</v>
      </c>
      <c r="C66" s="401">
        <f>SUM(C50:C65)</f>
        <v>0</v>
      </c>
      <c r="D66" s="1501">
        <f>SUM(D50:D65)</f>
        <v>0</v>
      </c>
      <c r="E66" s="392">
        <f t="shared" ref="E66:AE66" si="15">SUM(E50:E65)</f>
        <v>0</v>
      </c>
      <c r="F66" s="401">
        <f t="shared" si="15"/>
        <v>0</v>
      </c>
      <c r="G66" s="1501">
        <f t="shared" si="15"/>
        <v>0</v>
      </c>
      <c r="H66" s="1501">
        <f t="shared" si="15"/>
        <v>0</v>
      </c>
      <c r="I66" s="1501">
        <f t="shared" si="15"/>
        <v>0</v>
      </c>
      <c r="J66" s="4064">
        <f t="shared" si="15"/>
        <v>0</v>
      </c>
      <c r="K66" s="1501">
        <f t="shared" si="15"/>
        <v>0</v>
      </c>
      <c r="L66" s="1501">
        <f t="shared" si="15"/>
        <v>0</v>
      </c>
      <c r="M66" s="1501">
        <f t="shared" si="15"/>
        <v>0</v>
      </c>
      <c r="N66" s="402">
        <f t="shared" si="15"/>
        <v>0</v>
      </c>
      <c r="O66" s="1501">
        <f t="shared" si="15"/>
        <v>0</v>
      </c>
      <c r="P66" s="1501">
        <f t="shared" si="15"/>
        <v>0</v>
      </c>
      <c r="Q66" s="1501">
        <f t="shared" si="15"/>
        <v>0</v>
      </c>
      <c r="R66" s="1501">
        <f t="shared" si="15"/>
        <v>0</v>
      </c>
      <c r="S66" s="1501">
        <f t="shared" si="15"/>
        <v>0</v>
      </c>
      <c r="T66" s="1501">
        <f t="shared" si="15"/>
        <v>0</v>
      </c>
      <c r="U66" s="1501">
        <f t="shared" si="15"/>
        <v>0</v>
      </c>
      <c r="V66" s="1501">
        <f t="shared" si="15"/>
        <v>0</v>
      </c>
      <c r="W66" s="1501">
        <f t="shared" si="15"/>
        <v>0</v>
      </c>
      <c r="X66" s="1501">
        <f t="shared" si="15"/>
        <v>0</v>
      </c>
      <c r="Y66" s="1501">
        <f t="shared" si="15"/>
        <v>0</v>
      </c>
      <c r="Z66" s="4064">
        <f t="shared" si="15"/>
        <v>0</v>
      </c>
      <c r="AA66" s="4064">
        <f t="shared" si="15"/>
        <v>0</v>
      </c>
      <c r="AB66" s="4064">
        <f t="shared" si="15"/>
        <v>0</v>
      </c>
      <c r="AC66" s="4064">
        <f>SUM(AC50:AC65)</f>
        <v>0</v>
      </c>
      <c r="AD66" s="1501">
        <f t="shared" si="15"/>
        <v>0</v>
      </c>
      <c r="AE66" s="402">
        <f t="shared" si="15"/>
        <v>0</v>
      </c>
      <c r="AF66" s="403">
        <f>SUM(AF50:AF65)</f>
        <v>0</v>
      </c>
    </row>
    <row r="67" spans="1:89" s="2832" customFormat="1" ht="17.100000000000001" customHeight="1">
      <c r="A67" s="7233" t="s">
        <v>4099</v>
      </c>
      <c r="B67" s="7233"/>
      <c r="C67" s="7233"/>
      <c r="D67" s="7233"/>
      <c r="E67" s="7233"/>
      <c r="F67" s="7233"/>
      <c r="G67" s="7233"/>
      <c r="H67" s="7233"/>
      <c r="I67" s="7233"/>
      <c r="J67" s="7233"/>
      <c r="K67" s="7233"/>
      <c r="L67" s="7233"/>
      <c r="M67" s="7233"/>
    </row>
    <row r="68" spans="1:89" s="1470" customFormat="1" ht="18.95" customHeight="1">
      <c r="A68" s="6070" t="s">
        <v>4100</v>
      </c>
      <c r="B68" s="7238" t="s">
        <v>4101</v>
      </c>
      <c r="C68" s="6069" t="s">
        <v>4102</v>
      </c>
      <c r="D68" s="6069"/>
      <c r="E68" s="6070"/>
      <c r="F68" s="6049" t="s">
        <v>115</v>
      </c>
      <c r="G68" s="6060"/>
      <c r="H68" s="6060"/>
      <c r="I68" s="6060"/>
      <c r="J68" s="6060"/>
      <c r="K68" s="6060"/>
      <c r="L68" s="6060"/>
      <c r="M68" s="6726"/>
      <c r="N68" s="6768" t="s">
        <v>3046</v>
      </c>
      <c r="O68" s="6766" t="s">
        <v>4103</v>
      </c>
      <c r="P68" s="6069" t="s">
        <v>4033</v>
      </c>
      <c r="Q68" s="6766" t="s">
        <v>625</v>
      </c>
      <c r="R68" s="6069" t="s">
        <v>50</v>
      </c>
      <c r="S68" s="6766" t="s">
        <v>51</v>
      </c>
      <c r="T68" s="6232" t="s">
        <v>514</v>
      </c>
    </row>
    <row r="69" spans="1:89" s="1470" customFormat="1" ht="15" customHeight="1">
      <c r="A69" s="6073"/>
      <c r="B69" s="7239"/>
      <c r="C69" s="6072"/>
      <c r="D69" s="6072"/>
      <c r="E69" s="6073"/>
      <c r="F69" s="6049" t="s">
        <v>4104</v>
      </c>
      <c r="G69" s="6059"/>
      <c r="H69" s="6049" t="s">
        <v>1209</v>
      </c>
      <c r="I69" s="6059"/>
      <c r="J69" s="6049" t="s">
        <v>4105</v>
      </c>
      <c r="K69" s="6059"/>
      <c r="L69" s="6049" t="s">
        <v>691</v>
      </c>
      <c r="M69" s="6726"/>
      <c r="N69" s="7241"/>
      <c r="O69" s="7242"/>
      <c r="P69" s="6072"/>
      <c r="Q69" s="7242"/>
      <c r="R69" s="6072"/>
      <c r="S69" s="7242"/>
      <c r="T69" s="6233"/>
    </row>
    <row r="70" spans="1:89" s="1470" customFormat="1" ht="21.75" customHeight="1">
      <c r="A70" s="6076"/>
      <c r="B70" s="7240"/>
      <c r="C70" s="4948" t="s">
        <v>93</v>
      </c>
      <c r="D70" s="2539" t="s">
        <v>72</v>
      </c>
      <c r="E70" s="1594" t="s">
        <v>73</v>
      </c>
      <c r="F70" s="1497" t="s">
        <v>72</v>
      </c>
      <c r="G70" s="1594" t="s">
        <v>73</v>
      </c>
      <c r="H70" s="1497" t="s">
        <v>72</v>
      </c>
      <c r="I70" s="1594" t="s">
        <v>73</v>
      </c>
      <c r="J70" s="1497" t="s">
        <v>72</v>
      </c>
      <c r="K70" s="1594" t="s">
        <v>73</v>
      </c>
      <c r="L70" s="1497" t="s">
        <v>72</v>
      </c>
      <c r="M70" s="3407" t="s">
        <v>73</v>
      </c>
      <c r="N70" s="6769"/>
      <c r="O70" s="6767"/>
      <c r="P70" s="6075"/>
      <c r="Q70" s="6767"/>
      <c r="R70" s="6075"/>
      <c r="S70" s="6767"/>
      <c r="T70" s="6234"/>
    </row>
    <row r="71" spans="1:89" s="1470" customFormat="1" ht="15" customHeight="1">
      <c r="A71" s="5068" t="s">
        <v>4055</v>
      </c>
      <c r="B71" s="1990"/>
      <c r="C71" s="5069">
        <f t="shared" ref="C71:C85" si="16">SUM(D71:E71)</f>
        <v>0</v>
      </c>
      <c r="D71" s="2333">
        <f t="shared" ref="D71:E84" si="17">SUM(F71+H71+J71+L71)</f>
        <v>0</v>
      </c>
      <c r="E71" s="1728">
        <f>SUM(G71+I71+K71+M71)</f>
        <v>0</v>
      </c>
      <c r="F71" s="1480"/>
      <c r="G71" s="1769"/>
      <c r="H71" s="1796"/>
      <c r="I71" s="1769"/>
      <c r="J71" s="1796"/>
      <c r="K71" s="1769"/>
      <c r="L71" s="1796"/>
      <c r="M71" s="1481"/>
      <c r="N71" s="1429"/>
      <c r="O71" s="1430"/>
      <c r="P71" s="1652"/>
      <c r="Q71" s="1430"/>
      <c r="R71" s="1652"/>
      <c r="S71" s="1430"/>
      <c r="T71" s="1436"/>
      <c r="U71" s="1470" t="str">
        <f t="shared" ref="U71:U84" si="18">CA71&amp;CB71&amp;CC71&amp;CD71&amp;CE71&amp;CF71</f>
        <v/>
      </c>
      <c r="CA71" s="4429" t="str">
        <f t="shared" ref="CA71:CA84" si="19">IF(AND(C71&gt;0,Q71=""),"  *No olvide digitar la variable Beneficiarios. Digite Cero si no tiene.",IF(Q71&gt;C71," *La variable beneficiarios No puede ser mayor al Total Ambos Sexos.",""))</f>
        <v/>
      </c>
      <c r="CB71" s="4429" t="str">
        <f t="shared" ref="CB71:CB84" si="20">IF(AND(C71&gt;0,R71=""),"  *No olvide digitar la variable Pueblos originarios. Digite Cero si no tiene.",IF(R71&gt;C71," *La variable Pueblos originarios No puede ser mayor al Total Ambos Sexos.",""))</f>
        <v/>
      </c>
      <c r="CC71" s="4429" t="str">
        <f t="shared" ref="CC71:CC84" si="21">IF(AND(C71&gt;0,S71=""),"  *No olvide digitar la variable Migrantes. Digite Cero si no tiene.",IF(S71&gt;C71," *La variable Migrantes No puede ser mayor al Total Ambos Sexos.",""))</f>
        <v/>
      </c>
      <c r="CD71" s="4429" t="str">
        <f t="shared" ref="CD71:CD84" si="22">IF(AND(C71&gt;0,T71=""),"  *No olvide digitar la variable "&amp;AR$9&amp;""&amp;". Digite Cero si no tiene.",IF(T71&gt;C71," *La variable "&amp;AR$9&amp;""&amp;" No puede ser mayor al Total Ambos Sexos.",""))</f>
        <v/>
      </c>
      <c r="CH71" s="1420">
        <f t="shared" ref="CH71:CH84" si="23">IF(AND(C71&gt;0,Q71=""),1,IF(Q71&gt;C71,1,0))</f>
        <v>0</v>
      </c>
      <c r="CI71" s="1420">
        <f t="shared" ref="CI71:CI84" si="24">IF(AND(C71&gt;0,R71=""),1,IF(R71&gt;C71,1,0))</f>
        <v>0</v>
      </c>
      <c r="CJ71" s="1420">
        <f t="shared" ref="CJ71:CJ84" si="25">IF(AND(C71&gt;0,S71=""),1,IF(S71&gt;C71,1,0))</f>
        <v>0</v>
      </c>
      <c r="CK71" s="1420">
        <f t="shared" ref="CK71:CK84" si="26">IF(AND(C71&gt;0,T71=""),1,IF(T71&gt;C71,1,0))</f>
        <v>0</v>
      </c>
    </row>
    <row r="72" spans="1:89" s="1470" customFormat="1" ht="15" customHeight="1">
      <c r="A72" s="5070" t="s">
        <v>4057</v>
      </c>
      <c r="B72" s="1999"/>
      <c r="C72" s="5069">
        <f t="shared" si="16"/>
        <v>0</v>
      </c>
      <c r="D72" s="2333">
        <f t="shared" si="17"/>
        <v>0</v>
      </c>
      <c r="E72" s="1728">
        <f t="shared" si="17"/>
        <v>0</v>
      </c>
      <c r="F72" s="1480"/>
      <c r="G72" s="1769"/>
      <c r="H72" s="1796"/>
      <c r="I72" s="1769"/>
      <c r="J72" s="1796"/>
      <c r="K72" s="1769"/>
      <c r="L72" s="1796"/>
      <c r="M72" s="1481"/>
      <c r="N72" s="1445"/>
      <c r="O72" s="1446"/>
      <c r="P72" s="1447"/>
      <c r="Q72" s="1446"/>
      <c r="R72" s="1447"/>
      <c r="S72" s="1446"/>
      <c r="T72" s="1452"/>
      <c r="U72" s="1470" t="str">
        <f t="shared" si="18"/>
        <v/>
      </c>
      <c r="CA72" s="4429" t="str">
        <f t="shared" si="19"/>
        <v/>
      </c>
      <c r="CB72" s="4429" t="str">
        <f t="shared" si="20"/>
        <v/>
      </c>
      <c r="CC72" s="4429" t="str">
        <f t="shared" si="21"/>
        <v/>
      </c>
      <c r="CD72" s="4429" t="str">
        <f t="shared" si="22"/>
        <v/>
      </c>
      <c r="CH72" s="1420">
        <f t="shared" si="23"/>
        <v>0</v>
      </c>
      <c r="CI72" s="1420">
        <f t="shared" si="24"/>
        <v>0</v>
      </c>
      <c r="CJ72" s="1420">
        <f t="shared" si="25"/>
        <v>0</v>
      </c>
      <c r="CK72" s="1420">
        <f t="shared" si="26"/>
        <v>0</v>
      </c>
    </row>
    <row r="73" spans="1:89" s="1470" customFormat="1" ht="15" customHeight="1">
      <c r="A73" s="5070" t="s">
        <v>4106</v>
      </c>
      <c r="B73" s="1999"/>
      <c r="C73" s="5069">
        <f t="shared" si="16"/>
        <v>0</v>
      </c>
      <c r="D73" s="2333">
        <f t="shared" si="17"/>
        <v>0</v>
      </c>
      <c r="E73" s="1728">
        <f t="shared" si="17"/>
        <v>0</v>
      </c>
      <c r="F73" s="1480"/>
      <c r="G73" s="1769"/>
      <c r="H73" s="1796"/>
      <c r="I73" s="1769"/>
      <c r="J73" s="1796"/>
      <c r="K73" s="1769"/>
      <c r="L73" s="1796"/>
      <c r="M73" s="1481"/>
      <c r="N73" s="1445"/>
      <c r="O73" s="1446"/>
      <c r="P73" s="1447"/>
      <c r="Q73" s="1446"/>
      <c r="R73" s="1447"/>
      <c r="S73" s="1446"/>
      <c r="T73" s="1452"/>
      <c r="U73" s="1470" t="str">
        <f t="shared" si="18"/>
        <v/>
      </c>
      <c r="CA73" s="4429" t="str">
        <f t="shared" si="19"/>
        <v/>
      </c>
      <c r="CB73" s="4429" t="str">
        <f t="shared" si="20"/>
        <v/>
      </c>
      <c r="CC73" s="4429" t="str">
        <f t="shared" si="21"/>
        <v/>
      </c>
      <c r="CD73" s="4429" t="str">
        <f t="shared" si="22"/>
        <v/>
      </c>
      <c r="CH73" s="1420">
        <f t="shared" si="23"/>
        <v>0</v>
      </c>
      <c r="CI73" s="1420">
        <f t="shared" si="24"/>
        <v>0</v>
      </c>
      <c r="CJ73" s="1420">
        <f t="shared" si="25"/>
        <v>0</v>
      </c>
      <c r="CK73" s="1420">
        <f t="shared" si="26"/>
        <v>0</v>
      </c>
    </row>
    <row r="74" spans="1:89" s="1470" customFormat="1" ht="15" customHeight="1">
      <c r="A74" s="5070" t="s">
        <v>4107</v>
      </c>
      <c r="B74" s="1999"/>
      <c r="C74" s="5069">
        <f t="shared" si="16"/>
        <v>0</v>
      </c>
      <c r="D74" s="2333">
        <f t="shared" si="17"/>
        <v>0</v>
      </c>
      <c r="E74" s="1728">
        <f t="shared" si="17"/>
        <v>0</v>
      </c>
      <c r="F74" s="1480"/>
      <c r="G74" s="1769"/>
      <c r="H74" s="1796"/>
      <c r="I74" s="1769"/>
      <c r="J74" s="1796"/>
      <c r="K74" s="1769"/>
      <c r="L74" s="1796"/>
      <c r="M74" s="1481"/>
      <c r="N74" s="1445"/>
      <c r="O74" s="1446"/>
      <c r="P74" s="1447"/>
      <c r="Q74" s="1446"/>
      <c r="R74" s="1447"/>
      <c r="S74" s="1446"/>
      <c r="T74" s="1452"/>
      <c r="U74" s="1470" t="str">
        <f t="shared" si="18"/>
        <v/>
      </c>
      <c r="CA74" s="4429" t="str">
        <f t="shared" si="19"/>
        <v/>
      </c>
      <c r="CB74" s="4429" t="str">
        <f t="shared" si="20"/>
        <v/>
      </c>
      <c r="CC74" s="4429" t="str">
        <f t="shared" si="21"/>
        <v/>
      </c>
      <c r="CD74" s="4429" t="str">
        <f t="shared" si="22"/>
        <v/>
      </c>
      <c r="CH74" s="1420">
        <f t="shared" si="23"/>
        <v>0</v>
      </c>
      <c r="CI74" s="1420">
        <f t="shared" si="24"/>
        <v>0</v>
      </c>
      <c r="CJ74" s="1420">
        <f t="shared" si="25"/>
        <v>0</v>
      </c>
      <c r="CK74" s="1420">
        <f t="shared" si="26"/>
        <v>0</v>
      </c>
    </row>
    <row r="75" spans="1:89" s="1470" customFormat="1" ht="15" customHeight="1">
      <c r="A75" s="5070" t="s">
        <v>4063</v>
      </c>
      <c r="B75" s="1999"/>
      <c r="C75" s="5069">
        <f t="shared" si="16"/>
        <v>0</v>
      </c>
      <c r="D75" s="2333">
        <f t="shared" si="17"/>
        <v>0</v>
      </c>
      <c r="E75" s="1728">
        <f t="shared" si="17"/>
        <v>0</v>
      </c>
      <c r="F75" s="1480"/>
      <c r="G75" s="1769"/>
      <c r="H75" s="1796"/>
      <c r="I75" s="1769"/>
      <c r="J75" s="1796"/>
      <c r="K75" s="1769"/>
      <c r="L75" s="1796"/>
      <c r="M75" s="1481"/>
      <c r="N75" s="1445"/>
      <c r="O75" s="1446"/>
      <c r="P75" s="1447"/>
      <c r="Q75" s="1446"/>
      <c r="R75" s="1447"/>
      <c r="S75" s="1446"/>
      <c r="T75" s="1452"/>
      <c r="U75" s="1470" t="str">
        <f t="shared" si="18"/>
        <v/>
      </c>
      <c r="CA75" s="4429" t="str">
        <f t="shared" si="19"/>
        <v/>
      </c>
      <c r="CB75" s="4429" t="str">
        <f t="shared" si="20"/>
        <v/>
      </c>
      <c r="CC75" s="4429" t="str">
        <f t="shared" si="21"/>
        <v/>
      </c>
      <c r="CD75" s="4429" t="str">
        <f t="shared" si="22"/>
        <v/>
      </c>
      <c r="CH75" s="1420">
        <f t="shared" si="23"/>
        <v>0</v>
      </c>
      <c r="CI75" s="1420">
        <f t="shared" si="24"/>
        <v>0</v>
      </c>
      <c r="CJ75" s="1420">
        <f t="shared" si="25"/>
        <v>0</v>
      </c>
      <c r="CK75" s="1420">
        <f t="shared" si="26"/>
        <v>0</v>
      </c>
    </row>
    <row r="76" spans="1:89" s="1470" customFormat="1" ht="15" customHeight="1">
      <c r="A76" s="5070" t="s">
        <v>4108</v>
      </c>
      <c r="B76" s="1999"/>
      <c r="C76" s="5071">
        <f t="shared" si="16"/>
        <v>0</v>
      </c>
      <c r="D76" s="2333">
        <f t="shared" si="17"/>
        <v>0</v>
      </c>
      <c r="E76" s="1728">
        <f t="shared" si="17"/>
        <v>0</v>
      </c>
      <c r="F76" s="1480"/>
      <c r="G76" s="1769"/>
      <c r="H76" s="1796"/>
      <c r="I76" s="1769"/>
      <c r="J76" s="1796"/>
      <c r="K76" s="1769"/>
      <c r="L76" s="1796"/>
      <c r="M76" s="1481"/>
      <c r="N76" s="1445"/>
      <c r="O76" s="1446"/>
      <c r="P76" s="1447"/>
      <c r="Q76" s="1446"/>
      <c r="R76" s="1447"/>
      <c r="S76" s="1446"/>
      <c r="T76" s="1452"/>
      <c r="U76" s="1470" t="str">
        <f t="shared" si="18"/>
        <v/>
      </c>
      <c r="CA76" s="4429" t="str">
        <f t="shared" si="19"/>
        <v/>
      </c>
      <c r="CB76" s="4429" t="str">
        <f t="shared" si="20"/>
        <v/>
      </c>
      <c r="CC76" s="4429" t="str">
        <f t="shared" si="21"/>
        <v/>
      </c>
      <c r="CD76" s="4429" t="str">
        <f t="shared" si="22"/>
        <v/>
      </c>
      <c r="CH76" s="1420">
        <f t="shared" si="23"/>
        <v>0</v>
      </c>
      <c r="CI76" s="1420">
        <f t="shared" si="24"/>
        <v>0</v>
      </c>
      <c r="CJ76" s="1420">
        <f t="shared" si="25"/>
        <v>0</v>
      </c>
      <c r="CK76" s="1420">
        <f t="shared" si="26"/>
        <v>0</v>
      </c>
    </row>
    <row r="77" spans="1:89" s="1470" customFormat="1" ht="15" customHeight="1">
      <c r="A77" s="5072" t="s">
        <v>4065</v>
      </c>
      <c r="B77" s="1999"/>
      <c r="C77" s="5069">
        <f t="shared" si="16"/>
        <v>0</v>
      </c>
      <c r="D77" s="2333">
        <f t="shared" si="17"/>
        <v>0</v>
      </c>
      <c r="E77" s="1728">
        <f t="shared" si="17"/>
        <v>0</v>
      </c>
      <c r="F77" s="1480"/>
      <c r="G77" s="1769"/>
      <c r="H77" s="1796"/>
      <c r="I77" s="1769"/>
      <c r="J77" s="1796"/>
      <c r="K77" s="1769"/>
      <c r="L77" s="1796"/>
      <c r="M77" s="1481"/>
      <c r="N77" s="1445"/>
      <c r="O77" s="1446"/>
      <c r="P77" s="1447"/>
      <c r="Q77" s="1446"/>
      <c r="R77" s="1447"/>
      <c r="S77" s="1446"/>
      <c r="T77" s="1452"/>
      <c r="U77" s="1470" t="str">
        <f t="shared" si="18"/>
        <v/>
      </c>
      <c r="CA77" s="4429" t="str">
        <f t="shared" si="19"/>
        <v/>
      </c>
      <c r="CB77" s="4429" t="str">
        <f t="shared" si="20"/>
        <v/>
      </c>
      <c r="CC77" s="4429" t="str">
        <f t="shared" si="21"/>
        <v/>
      </c>
      <c r="CD77" s="4429" t="str">
        <f t="shared" si="22"/>
        <v/>
      </c>
      <c r="CH77" s="1420">
        <f t="shared" si="23"/>
        <v>0</v>
      </c>
      <c r="CI77" s="1420">
        <f t="shared" si="24"/>
        <v>0</v>
      </c>
      <c r="CJ77" s="1420">
        <f t="shared" si="25"/>
        <v>0</v>
      </c>
      <c r="CK77" s="1420">
        <f t="shared" si="26"/>
        <v>0</v>
      </c>
    </row>
    <row r="78" spans="1:89" s="1470" customFormat="1" ht="15" customHeight="1">
      <c r="A78" s="5072" t="s">
        <v>4109</v>
      </c>
      <c r="B78" s="1999"/>
      <c r="C78" s="5069">
        <f t="shared" si="16"/>
        <v>0</v>
      </c>
      <c r="D78" s="2333">
        <f t="shared" si="17"/>
        <v>0</v>
      </c>
      <c r="E78" s="1728">
        <f t="shared" si="17"/>
        <v>0</v>
      </c>
      <c r="F78" s="1480"/>
      <c r="G78" s="1769"/>
      <c r="H78" s="1796"/>
      <c r="I78" s="1769"/>
      <c r="J78" s="1796"/>
      <c r="K78" s="1769"/>
      <c r="L78" s="1796"/>
      <c r="M78" s="1481"/>
      <c r="N78" s="1445"/>
      <c r="O78" s="1446"/>
      <c r="P78" s="1447"/>
      <c r="Q78" s="1446"/>
      <c r="R78" s="1447"/>
      <c r="S78" s="1446"/>
      <c r="T78" s="1452"/>
      <c r="U78" s="1470" t="str">
        <f t="shared" si="18"/>
        <v/>
      </c>
      <c r="CA78" s="4429" t="str">
        <f t="shared" si="19"/>
        <v/>
      </c>
      <c r="CB78" s="4429" t="str">
        <f t="shared" si="20"/>
        <v/>
      </c>
      <c r="CC78" s="4429" t="str">
        <f t="shared" si="21"/>
        <v/>
      </c>
      <c r="CD78" s="4429" t="str">
        <f t="shared" si="22"/>
        <v/>
      </c>
      <c r="CH78" s="1420">
        <f t="shared" si="23"/>
        <v>0</v>
      </c>
      <c r="CI78" s="1420">
        <f t="shared" si="24"/>
        <v>0</v>
      </c>
      <c r="CJ78" s="1420">
        <f t="shared" si="25"/>
        <v>0</v>
      </c>
      <c r="CK78" s="1420">
        <f t="shared" si="26"/>
        <v>0</v>
      </c>
    </row>
    <row r="79" spans="1:89" s="1470" customFormat="1" ht="15" customHeight="1">
      <c r="A79" s="5072" t="s">
        <v>4110</v>
      </c>
      <c r="B79" s="1999"/>
      <c r="C79" s="5071">
        <f t="shared" si="16"/>
        <v>0</v>
      </c>
      <c r="D79" s="2333">
        <f t="shared" si="17"/>
        <v>0</v>
      </c>
      <c r="E79" s="1728">
        <f t="shared" si="17"/>
        <v>0</v>
      </c>
      <c r="F79" s="1480"/>
      <c r="G79" s="1769"/>
      <c r="H79" s="1796"/>
      <c r="I79" s="1769"/>
      <c r="J79" s="1796"/>
      <c r="K79" s="1769"/>
      <c r="L79" s="1796"/>
      <c r="M79" s="1481"/>
      <c r="N79" s="1445"/>
      <c r="O79" s="1446"/>
      <c r="P79" s="1447"/>
      <c r="Q79" s="1446"/>
      <c r="R79" s="1447"/>
      <c r="S79" s="1446"/>
      <c r="T79" s="1452"/>
      <c r="U79" s="1470" t="str">
        <f t="shared" si="18"/>
        <v/>
      </c>
      <c r="CA79" s="4429" t="str">
        <f t="shared" si="19"/>
        <v/>
      </c>
      <c r="CB79" s="4429" t="str">
        <f t="shared" si="20"/>
        <v/>
      </c>
      <c r="CC79" s="4429" t="str">
        <f t="shared" si="21"/>
        <v/>
      </c>
      <c r="CD79" s="4429" t="str">
        <f t="shared" si="22"/>
        <v/>
      </c>
      <c r="CH79" s="1420">
        <f t="shared" si="23"/>
        <v>0</v>
      </c>
      <c r="CI79" s="1420">
        <f t="shared" si="24"/>
        <v>0</v>
      </c>
      <c r="CJ79" s="1420">
        <f t="shared" si="25"/>
        <v>0</v>
      </c>
      <c r="CK79" s="1420">
        <f t="shared" si="26"/>
        <v>0</v>
      </c>
    </row>
    <row r="80" spans="1:89" s="1470" customFormat="1" ht="15" customHeight="1">
      <c r="A80" s="5070" t="s">
        <v>4058</v>
      </c>
      <c r="B80" s="1999"/>
      <c r="C80" s="5069">
        <f t="shared" si="16"/>
        <v>0</v>
      </c>
      <c r="D80" s="2333">
        <f t="shared" si="17"/>
        <v>0</v>
      </c>
      <c r="E80" s="1728">
        <f t="shared" si="17"/>
        <v>0</v>
      </c>
      <c r="F80" s="1480"/>
      <c r="G80" s="1769"/>
      <c r="H80" s="1796"/>
      <c r="I80" s="1769"/>
      <c r="J80" s="1796"/>
      <c r="K80" s="1769"/>
      <c r="L80" s="1796"/>
      <c r="M80" s="1481"/>
      <c r="N80" s="1445"/>
      <c r="O80" s="1446"/>
      <c r="P80" s="1447"/>
      <c r="Q80" s="1446"/>
      <c r="R80" s="1447"/>
      <c r="S80" s="1446"/>
      <c r="T80" s="1452"/>
      <c r="U80" s="1470" t="str">
        <f t="shared" si="18"/>
        <v/>
      </c>
      <c r="CA80" s="4429" t="str">
        <f t="shared" si="19"/>
        <v/>
      </c>
      <c r="CB80" s="4429" t="str">
        <f t="shared" si="20"/>
        <v/>
      </c>
      <c r="CC80" s="4429" t="str">
        <f t="shared" si="21"/>
        <v/>
      </c>
      <c r="CD80" s="4429" t="str">
        <f t="shared" si="22"/>
        <v/>
      </c>
      <c r="CH80" s="1420">
        <f t="shared" si="23"/>
        <v>0</v>
      </c>
      <c r="CI80" s="1420">
        <f t="shared" si="24"/>
        <v>0</v>
      </c>
      <c r="CJ80" s="1420">
        <f t="shared" si="25"/>
        <v>0</v>
      </c>
      <c r="CK80" s="1420">
        <f t="shared" si="26"/>
        <v>0</v>
      </c>
    </row>
    <row r="81" spans="1:89" s="1470" customFormat="1" ht="15" customHeight="1">
      <c r="A81" s="5070" t="s">
        <v>4069</v>
      </c>
      <c r="B81" s="1999"/>
      <c r="C81" s="5069">
        <f t="shared" si="16"/>
        <v>0</v>
      </c>
      <c r="D81" s="2333">
        <f t="shared" si="17"/>
        <v>0</v>
      </c>
      <c r="E81" s="1728">
        <f t="shared" si="17"/>
        <v>0</v>
      </c>
      <c r="F81" s="1480"/>
      <c r="G81" s="1769"/>
      <c r="H81" s="1796"/>
      <c r="I81" s="1769"/>
      <c r="J81" s="1796"/>
      <c r="K81" s="1769"/>
      <c r="L81" s="1796"/>
      <c r="M81" s="1481"/>
      <c r="N81" s="1445"/>
      <c r="O81" s="1446"/>
      <c r="P81" s="1447"/>
      <c r="Q81" s="1446"/>
      <c r="R81" s="1447"/>
      <c r="S81" s="1446"/>
      <c r="T81" s="1452"/>
      <c r="U81" s="1470" t="str">
        <f t="shared" si="18"/>
        <v/>
      </c>
      <c r="CA81" s="4429" t="str">
        <f t="shared" si="19"/>
        <v/>
      </c>
      <c r="CB81" s="4429" t="str">
        <f t="shared" si="20"/>
        <v/>
      </c>
      <c r="CC81" s="4429" t="str">
        <f t="shared" si="21"/>
        <v/>
      </c>
      <c r="CD81" s="4429" t="str">
        <f t="shared" si="22"/>
        <v/>
      </c>
      <c r="CH81" s="1420">
        <f t="shared" si="23"/>
        <v>0</v>
      </c>
      <c r="CI81" s="1420">
        <f t="shared" si="24"/>
        <v>0</v>
      </c>
      <c r="CJ81" s="1420">
        <f t="shared" si="25"/>
        <v>0</v>
      </c>
      <c r="CK81" s="1420">
        <f t="shared" si="26"/>
        <v>0</v>
      </c>
    </row>
    <row r="82" spans="1:89" s="1470" customFormat="1" ht="15" customHeight="1">
      <c r="A82" s="5072" t="s">
        <v>4068</v>
      </c>
      <c r="B82" s="1999"/>
      <c r="C82" s="5073">
        <f t="shared" si="16"/>
        <v>0</v>
      </c>
      <c r="D82" s="2333">
        <f t="shared" si="17"/>
        <v>0</v>
      </c>
      <c r="E82" s="1728">
        <f t="shared" si="17"/>
        <v>0</v>
      </c>
      <c r="F82" s="1480"/>
      <c r="G82" s="1769"/>
      <c r="H82" s="1796"/>
      <c r="I82" s="1769"/>
      <c r="J82" s="1796"/>
      <c r="K82" s="1769"/>
      <c r="L82" s="1796"/>
      <c r="M82" s="1481"/>
      <c r="N82" s="1445"/>
      <c r="O82" s="1446"/>
      <c r="P82" s="1447"/>
      <c r="Q82" s="1446"/>
      <c r="R82" s="1447"/>
      <c r="S82" s="1446"/>
      <c r="T82" s="1452"/>
      <c r="U82" s="1470" t="str">
        <f t="shared" si="18"/>
        <v/>
      </c>
      <c r="CA82" s="4429" t="str">
        <f t="shared" si="19"/>
        <v/>
      </c>
      <c r="CB82" s="4429" t="str">
        <f t="shared" si="20"/>
        <v/>
      </c>
      <c r="CC82" s="4429" t="str">
        <f t="shared" si="21"/>
        <v/>
      </c>
      <c r="CD82" s="4429" t="str">
        <f t="shared" si="22"/>
        <v/>
      </c>
      <c r="CH82" s="1420">
        <f t="shared" si="23"/>
        <v>0</v>
      </c>
      <c r="CI82" s="1420">
        <f t="shared" si="24"/>
        <v>0</v>
      </c>
      <c r="CJ82" s="1420">
        <f t="shared" si="25"/>
        <v>0</v>
      </c>
      <c r="CK82" s="1420">
        <f t="shared" si="26"/>
        <v>0</v>
      </c>
    </row>
    <row r="83" spans="1:89" s="1470" customFormat="1" ht="15" customHeight="1">
      <c r="A83" s="5072" t="s">
        <v>4070</v>
      </c>
      <c r="B83" s="1999"/>
      <c r="C83" s="5071">
        <f t="shared" si="16"/>
        <v>0</v>
      </c>
      <c r="D83" s="2333">
        <f t="shared" si="17"/>
        <v>0</v>
      </c>
      <c r="E83" s="1728">
        <f t="shared" si="17"/>
        <v>0</v>
      </c>
      <c r="F83" s="1440"/>
      <c r="G83" s="1680"/>
      <c r="H83" s="1441"/>
      <c r="I83" s="1680"/>
      <c r="J83" s="1441"/>
      <c r="K83" s="1680"/>
      <c r="L83" s="1796"/>
      <c r="M83" s="1481"/>
      <c r="N83" s="1544"/>
      <c r="O83" s="1483"/>
      <c r="P83" s="1482"/>
      <c r="Q83" s="1483"/>
      <c r="R83" s="1482"/>
      <c r="S83" s="1483"/>
      <c r="T83" s="1545"/>
      <c r="U83" s="1470" t="str">
        <f t="shared" si="18"/>
        <v/>
      </c>
      <c r="CA83" s="4429" t="str">
        <f t="shared" si="19"/>
        <v/>
      </c>
      <c r="CB83" s="4429" t="str">
        <f t="shared" si="20"/>
        <v/>
      </c>
      <c r="CC83" s="4429" t="str">
        <f t="shared" si="21"/>
        <v/>
      </c>
      <c r="CD83" s="4429" t="str">
        <f t="shared" si="22"/>
        <v/>
      </c>
      <c r="CH83" s="1420">
        <f t="shared" si="23"/>
        <v>0</v>
      </c>
      <c r="CI83" s="1420">
        <f t="shared" si="24"/>
        <v>0</v>
      </c>
      <c r="CJ83" s="1420">
        <f t="shared" si="25"/>
        <v>0</v>
      </c>
      <c r="CK83" s="1420">
        <f t="shared" si="26"/>
        <v>0</v>
      </c>
    </row>
    <row r="84" spans="1:89" s="1470" customFormat="1" ht="15" customHeight="1">
      <c r="A84" s="5074" t="s">
        <v>930</v>
      </c>
      <c r="B84" s="1999"/>
      <c r="C84" s="5071">
        <f t="shared" si="16"/>
        <v>0</v>
      </c>
      <c r="D84" s="2333">
        <f t="shared" si="17"/>
        <v>0</v>
      </c>
      <c r="E84" s="1728">
        <f t="shared" si="17"/>
        <v>0</v>
      </c>
      <c r="F84" s="1480"/>
      <c r="G84" s="1769"/>
      <c r="H84" s="1796"/>
      <c r="I84" s="1769"/>
      <c r="J84" s="1796"/>
      <c r="K84" s="1769"/>
      <c r="L84" s="1441"/>
      <c r="M84" s="1444"/>
      <c r="N84" s="1544"/>
      <c r="O84" s="1483"/>
      <c r="P84" s="1482"/>
      <c r="Q84" s="1483"/>
      <c r="R84" s="1482"/>
      <c r="S84" s="1483"/>
      <c r="T84" s="1545"/>
      <c r="U84" s="1470" t="str">
        <f t="shared" si="18"/>
        <v/>
      </c>
      <c r="CA84" s="4429" t="str">
        <f t="shared" si="19"/>
        <v/>
      </c>
      <c r="CB84" s="4429" t="str">
        <f t="shared" si="20"/>
        <v/>
      </c>
      <c r="CC84" s="4429" t="str">
        <f t="shared" si="21"/>
        <v/>
      </c>
      <c r="CD84" s="4429" t="str">
        <f t="shared" si="22"/>
        <v/>
      </c>
      <c r="CH84" s="1420">
        <f t="shared" si="23"/>
        <v>0</v>
      </c>
      <c r="CI84" s="1420">
        <f t="shared" si="24"/>
        <v>0</v>
      </c>
      <c r="CJ84" s="1420">
        <f t="shared" si="25"/>
        <v>0</v>
      </c>
      <c r="CK84" s="1420">
        <f t="shared" si="26"/>
        <v>0</v>
      </c>
    </row>
    <row r="85" spans="1:89" s="1470" customFormat="1" ht="15" customHeight="1">
      <c r="A85" s="1593" t="s">
        <v>91</v>
      </c>
      <c r="B85" s="5075">
        <f>SUM(B71:B84)</f>
        <v>0</v>
      </c>
      <c r="C85" s="2060">
        <f t="shared" si="16"/>
        <v>0</v>
      </c>
      <c r="D85" s="402">
        <f t="shared" ref="D85:S85" si="27">SUM(D71:D84)</f>
        <v>0</v>
      </c>
      <c r="E85" s="402">
        <f t="shared" si="27"/>
        <v>0</v>
      </c>
      <c r="F85" s="401">
        <f>SUM(F71:F84)</f>
        <v>0</v>
      </c>
      <c r="G85" s="403">
        <f t="shared" si="27"/>
        <v>0</v>
      </c>
      <c r="H85" s="402">
        <f t="shared" si="27"/>
        <v>0</v>
      </c>
      <c r="I85" s="403">
        <f t="shared" si="27"/>
        <v>0</v>
      </c>
      <c r="J85" s="402">
        <f t="shared" si="27"/>
        <v>0</v>
      </c>
      <c r="K85" s="403">
        <f t="shared" si="27"/>
        <v>0</v>
      </c>
      <c r="L85" s="402">
        <f t="shared" si="27"/>
        <v>0</v>
      </c>
      <c r="M85" s="440">
        <f t="shared" si="27"/>
        <v>0</v>
      </c>
      <c r="N85" s="405">
        <f t="shared" si="27"/>
        <v>0</v>
      </c>
      <c r="O85" s="406">
        <f t="shared" si="27"/>
        <v>0</v>
      </c>
      <c r="P85" s="404">
        <f t="shared" si="27"/>
        <v>0</v>
      </c>
      <c r="Q85" s="406">
        <f t="shared" si="27"/>
        <v>0</v>
      </c>
      <c r="R85" s="404">
        <f t="shared" si="27"/>
        <v>0</v>
      </c>
      <c r="S85" s="406">
        <f t="shared" si="27"/>
        <v>0</v>
      </c>
      <c r="T85" s="392">
        <f>SUM(T71:T84)</f>
        <v>0</v>
      </c>
    </row>
    <row r="86" spans="1:89" s="2832" customFormat="1" ht="17.100000000000001" customHeight="1">
      <c r="A86" s="7233" t="s">
        <v>4111</v>
      </c>
      <c r="B86" s="7233"/>
      <c r="C86" s="7233"/>
      <c r="D86" s="7233"/>
      <c r="E86" s="7233"/>
      <c r="F86" s="7233"/>
    </row>
    <row r="87" spans="1:89" s="1470" customFormat="1" ht="15" customHeight="1">
      <c r="A87" s="6070" t="s">
        <v>3536</v>
      </c>
      <c r="B87" s="6176" t="s">
        <v>209</v>
      </c>
      <c r="C87" s="5707" t="s">
        <v>43</v>
      </c>
      <c r="D87" s="5708"/>
      <c r="E87" s="5708"/>
      <c r="F87" s="5708"/>
      <c r="G87" s="5708"/>
      <c r="H87" s="5708"/>
      <c r="I87" s="5708"/>
      <c r="J87" s="5708"/>
      <c r="K87" s="5708"/>
      <c r="L87" s="5708"/>
      <c r="M87" s="5708"/>
      <c r="N87" s="5708"/>
      <c r="O87" s="5708"/>
      <c r="P87" s="5708"/>
      <c r="Q87" s="5708"/>
      <c r="R87" s="5708"/>
      <c r="S87" s="5709"/>
    </row>
    <row r="88" spans="1:89" s="1470" customFormat="1" ht="21">
      <c r="A88" s="6076"/>
      <c r="B88" s="6178"/>
      <c r="C88" s="1395" t="s">
        <v>364</v>
      </c>
      <c r="D88" s="1646" t="s">
        <v>347</v>
      </c>
      <c r="E88" s="1646" t="s">
        <v>108</v>
      </c>
      <c r="F88" s="1646" t="s">
        <v>58</v>
      </c>
      <c r="G88" s="1646" t="s">
        <v>59</v>
      </c>
      <c r="H88" s="1646" t="s">
        <v>60</v>
      </c>
      <c r="I88" s="1646" t="s">
        <v>61</v>
      </c>
      <c r="J88" s="1646" t="s">
        <v>62</v>
      </c>
      <c r="K88" s="1646" t="s">
        <v>63</v>
      </c>
      <c r="L88" s="1646" t="s">
        <v>64</v>
      </c>
      <c r="M88" s="1646" t="s">
        <v>65</v>
      </c>
      <c r="N88" s="1646" t="s">
        <v>66</v>
      </c>
      <c r="O88" s="1646" t="s">
        <v>67</v>
      </c>
      <c r="P88" s="1646" t="s">
        <v>68</v>
      </c>
      <c r="Q88" s="1646" t="s">
        <v>69</v>
      </c>
      <c r="R88" s="1646" t="s">
        <v>70</v>
      </c>
      <c r="S88" s="393" t="s">
        <v>71</v>
      </c>
    </row>
    <row r="89" spans="1:89" s="1470" customFormat="1" ht="15" customHeight="1">
      <c r="A89" s="5055" t="s">
        <v>3046</v>
      </c>
      <c r="B89" s="1512">
        <f t="shared" ref="B89:B91" si="28">SUM(C89:S89)</f>
        <v>0</v>
      </c>
      <c r="C89" s="1440"/>
      <c r="D89" s="1442"/>
      <c r="E89" s="1442"/>
      <c r="F89" s="1442"/>
      <c r="G89" s="1442"/>
      <c r="H89" s="1442"/>
      <c r="I89" s="1442"/>
      <c r="J89" s="1442"/>
      <c r="K89" s="1442"/>
      <c r="L89" s="1442"/>
      <c r="M89" s="1442"/>
      <c r="N89" s="1442"/>
      <c r="O89" s="1442"/>
      <c r="P89" s="1442"/>
      <c r="Q89" s="1442"/>
      <c r="R89" s="1442"/>
      <c r="S89" s="1452"/>
    </row>
    <row r="90" spans="1:89" s="1470" customFormat="1" ht="15" customHeight="1">
      <c r="A90" s="5055" t="s">
        <v>4112</v>
      </c>
      <c r="B90" s="1512">
        <f t="shared" si="28"/>
        <v>0</v>
      </c>
      <c r="C90" s="1440"/>
      <c r="D90" s="1442"/>
      <c r="E90" s="1442"/>
      <c r="F90" s="1442"/>
      <c r="G90" s="1442"/>
      <c r="H90" s="1442"/>
      <c r="I90" s="1442"/>
      <c r="J90" s="1442"/>
      <c r="K90" s="1442"/>
      <c r="L90" s="1442"/>
      <c r="M90" s="1442"/>
      <c r="N90" s="1442"/>
      <c r="O90" s="1442"/>
      <c r="P90" s="1442"/>
      <c r="Q90" s="1442"/>
      <c r="R90" s="1442"/>
      <c r="S90" s="1452"/>
    </row>
    <row r="91" spans="1:89" s="1470" customFormat="1" ht="15" customHeight="1">
      <c r="A91" s="4886" t="s">
        <v>4033</v>
      </c>
      <c r="B91" s="1527">
        <f t="shared" si="28"/>
        <v>0</v>
      </c>
      <c r="C91" s="1528"/>
      <c r="D91" s="1529"/>
      <c r="E91" s="1529"/>
      <c r="F91" s="1529"/>
      <c r="G91" s="1529"/>
      <c r="H91" s="1529"/>
      <c r="I91" s="1529"/>
      <c r="J91" s="1529"/>
      <c r="K91" s="1529"/>
      <c r="L91" s="1529"/>
      <c r="M91" s="1529"/>
      <c r="N91" s="1529"/>
      <c r="O91" s="1529"/>
      <c r="P91" s="1529"/>
      <c r="Q91" s="1529"/>
      <c r="R91" s="1529"/>
      <c r="S91" s="1534"/>
    </row>
    <row r="92" spans="1:89">
      <c r="CA92"/>
      <c r="CB92"/>
      <c r="CC92"/>
      <c r="CD92"/>
      <c r="CE92"/>
      <c r="CF92"/>
      <c r="CH92"/>
      <c r="CI92"/>
      <c r="CJ92"/>
    </row>
    <row r="93" spans="1:89">
      <c r="CA93"/>
      <c r="CB93"/>
      <c r="CC93"/>
      <c r="CD93"/>
      <c r="CE93"/>
      <c r="CF93"/>
      <c r="CH93"/>
      <c r="CI93"/>
      <c r="CJ93"/>
    </row>
    <row r="94" spans="1:89">
      <c r="CA94"/>
      <c r="CB94"/>
      <c r="CC94"/>
      <c r="CD94"/>
      <c r="CE94"/>
      <c r="CF94"/>
      <c r="CH94"/>
      <c r="CI94"/>
      <c r="CJ94"/>
    </row>
    <row r="95" spans="1:89">
      <c r="CA95"/>
      <c r="CB95"/>
      <c r="CC95"/>
      <c r="CD95"/>
      <c r="CE95"/>
      <c r="CF95"/>
      <c r="CH95"/>
      <c r="CI95"/>
      <c r="CJ95"/>
    </row>
    <row r="96" spans="1:89">
      <c r="CA96"/>
      <c r="CB96"/>
      <c r="CC96"/>
      <c r="CD96"/>
      <c r="CE96"/>
      <c r="CF96"/>
      <c r="CH96"/>
      <c r="CI96"/>
      <c r="CJ96"/>
    </row>
    <row r="97" customFormat="1"/>
    <row r="98" customFormat="1"/>
    <row r="99" customFormat="1"/>
    <row r="100" customFormat="1"/>
    <row r="101" customFormat="1"/>
    <row r="102" customFormat="1"/>
    <row r="103" customFormat="1"/>
    <row r="104" customFormat="1"/>
    <row r="105" customFormat="1"/>
    <row r="106" customFormat="1"/>
    <row r="107" customFormat="1"/>
    <row r="108" customFormat="1"/>
    <row r="109" customFormat="1"/>
    <row r="110" customFormat="1"/>
    <row r="111" customFormat="1"/>
    <row r="112" customFormat="1"/>
    <row r="113" customFormat="1"/>
    <row r="114" customFormat="1"/>
    <row r="115" customFormat="1"/>
    <row r="116" customFormat="1"/>
    <row r="117" customFormat="1"/>
    <row r="118" customFormat="1"/>
    <row r="119" customFormat="1"/>
    <row r="120" customFormat="1"/>
    <row r="121" customFormat="1"/>
    <row r="122" customFormat="1"/>
    <row r="123" customFormat="1"/>
    <row r="124" customFormat="1"/>
    <row r="125" customFormat="1"/>
    <row r="126" customFormat="1"/>
    <row r="127" customFormat="1"/>
    <row r="128" customFormat="1"/>
    <row r="129" spans="1:88">
      <c r="CA129"/>
      <c r="CB129"/>
      <c r="CC129"/>
      <c r="CD129"/>
      <c r="CE129"/>
      <c r="CF129"/>
      <c r="CH129"/>
      <c r="CI129"/>
      <c r="CJ129"/>
    </row>
    <row r="130" spans="1:88" hidden="1">
      <c r="A130" s="4117">
        <f>SUM(C12:C28,B32:B46,B50:B66,C71:C85,B89:B91)</f>
        <v>0</v>
      </c>
      <c r="B130" s="4118">
        <f>SUM(CH12:CL91)</f>
        <v>0</v>
      </c>
      <c r="CA130"/>
      <c r="CB130"/>
      <c r="CC130"/>
      <c r="CD130"/>
      <c r="CE130"/>
      <c r="CF130"/>
      <c r="CH130"/>
      <c r="CI130"/>
      <c r="CJ130"/>
    </row>
    <row r="131" spans="1:88">
      <c r="CA131"/>
      <c r="CB131"/>
      <c r="CC131"/>
      <c r="CD131"/>
      <c r="CE131"/>
      <c r="CF131"/>
      <c r="CH131"/>
      <c r="CI131"/>
      <c r="CJ131"/>
    </row>
    <row r="132" spans="1:88">
      <c r="CA132"/>
      <c r="CB132"/>
      <c r="CC132"/>
      <c r="CD132"/>
      <c r="CE132"/>
      <c r="CF132"/>
      <c r="CH132"/>
      <c r="CI132"/>
      <c r="CJ132"/>
    </row>
    <row r="133" spans="1:88">
      <c r="CA133"/>
      <c r="CB133"/>
      <c r="CC133"/>
      <c r="CD133"/>
      <c r="CE133"/>
      <c r="CF133"/>
      <c r="CH133"/>
      <c r="CI133"/>
      <c r="CJ133"/>
    </row>
    <row r="134" spans="1:88">
      <c r="CA134"/>
      <c r="CB134"/>
      <c r="CC134"/>
      <c r="CD134"/>
      <c r="CE134"/>
      <c r="CF134"/>
      <c r="CH134"/>
      <c r="CI134"/>
      <c r="CJ134"/>
    </row>
    <row r="135" spans="1:88">
      <c r="CA135"/>
      <c r="CB135"/>
      <c r="CC135"/>
      <c r="CD135"/>
      <c r="CE135"/>
      <c r="CF135"/>
      <c r="CH135"/>
      <c r="CI135"/>
      <c r="CJ135"/>
    </row>
    <row r="136" spans="1:88">
      <c r="CA136"/>
      <c r="CB136"/>
      <c r="CC136"/>
      <c r="CD136"/>
      <c r="CE136"/>
      <c r="CF136"/>
      <c r="CH136"/>
      <c r="CI136"/>
      <c r="CJ136"/>
    </row>
    <row r="137" spans="1:88">
      <c r="CA137"/>
      <c r="CB137"/>
      <c r="CC137"/>
      <c r="CD137"/>
      <c r="CE137"/>
      <c r="CF137"/>
      <c r="CH137"/>
      <c r="CI137"/>
      <c r="CJ137"/>
    </row>
    <row r="138" spans="1:88">
      <c r="CA138"/>
      <c r="CB138"/>
      <c r="CC138"/>
      <c r="CD138"/>
      <c r="CE138"/>
      <c r="CF138"/>
      <c r="CH138"/>
      <c r="CI138"/>
      <c r="CJ138"/>
    </row>
    <row r="139" spans="1:88">
      <c r="CA139"/>
      <c r="CB139"/>
      <c r="CC139"/>
      <c r="CD139"/>
      <c r="CE139"/>
      <c r="CF139"/>
      <c r="CH139"/>
      <c r="CI139"/>
      <c r="CJ139"/>
    </row>
    <row r="140" spans="1:88">
      <c r="CA140"/>
      <c r="CB140"/>
      <c r="CC140"/>
      <c r="CD140"/>
      <c r="CE140"/>
      <c r="CF140"/>
      <c r="CH140"/>
      <c r="CI140"/>
      <c r="CJ140"/>
    </row>
    <row r="141" spans="1:88">
      <c r="CA141"/>
      <c r="CB141"/>
      <c r="CC141"/>
      <c r="CD141"/>
      <c r="CE141"/>
      <c r="CF141"/>
      <c r="CH141"/>
      <c r="CI141"/>
      <c r="CJ141"/>
    </row>
    <row r="142" spans="1:88">
      <c r="CA142"/>
      <c r="CB142"/>
      <c r="CC142"/>
      <c r="CD142"/>
      <c r="CE142"/>
      <c r="CF142"/>
      <c r="CH142"/>
      <c r="CI142"/>
      <c r="CJ142"/>
    </row>
    <row r="143" spans="1:88">
      <c r="CA143"/>
      <c r="CB143"/>
      <c r="CC143"/>
      <c r="CD143"/>
      <c r="CE143"/>
      <c r="CF143"/>
      <c r="CH143"/>
      <c r="CI143"/>
      <c r="CJ143"/>
    </row>
    <row r="144" spans="1:88">
      <c r="CA144"/>
      <c r="CB144"/>
      <c r="CC144"/>
      <c r="CD144"/>
      <c r="CE144"/>
      <c r="CF144"/>
      <c r="CH144"/>
      <c r="CI144"/>
      <c r="CJ144"/>
    </row>
    <row r="145" customFormat="1"/>
    <row r="146" customFormat="1"/>
    <row r="147" customFormat="1"/>
    <row r="148" customFormat="1"/>
    <row r="149" customFormat="1"/>
    <row r="150" customFormat="1"/>
    <row r="151" customFormat="1"/>
    <row r="152" customFormat="1"/>
    <row r="153" customFormat="1"/>
    <row r="154" customFormat="1"/>
    <row r="155" customFormat="1"/>
    <row r="156" customFormat="1"/>
    <row r="157" customFormat="1"/>
    <row r="158" customFormat="1"/>
    <row r="159" customFormat="1"/>
    <row r="160" customFormat="1"/>
    <row r="161" customFormat="1"/>
    <row r="162" customFormat="1"/>
    <row r="163" customFormat="1"/>
    <row r="164" customFormat="1"/>
    <row r="165" customFormat="1"/>
    <row r="166" customFormat="1"/>
    <row r="167" customFormat="1"/>
    <row r="168" customFormat="1"/>
    <row r="169" customFormat="1"/>
    <row r="170" customFormat="1"/>
    <row r="171" customFormat="1"/>
    <row r="172" customFormat="1"/>
    <row r="173" customFormat="1"/>
    <row r="174" customFormat="1"/>
    <row r="175" customFormat="1"/>
    <row r="176" customFormat="1"/>
    <row r="177" customFormat="1"/>
    <row r="178" customFormat="1"/>
    <row r="179" customFormat="1"/>
    <row r="180" customFormat="1"/>
    <row r="181" customFormat="1"/>
    <row r="182" customFormat="1"/>
    <row r="183" customFormat="1"/>
    <row r="184" customFormat="1"/>
    <row r="185" customFormat="1"/>
    <row r="186" customFormat="1"/>
    <row r="187" customFormat="1"/>
    <row r="188" customFormat="1"/>
    <row r="189" customFormat="1"/>
    <row r="190" customFormat="1"/>
    <row r="191" customFormat="1"/>
    <row r="192" customFormat="1"/>
    <row r="193" customFormat="1"/>
    <row r="194" customFormat="1"/>
    <row r="195" customFormat="1"/>
    <row r="196" customFormat="1"/>
    <row r="197" customFormat="1"/>
    <row r="198" customFormat="1"/>
    <row r="199" customFormat="1"/>
    <row r="200" customFormat="1"/>
    <row r="201" customFormat="1"/>
    <row r="202" customFormat="1"/>
    <row r="203" customFormat="1"/>
    <row r="204" customFormat="1"/>
    <row r="205" customFormat="1"/>
    <row r="206" customFormat="1"/>
    <row r="207" customFormat="1"/>
    <row r="208" customFormat="1"/>
    <row r="209" customFormat="1"/>
    <row r="210" customFormat="1"/>
    <row r="211" customFormat="1"/>
    <row r="212" customFormat="1"/>
    <row r="213" customFormat="1"/>
    <row r="214" customFormat="1"/>
    <row r="215" customFormat="1"/>
    <row r="216" customFormat="1"/>
    <row r="217" customFormat="1"/>
    <row r="218" customFormat="1"/>
    <row r="219" customFormat="1"/>
    <row r="220" customFormat="1"/>
    <row r="221" customFormat="1"/>
    <row r="222" customFormat="1"/>
    <row r="223" customFormat="1"/>
    <row r="224" customFormat="1"/>
    <row r="225" customFormat="1"/>
    <row r="226" customFormat="1"/>
    <row r="227" customFormat="1"/>
    <row r="228" customFormat="1"/>
    <row r="229" customFormat="1"/>
    <row r="230" customFormat="1"/>
    <row r="231" customFormat="1"/>
    <row r="232" customFormat="1"/>
    <row r="233" customFormat="1"/>
    <row r="234" customFormat="1"/>
    <row r="235" customFormat="1"/>
    <row r="236" customFormat="1"/>
    <row r="237" customFormat="1"/>
    <row r="238" customFormat="1"/>
    <row r="239" customFormat="1"/>
    <row r="240" customFormat="1"/>
    <row r="241" customFormat="1"/>
    <row r="242" customFormat="1"/>
    <row r="243" customFormat="1"/>
    <row r="244" customFormat="1"/>
    <row r="245" customFormat="1"/>
    <row r="246" customFormat="1"/>
    <row r="247" customFormat="1"/>
    <row r="248" customFormat="1"/>
    <row r="249" customFormat="1"/>
    <row r="250" customFormat="1"/>
    <row r="251" customFormat="1"/>
    <row r="252" customFormat="1"/>
    <row r="253" customFormat="1"/>
    <row r="254" customFormat="1"/>
    <row r="255" customFormat="1"/>
    <row r="256" customFormat="1"/>
    <row r="257" customFormat="1"/>
    <row r="258" customFormat="1"/>
    <row r="259" customFormat="1"/>
    <row r="260" customFormat="1"/>
    <row r="261" customFormat="1"/>
    <row r="262" customFormat="1"/>
    <row r="263" customFormat="1"/>
    <row r="264" customFormat="1"/>
    <row r="265" customFormat="1"/>
    <row r="266" customFormat="1"/>
    <row r="267" customFormat="1"/>
    <row r="268" customFormat="1"/>
    <row r="269" customFormat="1"/>
    <row r="270" customFormat="1"/>
    <row r="271" customFormat="1"/>
    <row r="272" customFormat="1"/>
    <row r="273" customFormat="1"/>
    <row r="274" customFormat="1"/>
    <row r="275" customFormat="1"/>
    <row r="276" customFormat="1"/>
    <row r="277" customFormat="1"/>
    <row r="278" customFormat="1"/>
    <row r="279" customFormat="1"/>
    <row r="280" customFormat="1"/>
    <row r="281" customFormat="1"/>
    <row r="282" customFormat="1"/>
    <row r="283" customFormat="1"/>
    <row r="284" customFormat="1"/>
    <row r="285" customFormat="1"/>
    <row r="286" customFormat="1"/>
    <row r="287" customFormat="1"/>
    <row r="288" customFormat="1"/>
    <row r="289" customFormat="1"/>
    <row r="290" customFormat="1"/>
    <row r="291" customFormat="1"/>
    <row r="292" customFormat="1"/>
    <row r="293" customFormat="1"/>
    <row r="294" customFormat="1"/>
    <row r="295" customFormat="1"/>
    <row r="296" customFormat="1"/>
    <row r="297" customFormat="1"/>
    <row r="298" customFormat="1"/>
    <row r="299" customFormat="1"/>
    <row r="300" customFormat="1"/>
    <row r="301" customFormat="1"/>
    <row r="302" customFormat="1"/>
    <row r="303" customFormat="1"/>
    <row r="304" customFormat="1"/>
    <row r="305" customFormat="1"/>
    <row r="306" customFormat="1"/>
    <row r="307" customFormat="1"/>
    <row r="308" customFormat="1"/>
    <row r="309" customFormat="1"/>
    <row r="310" customFormat="1"/>
    <row r="311" customFormat="1"/>
    <row r="312" customFormat="1"/>
    <row r="313" customFormat="1"/>
    <row r="314" customFormat="1"/>
    <row r="315" customFormat="1"/>
    <row r="316" customFormat="1"/>
    <row r="317" customFormat="1"/>
    <row r="318" customFormat="1"/>
    <row r="319" customFormat="1"/>
    <row r="320" customFormat="1"/>
  </sheetData>
  <sheetProtection algorithmName="SHA-512" hashValue="PK9HJIbMR3QQkFV0j7NXtpmhEuYMCCnR7KhWMlbYnM5O2R5LVgZ34e8HaYPUcNNzkxQzrnIdN7HoKt4Pe4e8BQ==" saltValue="Ryr2KJbnVjDrMchCf/AHaw==" spinCount="100000" sheet="1" objects="1" scenarios="1"/>
  <mergeCells count="69">
    <mergeCell ref="A86:F86"/>
    <mergeCell ref="A87:A88"/>
    <mergeCell ref="B87:B88"/>
    <mergeCell ref="C87:S87"/>
    <mergeCell ref="O68:O70"/>
    <mergeCell ref="P68:P70"/>
    <mergeCell ref="Q68:Q70"/>
    <mergeCell ref="R68:R70"/>
    <mergeCell ref="S68:S70"/>
    <mergeCell ref="T68:T70"/>
    <mergeCell ref="A67:M67"/>
    <mergeCell ref="A68:A70"/>
    <mergeCell ref="B68:B70"/>
    <mergeCell ref="C68:E69"/>
    <mergeCell ref="F68:M68"/>
    <mergeCell ref="N68:N70"/>
    <mergeCell ref="F69:G69"/>
    <mergeCell ref="H69:I69"/>
    <mergeCell ref="J69:K69"/>
    <mergeCell ref="L69:M69"/>
    <mergeCell ref="A47:M47"/>
    <mergeCell ref="A48:A49"/>
    <mergeCell ref="B48:B49"/>
    <mergeCell ref="C48:C49"/>
    <mergeCell ref="D48:D49"/>
    <mergeCell ref="E48:E49"/>
    <mergeCell ref="F48:AF48"/>
    <mergeCell ref="A12:A14"/>
    <mergeCell ref="A15:A27"/>
    <mergeCell ref="A28:B28"/>
    <mergeCell ref="A29:L29"/>
    <mergeCell ref="A30:A31"/>
    <mergeCell ref="B30:B31"/>
    <mergeCell ref="C30:C31"/>
    <mergeCell ref="D30:D31"/>
    <mergeCell ref="E30:E31"/>
    <mergeCell ref="F30:AF30"/>
    <mergeCell ref="AU9:AU11"/>
    <mergeCell ref="AV9:AV11"/>
    <mergeCell ref="AW9:AW11"/>
    <mergeCell ref="F10:G10"/>
    <mergeCell ref="H10:I10"/>
    <mergeCell ref="J10:K10"/>
    <mergeCell ref="L10:M10"/>
    <mergeCell ref="N10:O10"/>
    <mergeCell ref="P10:Q10"/>
    <mergeCell ref="R10:S10"/>
    <mergeCell ref="AO9:AO11"/>
    <mergeCell ref="AP9:AP11"/>
    <mergeCell ref="AQ9:AQ11"/>
    <mergeCell ref="AR9:AR11"/>
    <mergeCell ref="AS9:AS11"/>
    <mergeCell ref="AB10:AC10"/>
    <mergeCell ref="AT9:AT11"/>
    <mergeCell ref="A6:T6"/>
    <mergeCell ref="A8:J8"/>
    <mergeCell ref="A9:B11"/>
    <mergeCell ref="C9:E10"/>
    <mergeCell ref="F9:AM9"/>
    <mergeCell ref="AN9:AN11"/>
    <mergeCell ref="T10:U10"/>
    <mergeCell ref="V10:W10"/>
    <mergeCell ref="X10:Y10"/>
    <mergeCell ref="Z10:AA10"/>
    <mergeCell ref="AL10:AM10"/>
    <mergeCell ref="AD10:AE10"/>
    <mergeCell ref="AF10:AG10"/>
    <mergeCell ref="AH10:AI10"/>
    <mergeCell ref="AJ10:AK10"/>
  </mergeCells>
  <dataValidations count="2">
    <dataValidation allowBlank="1" showInputMessage="1" showErrorMessage="1" error="Valor no Permitido" sqref="A6:T6 A8 A9:E28 F28:AW28 F9:AM11 A87:B91 C87:S88 A29 A30:B46 C46:AF46 C30:AF31 C66:AF66 C48:AF49 B48:B66 A47:A48 B68:B70 F85:T85 AS9:AW11 C68:E85 B85 A50:A68 A71:A86 AN9 AO9:AQ11 F68:S70" xr:uid="{00000000-0002-0000-1800-000000000000}"/>
    <dataValidation type="whole" operator="greaterThanOrEqual" allowBlank="1" showInputMessage="1" showErrorMessage="1" error="Valor no Permitido" sqref="F71:T84 F12:AW27 C32:AF45 B71:B84 C50:AF65 C89:S91" xr:uid="{00A0001C-0059-4588-A523-000E00F700E0}">
      <formula1>0</formula1>
    </dataValidation>
  </dataValidations>
  <pageMargins left="0.7" right="0.7" top="0.75" bottom="0.75" header="0.3" footer="0.3"/>
  <pageSetup paperSize="9" orientation="portrait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Hoja26"/>
  <dimension ref="A1:CR236"/>
  <sheetViews>
    <sheetView showGridLines="0" workbookViewId="0"/>
  </sheetViews>
  <sheetFormatPr baseColWidth="10" defaultColWidth="11.42578125" defaultRowHeight="15"/>
  <cols>
    <col min="1" max="1" width="67.28515625" style="3366" customWidth="1"/>
    <col min="2" max="2" width="25.42578125" style="3366" customWidth="1"/>
    <col min="3" max="3" width="16" style="3366" customWidth="1"/>
    <col min="4" max="4" width="14.5703125" style="3366" customWidth="1"/>
    <col min="5" max="5" width="14.42578125" style="3366" customWidth="1"/>
    <col min="6" max="6" width="12.7109375" style="3366" customWidth="1"/>
    <col min="7" max="7" width="12.140625" style="3366" customWidth="1"/>
    <col min="8" max="9" width="11.42578125" style="3366" customWidth="1"/>
    <col min="10" max="10" width="12.85546875" style="3366" customWidth="1"/>
    <col min="11" max="12" width="11.42578125" style="3366" customWidth="1"/>
    <col min="13" max="13" width="12.85546875" style="3366" customWidth="1"/>
    <col min="14" max="14" width="12.7109375" style="3366" customWidth="1"/>
    <col min="15" max="15" width="11.42578125" style="3366" customWidth="1"/>
    <col min="16" max="16" width="12.28515625" style="3366" customWidth="1"/>
    <col min="17" max="17" width="14.7109375" style="3366" customWidth="1"/>
    <col min="18" max="18" width="14" style="3366" customWidth="1"/>
    <col min="19" max="19" width="14.5703125" style="3366" customWidth="1"/>
    <col min="20" max="20" width="13.140625" style="3366" customWidth="1"/>
    <col min="21" max="21" width="12.85546875" style="3366" customWidth="1"/>
    <col min="22" max="26" width="12.5703125" style="3366" customWidth="1"/>
    <col min="27" max="27" width="11.42578125" style="3366" customWidth="1"/>
    <col min="28" max="28" width="12.42578125" style="3366" customWidth="1"/>
    <col min="29" max="29" width="11.42578125" style="3366" customWidth="1"/>
    <col min="30" max="30" width="12.42578125" style="3366" customWidth="1"/>
    <col min="31" max="32" width="11.42578125" style="3366" customWidth="1"/>
    <col min="33" max="33" width="12.28515625" style="3366" customWidth="1"/>
    <col min="34" max="34" width="11.42578125" style="3366" customWidth="1"/>
    <col min="35" max="35" width="12.140625" style="3366" customWidth="1"/>
    <col min="36" max="38" width="11.42578125" style="3366" customWidth="1"/>
    <col min="39" max="39" width="20.28515625" style="3366" customWidth="1"/>
    <col min="40" max="40" width="17.140625" style="3366" customWidth="1"/>
    <col min="41" max="41" width="13.140625" style="3366" customWidth="1"/>
    <col min="42" max="42" width="11.42578125" style="3366"/>
    <col min="43" max="43" width="12" style="3366" customWidth="1"/>
    <col min="44" max="44" width="11.42578125" style="3366"/>
    <col min="45" max="45" width="12.140625" style="3366" customWidth="1"/>
    <col min="46" max="46" width="22" style="3366" customWidth="1"/>
    <col min="47" max="75" width="11.42578125" style="3366"/>
    <col min="76" max="78" width="11.42578125" style="3366" customWidth="1"/>
    <col min="79" max="94" width="11.42578125" style="3366" hidden="1" customWidth="1"/>
    <col min="95" max="96" width="11.5703125" style="3366" hidden="1" customWidth="1"/>
    <col min="97" max="97" width="11.42578125" style="3366" customWidth="1"/>
    <col min="98" max="16384" width="11.42578125" style="3366"/>
  </cols>
  <sheetData>
    <row r="1" spans="1:94">
      <c r="A1" s="378" t="s">
        <v>37</v>
      </c>
    </row>
    <row r="2" spans="1:94">
      <c r="A2" s="378" t="str">
        <f>CONCATENATE("COMUNA: ",NOMBRE!B2, " (",NOMBRE!C2,NOMBRE!D2,NOMBRE!E2,NOMBRE!F2,NOMBRE!G2,")")</f>
        <v>COMUNA: MAIPU (13119)</v>
      </c>
    </row>
    <row r="3" spans="1:94">
      <c r="A3" s="378" t="str">
        <f>CONCATENATE("ESTABLECIMIENTO/ESTRATEGIA: ", NOMBRE!B3, " (",NOMBRE!C3,NOMBRE!D3,NOMBRE!E3,NOMBRE!F3,NOMBRE!G3,NOMBRE!H3,")")</f>
        <v>ESTABLECIMIENTO/ESTRATEGIA: CESFAM DR. CARLOS GODOY (111380)</v>
      </c>
    </row>
    <row r="4" spans="1:94">
      <c r="A4" s="378" t="str">
        <f>CONCATENATE("MES: ",NOMBRE!B6, " (",NOMBRE!C6,NOMBRE!D6,")")</f>
        <v>MES: MARZO (03)</v>
      </c>
    </row>
    <row r="5" spans="1:94">
      <c r="A5" s="4694" t="str">
        <f>CONCATENATE("AÑO: ",NOMBRE!B7)</f>
        <v>AÑO: 2026</v>
      </c>
    </row>
    <row r="6" spans="1:94" ht="18" customHeight="1">
      <c r="A6" s="6227" t="s">
        <v>4113</v>
      </c>
      <c r="B6" s="6227"/>
      <c r="C6" s="6227"/>
      <c r="D6" s="6227"/>
      <c r="E6" s="6227"/>
      <c r="F6" s="6227"/>
      <c r="G6" s="6227"/>
      <c r="H6" s="6227"/>
      <c r="I6" s="6227"/>
      <c r="J6" s="6227"/>
      <c r="K6" s="6227"/>
      <c r="L6" s="6227"/>
      <c r="M6" s="6227"/>
      <c r="N6" s="6227"/>
      <c r="O6" s="6227"/>
      <c r="P6" s="6227"/>
      <c r="Q6" s="6227"/>
      <c r="R6" s="6227"/>
      <c r="S6" s="6227"/>
    </row>
    <row r="8" spans="1:94" s="5076" customFormat="1" ht="18" customHeight="1">
      <c r="A8" s="7243" t="s">
        <v>4114</v>
      </c>
      <c r="B8" s="7244"/>
      <c r="C8" s="7244"/>
    </row>
    <row r="9" spans="1:94" s="5077" customFormat="1" ht="15" customHeight="1">
      <c r="A9" s="7079" t="s">
        <v>41</v>
      </c>
      <c r="B9" s="7245" t="s">
        <v>91</v>
      </c>
      <c r="C9" s="7247" t="s">
        <v>43</v>
      </c>
      <c r="D9" s="7248"/>
      <c r="E9" s="7248"/>
      <c r="F9" s="7248"/>
      <c r="G9" s="7248"/>
      <c r="H9" s="7248"/>
      <c r="I9" s="7248"/>
      <c r="J9" s="7248"/>
      <c r="K9" s="7248"/>
      <c r="L9" s="7248"/>
      <c r="M9" s="7248"/>
      <c r="N9" s="7248"/>
      <c r="O9" s="7248"/>
      <c r="P9" s="7248"/>
      <c r="Q9" s="7248"/>
      <c r="R9" s="7248"/>
      <c r="S9" s="7249"/>
      <c r="T9" s="7250" t="s">
        <v>4115</v>
      </c>
      <c r="U9" s="7251"/>
      <c r="V9" s="6069" t="s">
        <v>48</v>
      </c>
      <c r="W9" s="6766" t="s">
        <v>49</v>
      </c>
      <c r="X9" s="6139" t="s">
        <v>50</v>
      </c>
      <c r="Y9" s="5718" t="s">
        <v>51</v>
      </c>
      <c r="Z9" s="6119" t="s">
        <v>4116</v>
      </c>
    </row>
    <row r="10" spans="1:94" s="5077" customFormat="1" ht="52.5" customHeight="1">
      <c r="A10" s="7079"/>
      <c r="B10" s="7246"/>
      <c r="C10" s="1395" t="s">
        <v>364</v>
      </c>
      <c r="D10" s="1646" t="s">
        <v>347</v>
      </c>
      <c r="E10" s="1396" t="s">
        <v>57</v>
      </c>
      <c r="F10" s="1646" t="s">
        <v>58</v>
      </c>
      <c r="G10" s="1397" t="s">
        <v>59</v>
      </c>
      <c r="H10" s="1397" t="s">
        <v>60</v>
      </c>
      <c r="I10" s="1397" t="s">
        <v>61</v>
      </c>
      <c r="J10" s="1397" t="s">
        <v>62</v>
      </c>
      <c r="K10" s="1397" t="s">
        <v>63</v>
      </c>
      <c r="L10" s="1397" t="s">
        <v>64</v>
      </c>
      <c r="M10" s="1397" t="s">
        <v>65</v>
      </c>
      <c r="N10" s="1397" t="s">
        <v>66</v>
      </c>
      <c r="O10" s="1397" t="s">
        <v>67</v>
      </c>
      <c r="P10" s="1397" t="s">
        <v>68</v>
      </c>
      <c r="Q10" s="1397" t="s">
        <v>69</v>
      </c>
      <c r="R10" s="1397" t="s">
        <v>70</v>
      </c>
      <c r="S10" s="398" t="s">
        <v>71</v>
      </c>
      <c r="T10" s="5078" t="s">
        <v>72</v>
      </c>
      <c r="U10" s="5079" t="s">
        <v>73</v>
      </c>
      <c r="V10" s="6075"/>
      <c r="W10" s="6767"/>
      <c r="X10" s="6115"/>
      <c r="Y10" s="5719"/>
      <c r="Z10" s="6116"/>
    </row>
    <row r="11" spans="1:94" s="5077" customFormat="1" ht="15" customHeight="1">
      <c r="A11" s="5080" t="s">
        <v>78</v>
      </c>
      <c r="B11" s="5081">
        <f t="shared" ref="B11:B12" si="0">SUM(C11:S11)</f>
        <v>0</v>
      </c>
      <c r="C11" s="4575"/>
      <c r="D11" s="4576"/>
      <c r="E11" s="4596"/>
      <c r="F11" s="4571"/>
      <c r="G11" s="4571"/>
      <c r="H11" s="4571"/>
      <c r="I11" s="4571"/>
      <c r="J11" s="4571"/>
      <c r="K11" s="4571"/>
      <c r="L11" s="4571"/>
      <c r="M11" s="4571"/>
      <c r="N11" s="4571"/>
      <c r="O11" s="4571"/>
      <c r="P11" s="4571"/>
      <c r="Q11" s="4571"/>
      <c r="R11" s="4571"/>
      <c r="S11" s="5082"/>
      <c r="T11" s="5083"/>
      <c r="U11" s="5084"/>
      <c r="V11" s="5085"/>
      <c r="W11" s="5086"/>
      <c r="X11" s="5087"/>
      <c r="Y11" s="4593"/>
      <c r="Z11" s="4595"/>
      <c r="AA11" s="5077" t="str">
        <f t="shared" ref="AA11:AA15" si="1">CA11&amp;CB11&amp;CC11&amp;CD11&amp;CE11&amp;CF11</f>
        <v/>
      </c>
      <c r="CA11" s="5088" t="str">
        <f t="shared" ref="CA11:CA15" si="2">IF((T11+U11)&lt;&gt;B11," * El desglose por Sexo No puede ser distinto al Total.","")</f>
        <v/>
      </c>
      <c r="CB11" s="5088" t="str">
        <f t="shared" ref="CB11:CB15" si="3">IF(AND(B11&gt;0,V11="")," * No olvide digitar la variable "&amp;V$9&amp;". Digite Cero si no tiene.",IF(V11&gt;B11," * La variable "&amp;V$9&amp;" no puede ser mayor al Total.",""))</f>
        <v/>
      </c>
      <c r="CC11" s="5088" t="str">
        <f t="shared" ref="CC11:CC15" si="4">IF(AND(B11&gt;0,W11="")," * No olvide digitar la variable "&amp;W$9&amp;". Digite Cero si no tiene.",IF(W11&gt;B11," * La variable "&amp;W$9&amp;" no puede ser mayor al Total.",""))</f>
        <v/>
      </c>
      <c r="CD11" s="5088" t="str">
        <f t="shared" ref="CD11:CD15" si="5">IF(AND(B11&gt;0,X11="")," * No olvide digitar la variable "&amp;X$9&amp;". Digite Cero si no tiene.",IF(X11&gt;B11," * La variable "&amp;X$9&amp;" no puede ser mayor al Total.",""))</f>
        <v/>
      </c>
      <c r="CE11" s="5088" t="str">
        <f t="shared" ref="CE11:CE15" si="6">IF(AND(B11&gt;0,Y11="")," * No olvide digitar la variable "&amp;Y$9&amp;". Digite Cero si no tiene.",IF(Y11&gt;B11," * La variable "&amp;Y$9&amp;" no puede ser mayor al Total.",""))</f>
        <v/>
      </c>
      <c r="CF11" s="5088" t="str">
        <f t="shared" ref="CF11:CF15" si="7">IF(AND(B11&gt;0,Z11="")," * No olvide digitar la variable "&amp;Z$9&amp;". Digite Cero si no tiene.",IF(Z11&gt;B11," * La variable "&amp;Z$9&amp;" no puede ser mayor al Total.",""))</f>
        <v/>
      </c>
      <c r="CK11" s="5089">
        <f t="shared" ref="CK11:CK15" si="8">IF((T11+U11)&lt;&gt;B11,1,0)</f>
        <v>0</v>
      </c>
      <c r="CL11" s="5089">
        <f t="shared" ref="CL11:CL15" si="9">IF(AND(B11&gt;0,V11=""),1,IF(V11&gt;B11,1,0))</f>
        <v>0</v>
      </c>
      <c r="CM11" s="5089">
        <f t="shared" ref="CM11:CM15" si="10">IF(AND(B11&gt;0,W11=""),1,IF(W11&gt;B11,1,0))</f>
        <v>0</v>
      </c>
      <c r="CN11" s="5089">
        <f t="shared" ref="CN11:CN15" si="11">IF(AND(B11&gt;0,X11=""),1,IF(X11&gt;B11,1,0))</f>
        <v>0</v>
      </c>
      <c r="CO11" s="5089">
        <f t="shared" ref="CO11:CO15" si="12">IF(AND(B11&gt;0,Y11=""),1,IF(Y11&gt;B11,1,0))</f>
        <v>0</v>
      </c>
      <c r="CP11" s="5089">
        <f t="shared" ref="CP11:CP15" si="13">IF(AND(B11&gt;0,Z11=""),1,IF(Z11&gt;B11,1,0))</f>
        <v>0</v>
      </c>
    </row>
    <row r="12" spans="1:94" s="5077" customFormat="1" ht="15" customHeight="1">
      <c r="A12" s="5080" t="s">
        <v>112</v>
      </c>
      <c r="B12" s="5081">
        <f t="shared" si="0"/>
        <v>0</v>
      </c>
      <c r="C12" s="4575"/>
      <c r="D12" s="4576"/>
      <c r="E12" s="4602"/>
      <c r="F12" s="4576"/>
      <c r="G12" s="4576"/>
      <c r="H12" s="4576"/>
      <c r="I12" s="4576"/>
      <c r="J12" s="4576"/>
      <c r="K12" s="4576"/>
      <c r="L12" s="4576"/>
      <c r="M12" s="4576"/>
      <c r="N12" s="4576"/>
      <c r="O12" s="4576"/>
      <c r="P12" s="4576"/>
      <c r="Q12" s="4576"/>
      <c r="R12" s="4576"/>
      <c r="S12" s="5090"/>
      <c r="T12" s="5091"/>
      <c r="U12" s="5092"/>
      <c r="V12" s="5093"/>
      <c r="W12" s="4599"/>
      <c r="X12" s="5093"/>
      <c r="Y12" s="4599"/>
      <c r="Z12" s="4601"/>
      <c r="AA12" s="5077" t="str">
        <f t="shared" si="1"/>
        <v/>
      </c>
      <c r="CA12" s="5088" t="str">
        <f t="shared" si="2"/>
        <v/>
      </c>
      <c r="CB12" s="5088" t="str">
        <f t="shared" si="3"/>
        <v/>
      </c>
      <c r="CC12" s="5088" t="str">
        <f t="shared" si="4"/>
        <v/>
      </c>
      <c r="CD12" s="5088" t="str">
        <f t="shared" si="5"/>
        <v/>
      </c>
      <c r="CE12" s="5088" t="str">
        <f t="shared" si="6"/>
        <v/>
      </c>
      <c r="CF12" s="5088" t="str">
        <f t="shared" si="7"/>
        <v/>
      </c>
      <c r="CK12" s="5089">
        <f t="shared" si="8"/>
        <v>0</v>
      </c>
      <c r="CL12" s="5089">
        <f t="shared" si="9"/>
        <v>0</v>
      </c>
      <c r="CM12" s="5089">
        <f t="shared" si="10"/>
        <v>0</v>
      </c>
      <c r="CN12" s="5089">
        <f t="shared" si="11"/>
        <v>0</v>
      </c>
      <c r="CO12" s="5089">
        <f t="shared" si="12"/>
        <v>0</v>
      </c>
      <c r="CP12" s="5089">
        <f t="shared" si="13"/>
        <v>0</v>
      </c>
    </row>
    <row r="13" spans="1:94" s="5077" customFormat="1" ht="15" customHeight="1">
      <c r="A13" s="5080" t="s">
        <v>2852</v>
      </c>
      <c r="B13" s="5081">
        <f>SUM(E13:S13)</f>
        <v>0</v>
      </c>
      <c r="C13" s="5094"/>
      <c r="D13" s="5095"/>
      <c r="E13" s="4602"/>
      <c r="F13" s="4576"/>
      <c r="G13" s="4576"/>
      <c r="H13" s="4576"/>
      <c r="I13" s="4576"/>
      <c r="J13" s="4576"/>
      <c r="K13" s="4576"/>
      <c r="L13" s="4576"/>
      <c r="M13" s="4576"/>
      <c r="N13" s="4576"/>
      <c r="O13" s="4576"/>
      <c r="P13" s="4576"/>
      <c r="Q13" s="4576"/>
      <c r="R13" s="4576"/>
      <c r="S13" s="5096"/>
      <c r="T13" s="5097"/>
      <c r="U13" s="5092"/>
      <c r="V13" s="5093"/>
      <c r="W13" s="4599"/>
      <c r="X13" s="5093"/>
      <c r="Y13" s="4599"/>
      <c r="Z13" s="4601"/>
      <c r="AA13" s="5077" t="str">
        <f t="shared" si="1"/>
        <v/>
      </c>
      <c r="AD13" s="5076"/>
      <c r="AE13" s="5076"/>
      <c r="AF13" s="5076"/>
      <c r="CA13" s="5088" t="str">
        <f t="shared" si="2"/>
        <v/>
      </c>
      <c r="CB13" s="5088" t="str">
        <f t="shared" si="3"/>
        <v/>
      </c>
      <c r="CC13" s="5088" t="str">
        <f t="shared" si="4"/>
        <v/>
      </c>
      <c r="CD13" s="5088" t="str">
        <f t="shared" si="5"/>
        <v/>
      </c>
      <c r="CE13" s="5088" t="str">
        <f t="shared" si="6"/>
        <v/>
      </c>
      <c r="CF13" s="5088" t="str">
        <f t="shared" si="7"/>
        <v/>
      </c>
      <c r="CK13" s="5089">
        <f t="shared" si="8"/>
        <v>0</v>
      </c>
      <c r="CL13" s="5089">
        <f t="shared" si="9"/>
        <v>0</v>
      </c>
      <c r="CM13" s="5089">
        <f t="shared" si="10"/>
        <v>0</v>
      </c>
      <c r="CN13" s="5089">
        <f t="shared" si="11"/>
        <v>0</v>
      </c>
      <c r="CO13" s="5089">
        <f t="shared" si="12"/>
        <v>0</v>
      </c>
      <c r="CP13" s="5089">
        <f t="shared" si="13"/>
        <v>0</v>
      </c>
    </row>
    <row r="14" spans="1:94" s="5077" customFormat="1" ht="15" customHeight="1">
      <c r="A14" s="5080" t="s">
        <v>119</v>
      </c>
      <c r="B14" s="5081">
        <f t="shared" ref="B14:B16" si="14">SUM(C14:S14)</f>
        <v>0</v>
      </c>
      <c r="C14" s="4575"/>
      <c r="D14" s="4576"/>
      <c r="E14" s="4602"/>
      <c r="F14" s="4576"/>
      <c r="G14" s="4576"/>
      <c r="H14" s="4576"/>
      <c r="I14" s="4576"/>
      <c r="J14" s="4576"/>
      <c r="K14" s="4576"/>
      <c r="L14" s="4576"/>
      <c r="M14" s="4576"/>
      <c r="N14" s="4576"/>
      <c r="O14" s="4576"/>
      <c r="P14" s="4576"/>
      <c r="Q14" s="4576"/>
      <c r="R14" s="4576"/>
      <c r="S14" s="5090"/>
      <c r="T14" s="5091"/>
      <c r="U14" s="5092"/>
      <c r="V14" s="5093"/>
      <c r="W14" s="4599"/>
      <c r="X14" s="5093"/>
      <c r="Y14" s="4599"/>
      <c r="Z14" s="4601"/>
      <c r="AA14" s="5077" t="str">
        <f t="shared" si="1"/>
        <v/>
      </c>
      <c r="CA14" s="5088" t="str">
        <f t="shared" si="2"/>
        <v/>
      </c>
      <c r="CB14" s="5088" t="str">
        <f t="shared" si="3"/>
        <v/>
      </c>
      <c r="CC14" s="5088" t="str">
        <f t="shared" si="4"/>
        <v/>
      </c>
      <c r="CD14" s="5088" t="str">
        <f t="shared" si="5"/>
        <v/>
      </c>
      <c r="CE14" s="5088" t="str">
        <f t="shared" si="6"/>
        <v/>
      </c>
      <c r="CF14" s="5088" t="str">
        <f t="shared" si="7"/>
        <v/>
      </c>
      <c r="CK14" s="5089">
        <f t="shared" si="8"/>
        <v>0</v>
      </c>
      <c r="CL14" s="5089">
        <f t="shared" si="9"/>
        <v>0</v>
      </c>
      <c r="CM14" s="5089">
        <f t="shared" si="10"/>
        <v>0</v>
      </c>
      <c r="CN14" s="5089">
        <f t="shared" si="11"/>
        <v>0</v>
      </c>
      <c r="CO14" s="5089">
        <f t="shared" si="12"/>
        <v>0</v>
      </c>
      <c r="CP14" s="5089">
        <f t="shared" si="13"/>
        <v>0</v>
      </c>
    </row>
    <row r="15" spans="1:94" s="5077" customFormat="1" ht="15" customHeight="1">
      <c r="A15" s="5080" t="s">
        <v>1106</v>
      </c>
      <c r="B15" s="5081">
        <f t="shared" si="14"/>
        <v>0</v>
      </c>
      <c r="C15" s="4575"/>
      <c r="D15" s="4576"/>
      <c r="E15" s="4602"/>
      <c r="F15" s="4576"/>
      <c r="G15" s="4576"/>
      <c r="H15" s="4576"/>
      <c r="I15" s="4576"/>
      <c r="J15" s="4576"/>
      <c r="K15" s="4576"/>
      <c r="L15" s="4576"/>
      <c r="M15" s="4576"/>
      <c r="N15" s="4576"/>
      <c r="O15" s="4576"/>
      <c r="P15" s="4576"/>
      <c r="Q15" s="4576"/>
      <c r="R15" s="4576"/>
      <c r="S15" s="5090"/>
      <c r="T15" s="5091"/>
      <c r="U15" s="5092"/>
      <c r="V15" s="5098"/>
      <c r="W15" s="5099"/>
      <c r="X15" s="5093"/>
      <c r="Y15" s="4599"/>
      <c r="Z15" s="4601"/>
      <c r="AA15" s="5077" t="str">
        <f t="shared" si="1"/>
        <v/>
      </c>
      <c r="AD15" s="5076"/>
      <c r="AE15" s="5076"/>
      <c r="AF15" s="5076"/>
      <c r="CA15" s="5088" t="str">
        <f t="shared" si="2"/>
        <v/>
      </c>
      <c r="CB15" s="5088" t="str">
        <f t="shared" si="3"/>
        <v/>
      </c>
      <c r="CC15" s="5088" t="str">
        <f t="shared" si="4"/>
        <v/>
      </c>
      <c r="CD15" s="5088" t="str">
        <f t="shared" si="5"/>
        <v/>
      </c>
      <c r="CE15" s="5088" t="str">
        <f t="shared" si="6"/>
        <v/>
      </c>
      <c r="CF15" s="5088" t="str">
        <f t="shared" si="7"/>
        <v/>
      </c>
      <c r="CK15" s="5089">
        <f t="shared" si="8"/>
        <v>0</v>
      </c>
      <c r="CL15" s="5089">
        <f t="shared" si="9"/>
        <v>0</v>
      </c>
      <c r="CM15" s="5089">
        <f t="shared" si="10"/>
        <v>0</v>
      </c>
      <c r="CN15" s="5089">
        <f t="shared" si="11"/>
        <v>0</v>
      </c>
      <c r="CO15" s="5089">
        <f t="shared" si="12"/>
        <v>0</v>
      </c>
      <c r="CP15" s="5089">
        <f t="shared" si="13"/>
        <v>0</v>
      </c>
    </row>
    <row r="16" spans="1:94" s="5077" customFormat="1" ht="15" customHeight="1">
      <c r="A16" s="5100" t="s">
        <v>209</v>
      </c>
      <c r="B16" s="5101">
        <f t="shared" si="14"/>
        <v>0</v>
      </c>
      <c r="C16" s="5102">
        <f t="shared" ref="C16:Z24" si="15">SUM(C11:C15)</f>
        <v>0</v>
      </c>
      <c r="D16" s="5103">
        <f t="shared" si="15"/>
        <v>0</v>
      </c>
      <c r="E16" s="5103">
        <f t="shared" si="15"/>
        <v>0</v>
      </c>
      <c r="F16" s="5104">
        <f t="shared" si="15"/>
        <v>0</v>
      </c>
      <c r="G16" s="5104">
        <f t="shared" si="15"/>
        <v>0</v>
      </c>
      <c r="H16" s="5104">
        <f t="shared" si="15"/>
        <v>0</v>
      </c>
      <c r="I16" s="5104">
        <f t="shared" si="15"/>
        <v>0</v>
      </c>
      <c r="J16" s="5104">
        <f t="shared" si="15"/>
        <v>0</v>
      </c>
      <c r="K16" s="5104">
        <f t="shared" si="15"/>
        <v>0</v>
      </c>
      <c r="L16" s="5104">
        <f t="shared" si="15"/>
        <v>0</v>
      </c>
      <c r="M16" s="5104">
        <f t="shared" si="15"/>
        <v>0</v>
      </c>
      <c r="N16" s="5104">
        <f t="shared" si="15"/>
        <v>0</v>
      </c>
      <c r="O16" s="5104">
        <f t="shared" si="15"/>
        <v>0</v>
      </c>
      <c r="P16" s="5104">
        <f t="shared" si="15"/>
        <v>0</v>
      </c>
      <c r="Q16" s="5104">
        <f t="shared" si="15"/>
        <v>0</v>
      </c>
      <c r="R16" s="5104">
        <f t="shared" si="15"/>
        <v>0</v>
      </c>
      <c r="S16" s="5105">
        <f t="shared" si="15"/>
        <v>0</v>
      </c>
      <c r="T16" s="5106">
        <f t="shared" si="15"/>
        <v>0</v>
      </c>
      <c r="U16" s="5107">
        <f t="shared" si="15"/>
        <v>0</v>
      </c>
      <c r="V16" s="5108">
        <f t="shared" si="15"/>
        <v>0</v>
      </c>
      <c r="W16" s="5109">
        <f t="shared" si="15"/>
        <v>0</v>
      </c>
      <c r="X16" s="5110">
        <f t="shared" si="15"/>
        <v>0</v>
      </c>
      <c r="Y16" s="5101">
        <f t="shared" si="15"/>
        <v>0</v>
      </c>
      <c r="Z16" s="5111">
        <f t="shared" si="15"/>
        <v>0</v>
      </c>
    </row>
    <row r="17" spans="1:91" s="5076" customFormat="1" ht="17.100000000000001" customHeight="1">
      <c r="A17" s="7252" t="s">
        <v>4117</v>
      </c>
      <c r="B17" s="7253"/>
      <c r="C17" s="7253"/>
      <c r="D17" s="7253"/>
      <c r="E17" s="5112"/>
      <c r="F17" s="5113"/>
      <c r="G17" s="5113"/>
      <c r="H17" s="5113"/>
      <c r="I17" s="5113"/>
      <c r="J17" s="5113"/>
      <c r="K17" s="5113"/>
      <c r="L17" s="5113"/>
    </row>
    <row r="18" spans="1:91" s="5077" customFormat="1" ht="31.5" customHeight="1">
      <c r="A18" s="5114" t="s">
        <v>1659</v>
      </c>
      <c r="B18" s="5115" t="s">
        <v>91</v>
      </c>
      <c r="C18" s="5116" t="s">
        <v>78</v>
      </c>
      <c r="D18" s="5117" t="s">
        <v>4118</v>
      </c>
      <c r="E18" s="5118" t="s">
        <v>3434</v>
      </c>
      <c r="F18" s="5119"/>
      <c r="G18" s="5119"/>
      <c r="H18" s="5119"/>
      <c r="I18" s="5119"/>
      <c r="J18" s="5119"/>
      <c r="K18" s="5119"/>
      <c r="L18" s="5119"/>
    </row>
    <row r="19" spans="1:91" s="5077" customFormat="1" ht="15" customHeight="1">
      <c r="A19" s="5120" t="s">
        <v>4119</v>
      </c>
      <c r="B19" s="5121">
        <f t="shared" ref="B19:B23" si="16">SUM(C19:E19)</f>
        <v>0</v>
      </c>
      <c r="C19" s="5122"/>
      <c r="D19" s="5123"/>
      <c r="E19" s="5124"/>
      <c r="F19" s="5119"/>
      <c r="G19" s="5119"/>
      <c r="H19" s="5119"/>
      <c r="I19" s="5119"/>
      <c r="J19" s="5119"/>
      <c r="K19" s="5119"/>
      <c r="L19" s="5119"/>
      <c r="BU19" s="5119"/>
      <c r="BV19" s="5119"/>
      <c r="BW19" s="5119"/>
      <c r="BX19" s="5119"/>
    </row>
    <row r="20" spans="1:91" s="5077" customFormat="1" ht="15" customHeight="1">
      <c r="A20" s="5080" t="s">
        <v>4120</v>
      </c>
      <c r="B20" s="5125">
        <f t="shared" si="16"/>
        <v>0</v>
      </c>
      <c r="C20" s="5126"/>
      <c r="D20" s="5127"/>
      <c r="E20" s="5128"/>
      <c r="F20" s="5119"/>
      <c r="G20" s="5119"/>
      <c r="H20" s="5119"/>
      <c r="I20" s="5119"/>
      <c r="J20" s="5119"/>
      <c r="K20" s="5119"/>
      <c r="L20" s="5119"/>
      <c r="BU20" s="5119"/>
      <c r="BV20" s="5119"/>
      <c r="BW20" s="5119"/>
      <c r="BX20" s="5119"/>
      <c r="BY20" s="5119"/>
      <c r="BZ20" s="5119"/>
      <c r="CA20" s="5119"/>
      <c r="CB20" s="5119"/>
      <c r="CF20" s="5119"/>
      <c r="CG20" s="5119"/>
      <c r="CH20" s="5119"/>
    </row>
    <row r="21" spans="1:91" s="5077" customFormat="1" ht="15" customHeight="1">
      <c r="A21" s="5080" t="s">
        <v>4121</v>
      </c>
      <c r="B21" s="5125">
        <f t="shared" si="16"/>
        <v>0</v>
      </c>
      <c r="C21" s="5126"/>
      <c r="D21" s="5127"/>
      <c r="E21" s="5128"/>
      <c r="F21" s="5119"/>
      <c r="G21" s="5119"/>
      <c r="H21" s="5119"/>
      <c r="I21" s="5119"/>
      <c r="J21" s="5119"/>
      <c r="K21" s="5119"/>
      <c r="L21" s="5119"/>
      <c r="BU21" s="5119"/>
      <c r="BV21" s="5119"/>
      <c r="BW21" s="5119"/>
      <c r="BX21" s="5119"/>
      <c r="BY21" s="5119"/>
      <c r="BZ21" s="5119"/>
      <c r="CA21" s="5119"/>
      <c r="CB21" s="5119"/>
      <c r="CF21" s="5119"/>
      <c r="CG21" s="5119"/>
      <c r="CH21" s="5119"/>
    </row>
    <row r="22" spans="1:91" s="5077" customFormat="1" ht="15" customHeight="1">
      <c r="A22" s="5129" t="s">
        <v>4122</v>
      </c>
      <c r="B22" s="5125">
        <f t="shared" si="16"/>
        <v>0</v>
      </c>
      <c r="C22" s="5126"/>
      <c r="D22" s="5127"/>
      <c r="E22" s="5128"/>
      <c r="G22" s="5119"/>
      <c r="H22" s="5119"/>
      <c r="I22" s="5119"/>
      <c r="J22" s="5119"/>
      <c r="K22" s="5119"/>
      <c r="L22" s="5119"/>
      <c r="BU22" s="5119"/>
      <c r="BV22" s="5119"/>
      <c r="BW22" s="5119"/>
      <c r="BX22" s="5119"/>
      <c r="BY22" s="5119"/>
      <c r="BZ22" s="5119"/>
      <c r="CA22" s="5119"/>
      <c r="CB22" s="5119"/>
      <c r="CF22" s="5119"/>
      <c r="CG22" s="5119"/>
      <c r="CH22" s="5119"/>
    </row>
    <row r="23" spans="1:91" s="5077" customFormat="1" ht="15" customHeight="1">
      <c r="A23" s="5130" t="s">
        <v>4123</v>
      </c>
      <c r="B23" s="5131">
        <f t="shared" si="16"/>
        <v>0</v>
      </c>
      <c r="C23" s="5132"/>
      <c r="D23" s="5133"/>
      <c r="E23" s="5134"/>
      <c r="F23" s="5119"/>
      <c r="G23" s="5119"/>
      <c r="H23" s="5119"/>
      <c r="I23" s="5119"/>
      <c r="J23" s="5119"/>
      <c r="K23" s="5119"/>
      <c r="L23" s="5119"/>
      <c r="BU23" s="5119"/>
      <c r="BV23" s="5119"/>
      <c r="BW23" s="5119"/>
      <c r="BX23" s="5119"/>
      <c r="BY23" s="5119"/>
      <c r="BZ23" s="5119"/>
      <c r="CA23" s="5119"/>
      <c r="CB23" s="5119"/>
      <c r="CF23" s="5119"/>
      <c r="CG23" s="5119"/>
      <c r="CH23" s="5119"/>
    </row>
    <row r="24" spans="1:91" s="5077" customFormat="1" ht="15" customHeight="1">
      <c r="A24" s="5135" t="s">
        <v>91</v>
      </c>
      <c r="B24" s="5136">
        <f>SUM(B19:B23)</f>
        <v>0</v>
      </c>
      <c r="C24" s="5137">
        <f t="shared" si="15"/>
        <v>0</v>
      </c>
      <c r="D24" s="5138">
        <f t="shared" ref="D24:E24" si="17">SUM(D19:D23)</f>
        <v>0</v>
      </c>
      <c r="E24" s="5139">
        <f t="shared" si="17"/>
        <v>0</v>
      </c>
      <c r="F24" s="5119"/>
      <c r="G24" s="5119"/>
      <c r="H24" s="5119"/>
      <c r="I24" s="5119"/>
      <c r="J24" s="5119"/>
      <c r="K24" s="5119"/>
      <c r="L24" s="5119"/>
      <c r="BU24" s="5119"/>
      <c r="BV24" s="5119"/>
      <c r="BW24" s="5119"/>
      <c r="BX24" s="5119"/>
    </row>
    <row r="25" spans="1:91" s="5076" customFormat="1" ht="17.100000000000001" customHeight="1">
      <c r="A25" s="7243" t="s">
        <v>4124</v>
      </c>
      <c r="B25" s="7244"/>
      <c r="C25" s="7244"/>
      <c r="D25" s="7244"/>
      <c r="E25" s="7244"/>
      <c r="F25" s="7244"/>
      <c r="G25" s="7244"/>
      <c r="H25" s="7244"/>
      <c r="I25" s="7244"/>
      <c r="J25" s="7244"/>
      <c r="K25" s="7244"/>
      <c r="L25" s="7244"/>
    </row>
    <row r="26" spans="1:91" ht="25.5" customHeight="1">
      <c r="A26" s="7245" t="s">
        <v>4125</v>
      </c>
      <c r="B26" s="7245" t="s">
        <v>91</v>
      </c>
      <c r="C26" s="7087" t="s">
        <v>43</v>
      </c>
      <c r="D26" s="7088"/>
      <c r="E26" s="7088"/>
      <c r="F26" s="7088"/>
      <c r="G26" s="7088"/>
      <c r="H26" s="7088"/>
      <c r="I26" s="7088"/>
      <c r="J26" s="7088"/>
      <c r="K26" s="7088"/>
      <c r="L26" s="7088"/>
      <c r="M26" s="7088"/>
      <c r="N26" s="7088"/>
      <c r="O26" s="7088"/>
      <c r="P26" s="7088"/>
      <c r="Q26" s="7088"/>
      <c r="R26" s="7088"/>
      <c r="S26" s="7254"/>
      <c r="T26" s="7250" t="s">
        <v>2422</v>
      </c>
      <c r="U26" s="7251"/>
      <c r="V26" s="7258" t="s">
        <v>50</v>
      </c>
      <c r="W26" s="6321" t="s">
        <v>51</v>
      </c>
      <c r="X26" s="5710" t="s">
        <v>4126</v>
      </c>
      <c r="Y26" s="5712"/>
      <c r="Z26" s="5141"/>
      <c r="AA26" s="5141"/>
      <c r="AB26" s="5141"/>
      <c r="AC26" s="5141"/>
      <c r="AD26" s="5141"/>
      <c r="AE26" s="5141"/>
      <c r="AF26" s="5141"/>
      <c r="AG26" s="5141"/>
      <c r="AH26" s="5141"/>
      <c r="AI26" s="5141"/>
      <c r="AJ26" s="5141"/>
      <c r="AK26" s="5141"/>
      <c r="AL26" s="5141"/>
      <c r="AM26" s="5141"/>
      <c r="AN26" s="5141"/>
      <c r="AO26" s="5141"/>
      <c r="AP26" s="5141"/>
      <c r="AQ26" s="5141"/>
      <c r="AR26" s="5141"/>
      <c r="AS26" s="5141"/>
      <c r="AT26" s="5141"/>
      <c r="AU26" s="5141"/>
      <c r="AV26" s="5141"/>
      <c r="AW26" s="5141"/>
      <c r="AX26" s="5141"/>
      <c r="AY26" s="5141"/>
      <c r="AZ26" s="5141"/>
      <c r="BA26" s="5141"/>
      <c r="BB26" s="5141"/>
      <c r="BC26" s="5141"/>
      <c r="BD26" s="5141"/>
      <c r="BE26" s="5141"/>
      <c r="BF26" s="5141"/>
      <c r="BG26" s="5141"/>
      <c r="BH26" s="5141"/>
      <c r="BI26" s="5141"/>
      <c r="BJ26" s="5141"/>
      <c r="BK26" s="5141"/>
      <c r="BL26" s="5141"/>
      <c r="BM26" s="5141"/>
      <c r="BN26" s="5141"/>
      <c r="BO26" s="5141"/>
      <c r="BP26" s="5141"/>
      <c r="BQ26" s="5141"/>
      <c r="BR26" s="5141"/>
      <c r="BS26" s="5141"/>
      <c r="BT26" s="5141"/>
      <c r="BU26" s="5141"/>
      <c r="BV26" s="5141"/>
      <c r="BW26" s="5141"/>
      <c r="BX26" s="5141"/>
      <c r="BY26" s="5141"/>
      <c r="BZ26" s="5141"/>
      <c r="CA26" s="5077"/>
      <c r="CB26" s="5077"/>
      <c r="CC26" s="5077"/>
      <c r="CD26" s="5077"/>
      <c r="CE26" s="5077"/>
      <c r="CF26" s="5077"/>
      <c r="CG26" s="5077"/>
      <c r="CH26" s="5077"/>
      <c r="CI26" s="5077"/>
      <c r="CJ26" s="5077"/>
      <c r="CK26" s="5077"/>
      <c r="CL26" s="5077"/>
      <c r="CM26" s="5077"/>
    </row>
    <row r="27" spans="1:91" ht="25.5" customHeight="1">
      <c r="A27" s="7246"/>
      <c r="B27" s="7246"/>
      <c r="C27" s="1395" t="s">
        <v>364</v>
      </c>
      <c r="D27" s="1646" t="s">
        <v>347</v>
      </c>
      <c r="E27" s="1396" t="s">
        <v>57</v>
      </c>
      <c r="F27" s="1646" t="s">
        <v>58</v>
      </c>
      <c r="G27" s="1397" t="s">
        <v>59</v>
      </c>
      <c r="H27" s="1397" t="s">
        <v>60</v>
      </c>
      <c r="I27" s="1397" t="s">
        <v>61</v>
      </c>
      <c r="J27" s="1397" t="s">
        <v>62</v>
      </c>
      <c r="K27" s="1397" t="s">
        <v>63</v>
      </c>
      <c r="L27" s="1397" t="s">
        <v>64</v>
      </c>
      <c r="M27" s="1397" t="s">
        <v>65</v>
      </c>
      <c r="N27" s="1397" t="s">
        <v>66</v>
      </c>
      <c r="O27" s="1397" t="s">
        <v>67</v>
      </c>
      <c r="P27" s="1397" t="s">
        <v>68</v>
      </c>
      <c r="Q27" s="1397" t="s">
        <v>69</v>
      </c>
      <c r="R27" s="1397" t="s">
        <v>70</v>
      </c>
      <c r="S27" s="398" t="s">
        <v>71</v>
      </c>
      <c r="T27" s="4511" t="s">
        <v>72</v>
      </c>
      <c r="U27" s="5142" t="s">
        <v>73</v>
      </c>
      <c r="V27" s="7259"/>
      <c r="W27" s="6323"/>
      <c r="X27" s="5143" t="s">
        <v>4127</v>
      </c>
      <c r="Y27" s="5140" t="s">
        <v>4128</v>
      </c>
      <c r="Z27" s="5141"/>
      <c r="AA27" s="5141"/>
      <c r="AB27" s="5141"/>
      <c r="AC27" s="5141"/>
      <c r="AD27" s="5141"/>
      <c r="AE27" s="5141"/>
      <c r="AF27" s="5141"/>
      <c r="AG27" s="5141"/>
      <c r="AH27" s="5141"/>
      <c r="AI27" s="5141"/>
      <c r="AJ27" s="5141"/>
      <c r="AK27" s="5141"/>
      <c r="AL27" s="5141"/>
      <c r="AM27" s="5141"/>
      <c r="AN27" s="5141"/>
      <c r="AO27" s="5141"/>
      <c r="AP27" s="5141"/>
      <c r="AQ27" s="5141"/>
      <c r="AR27" s="5141"/>
      <c r="AS27" s="5141"/>
      <c r="AT27" s="5141"/>
      <c r="AU27" s="5141"/>
      <c r="AV27" s="5141"/>
      <c r="AW27" s="5141"/>
      <c r="AX27" s="5141"/>
      <c r="AY27" s="5141"/>
      <c r="AZ27" s="5141"/>
      <c r="BA27" s="5141"/>
      <c r="BB27" s="5141"/>
      <c r="BC27" s="5141"/>
      <c r="BD27" s="5141"/>
      <c r="BE27" s="5141"/>
      <c r="BF27" s="5141"/>
      <c r="BG27" s="5141"/>
      <c r="BH27" s="5141"/>
      <c r="BI27" s="5141"/>
      <c r="BJ27" s="5141"/>
      <c r="BK27" s="5141"/>
      <c r="BL27" s="5141"/>
      <c r="BM27" s="5141"/>
      <c r="BN27" s="5141"/>
      <c r="BO27" s="5141"/>
      <c r="BP27" s="5141"/>
      <c r="BQ27" s="5141"/>
      <c r="BR27" s="5141"/>
      <c r="BS27" s="5141"/>
      <c r="BT27" s="5141"/>
      <c r="BU27" s="5141"/>
      <c r="BV27" s="5141"/>
      <c r="BW27" s="5141"/>
      <c r="BX27" s="5141"/>
      <c r="BY27" s="5141"/>
      <c r="BZ27" s="5141"/>
      <c r="CA27" s="3035"/>
      <c r="CB27" s="3035"/>
      <c r="CC27" s="3035"/>
      <c r="CD27" s="5077"/>
      <c r="CE27" s="3035"/>
      <c r="CF27" s="5077"/>
      <c r="CG27" s="5077"/>
      <c r="CH27" s="5077"/>
      <c r="CI27" s="5077"/>
      <c r="CJ27" s="5077"/>
      <c r="CK27" s="1645"/>
      <c r="CL27" s="3035"/>
      <c r="CM27" s="3035"/>
    </row>
    <row r="28" spans="1:91">
      <c r="A28" s="5144" t="s">
        <v>4129</v>
      </c>
      <c r="B28" s="5145">
        <f t="shared" ref="B28:B36" si="18">SUM(C28:S28)</f>
        <v>0</v>
      </c>
      <c r="C28" s="4570"/>
      <c r="D28" s="4571"/>
      <c r="E28" s="4571"/>
      <c r="F28" s="4571"/>
      <c r="G28" s="4571"/>
      <c r="H28" s="4571"/>
      <c r="I28" s="4571"/>
      <c r="J28" s="4571"/>
      <c r="K28" s="4571"/>
      <c r="L28" s="4571"/>
      <c r="M28" s="4571"/>
      <c r="N28" s="4571"/>
      <c r="O28" s="4571"/>
      <c r="P28" s="4571"/>
      <c r="Q28" s="4571"/>
      <c r="R28" s="4571"/>
      <c r="S28" s="5082"/>
      <c r="T28" s="4570"/>
      <c r="U28" s="4572"/>
      <c r="V28" s="5146"/>
      <c r="W28" s="5147"/>
      <c r="X28" s="4570"/>
      <c r="Y28" s="4595"/>
      <c r="Z28" s="5077" t="str">
        <f t="shared" ref="Z28:Z29" si="19">CA28&amp;CB28&amp;CC28</f>
        <v/>
      </c>
      <c r="AA28" s="5141"/>
      <c r="AB28" s="5141"/>
      <c r="AC28" s="5141"/>
      <c r="AD28" s="5141"/>
      <c r="AE28" s="5141"/>
      <c r="AF28" s="5141"/>
      <c r="AG28" s="5141"/>
      <c r="AH28" s="5141"/>
      <c r="AI28" s="5141"/>
      <c r="AJ28" s="5141"/>
      <c r="AK28" s="5141"/>
      <c r="AL28" s="5141"/>
      <c r="AM28" s="5141"/>
      <c r="AN28" s="5141"/>
      <c r="AO28" s="5141"/>
      <c r="AP28" s="5141"/>
      <c r="AQ28" s="5141"/>
      <c r="AR28" s="5141"/>
      <c r="AS28" s="5141"/>
      <c r="AT28" s="5141"/>
      <c r="AU28" s="5141"/>
      <c r="AV28" s="5141"/>
      <c r="AW28" s="5141"/>
      <c r="AX28" s="5141"/>
      <c r="AY28" s="5141"/>
      <c r="AZ28" s="5141"/>
      <c r="BA28" s="5141"/>
      <c r="BB28" s="5141"/>
      <c r="BC28" s="5141"/>
      <c r="BD28" s="5141"/>
      <c r="BE28" s="5141"/>
      <c r="BF28" s="5141"/>
      <c r="BG28" s="5141"/>
      <c r="BH28" s="5141"/>
      <c r="BI28" s="5141"/>
      <c r="BJ28" s="5141"/>
      <c r="BK28" s="5141"/>
      <c r="BL28" s="5141"/>
      <c r="BM28" s="5141"/>
      <c r="BN28" s="5141"/>
      <c r="BO28" s="5141"/>
      <c r="BP28" s="5141"/>
      <c r="BQ28" s="5141"/>
      <c r="BR28" s="5141"/>
      <c r="BS28" s="5141"/>
      <c r="BT28" s="5141"/>
      <c r="BU28" s="5141"/>
      <c r="BV28" s="5141"/>
      <c r="BW28" s="5141"/>
      <c r="BX28" s="5141"/>
      <c r="BY28" s="5141"/>
      <c r="BZ28" s="5141"/>
      <c r="CA28" s="5088" t="str">
        <f>IF(AND($B28&gt;0,V28=""),"No olvide digitar la variable Pueblos Originarios. Digite cCero si no tiene. ",IF(V28&gt;$B28," * La variable Pueblos Originarios no puede ser mayor al Total. ",""))</f>
        <v/>
      </c>
      <c r="CB28" s="5088" t="str">
        <f>IF(AND($B28&gt;0,W28=""),"No olvide digitar la variable Migrantes. Digite Cero si no tiene. ",IF(W28&gt;$B28," * La variable Migrantes no puede ser mayor al Total. ",""))</f>
        <v/>
      </c>
      <c r="CC28" s="5088" t="str">
        <f>IF((X28+Y28)&lt;&gt;B28," *La sumatoria de las variables Videollamada + Llamada Telefónica debe ser igual al Total.","")</f>
        <v/>
      </c>
      <c r="CD28" s="5077"/>
      <c r="CE28" s="3037"/>
      <c r="CF28" s="5077"/>
      <c r="CG28" s="5077"/>
      <c r="CH28" s="5077"/>
      <c r="CI28" s="5077"/>
      <c r="CJ28" s="5077"/>
      <c r="CK28" s="5089">
        <f t="shared" ref="CK28:CK29" si="20">IF(AND(V28&gt;0,$B28=""),1,IF(V28&gt;$B28,1,0))</f>
        <v>0</v>
      </c>
      <c r="CL28" s="5089">
        <f t="shared" ref="CL28:CL29" si="21">IF(AND(W28&gt;0,$B28=""),1,IF(W28&gt;$B28,1,0))</f>
        <v>0</v>
      </c>
      <c r="CM28" s="5148">
        <f t="shared" ref="CM28:CM29" si="22">IF((X28+Y28)&lt;&gt;B28,1,0)</f>
        <v>0</v>
      </c>
    </row>
    <row r="29" spans="1:91">
      <c r="A29" s="5149" t="s">
        <v>4130</v>
      </c>
      <c r="B29" s="5150">
        <f t="shared" si="18"/>
        <v>0</v>
      </c>
      <c r="C29" s="5151"/>
      <c r="D29" s="5152"/>
      <c r="E29" s="5152"/>
      <c r="F29" s="5152"/>
      <c r="G29" s="5152"/>
      <c r="H29" s="5152"/>
      <c r="I29" s="5152"/>
      <c r="J29" s="5152"/>
      <c r="K29" s="5152"/>
      <c r="L29" s="5152"/>
      <c r="M29" s="5152"/>
      <c r="N29" s="5152"/>
      <c r="O29" s="5152"/>
      <c r="P29" s="5152"/>
      <c r="Q29" s="5152"/>
      <c r="R29" s="5152"/>
      <c r="S29" s="5153"/>
      <c r="T29" s="5151"/>
      <c r="U29" s="5154"/>
      <c r="V29" s="5155"/>
      <c r="W29" s="5156"/>
      <c r="X29" s="5151"/>
      <c r="Y29" s="5157"/>
      <c r="Z29" s="5077" t="str">
        <f t="shared" si="19"/>
        <v/>
      </c>
      <c r="AA29" s="5141"/>
      <c r="AB29" s="5141"/>
      <c r="AC29" s="5141"/>
      <c r="AD29" s="5141"/>
      <c r="AE29" s="5141"/>
      <c r="AF29" s="5141"/>
      <c r="AG29" s="5141"/>
      <c r="AH29" s="5141"/>
      <c r="AI29" s="5141"/>
      <c r="AJ29" s="5141"/>
      <c r="AK29" s="5141"/>
      <c r="AL29" s="5141"/>
      <c r="AM29" s="5141"/>
      <c r="AN29" s="5141"/>
      <c r="AO29" s="5141"/>
      <c r="AP29" s="5141"/>
      <c r="AQ29" s="5141"/>
      <c r="AR29" s="5141"/>
      <c r="AS29" s="5141"/>
      <c r="AT29" s="5141"/>
      <c r="AU29" s="5141"/>
      <c r="AV29" s="5141"/>
      <c r="AW29" s="5141"/>
      <c r="AX29" s="5141"/>
      <c r="AY29" s="5141"/>
      <c r="AZ29" s="5141"/>
      <c r="BA29" s="5141"/>
      <c r="BB29" s="5141"/>
      <c r="BC29" s="5141"/>
      <c r="BD29" s="5141"/>
      <c r="BE29" s="5141"/>
      <c r="BF29" s="5141"/>
      <c r="BG29" s="5141"/>
      <c r="BH29" s="5141"/>
      <c r="BI29" s="5141"/>
      <c r="BJ29" s="5141"/>
      <c r="BK29" s="5141"/>
      <c r="BL29" s="5141"/>
      <c r="BM29" s="5141"/>
      <c r="BN29" s="5141"/>
      <c r="BO29" s="5141"/>
      <c r="BP29" s="5141"/>
      <c r="BQ29" s="5141"/>
      <c r="BR29" s="5141"/>
      <c r="BS29" s="5141"/>
      <c r="BT29" s="5141"/>
      <c r="BU29" s="5141"/>
      <c r="BV29" s="5141"/>
      <c r="BW29" s="5141"/>
      <c r="BX29" s="5141"/>
      <c r="BY29" s="5141"/>
      <c r="BZ29" s="5141"/>
      <c r="CA29" s="5088" t="str">
        <f>IF(AND($B29&gt;0,V29=""),"No olvide digitar pueblos originarios, digite cero si no tiene. ",IF(V29&gt;$B29," * La variable Pueblos originarios no puede ser mayor al Total. ",""))</f>
        <v/>
      </c>
      <c r="CB29" s="5088" t="str">
        <f>IF(AND($B29&gt;0,W29=""),"No olvide digitar Migrantes, digite cero si no tiene. ",IF(W29&gt;$B29," * La variable Migrantes no puede ser mayor al Total. ",""))</f>
        <v/>
      </c>
      <c r="CC29" s="5088" t="str">
        <f>IF((X29+Y29)&lt;&gt;B29," *El desglose de Videollamada + Llamada Telefónica debe ser igual al Total.","")</f>
        <v/>
      </c>
      <c r="CD29" s="5077"/>
      <c r="CE29" s="3037"/>
      <c r="CF29" s="5077"/>
      <c r="CG29" s="5077"/>
      <c r="CH29" s="5077"/>
      <c r="CI29" s="5077"/>
      <c r="CJ29" s="5077"/>
      <c r="CK29" s="5089">
        <f t="shared" si="20"/>
        <v>0</v>
      </c>
      <c r="CL29" s="5089">
        <f t="shared" si="21"/>
        <v>0</v>
      </c>
      <c r="CM29" s="5148">
        <f t="shared" si="22"/>
        <v>0</v>
      </c>
    </row>
    <row r="30" spans="1:91" s="5076" customFormat="1" ht="17.100000000000001" customHeight="1">
      <c r="A30" s="7260" t="s">
        <v>4131</v>
      </c>
      <c r="B30" s="7260"/>
      <c r="C30" s="7260"/>
      <c r="D30" s="7260"/>
      <c r="E30" s="7260"/>
      <c r="F30" s="7260"/>
      <c r="G30" s="7260"/>
      <c r="H30" s="7260"/>
      <c r="I30" s="7260"/>
      <c r="J30" s="7260"/>
      <c r="K30" s="7260"/>
      <c r="L30" s="7260"/>
    </row>
    <row r="31" spans="1:91" s="5076" customFormat="1" ht="17.100000000000001" customHeight="1">
      <c r="A31" s="7244" t="s">
        <v>4132</v>
      </c>
      <c r="B31" s="7244"/>
      <c r="C31" s="7244"/>
      <c r="D31" s="7244"/>
      <c r="E31" s="7244"/>
      <c r="F31" s="7244"/>
      <c r="G31" s="7244"/>
      <c r="H31" s="7244"/>
      <c r="I31" s="7244"/>
      <c r="J31" s="7244"/>
      <c r="K31" s="7244"/>
      <c r="L31" s="7244"/>
    </row>
    <row r="32" spans="1:91" s="5077" customFormat="1" ht="15" customHeight="1">
      <c r="A32" s="6140" t="s">
        <v>4133</v>
      </c>
      <c r="B32" s="7245" t="s">
        <v>91</v>
      </c>
      <c r="C32" s="7269" t="s">
        <v>4134</v>
      </c>
      <c r="D32" s="7270"/>
      <c r="E32" s="7270"/>
      <c r="F32" s="7270"/>
      <c r="G32" s="7270"/>
      <c r="H32" s="7270"/>
      <c r="I32" s="7270"/>
      <c r="J32" s="7270"/>
      <c r="K32" s="7270"/>
      <c r="L32" s="7270"/>
      <c r="M32" s="7270"/>
      <c r="N32" s="7270"/>
      <c r="O32" s="7270"/>
      <c r="P32" s="7270"/>
      <c r="Q32" s="7270"/>
      <c r="R32" s="7270"/>
      <c r="S32" s="7270"/>
      <c r="T32" s="7270"/>
      <c r="U32" s="7271"/>
      <c r="V32" s="7080" t="s">
        <v>4135</v>
      </c>
      <c r="W32" s="7255"/>
      <c r="X32" s="6140" t="s">
        <v>4136</v>
      </c>
      <c r="Y32" s="6119"/>
      <c r="Z32" s="5710" t="s">
        <v>4137</v>
      </c>
      <c r="AA32" s="6106"/>
      <c r="AB32" s="6106"/>
      <c r="AC32" s="6106"/>
      <c r="AD32" s="6106"/>
      <c r="AE32" s="6106"/>
      <c r="AF32" s="6106"/>
      <c r="AG32" s="6106"/>
      <c r="AH32" s="6106"/>
      <c r="AI32" s="6301"/>
      <c r="AJ32" s="6139" t="s">
        <v>4138</v>
      </c>
      <c r="AK32" s="6139"/>
      <c r="AL32" s="6119"/>
      <c r="AM32" s="5718" t="s">
        <v>4139</v>
      </c>
      <c r="AN32" s="6119" t="s">
        <v>4140</v>
      </c>
      <c r="AO32" s="6140" t="s">
        <v>50</v>
      </c>
      <c r="AP32" s="5718" t="s">
        <v>51</v>
      </c>
      <c r="AQ32" s="6119" t="s">
        <v>4141</v>
      </c>
      <c r="AR32" s="6049" t="s">
        <v>514</v>
      </c>
      <c r="AS32" s="6494" t="s">
        <v>49</v>
      </c>
    </row>
    <row r="33" spans="1:96" s="5077" customFormat="1" ht="15" customHeight="1">
      <c r="A33" s="6141"/>
      <c r="B33" s="7268"/>
      <c r="C33" s="7087" t="s">
        <v>43</v>
      </c>
      <c r="D33" s="7088"/>
      <c r="E33" s="7088"/>
      <c r="F33" s="7088"/>
      <c r="G33" s="7088"/>
      <c r="H33" s="7088"/>
      <c r="I33" s="7088"/>
      <c r="J33" s="7088"/>
      <c r="K33" s="7088"/>
      <c r="L33" s="7088"/>
      <c r="M33" s="7088"/>
      <c r="N33" s="7088"/>
      <c r="O33" s="7088"/>
      <c r="P33" s="7088"/>
      <c r="Q33" s="7088"/>
      <c r="R33" s="7088"/>
      <c r="S33" s="7254"/>
      <c r="T33" s="7275" t="s">
        <v>2422</v>
      </c>
      <c r="U33" s="7276"/>
      <c r="V33" s="7256"/>
      <c r="W33" s="7257"/>
      <c r="X33" s="6114"/>
      <c r="Y33" s="6116"/>
      <c r="Z33" s="5707" t="s">
        <v>3670</v>
      </c>
      <c r="AA33" s="5708"/>
      <c r="AB33" s="5708"/>
      <c r="AC33" s="5708"/>
      <c r="AD33" s="5709"/>
      <c r="AE33" s="5707" t="s">
        <v>4142</v>
      </c>
      <c r="AF33" s="5708"/>
      <c r="AG33" s="5708"/>
      <c r="AH33" s="5708"/>
      <c r="AI33" s="6576"/>
      <c r="AJ33" s="6166"/>
      <c r="AK33" s="6166"/>
      <c r="AL33" s="6120"/>
      <c r="AM33" s="6110"/>
      <c r="AN33" s="6120"/>
      <c r="AO33" s="6141"/>
      <c r="AP33" s="6110"/>
      <c r="AQ33" s="6120"/>
      <c r="AR33" s="6049"/>
      <c r="AS33" s="6494"/>
    </row>
    <row r="34" spans="1:96" s="5077" customFormat="1" ht="74.25" customHeight="1">
      <c r="A34" s="6114"/>
      <c r="B34" s="7246"/>
      <c r="C34" s="1395" t="s">
        <v>364</v>
      </c>
      <c r="D34" s="1646" t="s">
        <v>347</v>
      </c>
      <c r="E34" s="1396" t="s">
        <v>57</v>
      </c>
      <c r="F34" s="1646" t="s">
        <v>58</v>
      </c>
      <c r="G34" s="1397" t="s">
        <v>59</v>
      </c>
      <c r="H34" s="1397" t="s">
        <v>60</v>
      </c>
      <c r="I34" s="1397" t="s">
        <v>61</v>
      </c>
      <c r="J34" s="1397" t="s">
        <v>62</v>
      </c>
      <c r="K34" s="1397" t="s">
        <v>63</v>
      </c>
      <c r="L34" s="1397" t="s">
        <v>64</v>
      </c>
      <c r="M34" s="1397" t="s">
        <v>65</v>
      </c>
      <c r="N34" s="1397" t="s">
        <v>66</v>
      </c>
      <c r="O34" s="1397" t="s">
        <v>67</v>
      </c>
      <c r="P34" s="1397" t="s">
        <v>68</v>
      </c>
      <c r="Q34" s="1397" t="s">
        <v>69</v>
      </c>
      <c r="R34" s="1397" t="s">
        <v>70</v>
      </c>
      <c r="S34" s="398" t="s">
        <v>71</v>
      </c>
      <c r="T34" s="4511" t="s">
        <v>72</v>
      </c>
      <c r="U34" s="4512" t="s">
        <v>73</v>
      </c>
      <c r="V34" s="1395" t="s">
        <v>4143</v>
      </c>
      <c r="W34" s="393" t="s">
        <v>1315</v>
      </c>
      <c r="X34" s="1395" t="s">
        <v>4144</v>
      </c>
      <c r="Y34" s="1584" t="s">
        <v>4145</v>
      </c>
      <c r="Z34" s="388" t="s">
        <v>91</v>
      </c>
      <c r="AA34" s="396" t="s">
        <v>1036</v>
      </c>
      <c r="AB34" s="1646" t="s">
        <v>1377</v>
      </c>
      <c r="AC34" s="1646" t="s">
        <v>576</v>
      </c>
      <c r="AD34" s="393" t="s">
        <v>2166</v>
      </c>
      <c r="AE34" s="4983" t="s">
        <v>947</v>
      </c>
      <c r="AF34" s="396" t="s">
        <v>1036</v>
      </c>
      <c r="AG34" s="1646" t="s">
        <v>1377</v>
      </c>
      <c r="AH34" s="1646" t="s">
        <v>576</v>
      </c>
      <c r="AI34" s="393" t="s">
        <v>2166</v>
      </c>
      <c r="AJ34" s="5158" t="s">
        <v>4146</v>
      </c>
      <c r="AK34" s="5159" t="s">
        <v>4147</v>
      </c>
      <c r="AL34" s="5160" t="s">
        <v>4148</v>
      </c>
      <c r="AM34" s="5719"/>
      <c r="AN34" s="6116"/>
      <c r="AO34" s="6114"/>
      <c r="AP34" s="5719"/>
      <c r="AQ34" s="6116"/>
      <c r="AR34" s="6049"/>
      <c r="AS34" s="6494"/>
    </row>
    <row r="35" spans="1:96" s="5077" customFormat="1" ht="15" customHeight="1">
      <c r="A35" s="4045" t="s">
        <v>1239</v>
      </c>
      <c r="B35" s="5081">
        <f t="shared" si="18"/>
        <v>0</v>
      </c>
      <c r="C35" s="4570"/>
      <c r="D35" s="4571"/>
      <c r="E35" s="4571"/>
      <c r="F35" s="4571"/>
      <c r="G35" s="5161"/>
      <c r="H35" s="5161"/>
      <c r="I35" s="5161"/>
      <c r="J35" s="5161"/>
      <c r="K35" s="5161"/>
      <c r="L35" s="5161"/>
      <c r="M35" s="5161"/>
      <c r="N35" s="5161"/>
      <c r="O35" s="5161"/>
      <c r="P35" s="5161"/>
      <c r="Q35" s="5161"/>
      <c r="R35" s="5161"/>
      <c r="S35" s="5162"/>
      <c r="T35" s="4570"/>
      <c r="U35" s="5082"/>
      <c r="V35" s="4570"/>
      <c r="W35" s="5082"/>
      <c r="X35" s="4570"/>
      <c r="Y35" s="5082"/>
      <c r="Z35" s="3970">
        <f t="shared" ref="Z35:Z89" si="23">SUM(AA35+AB35+AC35+AD35)</f>
        <v>0</v>
      </c>
      <c r="AA35" s="4570"/>
      <c r="AB35" s="4571"/>
      <c r="AC35" s="4571"/>
      <c r="AD35" s="5082"/>
      <c r="AE35" s="3970">
        <f t="shared" ref="AE35:AE89" si="24">SUM(AF35+AG35+AH35+AI35)</f>
        <v>0</v>
      </c>
      <c r="AF35" s="4570"/>
      <c r="AG35" s="4571"/>
      <c r="AH35" s="4571"/>
      <c r="AI35" s="4597"/>
      <c r="AJ35" s="5163"/>
      <c r="AK35" s="5164"/>
      <c r="AL35" s="5165"/>
      <c r="AM35" s="4601"/>
      <c r="AN35" s="4601"/>
      <c r="AO35" s="5093"/>
      <c r="AP35" s="4599"/>
      <c r="AQ35" s="4601"/>
      <c r="AR35" s="5085"/>
      <c r="AS35" s="5086"/>
      <c r="AT35" s="5077" t="str">
        <f>CA35&amp;CB35&amp;CC35&amp;CD35&amp;CE35&amp;CF35&amp;CG35&amp;CH35</f>
        <v/>
      </c>
      <c r="CA35" s="5088" t="str">
        <f t="shared" ref="CA35:CA89" si="25">IF((T35+U35)&lt;&gt;B35,"* El número de "&amp;C$32&amp;" según Sexo debe ser igual al Total.","")</f>
        <v/>
      </c>
      <c r="CB35" s="5088" t="str">
        <f t="shared" ref="CB35:CB89" si="26">IF((AE35+Z35)&gt;B35," * El Total de "&amp;Z$32&amp;" no debe ser mayor que el Total","")</f>
        <v/>
      </c>
      <c r="CC35" s="5088" t="str">
        <f t="shared" ref="CC35:CC89" si="27">IF(AND(B35&gt;0,AO35="")," * No olvide digitar la variable Pueblos Originarios. Digite Cero si no tiene.",IF(AO35&gt;B35," * La variable Pueblos Originarios no puede ser mayor al Total.",""))</f>
        <v/>
      </c>
      <c r="CD35" s="5088" t="str">
        <f t="shared" ref="CD35:CD89" si="28">IF(AND(B35&gt;0,AP35="")," * No olvide digitar la variable Migrantes. Digite cero si no tiene.",IF(AP35&gt;B35," * La variable Migrantes no puede ser mayor al Total.",""))</f>
        <v/>
      </c>
      <c r="CE35" s="5088" t="str">
        <f t="shared" ref="CE35:CE89" si="29">IF(AND($B35&gt;0,AQ35="")," * No olvide digitar la variable Teleconsulta de especialidad resueltas por Médicos Generales. Digite cero si no tiene.",IF(AQ35&gt;$B35," * La variable Teleconsulta de especialidad resueltas por Médicos Generales no puede ser mayor al Total.",""))</f>
        <v/>
      </c>
      <c r="CF35" s="5088" t="str">
        <f t="shared" ref="CF35:CF89" si="30">IF(AND($B35&gt;0,AR35="")," * No olvide digitar la variable "&amp;AR32&amp;". Digite cero si no tiene.",IF(AR35&gt;$B35," * La variable "&amp;AR32&amp;" no puede ser mayor al Total.",""))</f>
        <v/>
      </c>
      <c r="CG35" s="5088" t="str">
        <f t="shared" ref="CG35:CG89" si="31">IF(AND($B35&gt;0,AS35="")," * No olvide digitar la variable "&amp;AS$32&amp;". Digite cero si no tiene.",IF(AS35&gt;$B35," * La variable "&amp;AS$32&amp;" no puede ser mayor al Total.",""))</f>
        <v/>
      </c>
      <c r="CH35" s="5088" t="str">
        <f t="shared" ref="CH35:CH89" si="32">IF(AND(B35&gt;0,AJ35="",AK35="",AL35=""),"*No olvide digitar datos en "&amp;AJ$32,
IF(AJ35+AK35+AL35&gt;B35,"*El Total de "&amp;AJ$32&amp;" no puede ser mayor que el Total Ambos Sexos.",
IF(AJ35+AK35+AL35&lt;B35,"*El Total de "&amp;AJ$32&amp;" no debe ser menor que el Total Ambos Sexos.","")))</f>
        <v/>
      </c>
      <c r="CK35" s="5089">
        <f t="shared" ref="CK35:CK89" si="33">IF((T35+U35)&lt;&gt;B35,1,0)</f>
        <v>0</v>
      </c>
      <c r="CL35" s="5089">
        <f t="shared" ref="CL35:CL89" si="34">IF((AE35+Z35)&gt;B35,1,0)</f>
        <v>0</v>
      </c>
      <c r="CM35" s="5089">
        <f t="shared" ref="CM35:CM89" si="35">IF(AND(B35&gt;0,AO35=""),1,IF(AO35&gt;B35,1,0))</f>
        <v>0</v>
      </c>
      <c r="CN35" s="5089">
        <f>IF(AND($B35&gt;0,AP35=""),1,IF(AP35&gt;$B35,1,0))</f>
        <v>0</v>
      </c>
      <c r="CO35" s="5089">
        <f t="shared" ref="CO35:CQ89" si="36">IF(AND($B35&gt;0,AQ35=""),1,IF(AQ35&gt;$B35,1,0))</f>
        <v>0</v>
      </c>
      <c r="CP35" s="5089">
        <f>IF(AND($B35&gt;0,AR35=""),1,IF(AR35&gt;$B35,1,0))</f>
        <v>0</v>
      </c>
      <c r="CQ35" s="5089">
        <f>IF(AND($B35&gt;0,AS35=""),1,IF(AS35&gt;$B35,1,0))</f>
        <v>0</v>
      </c>
      <c r="CR35" s="5089">
        <f>IF(OR(AND(B35&gt;0,AJ35="",AK35="",AL35=""),AJ35+AK35+AL35&gt;B35,AJ35+AK35+AL35&lt;B35),1,0)</f>
        <v>0</v>
      </c>
    </row>
    <row r="36" spans="1:96" s="5077" customFormat="1" ht="15" customHeight="1">
      <c r="A36" s="3970" t="s">
        <v>3840</v>
      </c>
      <c r="B36" s="5081">
        <f t="shared" si="18"/>
        <v>0</v>
      </c>
      <c r="C36" s="4575"/>
      <c r="D36" s="4576"/>
      <c r="E36" s="4576"/>
      <c r="F36" s="4576"/>
      <c r="G36" s="4576"/>
      <c r="H36" s="4576"/>
      <c r="I36" s="4576"/>
      <c r="J36" s="4576"/>
      <c r="K36" s="4576"/>
      <c r="L36" s="4576"/>
      <c r="M36" s="4576"/>
      <c r="N36" s="4576"/>
      <c r="O36" s="4576"/>
      <c r="P36" s="4576"/>
      <c r="Q36" s="4576"/>
      <c r="R36" s="4576"/>
      <c r="S36" s="5090"/>
      <c r="T36" s="5166"/>
      <c r="U36" s="5096"/>
      <c r="V36" s="5166"/>
      <c r="W36" s="5096"/>
      <c r="X36" s="5166"/>
      <c r="Y36" s="5096"/>
      <c r="Z36" s="3970">
        <f t="shared" si="23"/>
        <v>0</v>
      </c>
      <c r="AA36" s="5166"/>
      <c r="AB36" s="5167"/>
      <c r="AC36" s="5167"/>
      <c r="AD36" s="5096"/>
      <c r="AE36" s="3970">
        <f t="shared" si="24"/>
        <v>0</v>
      </c>
      <c r="AF36" s="5166"/>
      <c r="AG36" s="5167"/>
      <c r="AH36" s="5167"/>
      <c r="AI36" s="5168"/>
      <c r="AJ36" s="5163"/>
      <c r="AK36" s="5164"/>
      <c r="AL36" s="5165"/>
      <c r="AM36" s="4601"/>
      <c r="AN36" s="4601"/>
      <c r="AO36" s="5093"/>
      <c r="AP36" s="4599"/>
      <c r="AQ36" s="4601"/>
      <c r="AR36" s="5093"/>
      <c r="AS36" s="4599"/>
      <c r="AT36" s="5077" t="str">
        <f t="shared" ref="AT36:AT89" si="37">CA36&amp;CB36&amp;CC36&amp;CD36&amp;CE36&amp;CF36&amp;CG36</f>
        <v/>
      </c>
      <c r="CA36" s="5088" t="str">
        <f t="shared" si="25"/>
        <v/>
      </c>
      <c r="CB36" s="5088" t="str">
        <f t="shared" si="26"/>
        <v/>
      </c>
      <c r="CC36" s="5088" t="str">
        <f t="shared" si="27"/>
        <v/>
      </c>
      <c r="CD36" s="5088" t="str">
        <f t="shared" si="28"/>
        <v/>
      </c>
      <c r="CE36" s="5088" t="str">
        <f t="shared" si="29"/>
        <v/>
      </c>
      <c r="CF36" s="5088" t="str">
        <f t="shared" si="30"/>
        <v/>
      </c>
      <c r="CG36" s="5088" t="str">
        <f t="shared" si="31"/>
        <v/>
      </c>
      <c r="CH36" s="5088" t="str">
        <f t="shared" si="32"/>
        <v/>
      </c>
      <c r="CK36" s="5089">
        <f t="shared" si="33"/>
        <v>0</v>
      </c>
      <c r="CL36" s="5089">
        <f t="shared" si="34"/>
        <v>0</v>
      </c>
      <c r="CM36" s="5089">
        <f t="shared" si="35"/>
        <v>0</v>
      </c>
      <c r="CN36" s="5089">
        <f t="shared" ref="CN36:CN89" si="38">IF(AND(B36&gt;0,AP36=""),1,IF(AP36&gt;B36,1,0))</f>
        <v>0</v>
      </c>
      <c r="CO36" s="5089">
        <f t="shared" si="36"/>
        <v>0</v>
      </c>
      <c r="CP36" s="5089">
        <f t="shared" si="36"/>
        <v>0</v>
      </c>
      <c r="CQ36" s="5089">
        <f t="shared" si="36"/>
        <v>0</v>
      </c>
      <c r="CR36" s="5089">
        <f t="shared" ref="CR36:CR89" si="39">IF(OR(AND(B36&gt;0,AJ36="",AJ36=""),AK36+AJ36+AL36&gt;B36,AK36+AJ36+AL36&lt;B36),1,0)</f>
        <v>0</v>
      </c>
    </row>
    <row r="37" spans="1:96" s="5077" customFormat="1" ht="15" customHeight="1">
      <c r="A37" s="3970" t="s">
        <v>1241</v>
      </c>
      <c r="B37" s="5081">
        <f>SUM(C37:D37)</f>
        <v>0</v>
      </c>
      <c r="C37" s="4575"/>
      <c r="D37" s="4576"/>
      <c r="E37" s="5169"/>
      <c r="F37" s="5169"/>
      <c r="G37" s="5169"/>
      <c r="H37" s="5169"/>
      <c r="I37" s="5169"/>
      <c r="J37" s="5169"/>
      <c r="K37" s="5169"/>
      <c r="L37" s="5169"/>
      <c r="M37" s="5169"/>
      <c r="N37" s="5169"/>
      <c r="O37" s="5169"/>
      <c r="P37" s="5169"/>
      <c r="Q37" s="5169"/>
      <c r="R37" s="5169"/>
      <c r="S37" s="5170"/>
      <c r="T37" s="5166"/>
      <c r="U37" s="5096"/>
      <c r="V37" s="5166"/>
      <c r="W37" s="5096"/>
      <c r="X37" s="5166"/>
      <c r="Y37" s="5096"/>
      <c r="Z37" s="3970">
        <f t="shared" si="23"/>
        <v>0</v>
      </c>
      <c r="AA37" s="5166"/>
      <c r="AB37" s="5167"/>
      <c r="AC37" s="5167"/>
      <c r="AD37" s="5096"/>
      <c r="AE37" s="3970">
        <f t="shared" si="24"/>
        <v>0</v>
      </c>
      <c r="AF37" s="5166"/>
      <c r="AG37" s="5167"/>
      <c r="AH37" s="5167"/>
      <c r="AI37" s="5168"/>
      <c r="AJ37" s="5163"/>
      <c r="AK37" s="5164"/>
      <c r="AL37" s="5165"/>
      <c r="AM37" s="4601"/>
      <c r="AN37" s="4601"/>
      <c r="AO37" s="5093"/>
      <c r="AP37" s="4599"/>
      <c r="AQ37" s="4601"/>
      <c r="AR37" s="5093"/>
      <c r="AS37" s="4599"/>
      <c r="AT37" s="5077" t="str">
        <f t="shared" si="37"/>
        <v/>
      </c>
      <c r="CA37" s="5088" t="str">
        <f t="shared" si="25"/>
        <v/>
      </c>
      <c r="CB37" s="5088" t="str">
        <f t="shared" si="26"/>
        <v/>
      </c>
      <c r="CC37" s="5088" t="str">
        <f t="shared" si="27"/>
        <v/>
      </c>
      <c r="CD37" s="5088" t="str">
        <f t="shared" si="28"/>
        <v/>
      </c>
      <c r="CE37" s="5088" t="str">
        <f t="shared" si="29"/>
        <v/>
      </c>
      <c r="CF37" s="5088" t="str">
        <f t="shared" si="30"/>
        <v/>
      </c>
      <c r="CG37" s="5088" t="str">
        <f t="shared" si="31"/>
        <v/>
      </c>
      <c r="CH37" s="5088" t="str">
        <f t="shared" si="32"/>
        <v/>
      </c>
      <c r="CK37" s="5089">
        <f t="shared" si="33"/>
        <v>0</v>
      </c>
      <c r="CL37" s="5089">
        <f t="shared" si="34"/>
        <v>0</v>
      </c>
      <c r="CM37" s="5089">
        <f t="shared" si="35"/>
        <v>0</v>
      </c>
      <c r="CN37" s="5089">
        <f t="shared" si="38"/>
        <v>0</v>
      </c>
      <c r="CO37" s="5089">
        <f t="shared" si="36"/>
        <v>0</v>
      </c>
      <c r="CP37" s="5089">
        <f t="shared" si="36"/>
        <v>0</v>
      </c>
      <c r="CQ37" s="5089">
        <f t="shared" si="36"/>
        <v>0</v>
      </c>
      <c r="CR37" s="5089">
        <f t="shared" si="39"/>
        <v>0</v>
      </c>
    </row>
    <row r="38" spans="1:96" s="5077" customFormat="1" ht="15" customHeight="1">
      <c r="A38" s="3970" t="s">
        <v>4149</v>
      </c>
      <c r="B38" s="5081">
        <f t="shared" ref="B38:B90" si="40">SUM(C38:S38)</f>
        <v>0</v>
      </c>
      <c r="C38" s="4575"/>
      <c r="D38" s="4576"/>
      <c r="E38" s="4576"/>
      <c r="F38" s="4576"/>
      <c r="G38" s="4576"/>
      <c r="H38" s="4576"/>
      <c r="I38" s="4576"/>
      <c r="J38" s="4576"/>
      <c r="K38" s="4576"/>
      <c r="L38" s="4576"/>
      <c r="M38" s="4576"/>
      <c r="N38" s="4576"/>
      <c r="O38" s="4576"/>
      <c r="P38" s="4576"/>
      <c r="Q38" s="4576"/>
      <c r="R38" s="4576"/>
      <c r="S38" s="5090"/>
      <c r="T38" s="5166"/>
      <c r="U38" s="5096"/>
      <c r="V38" s="5166"/>
      <c r="W38" s="5096"/>
      <c r="X38" s="5166"/>
      <c r="Y38" s="5096"/>
      <c r="Z38" s="3970">
        <f t="shared" si="23"/>
        <v>0</v>
      </c>
      <c r="AA38" s="5166"/>
      <c r="AB38" s="5167"/>
      <c r="AC38" s="5167"/>
      <c r="AD38" s="5096"/>
      <c r="AE38" s="3970">
        <f t="shared" si="24"/>
        <v>0</v>
      </c>
      <c r="AF38" s="5166"/>
      <c r="AG38" s="5167"/>
      <c r="AH38" s="5167"/>
      <c r="AI38" s="5168"/>
      <c r="AJ38" s="5163"/>
      <c r="AK38" s="5164"/>
      <c r="AL38" s="5165"/>
      <c r="AM38" s="4601"/>
      <c r="AN38" s="4601"/>
      <c r="AO38" s="5093"/>
      <c r="AP38" s="4599"/>
      <c r="AQ38" s="4601"/>
      <c r="AR38" s="5093"/>
      <c r="AS38" s="4599"/>
      <c r="AT38" s="5077" t="str">
        <f t="shared" si="37"/>
        <v/>
      </c>
      <c r="CA38" s="5088" t="str">
        <f t="shared" si="25"/>
        <v/>
      </c>
      <c r="CB38" s="5088" t="str">
        <f t="shared" si="26"/>
        <v/>
      </c>
      <c r="CC38" s="5088" t="str">
        <f t="shared" si="27"/>
        <v/>
      </c>
      <c r="CD38" s="5088" t="str">
        <f t="shared" si="28"/>
        <v/>
      </c>
      <c r="CE38" s="5088" t="str">
        <f t="shared" si="29"/>
        <v/>
      </c>
      <c r="CF38" s="5088" t="str">
        <f t="shared" si="30"/>
        <v/>
      </c>
      <c r="CG38" s="5088" t="str">
        <f t="shared" si="31"/>
        <v/>
      </c>
      <c r="CH38" s="5088" t="str">
        <f t="shared" si="32"/>
        <v/>
      </c>
      <c r="CK38" s="5089">
        <f t="shared" si="33"/>
        <v>0</v>
      </c>
      <c r="CL38" s="5089">
        <f t="shared" si="34"/>
        <v>0</v>
      </c>
      <c r="CM38" s="5089">
        <f t="shared" si="35"/>
        <v>0</v>
      </c>
      <c r="CN38" s="5089">
        <f t="shared" si="38"/>
        <v>0</v>
      </c>
      <c r="CO38" s="5089">
        <f t="shared" si="36"/>
        <v>0</v>
      </c>
      <c r="CP38" s="5089">
        <f t="shared" si="36"/>
        <v>0</v>
      </c>
      <c r="CQ38" s="5089">
        <f t="shared" si="36"/>
        <v>0</v>
      </c>
      <c r="CR38" s="5089">
        <f t="shared" si="39"/>
        <v>0</v>
      </c>
    </row>
    <row r="39" spans="1:96" s="5077" customFormat="1" ht="15" customHeight="1">
      <c r="A39" s="3970" t="s">
        <v>4150</v>
      </c>
      <c r="B39" s="5081">
        <f t="shared" si="40"/>
        <v>0</v>
      </c>
      <c r="C39" s="4575"/>
      <c r="D39" s="4576"/>
      <c r="E39" s="4576"/>
      <c r="F39" s="4576"/>
      <c r="G39" s="4576"/>
      <c r="H39" s="4576"/>
      <c r="I39" s="4576"/>
      <c r="J39" s="4576"/>
      <c r="K39" s="4576"/>
      <c r="L39" s="4576"/>
      <c r="M39" s="4576"/>
      <c r="N39" s="4576"/>
      <c r="O39" s="4576"/>
      <c r="P39" s="4576"/>
      <c r="Q39" s="4576"/>
      <c r="R39" s="4576"/>
      <c r="S39" s="5090"/>
      <c r="T39" s="5166"/>
      <c r="U39" s="5096"/>
      <c r="V39" s="5166"/>
      <c r="W39" s="5096"/>
      <c r="X39" s="5166"/>
      <c r="Y39" s="5096"/>
      <c r="Z39" s="3970">
        <f t="shared" si="23"/>
        <v>0</v>
      </c>
      <c r="AA39" s="5166"/>
      <c r="AB39" s="5167"/>
      <c r="AC39" s="5167"/>
      <c r="AD39" s="5096"/>
      <c r="AE39" s="3970">
        <f t="shared" si="24"/>
        <v>0</v>
      </c>
      <c r="AF39" s="5166"/>
      <c r="AG39" s="5167"/>
      <c r="AH39" s="5167"/>
      <c r="AI39" s="5168"/>
      <c r="AJ39" s="5163"/>
      <c r="AK39" s="5164"/>
      <c r="AL39" s="5165"/>
      <c r="AM39" s="4601"/>
      <c r="AN39" s="4601"/>
      <c r="AO39" s="5093"/>
      <c r="AP39" s="4599"/>
      <c r="AQ39" s="4601"/>
      <c r="AR39" s="5093"/>
      <c r="AS39" s="4599"/>
      <c r="AT39" s="5077" t="str">
        <f t="shared" si="37"/>
        <v/>
      </c>
      <c r="CA39" s="5088" t="str">
        <f t="shared" si="25"/>
        <v/>
      </c>
      <c r="CB39" s="5088" t="str">
        <f t="shared" si="26"/>
        <v/>
      </c>
      <c r="CC39" s="5088" t="str">
        <f t="shared" si="27"/>
        <v/>
      </c>
      <c r="CD39" s="5088" t="str">
        <f t="shared" si="28"/>
        <v/>
      </c>
      <c r="CE39" s="5088" t="str">
        <f t="shared" si="29"/>
        <v/>
      </c>
      <c r="CF39" s="5088" t="str">
        <f t="shared" si="30"/>
        <v/>
      </c>
      <c r="CG39" s="5088" t="str">
        <f t="shared" si="31"/>
        <v/>
      </c>
      <c r="CH39" s="5088" t="str">
        <f t="shared" si="32"/>
        <v/>
      </c>
      <c r="CK39" s="5089">
        <f t="shared" si="33"/>
        <v>0</v>
      </c>
      <c r="CL39" s="5089">
        <f t="shared" si="34"/>
        <v>0</v>
      </c>
      <c r="CM39" s="5089">
        <f t="shared" si="35"/>
        <v>0</v>
      </c>
      <c r="CN39" s="5089">
        <f t="shared" si="38"/>
        <v>0</v>
      </c>
      <c r="CO39" s="5089">
        <f t="shared" si="36"/>
        <v>0</v>
      </c>
      <c r="CP39" s="5089">
        <f t="shared" si="36"/>
        <v>0</v>
      </c>
      <c r="CQ39" s="5089">
        <f t="shared" si="36"/>
        <v>0</v>
      </c>
      <c r="CR39" s="5089">
        <f t="shared" si="39"/>
        <v>0</v>
      </c>
    </row>
    <row r="40" spans="1:96" s="5077" customFormat="1" ht="15" customHeight="1">
      <c r="A40" s="1947" t="s">
        <v>1244</v>
      </c>
      <c r="B40" s="5081">
        <f t="shared" si="40"/>
        <v>0</v>
      </c>
      <c r="C40" s="4575"/>
      <c r="D40" s="4576"/>
      <c r="E40" s="4576"/>
      <c r="F40" s="4576"/>
      <c r="G40" s="4576"/>
      <c r="H40" s="4576"/>
      <c r="I40" s="4576"/>
      <c r="J40" s="4576"/>
      <c r="K40" s="4576"/>
      <c r="L40" s="4576"/>
      <c r="M40" s="4576"/>
      <c r="N40" s="4576"/>
      <c r="O40" s="4576"/>
      <c r="P40" s="4576"/>
      <c r="Q40" s="4576"/>
      <c r="R40" s="4576"/>
      <c r="S40" s="5090"/>
      <c r="T40" s="5166"/>
      <c r="U40" s="5096"/>
      <c r="V40" s="5166"/>
      <c r="W40" s="5096"/>
      <c r="X40" s="5166"/>
      <c r="Y40" s="5096"/>
      <c r="Z40" s="3970">
        <f t="shared" si="23"/>
        <v>0</v>
      </c>
      <c r="AA40" s="5166"/>
      <c r="AB40" s="5167"/>
      <c r="AC40" s="5167"/>
      <c r="AD40" s="5096"/>
      <c r="AE40" s="3970">
        <f t="shared" si="24"/>
        <v>0</v>
      </c>
      <c r="AF40" s="5166"/>
      <c r="AG40" s="5167"/>
      <c r="AH40" s="5167"/>
      <c r="AI40" s="5168"/>
      <c r="AJ40" s="5163"/>
      <c r="AK40" s="5164"/>
      <c r="AL40" s="5165"/>
      <c r="AM40" s="4601"/>
      <c r="AN40" s="4601"/>
      <c r="AO40" s="5093"/>
      <c r="AP40" s="4599"/>
      <c r="AQ40" s="4601"/>
      <c r="AR40" s="5093"/>
      <c r="AS40" s="4599"/>
      <c r="AT40" s="5077" t="str">
        <f t="shared" si="37"/>
        <v/>
      </c>
      <c r="CA40" s="5088" t="str">
        <f t="shared" si="25"/>
        <v/>
      </c>
      <c r="CB40" s="5088" t="str">
        <f t="shared" si="26"/>
        <v/>
      </c>
      <c r="CC40" s="5088" t="str">
        <f t="shared" si="27"/>
        <v/>
      </c>
      <c r="CD40" s="5088" t="str">
        <f t="shared" si="28"/>
        <v/>
      </c>
      <c r="CE40" s="5088" t="str">
        <f t="shared" si="29"/>
        <v/>
      </c>
      <c r="CF40" s="5088" t="str">
        <f t="shared" si="30"/>
        <v/>
      </c>
      <c r="CG40" s="5088" t="str">
        <f t="shared" si="31"/>
        <v/>
      </c>
      <c r="CH40" s="5088" t="str">
        <f t="shared" si="32"/>
        <v/>
      </c>
      <c r="CK40" s="5089">
        <f t="shared" si="33"/>
        <v>0</v>
      </c>
      <c r="CL40" s="5089">
        <f t="shared" si="34"/>
        <v>0</v>
      </c>
      <c r="CM40" s="5089">
        <f t="shared" si="35"/>
        <v>0</v>
      </c>
      <c r="CN40" s="5089">
        <f t="shared" si="38"/>
        <v>0</v>
      </c>
      <c r="CO40" s="5089">
        <f t="shared" si="36"/>
        <v>0</v>
      </c>
      <c r="CP40" s="5089">
        <f t="shared" si="36"/>
        <v>0</v>
      </c>
      <c r="CQ40" s="5089">
        <f t="shared" si="36"/>
        <v>0</v>
      </c>
      <c r="CR40" s="5089">
        <f t="shared" si="39"/>
        <v>0</v>
      </c>
    </row>
    <row r="41" spans="1:96" s="5077" customFormat="1" ht="15" customHeight="1">
      <c r="A41" s="2329" t="s">
        <v>1245</v>
      </c>
      <c r="B41" s="5081">
        <f t="shared" si="40"/>
        <v>0</v>
      </c>
      <c r="C41" s="4575"/>
      <c r="D41" s="4576"/>
      <c r="E41" s="4576"/>
      <c r="F41" s="4576"/>
      <c r="G41" s="4576"/>
      <c r="H41" s="4576"/>
      <c r="I41" s="4576"/>
      <c r="J41" s="4576"/>
      <c r="K41" s="4576"/>
      <c r="L41" s="4576"/>
      <c r="M41" s="4576"/>
      <c r="N41" s="4576"/>
      <c r="O41" s="4576"/>
      <c r="P41" s="4576"/>
      <c r="Q41" s="4576"/>
      <c r="R41" s="4576"/>
      <c r="S41" s="5090"/>
      <c r="T41" s="5166"/>
      <c r="U41" s="5096"/>
      <c r="V41" s="5166"/>
      <c r="W41" s="5096"/>
      <c r="X41" s="5166"/>
      <c r="Y41" s="5096"/>
      <c r="Z41" s="3970">
        <f t="shared" si="23"/>
        <v>0</v>
      </c>
      <c r="AA41" s="5166"/>
      <c r="AB41" s="5167"/>
      <c r="AC41" s="5167"/>
      <c r="AD41" s="5096"/>
      <c r="AE41" s="3970">
        <f t="shared" si="24"/>
        <v>0</v>
      </c>
      <c r="AF41" s="5166"/>
      <c r="AG41" s="5167"/>
      <c r="AH41" s="5167"/>
      <c r="AI41" s="5168"/>
      <c r="AJ41" s="5163"/>
      <c r="AK41" s="5164"/>
      <c r="AL41" s="5165"/>
      <c r="AM41" s="4601"/>
      <c r="AN41" s="4601"/>
      <c r="AO41" s="5093"/>
      <c r="AP41" s="4599"/>
      <c r="AQ41" s="4601"/>
      <c r="AR41" s="5093"/>
      <c r="AS41" s="4599"/>
      <c r="AT41" s="5077" t="str">
        <f t="shared" si="37"/>
        <v/>
      </c>
      <c r="CA41" s="5088" t="str">
        <f t="shared" si="25"/>
        <v/>
      </c>
      <c r="CB41" s="5088" t="str">
        <f t="shared" si="26"/>
        <v/>
      </c>
      <c r="CC41" s="5088" t="str">
        <f t="shared" si="27"/>
        <v/>
      </c>
      <c r="CD41" s="5088" t="str">
        <f t="shared" si="28"/>
        <v/>
      </c>
      <c r="CE41" s="5088" t="str">
        <f t="shared" si="29"/>
        <v/>
      </c>
      <c r="CF41" s="5088" t="str">
        <f t="shared" si="30"/>
        <v/>
      </c>
      <c r="CG41" s="5088" t="str">
        <f t="shared" si="31"/>
        <v/>
      </c>
      <c r="CH41" s="5088" t="str">
        <f t="shared" si="32"/>
        <v/>
      </c>
      <c r="CK41" s="5089">
        <f t="shared" si="33"/>
        <v>0</v>
      </c>
      <c r="CL41" s="5089">
        <f t="shared" si="34"/>
        <v>0</v>
      </c>
      <c r="CM41" s="5089">
        <f t="shared" si="35"/>
        <v>0</v>
      </c>
      <c r="CN41" s="5089">
        <f t="shared" si="38"/>
        <v>0</v>
      </c>
      <c r="CO41" s="5089">
        <f t="shared" si="36"/>
        <v>0</v>
      </c>
      <c r="CP41" s="5089">
        <f t="shared" si="36"/>
        <v>0</v>
      </c>
      <c r="CQ41" s="5089">
        <f t="shared" si="36"/>
        <v>0</v>
      </c>
      <c r="CR41" s="5089">
        <f t="shared" si="39"/>
        <v>0</v>
      </c>
    </row>
    <row r="42" spans="1:96" s="5077" customFormat="1" ht="15" customHeight="1">
      <c r="A42" s="3970" t="s">
        <v>3843</v>
      </c>
      <c r="B42" s="5081">
        <f t="shared" si="40"/>
        <v>0</v>
      </c>
      <c r="C42" s="4575"/>
      <c r="D42" s="4576"/>
      <c r="E42" s="4576"/>
      <c r="F42" s="4576"/>
      <c r="G42" s="4576"/>
      <c r="H42" s="4576"/>
      <c r="I42" s="4576"/>
      <c r="J42" s="4576"/>
      <c r="K42" s="4576"/>
      <c r="L42" s="4576"/>
      <c r="M42" s="4576"/>
      <c r="N42" s="4576"/>
      <c r="O42" s="4576"/>
      <c r="P42" s="4576"/>
      <c r="Q42" s="4576"/>
      <c r="R42" s="4576"/>
      <c r="S42" s="5090"/>
      <c r="T42" s="5166"/>
      <c r="U42" s="5096"/>
      <c r="V42" s="5166"/>
      <c r="W42" s="5096"/>
      <c r="X42" s="5166"/>
      <c r="Y42" s="5096"/>
      <c r="Z42" s="3970">
        <f t="shared" si="23"/>
        <v>0</v>
      </c>
      <c r="AA42" s="5166"/>
      <c r="AB42" s="5167"/>
      <c r="AC42" s="5167"/>
      <c r="AD42" s="5096"/>
      <c r="AE42" s="3970">
        <f t="shared" si="24"/>
        <v>0</v>
      </c>
      <c r="AF42" s="5166"/>
      <c r="AG42" s="5167"/>
      <c r="AH42" s="5167"/>
      <c r="AI42" s="5168"/>
      <c r="AJ42" s="5163"/>
      <c r="AK42" s="5164"/>
      <c r="AL42" s="5165"/>
      <c r="AM42" s="4601"/>
      <c r="AN42" s="4601"/>
      <c r="AO42" s="5093"/>
      <c r="AP42" s="4599"/>
      <c r="AQ42" s="4601"/>
      <c r="AR42" s="5093"/>
      <c r="AS42" s="4599"/>
      <c r="AT42" s="5077" t="str">
        <f t="shared" si="37"/>
        <v/>
      </c>
      <c r="CA42" s="5088" t="str">
        <f t="shared" si="25"/>
        <v/>
      </c>
      <c r="CB42" s="5088" t="str">
        <f t="shared" si="26"/>
        <v/>
      </c>
      <c r="CC42" s="5088" t="str">
        <f t="shared" si="27"/>
        <v/>
      </c>
      <c r="CD42" s="5088" t="str">
        <f t="shared" si="28"/>
        <v/>
      </c>
      <c r="CE42" s="5088" t="str">
        <f t="shared" si="29"/>
        <v/>
      </c>
      <c r="CF42" s="5088" t="str">
        <f t="shared" si="30"/>
        <v/>
      </c>
      <c r="CG42" s="5088" t="str">
        <f t="shared" si="31"/>
        <v/>
      </c>
      <c r="CH42" s="5088" t="str">
        <f t="shared" si="32"/>
        <v/>
      </c>
      <c r="CK42" s="5089">
        <f t="shared" si="33"/>
        <v>0</v>
      </c>
      <c r="CL42" s="5089">
        <f t="shared" si="34"/>
        <v>0</v>
      </c>
      <c r="CM42" s="5089">
        <f t="shared" si="35"/>
        <v>0</v>
      </c>
      <c r="CN42" s="5089">
        <f t="shared" si="38"/>
        <v>0</v>
      </c>
      <c r="CO42" s="5089">
        <f t="shared" si="36"/>
        <v>0</v>
      </c>
      <c r="CP42" s="5089">
        <f t="shared" si="36"/>
        <v>0</v>
      </c>
      <c r="CQ42" s="5089">
        <f t="shared" si="36"/>
        <v>0</v>
      </c>
      <c r="CR42" s="5089">
        <f t="shared" si="39"/>
        <v>0</v>
      </c>
    </row>
    <row r="43" spans="1:96" s="5077" customFormat="1" ht="15" customHeight="1">
      <c r="A43" s="3970" t="s">
        <v>3263</v>
      </c>
      <c r="B43" s="5081">
        <f t="shared" si="40"/>
        <v>0</v>
      </c>
      <c r="C43" s="4575"/>
      <c r="D43" s="4576"/>
      <c r="E43" s="4576"/>
      <c r="F43" s="4576"/>
      <c r="G43" s="4576"/>
      <c r="H43" s="4576"/>
      <c r="I43" s="4576"/>
      <c r="J43" s="4576"/>
      <c r="K43" s="4576"/>
      <c r="L43" s="4576"/>
      <c r="M43" s="4576"/>
      <c r="N43" s="4576"/>
      <c r="O43" s="4576"/>
      <c r="P43" s="4576"/>
      <c r="Q43" s="4576"/>
      <c r="R43" s="4576"/>
      <c r="S43" s="5090"/>
      <c r="T43" s="5166"/>
      <c r="U43" s="5096"/>
      <c r="V43" s="5166"/>
      <c r="W43" s="5096"/>
      <c r="X43" s="5166"/>
      <c r="Y43" s="5096"/>
      <c r="Z43" s="3970">
        <f t="shared" si="23"/>
        <v>0</v>
      </c>
      <c r="AA43" s="5166"/>
      <c r="AB43" s="5167"/>
      <c r="AC43" s="5167"/>
      <c r="AD43" s="5096"/>
      <c r="AE43" s="3970">
        <f t="shared" si="24"/>
        <v>0</v>
      </c>
      <c r="AF43" s="5166"/>
      <c r="AG43" s="5167"/>
      <c r="AH43" s="5167"/>
      <c r="AI43" s="5168"/>
      <c r="AJ43" s="5163"/>
      <c r="AK43" s="5164"/>
      <c r="AL43" s="5165"/>
      <c r="AM43" s="4601"/>
      <c r="AN43" s="4601"/>
      <c r="AO43" s="5093"/>
      <c r="AP43" s="4599"/>
      <c r="AQ43" s="4601"/>
      <c r="AR43" s="5093"/>
      <c r="AS43" s="4599"/>
      <c r="AT43" s="5077" t="str">
        <f t="shared" si="37"/>
        <v/>
      </c>
      <c r="CA43" s="5088" t="str">
        <f t="shared" si="25"/>
        <v/>
      </c>
      <c r="CB43" s="5088" t="str">
        <f t="shared" si="26"/>
        <v/>
      </c>
      <c r="CC43" s="5088" t="str">
        <f t="shared" si="27"/>
        <v/>
      </c>
      <c r="CD43" s="5088" t="str">
        <f t="shared" si="28"/>
        <v/>
      </c>
      <c r="CE43" s="5088" t="str">
        <f t="shared" si="29"/>
        <v/>
      </c>
      <c r="CF43" s="5088" t="str">
        <f t="shared" si="30"/>
        <v/>
      </c>
      <c r="CG43" s="5088" t="str">
        <f t="shared" si="31"/>
        <v/>
      </c>
      <c r="CH43" s="5088" t="str">
        <f t="shared" si="32"/>
        <v/>
      </c>
      <c r="CK43" s="5089">
        <f t="shared" si="33"/>
        <v>0</v>
      </c>
      <c r="CL43" s="5089">
        <f t="shared" si="34"/>
        <v>0</v>
      </c>
      <c r="CM43" s="5089">
        <f t="shared" si="35"/>
        <v>0</v>
      </c>
      <c r="CN43" s="5089">
        <f t="shared" si="38"/>
        <v>0</v>
      </c>
      <c r="CO43" s="5089">
        <f t="shared" si="36"/>
        <v>0</v>
      </c>
      <c r="CP43" s="5089">
        <f t="shared" si="36"/>
        <v>0</v>
      </c>
      <c r="CQ43" s="5089">
        <f t="shared" si="36"/>
        <v>0</v>
      </c>
      <c r="CR43" s="5089">
        <f t="shared" si="39"/>
        <v>0</v>
      </c>
    </row>
    <row r="44" spans="1:96" s="5077" customFormat="1" ht="15" customHeight="1">
      <c r="A44" s="3970" t="s">
        <v>3844</v>
      </c>
      <c r="B44" s="5081">
        <f t="shared" si="40"/>
        <v>0</v>
      </c>
      <c r="C44" s="4575"/>
      <c r="D44" s="4576"/>
      <c r="E44" s="4576"/>
      <c r="F44" s="4576"/>
      <c r="G44" s="4576"/>
      <c r="H44" s="4576"/>
      <c r="I44" s="4576"/>
      <c r="J44" s="4576"/>
      <c r="K44" s="4576"/>
      <c r="L44" s="4576"/>
      <c r="M44" s="4576"/>
      <c r="N44" s="4576"/>
      <c r="O44" s="4576"/>
      <c r="P44" s="4576"/>
      <c r="Q44" s="4576"/>
      <c r="R44" s="4576"/>
      <c r="S44" s="5090"/>
      <c r="T44" s="5166"/>
      <c r="U44" s="5096"/>
      <c r="V44" s="5166"/>
      <c r="W44" s="5096"/>
      <c r="X44" s="5166"/>
      <c r="Y44" s="5096"/>
      <c r="Z44" s="3970">
        <f t="shared" si="23"/>
        <v>0</v>
      </c>
      <c r="AA44" s="5166"/>
      <c r="AB44" s="5167"/>
      <c r="AC44" s="5167"/>
      <c r="AD44" s="5096"/>
      <c r="AE44" s="3970">
        <f t="shared" si="24"/>
        <v>0</v>
      </c>
      <c r="AF44" s="5166"/>
      <c r="AG44" s="5167"/>
      <c r="AH44" s="5167"/>
      <c r="AI44" s="5168"/>
      <c r="AJ44" s="5163"/>
      <c r="AK44" s="5164"/>
      <c r="AL44" s="5165"/>
      <c r="AM44" s="4601"/>
      <c r="AN44" s="4601"/>
      <c r="AO44" s="5093"/>
      <c r="AP44" s="4599"/>
      <c r="AQ44" s="4601"/>
      <c r="AR44" s="5093"/>
      <c r="AS44" s="4599"/>
      <c r="AT44" s="5077" t="str">
        <f t="shared" si="37"/>
        <v/>
      </c>
      <c r="CA44" s="5088" t="str">
        <f t="shared" si="25"/>
        <v/>
      </c>
      <c r="CB44" s="5088" t="str">
        <f t="shared" si="26"/>
        <v/>
      </c>
      <c r="CC44" s="5088" t="str">
        <f t="shared" si="27"/>
        <v/>
      </c>
      <c r="CD44" s="5088" t="str">
        <f t="shared" si="28"/>
        <v/>
      </c>
      <c r="CE44" s="5088" t="str">
        <f t="shared" si="29"/>
        <v/>
      </c>
      <c r="CF44" s="5088" t="str">
        <f t="shared" si="30"/>
        <v/>
      </c>
      <c r="CG44" s="5088" t="str">
        <f t="shared" si="31"/>
        <v/>
      </c>
      <c r="CH44" s="5088" t="str">
        <f t="shared" si="32"/>
        <v/>
      </c>
      <c r="CK44" s="5089">
        <f t="shared" si="33"/>
        <v>0</v>
      </c>
      <c r="CL44" s="5089">
        <f t="shared" si="34"/>
        <v>0</v>
      </c>
      <c r="CM44" s="5089">
        <f t="shared" si="35"/>
        <v>0</v>
      </c>
      <c r="CN44" s="5089">
        <f t="shared" si="38"/>
        <v>0</v>
      </c>
      <c r="CO44" s="5089">
        <f t="shared" si="36"/>
        <v>0</v>
      </c>
      <c r="CP44" s="5089">
        <f t="shared" si="36"/>
        <v>0</v>
      </c>
      <c r="CQ44" s="5089">
        <f t="shared" si="36"/>
        <v>0</v>
      </c>
      <c r="CR44" s="5089">
        <f t="shared" si="39"/>
        <v>0</v>
      </c>
    </row>
    <row r="45" spans="1:96" s="5077" customFormat="1" ht="15" customHeight="1">
      <c r="A45" s="3970" t="s">
        <v>3845</v>
      </c>
      <c r="B45" s="5081">
        <f t="shared" si="40"/>
        <v>0</v>
      </c>
      <c r="C45" s="4575"/>
      <c r="D45" s="4576"/>
      <c r="E45" s="4576"/>
      <c r="F45" s="4576"/>
      <c r="G45" s="4576"/>
      <c r="H45" s="4576"/>
      <c r="I45" s="4576"/>
      <c r="J45" s="4576"/>
      <c r="K45" s="4576"/>
      <c r="L45" s="4576"/>
      <c r="M45" s="4576"/>
      <c r="N45" s="4576"/>
      <c r="O45" s="4576"/>
      <c r="P45" s="4576"/>
      <c r="Q45" s="4576"/>
      <c r="R45" s="4576"/>
      <c r="S45" s="5090"/>
      <c r="T45" s="5166"/>
      <c r="U45" s="5096"/>
      <c r="V45" s="5166"/>
      <c r="W45" s="5096"/>
      <c r="X45" s="5166"/>
      <c r="Y45" s="5096"/>
      <c r="Z45" s="3970">
        <f t="shared" si="23"/>
        <v>0</v>
      </c>
      <c r="AA45" s="5166"/>
      <c r="AB45" s="5167"/>
      <c r="AC45" s="5167"/>
      <c r="AD45" s="5096"/>
      <c r="AE45" s="3970">
        <f t="shared" si="24"/>
        <v>0</v>
      </c>
      <c r="AF45" s="5166"/>
      <c r="AG45" s="5167"/>
      <c r="AH45" s="5167"/>
      <c r="AI45" s="5168"/>
      <c r="AJ45" s="5163"/>
      <c r="AK45" s="5164"/>
      <c r="AL45" s="5165"/>
      <c r="AM45" s="4601"/>
      <c r="AN45" s="4601"/>
      <c r="AO45" s="5093"/>
      <c r="AP45" s="4599"/>
      <c r="AQ45" s="4601"/>
      <c r="AR45" s="5093"/>
      <c r="AS45" s="4599"/>
      <c r="AT45" s="5077" t="str">
        <f t="shared" si="37"/>
        <v/>
      </c>
      <c r="CA45" s="5088" t="str">
        <f t="shared" si="25"/>
        <v/>
      </c>
      <c r="CB45" s="5088" t="str">
        <f t="shared" si="26"/>
        <v/>
      </c>
      <c r="CC45" s="5088" t="str">
        <f t="shared" si="27"/>
        <v/>
      </c>
      <c r="CD45" s="5088" t="str">
        <f t="shared" si="28"/>
        <v/>
      </c>
      <c r="CE45" s="5088" t="str">
        <f t="shared" si="29"/>
        <v/>
      </c>
      <c r="CF45" s="5088" t="str">
        <f t="shared" si="30"/>
        <v/>
      </c>
      <c r="CG45" s="5088" t="str">
        <f t="shared" si="31"/>
        <v/>
      </c>
      <c r="CH45" s="5088" t="str">
        <f t="shared" si="32"/>
        <v/>
      </c>
      <c r="CK45" s="5089">
        <f t="shared" si="33"/>
        <v>0</v>
      </c>
      <c r="CL45" s="5089">
        <f t="shared" si="34"/>
        <v>0</v>
      </c>
      <c r="CM45" s="5089">
        <f t="shared" si="35"/>
        <v>0</v>
      </c>
      <c r="CN45" s="5089">
        <f t="shared" si="38"/>
        <v>0</v>
      </c>
      <c r="CO45" s="5089">
        <f t="shared" si="36"/>
        <v>0</v>
      </c>
      <c r="CP45" s="5089">
        <f t="shared" si="36"/>
        <v>0</v>
      </c>
      <c r="CQ45" s="5089">
        <f t="shared" si="36"/>
        <v>0</v>
      </c>
      <c r="CR45" s="5089">
        <f t="shared" si="39"/>
        <v>0</v>
      </c>
    </row>
    <row r="46" spans="1:96" s="5077" customFormat="1" ht="15" customHeight="1">
      <c r="A46" s="3970" t="s">
        <v>3846</v>
      </c>
      <c r="B46" s="5081">
        <f t="shared" si="40"/>
        <v>0</v>
      </c>
      <c r="C46" s="4575"/>
      <c r="D46" s="4576"/>
      <c r="E46" s="4576"/>
      <c r="F46" s="4576"/>
      <c r="G46" s="4576"/>
      <c r="H46" s="4576"/>
      <c r="I46" s="4576"/>
      <c r="J46" s="4576"/>
      <c r="K46" s="4576"/>
      <c r="L46" s="4576"/>
      <c r="M46" s="4576"/>
      <c r="N46" s="4576"/>
      <c r="O46" s="4576"/>
      <c r="P46" s="4576"/>
      <c r="Q46" s="4576"/>
      <c r="R46" s="4576"/>
      <c r="S46" s="5090"/>
      <c r="T46" s="5166"/>
      <c r="U46" s="5096"/>
      <c r="V46" s="5166"/>
      <c r="W46" s="5096"/>
      <c r="X46" s="5166"/>
      <c r="Y46" s="5096"/>
      <c r="Z46" s="3970">
        <f t="shared" si="23"/>
        <v>0</v>
      </c>
      <c r="AA46" s="5166"/>
      <c r="AB46" s="5167"/>
      <c r="AC46" s="5167"/>
      <c r="AD46" s="5096"/>
      <c r="AE46" s="3970">
        <f t="shared" si="24"/>
        <v>0</v>
      </c>
      <c r="AF46" s="5166"/>
      <c r="AG46" s="5167"/>
      <c r="AH46" s="5167"/>
      <c r="AI46" s="5168"/>
      <c r="AJ46" s="5163"/>
      <c r="AK46" s="5164"/>
      <c r="AL46" s="5165"/>
      <c r="AM46" s="4601"/>
      <c r="AN46" s="4601"/>
      <c r="AO46" s="5093"/>
      <c r="AP46" s="4599"/>
      <c r="AQ46" s="4601"/>
      <c r="AR46" s="5093"/>
      <c r="AS46" s="4599"/>
      <c r="AT46" s="5077" t="str">
        <f t="shared" si="37"/>
        <v/>
      </c>
      <c r="CA46" s="5088" t="str">
        <f t="shared" si="25"/>
        <v/>
      </c>
      <c r="CB46" s="5088" t="str">
        <f t="shared" si="26"/>
        <v/>
      </c>
      <c r="CC46" s="5088" t="str">
        <f t="shared" si="27"/>
        <v/>
      </c>
      <c r="CD46" s="5088" t="str">
        <f t="shared" si="28"/>
        <v/>
      </c>
      <c r="CE46" s="5088" t="str">
        <f t="shared" si="29"/>
        <v/>
      </c>
      <c r="CF46" s="5088" t="str">
        <f t="shared" si="30"/>
        <v/>
      </c>
      <c r="CG46" s="5088" t="str">
        <f t="shared" si="31"/>
        <v/>
      </c>
      <c r="CH46" s="5088" t="str">
        <f t="shared" si="32"/>
        <v/>
      </c>
      <c r="CK46" s="5089">
        <f t="shared" si="33"/>
        <v>0</v>
      </c>
      <c r="CL46" s="5089">
        <f t="shared" si="34"/>
        <v>0</v>
      </c>
      <c r="CM46" s="5089">
        <f t="shared" si="35"/>
        <v>0</v>
      </c>
      <c r="CN46" s="5089">
        <f t="shared" si="38"/>
        <v>0</v>
      </c>
      <c r="CO46" s="5089">
        <f t="shared" si="36"/>
        <v>0</v>
      </c>
      <c r="CP46" s="5089">
        <f t="shared" si="36"/>
        <v>0</v>
      </c>
      <c r="CQ46" s="5089">
        <f t="shared" si="36"/>
        <v>0</v>
      </c>
      <c r="CR46" s="5089">
        <f t="shared" si="39"/>
        <v>0</v>
      </c>
    </row>
    <row r="47" spans="1:96" s="5077" customFormat="1" ht="15" customHeight="1">
      <c r="A47" s="1947" t="s">
        <v>1251</v>
      </c>
      <c r="B47" s="5081">
        <f t="shared" si="40"/>
        <v>0</v>
      </c>
      <c r="C47" s="4575"/>
      <c r="D47" s="4576"/>
      <c r="E47" s="4576"/>
      <c r="F47" s="4576"/>
      <c r="G47" s="4576"/>
      <c r="H47" s="4576"/>
      <c r="I47" s="4576"/>
      <c r="J47" s="4576"/>
      <c r="K47" s="4576"/>
      <c r="L47" s="4576"/>
      <c r="M47" s="4576"/>
      <c r="N47" s="4576"/>
      <c r="O47" s="4576"/>
      <c r="P47" s="4576"/>
      <c r="Q47" s="4576"/>
      <c r="R47" s="4576"/>
      <c r="S47" s="5090"/>
      <c r="T47" s="5166"/>
      <c r="U47" s="5096"/>
      <c r="V47" s="5166"/>
      <c r="W47" s="5096"/>
      <c r="X47" s="5166"/>
      <c r="Y47" s="5096"/>
      <c r="Z47" s="3970">
        <f t="shared" si="23"/>
        <v>0</v>
      </c>
      <c r="AA47" s="5166"/>
      <c r="AB47" s="5167"/>
      <c r="AC47" s="5167"/>
      <c r="AD47" s="5096"/>
      <c r="AE47" s="3970">
        <f t="shared" si="24"/>
        <v>0</v>
      </c>
      <c r="AF47" s="5166"/>
      <c r="AG47" s="5167"/>
      <c r="AH47" s="5167"/>
      <c r="AI47" s="5168"/>
      <c r="AJ47" s="5163"/>
      <c r="AK47" s="5164"/>
      <c r="AL47" s="5165"/>
      <c r="AM47" s="4601"/>
      <c r="AN47" s="4601"/>
      <c r="AO47" s="5093"/>
      <c r="AP47" s="4599"/>
      <c r="AQ47" s="4601"/>
      <c r="AR47" s="5093"/>
      <c r="AS47" s="4599"/>
      <c r="AT47" s="5077" t="str">
        <f t="shared" si="37"/>
        <v/>
      </c>
      <c r="CA47" s="5088" t="str">
        <f t="shared" si="25"/>
        <v/>
      </c>
      <c r="CB47" s="5088" t="str">
        <f t="shared" si="26"/>
        <v/>
      </c>
      <c r="CC47" s="5088" t="str">
        <f t="shared" si="27"/>
        <v/>
      </c>
      <c r="CD47" s="5088" t="str">
        <f t="shared" si="28"/>
        <v/>
      </c>
      <c r="CE47" s="5088" t="str">
        <f t="shared" si="29"/>
        <v/>
      </c>
      <c r="CF47" s="5088" t="str">
        <f t="shared" si="30"/>
        <v/>
      </c>
      <c r="CG47" s="5088" t="str">
        <f t="shared" si="31"/>
        <v/>
      </c>
      <c r="CH47" s="5088" t="str">
        <f t="shared" si="32"/>
        <v/>
      </c>
      <c r="CK47" s="5089">
        <f t="shared" si="33"/>
        <v>0</v>
      </c>
      <c r="CL47" s="5089">
        <f t="shared" si="34"/>
        <v>0</v>
      </c>
      <c r="CM47" s="5089">
        <f t="shared" si="35"/>
        <v>0</v>
      </c>
      <c r="CN47" s="5089">
        <f t="shared" si="38"/>
        <v>0</v>
      </c>
      <c r="CO47" s="5089">
        <f t="shared" si="36"/>
        <v>0</v>
      </c>
      <c r="CP47" s="5089">
        <f t="shared" si="36"/>
        <v>0</v>
      </c>
      <c r="CQ47" s="5089">
        <f t="shared" si="36"/>
        <v>0</v>
      </c>
      <c r="CR47" s="5089">
        <f t="shared" si="39"/>
        <v>0</v>
      </c>
    </row>
    <row r="48" spans="1:96" s="5077" customFormat="1" ht="15" customHeight="1">
      <c r="A48" s="2328" t="s">
        <v>1252</v>
      </c>
      <c r="B48" s="5081">
        <f t="shared" si="40"/>
        <v>0</v>
      </c>
      <c r="C48" s="4575"/>
      <c r="D48" s="4576"/>
      <c r="E48" s="4576"/>
      <c r="F48" s="4576"/>
      <c r="G48" s="4576"/>
      <c r="H48" s="4576"/>
      <c r="I48" s="4576"/>
      <c r="J48" s="4576"/>
      <c r="K48" s="4576"/>
      <c r="L48" s="4576"/>
      <c r="M48" s="4576"/>
      <c r="N48" s="4576"/>
      <c r="O48" s="4576"/>
      <c r="P48" s="4576"/>
      <c r="Q48" s="4576"/>
      <c r="R48" s="4576"/>
      <c r="S48" s="5090"/>
      <c r="T48" s="5166"/>
      <c r="U48" s="5096"/>
      <c r="V48" s="5166"/>
      <c r="W48" s="5096"/>
      <c r="X48" s="5166"/>
      <c r="Y48" s="5096"/>
      <c r="Z48" s="3970">
        <f t="shared" si="23"/>
        <v>0</v>
      </c>
      <c r="AA48" s="5166"/>
      <c r="AB48" s="5167"/>
      <c r="AC48" s="5167"/>
      <c r="AD48" s="5096"/>
      <c r="AE48" s="3970">
        <f t="shared" si="24"/>
        <v>0</v>
      </c>
      <c r="AF48" s="5166"/>
      <c r="AG48" s="5167"/>
      <c r="AH48" s="5167"/>
      <c r="AI48" s="5168"/>
      <c r="AJ48" s="5163"/>
      <c r="AK48" s="5164"/>
      <c r="AL48" s="5165"/>
      <c r="AM48" s="4601"/>
      <c r="AN48" s="4601"/>
      <c r="AO48" s="5093"/>
      <c r="AP48" s="4599"/>
      <c r="AQ48" s="4601"/>
      <c r="AR48" s="5093"/>
      <c r="AS48" s="4599"/>
      <c r="AT48" s="5077" t="str">
        <f t="shared" si="37"/>
        <v/>
      </c>
      <c r="CA48" s="5088" t="str">
        <f t="shared" si="25"/>
        <v/>
      </c>
      <c r="CB48" s="5088" t="str">
        <f t="shared" si="26"/>
        <v/>
      </c>
      <c r="CC48" s="5088" t="str">
        <f t="shared" si="27"/>
        <v/>
      </c>
      <c r="CD48" s="5088" t="str">
        <f t="shared" si="28"/>
        <v/>
      </c>
      <c r="CE48" s="5088" t="str">
        <f t="shared" si="29"/>
        <v/>
      </c>
      <c r="CF48" s="5088" t="str">
        <f t="shared" si="30"/>
        <v/>
      </c>
      <c r="CG48" s="5088" t="str">
        <f t="shared" si="31"/>
        <v/>
      </c>
      <c r="CH48" s="5088" t="str">
        <f t="shared" si="32"/>
        <v/>
      </c>
      <c r="CK48" s="5089">
        <f t="shared" si="33"/>
        <v>0</v>
      </c>
      <c r="CL48" s="5089">
        <f t="shared" si="34"/>
        <v>0</v>
      </c>
      <c r="CM48" s="5089">
        <f t="shared" si="35"/>
        <v>0</v>
      </c>
      <c r="CN48" s="5089">
        <f t="shared" si="38"/>
        <v>0</v>
      </c>
      <c r="CO48" s="5089">
        <f t="shared" si="36"/>
        <v>0</v>
      </c>
      <c r="CP48" s="5089">
        <f t="shared" si="36"/>
        <v>0</v>
      </c>
      <c r="CQ48" s="5089">
        <f t="shared" si="36"/>
        <v>0</v>
      </c>
      <c r="CR48" s="5089">
        <f t="shared" si="39"/>
        <v>0</v>
      </c>
    </row>
    <row r="49" spans="1:96" s="5077" customFormat="1" ht="15" customHeight="1">
      <c r="A49" s="3970" t="s">
        <v>3847</v>
      </c>
      <c r="B49" s="5081">
        <f t="shared" si="40"/>
        <v>0</v>
      </c>
      <c r="C49" s="4575"/>
      <c r="D49" s="4576"/>
      <c r="E49" s="4576"/>
      <c r="F49" s="4576"/>
      <c r="G49" s="4576"/>
      <c r="H49" s="4576"/>
      <c r="I49" s="4576"/>
      <c r="J49" s="4576"/>
      <c r="K49" s="4576"/>
      <c r="L49" s="4576"/>
      <c r="M49" s="4576"/>
      <c r="N49" s="4576"/>
      <c r="O49" s="4576"/>
      <c r="P49" s="4576"/>
      <c r="Q49" s="4576"/>
      <c r="R49" s="4576"/>
      <c r="S49" s="5090"/>
      <c r="T49" s="5166"/>
      <c r="U49" s="5096"/>
      <c r="V49" s="5166"/>
      <c r="W49" s="5096"/>
      <c r="X49" s="5166"/>
      <c r="Y49" s="5096"/>
      <c r="Z49" s="3970">
        <f t="shared" si="23"/>
        <v>0</v>
      </c>
      <c r="AA49" s="5166"/>
      <c r="AB49" s="5167"/>
      <c r="AC49" s="5167"/>
      <c r="AD49" s="5096"/>
      <c r="AE49" s="3970">
        <f t="shared" si="24"/>
        <v>0</v>
      </c>
      <c r="AF49" s="5166"/>
      <c r="AG49" s="5167"/>
      <c r="AH49" s="5167"/>
      <c r="AI49" s="5168"/>
      <c r="AJ49" s="5163"/>
      <c r="AK49" s="5164"/>
      <c r="AL49" s="5165"/>
      <c r="AM49" s="4601"/>
      <c r="AN49" s="4601"/>
      <c r="AO49" s="5093"/>
      <c r="AP49" s="4599"/>
      <c r="AQ49" s="4601"/>
      <c r="AR49" s="5093"/>
      <c r="AS49" s="4599"/>
      <c r="AT49" s="5077" t="str">
        <f t="shared" si="37"/>
        <v/>
      </c>
      <c r="CA49" s="5088" t="str">
        <f t="shared" si="25"/>
        <v/>
      </c>
      <c r="CB49" s="5088" t="str">
        <f t="shared" si="26"/>
        <v/>
      </c>
      <c r="CC49" s="5088" t="str">
        <f t="shared" si="27"/>
        <v/>
      </c>
      <c r="CD49" s="5088" t="str">
        <f t="shared" si="28"/>
        <v/>
      </c>
      <c r="CE49" s="5088" t="str">
        <f t="shared" si="29"/>
        <v/>
      </c>
      <c r="CF49" s="5088" t="str">
        <f t="shared" si="30"/>
        <v/>
      </c>
      <c r="CG49" s="5088" t="str">
        <f t="shared" si="31"/>
        <v/>
      </c>
      <c r="CH49" s="5088" t="str">
        <f t="shared" si="32"/>
        <v/>
      </c>
      <c r="CK49" s="5089">
        <f t="shared" si="33"/>
        <v>0</v>
      </c>
      <c r="CL49" s="5089">
        <f t="shared" si="34"/>
        <v>0</v>
      </c>
      <c r="CM49" s="5089">
        <f t="shared" si="35"/>
        <v>0</v>
      </c>
      <c r="CN49" s="5089">
        <f t="shared" si="38"/>
        <v>0</v>
      </c>
      <c r="CO49" s="5089">
        <f t="shared" si="36"/>
        <v>0</v>
      </c>
      <c r="CP49" s="5089">
        <f t="shared" si="36"/>
        <v>0</v>
      </c>
      <c r="CQ49" s="5089">
        <f t="shared" si="36"/>
        <v>0</v>
      </c>
      <c r="CR49" s="5089">
        <f t="shared" si="39"/>
        <v>0</v>
      </c>
    </row>
    <row r="50" spans="1:96" s="5077" customFormat="1" ht="15" customHeight="1">
      <c r="A50" s="3970" t="s">
        <v>3848</v>
      </c>
      <c r="B50" s="5081">
        <f t="shared" si="40"/>
        <v>0</v>
      </c>
      <c r="C50" s="4575"/>
      <c r="D50" s="4576"/>
      <c r="E50" s="4576"/>
      <c r="F50" s="4576"/>
      <c r="G50" s="4576"/>
      <c r="H50" s="4576"/>
      <c r="I50" s="4576"/>
      <c r="J50" s="4576"/>
      <c r="K50" s="4576"/>
      <c r="L50" s="4576"/>
      <c r="M50" s="4576"/>
      <c r="N50" s="4576"/>
      <c r="O50" s="4576"/>
      <c r="P50" s="4576"/>
      <c r="Q50" s="4576"/>
      <c r="R50" s="4576"/>
      <c r="S50" s="5090"/>
      <c r="T50" s="5166"/>
      <c r="U50" s="5096"/>
      <c r="V50" s="5166"/>
      <c r="W50" s="5096"/>
      <c r="X50" s="5166"/>
      <c r="Y50" s="5096"/>
      <c r="Z50" s="3970">
        <f t="shared" si="23"/>
        <v>0</v>
      </c>
      <c r="AA50" s="5166"/>
      <c r="AB50" s="5167"/>
      <c r="AC50" s="5167"/>
      <c r="AD50" s="5096"/>
      <c r="AE50" s="3970">
        <f t="shared" si="24"/>
        <v>0</v>
      </c>
      <c r="AF50" s="5166"/>
      <c r="AG50" s="5167"/>
      <c r="AH50" s="5167"/>
      <c r="AI50" s="5168"/>
      <c r="AJ50" s="5163"/>
      <c r="AK50" s="5164"/>
      <c r="AL50" s="5165"/>
      <c r="AM50" s="4601"/>
      <c r="AN50" s="4601"/>
      <c r="AO50" s="5093"/>
      <c r="AP50" s="4599"/>
      <c r="AQ50" s="4601"/>
      <c r="AR50" s="5093"/>
      <c r="AS50" s="4599"/>
      <c r="AT50" s="5077" t="str">
        <f t="shared" si="37"/>
        <v/>
      </c>
      <c r="CA50" s="5088" t="str">
        <f t="shared" si="25"/>
        <v/>
      </c>
      <c r="CB50" s="5088" t="str">
        <f t="shared" si="26"/>
        <v/>
      </c>
      <c r="CC50" s="5088" t="str">
        <f t="shared" si="27"/>
        <v/>
      </c>
      <c r="CD50" s="5088" t="str">
        <f t="shared" si="28"/>
        <v/>
      </c>
      <c r="CE50" s="5088" t="str">
        <f t="shared" si="29"/>
        <v/>
      </c>
      <c r="CF50" s="5088" t="str">
        <f t="shared" si="30"/>
        <v/>
      </c>
      <c r="CG50" s="5088" t="str">
        <f t="shared" si="31"/>
        <v/>
      </c>
      <c r="CH50" s="5088" t="str">
        <f t="shared" si="32"/>
        <v/>
      </c>
      <c r="CK50" s="5089">
        <f t="shared" si="33"/>
        <v>0</v>
      </c>
      <c r="CL50" s="5089">
        <f t="shared" si="34"/>
        <v>0</v>
      </c>
      <c r="CM50" s="5089">
        <f t="shared" si="35"/>
        <v>0</v>
      </c>
      <c r="CN50" s="5089">
        <f t="shared" si="38"/>
        <v>0</v>
      </c>
      <c r="CO50" s="5089">
        <f t="shared" si="36"/>
        <v>0</v>
      </c>
      <c r="CP50" s="5089">
        <f t="shared" si="36"/>
        <v>0</v>
      </c>
      <c r="CQ50" s="5089">
        <f t="shared" si="36"/>
        <v>0</v>
      </c>
      <c r="CR50" s="5089">
        <f t="shared" si="39"/>
        <v>0</v>
      </c>
    </row>
    <row r="51" spans="1:96" s="5077" customFormat="1" ht="15" customHeight="1">
      <c r="A51" s="1947" t="s">
        <v>1255</v>
      </c>
      <c r="B51" s="5081">
        <f t="shared" si="40"/>
        <v>0</v>
      </c>
      <c r="C51" s="4575"/>
      <c r="D51" s="4576"/>
      <c r="E51" s="4576"/>
      <c r="F51" s="4576"/>
      <c r="G51" s="4576"/>
      <c r="H51" s="4576"/>
      <c r="I51" s="4576"/>
      <c r="J51" s="4576"/>
      <c r="K51" s="4576"/>
      <c r="L51" s="4576"/>
      <c r="M51" s="4576"/>
      <c r="N51" s="4576"/>
      <c r="O51" s="4576"/>
      <c r="P51" s="4576"/>
      <c r="Q51" s="4576"/>
      <c r="R51" s="4576"/>
      <c r="S51" s="5090"/>
      <c r="T51" s="5166"/>
      <c r="U51" s="5096"/>
      <c r="V51" s="5166"/>
      <c r="W51" s="5096"/>
      <c r="X51" s="5166"/>
      <c r="Y51" s="5096"/>
      <c r="Z51" s="3970">
        <f t="shared" si="23"/>
        <v>0</v>
      </c>
      <c r="AA51" s="5166"/>
      <c r="AB51" s="5167"/>
      <c r="AC51" s="5167"/>
      <c r="AD51" s="5096"/>
      <c r="AE51" s="3970">
        <f t="shared" si="24"/>
        <v>0</v>
      </c>
      <c r="AF51" s="5166"/>
      <c r="AG51" s="5167"/>
      <c r="AH51" s="5167"/>
      <c r="AI51" s="5168"/>
      <c r="AJ51" s="5163"/>
      <c r="AK51" s="5164"/>
      <c r="AL51" s="5165"/>
      <c r="AM51" s="4601"/>
      <c r="AN51" s="4601"/>
      <c r="AO51" s="5093"/>
      <c r="AP51" s="4599"/>
      <c r="AQ51" s="4601"/>
      <c r="AR51" s="5093"/>
      <c r="AS51" s="4599"/>
      <c r="AT51" s="5077" t="str">
        <f t="shared" si="37"/>
        <v/>
      </c>
      <c r="CA51" s="5088" t="str">
        <f t="shared" si="25"/>
        <v/>
      </c>
      <c r="CB51" s="5088" t="str">
        <f t="shared" si="26"/>
        <v/>
      </c>
      <c r="CC51" s="5088" t="str">
        <f t="shared" si="27"/>
        <v/>
      </c>
      <c r="CD51" s="5088" t="str">
        <f t="shared" si="28"/>
        <v/>
      </c>
      <c r="CE51" s="5088" t="str">
        <f t="shared" si="29"/>
        <v/>
      </c>
      <c r="CF51" s="5088" t="str">
        <f t="shared" si="30"/>
        <v/>
      </c>
      <c r="CG51" s="5088" t="str">
        <f t="shared" si="31"/>
        <v/>
      </c>
      <c r="CH51" s="5088" t="str">
        <f t="shared" si="32"/>
        <v/>
      </c>
      <c r="CK51" s="5089">
        <f t="shared" si="33"/>
        <v>0</v>
      </c>
      <c r="CL51" s="5089">
        <f t="shared" si="34"/>
        <v>0</v>
      </c>
      <c r="CM51" s="5089">
        <f t="shared" si="35"/>
        <v>0</v>
      </c>
      <c r="CN51" s="5089">
        <f t="shared" si="38"/>
        <v>0</v>
      </c>
      <c r="CO51" s="5089">
        <f t="shared" si="36"/>
        <v>0</v>
      </c>
      <c r="CP51" s="5089">
        <f t="shared" si="36"/>
        <v>0</v>
      </c>
      <c r="CQ51" s="5089">
        <f t="shared" si="36"/>
        <v>0</v>
      </c>
      <c r="CR51" s="5089">
        <f t="shared" si="39"/>
        <v>0</v>
      </c>
    </row>
    <row r="52" spans="1:96" s="5077" customFormat="1" ht="15" customHeight="1">
      <c r="A52" s="2329" t="s">
        <v>1256</v>
      </c>
      <c r="B52" s="5081">
        <f t="shared" si="40"/>
        <v>0</v>
      </c>
      <c r="C52" s="4575"/>
      <c r="D52" s="4576"/>
      <c r="E52" s="4576"/>
      <c r="F52" s="4576"/>
      <c r="G52" s="4576"/>
      <c r="H52" s="4576"/>
      <c r="I52" s="4576"/>
      <c r="J52" s="4576"/>
      <c r="K52" s="4576"/>
      <c r="L52" s="4576"/>
      <c r="M52" s="4576"/>
      <c r="N52" s="4576"/>
      <c r="O52" s="4576"/>
      <c r="P52" s="4576"/>
      <c r="Q52" s="4576"/>
      <c r="R52" s="4576"/>
      <c r="S52" s="5090"/>
      <c r="T52" s="5166"/>
      <c r="U52" s="5096"/>
      <c r="V52" s="5166"/>
      <c r="W52" s="5096"/>
      <c r="X52" s="5166"/>
      <c r="Y52" s="5096"/>
      <c r="Z52" s="3970">
        <f t="shared" si="23"/>
        <v>0</v>
      </c>
      <c r="AA52" s="5166"/>
      <c r="AB52" s="5167"/>
      <c r="AC52" s="5167"/>
      <c r="AD52" s="5096"/>
      <c r="AE52" s="3970">
        <f t="shared" si="24"/>
        <v>0</v>
      </c>
      <c r="AF52" s="5166"/>
      <c r="AG52" s="5167"/>
      <c r="AH52" s="5167"/>
      <c r="AI52" s="5168"/>
      <c r="AJ52" s="5163"/>
      <c r="AK52" s="5164"/>
      <c r="AL52" s="5165"/>
      <c r="AM52" s="4601"/>
      <c r="AN52" s="4601"/>
      <c r="AO52" s="5093"/>
      <c r="AP52" s="4599"/>
      <c r="AQ52" s="4601"/>
      <c r="AR52" s="5093"/>
      <c r="AS52" s="4599"/>
      <c r="AT52" s="5077" t="str">
        <f t="shared" si="37"/>
        <v/>
      </c>
      <c r="CA52" s="5088" t="str">
        <f t="shared" si="25"/>
        <v/>
      </c>
      <c r="CB52" s="5088" t="str">
        <f t="shared" si="26"/>
        <v/>
      </c>
      <c r="CC52" s="5088" t="str">
        <f t="shared" si="27"/>
        <v/>
      </c>
      <c r="CD52" s="5088" t="str">
        <f t="shared" si="28"/>
        <v/>
      </c>
      <c r="CE52" s="5088" t="str">
        <f t="shared" si="29"/>
        <v/>
      </c>
      <c r="CF52" s="5088" t="str">
        <f t="shared" si="30"/>
        <v/>
      </c>
      <c r="CG52" s="5088" t="str">
        <f t="shared" si="31"/>
        <v/>
      </c>
      <c r="CH52" s="5088" t="str">
        <f t="shared" si="32"/>
        <v/>
      </c>
      <c r="CK52" s="5089">
        <f t="shared" si="33"/>
        <v>0</v>
      </c>
      <c r="CL52" s="5089">
        <f t="shared" si="34"/>
        <v>0</v>
      </c>
      <c r="CM52" s="5089">
        <f t="shared" si="35"/>
        <v>0</v>
      </c>
      <c r="CN52" s="5089">
        <f t="shared" si="38"/>
        <v>0</v>
      </c>
      <c r="CO52" s="5089">
        <f t="shared" si="36"/>
        <v>0</v>
      </c>
      <c r="CP52" s="5089">
        <f t="shared" si="36"/>
        <v>0</v>
      </c>
      <c r="CQ52" s="5089">
        <f t="shared" si="36"/>
        <v>0</v>
      </c>
      <c r="CR52" s="5089">
        <f t="shared" si="39"/>
        <v>0</v>
      </c>
    </row>
    <row r="53" spans="1:96" s="5077" customFormat="1" ht="15" customHeight="1">
      <c r="A53" s="1947" t="s">
        <v>1257</v>
      </c>
      <c r="B53" s="5081">
        <f t="shared" si="40"/>
        <v>0</v>
      </c>
      <c r="C53" s="4575"/>
      <c r="D53" s="4576"/>
      <c r="E53" s="4576"/>
      <c r="F53" s="4576"/>
      <c r="G53" s="4576"/>
      <c r="H53" s="4576"/>
      <c r="I53" s="4576"/>
      <c r="J53" s="4576"/>
      <c r="K53" s="4576"/>
      <c r="L53" s="4576"/>
      <c r="M53" s="4576"/>
      <c r="N53" s="4576"/>
      <c r="O53" s="4576"/>
      <c r="P53" s="4576"/>
      <c r="Q53" s="4576"/>
      <c r="R53" s="4576"/>
      <c r="S53" s="5090"/>
      <c r="T53" s="5166"/>
      <c r="U53" s="5096"/>
      <c r="V53" s="5166"/>
      <c r="W53" s="5096"/>
      <c r="X53" s="5166"/>
      <c r="Y53" s="5096"/>
      <c r="Z53" s="3970">
        <f t="shared" si="23"/>
        <v>0</v>
      </c>
      <c r="AA53" s="5166"/>
      <c r="AB53" s="5167"/>
      <c r="AC53" s="5167"/>
      <c r="AD53" s="5096"/>
      <c r="AE53" s="3970">
        <f t="shared" si="24"/>
        <v>0</v>
      </c>
      <c r="AF53" s="5166"/>
      <c r="AG53" s="5167"/>
      <c r="AH53" s="5167"/>
      <c r="AI53" s="5168"/>
      <c r="AJ53" s="5163"/>
      <c r="AK53" s="5164"/>
      <c r="AL53" s="5165"/>
      <c r="AM53" s="4601"/>
      <c r="AN53" s="4601"/>
      <c r="AO53" s="5093"/>
      <c r="AP53" s="4599"/>
      <c r="AQ53" s="4601"/>
      <c r="AR53" s="5093"/>
      <c r="AS53" s="4599"/>
      <c r="AT53" s="5077" t="str">
        <f t="shared" si="37"/>
        <v/>
      </c>
      <c r="CA53" s="5088" t="str">
        <f t="shared" si="25"/>
        <v/>
      </c>
      <c r="CB53" s="5088" t="str">
        <f t="shared" si="26"/>
        <v/>
      </c>
      <c r="CC53" s="5088" t="str">
        <f t="shared" si="27"/>
        <v/>
      </c>
      <c r="CD53" s="5088" t="str">
        <f t="shared" si="28"/>
        <v/>
      </c>
      <c r="CE53" s="5088" t="str">
        <f t="shared" si="29"/>
        <v/>
      </c>
      <c r="CF53" s="5088" t="str">
        <f t="shared" si="30"/>
        <v/>
      </c>
      <c r="CG53" s="5088" t="str">
        <f t="shared" si="31"/>
        <v/>
      </c>
      <c r="CH53" s="5088" t="str">
        <f t="shared" si="32"/>
        <v/>
      </c>
      <c r="CK53" s="5089">
        <f t="shared" si="33"/>
        <v>0</v>
      </c>
      <c r="CL53" s="5089">
        <f t="shared" si="34"/>
        <v>0</v>
      </c>
      <c r="CM53" s="5089">
        <f t="shared" si="35"/>
        <v>0</v>
      </c>
      <c r="CN53" s="5089">
        <f t="shared" si="38"/>
        <v>0</v>
      </c>
      <c r="CO53" s="5089">
        <f t="shared" si="36"/>
        <v>0</v>
      </c>
      <c r="CP53" s="5089">
        <f t="shared" si="36"/>
        <v>0</v>
      </c>
      <c r="CQ53" s="5089">
        <f t="shared" si="36"/>
        <v>0</v>
      </c>
      <c r="CR53" s="5089">
        <f t="shared" si="39"/>
        <v>0</v>
      </c>
    </row>
    <row r="54" spans="1:96" s="5077" customFormat="1" ht="15" customHeight="1">
      <c r="A54" s="1947" t="s">
        <v>1258</v>
      </c>
      <c r="B54" s="5081">
        <f t="shared" si="40"/>
        <v>0</v>
      </c>
      <c r="C54" s="4575"/>
      <c r="D54" s="4576"/>
      <c r="E54" s="4576"/>
      <c r="F54" s="4576"/>
      <c r="G54" s="4576"/>
      <c r="H54" s="4576"/>
      <c r="I54" s="4576"/>
      <c r="J54" s="4576"/>
      <c r="K54" s="4576"/>
      <c r="L54" s="4576"/>
      <c r="M54" s="4576"/>
      <c r="N54" s="4576"/>
      <c r="O54" s="4576"/>
      <c r="P54" s="4576"/>
      <c r="Q54" s="4576"/>
      <c r="R54" s="4576"/>
      <c r="S54" s="5090"/>
      <c r="T54" s="5166"/>
      <c r="U54" s="5096"/>
      <c r="V54" s="5166"/>
      <c r="W54" s="5096"/>
      <c r="X54" s="5166"/>
      <c r="Y54" s="5096"/>
      <c r="Z54" s="3970">
        <f t="shared" si="23"/>
        <v>0</v>
      </c>
      <c r="AA54" s="5166"/>
      <c r="AB54" s="5167"/>
      <c r="AC54" s="5167"/>
      <c r="AD54" s="5096"/>
      <c r="AE54" s="3970">
        <f t="shared" si="24"/>
        <v>0</v>
      </c>
      <c r="AF54" s="5166"/>
      <c r="AG54" s="5167"/>
      <c r="AH54" s="5167"/>
      <c r="AI54" s="5168"/>
      <c r="AJ54" s="5163"/>
      <c r="AK54" s="5164"/>
      <c r="AL54" s="5165"/>
      <c r="AM54" s="4601"/>
      <c r="AN54" s="4601"/>
      <c r="AO54" s="5093"/>
      <c r="AP54" s="4599"/>
      <c r="AQ54" s="4601"/>
      <c r="AR54" s="5093"/>
      <c r="AS54" s="4599"/>
      <c r="AT54" s="5077" t="str">
        <f t="shared" si="37"/>
        <v/>
      </c>
      <c r="CA54" s="5088" t="str">
        <f t="shared" si="25"/>
        <v/>
      </c>
      <c r="CB54" s="5088" t="str">
        <f t="shared" si="26"/>
        <v/>
      </c>
      <c r="CC54" s="5088" t="str">
        <f t="shared" si="27"/>
        <v/>
      </c>
      <c r="CD54" s="5088" t="str">
        <f t="shared" si="28"/>
        <v/>
      </c>
      <c r="CE54" s="5088" t="str">
        <f t="shared" si="29"/>
        <v/>
      </c>
      <c r="CF54" s="5088" t="str">
        <f t="shared" si="30"/>
        <v/>
      </c>
      <c r="CG54" s="5088" t="str">
        <f t="shared" si="31"/>
        <v/>
      </c>
      <c r="CH54" s="5088" t="str">
        <f t="shared" si="32"/>
        <v/>
      </c>
      <c r="CK54" s="5089">
        <f t="shared" si="33"/>
        <v>0</v>
      </c>
      <c r="CL54" s="5089">
        <f t="shared" si="34"/>
        <v>0</v>
      </c>
      <c r="CM54" s="5089">
        <f t="shared" si="35"/>
        <v>0</v>
      </c>
      <c r="CN54" s="5089">
        <f t="shared" si="38"/>
        <v>0</v>
      </c>
      <c r="CO54" s="5089">
        <f t="shared" si="36"/>
        <v>0</v>
      </c>
      <c r="CP54" s="5089">
        <f t="shared" si="36"/>
        <v>0</v>
      </c>
      <c r="CQ54" s="5089">
        <f t="shared" si="36"/>
        <v>0</v>
      </c>
      <c r="CR54" s="5089">
        <f t="shared" si="39"/>
        <v>0</v>
      </c>
    </row>
    <row r="55" spans="1:96" s="5077" customFormat="1" ht="15" customHeight="1">
      <c r="A55" s="3970" t="s">
        <v>1259</v>
      </c>
      <c r="B55" s="5081">
        <f t="shared" si="40"/>
        <v>0</v>
      </c>
      <c r="C55" s="4575"/>
      <c r="D55" s="4576"/>
      <c r="E55" s="4576"/>
      <c r="F55" s="4576"/>
      <c r="G55" s="4576"/>
      <c r="H55" s="4576"/>
      <c r="I55" s="4576"/>
      <c r="J55" s="4576"/>
      <c r="K55" s="4576"/>
      <c r="L55" s="4576"/>
      <c r="M55" s="4576"/>
      <c r="N55" s="4576"/>
      <c r="O55" s="4576"/>
      <c r="P55" s="4576"/>
      <c r="Q55" s="4576"/>
      <c r="R55" s="4576"/>
      <c r="S55" s="5090"/>
      <c r="T55" s="5166"/>
      <c r="U55" s="5096"/>
      <c r="V55" s="5166"/>
      <c r="W55" s="5096"/>
      <c r="X55" s="5166"/>
      <c r="Y55" s="5096"/>
      <c r="Z55" s="3970">
        <f t="shared" si="23"/>
        <v>0</v>
      </c>
      <c r="AA55" s="5166"/>
      <c r="AB55" s="5167"/>
      <c r="AC55" s="5167"/>
      <c r="AD55" s="5096"/>
      <c r="AE55" s="3970">
        <f t="shared" si="24"/>
        <v>0</v>
      </c>
      <c r="AF55" s="5166"/>
      <c r="AG55" s="5167"/>
      <c r="AH55" s="5167"/>
      <c r="AI55" s="5168"/>
      <c r="AJ55" s="5163"/>
      <c r="AK55" s="5164"/>
      <c r="AL55" s="5165"/>
      <c r="AM55" s="4601"/>
      <c r="AN55" s="4601"/>
      <c r="AO55" s="5093"/>
      <c r="AP55" s="4599"/>
      <c r="AQ55" s="4601"/>
      <c r="AR55" s="5093"/>
      <c r="AS55" s="4599"/>
      <c r="AT55" s="5077" t="str">
        <f t="shared" si="37"/>
        <v/>
      </c>
      <c r="CA55" s="5088" t="str">
        <f t="shared" si="25"/>
        <v/>
      </c>
      <c r="CB55" s="5088" t="str">
        <f t="shared" si="26"/>
        <v/>
      </c>
      <c r="CC55" s="5088" t="str">
        <f t="shared" si="27"/>
        <v/>
      </c>
      <c r="CD55" s="5088" t="str">
        <f t="shared" si="28"/>
        <v/>
      </c>
      <c r="CE55" s="5088" t="str">
        <f t="shared" si="29"/>
        <v/>
      </c>
      <c r="CF55" s="5088" t="str">
        <f t="shared" si="30"/>
        <v/>
      </c>
      <c r="CG55" s="5088" t="str">
        <f t="shared" si="31"/>
        <v/>
      </c>
      <c r="CH55" s="5088" t="str">
        <f t="shared" si="32"/>
        <v/>
      </c>
      <c r="CK55" s="5089">
        <f t="shared" si="33"/>
        <v>0</v>
      </c>
      <c r="CL55" s="5089">
        <f t="shared" si="34"/>
        <v>0</v>
      </c>
      <c r="CM55" s="5089">
        <f t="shared" si="35"/>
        <v>0</v>
      </c>
      <c r="CN55" s="5089">
        <f t="shared" si="38"/>
        <v>0</v>
      </c>
      <c r="CO55" s="5089">
        <f t="shared" si="36"/>
        <v>0</v>
      </c>
      <c r="CP55" s="5089">
        <f t="shared" si="36"/>
        <v>0</v>
      </c>
      <c r="CQ55" s="5089">
        <f t="shared" si="36"/>
        <v>0</v>
      </c>
      <c r="CR55" s="5089">
        <f t="shared" si="39"/>
        <v>0</v>
      </c>
    </row>
    <row r="56" spans="1:96" s="5077" customFormat="1" ht="15" customHeight="1">
      <c r="A56" s="3970" t="s">
        <v>1260</v>
      </c>
      <c r="B56" s="5081">
        <f t="shared" si="40"/>
        <v>0</v>
      </c>
      <c r="C56" s="4575"/>
      <c r="D56" s="4576"/>
      <c r="E56" s="4576"/>
      <c r="F56" s="4576"/>
      <c r="G56" s="4576"/>
      <c r="H56" s="4576"/>
      <c r="I56" s="4576"/>
      <c r="J56" s="4576"/>
      <c r="K56" s="4576"/>
      <c r="L56" s="4576"/>
      <c r="M56" s="4576"/>
      <c r="N56" s="4576"/>
      <c r="O56" s="4576"/>
      <c r="P56" s="4576"/>
      <c r="Q56" s="4576"/>
      <c r="R56" s="4576"/>
      <c r="S56" s="5090"/>
      <c r="T56" s="5166"/>
      <c r="U56" s="5096"/>
      <c r="V56" s="5166"/>
      <c r="W56" s="5096"/>
      <c r="X56" s="5166"/>
      <c r="Y56" s="5096"/>
      <c r="Z56" s="3970">
        <f t="shared" si="23"/>
        <v>0</v>
      </c>
      <c r="AA56" s="5166"/>
      <c r="AB56" s="5167"/>
      <c r="AC56" s="5167"/>
      <c r="AD56" s="5096"/>
      <c r="AE56" s="3970">
        <f t="shared" si="24"/>
        <v>0</v>
      </c>
      <c r="AF56" s="5166"/>
      <c r="AG56" s="5167"/>
      <c r="AH56" s="5167"/>
      <c r="AI56" s="5168"/>
      <c r="AJ56" s="5163"/>
      <c r="AK56" s="5164"/>
      <c r="AL56" s="5165"/>
      <c r="AM56" s="4601"/>
      <c r="AN56" s="4601"/>
      <c r="AO56" s="5093"/>
      <c r="AP56" s="4599"/>
      <c r="AQ56" s="4601"/>
      <c r="AR56" s="5093"/>
      <c r="AS56" s="4599"/>
      <c r="AT56" s="5077" t="str">
        <f t="shared" si="37"/>
        <v/>
      </c>
      <c r="CA56" s="5088" t="str">
        <f t="shared" si="25"/>
        <v/>
      </c>
      <c r="CB56" s="5088" t="str">
        <f t="shared" si="26"/>
        <v/>
      </c>
      <c r="CC56" s="5088" t="str">
        <f t="shared" si="27"/>
        <v/>
      </c>
      <c r="CD56" s="5088" t="str">
        <f t="shared" si="28"/>
        <v/>
      </c>
      <c r="CE56" s="5088" t="str">
        <f t="shared" si="29"/>
        <v/>
      </c>
      <c r="CF56" s="5088" t="str">
        <f t="shared" si="30"/>
        <v/>
      </c>
      <c r="CG56" s="5088" t="str">
        <f t="shared" si="31"/>
        <v/>
      </c>
      <c r="CH56" s="5088" t="str">
        <f t="shared" si="32"/>
        <v/>
      </c>
      <c r="CK56" s="5089">
        <f t="shared" si="33"/>
        <v>0</v>
      </c>
      <c r="CL56" s="5089">
        <f t="shared" si="34"/>
        <v>0</v>
      </c>
      <c r="CM56" s="5089">
        <f t="shared" si="35"/>
        <v>0</v>
      </c>
      <c r="CN56" s="5089">
        <f t="shared" si="38"/>
        <v>0</v>
      </c>
      <c r="CO56" s="5089">
        <f t="shared" si="36"/>
        <v>0</v>
      </c>
      <c r="CP56" s="5089">
        <f t="shared" si="36"/>
        <v>0</v>
      </c>
      <c r="CQ56" s="5089">
        <f t="shared" si="36"/>
        <v>0</v>
      </c>
      <c r="CR56" s="5089">
        <f t="shared" si="39"/>
        <v>0</v>
      </c>
    </row>
    <row r="57" spans="1:96" s="5077" customFormat="1" ht="15" customHeight="1">
      <c r="A57" s="3970" t="s">
        <v>1261</v>
      </c>
      <c r="B57" s="5081">
        <f t="shared" si="40"/>
        <v>0</v>
      </c>
      <c r="C57" s="4575"/>
      <c r="D57" s="4576"/>
      <c r="E57" s="4576"/>
      <c r="F57" s="4576"/>
      <c r="G57" s="4576"/>
      <c r="H57" s="4576"/>
      <c r="I57" s="4576"/>
      <c r="J57" s="4576"/>
      <c r="K57" s="4576"/>
      <c r="L57" s="4576"/>
      <c r="M57" s="4576"/>
      <c r="N57" s="4576"/>
      <c r="O57" s="4576"/>
      <c r="P57" s="4576"/>
      <c r="Q57" s="4576"/>
      <c r="R57" s="4576"/>
      <c r="S57" s="5090"/>
      <c r="T57" s="5166"/>
      <c r="U57" s="5096"/>
      <c r="V57" s="5166"/>
      <c r="W57" s="5096"/>
      <c r="X57" s="5166"/>
      <c r="Y57" s="5096"/>
      <c r="Z57" s="3970">
        <f t="shared" si="23"/>
        <v>0</v>
      </c>
      <c r="AA57" s="5166"/>
      <c r="AB57" s="5167"/>
      <c r="AC57" s="5167"/>
      <c r="AD57" s="5096"/>
      <c r="AE57" s="3970">
        <f t="shared" si="24"/>
        <v>0</v>
      </c>
      <c r="AF57" s="5166"/>
      <c r="AG57" s="5167"/>
      <c r="AH57" s="5167"/>
      <c r="AI57" s="5168"/>
      <c r="AJ57" s="5163"/>
      <c r="AK57" s="5164"/>
      <c r="AL57" s="5165"/>
      <c r="AM57" s="4601"/>
      <c r="AN57" s="4601"/>
      <c r="AO57" s="5093"/>
      <c r="AP57" s="4599"/>
      <c r="AQ57" s="4601"/>
      <c r="AR57" s="5093"/>
      <c r="AS57" s="4599"/>
      <c r="AT57" s="5077" t="str">
        <f t="shared" si="37"/>
        <v/>
      </c>
      <c r="CA57" s="5088" t="str">
        <f t="shared" si="25"/>
        <v/>
      </c>
      <c r="CB57" s="5088" t="str">
        <f t="shared" si="26"/>
        <v/>
      </c>
      <c r="CC57" s="5088" t="str">
        <f t="shared" si="27"/>
        <v/>
      </c>
      <c r="CD57" s="5088" t="str">
        <f t="shared" si="28"/>
        <v/>
      </c>
      <c r="CE57" s="5088" t="str">
        <f t="shared" si="29"/>
        <v/>
      </c>
      <c r="CF57" s="5088" t="str">
        <f t="shared" si="30"/>
        <v/>
      </c>
      <c r="CG57" s="5088" t="str">
        <f t="shared" si="31"/>
        <v/>
      </c>
      <c r="CH57" s="5088" t="str">
        <f t="shared" si="32"/>
        <v/>
      </c>
      <c r="CK57" s="5089">
        <f t="shared" si="33"/>
        <v>0</v>
      </c>
      <c r="CL57" s="5089">
        <f t="shared" si="34"/>
        <v>0</v>
      </c>
      <c r="CM57" s="5089">
        <f t="shared" si="35"/>
        <v>0</v>
      </c>
      <c r="CN57" s="5089">
        <f t="shared" si="38"/>
        <v>0</v>
      </c>
      <c r="CO57" s="5089">
        <f t="shared" si="36"/>
        <v>0</v>
      </c>
      <c r="CP57" s="5089">
        <f t="shared" si="36"/>
        <v>0</v>
      </c>
      <c r="CQ57" s="5089">
        <f t="shared" si="36"/>
        <v>0</v>
      </c>
      <c r="CR57" s="5089">
        <f t="shared" si="39"/>
        <v>0</v>
      </c>
    </row>
    <row r="58" spans="1:96" s="5077" customFormat="1" ht="15" customHeight="1">
      <c r="A58" s="3970" t="s">
        <v>1262</v>
      </c>
      <c r="B58" s="5081">
        <f t="shared" si="40"/>
        <v>0</v>
      </c>
      <c r="C58" s="5171"/>
      <c r="D58" s="5169"/>
      <c r="E58" s="5169"/>
      <c r="F58" s="5169"/>
      <c r="G58" s="5169"/>
      <c r="H58" s="5169"/>
      <c r="I58" s="5169"/>
      <c r="J58" s="5169"/>
      <c r="K58" s="5169"/>
      <c r="L58" s="5169"/>
      <c r="M58" s="5169"/>
      <c r="N58" s="5169"/>
      <c r="O58" s="4576"/>
      <c r="P58" s="4576"/>
      <c r="Q58" s="4576"/>
      <c r="R58" s="4576"/>
      <c r="S58" s="5090"/>
      <c r="T58" s="5166"/>
      <c r="U58" s="5096"/>
      <c r="V58" s="5166"/>
      <c r="W58" s="5096"/>
      <c r="X58" s="5166"/>
      <c r="Y58" s="5096"/>
      <c r="Z58" s="3970">
        <f t="shared" si="23"/>
        <v>0</v>
      </c>
      <c r="AA58" s="5166"/>
      <c r="AB58" s="5167"/>
      <c r="AC58" s="5167"/>
      <c r="AD58" s="5096"/>
      <c r="AE58" s="3970">
        <f t="shared" si="24"/>
        <v>0</v>
      </c>
      <c r="AF58" s="5166"/>
      <c r="AG58" s="5167"/>
      <c r="AH58" s="5167"/>
      <c r="AI58" s="5168"/>
      <c r="AJ58" s="5163"/>
      <c r="AK58" s="5164"/>
      <c r="AL58" s="5165"/>
      <c r="AM58" s="4601"/>
      <c r="AN58" s="4601"/>
      <c r="AO58" s="5093"/>
      <c r="AP58" s="4599"/>
      <c r="AQ58" s="4601"/>
      <c r="AR58" s="5093"/>
      <c r="AS58" s="4599"/>
      <c r="AT58" s="5077" t="str">
        <f t="shared" si="37"/>
        <v/>
      </c>
      <c r="CA58" s="5088" t="str">
        <f t="shared" si="25"/>
        <v/>
      </c>
      <c r="CB58" s="5088" t="str">
        <f t="shared" si="26"/>
        <v/>
      </c>
      <c r="CC58" s="5088" t="str">
        <f t="shared" si="27"/>
        <v/>
      </c>
      <c r="CD58" s="5088" t="str">
        <f t="shared" si="28"/>
        <v/>
      </c>
      <c r="CE58" s="5088" t="str">
        <f t="shared" si="29"/>
        <v/>
      </c>
      <c r="CF58" s="5088" t="str">
        <f t="shared" si="30"/>
        <v/>
      </c>
      <c r="CG58" s="5088" t="str">
        <f t="shared" si="31"/>
        <v/>
      </c>
      <c r="CH58" s="5088" t="str">
        <f t="shared" si="32"/>
        <v/>
      </c>
      <c r="CK58" s="5089">
        <f t="shared" si="33"/>
        <v>0</v>
      </c>
      <c r="CL58" s="5089">
        <f t="shared" si="34"/>
        <v>0</v>
      </c>
      <c r="CM58" s="5089">
        <f t="shared" si="35"/>
        <v>0</v>
      </c>
      <c r="CN58" s="5089">
        <f t="shared" si="38"/>
        <v>0</v>
      </c>
      <c r="CO58" s="5089">
        <f t="shared" si="36"/>
        <v>0</v>
      </c>
      <c r="CP58" s="5089">
        <f t="shared" si="36"/>
        <v>0</v>
      </c>
      <c r="CQ58" s="5089">
        <f t="shared" si="36"/>
        <v>0</v>
      </c>
      <c r="CR58" s="5089">
        <f t="shared" si="39"/>
        <v>0</v>
      </c>
    </row>
    <row r="59" spans="1:96" s="5077" customFormat="1" ht="15" customHeight="1">
      <c r="A59" s="1947" t="s">
        <v>1263</v>
      </c>
      <c r="B59" s="5081">
        <f t="shared" si="40"/>
        <v>0</v>
      </c>
      <c r="C59" s="4575"/>
      <c r="D59" s="4576"/>
      <c r="E59" s="4576"/>
      <c r="F59" s="5172"/>
      <c r="G59" s="5172"/>
      <c r="H59" s="5172"/>
      <c r="I59" s="5172"/>
      <c r="J59" s="5172"/>
      <c r="K59" s="5172"/>
      <c r="L59" s="4576"/>
      <c r="M59" s="4576"/>
      <c r="N59" s="4576"/>
      <c r="O59" s="4576"/>
      <c r="P59" s="4576"/>
      <c r="Q59" s="4576"/>
      <c r="R59" s="4576"/>
      <c r="S59" s="5090"/>
      <c r="T59" s="5166"/>
      <c r="U59" s="5096"/>
      <c r="V59" s="5166"/>
      <c r="W59" s="5096"/>
      <c r="X59" s="5166"/>
      <c r="Y59" s="5096"/>
      <c r="Z59" s="3970">
        <f t="shared" si="23"/>
        <v>0</v>
      </c>
      <c r="AA59" s="5166"/>
      <c r="AB59" s="5167"/>
      <c r="AC59" s="5167"/>
      <c r="AD59" s="5096"/>
      <c r="AE59" s="3970">
        <f t="shared" si="24"/>
        <v>0</v>
      </c>
      <c r="AF59" s="5166"/>
      <c r="AG59" s="5167"/>
      <c r="AH59" s="5167"/>
      <c r="AI59" s="5168"/>
      <c r="AJ59" s="5163"/>
      <c r="AK59" s="5164"/>
      <c r="AL59" s="5165"/>
      <c r="AM59" s="4601"/>
      <c r="AN59" s="4601"/>
      <c r="AO59" s="5093"/>
      <c r="AP59" s="4599"/>
      <c r="AQ59" s="4601"/>
      <c r="AR59" s="5093"/>
      <c r="AS59" s="4599"/>
      <c r="AT59" s="5077" t="str">
        <f t="shared" si="37"/>
        <v/>
      </c>
      <c r="CA59" s="5088" t="str">
        <f t="shared" si="25"/>
        <v/>
      </c>
      <c r="CB59" s="5088" t="str">
        <f t="shared" si="26"/>
        <v/>
      </c>
      <c r="CC59" s="5088" t="str">
        <f t="shared" si="27"/>
        <v/>
      </c>
      <c r="CD59" s="5088" t="str">
        <f t="shared" si="28"/>
        <v/>
      </c>
      <c r="CE59" s="5088" t="str">
        <f t="shared" si="29"/>
        <v/>
      </c>
      <c r="CF59" s="5088" t="str">
        <f t="shared" si="30"/>
        <v/>
      </c>
      <c r="CG59" s="5088" t="str">
        <f t="shared" si="31"/>
        <v/>
      </c>
      <c r="CH59" s="5088" t="str">
        <f t="shared" si="32"/>
        <v/>
      </c>
      <c r="CK59" s="5089">
        <f t="shared" si="33"/>
        <v>0</v>
      </c>
      <c r="CL59" s="5089">
        <f t="shared" si="34"/>
        <v>0</v>
      </c>
      <c r="CM59" s="5089">
        <f t="shared" si="35"/>
        <v>0</v>
      </c>
      <c r="CN59" s="5089">
        <f t="shared" si="38"/>
        <v>0</v>
      </c>
      <c r="CO59" s="5089">
        <f t="shared" si="36"/>
        <v>0</v>
      </c>
      <c r="CP59" s="5089">
        <f t="shared" si="36"/>
        <v>0</v>
      </c>
      <c r="CQ59" s="5089">
        <f t="shared" si="36"/>
        <v>0</v>
      </c>
      <c r="CR59" s="5089">
        <f t="shared" si="39"/>
        <v>0</v>
      </c>
    </row>
    <row r="60" spans="1:96" s="5077" customFormat="1" ht="15" customHeight="1">
      <c r="A60" s="2329" t="s">
        <v>1264</v>
      </c>
      <c r="B60" s="5081">
        <f t="shared" si="40"/>
        <v>0</v>
      </c>
      <c r="C60" s="5173"/>
      <c r="D60" s="5172"/>
      <c r="E60" s="5172"/>
      <c r="F60" s="5172"/>
      <c r="G60" s="4576"/>
      <c r="H60" s="4576"/>
      <c r="I60" s="4576"/>
      <c r="J60" s="4576"/>
      <c r="K60" s="4576"/>
      <c r="L60" s="4576"/>
      <c r="M60" s="4576"/>
      <c r="N60" s="4576"/>
      <c r="O60" s="4576"/>
      <c r="P60" s="4576"/>
      <c r="Q60" s="4576"/>
      <c r="R60" s="4576"/>
      <c r="S60" s="5090"/>
      <c r="T60" s="5166"/>
      <c r="U60" s="5096"/>
      <c r="V60" s="5166"/>
      <c r="W60" s="5096"/>
      <c r="X60" s="5166"/>
      <c r="Y60" s="5096"/>
      <c r="Z60" s="3970">
        <f t="shared" si="23"/>
        <v>0</v>
      </c>
      <c r="AA60" s="5166"/>
      <c r="AB60" s="5167"/>
      <c r="AC60" s="5167"/>
      <c r="AD60" s="5096"/>
      <c r="AE60" s="3970">
        <f t="shared" si="24"/>
        <v>0</v>
      </c>
      <c r="AF60" s="5166"/>
      <c r="AG60" s="5167"/>
      <c r="AH60" s="5167"/>
      <c r="AI60" s="5168"/>
      <c r="AJ60" s="5163"/>
      <c r="AK60" s="5164"/>
      <c r="AL60" s="5165"/>
      <c r="AM60" s="4601"/>
      <c r="AN60" s="4601"/>
      <c r="AO60" s="5093"/>
      <c r="AP60" s="4599"/>
      <c r="AQ60" s="4601"/>
      <c r="AR60" s="5093"/>
      <c r="AS60" s="4599"/>
      <c r="AT60" s="5077" t="str">
        <f t="shared" si="37"/>
        <v/>
      </c>
      <c r="CA60" s="5088" t="str">
        <f t="shared" si="25"/>
        <v/>
      </c>
      <c r="CB60" s="5088" t="str">
        <f t="shared" si="26"/>
        <v/>
      </c>
      <c r="CC60" s="5088" t="str">
        <f t="shared" si="27"/>
        <v/>
      </c>
      <c r="CD60" s="5088" t="str">
        <f t="shared" si="28"/>
        <v/>
      </c>
      <c r="CE60" s="5088" t="str">
        <f t="shared" si="29"/>
        <v/>
      </c>
      <c r="CF60" s="5088" t="str">
        <f t="shared" si="30"/>
        <v/>
      </c>
      <c r="CG60" s="5088" t="str">
        <f t="shared" si="31"/>
        <v/>
      </c>
      <c r="CH60" s="5088" t="str">
        <f t="shared" si="32"/>
        <v/>
      </c>
      <c r="CK60" s="5089">
        <f t="shared" si="33"/>
        <v>0</v>
      </c>
      <c r="CL60" s="5089">
        <f t="shared" si="34"/>
        <v>0</v>
      </c>
      <c r="CM60" s="5089">
        <f t="shared" si="35"/>
        <v>0</v>
      </c>
      <c r="CN60" s="5089">
        <f t="shared" si="38"/>
        <v>0</v>
      </c>
      <c r="CO60" s="5089">
        <f t="shared" si="36"/>
        <v>0</v>
      </c>
      <c r="CP60" s="5089">
        <f t="shared" si="36"/>
        <v>0</v>
      </c>
      <c r="CQ60" s="5089">
        <f t="shared" si="36"/>
        <v>0</v>
      </c>
      <c r="CR60" s="5089">
        <f t="shared" si="39"/>
        <v>0</v>
      </c>
    </row>
    <row r="61" spans="1:96" s="5077" customFormat="1" ht="15" customHeight="1">
      <c r="A61" s="3970" t="s">
        <v>3849</v>
      </c>
      <c r="B61" s="5081">
        <f t="shared" si="40"/>
        <v>0</v>
      </c>
      <c r="C61" s="5173"/>
      <c r="D61" s="5172"/>
      <c r="E61" s="5172"/>
      <c r="F61" s="5172"/>
      <c r="G61" s="5172"/>
      <c r="H61" s="5172"/>
      <c r="I61" s="5172"/>
      <c r="J61" s="5172"/>
      <c r="K61" s="5172"/>
      <c r="L61" s="4576"/>
      <c r="M61" s="4576"/>
      <c r="N61" s="4576"/>
      <c r="O61" s="4576"/>
      <c r="P61" s="4576"/>
      <c r="Q61" s="4576"/>
      <c r="R61" s="4576"/>
      <c r="S61" s="5090"/>
      <c r="T61" s="5166"/>
      <c r="U61" s="5096"/>
      <c r="V61" s="5166"/>
      <c r="W61" s="5096"/>
      <c r="X61" s="5166"/>
      <c r="Y61" s="5096"/>
      <c r="Z61" s="3970">
        <f t="shared" si="23"/>
        <v>0</v>
      </c>
      <c r="AA61" s="5166"/>
      <c r="AB61" s="5167"/>
      <c r="AC61" s="5167"/>
      <c r="AD61" s="5096"/>
      <c r="AE61" s="3970">
        <f t="shared" si="24"/>
        <v>0</v>
      </c>
      <c r="AF61" s="5166"/>
      <c r="AG61" s="5167"/>
      <c r="AH61" s="5167"/>
      <c r="AI61" s="5168"/>
      <c r="AJ61" s="5163"/>
      <c r="AK61" s="5164"/>
      <c r="AL61" s="5165"/>
      <c r="AM61" s="4601"/>
      <c r="AN61" s="4601"/>
      <c r="AO61" s="5093"/>
      <c r="AP61" s="4599"/>
      <c r="AQ61" s="4601"/>
      <c r="AR61" s="5093"/>
      <c r="AS61" s="4599"/>
      <c r="AT61" s="5077" t="str">
        <f t="shared" si="37"/>
        <v/>
      </c>
      <c r="CA61" s="5088" t="str">
        <f t="shared" si="25"/>
        <v/>
      </c>
      <c r="CB61" s="5088" t="str">
        <f t="shared" si="26"/>
        <v/>
      </c>
      <c r="CC61" s="5088" t="str">
        <f t="shared" si="27"/>
        <v/>
      </c>
      <c r="CD61" s="5088" t="str">
        <f t="shared" si="28"/>
        <v/>
      </c>
      <c r="CE61" s="5088" t="str">
        <f t="shared" si="29"/>
        <v/>
      </c>
      <c r="CF61" s="5088" t="str">
        <f t="shared" si="30"/>
        <v/>
      </c>
      <c r="CG61" s="5088" t="str">
        <f t="shared" si="31"/>
        <v/>
      </c>
      <c r="CH61" s="5088" t="str">
        <f t="shared" si="32"/>
        <v/>
      </c>
      <c r="CK61" s="5089">
        <f t="shared" si="33"/>
        <v>0</v>
      </c>
      <c r="CL61" s="5089">
        <f t="shared" si="34"/>
        <v>0</v>
      </c>
      <c r="CM61" s="5089">
        <f t="shared" si="35"/>
        <v>0</v>
      </c>
      <c r="CN61" s="5089">
        <f t="shared" si="38"/>
        <v>0</v>
      </c>
      <c r="CO61" s="5089">
        <f t="shared" si="36"/>
        <v>0</v>
      </c>
      <c r="CP61" s="5089">
        <f t="shared" si="36"/>
        <v>0</v>
      </c>
      <c r="CQ61" s="5089">
        <f t="shared" si="36"/>
        <v>0</v>
      </c>
      <c r="CR61" s="5089">
        <f t="shared" si="39"/>
        <v>0</v>
      </c>
    </row>
    <row r="62" spans="1:96" s="5077" customFormat="1" ht="15" customHeight="1">
      <c r="A62" s="3970" t="s">
        <v>3850</v>
      </c>
      <c r="B62" s="5081">
        <f t="shared" si="40"/>
        <v>0</v>
      </c>
      <c r="C62" s="5173"/>
      <c r="D62" s="5172"/>
      <c r="E62" s="5172"/>
      <c r="F62" s="4576"/>
      <c r="G62" s="4576"/>
      <c r="H62" s="4576"/>
      <c r="I62" s="4576"/>
      <c r="J62" s="4576"/>
      <c r="K62" s="4576"/>
      <c r="L62" s="4576"/>
      <c r="M62" s="4576"/>
      <c r="N62" s="4576"/>
      <c r="O62" s="4576"/>
      <c r="P62" s="4576"/>
      <c r="Q62" s="4576"/>
      <c r="R62" s="4576"/>
      <c r="S62" s="5090"/>
      <c r="T62" s="5166"/>
      <c r="U62" s="5096"/>
      <c r="V62" s="5166"/>
      <c r="W62" s="5096"/>
      <c r="X62" s="5166"/>
      <c r="Y62" s="5096"/>
      <c r="Z62" s="3970">
        <f t="shared" si="23"/>
        <v>0</v>
      </c>
      <c r="AA62" s="5166"/>
      <c r="AB62" s="5167"/>
      <c r="AC62" s="5167"/>
      <c r="AD62" s="5096"/>
      <c r="AE62" s="3970">
        <f t="shared" si="24"/>
        <v>0</v>
      </c>
      <c r="AF62" s="5166"/>
      <c r="AG62" s="5167"/>
      <c r="AH62" s="5167"/>
      <c r="AI62" s="5168"/>
      <c r="AJ62" s="5163"/>
      <c r="AK62" s="5164"/>
      <c r="AL62" s="5165"/>
      <c r="AM62" s="4601"/>
      <c r="AN62" s="4601"/>
      <c r="AO62" s="5093"/>
      <c r="AP62" s="4599"/>
      <c r="AQ62" s="4601"/>
      <c r="AR62" s="5093"/>
      <c r="AS62" s="4599"/>
      <c r="AT62" s="5077" t="str">
        <f t="shared" si="37"/>
        <v/>
      </c>
      <c r="CA62" s="5088" t="str">
        <f t="shared" si="25"/>
        <v/>
      </c>
      <c r="CB62" s="5088" t="str">
        <f t="shared" si="26"/>
        <v/>
      </c>
      <c r="CC62" s="5088" t="str">
        <f t="shared" si="27"/>
        <v/>
      </c>
      <c r="CD62" s="5088" t="str">
        <f t="shared" si="28"/>
        <v/>
      </c>
      <c r="CE62" s="5088" t="str">
        <f t="shared" si="29"/>
        <v/>
      </c>
      <c r="CF62" s="5088" t="str">
        <f t="shared" si="30"/>
        <v/>
      </c>
      <c r="CG62" s="5088" t="str">
        <f t="shared" si="31"/>
        <v/>
      </c>
      <c r="CH62" s="5088" t="str">
        <f t="shared" si="32"/>
        <v/>
      </c>
      <c r="CK62" s="5089">
        <f t="shared" si="33"/>
        <v>0</v>
      </c>
      <c r="CL62" s="5089">
        <f t="shared" si="34"/>
        <v>0</v>
      </c>
      <c r="CM62" s="5089">
        <f t="shared" si="35"/>
        <v>0</v>
      </c>
      <c r="CN62" s="5089">
        <f t="shared" si="38"/>
        <v>0</v>
      </c>
      <c r="CO62" s="5089">
        <f t="shared" si="36"/>
        <v>0</v>
      </c>
      <c r="CP62" s="5089">
        <f t="shared" si="36"/>
        <v>0</v>
      </c>
      <c r="CQ62" s="5089">
        <f t="shared" si="36"/>
        <v>0</v>
      </c>
      <c r="CR62" s="5089">
        <f t="shared" si="39"/>
        <v>0</v>
      </c>
    </row>
    <row r="63" spans="1:96" s="5077" customFormat="1" ht="15" customHeight="1">
      <c r="A63" s="3970" t="s">
        <v>3851</v>
      </c>
      <c r="B63" s="5081">
        <f t="shared" si="40"/>
        <v>0</v>
      </c>
      <c r="C63" s="5173"/>
      <c r="D63" s="5172"/>
      <c r="E63" s="5172"/>
      <c r="F63" s="4576"/>
      <c r="G63" s="4576"/>
      <c r="H63" s="4576"/>
      <c r="I63" s="4576"/>
      <c r="J63" s="4576"/>
      <c r="K63" s="4576"/>
      <c r="L63" s="4576"/>
      <c r="M63" s="4576"/>
      <c r="N63" s="4576"/>
      <c r="O63" s="4576"/>
      <c r="P63" s="4576"/>
      <c r="Q63" s="4576"/>
      <c r="R63" s="4576"/>
      <c r="S63" s="5090"/>
      <c r="T63" s="5166"/>
      <c r="U63" s="5096"/>
      <c r="V63" s="5166"/>
      <c r="W63" s="5096"/>
      <c r="X63" s="5166"/>
      <c r="Y63" s="5096"/>
      <c r="Z63" s="3970">
        <f t="shared" si="23"/>
        <v>0</v>
      </c>
      <c r="AA63" s="5166"/>
      <c r="AB63" s="5167"/>
      <c r="AC63" s="5167"/>
      <c r="AD63" s="5096"/>
      <c r="AE63" s="3970">
        <f t="shared" si="24"/>
        <v>0</v>
      </c>
      <c r="AF63" s="5166"/>
      <c r="AG63" s="5167"/>
      <c r="AH63" s="5167"/>
      <c r="AI63" s="5168"/>
      <c r="AJ63" s="5163"/>
      <c r="AK63" s="5164"/>
      <c r="AL63" s="5165"/>
      <c r="AM63" s="4601"/>
      <c r="AN63" s="4601"/>
      <c r="AO63" s="5093"/>
      <c r="AP63" s="4599"/>
      <c r="AQ63" s="4601"/>
      <c r="AR63" s="5093"/>
      <c r="AS63" s="4599"/>
      <c r="AT63" s="5077" t="str">
        <f t="shared" si="37"/>
        <v/>
      </c>
      <c r="CA63" s="5088" t="str">
        <f t="shared" si="25"/>
        <v/>
      </c>
      <c r="CB63" s="5088" t="str">
        <f t="shared" si="26"/>
        <v/>
      </c>
      <c r="CC63" s="5088" t="str">
        <f t="shared" si="27"/>
        <v/>
      </c>
      <c r="CD63" s="5088" t="str">
        <f t="shared" si="28"/>
        <v/>
      </c>
      <c r="CE63" s="5088" t="str">
        <f t="shared" si="29"/>
        <v/>
      </c>
      <c r="CF63" s="5088" t="str">
        <f t="shared" si="30"/>
        <v/>
      </c>
      <c r="CG63" s="5088" t="str">
        <f t="shared" si="31"/>
        <v/>
      </c>
      <c r="CH63" s="5088" t="str">
        <f t="shared" si="32"/>
        <v/>
      </c>
      <c r="CK63" s="5089">
        <f t="shared" si="33"/>
        <v>0</v>
      </c>
      <c r="CL63" s="5089">
        <f t="shared" si="34"/>
        <v>0</v>
      </c>
      <c r="CM63" s="5089">
        <f t="shared" si="35"/>
        <v>0</v>
      </c>
      <c r="CN63" s="5089">
        <f t="shared" si="38"/>
        <v>0</v>
      </c>
      <c r="CO63" s="5089">
        <f t="shared" si="36"/>
        <v>0</v>
      </c>
      <c r="CP63" s="5089">
        <f t="shared" si="36"/>
        <v>0</v>
      </c>
      <c r="CQ63" s="5089">
        <f t="shared" si="36"/>
        <v>0</v>
      </c>
      <c r="CR63" s="5089">
        <f t="shared" si="39"/>
        <v>0</v>
      </c>
    </row>
    <row r="64" spans="1:96" s="5077" customFormat="1" ht="15" customHeight="1">
      <c r="A64" s="3970" t="s">
        <v>3852</v>
      </c>
      <c r="B64" s="5081">
        <f t="shared" si="40"/>
        <v>0</v>
      </c>
      <c r="C64" s="5173"/>
      <c r="D64" s="5172"/>
      <c r="E64" s="5172"/>
      <c r="F64" s="4576"/>
      <c r="G64" s="4576"/>
      <c r="H64" s="4576"/>
      <c r="I64" s="4576"/>
      <c r="J64" s="4576"/>
      <c r="K64" s="4576"/>
      <c r="L64" s="4576"/>
      <c r="M64" s="4576"/>
      <c r="N64" s="4576"/>
      <c r="O64" s="4576"/>
      <c r="P64" s="4576"/>
      <c r="Q64" s="4576"/>
      <c r="R64" s="4576"/>
      <c r="S64" s="5090"/>
      <c r="T64" s="5166"/>
      <c r="U64" s="5096"/>
      <c r="V64" s="5166"/>
      <c r="W64" s="5096"/>
      <c r="X64" s="5166"/>
      <c r="Y64" s="5096"/>
      <c r="Z64" s="3970">
        <f t="shared" si="23"/>
        <v>0</v>
      </c>
      <c r="AA64" s="5166"/>
      <c r="AB64" s="5167"/>
      <c r="AC64" s="5167"/>
      <c r="AD64" s="5096"/>
      <c r="AE64" s="3970">
        <f t="shared" si="24"/>
        <v>0</v>
      </c>
      <c r="AF64" s="5166"/>
      <c r="AG64" s="5167"/>
      <c r="AH64" s="5167"/>
      <c r="AI64" s="5168"/>
      <c r="AJ64" s="5163"/>
      <c r="AK64" s="5164"/>
      <c r="AL64" s="5165"/>
      <c r="AM64" s="4601"/>
      <c r="AN64" s="4601"/>
      <c r="AO64" s="5093"/>
      <c r="AP64" s="4599"/>
      <c r="AQ64" s="4601"/>
      <c r="AR64" s="5093"/>
      <c r="AS64" s="4599"/>
      <c r="AT64" s="5077" t="str">
        <f t="shared" si="37"/>
        <v/>
      </c>
      <c r="CA64" s="5088" t="str">
        <f t="shared" si="25"/>
        <v/>
      </c>
      <c r="CB64" s="5088" t="str">
        <f t="shared" si="26"/>
        <v/>
      </c>
      <c r="CC64" s="5088" t="str">
        <f t="shared" si="27"/>
        <v/>
      </c>
      <c r="CD64" s="5088" t="str">
        <f t="shared" si="28"/>
        <v/>
      </c>
      <c r="CE64" s="5088" t="str">
        <f t="shared" si="29"/>
        <v/>
      </c>
      <c r="CF64" s="5088" t="str">
        <f t="shared" si="30"/>
        <v/>
      </c>
      <c r="CG64" s="5088" t="str">
        <f t="shared" si="31"/>
        <v/>
      </c>
      <c r="CH64" s="5088" t="str">
        <f t="shared" si="32"/>
        <v/>
      </c>
      <c r="CK64" s="5089">
        <f t="shared" si="33"/>
        <v>0</v>
      </c>
      <c r="CL64" s="5089">
        <f t="shared" si="34"/>
        <v>0</v>
      </c>
      <c r="CM64" s="5089">
        <f t="shared" si="35"/>
        <v>0</v>
      </c>
      <c r="CN64" s="5089">
        <f t="shared" si="38"/>
        <v>0</v>
      </c>
      <c r="CO64" s="5089">
        <f t="shared" si="36"/>
        <v>0</v>
      </c>
      <c r="CP64" s="5089">
        <f t="shared" si="36"/>
        <v>0</v>
      </c>
      <c r="CQ64" s="5089">
        <f t="shared" si="36"/>
        <v>0</v>
      </c>
      <c r="CR64" s="5089">
        <f t="shared" si="39"/>
        <v>0</v>
      </c>
    </row>
    <row r="65" spans="1:96" s="5077" customFormat="1" ht="15" customHeight="1">
      <c r="A65" s="3970" t="s">
        <v>3853</v>
      </c>
      <c r="B65" s="5081">
        <f t="shared" si="40"/>
        <v>0</v>
      </c>
      <c r="C65" s="4575"/>
      <c r="D65" s="4576"/>
      <c r="E65" s="4576"/>
      <c r="F65" s="4576"/>
      <c r="G65" s="4576"/>
      <c r="H65" s="4576"/>
      <c r="I65" s="4576"/>
      <c r="J65" s="4576"/>
      <c r="K65" s="4576"/>
      <c r="L65" s="4576"/>
      <c r="M65" s="4576"/>
      <c r="N65" s="4576"/>
      <c r="O65" s="4576"/>
      <c r="P65" s="4576"/>
      <c r="Q65" s="4576"/>
      <c r="R65" s="4576"/>
      <c r="S65" s="5090"/>
      <c r="T65" s="5166"/>
      <c r="U65" s="5096"/>
      <c r="V65" s="5166"/>
      <c r="W65" s="5096"/>
      <c r="X65" s="5166"/>
      <c r="Y65" s="5096"/>
      <c r="Z65" s="3970">
        <f t="shared" si="23"/>
        <v>0</v>
      </c>
      <c r="AA65" s="5166"/>
      <c r="AB65" s="5167"/>
      <c r="AC65" s="5167"/>
      <c r="AD65" s="5096"/>
      <c r="AE65" s="3970">
        <f t="shared" si="24"/>
        <v>0</v>
      </c>
      <c r="AF65" s="5166"/>
      <c r="AG65" s="5167"/>
      <c r="AH65" s="5167"/>
      <c r="AI65" s="5168"/>
      <c r="AJ65" s="5163"/>
      <c r="AK65" s="5164"/>
      <c r="AL65" s="5165"/>
      <c r="AM65" s="4601"/>
      <c r="AN65" s="4601"/>
      <c r="AO65" s="5093"/>
      <c r="AP65" s="4599"/>
      <c r="AQ65" s="4601"/>
      <c r="AR65" s="5093"/>
      <c r="AS65" s="4599"/>
      <c r="AT65" s="5077" t="str">
        <f t="shared" si="37"/>
        <v/>
      </c>
      <c r="CA65" s="5088" t="str">
        <f t="shared" si="25"/>
        <v/>
      </c>
      <c r="CB65" s="5088" t="str">
        <f t="shared" si="26"/>
        <v/>
      </c>
      <c r="CC65" s="5088" t="str">
        <f t="shared" si="27"/>
        <v/>
      </c>
      <c r="CD65" s="5088" t="str">
        <f t="shared" si="28"/>
        <v/>
      </c>
      <c r="CE65" s="5088" t="str">
        <f t="shared" si="29"/>
        <v/>
      </c>
      <c r="CF65" s="5088" t="str">
        <f t="shared" si="30"/>
        <v/>
      </c>
      <c r="CG65" s="5088" t="str">
        <f t="shared" si="31"/>
        <v/>
      </c>
      <c r="CH65" s="5088" t="str">
        <f t="shared" si="32"/>
        <v/>
      </c>
      <c r="CK65" s="5089">
        <f t="shared" si="33"/>
        <v>0</v>
      </c>
      <c r="CL65" s="5089">
        <f t="shared" si="34"/>
        <v>0</v>
      </c>
      <c r="CM65" s="5089">
        <f t="shared" si="35"/>
        <v>0</v>
      </c>
      <c r="CN65" s="5089">
        <f t="shared" si="38"/>
        <v>0</v>
      </c>
      <c r="CO65" s="5089">
        <f t="shared" si="36"/>
        <v>0</v>
      </c>
      <c r="CP65" s="5089">
        <f t="shared" si="36"/>
        <v>0</v>
      </c>
      <c r="CQ65" s="5089">
        <f t="shared" si="36"/>
        <v>0</v>
      </c>
      <c r="CR65" s="5089">
        <f t="shared" si="39"/>
        <v>0</v>
      </c>
    </row>
    <row r="66" spans="1:96" s="5077" customFormat="1" ht="15" customHeight="1">
      <c r="A66" s="3970" t="s">
        <v>3854</v>
      </c>
      <c r="B66" s="5081">
        <f t="shared" si="40"/>
        <v>0</v>
      </c>
      <c r="C66" s="4575"/>
      <c r="D66" s="4576"/>
      <c r="E66" s="4576"/>
      <c r="F66" s="4576"/>
      <c r="G66" s="4576"/>
      <c r="H66" s="4576"/>
      <c r="I66" s="4576"/>
      <c r="J66" s="4576"/>
      <c r="K66" s="4576"/>
      <c r="L66" s="4576"/>
      <c r="M66" s="4576"/>
      <c r="N66" s="4576"/>
      <c r="O66" s="4576"/>
      <c r="P66" s="4576"/>
      <c r="Q66" s="4576"/>
      <c r="R66" s="4576"/>
      <c r="S66" s="5090"/>
      <c r="T66" s="5166"/>
      <c r="U66" s="5096"/>
      <c r="V66" s="5166"/>
      <c r="W66" s="5096"/>
      <c r="X66" s="5166"/>
      <c r="Y66" s="5096"/>
      <c r="Z66" s="3970">
        <f t="shared" si="23"/>
        <v>0</v>
      </c>
      <c r="AA66" s="5166"/>
      <c r="AB66" s="5167"/>
      <c r="AC66" s="5167"/>
      <c r="AD66" s="5096"/>
      <c r="AE66" s="3970">
        <f t="shared" si="24"/>
        <v>0</v>
      </c>
      <c r="AF66" s="5166"/>
      <c r="AG66" s="5167"/>
      <c r="AH66" s="5167"/>
      <c r="AI66" s="5168"/>
      <c r="AJ66" s="5163"/>
      <c r="AK66" s="5164"/>
      <c r="AL66" s="5165"/>
      <c r="AM66" s="4601"/>
      <c r="AN66" s="4601"/>
      <c r="AO66" s="5093"/>
      <c r="AP66" s="4599"/>
      <c r="AQ66" s="4601"/>
      <c r="AR66" s="5093"/>
      <c r="AS66" s="4599"/>
      <c r="AT66" s="5077" t="str">
        <f t="shared" si="37"/>
        <v/>
      </c>
      <c r="CA66" s="5088" t="str">
        <f t="shared" si="25"/>
        <v/>
      </c>
      <c r="CB66" s="5088" t="str">
        <f t="shared" si="26"/>
        <v/>
      </c>
      <c r="CC66" s="5088" t="str">
        <f t="shared" si="27"/>
        <v/>
      </c>
      <c r="CD66" s="5088" t="str">
        <f t="shared" si="28"/>
        <v/>
      </c>
      <c r="CE66" s="5088" t="str">
        <f t="shared" si="29"/>
        <v/>
      </c>
      <c r="CF66" s="5088" t="str">
        <f t="shared" si="30"/>
        <v/>
      </c>
      <c r="CG66" s="5088" t="str">
        <f t="shared" si="31"/>
        <v/>
      </c>
      <c r="CH66" s="5088" t="str">
        <f t="shared" si="32"/>
        <v/>
      </c>
      <c r="CK66" s="5089">
        <f t="shared" si="33"/>
        <v>0</v>
      </c>
      <c r="CL66" s="5089">
        <f t="shared" si="34"/>
        <v>0</v>
      </c>
      <c r="CM66" s="5089">
        <f t="shared" si="35"/>
        <v>0</v>
      </c>
      <c r="CN66" s="5089">
        <f t="shared" si="38"/>
        <v>0</v>
      </c>
      <c r="CO66" s="5089">
        <f t="shared" si="36"/>
        <v>0</v>
      </c>
      <c r="CP66" s="5089">
        <f t="shared" si="36"/>
        <v>0</v>
      </c>
      <c r="CQ66" s="5089">
        <f t="shared" si="36"/>
        <v>0</v>
      </c>
      <c r="CR66" s="5089">
        <f t="shared" si="39"/>
        <v>0</v>
      </c>
    </row>
    <row r="67" spans="1:96" s="5077" customFormat="1" ht="15" customHeight="1">
      <c r="A67" s="1947" t="s">
        <v>1326</v>
      </c>
      <c r="B67" s="5081">
        <f t="shared" si="40"/>
        <v>0</v>
      </c>
      <c r="C67" s="4575"/>
      <c r="D67" s="4576"/>
      <c r="E67" s="4576"/>
      <c r="F67" s="4576"/>
      <c r="G67" s="4576"/>
      <c r="H67" s="4576"/>
      <c r="I67" s="4576"/>
      <c r="J67" s="4576"/>
      <c r="K67" s="4576"/>
      <c r="L67" s="4576"/>
      <c r="M67" s="4576"/>
      <c r="N67" s="4576"/>
      <c r="O67" s="4576"/>
      <c r="P67" s="4576"/>
      <c r="Q67" s="4576"/>
      <c r="R67" s="4576"/>
      <c r="S67" s="5090"/>
      <c r="T67" s="5166"/>
      <c r="U67" s="5096"/>
      <c r="V67" s="5166"/>
      <c r="W67" s="5096"/>
      <c r="X67" s="5166"/>
      <c r="Y67" s="5096"/>
      <c r="Z67" s="3970">
        <f t="shared" si="23"/>
        <v>0</v>
      </c>
      <c r="AA67" s="5166"/>
      <c r="AB67" s="5167"/>
      <c r="AC67" s="5167"/>
      <c r="AD67" s="5096"/>
      <c r="AE67" s="3970">
        <f t="shared" si="24"/>
        <v>0</v>
      </c>
      <c r="AF67" s="5166"/>
      <c r="AG67" s="5167"/>
      <c r="AH67" s="5167"/>
      <c r="AI67" s="5168"/>
      <c r="AJ67" s="5163"/>
      <c r="AK67" s="5164"/>
      <c r="AL67" s="5165"/>
      <c r="AM67" s="4601"/>
      <c r="AN67" s="4601"/>
      <c r="AO67" s="5093"/>
      <c r="AP67" s="4599"/>
      <c r="AQ67" s="4601"/>
      <c r="AR67" s="5093"/>
      <c r="AS67" s="4599"/>
      <c r="AT67" s="5077" t="str">
        <f t="shared" si="37"/>
        <v/>
      </c>
      <c r="CA67" s="5088" t="str">
        <f t="shared" si="25"/>
        <v/>
      </c>
      <c r="CB67" s="5088" t="str">
        <f t="shared" si="26"/>
        <v/>
      </c>
      <c r="CC67" s="5088" t="str">
        <f t="shared" si="27"/>
        <v/>
      </c>
      <c r="CD67" s="5088" t="str">
        <f t="shared" si="28"/>
        <v/>
      </c>
      <c r="CE67" s="5088" t="str">
        <f t="shared" si="29"/>
        <v/>
      </c>
      <c r="CF67" s="5088" t="str">
        <f t="shared" si="30"/>
        <v/>
      </c>
      <c r="CG67" s="5088" t="str">
        <f t="shared" si="31"/>
        <v/>
      </c>
      <c r="CH67" s="5088" t="str">
        <f t="shared" si="32"/>
        <v/>
      </c>
      <c r="CK67" s="5089">
        <f t="shared" si="33"/>
        <v>0</v>
      </c>
      <c r="CL67" s="5089">
        <f t="shared" si="34"/>
        <v>0</v>
      </c>
      <c r="CM67" s="5089">
        <f t="shared" si="35"/>
        <v>0</v>
      </c>
      <c r="CN67" s="5089">
        <f t="shared" si="38"/>
        <v>0</v>
      </c>
      <c r="CO67" s="5089">
        <f t="shared" si="36"/>
        <v>0</v>
      </c>
      <c r="CP67" s="5089">
        <f t="shared" si="36"/>
        <v>0</v>
      </c>
      <c r="CQ67" s="5089">
        <f t="shared" si="36"/>
        <v>0</v>
      </c>
      <c r="CR67" s="5089">
        <f t="shared" si="39"/>
        <v>0</v>
      </c>
    </row>
    <row r="68" spans="1:96" s="5077" customFormat="1" ht="15" customHeight="1">
      <c r="A68" s="3037" t="s">
        <v>3855</v>
      </c>
      <c r="B68" s="5081">
        <f t="shared" si="40"/>
        <v>0</v>
      </c>
      <c r="C68" s="5173"/>
      <c r="D68" s="5172"/>
      <c r="E68" s="5172"/>
      <c r="F68" s="5172"/>
      <c r="G68" s="4576"/>
      <c r="H68" s="4576"/>
      <c r="I68" s="4576"/>
      <c r="J68" s="4576"/>
      <c r="K68" s="4576"/>
      <c r="L68" s="4576"/>
      <c r="M68" s="4576"/>
      <c r="N68" s="4576"/>
      <c r="O68" s="4576"/>
      <c r="P68" s="4576"/>
      <c r="Q68" s="4576"/>
      <c r="R68" s="4576"/>
      <c r="S68" s="5090"/>
      <c r="T68" s="5166"/>
      <c r="U68" s="5096"/>
      <c r="V68" s="5166"/>
      <c r="W68" s="5096"/>
      <c r="X68" s="5166"/>
      <c r="Y68" s="5096"/>
      <c r="Z68" s="3970">
        <f t="shared" si="23"/>
        <v>0</v>
      </c>
      <c r="AA68" s="5166"/>
      <c r="AB68" s="5167"/>
      <c r="AC68" s="5167"/>
      <c r="AD68" s="5096"/>
      <c r="AE68" s="3970">
        <f t="shared" si="24"/>
        <v>0</v>
      </c>
      <c r="AF68" s="5166"/>
      <c r="AG68" s="5167"/>
      <c r="AH68" s="5167"/>
      <c r="AI68" s="5168"/>
      <c r="AJ68" s="5163"/>
      <c r="AK68" s="5164"/>
      <c r="AL68" s="5165"/>
      <c r="AM68" s="4601"/>
      <c r="AN68" s="4601"/>
      <c r="AO68" s="5093"/>
      <c r="AP68" s="4599"/>
      <c r="AQ68" s="4601"/>
      <c r="AR68" s="5093"/>
      <c r="AS68" s="4599"/>
      <c r="AT68" s="5077" t="str">
        <f t="shared" si="37"/>
        <v/>
      </c>
      <c r="CA68" s="5088" t="str">
        <f t="shared" si="25"/>
        <v/>
      </c>
      <c r="CB68" s="5088" t="str">
        <f t="shared" si="26"/>
        <v/>
      </c>
      <c r="CC68" s="5088" t="str">
        <f t="shared" si="27"/>
        <v/>
      </c>
      <c r="CD68" s="5088" t="str">
        <f t="shared" si="28"/>
        <v/>
      </c>
      <c r="CE68" s="5088" t="str">
        <f t="shared" si="29"/>
        <v/>
      </c>
      <c r="CF68" s="5088" t="str">
        <f t="shared" si="30"/>
        <v/>
      </c>
      <c r="CG68" s="5088" t="str">
        <f t="shared" si="31"/>
        <v/>
      </c>
      <c r="CH68" s="5088" t="str">
        <f t="shared" si="32"/>
        <v/>
      </c>
      <c r="CK68" s="5089">
        <f t="shared" si="33"/>
        <v>0</v>
      </c>
      <c r="CL68" s="5089">
        <f t="shared" si="34"/>
        <v>0</v>
      </c>
      <c r="CM68" s="5089">
        <f t="shared" si="35"/>
        <v>0</v>
      </c>
      <c r="CN68" s="5089">
        <f t="shared" si="38"/>
        <v>0</v>
      </c>
      <c r="CO68" s="5089">
        <f t="shared" si="36"/>
        <v>0</v>
      </c>
      <c r="CP68" s="5089">
        <f t="shared" si="36"/>
        <v>0</v>
      </c>
      <c r="CQ68" s="5089">
        <f t="shared" si="36"/>
        <v>0</v>
      </c>
      <c r="CR68" s="5089">
        <f t="shared" si="39"/>
        <v>0</v>
      </c>
    </row>
    <row r="69" spans="1:96" s="5077" customFormat="1" ht="15" customHeight="1">
      <c r="A69" s="2114" t="s">
        <v>3856</v>
      </c>
      <c r="B69" s="5081">
        <f t="shared" si="40"/>
        <v>0</v>
      </c>
      <c r="C69" s="5173"/>
      <c r="D69" s="5172"/>
      <c r="E69" s="5172"/>
      <c r="F69" s="5172"/>
      <c r="G69" s="4576"/>
      <c r="H69" s="4576"/>
      <c r="I69" s="4576"/>
      <c r="J69" s="4576"/>
      <c r="K69" s="4576"/>
      <c r="L69" s="4576"/>
      <c r="M69" s="4576"/>
      <c r="N69" s="4576"/>
      <c r="O69" s="4576"/>
      <c r="P69" s="4576"/>
      <c r="Q69" s="4576"/>
      <c r="R69" s="4576"/>
      <c r="S69" s="5090"/>
      <c r="T69" s="5166"/>
      <c r="U69" s="5096"/>
      <c r="V69" s="5166"/>
      <c r="W69" s="5096"/>
      <c r="X69" s="5166"/>
      <c r="Y69" s="5096"/>
      <c r="Z69" s="3970">
        <f t="shared" si="23"/>
        <v>0</v>
      </c>
      <c r="AA69" s="5166"/>
      <c r="AB69" s="5167"/>
      <c r="AC69" s="5167"/>
      <c r="AD69" s="5096"/>
      <c r="AE69" s="3970">
        <f t="shared" si="24"/>
        <v>0</v>
      </c>
      <c r="AF69" s="5166"/>
      <c r="AG69" s="5167"/>
      <c r="AH69" s="5167"/>
      <c r="AI69" s="5168"/>
      <c r="AJ69" s="5163"/>
      <c r="AK69" s="5164"/>
      <c r="AL69" s="5165"/>
      <c r="AM69" s="4601"/>
      <c r="AN69" s="4601"/>
      <c r="AO69" s="5093"/>
      <c r="AP69" s="4599"/>
      <c r="AQ69" s="4601"/>
      <c r="AR69" s="5093"/>
      <c r="AS69" s="4599"/>
      <c r="AT69" s="5077" t="str">
        <f t="shared" si="37"/>
        <v/>
      </c>
      <c r="CA69" s="5088" t="str">
        <f t="shared" si="25"/>
        <v/>
      </c>
      <c r="CB69" s="5088" t="str">
        <f t="shared" si="26"/>
        <v/>
      </c>
      <c r="CC69" s="5088" t="str">
        <f t="shared" si="27"/>
        <v/>
      </c>
      <c r="CD69" s="5088" t="str">
        <f t="shared" si="28"/>
        <v/>
      </c>
      <c r="CE69" s="5088" t="str">
        <f t="shared" si="29"/>
        <v/>
      </c>
      <c r="CF69" s="5088" t="str">
        <f t="shared" si="30"/>
        <v/>
      </c>
      <c r="CG69" s="5088" t="str">
        <f t="shared" si="31"/>
        <v/>
      </c>
      <c r="CH69" s="5088" t="str">
        <f t="shared" si="32"/>
        <v/>
      </c>
      <c r="CK69" s="5089">
        <f t="shared" si="33"/>
        <v>0</v>
      </c>
      <c r="CL69" s="5089">
        <f t="shared" si="34"/>
        <v>0</v>
      </c>
      <c r="CM69" s="5089">
        <f t="shared" si="35"/>
        <v>0</v>
      </c>
      <c r="CN69" s="5089">
        <f t="shared" si="38"/>
        <v>0</v>
      </c>
      <c r="CO69" s="5089">
        <f t="shared" si="36"/>
        <v>0</v>
      </c>
      <c r="CP69" s="5089">
        <f t="shared" si="36"/>
        <v>0</v>
      </c>
      <c r="CQ69" s="5089">
        <f t="shared" si="36"/>
        <v>0</v>
      </c>
      <c r="CR69" s="5089">
        <f t="shared" si="39"/>
        <v>0</v>
      </c>
    </row>
    <row r="70" spans="1:96" s="5077" customFormat="1" ht="15" customHeight="1">
      <c r="A70" s="1947" t="s">
        <v>1274</v>
      </c>
      <c r="B70" s="5081">
        <f t="shared" si="40"/>
        <v>0</v>
      </c>
      <c r="C70" s="5173"/>
      <c r="D70" s="5172"/>
      <c r="E70" s="5172"/>
      <c r="F70" s="5172"/>
      <c r="G70" s="5172"/>
      <c r="H70" s="5172"/>
      <c r="I70" s="5172"/>
      <c r="J70" s="5172"/>
      <c r="K70" s="5172"/>
      <c r="L70" s="4576"/>
      <c r="M70" s="4576"/>
      <c r="N70" s="4576"/>
      <c r="O70" s="4576"/>
      <c r="P70" s="4576"/>
      <c r="Q70" s="4576"/>
      <c r="R70" s="4576"/>
      <c r="S70" s="5090"/>
      <c r="T70" s="5166"/>
      <c r="U70" s="5096"/>
      <c r="V70" s="5166"/>
      <c r="W70" s="5096"/>
      <c r="X70" s="5166"/>
      <c r="Y70" s="5096"/>
      <c r="Z70" s="3970">
        <f t="shared" si="23"/>
        <v>0</v>
      </c>
      <c r="AA70" s="5166"/>
      <c r="AB70" s="5167"/>
      <c r="AC70" s="5167"/>
      <c r="AD70" s="5096"/>
      <c r="AE70" s="3970">
        <f t="shared" si="24"/>
        <v>0</v>
      </c>
      <c r="AF70" s="5166"/>
      <c r="AG70" s="5167"/>
      <c r="AH70" s="5167"/>
      <c r="AI70" s="5168"/>
      <c r="AJ70" s="5163"/>
      <c r="AK70" s="5164"/>
      <c r="AL70" s="5165"/>
      <c r="AM70" s="4601"/>
      <c r="AN70" s="4601"/>
      <c r="AO70" s="5093"/>
      <c r="AP70" s="4599"/>
      <c r="AQ70" s="4601"/>
      <c r="AR70" s="5093"/>
      <c r="AS70" s="4599"/>
      <c r="AT70" s="5077" t="str">
        <f t="shared" si="37"/>
        <v/>
      </c>
      <c r="CA70" s="5088" t="str">
        <f t="shared" si="25"/>
        <v/>
      </c>
      <c r="CB70" s="5088" t="str">
        <f t="shared" si="26"/>
        <v/>
      </c>
      <c r="CC70" s="5088" t="str">
        <f t="shared" si="27"/>
        <v/>
      </c>
      <c r="CD70" s="5088" t="str">
        <f t="shared" si="28"/>
        <v/>
      </c>
      <c r="CE70" s="5088" t="str">
        <f t="shared" si="29"/>
        <v/>
      </c>
      <c r="CF70" s="5088" t="str">
        <f t="shared" si="30"/>
        <v/>
      </c>
      <c r="CG70" s="5088" t="str">
        <f t="shared" si="31"/>
        <v/>
      </c>
      <c r="CH70" s="5088" t="str">
        <f t="shared" si="32"/>
        <v/>
      </c>
      <c r="CK70" s="5089">
        <f t="shared" si="33"/>
        <v>0</v>
      </c>
      <c r="CL70" s="5089">
        <f t="shared" si="34"/>
        <v>0</v>
      </c>
      <c r="CM70" s="5089">
        <f t="shared" si="35"/>
        <v>0</v>
      </c>
      <c r="CN70" s="5089">
        <f t="shared" si="38"/>
        <v>0</v>
      </c>
      <c r="CO70" s="5089">
        <f t="shared" si="36"/>
        <v>0</v>
      </c>
      <c r="CP70" s="5089">
        <f t="shared" si="36"/>
        <v>0</v>
      </c>
      <c r="CQ70" s="5089">
        <f t="shared" si="36"/>
        <v>0</v>
      </c>
      <c r="CR70" s="5089">
        <f t="shared" si="39"/>
        <v>0</v>
      </c>
    </row>
    <row r="71" spans="1:96" s="5077" customFormat="1" ht="15" customHeight="1">
      <c r="A71" s="1947" t="s">
        <v>1275</v>
      </c>
      <c r="B71" s="5081">
        <f t="shared" si="40"/>
        <v>0</v>
      </c>
      <c r="C71" s="5173"/>
      <c r="D71" s="5172"/>
      <c r="E71" s="5172"/>
      <c r="F71" s="5172"/>
      <c r="G71" s="4576"/>
      <c r="H71" s="4576"/>
      <c r="I71" s="4576"/>
      <c r="J71" s="4576"/>
      <c r="K71" s="4576"/>
      <c r="L71" s="4576"/>
      <c r="M71" s="4576"/>
      <c r="N71" s="4576"/>
      <c r="O71" s="4576"/>
      <c r="P71" s="4576"/>
      <c r="Q71" s="4576"/>
      <c r="R71" s="4576"/>
      <c r="S71" s="5090"/>
      <c r="T71" s="5166"/>
      <c r="U71" s="5096"/>
      <c r="V71" s="5166"/>
      <c r="W71" s="5096"/>
      <c r="X71" s="5166"/>
      <c r="Y71" s="5096"/>
      <c r="Z71" s="3970">
        <f t="shared" si="23"/>
        <v>0</v>
      </c>
      <c r="AA71" s="5166"/>
      <c r="AB71" s="5167"/>
      <c r="AC71" s="5167"/>
      <c r="AD71" s="5096"/>
      <c r="AE71" s="3970">
        <f t="shared" si="24"/>
        <v>0</v>
      </c>
      <c r="AF71" s="5166"/>
      <c r="AG71" s="5167"/>
      <c r="AH71" s="5167"/>
      <c r="AI71" s="5168"/>
      <c r="AJ71" s="5163"/>
      <c r="AK71" s="5164"/>
      <c r="AL71" s="5165"/>
      <c r="AM71" s="4601"/>
      <c r="AN71" s="4601"/>
      <c r="AO71" s="5093"/>
      <c r="AP71" s="4599"/>
      <c r="AQ71" s="4601"/>
      <c r="AR71" s="5093"/>
      <c r="AS71" s="4599"/>
      <c r="AT71" s="5077" t="str">
        <f t="shared" si="37"/>
        <v/>
      </c>
      <c r="CA71" s="5088" t="str">
        <f t="shared" si="25"/>
        <v/>
      </c>
      <c r="CB71" s="5088" t="str">
        <f t="shared" si="26"/>
        <v/>
      </c>
      <c r="CC71" s="5088" t="str">
        <f t="shared" si="27"/>
        <v/>
      </c>
      <c r="CD71" s="5088" t="str">
        <f t="shared" si="28"/>
        <v/>
      </c>
      <c r="CE71" s="5088" t="str">
        <f t="shared" si="29"/>
        <v/>
      </c>
      <c r="CF71" s="5088" t="str">
        <f t="shared" si="30"/>
        <v/>
      </c>
      <c r="CG71" s="5088" t="str">
        <f t="shared" si="31"/>
        <v/>
      </c>
      <c r="CH71" s="5088" t="str">
        <f t="shared" si="32"/>
        <v/>
      </c>
      <c r="CK71" s="5089">
        <f t="shared" si="33"/>
        <v>0</v>
      </c>
      <c r="CL71" s="5089">
        <f t="shared" si="34"/>
        <v>0</v>
      </c>
      <c r="CM71" s="5089">
        <f t="shared" si="35"/>
        <v>0</v>
      </c>
      <c r="CN71" s="5089">
        <f t="shared" si="38"/>
        <v>0</v>
      </c>
      <c r="CO71" s="5089">
        <f t="shared" si="36"/>
        <v>0</v>
      </c>
      <c r="CP71" s="5089">
        <f t="shared" si="36"/>
        <v>0</v>
      </c>
      <c r="CQ71" s="5089">
        <f t="shared" si="36"/>
        <v>0</v>
      </c>
      <c r="CR71" s="5089">
        <f t="shared" si="39"/>
        <v>0</v>
      </c>
    </row>
    <row r="72" spans="1:96" s="5077" customFormat="1" ht="15" customHeight="1">
      <c r="A72" s="3970" t="s">
        <v>1276</v>
      </c>
      <c r="B72" s="5081">
        <f t="shared" si="40"/>
        <v>0</v>
      </c>
      <c r="C72" s="4575"/>
      <c r="D72" s="4576"/>
      <c r="E72" s="4576"/>
      <c r="F72" s="4576"/>
      <c r="G72" s="4576"/>
      <c r="H72" s="4576"/>
      <c r="I72" s="4576"/>
      <c r="J72" s="4576"/>
      <c r="K72" s="4576"/>
      <c r="L72" s="4576"/>
      <c r="M72" s="4576"/>
      <c r="N72" s="4576"/>
      <c r="O72" s="4576"/>
      <c r="P72" s="4576"/>
      <c r="Q72" s="4576"/>
      <c r="R72" s="4576"/>
      <c r="S72" s="5090"/>
      <c r="T72" s="5166"/>
      <c r="U72" s="5096"/>
      <c r="V72" s="5166"/>
      <c r="W72" s="5096"/>
      <c r="X72" s="5166"/>
      <c r="Y72" s="5096"/>
      <c r="Z72" s="3970">
        <f t="shared" si="23"/>
        <v>0</v>
      </c>
      <c r="AA72" s="5166"/>
      <c r="AB72" s="5167"/>
      <c r="AC72" s="5167"/>
      <c r="AD72" s="5096"/>
      <c r="AE72" s="3970">
        <f t="shared" si="24"/>
        <v>0</v>
      </c>
      <c r="AF72" s="5166"/>
      <c r="AG72" s="5167"/>
      <c r="AH72" s="5167"/>
      <c r="AI72" s="5168"/>
      <c r="AJ72" s="5163"/>
      <c r="AK72" s="5164"/>
      <c r="AL72" s="5165"/>
      <c r="AM72" s="4601"/>
      <c r="AN72" s="4601"/>
      <c r="AO72" s="5093"/>
      <c r="AP72" s="4599"/>
      <c r="AQ72" s="4601"/>
      <c r="AR72" s="5093"/>
      <c r="AS72" s="4599"/>
      <c r="AT72" s="5077" t="str">
        <f t="shared" si="37"/>
        <v/>
      </c>
      <c r="CA72" s="5088" t="str">
        <f t="shared" si="25"/>
        <v/>
      </c>
      <c r="CB72" s="5088" t="str">
        <f t="shared" si="26"/>
        <v/>
      </c>
      <c r="CC72" s="5088" t="str">
        <f t="shared" si="27"/>
        <v/>
      </c>
      <c r="CD72" s="5088" t="str">
        <f t="shared" si="28"/>
        <v/>
      </c>
      <c r="CE72" s="5088" t="str">
        <f t="shared" si="29"/>
        <v/>
      </c>
      <c r="CF72" s="5088" t="str">
        <f t="shared" si="30"/>
        <v/>
      </c>
      <c r="CG72" s="5088" t="str">
        <f t="shared" si="31"/>
        <v/>
      </c>
      <c r="CH72" s="5088" t="str">
        <f t="shared" si="32"/>
        <v/>
      </c>
      <c r="CK72" s="5089">
        <f t="shared" si="33"/>
        <v>0</v>
      </c>
      <c r="CL72" s="5089">
        <f t="shared" si="34"/>
        <v>0</v>
      </c>
      <c r="CM72" s="5089">
        <f t="shared" si="35"/>
        <v>0</v>
      </c>
      <c r="CN72" s="5089">
        <f t="shared" si="38"/>
        <v>0</v>
      </c>
      <c r="CO72" s="5089">
        <f t="shared" si="36"/>
        <v>0</v>
      </c>
      <c r="CP72" s="5089">
        <f t="shared" si="36"/>
        <v>0</v>
      </c>
      <c r="CQ72" s="5089">
        <f t="shared" si="36"/>
        <v>0</v>
      </c>
      <c r="CR72" s="5089">
        <f t="shared" si="39"/>
        <v>0</v>
      </c>
    </row>
    <row r="73" spans="1:96" s="5077" customFormat="1" ht="15" customHeight="1">
      <c r="A73" s="3970" t="s">
        <v>3857</v>
      </c>
      <c r="B73" s="5081">
        <f t="shared" si="40"/>
        <v>0</v>
      </c>
      <c r="C73" s="4575"/>
      <c r="D73" s="4576"/>
      <c r="E73" s="4576"/>
      <c r="F73" s="4576"/>
      <c r="G73" s="4576"/>
      <c r="H73" s="4576"/>
      <c r="I73" s="4576"/>
      <c r="J73" s="4576"/>
      <c r="K73" s="4576"/>
      <c r="L73" s="4576"/>
      <c r="M73" s="4576"/>
      <c r="N73" s="4576"/>
      <c r="O73" s="4576"/>
      <c r="P73" s="4576"/>
      <c r="Q73" s="4576"/>
      <c r="R73" s="4576"/>
      <c r="S73" s="5090"/>
      <c r="T73" s="5166"/>
      <c r="U73" s="5096"/>
      <c r="V73" s="5166"/>
      <c r="W73" s="5096"/>
      <c r="X73" s="5166"/>
      <c r="Y73" s="5096"/>
      <c r="Z73" s="3970">
        <f t="shared" si="23"/>
        <v>0</v>
      </c>
      <c r="AA73" s="5166"/>
      <c r="AB73" s="5167"/>
      <c r="AC73" s="5167"/>
      <c r="AD73" s="5096"/>
      <c r="AE73" s="3970">
        <f t="shared" si="24"/>
        <v>0</v>
      </c>
      <c r="AF73" s="5166"/>
      <c r="AG73" s="5167"/>
      <c r="AH73" s="5167"/>
      <c r="AI73" s="5168"/>
      <c r="AJ73" s="5163"/>
      <c r="AK73" s="5164"/>
      <c r="AL73" s="5165"/>
      <c r="AM73" s="4601"/>
      <c r="AN73" s="4601"/>
      <c r="AO73" s="5093"/>
      <c r="AP73" s="4599"/>
      <c r="AQ73" s="4601"/>
      <c r="AR73" s="5093"/>
      <c r="AS73" s="4599"/>
      <c r="AT73" s="5077" t="str">
        <f t="shared" si="37"/>
        <v/>
      </c>
      <c r="CA73" s="5088" t="str">
        <f t="shared" si="25"/>
        <v/>
      </c>
      <c r="CB73" s="5088" t="str">
        <f t="shared" si="26"/>
        <v/>
      </c>
      <c r="CC73" s="5088" t="str">
        <f t="shared" si="27"/>
        <v/>
      </c>
      <c r="CD73" s="5088" t="str">
        <f t="shared" si="28"/>
        <v/>
      </c>
      <c r="CE73" s="5088" t="str">
        <f t="shared" si="29"/>
        <v/>
      </c>
      <c r="CF73" s="5088" t="str">
        <f t="shared" si="30"/>
        <v/>
      </c>
      <c r="CG73" s="5088" t="str">
        <f t="shared" si="31"/>
        <v/>
      </c>
      <c r="CH73" s="5088" t="str">
        <f t="shared" si="32"/>
        <v/>
      </c>
      <c r="CK73" s="5089">
        <f t="shared" si="33"/>
        <v>0</v>
      </c>
      <c r="CL73" s="5089">
        <f t="shared" si="34"/>
        <v>0</v>
      </c>
      <c r="CM73" s="5089">
        <f t="shared" si="35"/>
        <v>0</v>
      </c>
      <c r="CN73" s="5089">
        <f t="shared" si="38"/>
        <v>0</v>
      </c>
      <c r="CO73" s="5089">
        <f t="shared" si="36"/>
        <v>0</v>
      </c>
      <c r="CP73" s="5089">
        <f t="shared" si="36"/>
        <v>0</v>
      </c>
      <c r="CQ73" s="5089">
        <f t="shared" si="36"/>
        <v>0</v>
      </c>
      <c r="CR73" s="5089">
        <f t="shared" si="39"/>
        <v>0</v>
      </c>
    </row>
    <row r="74" spans="1:96" s="5077" customFormat="1" ht="15" customHeight="1">
      <c r="A74" s="3970" t="s">
        <v>1278</v>
      </c>
      <c r="B74" s="5081">
        <f t="shared" si="40"/>
        <v>0</v>
      </c>
      <c r="C74" s="4575"/>
      <c r="D74" s="4576"/>
      <c r="E74" s="4576"/>
      <c r="F74" s="4576"/>
      <c r="G74" s="4576"/>
      <c r="H74" s="4576"/>
      <c r="I74" s="4576"/>
      <c r="J74" s="4576"/>
      <c r="K74" s="4576"/>
      <c r="L74" s="4576"/>
      <c r="M74" s="4576"/>
      <c r="N74" s="4576"/>
      <c r="O74" s="4576"/>
      <c r="P74" s="4576"/>
      <c r="Q74" s="4576"/>
      <c r="R74" s="4576"/>
      <c r="S74" s="5090"/>
      <c r="T74" s="5166"/>
      <c r="U74" s="5096"/>
      <c r="V74" s="5166"/>
      <c r="W74" s="5096"/>
      <c r="X74" s="5166"/>
      <c r="Y74" s="5096"/>
      <c r="Z74" s="3970">
        <f t="shared" si="23"/>
        <v>0</v>
      </c>
      <c r="AA74" s="5166"/>
      <c r="AB74" s="5167"/>
      <c r="AC74" s="5167"/>
      <c r="AD74" s="5096"/>
      <c r="AE74" s="3970">
        <f t="shared" si="24"/>
        <v>0</v>
      </c>
      <c r="AF74" s="5166"/>
      <c r="AG74" s="5167"/>
      <c r="AH74" s="5167"/>
      <c r="AI74" s="5168"/>
      <c r="AJ74" s="5163"/>
      <c r="AK74" s="5164"/>
      <c r="AL74" s="5165"/>
      <c r="AM74" s="4601"/>
      <c r="AN74" s="4601"/>
      <c r="AO74" s="5093"/>
      <c r="AP74" s="4599"/>
      <c r="AQ74" s="4601"/>
      <c r="AR74" s="5093"/>
      <c r="AS74" s="4599"/>
      <c r="AT74" s="5077" t="str">
        <f t="shared" si="37"/>
        <v/>
      </c>
      <c r="CA74" s="5088" t="str">
        <f t="shared" si="25"/>
        <v/>
      </c>
      <c r="CB74" s="5088" t="str">
        <f t="shared" si="26"/>
        <v/>
      </c>
      <c r="CC74" s="5088" t="str">
        <f t="shared" si="27"/>
        <v/>
      </c>
      <c r="CD74" s="5088" t="str">
        <f t="shared" si="28"/>
        <v/>
      </c>
      <c r="CE74" s="5088" t="str">
        <f t="shared" si="29"/>
        <v/>
      </c>
      <c r="CF74" s="5088" t="str">
        <f t="shared" si="30"/>
        <v/>
      </c>
      <c r="CG74" s="5088" t="str">
        <f t="shared" si="31"/>
        <v/>
      </c>
      <c r="CH74" s="5088" t="str">
        <f t="shared" si="32"/>
        <v/>
      </c>
      <c r="CK74" s="5089">
        <f t="shared" si="33"/>
        <v>0</v>
      </c>
      <c r="CL74" s="5089">
        <f t="shared" si="34"/>
        <v>0</v>
      </c>
      <c r="CM74" s="5089">
        <f t="shared" si="35"/>
        <v>0</v>
      </c>
      <c r="CN74" s="5089">
        <f t="shared" si="38"/>
        <v>0</v>
      </c>
      <c r="CO74" s="5089">
        <f t="shared" si="36"/>
        <v>0</v>
      </c>
      <c r="CP74" s="5089">
        <f t="shared" si="36"/>
        <v>0</v>
      </c>
      <c r="CQ74" s="5089">
        <f t="shared" si="36"/>
        <v>0</v>
      </c>
      <c r="CR74" s="5089">
        <f t="shared" si="39"/>
        <v>0</v>
      </c>
    </row>
    <row r="75" spans="1:96" s="5077" customFormat="1" ht="15" customHeight="1">
      <c r="A75" s="3970" t="s">
        <v>1279</v>
      </c>
      <c r="B75" s="5081">
        <f t="shared" si="40"/>
        <v>0</v>
      </c>
      <c r="C75" s="4575"/>
      <c r="D75" s="4576"/>
      <c r="E75" s="4576"/>
      <c r="F75" s="4576"/>
      <c r="G75" s="4576"/>
      <c r="H75" s="4576"/>
      <c r="I75" s="4576"/>
      <c r="J75" s="4576"/>
      <c r="K75" s="4576"/>
      <c r="L75" s="4576"/>
      <c r="M75" s="4576"/>
      <c r="N75" s="4576"/>
      <c r="O75" s="4576"/>
      <c r="P75" s="4576"/>
      <c r="Q75" s="4576"/>
      <c r="R75" s="4576"/>
      <c r="S75" s="5090"/>
      <c r="T75" s="4575"/>
      <c r="U75" s="5090"/>
      <c r="V75" s="4575"/>
      <c r="W75" s="5090"/>
      <c r="X75" s="4575"/>
      <c r="Y75" s="5090"/>
      <c r="Z75" s="3970">
        <f t="shared" si="23"/>
        <v>0</v>
      </c>
      <c r="AA75" s="4575"/>
      <c r="AB75" s="4576"/>
      <c r="AC75" s="4576"/>
      <c r="AD75" s="5090"/>
      <c r="AE75" s="3970">
        <f t="shared" si="24"/>
        <v>0</v>
      </c>
      <c r="AF75" s="4575"/>
      <c r="AG75" s="4576"/>
      <c r="AH75" s="4576"/>
      <c r="AI75" s="4603"/>
      <c r="AJ75" s="5163"/>
      <c r="AK75" s="5164"/>
      <c r="AL75" s="5165"/>
      <c r="AM75" s="4601"/>
      <c r="AN75" s="4601"/>
      <c r="AO75" s="5093"/>
      <c r="AP75" s="4599"/>
      <c r="AQ75" s="4601"/>
      <c r="AR75" s="5093"/>
      <c r="AS75" s="4599"/>
      <c r="AT75" s="5077" t="str">
        <f t="shared" si="37"/>
        <v/>
      </c>
      <c r="CA75" s="5088" t="str">
        <f t="shared" si="25"/>
        <v/>
      </c>
      <c r="CB75" s="5088" t="str">
        <f t="shared" si="26"/>
        <v/>
      </c>
      <c r="CC75" s="5088" t="str">
        <f t="shared" si="27"/>
        <v/>
      </c>
      <c r="CD75" s="5088" t="str">
        <f t="shared" si="28"/>
        <v/>
      </c>
      <c r="CE75" s="5088" t="str">
        <f t="shared" si="29"/>
        <v/>
      </c>
      <c r="CF75" s="5088" t="str">
        <f t="shared" si="30"/>
        <v/>
      </c>
      <c r="CG75" s="5088" t="str">
        <f t="shared" si="31"/>
        <v/>
      </c>
      <c r="CH75" s="5088" t="str">
        <f t="shared" si="32"/>
        <v/>
      </c>
      <c r="CK75" s="5089">
        <f t="shared" si="33"/>
        <v>0</v>
      </c>
      <c r="CL75" s="5089">
        <f t="shared" si="34"/>
        <v>0</v>
      </c>
      <c r="CM75" s="5089">
        <f t="shared" si="35"/>
        <v>0</v>
      </c>
      <c r="CN75" s="5089">
        <f t="shared" si="38"/>
        <v>0</v>
      </c>
      <c r="CO75" s="5089">
        <f t="shared" si="36"/>
        <v>0</v>
      </c>
      <c r="CP75" s="5089">
        <f t="shared" si="36"/>
        <v>0</v>
      </c>
      <c r="CQ75" s="5089">
        <f t="shared" si="36"/>
        <v>0</v>
      </c>
      <c r="CR75" s="5089">
        <f t="shared" si="39"/>
        <v>0</v>
      </c>
    </row>
    <row r="76" spans="1:96" s="5077" customFormat="1" ht="15" customHeight="1">
      <c r="A76" s="3970" t="s">
        <v>3859</v>
      </c>
      <c r="B76" s="5081">
        <f t="shared" si="40"/>
        <v>0</v>
      </c>
      <c r="C76" s="4575"/>
      <c r="D76" s="4576"/>
      <c r="E76" s="4576"/>
      <c r="F76" s="4576"/>
      <c r="G76" s="4576"/>
      <c r="H76" s="4576"/>
      <c r="I76" s="4576"/>
      <c r="J76" s="4576"/>
      <c r="K76" s="4576"/>
      <c r="L76" s="4576"/>
      <c r="M76" s="4576"/>
      <c r="N76" s="4576"/>
      <c r="O76" s="4576"/>
      <c r="P76" s="4576"/>
      <c r="Q76" s="4576"/>
      <c r="R76" s="4576"/>
      <c r="S76" s="5090"/>
      <c r="T76" s="4575"/>
      <c r="U76" s="5090"/>
      <c r="V76" s="4575"/>
      <c r="W76" s="5090"/>
      <c r="X76" s="4575"/>
      <c r="Y76" s="5090"/>
      <c r="Z76" s="3970">
        <f t="shared" si="23"/>
        <v>0</v>
      </c>
      <c r="AA76" s="4575"/>
      <c r="AB76" s="4576"/>
      <c r="AC76" s="4576"/>
      <c r="AD76" s="5090"/>
      <c r="AE76" s="3970">
        <f t="shared" si="24"/>
        <v>0</v>
      </c>
      <c r="AF76" s="4575"/>
      <c r="AG76" s="4576"/>
      <c r="AH76" s="4576"/>
      <c r="AI76" s="4603"/>
      <c r="AJ76" s="5163"/>
      <c r="AK76" s="5164"/>
      <c r="AL76" s="5165"/>
      <c r="AM76" s="4601"/>
      <c r="AN76" s="4601"/>
      <c r="AO76" s="5093"/>
      <c r="AP76" s="4599"/>
      <c r="AQ76" s="4601"/>
      <c r="AR76" s="5093"/>
      <c r="AS76" s="4599"/>
      <c r="AT76" s="5077" t="str">
        <f t="shared" si="37"/>
        <v/>
      </c>
      <c r="CA76" s="5088" t="str">
        <f t="shared" si="25"/>
        <v/>
      </c>
      <c r="CB76" s="5088" t="str">
        <f t="shared" si="26"/>
        <v/>
      </c>
      <c r="CC76" s="5088" t="str">
        <f t="shared" si="27"/>
        <v/>
      </c>
      <c r="CD76" s="5088" t="str">
        <f t="shared" si="28"/>
        <v/>
      </c>
      <c r="CE76" s="5088" t="str">
        <f t="shared" si="29"/>
        <v/>
      </c>
      <c r="CF76" s="5088" t="str">
        <f t="shared" si="30"/>
        <v/>
      </c>
      <c r="CG76" s="5088" t="str">
        <f t="shared" si="31"/>
        <v/>
      </c>
      <c r="CH76" s="5088" t="str">
        <f t="shared" si="32"/>
        <v/>
      </c>
      <c r="CK76" s="5089">
        <f t="shared" si="33"/>
        <v>0</v>
      </c>
      <c r="CL76" s="5089">
        <f t="shared" si="34"/>
        <v>0</v>
      </c>
      <c r="CM76" s="5089">
        <f t="shared" si="35"/>
        <v>0</v>
      </c>
      <c r="CN76" s="5089">
        <f t="shared" si="38"/>
        <v>0</v>
      </c>
      <c r="CO76" s="5089">
        <f t="shared" si="36"/>
        <v>0</v>
      </c>
      <c r="CP76" s="5089">
        <f t="shared" si="36"/>
        <v>0</v>
      </c>
      <c r="CQ76" s="5089">
        <f t="shared" si="36"/>
        <v>0</v>
      </c>
      <c r="CR76" s="5089">
        <f t="shared" si="39"/>
        <v>0</v>
      </c>
    </row>
    <row r="77" spans="1:96" s="5077" customFormat="1" ht="15" customHeight="1">
      <c r="A77" s="4045" t="s">
        <v>1281</v>
      </c>
      <c r="B77" s="5081">
        <f t="shared" si="40"/>
        <v>0</v>
      </c>
      <c r="C77" s="4575"/>
      <c r="D77" s="4576"/>
      <c r="E77" s="4576"/>
      <c r="F77" s="4576"/>
      <c r="G77" s="4576"/>
      <c r="H77" s="4576"/>
      <c r="I77" s="4576"/>
      <c r="J77" s="4576"/>
      <c r="K77" s="4576"/>
      <c r="L77" s="4576"/>
      <c r="M77" s="4576"/>
      <c r="N77" s="4576"/>
      <c r="O77" s="4576"/>
      <c r="P77" s="4576"/>
      <c r="Q77" s="4576"/>
      <c r="R77" s="4576"/>
      <c r="S77" s="5090"/>
      <c r="T77" s="4575"/>
      <c r="U77" s="5090"/>
      <c r="V77" s="4575"/>
      <c r="W77" s="5090"/>
      <c r="X77" s="4575"/>
      <c r="Y77" s="5090"/>
      <c r="Z77" s="3970">
        <f t="shared" si="23"/>
        <v>0</v>
      </c>
      <c r="AA77" s="4575"/>
      <c r="AB77" s="4576"/>
      <c r="AC77" s="4576"/>
      <c r="AD77" s="5090"/>
      <c r="AE77" s="3970">
        <f t="shared" si="24"/>
        <v>0</v>
      </c>
      <c r="AF77" s="4575"/>
      <c r="AG77" s="4576"/>
      <c r="AH77" s="4576"/>
      <c r="AI77" s="4603"/>
      <c r="AJ77" s="5163"/>
      <c r="AK77" s="5164"/>
      <c r="AL77" s="5165"/>
      <c r="AM77" s="4601"/>
      <c r="AN77" s="4601"/>
      <c r="AO77" s="5093"/>
      <c r="AP77" s="4599"/>
      <c r="AQ77" s="4601"/>
      <c r="AR77" s="5093"/>
      <c r="AS77" s="4599"/>
      <c r="AT77" s="5077" t="str">
        <f t="shared" si="37"/>
        <v/>
      </c>
      <c r="CA77" s="5088" t="str">
        <f t="shared" si="25"/>
        <v/>
      </c>
      <c r="CB77" s="5088" t="str">
        <f t="shared" si="26"/>
        <v/>
      </c>
      <c r="CC77" s="5088" t="str">
        <f t="shared" si="27"/>
        <v/>
      </c>
      <c r="CD77" s="5088" t="str">
        <f t="shared" si="28"/>
        <v/>
      </c>
      <c r="CE77" s="5088" t="str">
        <f t="shared" si="29"/>
        <v/>
      </c>
      <c r="CF77" s="5088" t="str">
        <f t="shared" si="30"/>
        <v/>
      </c>
      <c r="CG77" s="5088" t="str">
        <f t="shared" si="31"/>
        <v/>
      </c>
      <c r="CH77" s="5088" t="str">
        <f t="shared" si="32"/>
        <v/>
      </c>
      <c r="CK77" s="5089">
        <f t="shared" si="33"/>
        <v>0</v>
      </c>
      <c r="CL77" s="5089">
        <f t="shared" si="34"/>
        <v>0</v>
      </c>
      <c r="CM77" s="5089">
        <f t="shared" si="35"/>
        <v>0</v>
      </c>
      <c r="CN77" s="5089">
        <f t="shared" si="38"/>
        <v>0</v>
      </c>
      <c r="CO77" s="5089">
        <f t="shared" si="36"/>
        <v>0</v>
      </c>
      <c r="CP77" s="5089">
        <f t="shared" si="36"/>
        <v>0</v>
      </c>
      <c r="CQ77" s="5089">
        <f t="shared" si="36"/>
        <v>0</v>
      </c>
      <c r="CR77" s="5089">
        <f t="shared" si="39"/>
        <v>0</v>
      </c>
    </row>
    <row r="78" spans="1:96" s="5077" customFormat="1" ht="15" customHeight="1">
      <c r="A78" s="1437" t="s">
        <v>1282</v>
      </c>
      <c r="B78" s="5081">
        <f t="shared" si="40"/>
        <v>0</v>
      </c>
      <c r="C78" s="4575"/>
      <c r="D78" s="4576"/>
      <c r="E78" s="4576"/>
      <c r="F78" s="4576"/>
      <c r="G78" s="4576"/>
      <c r="H78" s="4576"/>
      <c r="I78" s="4576"/>
      <c r="J78" s="4576"/>
      <c r="K78" s="4576"/>
      <c r="L78" s="4576"/>
      <c r="M78" s="4576"/>
      <c r="N78" s="4576"/>
      <c r="O78" s="4576"/>
      <c r="P78" s="4576"/>
      <c r="Q78" s="4576"/>
      <c r="R78" s="4576"/>
      <c r="S78" s="5090"/>
      <c r="T78" s="4575"/>
      <c r="U78" s="5090"/>
      <c r="V78" s="4575"/>
      <c r="W78" s="5090"/>
      <c r="X78" s="4575"/>
      <c r="Y78" s="5090"/>
      <c r="Z78" s="3970">
        <f t="shared" si="23"/>
        <v>0</v>
      </c>
      <c r="AA78" s="4575"/>
      <c r="AB78" s="4576"/>
      <c r="AC78" s="4576"/>
      <c r="AD78" s="5090"/>
      <c r="AE78" s="3970">
        <f t="shared" si="24"/>
        <v>0</v>
      </c>
      <c r="AF78" s="4575"/>
      <c r="AG78" s="4576"/>
      <c r="AH78" s="4576"/>
      <c r="AI78" s="4603"/>
      <c r="AJ78" s="5163"/>
      <c r="AK78" s="5164"/>
      <c r="AL78" s="5165"/>
      <c r="AM78" s="4601"/>
      <c r="AN78" s="4601"/>
      <c r="AO78" s="5093"/>
      <c r="AP78" s="4599"/>
      <c r="AQ78" s="4601"/>
      <c r="AR78" s="5093"/>
      <c r="AS78" s="4599"/>
      <c r="AT78" s="5077" t="str">
        <f t="shared" si="37"/>
        <v/>
      </c>
      <c r="CA78" s="5088" t="str">
        <f t="shared" si="25"/>
        <v/>
      </c>
      <c r="CB78" s="5088" t="str">
        <f t="shared" si="26"/>
        <v/>
      </c>
      <c r="CC78" s="5088" t="str">
        <f t="shared" si="27"/>
        <v/>
      </c>
      <c r="CD78" s="5088" t="str">
        <f t="shared" si="28"/>
        <v/>
      </c>
      <c r="CE78" s="5088" t="str">
        <f t="shared" si="29"/>
        <v/>
      </c>
      <c r="CF78" s="5088" t="str">
        <f t="shared" si="30"/>
        <v/>
      </c>
      <c r="CG78" s="5088" t="str">
        <f t="shared" si="31"/>
        <v/>
      </c>
      <c r="CH78" s="5088" t="str">
        <f t="shared" si="32"/>
        <v/>
      </c>
      <c r="CK78" s="5089">
        <f t="shared" si="33"/>
        <v>0</v>
      </c>
      <c r="CL78" s="5089">
        <f t="shared" si="34"/>
        <v>0</v>
      </c>
      <c r="CM78" s="5089">
        <f t="shared" si="35"/>
        <v>0</v>
      </c>
      <c r="CN78" s="5089">
        <f t="shared" si="38"/>
        <v>0</v>
      </c>
      <c r="CO78" s="5089">
        <f t="shared" si="36"/>
        <v>0</v>
      </c>
      <c r="CP78" s="5089">
        <f t="shared" si="36"/>
        <v>0</v>
      </c>
      <c r="CQ78" s="5089">
        <f t="shared" si="36"/>
        <v>0</v>
      </c>
      <c r="CR78" s="5089">
        <f t="shared" si="39"/>
        <v>0</v>
      </c>
    </row>
    <row r="79" spans="1:96" s="5077" customFormat="1" ht="15" customHeight="1">
      <c r="A79" s="1437" t="s">
        <v>1283</v>
      </c>
      <c r="B79" s="5081">
        <f t="shared" si="40"/>
        <v>0</v>
      </c>
      <c r="C79" s="4575"/>
      <c r="D79" s="4576"/>
      <c r="E79" s="4576"/>
      <c r="F79" s="4576"/>
      <c r="G79" s="4576"/>
      <c r="H79" s="4576"/>
      <c r="I79" s="4576"/>
      <c r="J79" s="4576"/>
      <c r="K79" s="4576"/>
      <c r="L79" s="4576"/>
      <c r="M79" s="4576"/>
      <c r="N79" s="4576"/>
      <c r="O79" s="4576"/>
      <c r="P79" s="4576"/>
      <c r="Q79" s="4576"/>
      <c r="R79" s="4576"/>
      <c r="S79" s="5090"/>
      <c r="T79" s="4575"/>
      <c r="U79" s="5090"/>
      <c r="V79" s="4575"/>
      <c r="W79" s="5090"/>
      <c r="X79" s="4575"/>
      <c r="Y79" s="5090"/>
      <c r="Z79" s="3970">
        <f t="shared" si="23"/>
        <v>0</v>
      </c>
      <c r="AA79" s="4575"/>
      <c r="AB79" s="4576"/>
      <c r="AC79" s="4576"/>
      <c r="AD79" s="5090"/>
      <c r="AE79" s="3970">
        <f t="shared" si="24"/>
        <v>0</v>
      </c>
      <c r="AF79" s="4575"/>
      <c r="AG79" s="4576"/>
      <c r="AH79" s="4576"/>
      <c r="AI79" s="4603"/>
      <c r="AJ79" s="5163"/>
      <c r="AK79" s="5164"/>
      <c r="AL79" s="5165"/>
      <c r="AM79" s="4601"/>
      <c r="AN79" s="4601"/>
      <c r="AO79" s="5093"/>
      <c r="AP79" s="4599"/>
      <c r="AQ79" s="4601"/>
      <c r="AR79" s="5093"/>
      <c r="AS79" s="4599"/>
      <c r="AT79" s="5077" t="str">
        <f t="shared" si="37"/>
        <v/>
      </c>
      <c r="CA79" s="5088" t="str">
        <f t="shared" si="25"/>
        <v/>
      </c>
      <c r="CB79" s="5088" t="str">
        <f t="shared" si="26"/>
        <v/>
      </c>
      <c r="CC79" s="5088" t="str">
        <f t="shared" si="27"/>
        <v/>
      </c>
      <c r="CD79" s="5088" t="str">
        <f t="shared" si="28"/>
        <v/>
      </c>
      <c r="CE79" s="5088" t="str">
        <f t="shared" si="29"/>
        <v/>
      </c>
      <c r="CF79" s="5088" t="str">
        <f t="shared" si="30"/>
        <v/>
      </c>
      <c r="CG79" s="5088" t="str">
        <f t="shared" si="31"/>
        <v/>
      </c>
      <c r="CH79" s="5088" t="str">
        <f t="shared" si="32"/>
        <v/>
      </c>
      <c r="CK79" s="5089">
        <f t="shared" si="33"/>
        <v>0</v>
      </c>
      <c r="CL79" s="5089">
        <f t="shared" si="34"/>
        <v>0</v>
      </c>
      <c r="CM79" s="5089">
        <f t="shared" si="35"/>
        <v>0</v>
      </c>
      <c r="CN79" s="5089">
        <f t="shared" si="38"/>
        <v>0</v>
      </c>
      <c r="CO79" s="5089">
        <f t="shared" si="36"/>
        <v>0</v>
      </c>
      <c r="CP79" s="5089">
        <f t="shared" si="36"/>
        <v>0</v>
      </c>
      <c r="CQ79" s="5089">
        <f t="shared" si="36"/>
        <v>0</v>
      </c>
      <c r="CR79" s="5089">
        <f t="shared" si="39"/>
        <v>0</v>
      </c>
    </row>
    <row r="80" spans="1:96" s="5077" customFormat="1" ht="15" customHeight="1">
      <c r="A80" s="1437" t="s">
        <v>4151</v>
      </c>
      <c r="B80" s="5081">
        <f t="shared" si="40"/>
        <v>0</v>
      </c>
      <c r="C80" s="4575"/>
      <c r="D80" s="4576"/>
      <c r="E80" s="4576"/>
      <c r="F80" s="4576"/>
      <c r="G80" s="4576"/>
      <c r="H80" s="4576"/>
      <c r="I80" s="4576"/>
      <c r="J80" s="4576"/>
      <c r="K80" s="4576"/>
      <c r="L80" s="4576"/>
      <c r="M80" s="4576"/>
      <c r="N80" s="4576"/>
      <c r="O80" s="4576"/>
      <c r="P80" s="4576"/>
      <c r="Q80" s="4576"/>
      <c r="R80" s="4576"/>
      <c r="S80" s="5090"/>
      <c r="T80" s="4575"/>
      <c r="U80" s="5090"/>
      <c r="V80" s="4575"/>
      <c r="W80" s="5090"/>
      <c r="X80" s="4575"/>
      <c r="Y80" s="5090"/>
      <c r="Z80" s="3970">
        <f t="shared" si="23"/>
        <v>0</v>
      </c>
      <c r="AA80" s="4575"/>
      <c r="AB80" s="4576"/>
      <c r="AC80" s="4576"/>
      <c r="AD80" s="5090"/>
      <c r="AE80" s="3970">
        <f t="shared" si="24"/>
        <v>0</v>
      </c>
      <c r="AF80" s="4575"/>
      <c r="AG80" s="4576"/>
      <c r="AH80" s="4576"/>
      <c r="AI80" s="4603"/>
      <c r="AJ80" s="5163"/>
      <c r="AK80" s="5164"/>
      <c r="AL80" s="5165"/>
      <c r="AM80" s="4601"/>
      <c r="AN80" s="4601"/>
      <c r="AO80" s="5093"/>
      <c r="AP80" s="4599"/>
      <c r="AQ80" s="4601"/>
      <c r="AR80" s="5093"/>
      <c r="AS80" s="4599"/>
      <c r="AT80" s="5077" t="str">
        <f t="shared" si="37"/>
        <v/>
      </c>
      <c r="CA80" s="5088" t="str">
        <f t="shared" si="25"/>
        <v/>
      </c>
      <c r="CB80" s="5088" t="str">
        <f t="shared" si="26"/>
        <v/>
      </c>
      <c r="CC80" s="5088" t="str">
        <f t="shared" si="27"/>
        <v/>
      </c>
      <c r="CD80" s="5088" t="str">
        <f t="shared" si="28"/>
        <v/>
      </c>
      <c r="CE80" s="5088" t="str">
        <f t="shared" si="29"/>
        <v/>
      </c>
      <c r="CF80" s="5088" t="str">
        <f t="shared" si="30"/>
        <v/>
      </c>
      <c r="CG80" s="5088" t="str">
        <f t="shared" si="31"/>
        <v/>
      </c>
      <c r="CH80" s="5088" t="str">
        <f t="shared" si="32"/>
        <v/>
      </c>
      <c r="CK80" s="5089">
        <f t="shared" si="33"/>
        <v>0</v>
      </c>
      <c r="CL80" s="5089">
        <f t="shared" si="34"/>
        <v>0</v>
      </c>
      <c r="CM80" s="5089">
        <f t="shared" si="35"/>
        <v>0</v>
      </c>
      <c r="CN80" s="5089">
        <f t="shared" si="38"/>
        <v>0</v>
      </c>
      <c r="CO80" s="5089">
        <f t="shared" si="36"/>
        <v>0</v>
      </c>
      <c r="CP80" s="5089">
        <f t="shared" si="36"/>
        <v>0</v>
      </c>
      <c r="CQ80" s="5089">
        <f t="shared" si="36"/>
        <v>0</v>
      </c>
      <c r="CR80" s="5089">
        <f t="shared" si="39"/>
        <v>0</v>
      </c>
    </row>
    <row r="81" spans="1:96" s="5077" customFormat="1" ht="15" customHeight="1">
      <c r="A81" s="3970" t="s">
        <v>1285</v>
      </c>
      <c r="B81" s="5081">
        <f t="shared" si="40"/>
        <v>0</v>
      </c>
      <c r="C81" s="4575"/>
      <c r="D81" s="4576"/>
      <c r="E81" s="4576"/>
      <c r="F81" s="4576"/>
      <c r="G81" s="4576"/>
      <c r="H81" s="4576"/>
      <c r="I81" s="4576"/>
      <c r="J81" s="4576"/>
      <c r="K81" s="4576"/>
      <c r="L81" s="4576"/>
      <c r="M81" s="4576"/>
      <c r="N81" s="4576"/>
      <c r="O81" s="4576"/>
      <c r="P81" s="4576"/>
      <c r="Q81" s="4576"/>
      <c r="R81" s="4576"/>
      <c r="S81" s="5090"/>
      <c r="T81" s="4575"/>
      <c r="U81" s="5090"/>
      <c r="V81" s="4575"/>
      <c r="W81" s="5090"/>
      <c r="X81" s="4575"/>
      <c r="Y81" s="5090"/>
      <c r="Z81" s="3970">
        <f t="shared" si="23"/>
        <v>0</v>
      </c>
      <c r="AA81" s="4575"/>
      <c r="AB81" s="4576"/>
      <c r="AC81" s="4576"/>
      <c r="AD81" s="5090"/>
      <c r="AE81" s="3970">
        <f t="shared" si="24"/>
        <v>0</v>
      </c>
      <c r="AF81" s="4575"/>
      <c r="AG81" s="4576"/>
      <c r="AH81" s="4576"/>
      <c r="AI81" s="4603"/>
      <c r="AJ81" s="5163"/>
      <c r="AK81" s="5164"/>
      <c r="AL81" s="5165"/>
      <c r="AM81" s="4601"/>
      <c r="AN81" s="4601"/>
      <c r="AO81" s="5093"/>
      <c r="AP81" s="4599"/>
      <c r="AQ81" s="4601"/>
      <c r="AR81" s="5093"/>
      <c r="AS81" s="4599"/>
      <c r="AT81" s="5077" t="str">
        <f t="shared" si="37"/>
        <v/>
      </c>
      <c r="CA81" s="5088" t="str">
        <f t="shared" si="25"/>
        <v/>
      </c>
      <c r="CB81" s="5088" t="str">
        <f t="shared" si="26"/>
        <v/>
      </c>
      <c r="CC81" s="5088" t="str">
        <f t="shared" si="27"/>
        <v/>
      </c>
      <c r="CD81" s="5088" t="str">
        <f t="shared" si="28"/>
        <v/>
      </c>
      <c r="CE81" s="5088" t="str">
        <f t="shared" si="29"/>
        <v/>
      </c>
      <c r="CF81" s="5088" t="str">
        <f t="shared" si="30"/>
        <v/>
      </c>
      <c r="CG81" s="5088" t="str">
        <f t="shared" si="31"/>
        <v/>
      </c>
      <c r="CH81" s="5088" t="str">
        <f t="shared" si="32"/>
        <v/>
      </c>
      <c r="CK81" s="5089">
        <f t="shared" si="33"/>
        <v>0</v>
      </c>
      <c r="CL81" s="5089">
        <f t="shared" si="34"/>
        <v>0</v>
      </c>
      <c r="CM81" s="5089">
        <f t="shared" si="35"/>
        <v>0</v>
      </c>
      <c r="CN81" s="5089">
        <f t="shared" si="38"/>
        <v>0</v>
      </c>
      <c r="CO81" s="5089">
        <f t="shared" si="36"/>
        <v>0</v>
      </c>
      <c r="CP81" s="5089">
        <f t="shared" si="36"/>
        <v>0</v>
      </c>
      <c r="CQ81" s="5089">
        <f t="shared" si="36"/>
        <v>0</v>
      </c>
      <c r="CR81" s="5089">
        <f t="shared" si="39"/>
        <v>0</v>
      </c>
    </row>
    <row r="82" spans="1:96" s="5077" customFormat="1" ht="15" customHeight="1">
      <c r="A82" s="3970" t="s">
        <v>1286</v>
      </c>
      <c r="B82" s="5081">
        <f t="shared" si="40"/>
        <v>0</v>
      </c>
      <c r="C82" s="4575"/>
      <c r="D82" s="4576"/>
      <c r="E82" s="4576"/>
      <c r="F82" s="4576"/>
      <c r="G82" s="4576"/>
      <c r="H82" s="4576"/>
      <c r="I82" s="4576"/>
      <c r="J82" s="4576"/>
      <c r="K82" s="4576"/>
      <c r="L82" s="4576"/>
      <c r="M82" s="4576"/>
      <c r="N82" s="4576"/>
      <c r="O82" s="4576"/>
      <c r="P82" s="4576"/>
      <c r="Q82" s="4576"/>
      <c r="R82" s="4576"/>
      <c r="S82" s="5090"/>
      <c r="T82" s="4575"/>
      <c r="U82" s="5090"/>
      <c r="V82" s="4575"/>
      <c r="W82" s="5090"/>
      <c r="X82" s="4575"/>
      <c r="Y82" s="5090"/>
      <c r="Z82" s="3970">
        <f t="shared" si="23"/>
        <v>0</v>
      </c>
      <c r="AA82" s="4575"/>
      <c r="AB82" s="4576"/>
      <c r="AC82" s="4576"/>
      <c r="AD82" s="5090"/>
      <c r="AE82" s="3970">
        <f t="shared" si="24"/>
        <v>0</v>
      </c>
      <c r="AF82" s="4575"/>
      <c r="AG82" s="4576"/>
      <c r="AH82" s="4576"/>
      <c r="AI82" s="4603"/>
      <c r="AJ82" s="5163"/>
      <c r="AK82" s="5164"/>
      <c r="AL82" s="5165"/>
      <c r="AM82" s="4601"/>
      <c r="AN82" s="4601"/>
      <c r="AO82" s="5093"/>
      <c r="AP82" s="4599"/>
      <c r="AQ82" s="4601"/>
      <c r="AR82" s="5093"/>
      <c r="AS82" s="4599"/>
      <c r="AT82" s="5077" t="str">
        <f t="shared" si="37"/>
        <v/>
      </c>
      <c r="CA82" s="5088" t="str">
        <f t="shared" si="25"/>
        <v/>
      </c>
      <c r="CB82" s="5088" t="str">
        <f t="shared" si="26"/>
        <v/>
      </c>
      <c r="CC82" s="5088" t="str">
        <f t="shared" si="27"/>
        <v/>
      </c>
      <c r="CD82" s="5088" t="str">
        <f t="shared" si="28"/>
        <v/>
      </c>
      <c r="CE82" s="5088" t="str">
        <f t="shared" si="29"/>
        <v/>
      </c>
      <c r="CF82" s="5088" t="str">
        <f t="shared" si="30"/>
        <v/>
      </c>
      <c r="CG82" s="5088" t="str">
        <f t="shared" si="31"/>
        <v/>
      </c>
      <c r="CH82" s="5088" t="str">
        <f t="shared" si="32"/>
        <v/>
      </c>
      <c r="CK82" s="5089">
        <f t="shared" si="33"/>
        <v>0</v>
      </c>
      <c r="CL82" s="5089">
        <f t="shared" si="34"/>
        <v>0</v>
      </c>
      <c r="CM82" s="5089">
        <f t="shared" si="35"/>
        <v>0</v>
      </c>
      <c r="CN82" s="5089">
        <f t="shared" si="38"/>
        <v>0</v>
      </c>
      <c r="CO82" s="5089">
        <f t="shared" si="36"/>
        <v>0</v>
      </c>
      <c r="CP82" s="5089">
        <f t="shared" si="36"/>
        <v>0</v>
      </c>
      <c r="CQ82" s="5089">
        <f t="shared" si="36"/>
        <v>0</v>
      </c>
      <c r="CR82" s="5089">
        <f t="shared" si="39"/>
        <v>0</v>
      </c>
    </row>
    <row r="83" spans="1:96" s="5077" customFormat="1" ht="15" customHeight="1">
      <c r="A83" s="1947" t="s">
        <v>1287</v>
      </c>
      <c r="B83" s="5081">
        <f t="shared" si="40"/>
        <v>0</v>
      </c>
      <c r="C83" s="4575"/>
      <c r="D83" s="4576"/>
      <c r="E83" s="4576"/>
      <c r="F83" s="4576"/>
      <c r="G83" s="4576"/>
      <c r="H83" s="4576"/>
      <c r="I83" s="4576"/>
      <c r="J83" s="4576"/>
      <c r="K83" s="4576"/>
      <c r="L83" s="4576"/>
      <c r="M83" s="4576"/>
      <c r="N83" s="4576"/>
      <c r="O83" s="4576"/>
      <c r="P83" s="4576"/>
      <c r="Q83" s="4576"/>
      <c r="R83" s="4576"/>
      <c r="S83" s="5090"/>
      <c r="T83" s="4575"/>
      <c r="U83" s="5090"/>
      <c r="V83" s="4575"/>
      <c r="W83" s="5090"/>
      <c r="X83" s="4575"/>
      <c r="Y83" s="5090"/>
      <c r="Z83" s="3970">
        <f t="shared" si="23"/>
        <v>0</v>
      </c>
      <c r="AA83" s="4575"/>
      <c r="AB83" s="4576"/>
      <c r="AC83" s="4576"/>
      <c r="AD83" s="5090"/>
      <c r="AE83" s="3970">
        <f t="shared" si="24"/>
        <v>0</v>
      </c>
      <c r="AF83" s="4575"/>
      <c r="AG83" s="4576"/>
      <c r="AH83" s="4576"/>
      <c r="AI83" s="4603"/>
      <c r="AJ83" s="5163"/>
      <c r="AK83" s="5164"/>
      <c r="AL83" s="5165"/>
      <c r="AM83" s="4601"/>
      <c r="AN83" s="4601"/>
      <c r="AO83" s="5093"/>
      <c r="AP83" s="4599"/>
      <c r="AQ83" s="4601"/>
      <c r="AR83" s="5093"/>
      <c r="AS83" s="4599"/>
      <c r="AT83" s="5077" t="str">
        <f t="shared" si="37"/>
        <v/>
      </c>
      <c r="CA83" s="5088" t="str">
        <f t="shared" si="25"/>
        <v/>
      </c>
      <c r="CB83" s="5088" t="str">
        <f t="shared" si="26"/>
        <v/>
      </c>
      <c r="CC83" s="5088" t="str">
        <f t="shared" si="27"/>
        <v/>
      </c>
      <c r="CD83" s="5088" t="str">
        <f t="shared" si="28"/>
        <v/>
      </c>
      <c r="CE83" s="5088" t="str">
        <f t="shared" si="29"/>
        <v/>
      </c>
      <c r="CF83" s="5088" t="str">
        <f t="shared" si="30"/>
        <v/>
      </c>
      <c r="CG83" s="5088" t="str">
        <f t="shared" si="31"/>
        <v/>
      </c>
      <c r="CH83" s="5088" t="str">
        <f t="shared" si="32"/>
        <v/>
      </c>
      <c r="CK83" s="5089">
        <f t="shared" si="33"/>
        <v>0</v>
      </c>
      <c r="CL83" s="5089">
        <f t="shared" si="34"/>
        <v>0</v>
      </c>
      <c r="CM83" s="5089">
        <f t="shared" si="35"/>
        <v>0</v>
      </c>
      <c r="CN83" s="5089">
        <f t="shared" si="38"/>
        <v>0</v>
      </c>
      <c r="CO83" s="5089">
        <f t="shared" si="36"/>
        <v>0</v>
      </c>
      <c r="CP83" s="5089">
        <f t="shared" si="36"/>
        <v>0</v>
      </c>
      <c r="CQ83" s="5089">
        <f t="shared" si="36"/>
        <v>0</v>
      </c>
      <c r="CR83" s="5089">
        <f t="shared" si="39"/>
        <v>0</v>
      </c>
    </row>
    <row r="84" spans="1:96" s="5077" customFormat="1" ht="15" customHeight="1">
      <c r="A84" s="1947" t="s">
        <v>1288</v>
      </c>
      <c r="B84" s="5081">
        <f t="shared" si="40"/>
        <v>0</v>
      </c>
      <c r="C84" s="4575"/>
      <c r="D84" s="4576"/>
      <c r="E84" s="4576"/>
      <c r="F84" s="4576"/>
      <c r="G84" s="4576"/>
      <c r="H84" s="4576"/>
      <c r="I84" s="4576"/>
      <c r="J84" s="4576"/>
      <c r="K84" s="4576"/>
      <c r="L84" s="4576"/>
      <c r="M84" s="4576"/>
      <c r="N84" s="4576"/>
      <c r="O84" s="4576"/>
      <c r="P84" s="4576"/>
      <c r="Q84" s="4576"/>
      <c r="R84" s="4576"/>
      <c r="S84" s="5090"/>
      <c r="T84" s="4575"/>
      <c r="U84" s="5090"/>
      <c r="V84" s="4575"/>
      <c r="W84" s="5090"/>
      <c r="X84" s="4575"/>
      <c r="Y84" s="5090"/>
      <c r="Z84" s="3970">
        <f t="shared" si="23"/>
        <v>0</v>
      </c>
      <c r="AA84" s="4575"/>
      <c r="AB84" s="4576"/>
      <c r="AC84" s="4576"/>
      <c r="AD84" s="5090"/>
      <c r="AE84" s="3970">
        <f t="shared" si="24"/>
        <v>0</v>
      </c>
      <c r="AF84" s="4575"/>
      <c r="AG84" s="4576"/>
      <c r="AH84" s="4576"/>
      <c r="AI84" s="4603"/>
      <c r="AJ84" s="5163"/>
      <c r="AK84" s="5164"/>
      <c r="AL84" s="5165"/>
      <c r="AM84" s="4601"/>
      <c r="AN84" s="4601"/>
      <c r="AO84" s="5093"/>
      <c r="AP84" s="4599"/>
      <c r="AQ84" s="4601"/>
      <c r="AR84" s="5093"/>
      <c r="AS84" s="4599"/>
      <c r="AT84" s="5077" t="str">
        <f t="shared" si="37"/>
        <v/>
      </c>
      <c r="CA84" s="5088" t="str">
        <f t="shared" si="25"/>
        <v/>
      </c>
      <c r="CB84" s="5088" t="str">
        <f t="shared" si="26"/>
        <v/>
      </c>
      <c r="CC84" s="5088" t="str">
        <f t="shared" si="27"/>
        <v/>
      </c>
      <c r="CD84" s="5088" t="str">
        <f t="shared" si="28"/>
        <v/>
      </c>
      <c r="CE84" s="5088" t="str">
        <f t="shared" si="29"/>
        <v/>
      </c>
      <c r="CF84" s="5088" t="str">
        <f t="shared" si="30"/>
        <v/>
      </c>
      <c r="CG84" s="5088" t="str">
        <f t="shared" si="31"/>
        <v/>
      </c>
      <c r="CH84" s="5088" t="str">
        <f t="shared" si="32"/>
        <v/>
      </c>
      <c r="CK84" s="5089">
        <f t="shared" si="33"/>
        <v>0</v>
      </c>
      <c r="CL84" s="5089">
        <f t="shared" si="34"/>
        <v>0</v>
      </c>
      <c r="CM84" s="5089">
        <f t="shared" si="35"/>
        <v>0</v>
      </c>
      <c r="CN84" s="5089">
        <f t="shared" si="38"/>
        <v>0</v>
      </c>
      <c r="CO84" s="5089">
        <f t="shared" si="36"/>
        <v>0</v>
      </c>
      <c r="CP84" s="5089">
        <f t="shared" si="36"/>
        <v>0</v>
      </c>
      <c r="CQ84" s="5089">
        <f t="shared" si="36"/>
        <v>0</v>
      </c>
      <c r="CR84" s="5089">
        <f t="shared" si="39"/>
        <v>0</v>
      </c>
    </row>
    <row r="85" spans="1:96" s="5077" customFormat="1" ht="15" customHeight="1">
      <c r="A85" s="1947" t="s">
        <v>1289</v>
      </c>
      <c r="B85" s="5081">
        <f t="shared" si="40"/>
        <v>0</v>
      </c>
      <c r="C85" s="4575"/>
      <c r="D85" s="4576"/>
      <c r="E85" s="4576"/>
      <c r="F85" s="4576"/>
      <c r="G85" s="4576"/>
      <c r="H85" s="4576"/>
      <c r="I85" s="4576"/>
      <c r="J85" s="4576"/>
      <c r="K85" s="4576"/>
      <c r="L85" s="4576"/>
      <c r="M85" s="4576"/>
      <c r="N85" s="4576"/>
      <c r="O85" s="4576"/>
      <c r="P85" s="4576"/>
      <c r="Q85" s="4576"/>
      <c r="R85" s="4576"/>
      <c r="S85" s="5090"/>
      <c r="T85" s="4575"/>
      <c r="U85" s="5090"/>
      <c r="V85" s="4575"/>
      <c r="W85" s="5090"/>
      <c r="X85" s="4575"/>
      <c r="Y85" s="5090"/>
      <c r="Z85" s="3970">
        <f t="shared" si="23"/>
        <v>0</v>
      </c>
      <c r="AA85" s="4575"/>
      <c r="AB85" s="4576"/>
      <c r="AC85" s="4576"/>
      <c r="AD85" s="5090"/>
      <c r="AE85" s="3970">
        <f t="shared" si="24"/>
        <v>0</v>
      </c>
      <c r="AF85" s="4575"/>
      <c r="AG85" s="4576"/>
      <c r="AH85" s="4576"/>
      <c r="AI85" s="4603"/>
      <c r="AJ85" s="5163"/>
      <c r="AK85" s="5164"/>
      <c r="AL85" s="5165"/>
      <c r="AM85" s="4601"/>
      <c r="AN85" s="4601"/>
      <c r="AO85" s="5093"/>
      <c r="AP85" s="4599"/>
      <c r="AQ85" s="4601"/>
      <c r="AR85" s="5093"/>
      <c r="AS85" s="4599"/>
      <c r="AT85" s="5077" t="str">
        <f t="shared" si="37"/>
        <v/>
      </c>
      <c r="CA85" s="5088" t="str">
        <f t="shared" si="25"/>
        <v/>
      </c>
      <c r="CB85" s="5088" t="str">
        <f t="shared" si="26"/>
        <v/>
      </c>
      <c r="CC85" s="5088" t="str">
        <f t="shared" si="27"/>
        <v/>
      </c>
      <c r="CD85" s="5088" t="str">
        <f t="shared" si="28"/>
        <v/>
      </c>
      <c r="CE85" s="5088" t="str">
        <f t="shared" si="29"/>
        <v/>
      </c>
      <c r="CF85" s="5088" t="str">
        <f t="shared" si="30"/>
        <v/>
      </c>
      <c r="CG85" s="5088" t="str">
        <f t="shared" si="31"/>
        <v/>
      </c>
      <c r="CH85" s="5088" t="str">
        <f t="shared" si="32"/>
        <v/>
      </c>
      <c r="CK85" s="5089">
        <f t="shared" si="33"/>
        <v>0</v>
      </c>
      <c r="CL85" s="5089">
        <f t="shared" si="34"/>
        <v>0</v>
      </c>
      <c r="CM85" s="5089">
        <f t="shared" si="35"/>
        <v>0</v>
      </c>
      <c r="CN85" s="5089">
        <f t="shared" si="38"/>
        <v>0</v>
      </c>
      <c r="CO85" s="5089">
        <f t="shared" si="36"/>
        <v>0</v>
      </c>
      <c r="CP85" s="5089">
        <f t="shared" si="36"/>
        <v>0</v>
      </c>
      <c r="CQ85" s="5089">
        <f t="shared" si="36"/>
        <v>0</v>
      </c>
      <c r="CR85" s="5089">
        <f t="shared" si="39"/>
        <v>0</v>
      </c>
    </row>
    <row r="86" spans="1:96" s="5077" customFormat="1" ht="15" customHeight="1">
      <c r="A86" s="3970" t="s">
        <v>1290</v>
      </c>
      <c r="B86" s="5081">
        <f t="shared" si="40"/>
        <v>0</v>
      </c>
      <c r="C86" s="4575"/>
      <c r="D86" s="4576"/>
      <c r="E86" s="4576"/>
      <c r="F86" s="4576"/>
      <c r="G86" s="4576"/>
      <c r="H86" s="4576"/>
      <c r="I86" s="4576"/>
      <c r="J86" s="4576"/>
      <c r="K86" s="4576"/>
      <c r="L86" s="4576"/>
      <c r="M86" s="4576"/>
      <c r="N86" s="4576"/>
      <c r="O86" s="4576"/>
      <c r="P86" s="4576"/>
      <c r="Q86" s="4576"/>
      <c r="R86" s="4576"/>
      <c r="S86" s="5090"/>
      <c r="T86" s="4575"/>
      <c r="U86" s="5090"/>
      <c r="V86" s="4575"/>
      <c r="W86" s="5090"/>
      <c r="X86" s="4575"/>
      <c r="Y86" s="5090"/>
      <c r="Z86" s="3970">
        <f t="shared" si="23"/>
        <v>0</v>
      </c>
      <c r="AA86" s="4575"/>
      <c r="AB86" s="4576"/>
      <c r="AC86" s="4576"/>
      <c r="AD86" s="5090"/>
      <c r="AE86" s="3970">
        <f t="shared" si="24"/>
        <v>0</v>
      </c>
      <c r="AF86" s="4575"/>
      <c r="AG86" s="4576"/>
      <c r="AH86" s="4576"/>
      <c r="AI86" s="4603"/>
      <c r="AJ86" s="5163"/>
      <c r="AK86" s="5164"/>
      <c r="AL86" s="5165"/>
      <c r="AM86" s="4601"/>
      <c r="AN86" s="4601"/>
      <c r="AO86" s="5093"/>
      <c r="AP86" s="4599"/>
      <c r="AQ86" s="4601"/>
      <c r="AR86" s="5093"/>
      <c r="AS86" s="4599"/>
      <c r="AT86" s="5077" t="str">
        <f t="shared" si="37"/>
        <v/>
      </c>
      <c r="CA86" s="5088" t="str">
        <f t="shared" si="25"/>
        <v/>
      </c>
      <c r="CB86" s="5088" t="str">
        <f t="shared" si="26"/>
        <v/>
      </c>
      <c r="CC86" s="5088" t="str">
        <f t="shared" si="27"/>
        <v/>
      </c>
      <c r="CD86" s="5088" t="str">
        <f t="shared" si="28"/>
        <v/>
      </c>
      <c r="CE86" s="5088" t="str">
        <f t="shared" si="29"/>
        <v/>
      </c>
      <c r="CF86" s="5088" t="str">
        <f t="shared" si="30"/>
        <v/>
      </c>
      <c r="CG86" s="5088" t="str">
        <f t="shared" si="31"/>
        <v/>
      </c>
      <c r="CH86" s="5088" t="str">
        <f t="shared" si="32"/>
        <v/>
      </c>
      <c r="CK86" s="5089">
        <f t="shared" si="33"/>
        <v>0</v>
      </c>
      <c r="CL86" s="5089">
        <f t="shared" si="34"/>
        <v>0</v>
      </c>
      <c r="CM86" s="5089">
        <f t="shared" si="35"/>
        <v>0</v>
      </c>
      <c r="CN86" s="5089">
        <f t="shared" si="38"/>
        <v>0</v>
      </c>
      <c r="CO86" s="5089">
        <f t="shared" si="36"/>
        <v>0</v>
      </c>
      <c r="CP86" s="5089">
        <f t="shared" si="36"/>
        <v>0</v>
      </c>
      <c r="CQ86" s="5089">
        <f t="shared" si="36"/>
        <v>0</v>
      </c>
      <c r="CR86" s="5089">
        <f t="shared" si="39"/>
        <v>0</v>
      </c>
    </row>
    <row r="87" spans="1:96" s="5077" customFormat="1" ht="15" customHeight="1">
      <c r="A87" s="3970" t="s">
        <v>4152</v>
      </c>
      <c r="B87" s="5081">
        <f t="shared" si="40"/>
        <v>0</v>
      </c>
      <c r="C87" s="4575"/>
      <c r="D87" s="4576"/>
      <c r="E87" s="4576"/>
      <c r="F87" s="4576"/>
      <c r="G87" s="4576"/>
      <c r="H87" s="4576"/>
      <c r="I87" s="4576"/>
      <c r="J87" s="4576"/>
      <c r="K87" s="4576"/>
      <c r="L87" s="4576"/>
      <c r="M87" s="4576"/>
      <c r="N87" s="4576"/>
      <c r="O87" s="4576"/>
      <c r="P87" s="4576"/>
      <c r="Q87" s="4576"/>
      <c r="R87" s="4576"/>
      <c r="S87" s="5090"/>
      <c r="T87" s="4575"/>
      <c r="U87" s="5090"/>
      <c r="V87" s="4575"/>
      <c r="W87" s="5090"/>
      <c r="X87" s="4575"/>
      <c r="Y87" s="5090"/>
      <c r="Z87" s="3970">
        <f t="shared" si="23"/>
        <v>0</v>
      </c>
      <c r="AA87" s="4575"/>
      <c r="AB87" s="4576"/>
      <c r="AC87" s="4576"/>
      <c r="AD87" s="5090"/>
      <c r="AE87" s="3970">
        <f t="shared" si="24"/>
        <v>0</v>
      </c>
      <c r="AF87" s="4575"/>
      <c r="AG87" s="4576"/>
      <c r="AH87" s="4576"/>
      <c r="AI87" s="4603"/>
      <c r="AJ87" s="5163"/>
      <c r="AK87" s="5164"/>
      <c r="AL87" s="5165"/>
      <c r="AM87" s="4601"/>
      <c r="AN87" s="4601"/>
      <c r="AO87" s="5093"/>
      <c r="AP87" s="4599"/>
      <c r="AQ87" s="4601"/>
      <c r="AR87" s="5093"/>
      <c r="AS87" s="4599"/>
      <c r="AT87" s="5077" t="str">
        <f t="shared" si="37"/>
        <v/>
      </c>
      <c r="CA87" s="5088" t="str">
        <f t="shared" si="25"/>
        <v/>
      </c>
      <c r="CB87" s="5088" t="str">
        <f t="shared" si="26"/>
        <v/>
      </c>
      <c r="CC87" s="5088" t="str">
        <f t="shared" si="27"/>
        <v/>
      </c>
      <c r="CD87" s="5088" t="str">
        <f t="shared" si="28"/>
        <v/>
      </c>
      <c r="CE87" s="5088" t="str">
        <f t="shared" si="29"/>
        <v/>
      </c>
      <c r="CF87" s="5088" t="str">
        <f t="shared" si="30"/>
        <v/>
      </c>
      <c r="CG87" s="5088" t="str">
        <f t="shared" si="31"/>
        <v/>
      </c>
      <c r="CH87" s="5088" t="str">
        <f t="shared" si="32"/>
        <v/>
      </c>
      <c r="CK87" s="5089">
        <f t="shared" si="33"/>
        <v>0</v>
      </c>
      <c r="CL87" s="5089">
        <f t="shared" si="34"/>
        <v>0</v>
      </c>
      <c r="CM87" s="5089">
        <f t="shared" si="35"/>
        <v>0</v>
      </c>
      <c r="CN87" s="5089">
        <f t="shared" si="38"/>
        <v>0</v>
      </c>
      <c r="CO87" s="5089">
        <f t="shared" si="36"/>
        <v>0</v>
      </c>
      <c r="CP87" s="5089">
        <f t="shared" si="36"/>
        <v>0</v>
      </c>
      <c r="CQ87" s="5089">
        <f t="shared" si="36"/>
        <v>0</v>
      </c>
      <c r="CR87" s="5089">
        <f t="shared" si="39"/>
        <v>0</v>
      </c>
    </row>
    <row r="88" spans="1:96" s="5077" customFormat="1" ht="15" customHeight="1">
      <c r="A88" s="4045" t="s">
        <v>1292</v>
      </c>
      <c r="B88" s="5081">
        <f t="shared" si="40"/>
        <v>0</v>
      </c>
      <c r="C88" s="4575"/>
      <c r="D88" s="4576"/>
      <c r="E88" s="4576"/>
      <c r="F88" s="4576"/>
      <c r="G88" s="4576"/>
      <c r="H88" s="4576"/>
      <c r="I88" s="4576"/>
      <c r="J88" s="4576"/>
      <c r="K88" s="4576"/>
      <c r="L88" s="4576"/>
      <c r="M88" s="4576"/>
      <c r="N88" s="4576"/>
      <c r="O88" s="4576"/>
      <c r="P88" s="4576"/>
      <c r="Q88" s="4576"/>
      <c r="R88" s="4576"/>
      <c r="S88" s="5090"/>
      <c r="T88" s="4575"/>
      <c r="U88" s="5090"/>
      <c r="V88" s="4575"/>
      <c r="W88" s="5090"/>
      <c r="X88" s="4575"/>
      <c r="Y88" s="5090"/>
      <c r="Z88" s="3970">
        <f t="shared" si="23"/>
        <v>0</v>
      </c>
      <c r="AA88" s="4575"/>
      <c r="AB88" s="4576"/>
      <c r="AC88" s="4576"/>
      <c r="AD88" s="5090"/>
      <c r="AE88" s="3970">
        <f t="shared" si="24"/>
        <v>0</v>
      </c>
      <c r="AF88" s="4575"/>
      <c r="AG88" s="4576"/>
      <c r="AH88" s="4576"/>
      <c r="AI88" s="4603"/>
      <c r="AJ88" s="5163"/>
      <c r="AK88" s="5164"/>
      <c r="AL88" s="5165"/>
      <c r="AM88" s="4601"/>
      <c r="AN88" s="4601"/>
      <c r="AO88" s="5093"/>
      <c r="AP88" s="4599"/>
      <c r="AQ88" s="4601"/>
      <c r="AR88" s="5093"/>
      <c r="AS88" s="4599"/>
      <c r="AT88" s="5077" t="str">
        <f t="shared" si="37"/>
        <v/>
      </c>
      <c r="CA88" s="5088" t="str">
        <f t="shared" si="25"/>
        <v/>
      </c>
      <c r="CB88" s="5088" t="str">
        <f t="shared" si="26"/>
        <v/>
      </c>
      <c r="CC88" s="5088" t="str">
        <f t="shared" si="27"/>
        <v/>
      </c>
      <c r="CD88" s="5088" t="str">
        <f t="shared" si="28"/>
        <v/>
      </c>
      <c r="CE88" s="5088" t="str">
        <f t="shared" si="29"/>
        <v/>
      </c>
      <c r="CF88" s="5088" t="str">
        <f t="shared" si="30"/>
        <v/>
      </c>
      <c r="CG88" s="5088" t="str">
        <f t="shared" si="31"/>
        <v/>
      </c>
      <c r="CH88" s="5088" t="str">
        <f t="shared" si="32"/>
        <v/>
      </c>
      <c r="CK88" s="5089">
        <f t="shared" si="33"/>
        <v>0</v>
      </c>
      <c r="CL88" s="5089">
        <f t="shared" si="34"/>
        <v>0</v>
      </c>
      <c r="CM88" s="5089">
        <f t="shared" si="35"/>
        <v>0</v>
      </c>
      <c r="CN88" s="5089">
        <f t="shared" si="38"/>
        <v>0</v>
      </c>
      <c r="CO88" s="5089">
        <f t="shared" si="36"/>
        <v>0</v>
      </c>
      <c r="CP88" s="5089">
        <f t="shared" si="36"/>
        <v>0</v>
      </c>
      <c r="CQ88" s="5089">
        <f t="shared" si="36"/>
        <v>0</v>
      </c>
      <c r="CR88" s="5089">
        <f t="shared" si="39"/>
        <v>0</v>
      </c>
    </row>
    <row r="89" spans="1:96" s="5077" customFormat="1" ht="15" customHeight="1">
      <c r="A89" s="4520" t="s">
        <v>3862</v>
      </c>
      <c r="B89" s="5081">
        <f t="shared" si="40"/>
        <v>0</v>
      </c>
      <c r="C89" s="4580"/>
      <c r="D89" s="4581"/>
      <c r="E89" s="4581"/>
      <c r="F89" s="4581"/>
      <c r="G89" s="4581"/>
      <c r="H89" s="4581"/>
      <c r="I89" s="4581"/>
      <c r="J89" s="4581"/>
      <c r="K89" s="4581"/>
      <c r="L89" s="4581"/>
      <c r="M89" s="4581"/>
      <c r="N89" s="4581"/>
      <c r="O89" s="4581"/>
      <c r="P89" s="4581"/>
      <c r="Q89" s="4581"/>
      <c r="R89" s="4581"/>
      <c r="S89" s="5174"/>
      <c r="T89" s="4575"/>
      <c r="U89" s="5090"/>
      <c r="V89" s="4575"/>
      <c r="W89" s="5090"/>
      <c r="X89" s="4575"/>
      <c r="Y89" s="5090"/>
      <c r="Z89" s="3970">
        <f t="shared" si="23"/>
        <v>0</v>
      </c>
      <c r="AA89" s="4575"/>
      <c r="AB89" s="4576"/>
      <c r="AC89" s="4576"/>
      <c r="AD89" s="5090"/>
      <c r="AE89" s="3970">
        <f t="shared" si="24"/>
        <v>0</v>
      </c>
      <c r="AF89" s="4575"/>
      <c r="AG89" s="4576"/>
      <c r="AH89" s="4576"/>
      <c r="AI89" s="4603"/>
      <c r="AJ89" s="5163"/>
      <c r="AK89" s="5164"/>
      <c r="AL89" s="5165"/>
      <c r="AM89" s="4601"/>
      <c r="AN89" s="4601"/>
      <c r="AO89" s="5093"/>
      <c r="AP89" s="4599"/>
      <c r="AQ89" s="4601"/>
      <c r="AR89" s="5093"/>
      <c r="AS89" s="4599"/>
      <c r="AT89" s="5077" t="str">
        <f t="shared" si="37"/>
        <v/>
      </c>
      <c r="CA89" s="5088" t="str">
        <f t="shared" si="25"/>
        <v/>
      </c>
      <c r="CB89" s="5088" t="str">
        <f t="shared" si="26"/>
        <v/>
      </c>
      <c r="CC89" s="5088" t="str">
        <f t="shared" si="27"/>
        <v/>
      </c>
      <c r="CD89" s="5088" t="str">
        <f t="shared" si="28"/>
        <v/>
      </c>
      <c r="CE89" s="5088" t="str">
        <f t="shared" si="29"/>
        <v/>
      </c>
      <c r="CF89" s="5088" t="str">
        <f t="shared" si="30"/>
        <v/>
      </c>
      <c r="CG89" s="5088" t="str">
        <f t="shared" si="31"/>
        <v/>
      </c>
      <c r="CH89" s="5088" t="str">
        <f t="shared" si="32"/>
        <v/>
      </c>
      <c r="CK89" s="5089">
        <f t="shared" si="33"/>
        <v>0</v>
      </c>
      <c r="CL89" s="5089">
        <f t="shared" si="34"/>
        <v>0</v>
      </c>
      <c r="CM89" s="5089">
        <f t="shared" si="35"/>
        <v>0</v>
      </c>
      <c r="CN89" s="5089">
        <f t="shared" si="38"/>
        <v>0</v>
      </c>
      <c r="CO89" s="5089">
        <f t="shared" si="36"/>
        <v>0</v>
      </c>
      <c r="CP89" s="5089">
        <f t="shared" si="36"/>
        <v>0</v>
      </c>
      <c r="CQ89" s="5089">
        <f t="shared" si="36"/>
        <v>0</v>
      </c>
      <c r="CR89" s="5089">
        <f t="shared" si="39"/>
        <v>0</v>
      </c>
    </row>
    <row r="90" spans="1:96" s="5077" customFormat="1" ht="15" customHeight="1">
      <c r="A90" s="4510" t="s">
        <v>91</v>
      </c>
      <c r="B90" s="5175">
        <f t="shared" si="40"/>
        <v>0</v>
      </c>
      <c r="C90" s="5176">
        <f t="shared" ref="C90:AS90" si="41">SUM(C35:C89)</f>
        <v>0</v>
      </c>
      <c r="D90" s="5177">
        <f t="shared" si="41"/>
        <v>0</v>
      </c>
      <c r="E90" s="5177">
        <f t="shared" si="41"/>
        <v>0</v>
      </c>
      <c r="F90" s="5177">
        <f t="shared" si="41"/>
        <v>0</v>
      </c>
      <c r="G90" s="5177">
        <f t="shared" si="41"/>
        <v>0</v>
      </c>
      <c r="H90" s="5178">
        <f t="shared" si="41"/>
        <v>0</v>
      </c>
      <c r="I90" s="5177">
        <f t="shared" si="41"/>
        <v>0</v>
      </c>
      <c r="J90" s="5177">
        <f t="shared" si="41"/>
        <v>0</v>
      </c>
      <c r="K90" s="5177">
        <f t="shared" si="41"/>
        <v>0</v>
      </c>
      <c r="L90" s="5177">
        <f t="shared" si="41"/>
        <v>0</v>
      </c>
      <c r="M90" s="5177">
        <f t="shared" si="41"/>
        <v>0</v>
      </c>
      <c r="N90" s="5177">
        <f t="shared" si="41"/>
        <v>0</v>
      </c>
      <c r="O90" s="5177">
        <f t="shared" si="41"/>
        <v>0</v>
      </c>
      <c r="P90" s="5177">
        <f t="shared" si="41"/>
        <v>0</v>
      </c>
      <c r="Q90" s="5177">
        <f t="shared" si="41"/>
        <v>0</v>
      </c>
      <c r="R90" s="5177">
        <f t="shared" si="41"/>
        <v>0</v>
      </c>
      <c r="S90" s="5179">
        <f t="shared" si="41"/>
        <v>0</v>
      </c>
      <c r="T90" s="5176">
        <f t="shared" si="41"/>
        <v>0</v>
      </c>
      <c r="U90" s="5179">
        <f t="shared" si="41"/>
        <v>0</v>
      </c>
      <c r="V90" s="5176">
        <f t="shared" si="41"/>
        <v>0</v>
      </c>
      <c r="W90" s="5179">
        <f t="shared" si="41"/>
        <v>0</v>
      </c>
      <c r="X90" s="5176">
        <f t="shared" si="41"/>
        <v>0</v>
      </c>
      <c r="Y90" s="5179">
        <f t="shared" si="41"/>
        <v>0</v>
      </c>
      <c r="Z90" s="5175">
        <f t="shared" si="41"/>
        <v>0</v>
      </c>
      <c r="AA90" s="5176">
        <f t="shared" si="41"/>
        <v>0</v>
      </c>
      <c r="AB90" s="5177">
        <f t="shared" si="41"/>
        <v>0</v>
      </c>
      <c r="AC90" s="5177">
        <f t="shared" si="41"/>
        <v>0</v>
      </c>
      <c r="AD90" s="5178">
        <f t="shared" si="41"/>
        <v>0</v>
      </c>
      <c r="AE90" s="5175">
        <f t="shared" si="41"/>
        <v>0</v>
      </c>
      <c r="AF90" s="5176">
        <f t="shared" si="41"/>
        <v>0</v>
      </c>
      <c r="AG90" s="5177">
        <f t="shared" si="41"/>
        <v>0</v>
      </c>
      <c r="AH90" s="5177">
        <f t="shared" si="41"/>
        <v>0</v>
      </c>
      <c r="AI90" s="5180">
        <f t="shared" si="41"/>
        <v>0</v>
      </c>
      <c r="AJ90" s="5181">
        <f t="shared" si="41"/>
        <v>0</v>
      </c>
      <c r="AK90" s="5182">
        <f t="shared" si="41"/>
        <v>0</v>
      </c>
      <c r="AL90" s="5183">
        <f t="shared" si="41"/>
        <v>0</v>
      </c>
      <c r="AM90" s="5179">
        <f t="shared" si="41"/>
        <v>0</v>
      </c>
      <c r="AN90" s="5179">
        <f t="shared" si="41"/>
        <v>0</v>
      </c>
      <c r="AO90" s="5184">
        <f t="shared" si="41"/>
        <v>0</v>
      </c>
      <c r="AP90" s="5175">
        <f t="shared" si="41"/>
        <v>0</v>
      </c>
      <c r="AQ90" s="5179">
        <f t="shared" si="41"/>
        <v>0</v>
      </c>
      <c r="AR90" s="5184">
        <f t="shared" si="41"/>
        <v>0</v>
      </c>
      <c r="AS90" s="5175">
        <f t="shared" si="41"/>
        <v>0</v>
      </c>
    </row>
    <row r="91" spans="1:96" s="5076" customFormat="1" ht="17.100000000000001" customHeight="1">
      <c r="A91" s="7253" t="s">
        <v>4153</v>
      </c>
      <c r="B91" s="7253"/>
      <c r="C91" s="7253"/>
      <c r="D91" s="7253"/>
      <c r="E91" s="7253"/>
      <c r="CC91" s="5077"/>
      <c r="CD91" s="5077"/>
      <c r="CE91" s="5077"/>
      <c r="CF91" s="5077"/>
      <c r="CG91" s="5077"/>
      <c r="CH91" s="5077"/>
      <c r="CI91" s="5077"/>
      <c r="CJ91" s="5077"/>
      <c r="CK91" s="5077"/>
      <c r="CL91" s="5077"/>
      <c r="CM91" s="5077"/>
    </row>
    <row r="92" spans="1:96" s="5077" customFormat="1" ht="15" customHeight="1">
      <c r="A92" s="6152" t="s">
        <v>41</v>
      </c>
      <c r="B92" s="6154"/>
      <c r="C92" s="6152" t="s">
        <v>209</v>
      </c>
      <c r="D92" s="6153"/>
      <c r="E92" s="6154"/>
      <c r="F92" s="5707" t="s">
        <v>115</v>
      </c>
      <c r="G92" s="5708"/>
      <c r="H92" s="5708"/>
      <c r="I92" s="5708"/>
      <c r="J92" s="5708"/>
      <c r="K92" s="5708"/>
      <c r="L92" s="5708"/>
      <c r="M92" s="5708"/>
      <c r="N92" s="5708"/>
      <c r="O92" s="5708"/>
      <c r="P92" s="5708"/>
      <c r="Q92" s="5708"/>
      <c r="R92" s="5708"/>
      <c r="S92" s="5708"/>
      <c r="T92" s="5708"/>
      <c r="U92" s="5708"/>
      <c r="V92" s="5708"/>
      <c r="W92" s="5708"/>
      <c r="X92" s="5708"/>
      <c r="Y92" s="5708"/>
      <c r="Z92" s="5708"/>
      <c r="AA92" s="5708"/>
      <c r="AB92" s="5708"/>
      <c r="AC92" s="5708"/>
      <c r="AD92" s="5708"/>
      <c r="AE92" s="5708"/>
      <c r="AF92" s="5708"/>
      <c r="AG92" s="5708"/>
      <c r="AH92" s="5708"/>
      <c r="AI92" s="5708"/>
      <c r="AJ92" s="5708"/>
      <c r="AK92" s="5708"/>
      <c r="AL92" s="5708"/>
      <c r="AM92" s="6147"/>
      <c r="AN92" s="5714" t="s">
        <v>4154</v>
      </c>
      <c r="AO92" s="6221"/>
      <c r="AP92" s="5714" t="s">
        <v>625</v>
      </c>
      <c r="AQ92" s="5718" t="s">
        <v>1353</v>
      </c>
      <c r="AR92" s="6139" t="s">
        <v>50</v>
      </c>
      <c r="AS92" s="5718" t="s">
        <v>51</v>
      </c>
      <c r="AT92" s="6139" t="s">
        <v>4155</v>
      </c>
      <c r="AU92" s="5718" t="s">
        <v>4156</v>
      </c>
    </row>
    <row r="93" spans="1:96" s="5077" customFormat="1" ht="15" customHeight="1">
      <c r="A93" s="6447"/>
      <c r="B93" s="6448"/>
      <c r="C93" s="6155"/>
      <c r="D93" s="6156"/>
      <c r="E93" s="6157"/>
      <c r="F93" s="5710" t="s">
        <v>364</v>
      </c>
      <c r="G93" s="5712"/>
      <c r="H93" s="5710" t="s">
        <v>347</v>
      </c>
      <c r="I93" s="5712"/>
      <c r="J93" s="5710" t="s">
        <v>108</v>
      </c>
      <c r="K93" s="5712"/>
      <c r="L93" s="5710" t="s">
        <v>58</v>
      </c>
      <c r="M93" s="5712"/>
      <c r="N93" s="5710" t="s">
        <v>59</v>
      </c>
      <c r="O93" s="5712"/>
      <c r="P93" s="5707" t="s">
        <v>60</v>
      </c>
      <c r="Q93" s="5709"/>
      <c r="R93" s="5707" t="s">
        <v>61</v>
      </c>
      <c r="S93" s="5709"/>
      <c r="T93" s="5707" t="s">
        <v>62</v>
      </c>
      <c r="U93" s="5709"/>
      <c r="V93" s="5707" t="s">
        <v>63</v>
      </c>
      <c r="W93" s="5709"/>
      <c r="X93" s="5707" t="s">
        <v>64</v>
      </c>
      <c r="Y93" s="5709"/>
      <c r="Z93" s="5707" t="s">
        <v>65</v>
      </c>
      <c r="AA93" s="5709"/>
      <c r="AB93" s="5707" t="s">
        <v>66</v>
      </c>
      <c r="AC93" s="5709"/>
      <c r="AD93" s="5707" t="s">
        <v>67</v>
      </c>
      <c r="AE93" s="5709"/>
      <c r="AF93" s="5707" t="s">
        <v>68</v>
      </c>
      <c r="AG93" s="5709"/>
      <c r="AH93" s="5707" t="s">
        <v>69</v>
      </c>
      <c r="AI93" s="5709"/>
      <c r="AJ93" s="5707" t="s">
        <v>70</v>
      </c>
      <c r="AK93" s="5709"/>
      <c r="AL93" s="5707" t="s">
        <v>71</v>
      </c>
      <c r="AM93" s="6147"/>
      <c r="AN93" s="5715"/>
      <c r="AO93" s="6222"/>
      <c r="AP93" s="6138"/>
      <c r="AQ93" s="6110"/>
      <c r="AR93" s="6166"/>
      <c r="AS93" s="6110"/>
      <c r="AT93" s="6166"/>
      <c r="AU93" s="6110"/>
    </row>
    <row r="94" spans="1:96" s="5077" customFormat="1" ht="57" customHeight="1">
      <c r="A94" s="6155"/>
      <c r="B94" s="6157"/>
      <c r="C94" s="396" t="s">
        <v>93</v>
      </c>
      <c r="D94" s="397" t="s">
        <v>72</v>
      </c>
      <c r="E94" s="390" t="s">
        <v>73</v>
      </c>
      <c r="F94" s="1471" t="s">
        <v>72</v>
      </c>
      <c r="G94" s="1391" t="s">
        <v>73</v>
      </c>
      <c r="H94" s="1471" t="s">
        <v>72</v>
      </c>
      <c r="I94" s="1391" t="s">
        <v>73</v>
      </c>
      <c r="J94" s="1471" t="s">
        <v>72</v>
      </c>
      <c r="K94" s="1391" t="s">
        <v>73</v>
      </c>
      <c r="L94" s="1471" t="s">
        <v>72</v>
      </c>
      <c r="M94" s="1391" t="s">
        <v>73</v>
      </c>
      <c r="N94" s="1471" t="s">
        <v>72</v>
      </c>
      <c r="O94" s="1391" t="s">
        <v>73</v>
      </c>
      <c r="P94" s="1471" t="s">
        <v>72</v>
      </c>
      <c r="Q94" s="1391" t="s">
        <v>73</v>
      </c>
      <c r="R94" s="1471" t="s">
        <v>72</v>
      </c>
      <c r="S94" s="1391" t="s">
        <v>73</v>
      </c>
      <c r="T94" s="1471" t="s">
        <v>72</v>
      </c>
      <c r="U94" s="1391" t="s">
        <v>73</v>
      </c>
      <c r="V94" s="1471" t="s">
        <v>72</v>
      </c>
      <c r="W94" s="1391" t="s">
        <v>73</v>
      </c>
      <c r="X94" s="1471" t="s">
        <v>72</v>
      </c>
      <c r="Y94" s="1391" t="s">
        <v>73</v>
      </c>
      <c r="Z94" s="1471" t="s">
        <v>72</v>
      </c>
      <c r="AA94" s="1391" t="s">
        <v>73</v>
      </c>
      <c r="AB94" s="1471" t="s">
        <v>72</v>
      </c>
      <c r="AC94" s="1391" t="s">
        <v>73</v>
      </c>
      <c r="AD94" s="1471" t="s">
        <v>72</v>
      </c>
      <c r="AE94" s="1391" t="s">
        <v>73</v>
      </c>
      <c r="AF94" s="1471" t="s">
        <v>72</v>
      </c>
      <c r="AG94" s="1391" t="s">
        <v>73</v>
      </c>
      <c r="AH94" s="1471" t="s">
        <v>72</v>
      </c>
      <c r="AI94" s="1391" t="s">
        <v>73</v>
      </c>
      <c r="AJ94" s="1471" t="s">
        <v>72</v>
      </c>
      <c r="AK94" s="1391" t="s">
        <v>73</v>
      </c>
      <c r="AL94" s="1471" t="s">
        <v>72</v>
      </c>
      <c r="AM94" s="1703" t="s">
        <v>73</v>
      </c>
      <c r="AN94" s="5185" t="s">
        <v>4157</v>
      </c>
      <c r="AO94" s="5186" t="s">
        <v>4158</v>
      </c>
      <c r="AP94" s="5715"/>
      <c r="AQ94" s="5719"/>
      <c r="AR94" s="6115"/>
      <c r="AS94" s="5719"/>
      <c r="AT94" s="6115"/>
      <c r="AU94" s="5719"/>
    </row>
    <row r="95" spans="1:96" s="5077" customFormat="1" ht="15" customHeight="1">
      <c r="A95" s="5187" t="s">
        <v>112</v>
      </c>
      <c r="B95" s="5188"/>
      <c r="C95" s="4075">
        <f>SUM(D95+E95)</f>
        <v>0</v>
      </c>
      <c r="D95" s="4704">
        <f>SUM(F95+H95+J95+L95+N95+P95+R95+T95+V95+X95+Z95+AB95+AD95+AF95+AH95+AJ95+AL95)</f>
        <v>0</v>
      </c>
      <c r="E95" s="4705">
        <f>SUM(G95+I95+K95+M95+O95+Q95+S95+U95+W95+Y95+AA95+AC95+AE95+AG95+AI95+AK95+AM95)</f>
        <v>0</v>
      </c>
      <c r="F95" s="5189"/>
      <c r="G95" s="5190"/>
      <c r="H95" s="5189"/>
      <c r="I95" s="5190"/>
      <c r="J95" s="5189"/>
      <c r="K95" s="5190"/>
      <c r="L95" s="5189"/>
      <c r="M95" s="5190"/>
      <c r="N95" s="5189"/>
      <c r="O95" s="5190"/>
      <c r="P95" s="5189"/>
      <c r="Q95" s="5190"/>
      <c r="R95" s="5189"/>
      <c r="S95" s="5190"/>
      <c r="T95" s="5189"/>
      <c r="U95" s="5190"/>
      <c r="V95" s="5189"/>
      <c r="W95" s="5190"/>
      <c r="X95" s="5189"/>
      <c r="Y95" s="5190"/>
      <c r="Z95" s="5189"/>
      <c r="AA95" s="5190"/>
      <c r="AB95" s="5189"/>
      <c r="AC95" s="5190"/>
      <c r="AD95" s="5189"/>
      <c r="AE95" s="5190"/>
      <c r="AF95" s="5189"/>
      <c r="AG95" s="5190"/>
      <c r="AH95" s="5189"/>
      <c r="AI95" s="5190"/>
      <c r="AJ95" s="5189"/>
      <c r="AK95" s="5190"/>
      <c r="AL95" s="5189"/>
      <c r="AM95" s="5191"/>
      <c r="AN95" s="5192"/>
      <c r="AO95" s="5193"/>
      <c r="AP95" s="5194"/>
      <c r="AQ95" s="5195"/>
      <c r="AR95" s="5196"/>
      <c r="AS95" s="5195"/>
      <c r="AT95" s="5196"/>
      <c r="AU95" s="5195"/>
      <c r="AV95" s="5077" t="str">
        <f t="shared" ref="AV95:AV103" si="42">CA95&amp;CB95&amp;CC95&amp;CD95&amp;CE95&amp;CF95&amp;CG95</f>
        <v/>
      </c>
      <c r="CA95" s="5088" t="str">
        <f t="shared" ref="CA95:CA103" si="43">IF(AND(AP95="",C95&gt;0)," * No olvide digitar la columna Beneficiarios. Digite Cero si no tiene.",IF(AP95&gt;C95," * La variable Beneficiarios no puede ser mayor al Total Ambos Sexos.",""))</f>
        <v/>
      </c>
      <c r="CB95" s="5088" t="str">
        <f t="shared" ref="CB95:CB103" si="44">IF(AQ95&gt;C95," * El Total Controles no puede ser mayor que el Total Ambos Sexos.","")</f>
        <v/>
      </c>
      <c r="CC95" s="5088" t="str">
        <f t="shared" ref="CC95:CC103" si="45">IF(AND(C95&gt;0,AR95="")," * No olvide digitar la variable Pueblos originarios. Digite Cero si no tiene.",IF(AR95&gt;C95," * La variable Pueblos originarios no puede ser mayor al Total Ambos Sexos.",""))</f>
        <v/>
      </c>
      <c r="CD95" s="5088" t="str">
        <f t="shared" ref="CD95:CD103" si="46">IF(AND(C95&gt;0,AS95="")," * No olvide digitar la variable Migrantes. Digite Cero si no tiene.",IF(AS95&gt;C95," * La variable Migrantes no puede ser mayor al Total Ambos Sexos.",""))</f>
        <v/>
      </c>
      <c r="CE95" s="5088" t="str">
        <f t="shared" ref="CE95:CE103" si="47">IF(AT95&gt;C95," * El Total Atención Remota consulta abreviada PNM no puede ser mayor que el Total Ambos Sexos.","")</f>
        <v/>
      </c>
      <c r="CF95" s="5088" t="str">
        <f t="shared" ref="CF95:CF103" si="48">IF(AU95&gt;C95," * El Total Consultorías resueltas vía remota no puede ser mayor que el Total Ambos Sexos.","")</f>
        <v/>
      </c>
      <c r="CG95" s="5088" t="str">
        <f t="shared" ref="CG95:CG103" si="49">IF(AND(C95&gt;0,AN95="",AO95=""),"*No olvide digitar datos en "&amp;AN$92,
IF(AN95+AO95&gt;C95,"*El Total de "&amp;AN$92&amp;" no puede ser mayor que el Total Ambos Sexos.",
IF(AN95+AO95&lt;C95,"*El Total de "&amp;AN$92&amp;" no debe ser menor que el Total Ambos Sexos.","")))</f>
        <v/>
      </c>
      <c r="CI95" s="5119"/>
      <c r="CK95" s="5089">
        <f t="shared" ref="CK95:CK103" si="50">IF(AND(AP95="",C95&gt;0),1,IF(AP95&gt;C95,1,0))</f>
        <v>0</v>
      </c>
      <c r="CL95" s="5089">
        <f t="shared" ref="CL95:CL103" si="51">IF(AQ95&gt;C95,1,0)</f>
        <v>0</v>
      </c>
      <c r="CM95" s="5089">
        <f t="shared" ref="CM95:CM103" si="52">IF(AND(C95&gt;0,AR95=""),1,IF(AR95&gt;C95,1,0))</f>
        <v>0</v>
      </c>
      <c r="CN95" s="5089">
        <f>IF(AND($C95&gt;0,AS95=""),1,IF(AS95&gt;$C95,1,0))</f>
        <v>0</v>
      </c>
      <c r="CO95" s="5089">
        <f t="shared" ref="CO95:CP103" si="53">IF(AND($C95&gt;0,AT95=""),1,IF(AT95&gt;$C95,1,0))</f>
        <v>0</v>
      </c>
      <c r="CP95" s="5089">
        <f>IF(AND($C95&gt;0,AU95=""),1,IF(AU95&gt;$C95,1,0))</f>
        <v>0</v>
      </c>
      <c r="CQ95" s="5089">
        <f t="shared" ref="CQ95:CQ103" si="54">IF(OR(AND(C95&gt;0,AN95="",AO95=""),AN95+AO95&gt;C95,AN95+AO95&lt;C95),1,0)</f>
        <v>0</v>
      </c>
    </row>
    <row r="96" spans="1:96" s="5077" customFormat="1" ht="15" customHeight="1">
      <c r="A96" s="3646" t="s">
        <v>2852</v>
      </c>
      <c r="B96" s="2392" t="s">
        <v>1360</v>
      </c>
      <c r="C96" s="1772">
        <f>SUM(D96:E96)</f>
        <v>0</v>
      </c>
      <c r="D96" s="5197"/>
      <c r="E96" s="4705">
        <f>SUM(K96+M96+O96+Q96+S96+U96+W96+Y96+AA96+AC96+AE96+AG96+AI96+AK96+AM96)</f>
        <v>0</v>
      </c>
      <c r="F96" s="5198"/>
      <c r="G96" s="5199"/>
      <c r="H96" s="5198"/>
      <c r="I96" s="5199"/>
      <c r="J96" s="5198"/>
      <c r="K96" s="4595"/>
      <c r="L96" s="5198"/>
      <c r="M96" s="4595"/>
      <c r="N96" s="5198"/>
      <c r="O96" s="4595"/>
      <c r="P96" s="5198"/>
      <c r="Q96" s="4595"/>
      <c r="R96" s="5198"/>
      <c r="S96" s="4595"/>
      <c r="T96" s="5198"/>
      <c r="U96" s="4595"/>
      <c r="V96" s="5198"/>
      <c r="W96" s="4595"/>
      <c r="X96" s="5198"/>
      <c r="Y96" s="4595"/>
      <c r="Z96" s="5198"/>
      <c r="AA96" s="4595"/>
      <c r="AB96" s="5198"/>
      <c r="AC96" s="5082"/>
      <c r="AD96" s="5198"/>
      <c r="AE96" s="4595"/>
      <c r="AF96" s="5198"/>
      <c r="AG96" s="4595"/>
      <c r="AH96" s="5198"/>
      <c r="AI96" s="4595"/>
      <c r="AJ96" s="5198"/>
      <c r="AK96" s="4595"/>
      <c r="AL96" s="5198"/>
      <c r="AM96" s="4597"/>
      <c r="AN96" s="5200"/>
      <c r="AO96" s="5168"/>
      <c r="AP96" s="5201"/>
      <c r="AQ96" s="5086"/>
      <c r="AR96" s="5085"/>
      <c r="AS96" s="5086"/>
      <c r="AT96" s="5085"/>
      <c r="AU96" s="5086"/>
      <c r="AV96" s="5077" t="str">
        <f t="shared" si="42"/>
        <v/>
      </c>
      <c r="CA96" s="5088" t="str">
        <f t="shared" si="43"/>
        <v/>
      </c>
      <c r="CB96" s="5088" t="str">
        <f t="shared" si="44"/>
        <v/>
      </c>
      <c r="CC96" s="5088" t="str">
        <f t="shared" si="45"/>
        <v/>
      </c>
      <c r="CD96" s="5088" t="str">
        <f t="shared" si="46"/>
        <v/>
      </c>
      <c r="CE96" s="5088" t="str">
        <f t="shared" si="47"/>
        <v/>
      </c>
      <c r="CF96" s="5088" t="str">
        <f t="shared" si="48"/>
        <v/>
      </c>
      <c r="CG96" s="5088" t="str">
        <f t="shared" si="49"/>
        <v/>
      </c>
      <c r="CI96" s="5119"/>
      <c r="CK96" s="5089">
        <f t="shared" si="50"/>
        <v>0</v>
      </c>
      <c r="CL96" s="5089">
        <f t="shared" si="51"/>
        <v>0</v>
      </c>
      <c r="CM96" s="5089">
        <f t="shared" si="52"/>
        <v>0</v>
      </c>
      <c r="CN96" s="5089">
        <f t="shared" ref="CN96:CN103" si="55">IF(AND(C96&gt;0,AS96=""),1,IF(AS96&gt;C96,1,0))</f>
        <v>0</v>
      </c>
      <c r="CO96" s="5089">
        <f t="shared" si="53"/>
        <v>0</v>
      </c>
      <c r="CP96" s="5089">
        <f t="shared" si="53"/>
        <v>0</v>
      </c>
      <c r="CQ96" s="5089">
        <f t="shared" si="54"/>
        <v>0</v>
      </c>
    </row>
    <row r="97" spans="1:95" s="5077" customFormat="1" ht="15" customHeight="1">
      <c r="A97" s="5202"/>
      <c r="B97" s="2114" t="s">
        <v>4159</v>
      </c>
      <c r="C97" s="2938">
        <f t="shared" ref="C97:C103" si="56">SUM(D97+E97)</f>
        <v>0</v>
      </c>
      <c r="D97" s="3972">
        <f>SUM(F97+H97+J97+L97+N97+P97+R97+T97+V97+X97+Z97+AB97+AD97+AF97+AH97+AJ97+AL97)</f>
        <v>0</v>
      </c>
      <c r="E97" s="3973">
        <f>SUM(G97+I97+K97+M97+O97+Q97+S97+U97+W97+Y97+AA97+AC97+AE97+AG97+AI97+AK97+AM97)</f>
        <v>0</v>
      </c>
      <c r="F97" s="4575"/>
      <c r="G97" s="4601"/>
      <c r="H97" s="4575"/>
      <c r="I97" s="4601"/>
      <c r="J97" s="4575"/>
      <c r="K97" s="4601"/>
      <c r="L97" s="4575"/>
      <c r="M97" s="4601"/>
      <c r="N97" s="4575"/>
      <c r="O97" s="4601"/>
      <c r="P97" s="4575"/>
      <c r="Q97" s="5090"/>
      <c r="R97" s="4575"/>
      <c r="S97" s="5090"/>
      <c r="T97" s="4575"/>
      <c r="U97" s="5090"/>
      <c r="V97" s="4575"/>
      <c r="W97" s="5090"/>
      <c r="X97" s="4575"/>
      <c r="Y97" s="5090"/>
      <c r="Z97" s="4575"/>
      <c r="AA97" s="5090"/>
      <c r="AB97" s="4575"/>
      <c r="AC97" s="5090"/>
      <c r="AD97" s="4575"/>
      <c r="AE97" s="5090"/>
      <c r="AF97" s="4575"/>
      <c r="AG97" s="5090"/>
      <c r="AH97" s="4575"/>
      <c r="AI97" s="5090"/>
      <c r="AJ97" s="4575"/>
      <c r="AK97" s="5090"/>
      <c r="AL97" s="5203"/>
      <c r="AM97" s="4603"/>
      <c r="AN97" s="5204"/>
      <c r="AO97" s="4603"/>
      <c r="AP97" s="5205"/>
      <c r="AQ97" s="4599"/>
      <c r="AR97" s="5093"/>
      <c r="AS97" s="4599"/>
      <c r="AT97" s="5093"/>
      <c r="AU97" s="4599"/>
      <c r="AV97" s="5077" t="str">
        <f t="shared" si="42"/>
        <v/>
      </c>
      <c r="CA97" s="5088" t="str">
        <f t="shared" si="43"/>
        <v/>
      </c>
      <c r="CB97" s="5088" t="str">
        <f t="shared" si="44"/>
        <v/>
      </c>
      <c r="CC97" s="5088" t="str">
        <f t="shared" si="45"/>
        <v/>
      </c>
      <c r="CD97" s="5088" t="str">
        <f t="shared" si="46"/>
        <v/>
      </c>
      <c r="CE97" s="5088" t="str">
        <f t="shared" si="47"/>
        <v/>
      </c>
      <c r="CF97" s="5088" t="str">
        <f t="shared" si="48"/>
        <v/>
      </c>
      <c r="CG97" s="5088" t="str">
        <f t="shared" si="49"/>
        <v/>
      </c>
      <c r="CI97" s="5119"/>
      <c r="CK97" s="5089">
        <f t="shared" si="50"/>
        <v>0</v>
      </c>
      <c r="CL97" s="5089">
        <f t="shared" si="51"/>
        <v>0</v>
      </c>
      <c r="CM97" s="5089">
        <f t="shared" si="52"/>
        <v>0</v>
      </c>
      <c r="CN97" s="5089">
        <f t="shared" si="55"/>
        <v>0</v>
      </c>
      <c r="CO97" s="5089">
        <f t="shared" si="53"/>
        <v>0</v>
      </c>
      <c r="CP97" s="5089">
        <f t="shared" si="53"/>
        <v>0</v>
      </c>
      <c r="CQ97" s="5089">
        <f t="shared" si="54"/>
        <v>0</v>
      </c>
    </row>
    <row r="98" spans="1:95" s="5077" customFormat="1" ht="15" customHeight="1">
      <c r="A98" s="2089"/>
      <c r="B98" s="2396" t="s">
        <v>1342</v>
      </c>
      <c r="C98" s="3981">
        <f t="shared" si="56"/>
        <v>0</v>
      </c>
      <c r="D98" s="3982">
        <f>SUM(N98+P98+R98+T98+V98+X98+Z98+AB98)</f>
        <v>0</v>
      </c>
      <c r="E98" s="3983">
        <f>SUM(O98+Q98+S98+U98+W98+Y98+AA98+AC98)</f>
        <v>0</v>
      </c>
      <c r="F98" s="5206"/>
      <c r="G98" s="5207"/>
      <c r="H98" s="5206"/>
      <c r="I98" s="5207"/>
      <c r="J98" s="5206"/>
      <c r="K98" s="5207"/>
      <c r="L98" s="5206"/>
      <c r="M98" s="5207"/>
      <c r="N98" s="4580"/>
      <c r="O98" s="5174"/>
      <c r="P98" s="4580"/>
      <c r="Q98" s="5174"/>
      <c r="R98" s="4580"/>
      <c r="S98" s="5174"/>
      <c r="T98" s="4580"/>
      <c r="U98" s="5174"/>
      <c r="V98" s="4580"/>
      <c r="W98" s="5174"/>
      <c r="X98" s="4580"/>
      <c r="Y98" s="5174"/>
      <c r="Z98" s="4580"/>
      <c r="AA98" s="4607"/>
      <c r="AB98" s="4580"/>
      <c r="AC98" s="5174"/>
      <c r="AD98" s="5206"/>
      <c r="AE98" s="5207"/>
      <c r="AF98" s="5206"/>
      <c r="AG98" s="5207"/>
      <c r="AH98" s="5206"/>
      <c r="AI98" s="5207"/>
      <c r="AJ98" s="5206"/>
      <c r="AK98" s="5207"/>
      <c r="AL98" s="5206"/>
      <c r="AM98" s="5208"/>
      <c r="AN98" s="5209"/>
      <c r="AO98" s="4609"/>
      <c r="AP98" s="5210"/>
      <c r="AQ98" s="4605"/>
      <c r="AR98" s="5211"/>
      <c r="AS98" s="4605"/>
      <c r="AT98" s="5211"/>
      <c r="AU98" s="4605"/>
      <c r="AV98" s="5077" t="str">
        <f t="shared" si="42"/>
        <v/>
      </c>
      <c r="CA98" s="5088" t="str">
        <f t="shared" si="43"/>
        <v/>
      </c>
      <c r="CB98" s="5088" t="str">
        <f t="shared" si="44"/>
        <v/>
      </c>
      <c r="CC98" s="5088" t="str">
        <f t="shared" si="45"/>
        <v/>
      </c>
      <c r="CD98" s="5088" t="str">
        <f t="shared" si="46"/>
        <v/>
      </c>
      <c r="CE98" s="5088" t="str">
        <f t="shared" si="47"/>
        <v/>
      </c>
      <c r="CF98" s="5088" t="str">
        <f t="shared" si="48"/>
        <v/>
      </c>
      <c r="CG98" s="5088" t="str">
        <f t="shared" si="49"/>
        <v/>
      </c>
      <c r="CI98" s="5119"/>
      <c r="CK98" s="5089">
        <f t="shared" si="50"/>
        <v>0</v>
      </c>
      <c r="CL98" s="5089">
        <f t="shared" si="51"/>
        <v>0</v>
      </c>
      <c r="CM98" s="5089">
        <f t="shared" si="52"/>
        <v>0</v>
      </c>
      <c r="CN98" s="5089">
        <f t="shared" si="55"/>
        <v>0</v>
      </c>
      <c r="CO98" s="5089">
        <f t="shared" si="53"/>
        <v>0</v>
      </c>
      <c r="CP98" s="5089">
        <f t="shared" si="53"/>
        <v>0</v>
      </c>
      <c r="CQ98" s="5089">
        <f t="shared" si="54"/>
        <v>0</v>
      </c>
    </row>
    <row r="99" spans="1:95" s="5077" customFormat="1" ht="15" customHeight="1">
      <c r="A99" s="4045" t="s">
        <v>119</v>
      </c>
      <c r="B99" s="5212"/>
      <c r="C99" s="4000">
        <f t="shared" si="56"/>
        <v>0</v>
      </c>
      <c r="D99" s="4713">
        <f t="shared" ref="D99:E103" si="57">SUM(F99+H99+J99+L99+N99+P99+R99+T99+V99+X99+Z99+AB99+AD99+AF99+AH99+AJ99+AL99)</f>
        <v>0</v>
      </c>
      <c r="E99" s="3984">
        <f t="shared" si="57"/>
        <v>0</v>
      </c>
      <c r="F99" s="5166"/>
      <c r="G99" s="5213"/>
      <c r="H99" s="5166"/>
      <c r="I99" s="5213"/>
      <c r="J99" s="5166"/>
      <c r="K99" s="5096"/>
      <c r="L99" s="5166"/>
      <c r="M99" s="5096"/>
      <c r="N99" s="5166"/>
      <c r="O99" s="5096"/>
      <c r="P99" s="5166"/>
      <c r="Q99" s="5096"/>
      <c r="R99" s="5166"/>
      <c r="S99" s="5096"/>
      <c r="T99" s="5166"/>
      <c r="U99" s="5096"/>
      <c r="V99" s="5166"/>
      <c r="W99" s="5096"/>
      <c r="X99" s="5166"/>
      <c r="Y99" s="5096"/>
      <c r="Z99" s="5166"/>
      <c r="AA99" s="5096"/>
      <c r="AB99" s="5166"/>
      <c r="AC99" s="5096"/>
      <c r="AD99" s="5166"/>
      <c r="AE99" s="5096"/>
      <c r="AF99" s="5166"/>
      <c r="AG99" s="5096"/>
      <c r="AH99" s="5166"/>
      <c r="AI99" s="5213"/>
      <c r="AJ99" s="5166"/>
      <c r="AK99" s="5213"/>
      <c r="AL99" s="5214"/>
      <c r="AM99" s="5168"/>
      <c r="AN99" s="5200"/>
      <c r="AO99" s="5168"/>
      <c r="AP99" s="5201"/>
      <c r="AQ99" s="5086"/>
      <c r="AR99" s="5085"/>
      <c r="AS99" s="5086"/>
      <c r="AT99" s="5085"/>
      <c r="AU99" s="5086"/>
      <c r="AV99" s="5077" t="str">
        <f t="shared" si="42"/>
        <v/>
      </c>
      <c r="CA99" s="5088" t="str">
        <f t="shared" si="43"/>
        <v/>
      </c>
      <c r="CB99" s="5088" t="str">
        <f t="shared" si="44"/>
        <v/>
      </c>
      <c r="CC99" s="5088" t="str">
        <f t="shared" si="45"/>
        <v/>
      </c>
      <c r="CD99" s="5088" t="str">
        <f t="shared" si="46"/>
        <v/>
      </c>
      <c r="CE99" s="5088" t="str">
        <f t="shared" si="47"/>
        <v/>
      </c>
      <c r="CF99" s="5088" t="str">
        <f t="shared" si="48"/>
        <v/>
      </c>
      <c r="CG99" s="5088" t="str">
        <f t="shared" si="49"/>
        <v/>
      </c>
      <c r="CI99" s="5119"/>
      <c r="CK99" s="5089">
        <f t="shared" si="50"/>
        <v>0</v>
      </c>
      <c r="CL99" s="5089">
        <f t="shared" si="51"/>
        <v>0</v>
      </c>
      <c r="CM99" s="5089">
        <f t="shared" si="52"/>
        <v>0</v>
      </c>
      <c r="CN99" s="5089">
        <f t="shared" si="55"/>
        <v>0</v>
      </c>
      <c r="CO99" s="5089">
        <f t="shared" si="53"/>
        <v>0</v>
      </c>
      <c r="CP99" s="5089">
        <f t="shared" si="53"/>
        <v>0</v>
      </c>
      <c r="CQ99" s="5089">
        <f t="shared" si="54"/>
        <v>0</v>
      </c>
    </row>
    <row r="100" spans="1:95" s="5077" customFormat="1" ht="15" customHeight="1">
      <c r="A100" s="3970" t="s">
        <v>1364</v>
      </c>
      <c r="B100" s="5215"/>
      <c r="C100" s="3971">
        <f t="shared" si="56"/>
        <v>0</v>
      </c>
      <c r="D100" s="3972">
        <f t="shared" si="57"/>
        <v>0</v>
      </c>
      <c r="E100" s="3973">
        <f t="shared" si="57"/>
        <v>0</v>
      </c>
      <c r="F100" s="4575"/>
      <c r="G100" s="4601"/>
      <c r="H100" s="4575"/>
      <c r="I100" s="4601"/>
      <c r="J100" s="4575"/>
      <c r="K100" s="5090"/>
      <c r="L100" s="4575"/>
      <c r="M100" s="5090"/>
      <c r="N100" s="4575"/>
      <c r="O100" s="5090"/>
      <c r="P100" s="4575"/>
      <c r="Q100" s="5090"/>
      <c r="R100" s="4575"/>
      <c r="S100" s="5090"/>
      <c r="T100" s="4575"/>
      <c r="U100" s="5090"/>
      <c r="V100" s="4575"/>
      <c r="W100" s="5090"/>
      <c r="X100" s="4575"/>
      <c r="Y100" s="5090"/>
      <c r="Z100" s="4575"/>
      <c r="AA100" s="5090"/>
      <c r="AB100" s="4575"/>
      <c r="AC100" s="4601"/>
      <c r="AD100" s="4575"/>
      <c r="AE100" s="4601"/>
      <c r="AF100" s="4575"/>
      <c r="AG100" s="4601"/>
      <c r="AH100" s="4575"/>
      <c r="AI100" s="4601"/>
      <c r="AJ100" s="4575"/>
      <c r="AK100" s="4601"/>
      <c r="AL100" s="5203"/>
      <c r="AM100" s="4603"/>
      <c r="AN100" s="5204"/>
      <c r="AO100" s="4603"/>
      <c r="AP100" s="5205"/>
      <c r="AQ100" s="4599"/>
      <c r="AR100" s="5093"/>
      <c r="AS100" s="4599"/>
      <c r="AT100" s="5093"/>
      <c r="AU100" s="4599"/>
      <c r="AV100" s="5077" t="str">
        <f t="shared" si="42"/>
        <v/>
      </c>
      <c r="CA100" s="5088" t="str">
        <f t="shared" si="43"/>
        <v/>
      </c>
      <c r="CB100" s="5088" t="str">
        <f t="shared" si="44"/>
        <v/>
      </c>
      <c r="CC100" s="5088" t="str">
        <f t="shared" si="45"/>
        <v/>
      </c>
      <c r="CD100" s="5088" t="str">
        <f t="shared" si="46"/>
        <v/>
      </c>
      <c r="CE100" s="5088" t="str">
        <f t="shared" si="47"/>
        <v/>
      </c>
      <c r="CF100" s="5088" t="str">
        <f t="shared" si="48"/>
        <v/>
      </c>
      <c r="CG100" s="5088" t="str">
        <f t="shared" si="49"/>
        <v/>
      </c>
      <c r="CI100" s="5119"/>
      <c r="CK100" s="5089">
        <f t="shared" si="50"/>
        <v>0</v>
      </c>
      <c r="CL100" s="5089">
        <f t="shared" si="51"/>
        <v>0</v>
      </c>
      <c r="CM100" s="5089">
        <f t="shared" si="52"/>
        <v>0</v>
      </c>
      <c r="CN100" s="5089">
        <f t="shared" si="55"/>
        <v>0</v>
      </c>
      <c r="CO100" s="5089">
        <f t="shared" si="53"/>
        <v>0</v>
      </c>
      <c r="CP100" s="5089">
        <f t="shared" si="53"/>
        <v>0</v>
      </c>
      <c r="CQ100" s="5089">
        <f t="shared" si="54"/>
        <v>0</v>
      </c>
    </row>
    <row r="101" spans="1:95" s="5077" customFormat="1" ht="15" customHeight="1">
      <c r="A101" s="5216" t="s">
        <v>526</v>
      </c>
      <c r="B101" s="5217"/>
      <c r="C101" s="5218">
        <f t="shared" si="56"/>
        <v>0</v>
      </c>
      <c r="D101" s="5219">
        <f t="shared" si="57"/>
        <v>0</v>
      </c>
      <c r="E101" s="3973">
        <f t="shared" si="57"/>
        <v>0</v>
      </c>
      <c r="F101" s="4575"/>
      <c r="G101" s="4601"/>
      <c r="H101" s="4575"/>
      <c r="I101" s="4601"/>
      <c r="J101" s="4575"/>
      <c r="K101" s="5090"/>
      <c r="L101" s="4575"/>
      <c r="M101" s="5090"/>
      <c r="N101" s="4575"/>
      <c r="O101" s="5090"/>
      <c r="P101" s="4575"/>
      <c r="Q101" s="5090"/>
      <c r="R101" s="4575"/>
      <c r="S101" s="5090"/>
      <c r="T101" s="4575"/>
      <c r="U101" s="5090"/>
      <c r="V101" s="4575"/>
      <c r="W101" s="5090"/>
      <c r="X101" s="4575"/>
      <c r="Y101" s="5090"/>
      <c r="Z101" s="4575"/>
      <c r="AA101" s="5090"/>
      <c r="AB101" s="4575"/>
      <c r="AC101" s="4601"/>
      <c r="AD101" s="4575"/>
      <c r="AE101" s="4601"/>
      <c r="AF101" s="4575"/>
      <c r="AG101" s="4601"/>
      <c r="AH101" s="4575"/>
      <c r="AI101" s="4601"/>
      <c r="AJ101" s="4575"/>
      <c r="AK101" s="4601"/>
      <c r="AL101" s="5203"/>
      <c r="AM101" s="4603"/>
      <c r="AN101" s="5204"/>
      <c r="AO101" s="4603"/>
      <c r="AP101" s="5205"/>
      <c r="AQ101" s="4599"/>
      <c r="AR101" s="5093"/>
      <c r="AS101" s="4599"/>
      <c r="AT101" s="5093"/>
      <c r="AU101" s="4599"/>
      <c r="AV101" s="5077" t="str">
        <f t="shared" si="42"/>
        <v/>
      </c>
      <c r="CA101" s="5088" t="str">
        <f t="shared" si="43"/>
        <v/>
      </c>
      <c r="CB101" s="5088" t="str">
        <f t="shared" si="44"/>
        <v/>
      </c>
      <c r="CC101" s="5088" t="str">
        <f t="shared" si="45"/>
        <v/>
      </c>
      <c r="CD101" s="5088" t="str">
        <f t="shared" si="46"/>
        <v/>
      </c>
      <c r="CE101" s="5088" t="str">
        <f t="shared" si="47"/>
        <v/>
      </c>
      <c r="CF101" s="5088" t="str">
        <f t="shared" si="48"/>
        <v/>
      </c>
      <c r="CG101" s="5088" t="str">
        <f t="shared" si="49"/>
        <v/>
      </c>
      <c r="CI101" s="5119"/>
      <c r="CK101" s="5089">
        <f t="shared" si="50"/>
        <v>0</v>
      </c>
      <c r="CL101" s="5089">
        <f t="shared" si="51"/>
        <v>0</v>
      </c>
      <c r="CM101" s="5089">
        <f t="shared" si="52"/>
        <v>0</v>
      </c>
      <c r="CN101" s="5089">
        <f t="shared" si="55"/>
        <v>0</v>
      </c>
      <c r="CO101" s="5089">
        <f t="shared" si="53"/>
        <v>0</v>
      </c>
      <c r="CP101" s="5089">
        <f t="shared" si="53"/>
        <v>0</v>
      </c>
      <c r="CQ101" s="5089">
        <f t="shared" si="54"/>
        <v>0</v>
      </c>
    </row>
    <row r="102" spans="1:95" s="5077" customFormat="1" ht="15" customHeight="1">
      <c r="A102" s="3970" t="s">
        <v>4160</v>
      </c>
      <c r="B102" s="5215"/>
      <c r="C102" s="3971">
        <f t="shared" si="56"/>
        <v>0</v>
      </c>
      <c r="D102" s="3972">
        <f t="shared" si="57"/>
        <v>0</v>
      </c>
      <c r="E102" s="3973">
        <f t="shared" si="57"/>
        <v>0</v>
      </c>
      <c r="F102" s="4575"/>
      <c r="G102" s="4601"/>
      <c r="H102" s="4575"/>
      <c r="I102" s="4601"/>
      <c r="J102" s="4575"/>
      <c r="K102" s="5090"/>
      <c r="L102" s="4575"/>
      <c r="M102" s="5090"/>
      <c r="N102" s="4575"/>
      <c r="O102" s="5090"/>
      <c r="P102" s="4575"/>
      <c r="Q102" s="5090"/>
      <c r="R102" s="4575"/>
      <c r="S102" s="5090"/>
      <c r="T102" s="4575"/>
      <c r="U102" s="5090"/>
      <c r="V102" s="4575"/>
      <c r="W102" s="5090"/>
      <c r="X102" s="4575"/>
      <c r="Y102" s="5090"/>
      <c r="Z102" s="4575"/>
      <c r="AA102" s="5090"/>
      <c r="AB102" s="4575"/>
      <c r="AC102" s="5090"/>
      <c r="AD102" s="4575"/>
      <c r="AE102" s="5090"/>
      <c r="AF102" s="4575"/>
      <c r="AG102" s="5090"/>
      <c r="AH102" s="4575"/>
      <c r="AI102" s="4601"/>
      <c r="AJ102" s="4575"/>
      <c r="AK102" s="4601"/>
      <c r="AL102" s="5203"/>
      <c r="AM102" s="4603"/>
      <c r="AN102" s="5204"/>
      <c r="AO102" s="4603"/>
      <c r="AP102" s="5205"/>
      <c r="AQ102" s="4599"/>
      <c r="AR102" s="5093"/>
      <c r="AS102" s="4599"/>
      <c r="AT102" s="5093"/>
      <c r="AU102" s="4599"/>
      <c r="AV102" s="5077" t="str">
        <f t="shared" si="42"/>
        <v/>
      </c>
      <c r="CA102" s="5088" t="str">
        <f t="shared" si="43"/>
        <v/>
      </c>
      <c r="CB102" s="5088" t="str">
        <f t="shared" si="44"/>
        <v/>
      </c>
      <c r="CC102" s="5088" t="str">
        <f t="shared" si="45"/>
        <v/>
      </c>
      <c r="CD102" s="5088" t="str">
        <f t="shared" si="46"/>
        <v/>
      </c>
      <c r="CE102" s="5088" t="str">
        <f t="shared" si="47"/>
        <v/>
      </c>
      <c r="CF102" s="5088" t="str">
        <f t="shared" si="48"/>
        <v/>
      </c>
      <c r="CG102" s="5088" t="str">
        <f t="shared" si="49"/>
        <v/>
      </c>
      <c r="CI102" s="5119"/>
      <c r="CK102" s="5089">
        <f t="shared" si="50"/>
        <v>0</v>
      </c>
      <c r="CL102" s="5089">
        <f t="shared" si="51"/>
        <v>0</v>
      </c>
      <c r="CM102" s="5089">
        <f t="shared" si="52"/>
        <v>0</v>
      </c>
      <c r="CN102" s="5089">
        <f t="shared" si="55"/>
        <v>0</v>
      </c>
      <c r="CO102" s="5089">
        <f t="shared" si="53"/>
        <v>0</v>
      </c>
      <c r="CP102" s="5089">
        <f t="shared" si="53"/>
        <v>0</v>
      </c>
      <c r="CQ102" s="5089">
        <f t="shared" si="54"/>
        <v>0</v>
      </c>
    </row>
    <row r="103" spans="1:95" s="5077" customFormat="1" ht="15" customHeight="1">
      <c r="A103" s="4922" t="s">
        <v>2148</v>
      </c>
      <c r="B103" s="5220"/>
      <c r="C103" s="4004">
        <f t="shared" si="56"/>
        <v>0</v>
      </c>
      <c r="D103" s="4081">
        <f t="shared" si="57"/>
        <v>0</v>
      </c>
      <c r="E103" s="3980">
        <f t="shared" si="57"/>
        <v>0</v>
      </c>
      <c r="F103" s="4580"/>
      <c r="G103" s="4607"/>
      <c r="H103" s="4580"/>
      <c r="I103" s="4607"/>
      <c r="J103" s="4580"/>
      <c r="K103" s="5174"/>
      <c r="L103" s="4580"/>
      <c r="M103" s="5174"/>
      <c r="N103" s="4580"/>
      <c r="O103" s="5174"/>
      <c r="P103" s="4580"/>
      <c r="Q103" s="5174"/>
      <c r="R103" s="4580"/>
      <c r="S103" s="5174"/>
      <c r="T103" s="4580"/>
      <c r="U103" s="5174"/>
      <c r="V103" s="4580"/>
      <c r="W103" s="5174"/>
      <c r="X103" s="4580"/>
      <c r="Y103" s="5174"/>
      <c r="Z103" s="4580"/>
      <c r="AA103" s="5174"/>
      <c r="AB103" s="4580"/>
      <c r="AC103" s="5174"/>
      <c r="AD103" s="4580"/>
      <c r="AE103" s="5174"/>
      <c r="AF103" s="4580"/>
      <c r="AG103" s="5174"/>
      <c r="AH103" s="4580"/>
      <c r="AI103" s="5174"/>
      <c r="AJ103" s="4580"/>
      <c r="AK103" s="5174"/>
      <c r="AL103" s="5221"/>
      <c r="AM103" s="4609"/>
      <c r="AN103" s="5209"/>
      <c r="AO103" s="4609"/>
      <c r="AP103" s="5210"/>
      <c r="AQ103" s="4605"/>
      <c r="AR103" s="5211"/>
      <c r="AS103" s="4605"/>
      <c r="AT103" s="5211"/>
      <c r="AU103" s="4605"/>
      <c r="AV103" s="5077" t="str">
        <f t="shared" si="42"/>
        <v/>
      </c>
      <c r="CA103" s="5088" t="str">
        <f t="shared" si="43"/>
        <v/>
      </c>
      <c r="CB103" s="5088" t="str">
        <f t="shared" si="44"/>
        <v/>
      </c>
      <c r="CC103" s="5088" t="str">
        <f t="shared" si="45"/>
        <v/>
      </c>
      <c r="CD103" s="5088" t="str">
        <f t="shared" si="46"/>
        <v/>
      </c>
      <c r="CE103" s="5088" t="str">
        <f t="shared" si="47"/>
        <v/>
      </c>
      <c r="CF103" s="5088" t="str">
        <f t="shared" si="48"/>
        <v/>
      </c>
      <c r="CG103" s="5088" t="str">
        <f t="shared" si="49"/>
        <v/>
      </c>
      <c r="CI103" s="5119"/>
      <c r="CK103" s="5089">
        <f t="shared" si="50"/>
        <v>0</v>
      </c>
      <c r="CL103" s="5089">
        <f t="shared" si="51"/>
        <v>0</v>
      </c>
      <c r="CM103" s="5089">
        <f t="shared" si="52"/>
        <v>0</v>
      </c>
      <c r="CN103" s="5089">
        <f t="shared" si="55"/>
        <v>0</v>
      </c>
      <c r="CO103" s="5089">
        <f t="shared" si="53"/>
        <v>0</v>
      </c>
      <c r="CP103" s="5089">
        <f t="shared" si="53"/>
        <v>0</v>
      </c>
      <c r="CQ103" s="5089">
        <f t="shared" si="54"/>
        <v>0</v>
      </c>
    </row>
    <row r="104" spans="1:95" ht="15" customHeight="1">
      <c r="A104" s="5710" t="s">
        <v>91</v>
      </c>
      <c r="B104" s="5712"/>
      <c r="C104" s="5222">
        <f t="shared" ref="C104:AU104" si="58">SUM(C95:C103)</f>
        <v>0</v>
      </c>
      <c r="D104" s="5223">
        <f t="shared" si="58"/>
        <v>0</v>
      </c>
      <c r="E104" s="3983">
        <f t="shared" si="58"/>
        <v>0</v>
      </c>
      <c r="F104" s="5224">
        <f t="shared" si="58"/>
        <v>0</v>
      </c>
      <c r="G104" s="5225">
        <f t="shared" si="58"/>
        <v>0</v>
      </c>
      <c r="H104" s="5224">
        <f t="shared" si="58"/>
        <v>0</v>
      </c>
      <c r="I104" s="5225">
        <f t="shared" si="58"/>
        <v>0</v>
      </c>
      <c r="J104" s="5226">
        <f t="shared" si="58"/>
        <v>0</v>
      </c>
      <c r="K104" s="5227">
        <f t="shared" si="58"/>
        <v>0</v>
      </c>
      <c r="L104" s="5226">
        <f t="shared" si="58"/>
        <v>0</v>
      </c>
      <c r="M104" s="5227">
        <f t="shared" si="58"/>
        <v>0</v>
      </c>
      <c r="N104" s="5226">
        <f t="shared" si="58"/>
        <v>0</v>
      </c>
      <c r="O104" s="5227">
        <f t="shared" si="58"/>
        <v>0</v>
      </c>
      <c r="P104" s="5226">
        <f t="shared" si="58"/>
        <v>0</v>
      </c>
      <c r="Q104" s="5227">
        <f t="shared" si="58"/>
        <v>0</v>
      </c>
      <c r="R104" s="5226">
        <f t="shared" si="58"/>
        <v>0</v>
      </c>
      <c r="S104" s="5227">
        <f t="shared" si="58"/>
        <v>0</v>
      </c>
      <c r="T104" s="5226">
        <f t="shared" si="58"/>
        <v>0</v>
      </c>
      <c r="U104" s="5227">
        <f t="shared" si="58"/>
        <v>0</v>
      </c>
      <c r="V104" s="5226">
        <f t="shared" si="58"/>
        <v>0</v>
      </c>
      <c r="W104" s="5227">
        <f t="shared" si="58"/>
        <v>0</v>
      </c>
      <c r="X104" s="5226">
        <f t="shared" si="58"/>
        <v>0</v>
      </c>
      <c r="Y104" s="5227">
        <f t="shared" si="58"/>
        <v>0</v>
      </c>
      <c r="Z104" s="5226">
        <f t="shared" si="58"/>
        <v>0</v>
      </c>
      <c r="AA104" s="5227">
        <f t="shared" si="58"/>
        <v>0</v>
      </c>
      <c r="AB104" s="5226">
        <f t="shared" si="58"/>
        <v>0</v>
      </c>
      <c r="AC104" s="5227">
        <f t="shared" si="58"/>
        <v>0</v>
      </c>
      <c r="AD104" s="5226">
        <f t="shared" si="58"/>
        <v>0</v>
      </c>
      <c r="AE104" s="5227">
        <f t="shared" si="58"/>
        <v>0</v>
      </c>
      <c r="AF104" s="5226">
        <f t="shared" si="58"/>
        <v>0</v>
      </c>
      <c r="AG104" s="5227">
        <f t="shared" si="58"/>
        <v>0</v>
      </c>
      <c r="AH104" s="5226">
        <f t="shared" si="58"/>
        <v>0</v>
      </c>
      <c r="AI104" s="5227">
        <f t="shared" si="58"/>
        <v>0</v>
      </c>
      <c r="AJ104" s="5226">
        <f t="shared" si="58"/>
        <v>0</v>
      </c>
      <c r="AK104" s="5227">
        <f t="shared" si="58"/>
        <v>0</v>
      </c>
      <c r="AL104" s="4584">
        <f t="shared" si="58"/>
        <v>0</v>
      </c>
      <c r="AM104" s="5228">
        <f t="shared" si="58"/>
        <v>0</v>
      </c>
      <c r="AN104" s="5229">
        <f t="shared" si="58"/>
        <v>0</v>
      </c>
      <c r="AO104" s="5230">
        <f t="shared" si="58"/>
        <v>0</v>
      </c>
      <c r="AP104" s="5231">
        <f t="shared" si="58"/>
        <v>0</v>
      </c>
      <c r="AQ104" s="5232">
        <f t="shared" si="58"/>
        <v>0</v>
      </c>
      <c r="AR104" s="4956">
        <f t="shared" si="58"/>
        <v>0</v>
      </c>
      <c r="AS104" s="5232">
        <f t="shared" si="58"/>
        <v>0</v>
      </c>
      <c r="AT104" s="4956">
        <f t="shared" si="58"/>
        <v>0</v>
      </c>
      <c r="AU104" s="5232">
        <f t="shared" si="58"/>
        <v>0</v>
      </c>
      <c r="CC104" s="5077"/>
      <c r="CD104" s="5077"/>
      <c r="CE104" s="5077"/>
      <c r="CF104" s="5077"/>
      <c r="CG104" s="5077"/>
      <c r="CH104" s="5077"/>
      <c r="CI104" s="5077"/>
      <c r="CJ104" s="5077"/>
      <c r="CK104" s="5077"/>
      <c r="CL104" s="5077"/>
      <c r="CM104" s="5077"/>
    </row>
    <row r="105" spans="1:95" s="5076" customFormat="1" ht="17.100000000000001" customHeight="1">
      <c r="A105" s="5233" t="s">
        <v>4161</v>
      </c>
      <c r="CC105" s="5077"/>
      <c r="CD105" s="5077"/>
      <c r="CE105" s="5077"/>
      <c r="CF105" s="5077"/>
      <c r="CG105" s="5077"/>
      <c r="CH105" s="5077"/>
      <c r="CI105" s="5077"/>
      <c r="CJ105" s="5077"/>
      <c r="CK105" s="5077"/>
      <c r="CL105" s="5077"/>
      <c r="CM105" s="5077"/>
    </row>
    <row r="106" spans="1:95" s="5076" customFormat="1" ht="17.100000000000001" customHeight="1">
      <c r="A106" s="7244" t="s">
        <v>4162</v>
      </c>
      <c r="B106" s="7244"/>
      <c r="C106" s="7244"/>
      <c r="D106" s="7244"/>
      <c r="CC106" s="5077"/>
      <c r="CD106" s="5077"/>
      <c r="CE106" s="5077"/>
      <c r="CF106" s="5077"/>
      <c r="CG106" s="5077"/>
      <c r="CH106" s="5077"/>
      <c r="CI106" s="5077"/>
      <c r="CJ106" s="5077"/>
      <c r="CK106" s="5077"/>
      <c r="CL106" s="5077"/>
      <c r="CM106" s="5077"/>
    </row>
    <row r="107" spans="1:95" s="5077" customFormat="1" ht="15" customHeight="1">
      <c r="A107" s="5718" t="s">
        <v>4163</v>
      </c>
      <c r="B107" s="5710" t="s">
        <v>91</v>
      </c>
      <c r="C107" s="6106"/>
      <c r="D107" s="5712"/>
      <c r="E107" s="5710" t="s">
        <v>43</v>
      </c>
      <c r="F107" s="6106"/>
      <c r="G107" s="6106"/>
      <c r="H107" s="6106"/>
      <c r="I107" s="6106"/>
      <c r="J107" s="6106"/>
      <c r="K107" s="6106"/>
      <c r="L107" s="6106"/>
      <c r="M107" s="6106"/>
      <c r="N107" s="6106"/>
      <c r="O107" s="6106"/>
      <c r="P107" s="5716"/>
      <c r="Q107" s="6762" t="s">
        <v>3059</v>
      </c>
      <c r="R107" s="6119" t="s">
        <v>4164</v>
      </c>
      <c r="S107" s="6119" t="s">
        <v>4165</v>
      </c>
      <c r="T107" s="6766" t="s">
        <v>4166</v>
      </c>
      <c r="U107" s="6070" t="s">
        <v>4167</v>
      </c>
      <c r="V107" s="6119" t="s">
        <v>50</v>
      </c>
      <c r="W107" s="6119" t="s">
        <v>51</v>
      </c>
    </row>
    <row r="108" spans="1:95" s="5077" customFormat="1" ht="39" customHeight="1">
      <c r="A108" s="5719"/>
      <c r="B108" s="1395" t="s">
        <v>947</v>
      </c>
      <c r="C108" s="1495" t="s">
        <v>72</v>
      </c>
      <c r="D108" s="1584" t="s">
        <v>73</v>
      </c>
      <c r="E108" s="1395" t="s">
        <v>4168</v>
      </c>
      <c r="F108" s="1646" t="s">
        <v>4169</v>
      </c>
      <c r="G108" s="1646" t="s">
        <v>4170</v>
      </c>
      <c r="H108" s="1646" t="s">
        <v>4171</v>
      </c>
      <c r="I108" s="1646" t="s">
        <v>4172</v>
      </c>
      <c r="J108" s="1646" t="s">
        <v>4173</v>
      </c>
      <c r="K108" s="1646" t="s">
        <v>4174</v>
      </c>
      <c r="L108" s="1646" t="s">
        <v>4175</v>
      </c>
      <c r="M108" s="1646" t="s">
        <v>4176</v>
      </c>
      <c r="N108" s="1646" t="s">
        <v>4177</v>
      </c>
      <c r="O108" s="1646" t="s">
        <v>4178</v>
      </c>
      <c r="P108" s="1398" t="s">
        <v>4179</v>
      </c>
      <c r="Q108" s="6764"/>
      <c r="R108" s="6116"/>
      <c r="S108" s="6116"/>
      <c r="T108" s="6767"/>
      <c r="U108" s="6076"/>
      <c r="V108" s="6116"/>
      <c r="W108" s="6116"/>
    </row>
    <row r="109" spans="1:95" s="5077" customFormat="1" ht="15" customHeight="1">
      <c r="A109" s="3970" t="s">
        <v>4180</v>
      </c>
      <c r="B109" s="5234"/>
      <c r="C109" s="5235"/>
      <c r="D109" s="5236"/>
      <c r="E109" s="5237"/>
      <c r="F109" s="5238"/>
      <c r="G109" s="5238"/>
      <c r="H109" s="5238"/>
      <c r="I109" s="5238"/>
      <c r="J109" s="5238"/>
      <c r="K109" s="5238"/>
      <c r="L109" s="5238"/>
      <c r="M109" s="5238"/>
      <c r="N109" s="5238"/>
      <c r="O109" s="5238"/>
      <c r="P109" s="5239"/>
      <c r="Q109" s="5240"/>
      <c r="R109" s="5241"/>
      <c r="S109" s="5241"/>
      <c r="T109" s="5241"/>
      <c r="U109" s="5241"/>
      <c r="V109" s="5241"/>
      <c r="W109" s="5241"/>
      <c r="X109" s="5077" t="str">
        <f t="shared" ref="X109:X110" si="59">BY109&amp;BZ109&amp;CA109&amp;CB109&amp;CC109&amp;CD109&amp;CE109&amp;CF109</f>
        <v/>
      </c>
    </row>
    <row r="110" spans="1:95" s="5077" customFormat="1" ht="15" customHeight="1">
      <c r="A110" s="3970" t="s">
        <v>4181</v>
      </c>
      <c r="B110" s="5242"/>
      <c r="C110" s="5235"/>
      <c r="D110" s="5236"/>
      <c r="E110" s="5237"/>
      <c r="F110" s="5238"/>
      <c r="G110" s="5238"/>
      <c r="H110" s="5238"/>
      <c r="I110" s="5238"/>
      <c r="J110" s="5238"/>
      <c r="K110" s="5238"/>
      <c r="L110" s="5238"/>
      <c r="M110" s="5238"/>
      <c r="N110" s="5238"/>
      <c r="O110" s="5238"/>
      <c r="P110" s="5239"/>
      <c r="Q110" s="5240"/>
      <c r="R110" s="5241"/>
      <c r="S110" s="5241"/>
      <c r="T110" s="5241"/>
      <c r="U110" s="5241"/>
      <c r="V110" s="5241"/>
      <c r="W110" s="5241"/>
      <c r="X110" s="5077" t="str">
        <f t="shared" si="59"/>
        <v/>
      </c>
    </row>
    <row r="111" spans="1:95" s="5077" customFormat="1" ht="15" customHeight="1">
      <c r="A111" s="3970" t="s">
        <v>4182</v>
      </c>
      <c r="B111" s="5243"/>
      <c r="C111" s="5235"/>
      <c r="D111" s="5236"/>
      <c r="E111" s="5237"/>
      <c r="F111" s="5238"/>
      <c r="G111" s="5238"/>
      <c r="H111" s="5238"/>
      <c r="I111" s="5238"/>
      <c r="J111" s="5238"/>
      <c r="K111" s="5238"/>
      <c r="L111" s="5238"/>
      <c r="M111" s="5238"/>
      <c r="N111" s="5238"/>
      <c r="O111" s="5238"/>
      <c r="P111" s="5239"/>
      <c r="Q111" s="5240"/>
      <c r="R111" s="5241"/>
      <c r="S111" s="5241"/>
      <c r="T111" s="5241"/>
      <c r="U111" s="5241"/>
      <c r="V111" s="5241"/>
      <c r="W111" s="5241"/>
      <c r="X111" s="5077" t="str">
        <f>CA111&amp;CB111&amp;CC111&amp;CD111&amp;CE111&amp;CF111&amp;CG111&amp;CH111</f>
        <v/>
      </c>
    </row>
    <row r="112" spans="1:95" s="5077" customFormat="1" ht="15" customHeight="1">
      <c r="A112" s="391" t="s">
        <v>91</v>
      </c>
      <c r="B112" s="5244"/>
      <c r="C112" s="5245"/>
      <c r="D112" s="5246"/>
      <c r="E112" s="5247"/>
      <c r="F112" s="5248"/>
      <c r="G112" s="5248"/>
      <c r="H112" s="5248"/>
      <c r="I112" s="5248"/>
      <c r="J112" s="5248"/>
      <c r="K112" s="5248"/>
      <c r="L112" s="5248"/>
      <c r="M112" s="5248"/>
      <c r="N112" s="5248"/>
      <c r="O112" s="5248"/>
      <c r="P112" s="5249"/>
      <c r="Q112" s="5250"/>
      <c r="R112" s="5251"/>
      <c r="S112" s="5251"/>
      <c r="T112" s="5251"/>
      <c r="U112" s="5251"/>
      <c r="V112" s="5251"/>
      <c r="W112" s="5251"/>
    </row>
    <row r="113" spans="1:96" s="5076" customFormat="1" ht="17.100000000000001" customHeight="1">
      <c r="A113" s="7277" t="s">
        <v>4183</v>
      </c>
      <c r="B113" s="7277"/>
      <c r="C113" s="7277"/>
      <c r="D113" s="7277"/>
      <c r="CC113" s="5077"/>
      <c r="CD113" s="5077"/>
      <c r="CE113" s="5077"/>
      <c r="CF113" s="5077"/>
      <c r="CG113" s="5077"/>
      <c r="CH113" s="5077"/>
      <c r="CI113" s="5077"/>
      <c r="CJ113" s="5077"/>
      <c r="CK113" s="5077"/>
      <c r="CL113" s="5077"/>
      <c r="CM113" s="5077"/>
    </row>
    <row r="114" spans="1:96" ht="32.1" customHeight="1">
      <c r="A114" s="5718" t="s">
        <v>4163</v>
      </c>
      <c r="B114" s="5710" t="s">
        <v>91</v>
      </c>
      <c r="C114" s="6106"/>
      <c r="D114" s="5712"/>
      <c r="E114" s="5710" t="s">
        <v>43</v>
      </c>
      <c r="F114" s="6106"/>
      <c r="G114" s="6106"/>
      <c r="H114" s="6106"/>
      <c r="I114" s="6106"/>
      <c r="J114" s="6106"/>
      <c r="K114" s="6106"/>
      <c r="L114" s="5716"/>
      <c r="M114" s="6762" t="s">
        <v>4184</v>
      </c>
      <c r="N114" s="6119" t="s">
        <v>3059</v>
      </c>
      <c r="O114" s="6119" t="s">
        <v>625</v>
      </c>
      <c r="P114" s="6119" t="s">
        <v>1733</v>
      </c>
      <c r="Q114" s="7278" t="s">
        <v>48</v>
      </c>
      <c r="R114" s="7266" t="s">
        <v>49</v>
      </c>
      <c r="S114" s="6318" t="s">
        <v>50</v>
      </c>
      <c r="T114" s="6321" t="s">
        <v>51</v>
      </c>
      <c r="CC114" s="5077"/>
      <c r="CD114" s="5077"/>
      <c r="CE114" s="5077"/>
      <c r="CF114" s="5077"/>
      <c r="CG114" s="5077"/>
      <c r="CH114" s="5077"/>
      <c r="CI114" s="5077"/>
      <c r="CJ114" s="5077"/>
      <c r="CK114" s="5077"/>
      <c r="CL114" s="5077"/>
      <c r="CM114" s="5077"/>
    </row>
    <row r="115" spans="1:96" ht="32.1" customHeight="1">
      <c r="A115" s="5719"/>
      <c r="B115" s="5252" t="s">
        <v>947</v>
      </c>
      <c r="C115" s="1399" t="s">
        <v>72</v>
      </c>
      <c r="D115" s="1584" t="s">
        <v>73</v>
      </c>
      <c r="E115" s="1395" t="s">
        <v>4185</v>
      </c>
      <c r="F115" s="1646" t="s">
        <v>406</v>
      </c>
      <c r="G115" s="1646" t="s">
        <v>4186</v>
      </c>
      <c r="H115" s="1646" t="s">
        <v>4187</v>
      </c>
      <c r="I115" s="1646" t="s">
        <v>325</v>
      </c>
      <c r="J115" s="1646" t="s">
        <v>4188</v>
      </c>
      <c r="K115" s="1646" t="s">
        <v>4189</v>
      </c>
      <c r="L115" s="1398" t="s">
        <v>4179</v>
      </c>
      <c r="M115" s="6764"/>
      <c r="N115" s="6116"/>
      <c r="O115" s="6116"/>
      <c r="P115" s="6116"/>
      <c r="Q115" s="7279"/>
      <c r="R115" s="7267"/>
      <c r="S115" s="6320"/>
      <c r="T115" s="6323"/>
      <c r="CC115" s="5077"/>
      <c r="CD115" s="5077"/>
      <c r="CE115" s="5077"/>
      <c r="CF115" s="5077"/>
      <c r="CG115" s="5077"/>
      <c r="CH115" s="5077"/>
      <c r="CI115" s="5077"/>
      <c r="CJ115" s="5077"/>
      <c r="CK115" s="5077"/>
      <c r="CL115" s="5077"/>
      <c r="CM115" s="5077"/>
    </row>
    <row r="116" spans="1:96" ht="15" customHeight="1">
      <c r="A116" s="3970" t="s">
        <v>4190</v>
      </c>
      <c r="B116" s="5253">
        <f t="shared" ref="B116:B117" si="60">SUM(E116:L116)</f>
        <v>0</v>
      </c>
      <c r="C116" s="5085"/>
      <c r="D116" s="5096"/>
      <c r="E116" s="5166"/>
      <c r="F116" s="5167"/>
      <c r="G116" s="5167"/>
      <c r="H116" s="5167"/>
      <c r="I116" s="5167"/>
      <c r="J116" s="5167"/>
      <c r="K116" s="5167"/>
      <c r="L116" s="5168"/>
      <c r="M116" s="5254"/>
      <c r="N116" s="5213"/>
      <c r="O116" s="5213"/>
      <c r="P116" s="5213"/>
      <c r="Q116" s="5255"/>
      <c r="R116" s="5256"/>
      <c r="S116" s="5255"/>
      <c r="T116" s="5256"/>
      <c r="U116" s="3366" t="str">
        <f t="shared" ref="U116:U117" si="61">CA116&amp;CB116&amp;CC116&amp;CD116&amp;CE116&amp;CF116&amp;CG116&amp;CH116</f>
        <v/>
      </c>
      <c r="CA116" s="5088" t="str">
        <f>IF((C116+D116)&lt;&gt;B116," * Las atenciones según Sexo (Hombres + Mujeres) deben ser igual al Total.","")</f>
        <v/>
      </c>
      <c r="CB116" s="5088" t="str">
        <f>IF(AND(D116&gt;0,N116="")," * No olvide digitar la variable Embarazadas. Digite Cero si no tiene.",IF(N116&gt;D116," * La variable Embarazadas no puede ser mayor al Total.",""))</f>
        <v/>
      </c>
      <c r="CC116" s="5088" t="str">
        <f>IF(AND(B116&gt;0,O116="")," * No olvide digitar la variable Beneficiarios. Digite Cero si no tiene.",IF(O116&gt;B116," * La variable Beneficiarios no puede ser mayor al Total.",""))</f>
        <v/>
      </c>
      <c r="CD116" s="5088" t="str">
        <f>IF(AND(B116&gt;0,P116="")," * No olvide digitar la variable Usuarios con Discapacidad. Digite Cero si no tiene.",IF(P116&gt;B116," * La variable Usuarios con Discapacidad no puede ser mayor al Total.",""))</f>
        <v/>
      </c>
      <c r="CE116" s="5088" t="str">
        <f>IF(AND(B116&gt;0,Q116="")," * No olvide digitar la variable "&amp;Q$114&amp;". Digite Cero si no tiene.",IF(Q116&gt;B116," * La variable "&amp;Q$114&amp;" no puede ser mayor al Total.",""))</f>
        <v/>
      </c>
      <c r="CF116" s="5088" t="str">
        <f>IF(AND(B116&gt;0,R116="")," * No olvide digitar la variable "&amp;R$114&amp;". Digite Cero si no tiene.",IF(R116&gt;B116," * La variable "&amp;R$114&amp;" no puede ser mayor al Total.",""))</f>
        <v/>
      </c>
      <c r="CG116" s="5088" t="str">
        <f>IF(AND(B116&gt;0,S116="")," * No olvide digitar la variable Pueblos Originarios. Digite Cero si no tiene.",IF(S116&gt;B116," * La variable Pueblos Originarios No puede ser mayor al Total.",""))</f>
        <v/>
      </c>
      <c r="CH116" s="5088" t="str">
        <f>IF(AND(B116&gt;0,T116="")," * No olvide digitar la variable Migrantes. Digite Cero si no tiene.",IF(T116&gt;B116," * La variable Migrantes no puede ser mayor al Total.",""))</f>
        <v/>
      </c>
      <c r="CK116" s="5089">
        <f t="shared" ref="CK116:CK117" si="62">IF((C116+D116)&lt;&gt;$B116,1,0)</f>
        <v>0</v>
      </c>
      <c r="CL116" s="5089">
        <f t="shared" ref="CL116:CL117" si="63">IF(AND($D116&gt;0,N116=""),1,IF(N116&gt;$D116,1,0))</f>
        <v>0</v>
      </c>
      <c r="CM116" s="5089">
        <f t="shared" ref="CM116:CR117" si="64">IF(AND($B116&gt;0,O116=""),1,IF(O116&gt;$B116,1,0))</f>
        <v>0</v>
      </c>
      <c r="CN116" s="5089">
        <f t="shared" si="64"/>
        <v>0</v>
      </c>
      <c r="CO116" s="5089">
        <f t="shared" si="64"/>
        <v>0</v>
      </c>
      <c r="CP116" s="5089">
        <f t="shared" si="64"/>
        <v>0</v>
      </c>
      <c r="CQ116" s="5089">
        <f t="shared" si="64"/>
        <v>0</v>
      </c>
      <c r="CR116" s="5089">
        <f t="shared" si="64"/>
        <v>0</v>
      </c>
    </row>
    <row r="117" spans="1:96" ht="15" customHeight="1">
      <c r="A117" s="3970" t="s">
        <v>4191</v>
      </c>
      <c r="B117" s="5253">
        <f t="shared" si="60"/>
        <v>0</v>
      </c>
      <c r="C117" s="5093"/>
      <c r="D117" s="5090"/>
      <c r="E117" s="4575"/>
      <c r="F117" s="4576"/>
      <c r="G117" s="4576"/>
      <c r="H117" s="4576"/>
      <c r="I117" s="4576"/>
      <c r="J117" s="4576"/>
      <c r="K117" s="4576"/>
      <c r="L117" s="4603"/>
      <c r="M117" s="5254"/>
      <c r="N117" s="5213"/>
      <c r="O117" s="5213"/>
      <c r="P117" s="5213"/>
      <c r="Q117" s="5255"/>
      <c r="R117" s="5256"/>
      <c r="S117" s="5255"/>
      <c r="T117" s="5256"/>
      <c r="U117" s="3366" t="str">
        <f t="shared" si="61"/>
        <v/>
      </c>
      <c r="CA117" s="5088" t="str">
        <f>IF((C117+D117)&lt;&gt;B117,"  * Las atenciones según Sexo (Hombres/Mujeres) deben ser igual al Total de atenciones","")</f>
        <v/>
      </c>
      <c r="CB117" s="5088" t="str">
        <f>IF(AND(D117&gt;0,N117="")," * No olvide digitar Embarazadas. Digite cero si no tiene.",IF(N117&gt;D117," * La variable Embarazadas no puede ser mayor al Total.",""))</f>
        <v/>
      </c>
      <c r="CC117" s="5088" t="str">
        <f>IF(AND(B117&gt;0,O117="")," * No olvide digitar Beneficiarios.",IF(O117&gt;B117," * Beneficiarios No puede ser mayor al Total.",""))</f>
        <v/>
      </c>
      <c r="CD117" s="5088" t="str">
        <f>IF(AND(B117&gt;0,P117="")," * No olvide digitar Usuarios con discapacidad. Digite cero si no tiene.",IF(P117&gt;B117," * Usuarios con discapacidad No puede ser mayor al Total.",""))</f>
        <v/>
      </c>
      <c r="CE117" s="5088" t="str">
        <f>IF(AND(B117&gt;0,Q117="")," * No olvide digitar "&amp;Q$114&amp;". Digite cero si no tiene.",IF(Q117&gt;B117," * "&amp;Q$114&amp;" No puede ser mayor al Total.",""))</f>
        <v/>
      </c>
      <c r="CF117" s="5088" t="str">
        <f>IF(AND(B117&gt;0,R117="")," * No olvide digitar "&amp;R$114&amp;". Digite cero si no tiene.",IF(R117&gt;B117," * "&amp;R$114&amp;" No puede ser mayor al Total.",""))</f>
        <v/>
      </c>
      <c r="CG117" s="5088" t="str">
        <f>IF(AND(B117&gt;0,S117="")," * No olvide digitar Pueblos originarios. Digite cero si no tiene.",IF(S117&gt;B117," * Pueblos originarios No puede ser mayor al Total.",""))</f>
        <v/>
      </c>
      <c r="CH117" s="5088" t="str">
        <f>IF(AND(B117&gt;0,T117="")," * No olvide digitar Migrantes. Digite cero si no tiene.",IF(T117&gt;B117," * Migrantes No puede ser mayor al Total.",""))</f>
        <v/>
      </c>
      <c r="CK117" s="5089">
        <f t="shared" si="62"/>
        <v>0</v>
      </c>
      <c r="CL117" s="5089">
        <f t="shared" si="63"/>
        <v>0</v>
      </c>
      <c r="CM117" s="5089">
        <f t="shared" si="64"/>
        <v>0</v>
      </c>
      <c r="CN117" s="5089">
        <f t="shared" si="64"/>
        <v>0</v>
      </c>
      <c r="CO117" s="5089">
        <f t="shared" si="64"/>
        <v>0</v>
      </c>
      <c r="CP117" s="5089">
        <f t="shared" si="64"/>
        <v>0</v>
      </c>
      <c r="CQ117" s="5089">
        <f t="shared" si="64"/>
        <v>0</v>
      </c>
      <c r="CR117" s="5089">
        <f t="shared" si="64"/>
        <v>0</v>
      </c>
    </row>
    <row r="118" spans="1:96" ht="15" customHeight="1">
      <c r="A118" s="1574" t="s">
        <v>91</v>
      </c>
      <c r="B118" s="5257">
        <f t="shared" ref="B118:T118" si="65">SUM(B116:B117)</f>
        <v>0</v>
      </c>
      <c r="C118" s="2240">
        <f t="shared" si="65"/>
        <v>0</v>
      </c>
      <c r="D118" s="4490">
        <f t="shared" si="65"/>
        <v>0</v>
      </c>
      <c r="E118" s="4075">
        <f t="shared" si="65"/>
        <v>0</v>
      </c>
      <c r="F118" s="5258">
        <f t="shared" si="65"/>
        <v>0</v>
      </c>
      <c r="G118" s="5258">
        <f t="shared" si="65"/>
        <v>0</v>
      </c>
      <c r="H118" s="5258">
        <f t="shared" si="65"/>
        <v>0</v>
      </c>
      <c r="I118" s="5258">
        <f t="shared" si="65"/>
        <v>0</v>
      </c>
      <c r="J118" s="5258">
        <f t="shared" si="65"/>
        <v>0</v>
      </c>
      <c r="K118" s="5258">
        <f t="shared" si="65"/>
        <v>0</v>
      </c>
      <c r="L118" s="5259">
        <f t="shared" si="65"/>
        <v>0</v>
      </c>
      <c r="M118" s="5260">
        <f t="shared" si="65"/>
        <v>0</v>
      </c>
      <c r="N118" s="5034">
        <f t="shared" si="65"/>
        <v>0</v>
      </c>
      <c r="O118" s="5034">
        <f t="shared" si="65"/>
        <v>0</v>
      </c>
      <c r="P118" s="5034">
        <f t="shared" si="65"/>
        <v>0</v>
      </c>
      <c r="Q118" s="5261">
        <f t="shared" si="65"/>
        <v>0</v>
      </c>
      <c r="R118" s="5262">
        <f t="shared" si="65"/>
        <v>0</v>
      </c>
      <c r="S118" s="5261">
        <f t="shared" si="65"/>
        <v>0</v>
      </c>
      <c r="T118" s="5262">
        <f t="shared" si="65"/>
        <v>0</v>
      </c>
      <c r="CC118" s="5077"/>
      <c r="CD118" s="5077"/>
      <c r="CE118" s="5077"/>
      <c r="CF118" s="5077"/>
      <c r="CG118" s="5077"/>
      <c r="CH118" s="5077"/>
      <c r="CI118" s="5077"/>
      <c r="CJ118" s="5077"/>
      <c r="CK118" s="5077"/>
      <c r="CL118" s="5077"/>
      <c r="CM118" s="5077"/>
    </row>
    <row r="119" spans="1:96" s="5076" customFormat="1" ht="17.100000000000001" customHeight="1">
      <c r="A119" s="7261" t="s">
        <v>4192</v>
      </c>
      <c r="B119" s="7261"/>
      <c r="CC119" s="5077"/>
      <c r="CD119" s="5077"/>
      <c r="CE119" s="5077"/>
      <c r="CF119" s="5077"/>
      <c r="CG119" s="5077"/>
      <c r="CH119" s="5077"/>
      <c r="CI119" s="5077"/>
      <c r="CJ119" s="5077"/>
      <c r="CK119" s="5077"/>
      <c r="CL119" s="5077"/>
      <c r="CM119" s="5077"/>
    </row>
    <row r="120" spans="1:96" s="5076" customFormat="1" ht="17.100000000000001" customHeight="1">
      <c r="A120" s="7261" t="s">
        <v>4193</v>
      </c>
      <c r="B120" s="7261"/>
      <c r="CC120" s="5077"/>
      <c r="CD120" s="5077"/>
      <c r="CE120" s="5077"/>
      <c r="CF120" s="5077"/>
      <c r="CG120" s="5077"/>
      <c r="CH120" s="5077"/>
      <c r="CI120" s="5077"/>
      <c r="CJ120" s="5077"/>
      <c r="CK120" s="5077"/>
      <c r="CL120" s="5077"/>
      <c r="CM120" s="5077"/>
    </row>
    <row r="121" spans="1:96" s="5077" customFormat="1" ht="15" customHeight="1">
      <c r="A121" s="6328" t="s">
        <v>4194</v>
      </c>
      <c r="B121" s="6328" t="s">
        <v>4195</v>
      </c>
      <c r="C121" s="5707" t="s">
        <v>43</v>
      </c>
      <c r="D121" s="5708"/>
      <c r="E121" s="5708"/>
      <c r="F121" s="5708"/>
      <c r="G121" s="5708"/>
      <c r="H121" s="5708"/>
      <c r="I121" s="5708"/>
      <c r="J121" s="5708"/>
      <c r="K121" s="5708"/>
      <c r="L121" s="5708"/>
      <c r="M121" s="5708"/>
      <c r="N121" s="5708"/>
      <c r="O121" s="5708"/>
      <c r="P121" s="5708"/>
      <c r="Q121" s="5708"/>
      <c r="R121" s="5708"/>
      <c r="S121" s="6147"/>
      <c r="T121" s="7262" t="s">
        <v>2422</v>
      </c>
      <c r="U121" s="7263"/>
      <c r="V121" s="7264" t="s">
        <v>48</v>
      </c>
      <c r="W121" s="7266" t="s">
        <v>49</v>
      </c>
      <c r="X121" s="6381" t="s">
        <v>50</v>
      </c>
      <c r="Y121" s="6321" t="s">
        <v>51</v>
      </c>
      <c r="Z121" s="6119" t="s">
        <v>1061</v>
      </c>
      <c r="AA121" s="6248" t="s">
        <v>47</v>
      </c>
    </row>
    <row r="122" spans="1:96" s="5077" customFormat="1" ht="50.25" customHeight="1">
      <c r="A122" s="6328"/>
      <c r="B122" s="6328"/>
      <c r="C122" s="1395" t="s">
        <v>364</v>
      </c>
      <c r="D122" s="1646" t="s">
        <v>347</v>
      </c>
      <c r="E122" s="1396" t="s">
        <v>57</v>
      </c>
      <c r="F122" s="1646" t="s">
        <v>58</v>
      </c>
      <c r="G122" s="1397" t="s">
        <v>59</v>
      </c>
      <c r="H122" s="1397" t="s">
        <v>60</v>
      </c>
      <c r="I122" s="1397" t="s">
        <v>61</v>
      </c>
      <c r="J122" s="1397" t="s">
        <v>62</v>
      </c>
      <c r="K122" s="1397" t="s">
        <v>63</v>
      </c>
      <c r="L122" s="1397" t="s">
        <v>64</v>
      </c>
      <c r="M122" s="1397" t="s">
        <v>65</v>
      </c>
      <c r="N122" s="1397" t="s">
        <v>66</v>
      </c>
      <c r="O122" s="1397" t="s">
        <v>67</v>
      </c>
      <c r="P122" s="1397" t="s">
        <v>68</v>
      </c>
      <c r="Q122" s="1397" t="s">
        <v>69</v>
      </c>
      <c r="R122" s="1397" t="s">
        <v>70</v>
      </c>
      <c r="S122" s="5263" t="s">
        <v>71</v>
      </c>
      <c r="T122" s="5185" t="s">
        <v>72</v>
      </c>
      <c r="U122" s="5142" t="s">
        <v>73</v>
      </c>
      <c r="V122" s="7265"/>
      <c r="W122" s="7267"/>
      <c r="X122" s="6383"/>
      <c r="Y122" s="6323"/>
      <c r="Z122" s="6116"/>
      <c r="AA122" s="6249"/>
    </row>
    <row r="123" spans="1:96" s="5077" customFormat="1" ht="15" customHeight="1">
      <c r="A123" s="5264" t="s">
        <v>4196</v>
      </c>
      <c r="B123" s="5265">
        <f t="shared" ref="B123:B125" si="66">SUM(C123:S123)</f>
        <v>0</v>
      </c>
      <c r="C123" s="4575"/>
      <c r="D123" s="4576"/>
      <c r="E123" s="4576"/>
      <c r="F123" s="4576"/>
      <c r="G123" s="4576"/>
      <c r="H123" s="4576"/>
      <c r="I123" s="4576"/>
      <c r="J123" s="4576"/>
      <c r="K123" s="4576"/>
      <c r="L123" s="4576"/>
      <c r="M123" s="4576"/>
      <c r="N123" s="4576"/>
      <c r="O123" s="4576"/>
      <c r="P123" s="4576"/>
      <c r="Q123" s="4576"/>
      <c r="R123" s="4576"/>
      <c r="S123" s="5093"/>
      <c r="T123" s="5200"/>
      <c r="U123" s="4590"/>
      <c r="V123" s="5266"/>
      <c r="W123" s="5165"/>
      <c r="X123" s="5091"/>
      <c r="Y123" s="5165"/>
      <c r="Z123" s="4601"/>
      <c r="AA123" s="4601"/>
      <c r="AB123" s="5077" t="str">
        <f t="shared" ref="AB123:AB125" si="67">CA123&amp;CB123&amp;CC123&amp;CD123&amp;CE123&amp;CF123&amp;CG123</f>
        <v/>
      </c>
      <c r="CA123" s="5088" t="str">
        <f t="shared" ref="CA123:CA125" si="68">IF((T123+U123)&lt;&gt;B123," * Las acciones según Sexo (Hombres + Mujeres) deben ser igual al "&amp;B$121&amp;"","")</f>
        <v/>
      </c>
      <c r="CB123" s="5088" t="str">
        <f t="shared" ref="CB123:CB125" si="69">IF(AND(B123&gt;0,V123="")," * No olvide digitar la variable "&amp;V$121&amp;". Digite Cero si no tiene.",IF(V123&gt;B123," * La variable "&amp;V$121&amp;" no puede ser mayor que el Total.",""))</f>
        <v/>
      </c>
      <c r="CC123" s="5088" t="str">
        <f t="shared" ref="CC123:CC125" si="70">IF(AND($B123&gt;0,W123="")," * No olvide digitar la variable "&amp;W$121&amp;". Digite Cero si no tiene.",IF(W123&gt;$B123," * La variables "&amp;W$121&amp;" no puede ser mayor que el Total.",""))</f>
        <v/>
      </c>
      <c r="CD123" s="5088" t="str">
        <f t="shared" ref="CD123:CD125" si="71">IF(AND($B123&gt;0,X123="")," * No olvide digitar la variable Pueblos Originarios. Digite Cero si no tiene.",IF(X123&gt;$B123," * La variable Pueblos originarios no puede ser mayor que el Total.",""))</f>
        <v/>
      </c>
      <c r="CE123" s="5088" t="str">
        <f t="shared" ref="CE123:CE125" si="72">IF(AND($B123&gt;0,Y123="")," * No olvide digitar la variable Migrantes. Digite Cero si no tiene.",IF(Y123&gt;$B123," * La variable Migrantes no puede ser mayor que el Total.",""))</f>
        <v/>
      </c>
      <c r="CF123" s="5088" t="str">
        <f t="shared" ref="CF123:CF125" si="73">IF(AND($B123&gt;0,Z123="")," * No olvide digitar la variable el campo  Demencia. Digite Cero si no tiene.",IF(Z123&gt;$B123," * La variable Demencia No puede ser mayor que el Total.",""))</f>
        <v/>
      </c>
      <c r="CG123" s="5088" t="str">
        <f t="shared" ref="CG123:CG125" si="74">IF(AND($B123&gt;0,AA123="")," * No olvide digitar la variable Espacios Amigables/Adolescentes. Digite Cero si no tiene.",IF(AA123&gt;$B123," * La variable Espacios Amigables/Adolescente No puede ser mayor que el Total.",""))</f>
        <v/>
      </c>
      <c r="CK123" s="5089">
        <f t="shared" ref="CK123:CK125" si="75">IF((T123+U123)&lt;&gt;B123,1,0)</f>
        <v>0</v>
      </c>
      <c r="CL123" s="5089">
        <f t="shared" ref="CL123:CL125" si="76">IF(AND(B123&gt;0,V123=""),1,IF(V123&gt;B123,1,0))</f>
        <v>0</v>
      </c>
      <c r="CM123" s="5089">
        <f t="shared" ref="CM123:CM125" si="77">IF(AND(B123&gt;0,W123=""),1,IF(W123&gt;B123,1,0))</f>
        <v>0</v>
      </c>
      <c r="CN123" s="5089">
        <f t="shared" ref="CN123:CN125" si="78">IF(AND(B123&gt;0,X123=""),1,IF(X123&gt;B123,1,0))</f>
        <v>0</v>
      </c>
      <c r="CO123" s="5089">
        <f t="shared" ref="CO123:CO125" si="79">IF(AND(B123&gt;0,Y123=""),1,IF(Y123&gt;B123,1,0))</f>
        <v>0</v>
      </c>
      <c r="CP123" s="5089">
        <f t="shared" ref="CP123:CP125" si="80">IF(AND(B123&gt;0,Z123=""),1,IF(Z123&gt;B123,1,0))</f>
        <v>0</v>
      </c>
      <c r="CQ123" s="5089">
        <f t="shared" ref="CQ123:CQ125" si="81">IF(AND(B123&gt;0,AA123=""),1,IF(AA123&gt;B123,1,0))</f>
        <v>0</v>
      </c>
    </row>
    <row r="124" spans="1:96" s="5077" customFormat="1" ht="15" customHeight="1">
      <c r="A124" s="4053" t="s">
        <v>4197</v>
      </c>
      <c r="B124" s="5267">
        <f t="shared" si="66"/>
        <v>0</v>
      </c>
      <c r="C124" s="4575"/>
      <c r="D124" s="4576"/>
      <c r="E124" s="4576"/>
      <c r="F124" s="4576"/>
      <c r="G124" s="4576"/>
      <c r="H124" s="4576"/>
      <c r="I124" s="4576"/>
      <c r="J124" s="4576"/>
      <c r="K124" s="4576"/>
      <c r="L124" s="4576"/>
      <c r="M124" s="4576"/>
      <c r="N124" s="4576"/>
      <c r="O124" s="4576"/>
      <c r="P124" s="4576"/>
      <c r="Q124" s="4576"/>
      <c r="R124" s="4576"/>
      <c r="S124" s="5093"/>
      <c r="T124" s="5204"/>
      <c r="U124" s="4577"/>
      <c r="V124" s="5266"/>
      <c r="W124" s="5165"/>
      <c r="X124" s="5091"/>
      <c r="Y124" s="5165"/>
      <c r="Z124" s="4601"/>
      <c r="AA124" s="4601"/>
      <c r="AB124" s="5077" t="str">
        <f t="shared" si="67"/>
        <v/>
      </c>
      <c r="CA124" s="5088" t="str">
        <f t="shared" si="68"/>
        <v/>
      </c>
      <c r="CB124" s="5088" t="str">
        <f t="shared" si="69"/>
        <v/>
      </c>
      <c r="CC124" s="5088" t="str">
        <f t="shared" si="70"/>
        <v/>
      </c>
      <c r="CD124" s="5088" t="str">
        <f t="shared" si="71"/>
        <v/>
      </c>
      <c r="CE124" s="5088" t="str">
        <f t="shared" si="72"/>
        <v/>
      </c>
      <c r="CF124" s="5088" t="str">
        <f t="shared" si="73"/>
        <v/>
      </c>
      <c r="CG124" s="5088" t="str">
        <f t="shared" si="74"/>
        <v/>
      </c>
      <c r="CK124" s="5089">
        <f t="shared" si="75"/>
        <v>0</v>
      </c>
      <c r="CL124" s="5089">
        <f t="shared" si="76"/>
        <v>0</v>
      </c>
      <c r="CM124" s="5089">
        <f t="shared" si="77"/>
        <v>0</v>
      </c>
      <c r="CN124" s="5089">
        <f t="shared" si="78"/>
        <v>0</v>
      </c>
      <c r="CO124" s="5089">
        <f t="shared" si="79"/>
        <v>0</v>
      </c>
      <c r="CP124" s="5089">
        <f t="shared" si="80"/>
        <v>0</v>
      </c>
      <c r="CQ124" s="5089">
        <f t="shared" si="81"/>
        <v>0</v>
      </c>
    </row>
    <row r="125" spans="1:96" s="5077" customFormat="1" ht="15" customHeight="1">
      <c r="A125" s="3050" t="s">
        <v>4198</v>
      </c>
      <c r="B125" s="5268">
        <f t="shared" si="66"/>
        <v>0</v>
      </c>
      <c r="C125" s="5151"/>
      <c r="D125" s="5152"/>
      <c r="E125" s="5152"/>
      <c r="F125" s="5152"/>
      <c r="G125" s="5152"/>
      <c r="H125" s="5152"/>
      <c r="I125" s="5152"/>
      <c r="J125" s="5152"/>
      <c r="K125" s="5152"/>
      <c r="L125" s="5152"/>
      <c r="M125" s="5152"/>
      <c r="N125" s="5152"/>
      <c r="O125" s="5152"/>
      <c r="P125" s="5152"/>
      <c r="Q125" s="5152"/>
      <c r="R125" s="5152"/>
      <c r="S125" s="5269"/>
      <c r="T125" s="5270"/>
      <c r="U125" s="5154"/>
      <c r="V125" s="5271"/>
      <c r="W125" s="5156"/>
      <c r="X125" s="5272"/>
      <c r="Y125" s="5156"/>
      <c r="Z125" s="5157"/>
      <c r="AA125" s="5157"/>
      <c r="AB125" s="5077" t="str">
        <f t="shared" si="67"/>
        <v/>
      </c>
      <c r="CA125" s="5088" t="str">
        <f t="shared" si="68"/>
        <v/>
      </c>
      <c r="CB125" s="5088" t="str">
        <f t="shared" si="69"/>
        <v/>
      </c>
      <c r="CC125" s="5088" t="str">
        <f t="shared" si="70"/>
        <v/>
      </c>
      <c r="CD125" s="5088" t="str">
        <f t="shared" si="71"/>
        <v/>
      </c>
      <c r="CE125" s="5088" t="str">
        <f t="shared" si="72"/>
        <v/>
      </c>
      <c r="CF125" s="5088" t="str">
        <f t="shared" si="73"/>
        <v/>
      </c>
      <c r="CG125" s="5088" t="str">
        <f t="shared" si="74"/>
        <v/>
      </c>
      <c r="CK125" s="5089">
        <f t="shared" si="75"/>
        <v>0</v>
      </c>
      <c r="CL125" s="5089">
        <f t="shared" si="76"/>
        <v>0</v>
      </c>
      <c r="CM125" s="5089">
        <f t="shared" si="77"/>
        <v>0</v>
      </c>
      <c r="CN125" s="5089">
        <f t="shared" si="78"/>
        <v>0</v>
      </c>
      <c r="CO125" s="5089">
        <f t="shared" si="79"/>
        <v>0</v>
      </c>
      <c r="CP125" s="5089">
        <f t="shared" si="80"/>
        <v>0</v>
      </c>
      <c r="CQ125" s="5089">
        <f t="shared" si="81"/>
        <v>0</v>
      </c>
    </row>
    <row r="126" spans="1:96" s="5076" customFormat="1" ht="18" customHeight="1">
      <c r="A126" s="7261" t="s">
        <v>4199</v>
      </c>
      <c r="B126" s="7261"/>
      <c r="CC126" s="5077"/>
      <c r="CD126" s="5077"/>
      <c r="CE126" s="5077"/>
      <c r="CF126" s="5077"/>
      <c r="CG126" s="5077"/>
      <c r="CH126" s="5077"/>
      <c r="CI126" s="5077"/>
      <c r="CJ126" s="5077"/>
      <c r="CK126" s="5077"/>
      <c r="CL126" s="5077"/>
      <c r="CM126" s="5077"/>
    </row>
    <row r="127" spans="1:96" s="5077" customFormat="1" ht="15" customHeight="1">
      <c r="A127" s="6298" t="s">
        <v>1124</v>
      </c>
      <c r="B127" s="6298" t="s">
        <v>41</v>
      </c>
      <c r="C127" s="6140" t="s">
        <v>91</v>
      </c>
      <c r="D127" s="6139"/>
      <c r="E127" s="6119"/>
      <c r="F127" s="5707" t="s">
        <v>115</v>
      </c>
      <c r="G127" s="5708"/>
      <c r="H127" s="5708"/>
      <c r="I127" s="5708"/>
      <c r="J127" s="5708"/>
      <c r="K127" s="5708"/>
      <c r="L127" s="5708"/>
      <c r="M127" s="5708"/>
      <c r="N127" s="5708"/>
      <c r="O127" s="5708"/>
      <c r="P127" s="5708"/>
      <c r="Q127" s="5708"/>
      <c r="R127" s="5708"/>
      <c r="S127" s="5708"/>
      <c r="T127" s="5708"/>
      <c r="U127" s="5708"/>
      <c r="V127" s="5708"/>
      <c r="W127" s="5708"/>
      <c r="X127" s="5708"/>
      <c r="Y127" s="5708"/>
      <c r="Z127" s="5708"/>
      <c r="AA127" s="5708"/>
      <c r="AB127" s="5708"/>
      <c r="AC127" s="5708"/>
      <c r="AD127" s="5708"/>
      <c r="AE127" s="5708"/>
      <c r="AF127" s="5708"/>
      <c r="AG127" s="5708"/>
      <c r="AH127" s="5708"/>
      <c r="AI127" s="5708"/>
      <c r="AJ127" s="5708"/>
      <c r="AK127" s="5708"/>
      <c r="AL127" s="5708"/>
      <c r="AM127" s="6147"/>
      <c r="AN127" s="6669" t="s">
        <v>514</v>
      </c>
      <c r="AO127" s="6059" t="s">
        <v>49</v>
      </c>
      <c r="AP127" s="6135" t="s">
        <v>50</v>
      </c>
      <c r="AQ127" s="6135" t="s">
        <v>51</v>
      </c>
      <c r="AR127" s="6135" t="s">
        <v>1061</v>
      </c>
      <c r="AS127" s="6248" t="s">
        <v>47</v>
      </c>
    </row>
    <row r="128" spans="1:96" s="5077" customFormat="1" ht="15" customHeight="1">
      <c r="A128" s="6299"/>
      <c r="B128" s="6299"/>
      <c r="C128" s="6114"/>
      <c r="D128" s="6115"/>
      <c r="E128" s="6116"/>
      <c r="F128" s="5710" t="s">
        <v>364</v>
      </c>
      <c r="G128" s="5712"/>
      <c r="H128" s="5710" t="s">
        <v>347</v>
      </c>
      <c r="I128" s="5712"/>
      <c r="J128" s="5710" t="s">
        <v>108</v>
      </c>
      <c r="K128" s="5712"/>
      <c r="L128" s="5710" t="s">
        <v>58</v>
      </c>
      <c r="M128" s="6106"/>
      <c r="N128" s="5710" t="s">
        <v>59</v>
      </c>
      <c r="O128" s="5712"/>
      <c r="P128" s="5707" t="s">
        <v>60</v>
      </c>
      <c r="Q128" s="5709"/>
      <c r="R128" s="5707" t="s">
        <v>61</v>
      </c>
      <c r="S128" s="5709"/>
      <c r="T128" s="5707" t="s">
        <v>62</v>
      </c>
      <c r="U128" s="5709"/>
      <c r="V128" s="5707" t="s">
        <v>63</v>
      </c>
      <c r="W128" s="5709"/>
      <c r="X128" s="5707" t="s">
        <v>64</v>
      </c>
      <c r="Y128" s="5709"/>
      <c r="Z128" s="5707" t="s">
        <v>65</v>
      </c>
      <c r="AA128" s="5709"/>
      <c r="AB128" s="5707" t="s">
        <v>66</v>
      </c>
      <c r="AC128" s="5709"/>
      <c r="AD128" s="5707" t="s">
        <v>67</v>
      </c>
      <c r="AE128" s="5709"/>
      <c r="AF128" s="5707" t="s">
        <v>68</v>
      </c>
      <c r="AG128" s="5709"/>
      <c r="AH128" s="5707" t="s">
        <v>69</v>
      </c>
      <c r="AI128" s="5709"/>
      <c r="AJ128" s="5707" t="s">
        <v>70</v>
      </c>
      <c r="AK128" s="5709"/>
      <c r="AL128" s="5707" t="s">
        <v>71</v>
      </c>
      <c r="AM128" s="6147"/>
      <c r="AN128" s="6669"/>
      <c r="AO128" s="6059"/>
      <c r="AP128" s="6302"/>
      <c r="AQ128" s="6302"/>
      <c r="AR128" s="6302"/>
      <c r="AS128" s="6404"/>
    </row>
    <row r="129" spans="1:95" s="5077" customFormat="1" ht="52.5" customHeight="1">
      <c r="A129" s="6300"/>
      <c r="B129" s="6300"/>
      <c r="C129" s="396" t="s">
        <v>93</v>
      </c>
      <c r="D129" s="1396" t="s">
        <v>72</v>
      </c>
      <c r="E129" s="393" t="s">
        <v>73</v>
      </c>
      <c r="F129" s="1395" t="s">
        <v>72</v>
      </c>
      <c r="G129" s="393" t="s">
        <v>73</v>
      </c>
      <c r="H129" s="1395" t="s">
        <v>72</v>
      </c>
      <c r="I129" s="393" t="s">
        <v>73</v>
      </c>
      <c r="J129" s="1395" t="s">
        <v>72</v>
      </c>
      <c r="K129" s="393" t="s">
        <v>73</v>
      </c>
      <c r="L129" s="1396" t="s">
        <v>72</v>
      </c>
      <c r="M129" s="2320" t="s">
        <v>73</v>
      </c>
      <c r="N129" s="1395" t="s">
        <v>72</v>
      </c>
      <c r="O129" s="1584" t="s">
        <v>73</v>
      </c>
      <c r="P129" s="1395" t="s">
        <v>72</v>
      </c>
      <c r="Q129" s="1584" t="s">
        <v>73</v>
      </c>
      <c r="R129" s="1396" t="s">
        <v>72</v>
      </c>
      <c r="S129" s="1584" t="s">
        <v>73</v>
      </c>
      <c r="T129" s="1396" t="s">
        <v>72</v>
      </c>
      <c r="U129" s="1584" t="s">
        <v>73</v>
      </c>
      <c r="V129" s="1395" t="s">
        <v>72</v>
      </c>
      <c r="W129" s="1584" t="s">
        <v>73</v>
      </c>
      <c r="X129" s="1396" t="s">
        <v>72</v>
      </c>
      <c r="Y129" s="1584" t="s">
        <v>73</v>
      </c>
      <c r="Z129" s="1396" t="s">
        <v>72</v>
      </c>
      <c r="AA129" s="1584" t="s">
        <v>73</v>
      </c>
      <c r="AB129" s="1396" t="s">
        <v>72</v>
      </c>
      <c r="AC129" s="1584" t="s">
        <v>73</v>
      </c>
      <c r="AD129" s="1396" t="s">
        <v>72</v>
      </c>
      <c r="AE129" s="1584" t="s">
        <v>73</v>
      </c>
      <c r="AF129" s="1396" t="s">
        <v>72</v>
      </c>
      <c r="AG129" s="1584" t="s">
        <v>73</v>
      </c>
      <c r="AH129" s="1396" t="s">
        <v>72</v>
      </c>
      <c r="AI129" s="1584" t="s">
        <v>73</v>
      </c>
      <c r="AJ129" s="1396" t="s">
        <v>72</v>
      </c>
      <c r="AK129" s="1584" t="s">
        <v>73</v>
      </c>
      <c r="AL129" s="1396" t="s">
        <v>72</v>
      </c>
      <c r="AM129" s="1398" t="s">
        <v>73</v>
      </c>
      <c r="AN129" s="6669"/>
      <c r="AO129" s="6059"/>
      <c r="AP129" s="6136"/>
      <c r="AQ129" s="6136"/>
      <c r="AR129" s="6136"/>
      <c r="AS129" s="6249"/>
    </row>
    <row r="130" spans="1:95" s="5077" customFormat="1" ht="15" customHeight="1">
      <c r="A130" s="6127" t="s">
        <v>4200</v>
      </c>
      <c r="B130" s="2108" t="s">
        <v>78</v>
      </c>
      <c r="C130" s="5273">
        <f t="shared" ref="C130:C163" si="82">SUM(D130:E130)</f>
        <v>0</v>
      </c>
      <c r="D130" s="5274">
        <f t="shared" ref="D130:D139" si="83">SUM(F130+H130+J130+L130+N130+P130+R130+T130+V130+X130+Z130+AB130+AD130+AF130+AH130+AJ130+AL130)</f>
        <v>0</v>
      </c>
      <c r="E130" s="5275">
        <f t="shared" ref="E130:E139" si="84">SUM(G130+I130+K130+M130+O130+Q130+S130+U130+W130+Y130+AA130+AC130+AE130+AG130+AI130+AK130+AM130)</f>
        <v>0</v>
      </c>
      <c r="F130" s="4570"/>
      <c r="G130" s="4595"/>
      <c r="H130" s="4570"/>
      <c r="I130" s="4595"/>
      <c r="J130" s="4570"/>
      <c r="K130" s="4595"/>
      <c r="L130" s="4596"/>
      <c r="M130" s="5276"/>
      <c r="N130" s="4570"/>
      <c r="O130" s="5082"/>
      <c r="P130" s="4570"/>
      <c r="Q130" s="5082"/>
      <c r="R130" s="4596"/>
      <c r="S130" s="5082"/>
      <c r="T130" s="4596"/>
      <c r="U130" s="5082"/>
      <c r="V130" s="4570"/>
      <c r="W130" s="4595"/>
      <c r="X130" s="4596"/>
      <c r="Y130" s="4595"/>
      <c r="Z130" s="4596"/>
      <c r="AA130" s="5082"/>
      <c r="AB130" s="4596"/>
      <c r="AC130" s="5082"/>
      <c r="AD130" s="4596"/>
      <c r="AE130" s="5082"/>
      <c r="AF130" s="4596"/>
      <c r="AG130" s="5082"/>
      <c r="AH130" s="4596"/>
      <c r="AI130" s="5082"/>
      <c r="AJ130" s="4596"/>
      <c r="AK130" s="5082"/>
      <c r="AL130" s="4596"/>
      <c r="AM130" s="5276"/>
      <c r="AN130" s="5277"/>
      <c r="AO130" s="4595"/>
      <c r="AP130" s="4571"/>
      <c r="AQ130" s="4571"/>
      <c r="AR130" s="4571"/>
      <c r="AS130" s="5082"/>
      <c r="AT130" s="5077" t="str">
        <f>CA130&amp;CC130&amp;CD130&amp;CE130&amp;CF130&amp;CG130</f>
        <v/>
      </c>
      <c r="CA130" s="5088" t="str">
        <f t="shared" ref="CA130:CA139" si="85">IF(AND($C130&gt;0,AN130="")," * No olvide digitar la variable "&amp;AN$127&amp;". Digite Cero si no tiene",IF(AN130&gt;$C130," * La variable "&amp;AN$127&amp;" no puede ser mayor al Total Ambos Sexos.",""))</f>
        <v/>
      </c>
      <c r="CB130" s="5088" t="str">
        <f t="shared" ref="CB130:CB150" si="86">IF(AND($C130&gt;0,AO130="")," * No olvide digitar la variable "&amp;AO$127&amp;". Digite Cero si no tiene",IF(AO130&gt;$C130," * La variable "&amp;AO$127&amp;" no puede ser mayor al Total Ambos Sexos.",""))</f>
        <v/>
      </c>
      <c r="CC130" s="5088" t="str">
        <f t="shared" ref="CC130:CC150" si="87">IF(AND($C130&gt;0,AP130="")," * No olvide digitar la variable Pueblos originarios. Digite cero si no tiene",IF(AP130&gt;$C130," * La variable Pueblos Originarios no puede ser mayor al Total Ambos Sexos.",""))</f>
        <v/>
      </c>
      <c r="CD130" s="5088" t="str">
        <f t="shared" ref="CD130:CD150" si="88">IF(AND($C130&gt;0,AQ130="")," * No olvide digitar la variable Migrantes. Digite cero si no tiene.",IF(AQ130&gt;$C130," * La variable Migrantes no puede ser mayor al Total Ambos Sexos.",""))</f>
        <v/>
      </c>
      <c r="CE130" s="5088" t="str">
        <f t="shared" ref="CE130:CE150" si="89">IF(AND($C130&gt;0,AR130="")," * No olvide digitar la variable Demencia. Digite cero si no tiene.",IF(AR130&gt;$C130," * La variable Demencia no puede ser mayor al Total Ambos Sexos.",""))</f>
        <v/>
      </c>
      <c r="CF130" s="5088" t="str">
        <f t="shared" ref="CF130:CF150" si="90">IF(AND($C130&gt;0,AS130="")," * No olvide digitar la variable Espacios Amigables/Adolescentes. Digite cero si no tiene.",IF(AS130&gt;$C130," * La variable Espacios Amigables/adolescentes no puede ser mayor al Total Ambos Sexos.",""))</f>
        <v/>
      </c>
      <c r="CG130" s="5088"/>
      <c r="CJ130" s="5119"/>
      <c r="CK130" s="5119"/>
      <c r="CL130" s="5089">
        <f t="shared" ref="CL130:CL150" si="91">IF(AND(C130&gt;0,AN130=""),1,IF(AN130&gt;C130,1,0))</f>
        <v>0</v>
      </c>
      <c r="CM130" s="5089">
        <f t="shared" ref="CM130:CM150" si="92">IF(AND(C130&gt;0,AO130=""),1,IF(AO130&gt;C130,1,0))</f>
        <v>0</v>
      </c>
      <c r="CN130" s="5089">
        <f t="shared" ref="CN130:CN150" si="93">IF(AND(C130&gt;0,AP130=""),1,IF(AP130&gt;C130,1,0))</f>
        <v>0</v>
      </c>
      <c r="CO130" s="5089">
        <f t="shared" ref="CO130:CO150" si="94">IF(AND(C130&gt;0,AQ130=""),1,IF(AQ130&gt;C130,1,0))</f>
        <v>0</v>
      </c>
      <c r="CP130" s="5089">
        <f t="shared" ref="CP130:CP150" si="95">IF(AND(C130&gt;0,AR130=""),1,IF(AR130&gt;C130,1,0))</f>
        <v>0</v>
      </c>
      <c r="CQ130" s="5089">
        <f t="shared" ref="CQ130:CQ150" si="96">IF(AND(C130&gt;0,AS130=""),1,IF(AS130&gt;C130,1,0))</f>
        <v>0</v>
      </c>
    </row>
    <row r="131" spans="1:95" s="5077" customFormat="1" ht="15" customHeight="1">
      <c r="A131" s="6128"/>
      <c r="B131" s="2114" t="s">
        <v>1065</v>
      </c>
      <c r="C131" s="5278">
        <f t="shared" si="82"/>
        <v>0</v>
      </c>
      <c r="D131" s="5279">
        <f t="shared" si="83"/>
        <v>0</v>
      </c>
      <c r="E131" s="5280">
        <f t="shared" si="84"/>
        <v>0</v>
      </c>
      <c r="F131" s="4575"/>
      <c r="G131" s="4601"/>
      <c r="H131" s="4575"/>
      <c r="I131" s="4601"/>
      <c r="J131" s="4575"/>
      <c r="K131" s="4601"/>
      <c r="L131" s="4602"/>
      <c r="M131" s="5281"/>
      <c r="N131" s="4575"/>
      <c r="O131" s="5090"/>
      <c r="P131" s="4575"/>
      <c r="Q131" s="5090"/>
      <c r="R131" s="4602"/>
      <c r="S131" s="5090"/>
      <c r="T131" s="4602"/>
      <c r="U131" s="5090"/>
      <c r="V131" s="4575"/>
      <c r="W131" s="4601"/>
      <c r="X131" s="4602"/>
      <c r="Y131" s="4601"/>
      <c r="Z131" s="4602"/>
      <c r="AA131" s="5090"/>
      <c r="AB131" s="4602"/>
      <c r="AC131" s="5090"/>
      <c r="AD131" s="4602"/>
      <c r="AE131" s="5090"/>
      <c r="AF131" s="4602"/>
      <c r="AG131" s="5090"/>
      <c r="AH131" s="4602"/>
      <c r="AI131" s="5090"/>
      <c r="AJ131" s="4602"/>
      <c r="AK131" s="5090"/>
      <c r="AL131" s="4602"/>
      <c r="AM131" s="5281"/>
      <c r="AN131" s="5204"/>
      <c r="AO131" s="4601"/>
      <c r="AP131" s="4576"/>
      <c r="AQ131" s="4576"/>
      <c r="AR131" s="4576"/>
      <c r="AS131" s="5090"/>
      <c r="AU131" s="5077" t="str">
        <f t="shared" ref="AU131:AU150" si="97">CA131&amp;CC131&amp;CD131&amp;CE131&amp;CF131</f>
        <v/>
      </c>
      <c r="CA131" s="5088" t="str">
        <f t="shared" si="85"/>
        <v/>
      </c>
      <c r="CB131" s="5088" t="str">
        <f t="shared" si="86"/>
        <v/>
      </c>
      <c r="CC131" s="5088" t="str">
        <f t="shared" si="87"/>
        <v/>
      </c>
      <c r="CD131" s="5088" t="str">
        <f t="shared" si="88"/>
        <v/>
      </c>
      <c r="CE131" s="5088" t="str">
        <f t="shared" si="89"/>
        <v/>
      </c>
      <c r="CF131" s="5088" t="str">
        <f t="shared" si="90"/>
        <v/>
      </c>
      <c r="CG131" s="5088"/>
      <c r="CJ131" s="5119"/>
      <c r="CK131" s="5119"/>
      <c r="CL131" s="5089">
        <f t="shared" si="91"/>
        <v>0</v>
      </c>
      <c r="CM131" s="5089">
        <f t="shared" si="92"/>
        <v>0</v>
      </c>
      <c r="CN131" s="5089">
        <f t="shared" si="93"/>
        <v>0</v>
      </c>
      <c r="CO131" s="5089">
        <f t="shared" si="94"/>
        <v>0</v>
      </c>
      <c r="CP131" s="5089">
        <f t="shared" si="95"/>
        <v>0</v>
      </c>
      <c r="CQ131" s="5089">
        <f t="shared" si="96"/>
        <v>0</v>
      </c>
    </row>
    <row r="132" spans="1:95" s="5077" customFormat="1" ht="15" customHeight="1">
      <c r="A132" s="6128"/>
      <c r="B132" s="2114" t="s">
        <v>112</v>
      </c>
      <c r="C132" s="5278">
        <f t="shared" si="82"/>
        <v>0</v>
      </c>
      <c r="D132" s="5279">
        <f t="shared" si="83"/>
        <v>0</v>
      </c>
      <c r="E132" s="5280">
        <f t="shared" si="84"/>
        <v>0</v>
      </c>
      <c r="F132" s="4575"/>
      <c r="G132" s="4601"/>
      <c r="H132" s="4575"/>
      <c r="I132" s="4601"/>
      <c r="J132" s="4575"/>
      <c r="K132" s="4601"/>
      <c r="L132" s="4602"/>
      <c r="M132" s="5281"/>
      <c r="N132" s="4575"/>
      <c r="O132" s="5090"/>
      <c r="P132" s="4575"/>
      <c r="Q132" s="5090"/>
      <c r="R132" s="4602"/>
      <c r="S132" s="5090"/>
      <c r="T132" s="4602"/>
      <c r="U132" s="5090"/>
      <c r="V132" s="4575"/>
      <c r="W132" s="4601"/>
      <c r="X132" s="4602"/>
      <c r="Y132" s="4601"/>
      <c r="Z132" s="4602"/>
      <c r="AA132" s="5090"/>
      <c r="AB132" s="4602"/>
      <c r="AC132" s="5090"/>
      <c r="AD132" s="4602"/>
      <c r="AE132" s="5090"/>
      <c r="AF132" s="4602"/>
      <c r="AG132" s="5090"/>
      <c r="AH132" s="4602"/>
      <c r="AI132" s="5090"/>
      <c r="AJ132" s="4602"/>
      <c r="AK132" s="5090"/>
      <c r="AL132" s="4602"/>
      <c r="AM132" s="5281"/>
      <c r="AN132" s="5204"/>
      <c r="AO132" s="4601"/>
      <c r="AP132" s="4576"/>
      <c r="AQ132" s="4576"/>
      <c r="AR132" s="4576"/>
      <c r="AS132" s="5090"/>
      <c r="AU132" s="5077" t="str">
        <f t="shared" si="97"/>
        <v/>
      </c>
      <c r="CA132" s="5088" t="str">
        <f t="shared" si="85"/>
        <v/>
      </c>
      <c r="CB132" s="5088" t="str">
        <f t="shared" si="86"/>
        <v/>
      </c>
      <c r="CC132" s="5088" t="str">
        <f t="shared" si="87"/>
        <v/>
      </c>
      <c r="CD132" s="5088" t="str">
        <f t="shared" si="88"/>
        <v/>
      </c>
      <c r="CE132" s="5088" t="str">
        <f t="shared" si="89"/>
        <v/>
      </c>
      <c r="CF132" s="5088" t="str">
        <f t="shared" si="90"/>
        <v/>
      </c>
      <c r="CG132" s="5088"/>
      <c r="CJ132" s="5119"/>
      <c r="CK132" s="5119"/>
      <c r="CL132" s="5089">
        <f t="shared" si="91"/>
        <v>0</v>
      </c>
      <c r="CM132" s="5089">
        <f t="shared" si="92"/>
        <v>0</v>
      </c>
      <c r="CN132" s="5089">
        <f t="shared" si="93"/>
        <v>0</v>
      </c>
      <c r="CO132" s="5089">
        <f t="shared" si="94"/>
        <v>0</v>
      </c>
      <c r="CP132" s="5089">
        <f t="shared" si="95"/>
        <v>0</v>
      </c>
      <c r="CQ132" s="5089">
        <f t="shared" si="96"/>
        <v>0</v>
      </c>
    </row>
    <row r="133" spans="1:95" s="5077" customFormat="1" ht="15" customHeight="1">
      <c r="A133" s="6128"/>
      <c r="B133" s="2114" t="s">
        <v>4201</v>
      </c>
      <c r="C133" s="5278">
        <f t="shared" si="82"/>
        <v>0</v>
      </c>
      <c r="D133" s="5279">
        <f t="shared" si="83"/>
        <v>0</v>
      </c>
      <c r="E133" s="5280">
        <f t="shared" si="84"/>
        <v>0</v>
      </c>
      <c r="F133" s="4575"/>
      <c r="G133" s="4601"/>
      <c r="H133" s="4575"/>
      <c r="I133" s="4601"/>
      <c r="J133" s="4575"/>
      <c r="K133" s="4601"/>
      <c r="L133" s="4602"/>
      <c r="M133" s="5281"/>
      <c r="N133" s="4575"/>
      <c r="O133" s="5090"/>
      <c r="P133" s="4575"/>
      <c r="Q133" s="5090"/>
      <c r="R133" s="4602"/>
      <c r="S133" s="5090"/>
      <c r="T133" s="4602"/>
      <c r="U133" s="5090"/>
      <c r="V133" s="4575"/>
      <c r="W133" s="4601"/>
      <c r="X133" s="4602"/>
      <c r="Y133" s="4601"/>
      <c r="Z133" s="4602"/>
      <c r="AA133" s="5090"/>
      <c r="AB133" s="4602"/>
      <c r="AC133" s="5090"/>
      <c r="AD133" s="4602"/>
      <c r="AE133" s="5090"/>
      <c r="AF133" s="4602"/>
      <c r="AG133" s="5090"/>
      <c r="AH133" s="4602"/>
      <c r="AI133" s="5090"/>
      <c r="AJ133" s="4602"/>
      <c r="AK133" s="5090"/>
      <c r="AL133" s="4602"/>
      <c r="AM133" s="5281"/>
      <c r="AN133" s="5204"/>
      <c r="AO133" s="4601"/>
      <c r="AP133" s="4576"/>
      <c r="AQ133" s="4576"/>
      <c r="AR133" s="4576"/>
      <c r="AS133" s="5090"/>
      <c r="AU133" s="5077" t="str">
        <f t="shared" si="97"/>
        <v/>
      </c>
      <c r="CA133" s="5088" t="str">
        <f t="shared" si="85"/>
        <v/>
      </c>
      <c r="CB133" s="5088" t="str">
        <f t="shared" si="86"/>
        <v/>
      </c>
      <c r="CC133" s="5088" t="str">
        <f t="shared" si="87"/>
        <v/>
      </c>
      <c r="CD133" s="5088" t="str">
        <f t="shared" si="88"/>
        <v/>
      </c>
      <c r="CE133" s="5088" t="str">
        <f t="shared" si="89"/>
        <v/>
      </c>
      <c r="CF133" s="5088" t="str">
        <f t="shared" si="90"/>
        <v/>
      </c>
      <c r="CG133" s="5088"/>
      <c r="CJ133" s="5119"/>
      <c r="CK133" s="5119"/>
      <c r="CL133" s="5089">
        <f t="shared" si="91"/>
        <v>0</v>
      </c>
      <c r="CM133" s="5089">
        <f t="shared" si="92"/>
        <v>0</v>
      </c>
      <c r="CN133" s="5089">
        <f t="shared" si="93"/>
        <v>0</v>
      </c>
      <c r="CO133" s="5089">
        <f t="shared" si="94"/>
        <v>0</v>
      </c>
      <c r="CP133" s="5089">
        <f t="shared" si="95"/>
        <v>0</v>
      </c>
      <c r="CQ133" s="5089">
        <f t="shared" si="96"/>
        <v>0</v>
      </c>
    </row>
    <row r="134" spans="1:95" s="5077" customFormat="1" ht="15" customHeight="1">
      <c r="A134" s="6128"/>
      <c r="B134" s="2114" t="s">
        <v>1066</v>
      </c>
      <c r="C134" s="5278">
        <f t="shared" si="82"/>
        <v>0</v>
      </c>
      <c r="D134" s="5279">
        <f t="shared" si="83"/>
        <v>0</v>
      </c>
      <c r="E134" s="5280">
        <f t="shared" si="84"/>
        <v>0</v>
      </c>
      <c r="F134" s="4575"/>
      <c r="G134" s="4601"/>
      <c r="H134" s="4575"/>
      <c r="I134" s="4601"/>
      <c r="J134" s="4575"/>
      <c r="K134" s="4601"/>
      <c r="L134" s="4602"/>
      <c r="M134" s="5281"/>
      <c r="N134" s="4575"/>
      <c r="O134" s="5090"/>
      <c r="P134" s="4575"/>
      <c r="Q134" s="5090"/>
      <c r="R134" s="4602"/>
      <c r="S134" s="5090"/>
      <c r="T134" s="4602"/>
      <c r="U134" s="5090"/>
      <c r="V134" s="4575"/>
      <c r="W134" s="4601"/>
      <c r="X134" s="4602"/>
      <c r="Y134" s="4601"/>
      <c r="Z134" s="4602"/>
      <c r="AA134" s="5090"/>
      <c r="AB134" s="4602"/>
      <c r="AC134" s="5090"/>
      <c r="AD134" s="4602"/>
      <c r="AE134" s="5090"/>
      <c r="AF134" s="4602"/>
      <c r="AG134" s="5090"/>
      <c r="AH134" s="4602"/>
      <c r="AI134" s="5090"/>
      <c r="AJ134" s="4602"/>
      <c r="AK134" s="5090"/>
      <c r="AL134" s="4602"/>
      <c r="AM134" s="5281"/>
      <c r="AN134" s="5204"/>
      <c r="AO134" s="4601"/>
      <c r="AP134" s="4576"/>
      <c r="AQ134" s="4576"/>
      <c r="AR134" s="4576"/>
      <c r="AS134" s="5090"/>
      <c r="AU134" s="5077" t="str">
        <f t="shared" si="97"/>
        <v/>
      </c>
      <c r="CA134" s="5088" t="str">
        <f t="shared" si="85"/>
        <v/>
      </c>
      <c r="CB134" s="5088" t="str">
        <f t="shared" si="86"/>
        <v/>
      </c>
      <c r="CC134" s="5088" t="str">
        <f t="shared" si="87"/>
        <v/>
      </c>
      <c r="CD134" s="5088" t="str">
        <f t="shared" si="88"/>
        <v/>
      </c>
      <c r="CE134" s="5088" t="str">
        <f t="shared" si="89"/>
        <v/>
      </c>
      <c r="CF134" s="5088" t="str">
        <f t="shared" si="90"/>
        <v/>
      </c>
      <c r="CG134" s="5088"/>
      <c r="CJ134" s="5119"/>
      <c r="CK134" s="5119"/>
      <c r="CL134" s="5089">
        <f t="shared" si="91"/>
        <v>0</v>
      </c>
      <c r="CM134" s="5089">
        <f t="shared" si="92"/>
        <v>0</v>
      </c>
      <c r="CN134" s="5089">
        <f t="shared" si="93"/>
        <v>0</v>
      </c>
      <c r="CO134" s="5089">
        <f t="shared" si="94"/>
        <v>0</v>
      </c>
      <c r="CP134" s="5089">
        <f t="shared" si="95"/>
        <v>0</v>
      </c>
      <c r="CQ134" s="5089">
        <f t="shared" si="96"/>
        <v>0</v>
      </c>
    </row>
    <row r="135" spans="1:95" s="5077" customFormat="1" ht="15" customHeight="1">
      <c r="A135" s="6128"/>
      <c r="B135" s="2114" t="s">
        <v>1106</v>
      </c>
      <c r="C135" s="5278">
        <f t="shared" si="82"/>
        <v>0</v>
      </c>
      <c r="D135" s="5279">
        <f t="shared" si="83"/>
        <v>0</v>
      </c>
      <c r="E135" s="5280">
        <f t="shared" si="84"/>
        <v>0</v>
      </c>
      <c r="F135" s="4575"/>
      <c r="G135" s="4601"/>
      <c r="H135" s="4575"/>
      <c r="I135" s="4601"/>
      <c r="J135" s="4575"/>
      <c r="K135" s="4601"/>
      <c r="L135" s="4602"/>
      <c r="M135" s="5281"/>
      <c r="N135" s="4575"/>
      <c r="O135" s="5090"/>
      <c r="P135" s="4575"/>
      <c r="Q135" s="5090"/>
      <c r="R135" s="4602"/>
      <c r="S135" s="5090"/>
      <c r="T135" s="4602"/>
      <c r="U135" s="5090"/>
      <c r="V135" s="4575"/>
      <c r="W135" s="4601"/>
      <c r="X135" s="4602"/>
      <c r="Y135" s="4601"/>
      <c r="Z135" s="4602"/>
      <c r="AA135" s="5090"/>
      <c r="AB135" s="4602"/>
      <c r="AC135" s="5090"/>
      <c r="AD135" s="4602"/>
      <c r="AE135" s="5090"/>
      <c r="AF135" s="4602"/>
      <c r="AG135" s="5090"/>
      <c r="AH135" s="4602"/>
      <c r="AI135" s="5090"/>
      <c r="AJ135" s="4602"/>
      <c r="AK135" s="5090"/>
      <c r="AL135" s="4602"/>
      <c r="AM135" s="5281"/>
      <c r="AN135" s="5204"/>
      <c r="AO135" s="4601"/>
      <c r="AP135" s="4576"/>
      <c r="AQ135" s="4576"/>
      <c r="AR135" s="4576"/>
      <c r="AS135" s="5090"/>
      <c r="AU135" s="5077" t="str">
        <f t="shared" si="97"/>
        <v/>
      </c>
      <c r="CA135" s="5088" t="str">
        <f t="shared" si="85"/>
        <v/>
      </c>
      <c r="CB135" s="5088" t="str">
        <f t="shared" si="86"/>
        <v/>
      </c>
      <c r="CC135" s="5088" t="str">
        <f t="shared" si="87"/>
        <v/>
      </c>
      <c r="CD135" s="5088" t="str">
        <f t="shared" si="88"/>
        <v/>
      </c>
      <c r="CE135" s="5088" t="str">
        <f t="shared" si="89"/>
        <v/>
      </c>
      <c r="CF135" s="5088" t="str">
        <f t="shared" si="90"/>
        <v/>
      </c>
      <c r="CG135" s="5088"/>
      <c r="CJ135" s="5119"/>
      <c r="CK135" s="5119"/>
      <c r="CL135" s="5089">
        <f t="shared" si="91"/>
        <v>0</v>
      </c>
      <c r="CM135" s="5089">
        <f t="shared" si="92"/>
        <v>0</v>
      </c>
      <c r="CN135" s="5089">
        <f t="shared" si="93"/>
        <v>0</v>
      </c>
      <c r="CO135" s="5089">
        <f t="shared" si="94"/>
        <v>0</v>
      </c>
      <c r="CP135" s="5089">
        <f t="shared" si="95"/>
        <v>0</v>
      </c>
      <c r="CQ135" s="5089">
        <f t="shared" si="96"/>
        <v>0</v>
      </c>
    </row>
    <row r="136" spans="1:95" s="5077" customFormat="1" ht="15" customHeight="1">
      <c r="A136" s="6128"/>
      <c r="B136" s="2114" t="s">
        <v>1068</v>
      </c>
      <c r="C136" s="5278">
        <f t="shared" si="82"/>
        <v>0</v>
      </c>
      <c r="D136" s="5279">
        <f t="shared" si="83"/>
        <v>0</v>
      </c>
      <c r="E136" s="5280">
        <f t="shared" si="84"/>
        <v>0</v>
      </c>
      <c r="F136" s="4575"/>
      <c r="G136" s="4601"/>
      <c r="H136" s="4575"/>
      <c r="I136" s="4601"/>
      <c r="J136" s="4575"/>
      <c r="K136" s="4601"/>
      <c r="L136" s="4602"/>
      <c r="M136" s="5281"/>
      <c r="N136" s="4575"/>
      <c r="O136" s="5090"/>
      <c r="P136" s="4575"/>
      <c r="Q136" s="5090"/>
      <c r="R136" s="4602"/>
      <c r="S136" s="5090"/>
      <c r="T136" s="4602"/>
      <c r="U136" s="5090"/>
      <c r="V136" s="4575"/>
      <c r="W136" s="4601"/>
      <c r="X136" s="4602"/>
      <c r="Y136" s="4601"/>
      <c r="Z136" s="4602"/>
      <c r="AA136" s="5090"/>
      <c r="AB136" s="4602"/>
      <c r="AC136" s="5090"/>
      <c r="AD136" s="4602"/>
      <c r="AE136" s="5090"/>
      <c r="AF136" s="4602"/>
      <c r="AG136" s="5090"/>
      <c r="AH136" s="4602"/>
      <c r="AI136" s="5090"/>
      <c r="AJ136" s="4602"/>
      <c r="AK136" s="5090"/>
      <c r="AL136" s="4602"/>
      <c r="AM136" s="5281"/>
      <c r="AN136" s="5204"/>
      <c r="AO136" s="4601"/>
      <c r="AP136" s="4576"/>
      <c r="AQ136" s="4576"/>
      <c r="AR136" s="4576"/>
      <c r="AS136" s="5090"/>
      <c r="AU136" s="5077" t="str">
        <f t="shared" si="97"/>
        <v/>
      </c>
      <c r="CA136" s="5088" t="str">
        <f t="shared" si="85"/>
        <v/>
      </c>
      <c r="CB136" s="5088" t="str">
        <f t="shared" si="86"/>
        <v/>
      </c>
      <c r="CC136" s="5088" t="str">
        <f t="shared" si="87"/>
        <v/>
      </c>
      <c r="CD136" s="5088" t="str">
        <f t="shared" si="88"/>
        <v/>
      </c>
      <c r="CE136" s="5088" t="str">
        <f t="shared" si="89"/>
        <v/>
      </c>
      <c r="CF136" s="5088" t="str">
        <f t="shared" si="90"/>
        <v/>
      </c>
      <c r="CG136" s="5088"/>
      <c r="CJ136" s="5119"/>
      <c r="CK136" s="5119"/>
      <c r="CL136" s="5089">
        <f t="shared" si="91"/>
        <v>0</v>
      </c>
      <c r="CM136" s="5089">
        <f t="shared" si="92"/>
        <v>0</v>
      </c>
      <c r="CN136" s="5089">
        <f t="shared" si="93"/>
        <v>0</v>
      </c>
      <c r="CO136" s="5089">
        <f t="shared" si="94"/>
        <v>0</v>
      </c>
      <c r="CP136" s="5089">
        <f t="shared" si="95"/>
        <v>0</v>
      </c>
      <c r="CQ136" s="5089">
        <f t="shared" si="96"/>
        <v>0</v>
      </c>
    </row>
    <row r="137" spans="1:95" s="5077" customFormat="1" ht="21">
      <c r="A137" s="6128"/>
      <c r="B137" s="2114" t="s">
        <v>4202</v>
      </c>
      <c r="C137" s="5278">
        <f t="shared" si="82"/>
        <v>0</v>
      </c>
      <c r="D137" s="5279">
        <f t="shared" si="83"/>
        <v>0</v>
      </c>
      <c r="E137" s="5280">
        <f t="shared" si="84"/>
        <v>0</v>
      </c>
      <c r="F137" s="4575"/>
      <c r="G137" s="4601"/>
      <c r="H137" s="4575"/>
      <c r="I137" s="4601"/>
      <c r="J137" s="4575"/>
      <c r="K137" s="4601"/>
      <c r="L137" s="4602"/>
      <c r="M137" s="5281"/>
      <c r="N137" s="4575"/>
      <c r="O137" s="5090"/>
      <c r="P137" s="4575"/>
      <c r="Q137" s="5090"/>
      <c r="R137" s="4602"/>
      <c r="S137" s="5090"/>
      <c r="T137" s="4602"/>
      <c r="U137" s="5090"/>
      <c r="V137" s="4575"/>
      <c r="W137" s="4601"/>
      <c r="X137" s="4602"/>
      <c r="Y137" s="4601"/>
      <c r="Z137" s="4602"/>
      <c r="AA137" s="5090"/>
      <c r="AB137" s="4602"/>
      <c r="AC137" s="5090"/>
      <c r="AD137" s="4602"/>
      <c r="AE137" s="5090"/>
      <c r="AF137" s="4602"/>
      <c r="AG137" s="5090"/>
      <c r="AH137" s="4602"/>
      <c r="AI137" s="5090"/>
      <c r="AJ137" s="4602"/>
      <c r="AK137" s="5090"/>
      <c r="AL137" s="4602"/>
      <c r="AM137" s="5281"/>
      <c r="AN137" s="5204"/>
      <c r="AO137" s="4601"/>
      <c r="AP137" s="4576"/>
      <c r="AQ137" s="4576"/>
      <c r="AR137" s="4576"/>
      <c r="AS137" s="5090"/>
      <c r="AU137" s="5077" t="str">
        <f t="shared" si="97"/>
        <v/>
      </c>
      <c r="CA137" s="5088" t="str">
        <f t="shared" si="85"/>
        <v/>
      </c>
      <c r="CB137" s="5088" t="str">
        <f t="shared" si="86"/>
        <v/>
      </c>
      <c r="CC137" s="5088" t="str">
        <f t="shared" si="87"/>
        <v/>
      </c>
      <c r="CD137" s="5088" t="str">
        <f t="shared" si="88"/>
        <v/>
      </c>
      <c r="CE137" s="5088" t="str">
        <f t="shared" si="89"/>
        <v/>
      </c>
      <c r="CF137" s="5088" t="str">
        <f t="shared" si="90"/>
        <v/>
      </c>
      <c r="CG137" s="5088"/>
      <c r="CJ137" s="5119"/>
      <c r="CK137" s="5119"/>
      <c r="CL137" s="5089">
        <f t="shared" si="91"/>
        <v>0</v>
      </c>
      <c r="CM137" s="5089">
        <f t="shared" si="92"/>
        <v>0</v>
      </c>
      <c r="CN137" s="5089">
        <f t="shared" si="93"/>
        <v>0</v>
      </c>
      <c r="CO137" s="5089">
        <f t="shared" si="94"/>
        <v>0</v>
      </c>
      <c r="CP137" s="5089">
        <f t="shared" si="95"/>
        <v>0</v>
      </c>
      <c r="CQ137" s="5089">
        <f t="shared" si="96"/>
        <v>0</v>
      </c>
    </row>
    <row r="138" spans="1:95" s="5077" customFormat="1" ht="15" customHeight="1">
      <c r="A138" s="6128"/>
      <c r="B138" s="2114" t="s">
        <v>1070</v>
      </c>
      <c r="C138" s="5278">
        <f t="shared" si="82"/>
        <v>0</v>
      </c>
      <c r="D138" s="5279">
        <f t="shared" si="83"/>
        <v>0</v>
      </c>
      <c r="E138" s="5280">
        <f t="shared" si="84"/>
        <v>0</v>
      </c>
      <c r="F138" s="4575"/>
      <c r="G138" s="4601"/>
      <c r="H138" s="4575"/>
      <c r="I138" s="4601"/>
      <c r="J138" s="4575"/>
      <c r="K138" s="4601"/>
      <c r="L138" s="4602"/>
      <c r="M138" s="5281"/>
      <c r="N138" s="4575"/>
      <c r="O138" s="5090"/>
      <c r="P138" s="4575"/>
      <c r="Q138" s="5090"/>
      <c r="R138" s="4602"/>
      <c r="S138" s="5090"/>
      <c r="T138" s="4602"/>
      <c r="U138" s="5090"/>
      <c r="V138" s="4575"/>
      <c r="W138" s="4601"/>
      <c r="X138" s="4602"/>
      <c r="Y138" s="4601"/>
      <c r="Z138" s="4602"/>
      <c r="AA138" s="5090"/>
      <c r="AB138" s="4602"/>
      <c r="AC138" s="5090"/>
      <c r="AD138" s="4602"/>
      <c r="AE138" s="5090"/>
      <c r="AF138" s="4602"/>
      <c r="AG138" s="5090"/>
      <c r="AH138" s="4602"/>
      <c r="AI138" s="5090"/>
      <c r="AJ138" s="4602"/>
      <c r="AK138" s="5090"/>
      <c r="AL138" s="4602"/>
      <c r="AM138" s="5281"/>
      <c r="AN138" s="5204"/>
      <c r="AO138" s="4601"/>
      <c r="AP138" s="4576"/>
      <c r="AQ138" s="4576"/>
      <c r="AR138" s="4576"/>
      <c r="AS138" s="5090"/>
      <c r="AU138" s="5077" t="str">
        <f t="shared" si="97"/>
        <v/>
      </c>
      <c r="CA138" s="5088" t="str">
        <f t="shared" si="85"/>
        <v/>
      </c>
      <c r="CB138" s="5088" t="str">
        <f t="shared" si="86"/>
        <v/>
      </c>
      <c r="CC138" s="5088" t="str">
        <f t="shared" si="87"/>
        <v/>
      </c>
      <c r="CD138" s="5088" t="str">
        <f t="shared" si="88"/>
        <v/>
      </c>
      <c r="CE138" s="5088" t="str">
        <f t="shared" si="89"/>
        <v/>
      </c>
      <c r="CF138" s="5088" t="str">
        <f t="shared" si="90"/>
        <v/>
      </c>
      <c r="CG138" s="5088"/>
      <c r="CJ138" s="5119"/>
      <c r="CK138" s="5119"/>
      <c r="CL138" s="5089">
        <f t="shared" si="91"/>
        <v>0</v>
      </c>
      <c r="CM138" s="5089">
        <f t="shared" si="92"/>
        <v>0</v>
      </c>
      <c r="CN138" s="5089">
        <f t="shared" si="93"/>
        <v>0</v>
      </c>
      <c r="CO138" s="5089">
        <f t="shared" si="94"/>
        <v>0</v>
      </c>
      <c r="CP138" s="5089">
        <f t="shared" si="95"/>
        <v>0</v>
      </c>
      <c r="CQ138" s="5089">
        <f t="shared" si="96"/>
        <v>0</v>
      </c>
    </row>
    <row r="139" spans="1:95" s="5077" customFormat="1" ht="21">
      <c r="A139" s="6128"/>
      <c r="B139" s="2303" t="s">
        <v>1071</v>
      </c>
      <c r="C139" s="5282">
        <f t="shared" si="82"/>
        <v>0</v>
      </c>
      <c r="D139" s="5283">
        <f t="shared" si="83"/>
        <v>0</v>
      </c>
      <c r="E139" s="5284">
        <f t="shared" si="84"/>
        <v>0</v>
      </c>
      <c r="F139" s="4580"/>
      <c r="G139" s="4607"/>
      <c r="H139" s="4580"/>
      <c r="I139" s="4607"/>
      <c r="J139" s="4580"/>
      <c r="K139" s="4607"/>
      <c r="L139" s="4608"/>
      <c r="M139" s="5285"/>
      <c r="N139" s="4580"/>
      <c r="O139" s="5174"/>
      <c r="P139" s="4580"/>
      <c r="Q139" s="5174"/>
      <c r="R139" s="4608"/>
      <c r="S139" s="5174"/>
      <c r="T139" s="4608"/>
      <c r="U139" s="5174"/>
      <c r="V139" s="4580"/>
      <c r="W139" s="4607"/>
      <c r="X139" s="4608"/>
      <c r="Y139" s="4607"/>
      <c r="Z139" s="4608"/>
      <c r="AA139" s="5174"/>
      <c r="AB139" s="4608"/>
      <c r="AC139" s="5174"/>
      <c r="AD139" s="4608"/>
      <c r="AE139" s="5174"/>
      <c r="AF139" s="4608"/>
      <c r="AG139" s="5174"/>
      <c r="AH139" s="4608"/>
      <c r="AI139" s="5174"/>
      <c r="AJ139" s="4608"/>
      <c r="AK139" s="5174"/>
      <c r="AL139" s="4608"/>
      <c r="AM139" s="5285"/>
      <c r="AN139" s="5209"/>
      <c r="AO139" s="4607"/>
      <c r="AP139" s="4581"/>
      <c r="AQ139" s="4581"/>
      <c r="AR139" s="4581"/>
      <c r="AS139" s="5174"/>
      <c r="AU139" s="5077" t="str">
        <f t="shared" si="97"/>
        <v/>
      </c>
      <c r="CA139" s="5088" t="str">
        <f t="shared" si="85"/>
        <v/>
      </c>
      <c r="CB139" s="5088" t="str">
        <f t="shared" si="86"/>
        <v/>
      </c>
      <c r="CC139" s="5088" t="str">
        <f t="shared" si="87"/>
        <v/>
      </c>
      <c r="CD139" s="5088" t="str">
        <f t="shared" si="88"/>
        <v/>
      </c>
      <c r="CE139" s="5088" t="str">
        <f t="shared" si="89"/>
        <v/>
      </c>
      <c r="CF139" s="5088" t="str">
        <f t="shared" si="90"/>
        <v/>
      </c>
      <c r="CG139" s="5088"/>
      <c r="CJ139" s="5119"/>
      <c r="CK139" s="5119"/>
      <c r="CL139" s="5089">
        <f t="shared" si="91"/>
        <v>0</v>
      </c>
      <c r="CM139" s="5089">
        <f t="shared" si="92"/>
        <v>0</v>
      </c>
      <c r="CN139" s="5089">
        <f t="shared" si="93"/>
        <v>0</v>
      </c>
      <c r="CO139" s="5089">
        <f t="shared" si="94"/>
        <v>0</v>
      </c>
      <c r="CP139" s="5089">
        <f t="shared" si="95"/>
        <v>0</v>
      </c>
      <c r="CQ139" s="5089">
        <f t="shared" si="96"/>
        <v>0</v>
      </c>
    </row>
    <row r="140" spans="1:95" s="5077" customFormat="1" ht="15" customHeight="1">
      <c r="A140" s="6129"/>
      <c r="B140" s="1963" t="s">
        <v>91</v>
      </c>
      <c r="C140" s="5286">
        <f t="shared" si="82"/>
        <v>0</v>
      </c>
      <c r="D140" s="5287">
        <f t="shared" ref="D140:AS140" si="98">SUM(D130:D139)</f>
        <v>0</v>
      </c>
      <c r="E140" s="5288">
        <f t="shared" si="98"/>
        <v>0</v>
      </c>
      <c r="F140" s="5222">
        <f t="shared" si="98"/>
        <v>0</v>
      </c>
      <c r="G140" s="5289">
        <f t="shared" si="98"/>
        <v>0</v>
      </c>
      <c r="H140" s="5222">
        <f t="shared" si="98"/>
        <v>0</v>
      </c>
      <c r="I140" s="5289">
        <f t="shared" si="98"/>
        <v>0</v>
      </c>
      <c r="J140" s="5222">
        <f t="shared" si="98"/>
        <v>0</v>
      </c>
      <c r="K140" s="5289">
        <f t="shared" si="98"/>
        <v>0</v>
      </c>
      <c r="L140" s="5223">
        <f t="shared" si="98"/>
        <v>0</v>
      </c>
      <c r="M140" s="5290">
        <f t="shared" si="98"/>
        <v>0</v>
      </c>
      <c r="N140" s="5222">
        <f t="shared" si="98"/>
        <v>0</v>
      </c>
      <c r="O140" s="5291">
        <f t="shared" si="98"/>
        <v>0</v>
      </c>
      <c r="P140" s="5222">
        <f t="shared" si="98"/>
        <v>0</v>
      </c>
      <c r="Q140" s="5291">
        <f t="shared" si="98"/>
        <v>0</v>
      </c>
      <c r="R140" s="5292">
        <f t="shared" si="98"/>
        <v>0</v>
      </c>
      <c r="S140" s="5291">
        <f t="shared" si="98"/>
        <v>0</v>
      </c>
      <c r="T140" s="5222">
        <f t="shared" si="98"/>
        <v>0</v>
      </c>
      <c r="U140" s="5289">
        <f t="shared" si="98"/>
        <v>0</v>
      </c>
      <c r="V140" s="5293">
        <f t="shared" si="98"/>
        <v>0</v>
      </c>
      <c r="W140" s="5291">
        <f t="shared" si="98"/>
        <v>0</v>
      </c>
      <c r="X140" s="5223">
        <f t="shared" si="98"/>
        <v>0</v>
      </c>
      <c r="Y140" s="5289">
        <f t="shared" si="98"/>
        <v>0</v>
      </c>
      <c r="Z140" s="5293">
        <f t="shared" si="98"/>
        <v>0</v>
      </c>
      <c r="AA140" s="5289">
        <f t="shared" si="98"/>
        <v>0</v>
      </c>
      <c r="AB140" s="5293">
        <f t="shared" si="98"/>
        <v>0</v>
      </c>
      <c r="AC140" s="5289">
        <f t="shared" si="98"/>
        <v>0</v>
      </c>
      <c r="AD140" s="5293">
        <f t="shared" si="98"/>
        <v>0</v>
      </c>
      <c r="AE140" s="5289">
        <f t="shared" si="98"/>
        <v>0</v>
      </c>
      <c r="AF140" s="5293">
        <f t="shared" si="98"/>
        <v>0</v>
      </c>
      <c r="AG140" s="5289">
        <f t="shared" si="98"/>
        <v>0</v>
      </c>
      <c r="AH140" s="5293">
        <f t="shared" si="98"/>
        <v>0</v>
      </c>
      <c r="AI140" s="5289">
        <f t="shared" si="98"/>
        <v>0</v>
      </c>
      <c r="AJ140" s="5293">
        <f t="shared" si="98"/>
        <v>0</v>
      </c>
      <c r="AK140" s="5289">
        <f t="shared" si="98"/>
        <v>0</v>
      </c>
      <c r="AL140" s="5293">
        <f t="shared" si="98"/>
        <v>0</v>
      </c>
      <c r="AM140" s="5292">
        <f t="shared" si="98"/>
        <v>0</v>
      </c>
      <c r="AN140" s="5294">
        <f t="shared" si="98"/>
        <v>0</v>
      </c>
      <c r="AO140" s="5289">
        <f t="shared" ref="AO140:AO151" si="99">SUM(AO130:AO139)</f>
        <v>0</v>
      </c>
      <c r="AP140" s="5293">
        <f t="shared" si="98"/>
        <v>0</v>
      </c>
      <c r="AQ140" s="5293">
        <f t="shared" si="98"/>
        <v>0</v>
      </c>
      <c r="AR140" s="5293">
        <f t="shared" si="98"/>
        <v>0</v>
      </c>
      <c r="AS140" s="5291">
        <f t="shared" si="98"/>
        <v>0</v>
      </c>
      <c r="CA140" s="5077" t="str">
        <f>IF(AND($C140&gt;0,AN140="")," * No olvide digitar la variable "&amp;AN$127&amp;". Digite Cero si no tiene",IF(AN140&gt;$C140," * La variable "&amp;AN$127&amp;" no puede ser mayor al Total.",""))</f>
        <v/>
      </c>
    </row>
    <row r="141" spans="1:95" s="5077" customFormat="1" ht="15" customHeight="1">
      <c r="A141" s="6128" t="s">
        <v>4203</v>
      </c>
      <c r="B141" s="3654" t="s">
        <v>78</v>
      </c>
      <c r="C141" s="5295">
        <f t="shared" si="82"/>
        <v>0</v>
      </c>
      <c r="D141" s="5296">
        <f t="shared" ref="D141:D150" si="100">SUM(F141+H141+J141+L141+N141+P141+R141+T141+V141+X141+Z141+AB141+AD141+AF141+AH141+AJ141+AL141)</f>
        <v>0</v>
      </c>
      <c r="E141" s="5297">
        <f t="shared" ref="E141:E150" si="101">SUM(G141+I141+K141+M141+O141+Q141+S141+U141+W141+Y141+AA141+AC141+AE141+AG141+AI141+AK141+AM141)</f>
        <v>0</v>
      </c>
      <c r="F141" s="5166"/>
      <c r="G141" s="5213"/>
      <c r="H141" s="5166"/>
      <c r="I141" s="5213"/>
      <c r="J141" s="5166"/>
      <c r="K141" s="5213"/>
      <c r="L141" s="5298"/>
      <c r="M141" s="5299"/>
      <c r="N141" s="5166"/>
      <c r="O141" s="5096"/>
      <c r="P141" s="5166"/>
      <c r="Q141" s="5096"/>
      <c r="R141" s="5298"/>
      <c r="S141" s="5096"/>
      <c r="T141" s="5298"/>
      <c r="U141" s="5096"/>
      <c r="V141" s="5166"/>
      <c r="W141" s="5213"/>
      <c r="X141" s="5298"/>
      <c r="Y141" s="5213"/>
      <c r="Z141" s="5298"/>
      <c r="AA141" s="5096"/>
      <c r="AB141" s="5298"/>
      <c r="AC141" s="5096"/>
      <c r="AD141" s="5298"/>
      <c r="AE141" s="5096"/>
      <c r="AF141" s="5298"/>
      <c r="AG141" s="5096"/>
      <c r="AH141" s="5298"/>
      <c r="AI141" s="5096"/>
      <c r="AJ141" s="5298"/>
      <c r="AK141" s="5096"/>
      <c r="AL141" s="5298"/>
      <c r="AM141" s="5299"/>
      <c r="AN141" s="5200"/>
      <c r="AO141" s="5213"/>
      <c r="AP141" s="5167"/>
      <c r="AQ141" s="5167"/>
      <c r="AR141" s="5167"/>
      <c r="AS141" s="5096"/>
      <c r="AU141" s="5077" t="str">
        <f t="shared" si="97"/>
        <v/>
      </c>
      <c r="CA141" s="5088" t="str">
        <f t="shared" ref="CA141:CA150" si="102">IF(AND($C141&gt;0,AN141="")," * No olvide digitar la variable "&amp;AN$127&amp;". Digite Cero si no tiene",IF(AN141&gt;$C141," * La variable "&amp;AN$127&amp;" no puede ser mayor al Total Ambos Sexos.",""))</f>
        <v/>
      </c>
      <c r="CB141" s="5088" t="str">
        <f t="shared" si="86"/>
        <v/>
      </c>
      <c r="CC141" s="5088" t="str">
        <f t="shared" si="87"/>
        <v/>
      </c>
      <c r="CD141" s="5088" t="str">
        <f t="shared" si="88"/>
        <v/>
      </c>
      <c r="CE141" s="5088" t="str">
        <f t="shared" si="89"/>
        <v/>
      </c>
      <c r="CF141" s="5088" t="str">
        <f t="shared" si="90"/>
        <v/>
      </c>
      <c r="CG141" s="5088"/>
      <c r="CJ141" s="5119"/>
      <c r="CK141" s="5119"/>
      <c r="CL141" s="5089">
        <f t="shared" si="91"/>
        <v>0</v>
      </c>
      <c r="CM141" s="5089">
        <f t="shared" si="92"/>
        <v>0</v>
      </c>
      <c r="CN141" s="5089">
        <f t="shared" si="93"/>
        <v>0</v>
      </c>
      <c r="CO141" s="5089">
        <f t="shared" si="94"/>
        <v>0</v>
      </c>
      <c r="CP141" s="5089">
        <f t="shared" si="95"/>
        <v>0</v>
      </c>
      <c r="CQ141" s="5089">
        <f t="shared" si="96"/>
        <v>0</v>
      </c>
    </row>
    <row r="142" spans="1:95" s="5077" customFormat="1" ht="15" customHeight="1">
      <c r="A142" s="6128"/>
      <c r="B142" s="2114" t="s">
        <v>1065</v>
      </c>
      <c r="C142" s="5278">
        <f t="shared" si="82"/>
        <v>0</v>
      </c>
      <c r="D142" s="5279">
        <f t="shared" si="100"/>
        <v>0</v>
      </c>
      <c r="E142" s="5280">
        <f t="shared" si="101"/>
        <v>0</v>
      </c>
      <c r="F142" s="4575"/>
      <c r="G142" s="4601"/>
      <c r="H142" s="4575"/>
      <c r="I142" s="4601"/>
      <c r="J142" s="4575"/>
      <c r="K142" s="4601"/>
      <c r="L142" s="4602"/>
      <c r="M142" s="5281"/>
      <c r="N142" s="4575"/>
      <c r="O142" s="5090"/>
      <c r="P142" s="4575"/>
      <c r="Q142" s="5090"/>
      <c r="R142" s="4602"/>
      <c r="S142" s="5090"/>
      <c r="T142" s="4602"/>
      <c r="U142" s="5090"/>
      <c r="V142" s="4575"/>
      <c r="W142" s="4601"/>
      <c r="X142" s="4602"/>
      <c r="Y142" s="4601"/>
      <c r="Z142" s="4602"/>
      <c r="AA142" s="5090"/>
      <c r="AB142" s="4602"/>
      <c r="AC142" s="5090"/>
      <c r="AD142" s="4602"/>
      <c r="AE142" s="5090"/>
      <c r="AF142" s="4602"/>
      <c r="AG142" s="5090"/>
      <c r="AH142" s="4602"/>
      <c r="AI142" s="5090"/>
      <c r="AJ142" s="4602"/>
      <c r="AK142" s="5090"/>
      <c r="AL142" s="4602"/>
      <c r="AM142" s="5281"/>
      <c r="AN142" s="5204"/>
      <c r="AO142" s="4601"/>
      <c r="AP142" s="4576"/>
      <c r="AQ142" s="4576"/>
      <c r="AR142" s="4576"/>
      <c r="AS142" s="5090"/>
      <c r="AU142" s="5077" t="str">
        <f t="shared" si="97"/>
        <v/>
      </c>
      <c r="CA142" s="5088" t="str">
        <f t="shared" si="102"/>
        <v/>
      </c>
      <c r="CB142" s="5088" t="str">
        <f t="shared" si="86"/>
        <v/>
      </c>
      <c r="CC142" s="5088" t="str">
        <f t="shared" si="87"/>
        <v/>
      </c>
      <c r="CD142" s="5088" t="str">
        <f t="shared" si="88"/>
        <v/>
      </c>
      <c r="CE142" s="5088" t="str">
        <f t="shared" si="89"/>
        <v/>
      </c>
      <c r="CF142" s="5088" t="str">
        <f t="shared" si="90"/>
        <v/>
      </c>
      <c r="CG142" s="5088"/>
      <c r="CJ142" s="5119"/>
      <c r="CK142" s="5119"/>
      <c r="CL142" s="5089">
        <f t="shared" si="91"/>
        <v>0</v>
      </c>
      <c r="CM142" s="5089">
        <f t="shared" si="92"/>
        <v>0</v>
      </c>
      <c r="CN142" s="5089">
        <f t="shared" si="93"/>
        <v>0</v>
      </c>
      <c r="CO142" s="5089">
        <f t="shared" si="94"/>
        <v>0</v>
      </c>
      <c r="CP142" s="5089">
        <f t="shared" si="95"/>
        <v>0</v>
      </c>
      <c r="CQ142" s="5089">
        <f t="shared" si="96"/>
        <v>0</v>
      </c>
    </row>
    <row r="143" spans="1:95" s="5077" customFormat="1" ht="15" customHeight="1">
      <c r="A143" s="6128"/>
      <c r="B143" s="2114" t="s">
        <v>112</v>
      </c>
      <c r="C143" s="5278">
        <f t="shared" si="82"/>
        <v>0</v>
      </c>
      <c r="D143" s="5279">
        <f t="shared" si="100"/>
        <v>0</v>
      </c>
      <c r="E143" s="5280">
        <f t="shared" si="101"/>
        <v>0</v>
      </c>
      <c r="F143" s="4575"/>
      <c r="G143" s="4601"/>
      <c r="H143" s="4575"/>
      <c r="I143" s="4601"/>
      <c r="J143" s="4575"/>
      <c r="K143" s="4601"/>
      <c r="L143" s="4602"/>
      <c r="M143" s="5281"/>
      <c r="N143" s="4575"/>
      <c r="O143" s="5090"/>
      <c r="P143" s="4575"/>
      <c r="Q143" s="5090"/>
      <c r="R143" s="4602"/>
      <c r="S143" s="5090"/>
      <c r="T143" s="4602"/>
      <c r="U143" s="5090"/>
      <c r="V143" s="4575"/>
      <c r="W143" s="4601"/>
      <c r="X143" s="4602"/>
      <c r="Y143" s="4601"/>
      <c r="Z143" s="4602"/>
      <c r="AA143" s="5090"/>
      <c r="AB143" s="4602"/>
      <c r="AC143" s="5090"/>
      <c r="AD143" s="4602"/>
      <c r="AE143" s="5090"/>
      <c r="AF143" s="4602"/>
      <c r="AG143" s="5090"/>
      <c r="AH143" s="4602"/>
      <c r="AI143" s="5090"/>
      <c r="AJ143" s="4602"/>
      <c r="AK143" s="5090"/>
      <c r="AL143" s="4602"/>
      <c r="AM143" s="5281"/>
      <c r="AN143" s="5204"/>
      <c r="AO143" s="4601"/>
      <c r="AP143" s="4576"/>
      <c r="AQ143" s="4576"/>
      <c r="AR143" s="4576"/>
      <c r="AS143" s="5090"/>
      <c r="AU143" s="5077" t="str">
        <f t="shared" si="97"/>
        <v/>
      </c>
      <c r="CA143" s="5088" t="str">
        <f t="shared" si="102"/>
        <v/>
      </c>
      <c r="CB143" s="5088" t="str">
        <f t="shared" si="86"/>
        <v/>
      </c>
      <c r="CC143" s="5088" t="str">
        <f t="shared" si="87"/>
        <v/>
      </c>
      <c r="CD143" s="5088" t="str">
        <f t="shared" si="88"/>
        <v/>
      </c>
      <c r="CE143" s="5088" t="str">
        <f t="shared" si="89"/>
        <v/>
      </c>
      <c r="CF143" s="5088" t="str">
        <f t="shared" si="90"/>
        <v/>
      </c>
      <c r="CG143" s="5088"/>
      <c r="CJ143" s="5119"/>
      <c r="CK143" s="5119"/>
      <c r="CL143" s="5089">
        <f t="shared" si="91"/>
        <v>0</v>
      </c>
      <c r="CM143" s="5089">
        <f t="shared" si="92"/>
        <v>0</v>
      </c>
      <c r="CN143" s="5089">
        <f t="shared" si="93"/>
        <v>0</v>
      </c>
      <c r="CO143" s="5089">
        <f t="shared" si="94"/>
        <v>0</v>
      </c>
      <c r="CP143" s="5089">
        <f t="shared" si="95"/>
        <v>0</v>
      </c>
      <c r="CQ143" s="5089">
        <f t="shared" si="96"/>
        <v>0</v>
      </c>
    </row>
    <row r="144" spans="1:95" s="5077" customFormat="1" ht="15" customHeight="1">
      <c r="A144" s="6128"/>
      <c r="B144" s="2114" t="s">
        <v>4201</v>
      </c>
      <c r="C144" s="5278">
        <f t="shared" si="82"/>
        <v>0</v>
      </c>
      <c r="D144" s="5279">
        <f t="shared" si="100"/>
        <v>0</v>
      </c>
      <c r="E144" s="5280">
        <f t="shared" si="101"/>
        <v>0</v>
      </c>
      <c r="F144" s="4575"/>
      <c r="G144" s="4601"/>
      <c r="H144" s="4575"/>
      <c r="I144" s="4601"/>
      <c r="J144" s="4575"/>
      <c r="K144" s="4601"/>
      <c r="L144" s="4602"/>
      <c r="M144" s="5281"/>
      <c r="N144" s="4575"/>
      <c r="O144" s="5090"/>
      <c r="P144" s="4575"/>
      <c r="Q144" s="5090"/>
      <c r="R144" s="4602"/>
      <c r="S144" s="5090"/>
      <c r="T144" s="4602"/>
      <c r="U144" s="5090"/>
      <c r="V144" s="4575"/>
      <c r="W144" s="4601"/>
      <c r="X144" s="4602"/>
      <c r="Y144" s="4601"/>
      <c r="Z144" s="4602"/>
      <c r="AA144" s="5090"/>
      <c r="AB144" s="4602"/>
      <c r="AC144" s="5090"/>
      <c r="AD144" s="4602"/>
      <c r="AE144" s="5090"/>
      <c r="AF144" s="4602"/>
      <c r="AG144" s="5090"/>
      <c r="AH144" s="4602"/>
      <c r="AI144" s="5090"/>
      <c r="AJ144" s="4602"/>
      <c r="AK144" s="5090"/>
      <c r="AL144" s="4602"/>
      <c r="AM144" s="5281"/>
      <c r="AN144" s="5204"/>
      <c r="AO144" s="4601"/>
      <c r="AP144" s="4576"/>
      <c r="AQ144" s="4576"/>
      <c r="AR144" s="4576"/>
      <c r="AS144" s="5090"/>
      <c r="AU144" s="5077" t="str">
        <f t="shared" si="97"/>
        <v/>
      </c>
      <c r="CA144" s="5088" t="str">
        <f t="shared" si="102"/>
        <v/>
      </c>
      <c r="CB144" s="5088" t="str">
        <f t="shared" si="86"/>
        <v/>
      </c>
      <c r="CC144" s="5088" t="str">
        <f t="shared" si="87"/>
        <v/>
      </c>
      <c r="CD144" s="5088" t="str">
        <f t="shared" si="88"/>
        <v/>
      </c>
      <c r="CE144" s="5088" t="str">
        <f t="shared" si="89"/>
        <v/>
      </c>
      <c r="CF144" s="5088" t="str">
        <f t="shared" si="90"/>
        <v/>
      </c>
      <c r="CG144" s="5088"/>
      <c r="CJ144" s="5119"/>
      <c r="CK144" s="5119"/>
      <c r="CL144" s="5089">
        <f t="shared" si="91"/>
        <v>0</v>
      </c>
      <c r="CM144" s="5089">
        <f t="shared" si="92"/>
        <v>0</v>
      </c>
      <c r="CN144" s="5089">
        <f t="shared" si="93"/>
        <v>0</v>
      </c>
      <c r="CO144" s="5089">
        <f t="shared" si="94"/>
        <v>0</v>
      </c>
      <c r="CP144" s="5089">
        <f t="shared" si="95"/>
        <v>0</v>
      </c>
      <c r="CQ144" s="5089">
        <f t="shared" si="96"/>
        <v>0</v>
      </c>
    </row>
    <row r="145" spans="1:95" s="5077" customFormat="1" ht="15" customHeight="1">
      <c r="A145" s="6128"/>
      <c r="B145" s="2114" t="s">
        <v>1066</v>
      </c>
      <c r="C145" s="5278">
        <f t="shared" si="82"/>
        <v>0</v>
      </c>
      <c r="D145" s="5279">
        <f t="shared" si="100"/>
        <v>0</v>
      </c>
      <c r="E145" s="5280">
        <f t="shared" si="101"/>
        <v>0</v>
      </c>
      <c r="F145" s="4575"/>
      <c r="G145" s="4601"/>
      <c r="H145" s="4575"/>
      <c r="I145" s="4601"/>
      <c r="J145" s="4575"/>
      <c r="K145" s="4601"/>
      <c r="L145" s="4602"/>
      <c r="M145" s="5281"/>
      <c r="N145" s="4575"/>
      <c r="O145" s="5090"/>
      <c r="P145" s="4575"/>
      <c r="Q145" s="5090"/>
      <c r="R145" s="4602"/>
      <c r="S145" s="5090"/>
      <c r="T145" s="4602"/>
      <c r="U145" s="5090"/>
      <c r="V145" s="4575"/>
      <c r="W145" s="4601"/>
      <c r="X145" s="4602"/>
      <c r="Y145" s="4601"/>
      <c r="Z145" s="4602"/>
      <c r="AA145" s="5090"/>
      <c r="AB145" s="4602"/>
      <c r="AC145" s="5090"/>
      <c r="AD145" s="4602"/>
      <c r="AE145" s="5090"/>
      <c r="AF145" s="4602"/>
      <c r="AG145" s="5090"/>
      <c r="AH145" s="4602"/>
      <c r="AI145" s="5090"/>
      <c r="AJ145" s="4602"/>
      <c r="AK145" s="5090"/>
      <c r="AL145" s="4602"/>
      <c r="AM145" s="5281"/>
      <c r="AN145" s="5204"/>
      <c r="AO145" s="4601"/>
      <c r="AP145" s="4576"/>
      <c r="AQ145" s="4576"/>
      <c r="AR145" s="4576"/>
      <c r="AS145" s="5090"/>
      <c r="AU145" s="5077" t="str">
        <f t="shared" si="97"/>
        <v/>
      </c>
      <c r="CA145" s="5088" t="str">
        <f t="shared" si="102"/>
        <v/>
      </c>
      <c r="CB145" s="5088" t="str">
        <f t="shared" si="86"/>
        <v/>
      </c>
      <c r="CC145" s="5088" t="str">
        <f t="shared" si="87"/>
        <v/>
      </c>
      <c r="CD145" s="5088" t="str">
        <f t="shared" si="88"/>
        <v/>
      </c>
      <c r="CE145" s="5088" t="str">
        <f t="shared" si="89"/>
        <v/>
      </c>
      <c r="CF145" s="5088" t="str">
        <f t="shared" si="90"/>
        <v/>
      </c>
      <c r="CG145" s="5088"/>
      <c r="CJ145" s="5119"/>
      <c r="CK145" s="5119"/>
      <c r="CL145" s="5089">
        <f t="shared" si="91"/>
        <v>0</v>
      </c>
      <c r="CM145" s="5089">
        <f t="shared" si="92"/>
        <v>0</v>
      </c>
      <c r="CN145" s="5089">
        <f t="shared" si="93"/>
        <v>0</v>
      </c>
      <c r="CO145" s="5089">
        <f t="shared" si="94"/>
        <v>0</v>
      </c>
      <c r="CP145" s="5089">
        <f t="shared" si="95"/>
        <v>0</v>
      </c>
      <c r="CQ145" s="5089">
        <f t="shared" si="96"/>
        <v>0</v>
      </c>
    </row>
    <row r="146" spans="1:95" s="5077" customFormat="1" ht="15" customHeight="1">
      <c r="A146" s="6128"/>
      <c r="B146" s="2114" t="s">
        <v>1106</v>
      </c>
      <c r="C146" s="5278">
        <f t="shared" si="82"/>
        <v>0</v>
      </c>
      <c r="D146" s="5279">
        <f t="shared" si="100"/>
        <v>0</v>
      </c>
      <c r="E146" s="5280">
        <f t="shared" si="101"/>
        <v>0</v>
      </c>
      <c r="F146" s="4575"/>
      <c r="G146" s="4601"/>
      <c r="H146" s="4575"/>
      <c r="I146" s="4601"/>
      <c r="J146" s="4575"/>
      <c r="K146" s="4601"/>
      <c r="L146" s="4602"/>
      <c r="M146" s="5281"/>
      <c r="N146" s="4575"/>
      <c r="O146" s="5090"/>
      <c r="P146" s="4575"/>
      <c r="Q146" s="5090"/>
      <c r="R146" s="4602"/>
      <c r="S146" s="5090"/>
      <c r="T146" s="4602"/>
      <c r="U146" s="5090"/>
      <c r="V146" s="4575"/>
      <c r="W146" s="4601"/>
      <c r="X146" s="4602"/>
      <c r="Y146" s="4601"/>
      <c r="Z146" s="4602"/>
      <c r="AA146" s="5090"/>
      <c r="AB146" s="4602"/>
      <c r="AC146" s="5090"/>
      <c r="AD146" s="4602"/>
      <c r="AE146" s="5090"/>
      <c r="AF146" s="4602"/>
      <c r="AG146" s="5090"/>
      <c r="AH146" s="4602"/>
      <c r="AI146" s="5090"/>
      <c r="AJ146" s="4602"/>
      <c r="AK146" s="5090"/>
      <c r="AL146" s="4602"/>
      <c r="AM146" s="5281"/>
      <c r="AN146" s="5204"/>
      <c r="AO146" s="4601"/>
      <c r="AP146" s="4576"/>
      <c r="AQ146" s="4576"/>
      <c r="AR146" s="4576"/>
      <c r="AS146" s="5090"/>
      <c r="AU146" s="5077" t="str">
        <f t="shared" si="97"/>
        <v/>
      </c>
      <c r="CA146" s="5088" t="str">
        <f t="shared" si="102"/>
        <v/>
      </c>
      <c r="CB146" s="5088" t="str">
        <f t="shared" si="86"/>
        <v/>
      </c>
      <c r="CC146" s="5088" t="str">
        <f t="shared" si="87"/>
        <v/>
      </c>
      <c r="CD146" s="5088" t="str">
        <f t="shared" si="88"/>
        <v/>
      </c>
      <c r="CE146" s="5088" t="str">
        <f t="shared" si="89"/>
        <v/>
      </c>
      <c r="CF146" s="5088" t="str">
        <f t="shared" si="90"/>
        <v/>
      </c>
      <c r="CG146" s="5088"/>
      <c r="CJ146" s="5119"/>
      <c r="CK146" s="5119"/>
      <c r="CL146" s="5089">
        <f t="shared" si="91"/>
        <v>0</v>
      </c>
      <c r="CM146" s="5089">
        <f t="shared" si="92"/>
        <v>0</v>
      </c>
      <c r="CN146" s="5089">
        <f t="shared" si="93"/>
        <v>0</v>
      </c>
      <c r="CO146" s="5089">
        <f t="shared" si="94"/>
        <v>0</v>
      </c>
      <c r="CP146" s="5089">
        <f t="shared" si="95"/>
        <v>0</v>
      </c>
      <c r="CQ146" s="5089">
        <f t="shared" si="96"/>
        <v>0</v>
      </c>
    </row>
    <row r="147" spans="1:95" s="5077" customFormat="1" ht="15" customHeight="1">
      <c r="A147" s="6128"/>
      <c r="B147" s="2114" t="s">
        <v>1068</v>
      </c>
      <c r="C147" s="5278">
        <f t="shared" si="82"/>
        <v>0</v>
      </c>
      <c r="D147" s="5279">
        <f t="shared" si="100"/>
        <v>0</v>
      </c>
      <c r="E147" s="5280">
        <f t="shared" si="101"/>
        <v>0</v>
      </c>
      <c r="F147" s="4575"/>
      <c r="G147" s="4601"/>
      <c r="H147" s="4575"/>
      <c r="I147" s="4601"/>
      <c r="J147" s="4575"/>
      <c r="K147" s="4601"/>
      <c r="L147" s="4602"/>
      <c r="M147" s="5281"/>
      <c r="N147" s="4575"/>
      <c r="O147" s="5090"/>
      <c r="P147" s="4575"/>
      <c r="Q147" s="5090"/>
      <c r="R147" s="4602"/>
      <c r="S147" s="5090"/>
      <c r="T147" s="4602"/>
      <c r="U147" s="5090"/>
      <c r="V147" s="4575"/>
      <c r="W147" s="4601"/>
      <c r="X147" s="4602"/>
      <c r="Y147" s="4601"/>
      <c r="Z147" s="4602"/>
      <c r="AA147" s="5090"/>
      <c r="AB147" s="4602"/>
      <c r="AC147" s="5090"/>
      <c r="AD147" s="4602"/>
      <c r="AE147" s="5090"/>
      <c r="AF147" s="4602"/>
      <c r="AG147" s="5090"/>
      <c r="AH147" s="4602"/>
      <c r="AI147" s="5090"/>
      <c r="AJ147" s="4602"/>
      <c r="AK147" s="5090"/>
      <c r="AL147" s="4602"/>
      <c r="AM147" s="5281"/>
      <c r="AN147" s="5204"/>
      <c r="AO147" s="4601"/>
      <c r="AP147" s="4576"/>
      <c r="AQ147" s="4576"/>
      <c r="AR147" s="4576"/>
      <c r="AS147" s="5090"/>
      <c r="AU147" s="5077" t="str">
        <f t="shared" si="97"/>
        <v/>
      </c>
      <c r="CA147" s="5088" t="str">
        <f t="shared" si="102"/>
        <v/>
      </c>
      <c r="CB147" s="5088" t="str">
        <f t="shared" si="86"/>
        <v/>
      </c>
      <c r="CC147" s="5088" t="str">
        <f t="shared" si="87"/>
        <v/>
      </c>
      <c r="CD147" s="5088" t="str">
        <f t="shared" si="88"/>
        <v/>
      </c>
      <c r="CE147" s="5088" t="str">
        <f t="shared" si="89"/>
        <v/>
      </c>
      <c r="CF147" s="5088" t="str">
        <f t="shared" si="90"/>
        <v/>
      </c>
      <c r="CG147" s="5088"/>
      <c r="CJ147" s="5119"/>
      <c r="CK147" s="5119"/>
      <c r="CL147" s="5089">
        <f t="shared" si="91"/>
        <v>0</v>
      </c>
      <c r="CM147" s="5089">
        <f t="shared" si="92"/>
        <v>0</v>
      </c>
      <c r="CN147" s="5089">
        <f t="shared" si="93"/>
        <v>0</v>
      </c>
      <c r="CO147" s="5089">
        <f t="shared" si="94"/>
        <v>0</v>
      </c>
      <c r="CP147" s="5089">
        <f t="shared" si="95"/>
        <v>0</v>
      </c>
      <c r="CQ147" s="5089">
        <f t="shared" si="96"/>
        <v>0</v>
      </c>
    </row>
    <row r="148" spans="1:95" s="5077" customFormat="1" ht="21">
      <c r="A148" s="6128"/>
      <c r="B148" s="2114" t="s">
        <v>4202</v>
      </c>
      <c r="C148" s="5278">
        <f t="shared" si="82"/>
        <v>0</v>
      </c>
      <c r="D148" s="5279">
        <f t="shared" si="100"/>
        <v>0</v>
      </c>
      <c r="E148" s="5280">
        <f t="shared" si="101"/>
        <v>0</v>
      </c>
      <c r="F148" s="4575"/>
      <c r="G148" s="4601"/>
      <c r="H148" s="4575"/>
      <c r="I148" s="4601"/>
      <c r="J148" s="4575"/>
      <c r="K148" s="4601"/>
      <c r="L148" s="4602"/>
      <c r="M148" s="5281"/>
      <c r="N148" s="4575"/>
      <c r="O148" s="5090"/>
      <c r="P148" s="4575"/>
      <c r="Q148" s="5090"/>
      <c r="R148" s="4602"/>
      <c r="S148" s="5090"/>
      <c r="T148" s="4602"/>
      <c r="U148" s="5090"/>
      <c r="V148" s="4575"/>
      <c r="W148" s="4601"/>
      <c r="X148" s="4602"/>
      <c r="Y148" s="4601"/>
      <c r="Z148" s="4602"/>
      <c r="AA148" s="5090"/>
      <c r="AB148" s="4602"/>
      <c r="AC148" s="5090"/>
      <c r="AD148" s="4602"/>
      <c r="AE148" s="5090"/>
      <c r="AF148" s="4602"/>
      <c r="AG148" s="5090"/>
      <c r="AH148" s="4602"/>
      <c r="AI148" s="5090"/>
      <c r="AJ148" s="4602"/>
      <c r="AK148" s="5090"/>
      <c r="AL148" s="4602"/>
      <c r="AM148" s="5281"/>
      <c r="AN148" s="5204"/>
      <c r="AO148" s="4601"/>
      <c r="AP148" s="4576"/>
      <c r="AQ148" s="4576"/>
      <c r="AR148" s="4576"/>
      <c r="AS148" s="5090"/>
      <c r="AU148" s="5077" t="str">
        <f t="shared" si="97"/>
        <v/>
      </c>
      <c r="CA148" s="5088" t="str">
        <f t="shared" si="102"/>
        <v/>
      </c>
      <c r="CB148" s="5088" t="str">
        <f t="shared" si="86"/>
        <v/>
      </c>
      <c r="CC148" s="5088" t="str">
        <f t="shared" si="87"/>
        <v/>
      </c>
      <c r="CD148" s="5088" t="str">
        <f t="shared" si="88"/>
        <v/>
      </c>
      <c r="CE148" s="5088" t="str">
        <f t="shared" si="89"/>
        <v/>
      </c>
      <c r="CF148" s="5088" t="str">
        <f t="shared" si="90"/>
        <v/>
      </c>
      <c r="CG148" s="5088"/>
      <c r="CJ148" s="5119"/>
      <c r="CK148" s="5119"/>
      <c r="CL148" s="5089">
        <f t="shared" si="91"/>
        <v>0</v>
      </c>
      <c r="CM148" s="5089">
        <f t="shared" si="92"/>
        <v>0</v>
      </c>
      <c r="CN148" s="5089">
        <f t="shared" si="93"/>
        <v>0</v>
      </c>
      <c r="CO148" s="5089">
        <f t="shared" si="94"/>
        <v>0</v>
      </c>
      <c r="CP148" s="5089">
        <f t="shared" si="95"/>
        <v>0</v>
      </c>
      <c r="CQ148" s="5089">
        <f t="shared" si="96"/>
        <v>0</v>
      </c>
    </row>
    <row r="149" spans="1:95" s="5077" customFormat="1" ht="15" customHeight="1">
      <c r="A149" s="6128"/>
      <c r="B149" s="2114" t="s">
        <v>1070</v>
      </c>
      <c r="C149" s="5278">
        <f t="shared" si="82"/>
        <v>0</v>
      </c>
      <c r="D149" s="5279">
        <f t="shared" si="100"/>
        <v>0</v>
      </c>
      <c r="E149" s="5280">
        <f t="shared" si="101"/>
        <v>0</v>
      </c>
      <c r="F149" s="4575"/>
      <c r="G149" s="4601"/>
      <c r="H149" s="4575"/>
      <c r="I149" s="4601"/>
      <c r="J149" s="4575"/>
      <c r="K149" s="4601"/>
      <c r="L149" s="4602"/>
      <c r="M149" s="5281"/>
      <c r="N149" s="4575"/>
      <c r="O149" s="5090"/>
      <c r="P149" s="4575"/>
      <c r="Q149" s="5090"/>
      <c r="R149" s="4602"/>
      <c r="S149" s="5090"/>
      <c r="T149" s="4602"/>
      <c r="U149" s="5090"/>
      <c r="V149" s="4575"/>
      <c r="W149" s="4601"/>
      <c r="X149" s="4602"/>
      <c r="Y149" s="4601"/>
      <c r="Z149" s="4602"/>
      <c r="AA149" s="5090"/>
      <c r="AB149" s="4602"/>
      <c r="AC149" s="5090"/>
      <c r="AD149" s="4602"/>
      <c r="AE149" s="5090"/>
      <c r="AF149" s="4602"/>
      <c r="AG149" s="5090"/>
      <c r="AH149" s="4602"/>
      <c r="AI149" s="5090"/>
      <c r="AJ149" s="4602"/>
      <c r="AK149" s="5090"/>
      <c r="AL149" s="4602"/>
      <c r="AM149" s="5281"/>
      <c r="AN149" s="5204"/>
      <c r="AO149" s="4601"/>
      <c r="AP149" s="4576"/>
      <c r="AQ149" s="4576"/>
      <c r="AR149" s="4576"/>
      <c r="AS149" s="5090"/>
      <c r="AU149" s="5077" t="str">
        <f t="shared" si="97"/>
        <v/>
      </c>
      <c r="CA149" s="5088" t="str">
        <f t="shared" si="102"/>
        <v/>
      </c>
      <c r="CB149" s="5088" t="str">
        <f t="shared" si="86"/>
        <v/>
      </c>
      <c r="CC149" s="5088" t="str">
        <f t="shared" si="87"/>
        <v/>
      </c>
      <c r="CD149" s="5088" t="str">
        <f t="shared" si="88"/>
        <v/>
      </c>
      <c r="CE149" s="5088" t="str">
        <f t="shared" si="89"/>
        <v/>
      </c>
      <c r="CF149" s="5088" t="str">
        <f t="shared" si="90"/>
        <v/>
      </c>
      <c r="CG149" s="5088"/>
      <c r="CJ149" s="5119"/>
      <c r="CK149" s="5119"/>
      <c r="CL149" s="5089">
        <f t="shared" si="91"/>
        <v>0</v>
      </c>
      <c r="CM149" s="5089">
        <f t="shared" si="92"/>
        <v>0</v>
      </c>
      <c r="CN149" s="5089">
        <f t="shared" si="93"/>
        <v>0</v>
      </c>
      <c r="CO149" s="5089">
        <f t="shared" si="94"/>
        <v>0</v>
      </c>
      <c r="CP149" s="5089">
        <f t="shared" si="95"/>
        <v>0</v>
      </c>
      <c r="CQ149" s="5089">
        <f t="shared" si="96"/>
        <v>0</v>
      </c>
    </row>
    <row r="150" spans="1:95" s="5077" customFormat="1" ht="21">
      <c r="A150" s="6128"/>
      <c r="B150" s="3656" t="s">
        <v>1071</v>
      </c>
      <c r="C150" s="5282">
        <f t="shared" si="82"/>
        <v>0</v>
      </c>
      <c r="D150" s="5283">
        <f t="shared" si="100"/>
        <v>0</v>
      </c>
      <c r="E150" s="5284">
        <f t="shared" si="101"/>
        <v>0</v>
      </c>
      <c r="F150" s="4580"/>
      <c r="G150" s="4607"/>
      <c r="H150" s="4580"/>
      <c r="I150" s="4607"/>
      <c r="J150" s="4580"/>
      <c r="K150" s="4607"/>
      <c r="L150" s="4608"/>
      <c r="M150" s="5285"/>
      <c r="N150" s="4580"/>
      <c r="O150" s="5174"/>
      <c r="P150" s="4580"/>
      <c r="Q150" s="5174"/>
      <c r="R150" s="4608"/>
      <c r="S150" s="5174"/>
      <c r="T150" s="4608"/>
      <c r="U150" s="5174"/>
      <c r="V150" s="4580"/>
      <c r="W150" s="4607"/>
      <c r="X150" s="4608"/>
      <c r="Y150" s="4607"/>
      <c r="Z150" s="4608"/>
      <c r="AA150" s="5174"/>
      <c r="AB150" s="4608"/>
      <c r="AC150" s="5174"/>
      <c r="AD150" s="4608"/>
      <c r="AE150" s="5174"/>
      <c r="AF150" s="4608"/>
      <c r="AG150" s="5174"/>
      <c r="AH150" s="4608"/>
      <c r="AI150" s="5174"/>
      <c r="AJ150" s="4608"/>
      <c r="AK150" s="5174"/>
      <c r="AL150" s="4608"/>
      <c r="AM150" s="5285"/>
      <c r="AN150" s="5209"/>
      <c r="AO150" s="4607"/>
      <c r="AP150" s="4581"/>
      <c r="AQ150" s="4581"/>
      <c r="AR150" s="4581"/>
      <c r="AS150" s="5174"/>
      <c r="AU150" s="5077" t="str">
        <f t="shared" si="97"/>
        <v/>
      </c>
      <c r="CA150" s="5088" t="str">
        <f t="shared" si="102"/>
        <v/>
      </c>
      <c r="CB150" s="5088" t="str">
        <f t="shared" si="86"/>
        <v/>
      </c>
      <c r="CC150" s="5088" t="str">
        <f t="shared" si="87"/>
        <v/>
      </c>
      <c r="CD150" s="5088" t="str">
        <f t="shared" si="88"/>
        <v/>
      </c>
      <c r="CE150" s="5088" t="str">
        <f t="shared" si="89"/>
        <v/>
      </c>
      <c r="CF150" s="5088" t="str">
        <f t="shared" si="90"/>
        <v/>
      </c>
      <c r="CG150" s="5088"/>
      <c r="CJ150" s="5119"/>
      <c r="CK150" s="5119"/>
      <c r="CL150" s="5089">
        <f t="shared" si="91"/>
        <v>0</v>
      </c>
      <c r="CM150" s="5089">
        <f t="shared" si="92"/>
        <v>0</v>
      </c>
      <c r="CN150" s="5089">
        <f t="shared" si="93"/>
        <v>0</v>
      </c>
      <c r="CO150" s="5089">
        <f t="shared" si="94"/>
        <v>0</v>
      </c>
      <c r="CP150" s="5089">
        <f t="shared" si="95"/>
        <v>0</v>
      </c>
      <c r="CQ150" s="5089">
        <f t="shared" si="96"/>
        <v>0</v>
      </c>
    </row>
    <row r="151" spans="1:95" s="5077" customFormat="1" ht="15" customHeight="1">
      <c r="A151" s="6129"/>
      <c r="B151" s="1963" t="s">
        <v>91</v>
      </c>
      <c r="C151" s="5286">
        <f t="shared" si="82"/>
        <v>0</v>
      </c>
      <c r="D151" s="5287">
        <f t="shared" ref="D151:AS151" si="103">SUM(D141:D150)</f>
        <v>0</v>
      </c>
      <c r="E151" s="5288">
        <f t="shared" si="103"/>
        <v>0</v>
      </c>
      <c r="F151" s="5222">
        <f t="shared" si="103"/>
        <v>0</v>
      </c>
      <c r="G151" s="5289">
        <f t="shared" si="103"/>
        <v>0</v>
      </c>
      <c r="H151" s="5222">
        <f t="shared" si="103"/>
        <v>0</v>
      </c>
      <c r="I151" s="5289">
        <f t="shared" si="103"/>
        <v>0</v>
      </c>
      <c r="J151" s="5222">
        <f t="shared" si="103"/>
        <v>0</v>
      </c>
      <c r="K151" s="5289">
        <f t="shared" si="103"/>
        <v>0</v>
      </c>
      <c r="L151" s="5223">
        <f t="shared" si="103"/>
        <v>0</v>
      </c>
      <c r="M151" s="5290">
        <f t="shared" si="103"/>
        <v>0</v>
      </c>
      <c r="N151" s="5222">
        <f t="shared" si="103"/>
        <v>0</v>
      </c>
      <c r="O151" s="5291">
        <f t="shared" si="103"/>
        <v>0</v>
      </c>
      <c r="P151" s="5222">
        <f t="shared" si="103"/>
        <v>0</v>
      </c>
      <c r="Q151" s="5291">
        <f t="shared" si="103"/>
        <v>0</v>
      </c>
      <c r="R151" s="5292">
        <f t="shared" si="103"/>
        <v>0</v>
      </c>
      <c r="S151" s="5291">
        <f t="shared" si="103"/>
        <v>0</v>
      </c>
      <c r="T151" s="5222">
        <f t="shared" si="103"/>
        <v>0</v>
      </c>
      <c r="U151" s="5289">
        <f t="shared" si="103"/>
        <v>0</v>
      </c>
      <c r="V151" s="5293">
        <f t="shared" si="103"/>
        <v>0</v>
      </c>
      <c r="W151" s="5291">
        <f t="shared" si="103"/>
        <v>0</v>
      </c>
      <c r="X151" s="5223">
        <f t="shared" si="103"/>
        <v>0</v>
      </c>
      <c r="Y151" s="5289">
        <f t="shared" si="103"/>
        <v>0</v>
      </c>
      <c r="Z151" s="5293">
        <f t="shared" si="103"/>
        <v>0</v>
      </c>
      <c r="AA151" s="5289">
        <f t="shared" si="103"/>
        <v>0</v>
      </c>
      <c r="AB151" s="5293">
        <f t="shared" si="103"/>
        <v>0</v>
      </c>
      <c r="AC151" s="5289">
        <f t="shared" si="103"/>
        <v>0</v>
      </c>
      <c r="AD151" s="5293">
        <f t="shared" si="103"/>
        <v>0</v>
      </c>
      <c r="AE151" s="5289">
        <f t="shared" si="103"/>
        <v>0</v>
      </c>
      <c r="AF151" s="5293">
        <f t="shared" si="103"/>
        <v>0</v>
      </c>
      <c r="AG151" s="5289">
        <f t="shared" si="103"/>
        <v>0</v>
      </c>
      <c r="AH151" s="5293">
        <f t="shared" si="103"/>
        <v>0</v>
      </c>
      <c r="AI151" s="5289">
        <f t="shared" si="103"/>
        <v>0</v>
      </c>
      <c r="AJ151" s="5293">
        <f t="shared" si="103"/>
        <v>0</v>
      </c>
      <c r="AK151" s="5289">
        <f t="shared" si="103"/>
        <v>0</v>
      </c>
      <c r="AL151" s="5293">
        <f t="shared" si="103"/>
        <v>0</v>
      </c>
      <c r="AM151" s="5292">
        <f t="shared" si="103"/>
        <v>0</v>
      </c>
      <c r="AN151" s="5294">
        <f t="shared" si="103"/>
        <v>0</v>
      </c>
      <c r="AO151" s="5289">
        <f t="shared" si="99"/>
        <v>0</v>
      </c>
      <c r="AP151" s="5293">
        <f t="shared" si="103"/>
        <v>0</v>
      </c>
      <c r="AQ151" s="5293">
        <f t="shared" si="103"/>
        <v>0</v>
      </c>
      <c r="AR151" s="5293">
        <f t="shared" si="103"/>
        <v>0</v>
      </c>
      <c r="AS151" s="5291">
        <f t="shared" si="103"/>
        <v>0</v>
      </c>
    </row>
    <row r="152" spans="1:95" s="5076" customFormat="1" ht="17.100000000000001" customHeight="1">
      <c r="A152" s="5300" t="s">
        <v>4204</v>
      </c>
    </row>
    <row r="153" spans="1:95" ht="15" customHeight="1">
      <c r="A153" s="6298" t="s">
        <v>40</v>
      </c>
      <c r="B153" s="6298" t="s">
        <v>41</v>
      </c>
      <c r="C153" s="6140" t="s">
        <v>91</v>
      </c>
      <c r="D153" s="6139"/>
      <c r="E153" s="6119"/>
      <c r="F153" s="5710" t="s">
        <v>115</v>
      </c>
      <c r="G153" s="6106"/>
      <c r="H153" s="6106"/>
      <c r="I153" s="6106"/>
      <c r="J153" s="6106"/>
      <c r="K153" s="6106"/>
      <c r="L153" s="6106"/>
      <c r="M153" s="6106"/>
      <c r="N153" s="6106"/>
      <c r="O153" s="6106"/>
      <c r="P153" s="6106"/>
      <c r="Q153" s="6106"/>
      <c r="R153" s="6106"/>
      <c r="S153" s="6106"/>
      <c r="T153" s="6106"/>
      <c r="U153" s="6106"/>
      <c r="V153" s="6106"/>
      <c r="W153" s="6106"/>
      <c r="X153" s="6106"/>
      <c r="Y153" s="6106"/>
      <c r="Z153" s="6106"/>
      <c r="AA153" s="6106"/>
      <c r="AB153" s="6106"/>
      <c r="AC153" s="6106"/>
      <c r="AD153" s="6106"/>
      <c r="AE153" s="6106"/>
      <c r="AF153" s="6106"/>
      <c r="AG153" s="5716"/>
      <c r="AH153" s="6203" t="s">
        <v>50</v>
      </c>
      <c r="AI153" s="6119" t="s">
        <v>51</v>
      </c>
    </row>
    <row r="154" spans="1:95" ht="15" customHeight="1">
      <c r="A154" s="6299"/>
      <c r="B154" s="6299"/>
      <c r="C154" s="6114"/>
      <c r="D154" s="6115"/>
      <c r="E154" s="6116"/>
      <c r="F154" s="5710" t="s">
        <v>58</v>
      </c>
      <c r="G154" s="5712"/>
      <c r="H154" s="5710" t="s">
        <v>59</v>
      </c>
      <c r="I154" s="5712"/>
      <c r="J154" s="5707" t="s">
        <v>60</v>
      </c>
      <c r="K154" s="5709"/>
      <c r="L154" s="5707" t="s">
        <v>61</v>
      </c>
      <c r="M154" s="5709"/>
      <c r="N154" s="5707" t="s">
        <v>62</v>
      </c>
      <c r="O154" s="5709"/>
      <c r="P154" s="5707" t="s">
        <v>63</v>
      </c>
      <c r="Q154" s="5709"/>
      <c r="R154" s="5707" t="s">
        <v>64</v>
      </c>
      <c r="S154" s="5709"/>
      <c r="T154" s="5707" t="s">
        <v>65</v>
      </c>
      <c r="U154" s="5709"/>
      <c r="V154" s="5707" t="s">
        <v>66</v>
      </c>
      <c r="W154" s="5709"/>
      <c r="X154" s="5707" t="s">
        <v>67</v>
      </c>
      <c r="Y154" s="5709"/>
      <c r="Z154" s="5707" t="s">
        <v>68</v>
      </c>
      <c r="AA154" s="5709"/>
      <c r="AB154" s="5707" t="s">
        <v>69</v>
      </c>
      <c r="AC154" s="5709"/>
      <c r="AD154" s="5707" t="s">
        <v>70</v>
      </c>
      <c r="AE154" s="5709"/>
      <c r="AF154" s="5707" t="s">
        <v>71</v>
      </c>
      <c r="AG154" s="6147"/>
      <c r="AH154" s="6268"/>
      <c r="AI154" s="6120"/>
    </row>
    <row r="155" spans="1:95" ht="15" customHeight="1">
      <c r="A155" s="6300"/>
      <c r="B155" s="6300"/>
      <c r="C155" s="396" t="s">
        <v>93</v>
      </c>
      <c r="D155" s="1396" t="s">
        <v>72</v>
      </c>
      <c r="E155" s="393" t="s">
        <v>73</v>
      </c>
      <c r="F155" s="1395" t="s">
        <v>72</v>
      </c>
      <c r="G155" s="393" t="s">
        <v>73</v>
      </c>
      <c r="H155" s="1395" t="s">
        <v>72</v>
      </c>
      <c r="I155" s="393" t="s">
        <v>73</v>
      </c>
      <c r="J155" s="1395" t="s">
        <v>72</v>
      </c>
      <c r="K155" s="393" t="s">
        <v>73</v>
      </c>
      <c r="L155" s="1395" t="s">
        <v>72</v>
      </c>
      <c r="M155" s="393" t="s">
        <v>73</v>
      </c>
      <c r="N155" s="1395" t="s">
        <v>72</v>
      </c>
      <c r="O155" s="393" t="s">
        <v>73</v>
      </c>
      <c r="P155" s="1395" t="s">
        <v>72</v>
      </c>
      <c r="Q155" s="393" t="s">
        <v>73</v>
      </c>
      <c r="R155" s="1395" t="s">
        <v>72</v>
      </c>
      <c r="S155" s="393" t="s">
        <v>73</v>
      </c>
      <c r="T155" s="1395" t="s">
        <v>72</v>
      </c>
      <c r="U155" s="393" t="s">
        <v>73</v>
      </c>
      <c r="V155" s="1395" t="s">
        <v>72</v>
      </c>
      <c r="W155" s="393" t="s">
        <v>73</v>
      </c>
      <c r="X155" s="1395" t="s">
        <v>72</v>
      </c>
      <c r="Y155" s="393" t="s">
        <v>73</v>
      </c>
      <c r="Z155" s="1395" t="s">
        <v>72</v>
      </c>
      <c r="AA155" s="393" t="s">
        <v>73</v>
      </c>
      <c r="AB155" s="1395" t="s">
        <v>72</v>
      </c>
      <c r="AC155" s="393" t="s">
        <v>73</v>
      </c>
      <c r="AD155" s="1395" t="s">
        <v>72</v>
      </c>
      <c r="AE155" s="393" t="s">
        <v>73</v>
      </c>
      <c r="AF155" s="1395" t="s">
        <v>72</v>
      </c>
      <c r="AG155" s="394" t="s">
        <v>73</v>
      </c>
      <c r="AH155" s="6204"/>
      <c r="AI155" s="6116"/>
    </row>
    <row r="156" spans="1:95" ht="15" customHeight="1">
      <c r="A156" s="6127" t="s">
        <v>4205</v>
      </c>
      <c r="B156" s="2392" t="s">
        <v>78</v>
      </c>
      <c r="C156" s="5301">
        <f t="shared" si="82"/>
        <v>0</v>
      </c>
      <c r="D156" s="5274">
        <f t="shared" ref="D156:E163" si="104">SUM(F156+H156+J156+L156+N156+P156+R156+T156+V156+X156+Z156+AB156+AD156+AF156)</f>
        <v>0</v>
      </c>
      <c r="E156" s="5275">
        <f t="shared" si="104"/>
        <v>0</v>
      </c>
      <c r="F156" s="4570"/>
      <c r="G156" s="5082"/>
      <c r="H156" s="4570"/>
      <c r="I156" s="5082"/>
      <c r="J156" s="4570"/>
      <c r="K156" s="5082"/>
      <c r="L156" s="4570"/>
      <c r="M156" s="5082"/>
      <c r="N156" s="4570"/>
      <c r="O156" s="5082"/>
      <c r="P156" s="4570"/>
      <c r="Q156" s="5082"/>
      <c r="R156" s="4570"/>
      <c r="S156" s="5082"/>
      <c r="T156" s="4570"/>
      <c r="U156" s="5082"/>
      <c r="V156" s="4570"/>
      <c r="W156" s="5082"/>
      <c r="X156" s="4570"/>
      <c r="Y156" s="5082"/>
      <c r="Z156" s="4570"/>
      <c r="AA156" s="5082"/>
      <c r="AB156" s="4570"/>
      <c r="AC156" s="5082"/>
      <c r="AD156" s="4570"/>
      <c r="AE156" s="5082"/>
      <c r="AF156" s="4570"/>
      <c r="AG156" s="4597"/>
      <c r="AH156" s="5277"/>
      <c r="AI156" s="4595"/>
      <c r="AJ156" s="3366" t="str">
        <f t="shared" ref="AJ156:AJ170" si="105">CA156&amp;CB156&amp;CE156&amp;CF156</f>
        <v/>
      </c>
      <c r="CA156" s="5088" t="str">
        <f t="shared" ref="CA156:CA163" si="106">IF(AND(C156&gt;0,AH156="")," * No olvide digitar La variable Pueblos originarios. Digite Cero si no tiene.",IF(AH156&gt;C156," * La variable Pueblos originarios no puede ser mayor al Total Ambos Sexos.",""))</f>
        <v/>
      </c>
      <c r="CB156" s="5088" t="str">
        <f t="shared" ref="CB156:CB163" si="107">IF(AND(C156&gt;0,AI156="")," * No olvide digitar La variable Migrantes, Digite Cero si no tiene.",IF(AI156&gt;C156," * La variable Migrantes no puede ser mayor al Total Ambos Sexos.",""))</f>
        <v/>
      </c>
      <c r="CE156" s="5119"/>
      <c r="CF156" s="5119"/>
      <c r="CG156" s="5119"/>
      <c r="CH156" s="5119"/>
      <c r="CI156" s="5119"/>
      <c r="CJ156" s="5077"/>
      <c r="CK156" s="5077"/>
      <c r="CL156" s="5089">
        <f t="shared" ref="CL156:CL163" si="108">IF(AND(C156&gt;0,AH156=""),1,IF(AH156&gt;C156,1,0))</f>
        <v>0</v>
      </c>
      <c r="CM156" s="5089">
        <f t="shared" ref="CM156:CM163" si="109">IF(AND(C156&gt;0,AI156=""),1,IF(AI156&gt;C156,1,0))</f>
        <v>0</v>
      </c>
    </row>
    <row r="157" spans="1:95" ht="15" customHeight="1">
      <c r="A157" s="6128"/>
      <c r="B157" s="420" t="s">
        <v>112</v>
      </c>
      <c r="C157" s="5302">
        <f t="shared" si="82"/>
        <v>0</v>
      </c>
      <c r="D157" s="5279">
        <f t="shared" si="104"/>
        <v>0</v>
      </c>
      <c r="E157" s="5280">
        <f t="shared" si="104"/>
        <v>0</v>
      </c>
      <c r="F157" s="4575"/>
      <c r="G157" s="5090"/>
      <c r="H157" s="4575"/>
      <c r="I157" s="5090"/>
      <c r="J157" s="4575"/>
      <c r="K157" s="5090"/>
      <c r="L157" s="4575"/>
      <c r="M157" s="5090"/>
      <c r="N157" s="4575"/>
      <c r="O157" s="5090"/>
      <c r="P157" s="4575"/>
      <c r="Q157" s="5090"/>
      <c r="R157" s="4575"/>
      <c r="S157" s="5090"/>
      <c r="T157" s="4575"/>
      <c r="U157" s="5090"/>
      <c r="V157" s="4575"/>
      <c r="W157" s="5090"/>
      <c r="X157" s="4575"/>
      <c r="Y157" s="5090"/>
      <c r="Z157" s="4575"/>
      <c r="AA157" s="5090"/>
      <c r="AB157" s="4575"/>
      <c r="AC157" s="5090"/>
      <c r="AD157" s="4575"/>
      <c r="AE157" s="5090"/>
      <c r="AF157" s="4575"/>
      <c r="AG157" s="4603"/>
      <c r="AH157" s="5204"/>
      <c r="AI157" s="4601"/>
      <c r="AJ157" s="3366" t="str">
        <f t="shared" si="105"/>
        <v/>
      </c>
      <c r="CA157" s="5088" t="str">
        <f t="shared" si="106"/>
        <v/>
      </c>
      <c r="CB157" s="5088" t="str">
        <f t="shared" si="107"/>
        <v/>
      </c>
      <c r="CE157" s="5119"/>
      <c r="CF157" s="5119"/>
      <c r="CG157" s="5119"/>
      <c r="CH157" s="5119"/>
      <c r="CI157" s="5119"/>
      <c r="CJ157" s="5077"/>
      <c r="CK157" s="5077"/>
      <c r="CL157" s="5089">
        <f t="shared" si="108"/>
        <v>0</v>
      </c>
      <c r="CM157" s="5089">
        <f t="shared" si="109"/>
        <v>0</v>
      </c>
    </row>
    <row r="158" spans="1:95" ht="15" customHeight="1">
      <c r="A158" s="6128"/>
      <c r="B158" s="4612" t="s">
        <v>119</v>
      </c>
      <c r="C158" s="5302">
        <f t="shared" si="82"/>
        <v>0</v>
      </c>
      <c r="D158" s="5279">
        <f t="shared" si="104"/>
        <v>0</v>
      </c>
      <c r="E158" s="5280">
        <f t="shared" si="104"/>
        <v>0</v>
      </c>
      <c r="F158" s="4575"/>
      <c r="G158" s="5090"/>
      <c r="H158" s="4575"/>
      <c r="I158" s="5090"/>
      <c r="J158" s="4575"/>
      <c r="K158" s="5090"/>
      <c r="L158" s="4575"/>
      <c r="M158" s="5090"/>
      <c r="N158" s="4575"/>
      <c r="O158" s="5090"/>
      <c r="P158" s="4575"/>
      <c r="Q158" s="5090"/>
      <c r="R158" s="4575"/>
      <c r="S158" s="5090"/>
      <c r="T158" s="4575"/>
      <c r="U158" s="5090"/>
      <c r="V158" s="4575"/>
      <c r="W158" s="5090"/>
      <c r="X158" s="4575"/>
      <c r="Y158" s="5090"/>
      <c r="Z158" s="4575"/>
      <c r="AA158" s="5090"/>
      <c r="AB158" s="4575"/>
      <c r="AC158" s="5090"/>
      <c r="AD158" s="4575"/>
      <c r="AE158" s="5090"/>
      <c r="AF158" s="4575"/>
      <c r="AG158" s="4603"/>
      <c r="AH158" s="5204"/>
      <c r="AI158" s="4601"/>
      <c r="AJ158" s="3366" t="str">
        <f t="shared" si="105"/>
        <v/>
      </c>
      <c r="CA158" s="5088" t="str">
        <f t="shared" si="106"/>
        <v/>
      </c>
      <c r="CB158" s="5088" t="str">
        <f t="shared" si="107"/>
        <v/>
      </c>
      <c r="CE158" s="5119"/>
      <c r="CF158" s="5119"/>
      <c r="CG158" s="5119"/>
      <c r="CH158" s="5119"/>
      <c r="CI158" s="5119"/>
      <c r="CJ158" s="5077"/>
      <c r="CK158" s="5077"/>
      <c r="CL158" s="5089">
        <f t="shared" si="108"/>
        <v>0</v>
      </c>
      <c r="CM158" s="5089">
        <f t="shared" si="109"/>
        <v>0</v>
      </c>
    </row>
    <row r="159" spans="1:95" ht="15" customHeight="1">
      <c r="A159" s="6129"/>
      <c r="B159" s="2396" t="s">
        <v>211</v>
      </c>
      <c r="C159" s="5303">
        <f t="shared" si="82"/>
        <v>0</v>
      </c>
      <c r="D159" s="5283">
        <f t="shared" si="104"/>
        <v>0</v>
      </c>
      <c r="E159" s="5284">
        <f t="shared" si="104"/>
        <v>0</v>
      </c>
      <c r="F159" s="4580"/>
      <c r="G159" s="5174"/>
      <c r="H159" s="4580"/>
      <c r="I159" s="5174"/>
      <c r="J159" s="4580"/>
      <c r="K159" s="5174"/>
      <c r="L159" s="4580"/>
      <c r="M159" s="5174"/>
      <c r="N159" s="4580"/>
      <c r="O159" s="5174"/>
      <c r="P159" s="4580"/>
      <c r="Q159" s="5174"/>
      <c r="R159" s="4580"/>
      <c r="S159" s="5174"/>
      <c r="T159" s="4580"/>
      <c r="U159" s="5174"/>
      <c r="V159" s="4580"/>
      <c r="W159" s="5174"/>
      <c r="X159" s="4580"/>
      <c r="Y159" s="5174"/>
      <c r="Z159" s="4580"/>
      <c r="AA159" s="5174"/>
      <c r="AB159" s="4580"/>
      <c r="AC159" s="5174"/>
      <c r="AD159" s="4580"/>
      <c r="AE159" s="5174"/>
      <c r="AF159" s="4580"/>
      <c r="AG159" s="4609"/>
      <c r="AH159" s="5209"/>
      <c r="AI159" s="4607"/>
      <c r="AJ159" s="3366" t="str">
        <f t="shared" si="105"/>
        <v/>
      </c>
      <c r="CA159" s="5088" t="str">
        <f t="shared" si="106"/>
        <v/>
      </c>
      <c r="CB159" s="5088" t="str">
        <f t="shared" si="107"/>
        <v/>
      </c>
      <c r="CE159" s="5119"/>
      <c r="CF159" s="5119"/>
      <c r="CG159" s="5119"/>
      <c r="CH159" s="5119"/>
      <c r="CI159" s="5119"/>
      <c r="CJ159" s="5077"/>
      <c r="CK159" s="5077"/>
      <c r="CL159" s="5089">
        <f t="shared" si="108"/>
        <v>0</v>
      </c>
      <c r="CM159" s="5089">
        <f t="shared" si="109"/>
        <v>0</v>
      </c>
    </row>
    <row r="160" spans="1:95" ht="15" customHeight="1">
      <c r="A160" s="6127" t="s">
        <v>4206</v>
      </c>
      <c r="B160" s="2392" t="s">
        <v>78</v>
      </c>
      <c r="C160" s="5301">
        <f t="shared" si="82"/>
        <v>0</v>
      </c>
      <c r="D160" s="5274">
        <f t="shared" si="104"/>
        <v>0</v>
      </c>
      <c r="E160" s="5275">
        <f t="shared" si="104"/>
        <v>0</v>
      </c>
      <c r="F160" s="4570"/>
      <c r="G160" s="5082"/>
      <c r="H160" s="4570"/>
      <c r="I160" s="5082"/>
      <c r="J160" s="4570"/>
      <c r="K160" s="5082"/>
      <c r="L160" s="4570"/>
      <c r="M160" s="5082"/>
      <c r="N160" s="4570"/>
      <c r="O160" s="5082"/>
      <c r="P160" s="4570"/>
      <c r="Q160" s="5082"/>
      <c r="R160" s="4570"/>
      <c r="S160" s="5082"/>
      <c r="T160" s="4570"/>
      <c r="U160" s="5082"/>
      <c r="V160" s="4570"/>
      <c r="W160" s="5082"/>
      <c r="X160" s="4570"/>
      <c r="Y160" s="5082"/>
      <c r="Z160" s="4570"/>
      <c r="AA160" s="5082"/>
      <c r="AB160" s="4570"/>
      <c r="AC160" s="5082"/>
      <c r="AD160" s="4570"/>
      <c r="AE160" s="5082"/>
      <c r="AF160" s="4570"/>
      <c r="AG160" s="4597"/>
      <c r="AH160" s="5277"/>
      <c r="AI160" s="4595"/>
      <c r="AJ160" s="3366" t="str">
        <f t="shared" si="105"/>
        <v/>
      </c>
      <c r="CA160" s="5088" t="str">
        <f t="shared" si="106"/>
        <v/>
      </c>
      <c r="CB160" s="5088" t="str">
        <f t="shared" si="107"/>
        <v/>
      </c>
      <c r="CE160" s="5119"/>
      <c r="CF160" s="5119"/>
      <c r="CG160" s="5119"/>
      <c r="CH160" s="5119"/>
      <c r="CI160" s="5119"/>
      <c r="CJ160" s="5077"/>
      <c r="CK160" s="5077"/>
      <c r="CL160" s="5089">
        <f t="shared" si="108"/>
        <v>0</v>
      </c>
      <c r="CM160" s="5089">
        <f t="shared" si="109"/>
        <v>0</v>
      </c>
    </row>
    <row r="161" spans="1:91" ht="15" customHeight="1">
      <c r="A161" s="6128"/>
      <c r="B161" s="420" t="s">
        <v>112</v>
      </c>
      <c r="C161" s="5302">
        <f t="shared" si="82"/>
        <v>0</v>
      </c>
      <c r="D161" s="5279">
        <f t="shared" si="104"/>
        <v>0</v>
      </c>
      <c r="E161" s="5280">
        <f t="shared" si="104"/>
        <v>0</v>
      </c>
      <c r="F161" s="4575"/>
      <c r="G161" s="5090"/>
      <c r="H161" s="4575"/>
      <c r="I161" s="5090"/>
      <c r="J161" s="4575"/>
      <c r="K161" s="5090"/>
      <c r="L161" s="4575"/>
      <c r="M161" s="5090"/>
      <c r="N161" s="4575"/>
      <c r="O161" s="5090"/>
      <c r="P161" s="4575"/>
      <c r="Q161" s="5090"/>
      <c r="R161" s="4575"/>
      <c r="S161" s="5090"/>
      <c r="T161" s="4575"/>
      <c r="U161" s="5090"/>
      <c r="V161" s="4575"/>
      <c r="W161" s="5090"/>
      <c r="X161" s="4575"/>
      <c r="Y161" s="5090"/>
      <c r="Z161" s="4575"/>
      <c r="AA161" s="5090"/>
      <c r="AB161" s="4575"/>
      <c r="AC161" s="5090"/>
      <c r="AD161" s="4575"/>
      <c r="AE161" s="5090"/>
      <c r="AF161" s="4575"/>
      <c r="AG161" s="4603"/>
      <c r="AH161" s="5204"/>
      <c r="AI161" s="4601"/>
      <c r="AJ161" s="3366" t="str">
        <f t="shared" si="105"/>
        <v/>
      </c>
      <c r="CA161" s="5088" t="str">
        <f t="shared" si="106"/>
        <v/>
      </c>
      <c r="CB161" s="5088" t="str">
        <f t="shared" si="107"/>
        <v/>
      </c>
      <c r="CE161" s="5119"/>
      <c r="CF161" s="5119"/>
      <c r="CG161" s="5119"/>
      <c r="CH161" s="5119"/>
      <c r="CI161" s="5119"/>
      <c r="CJ161" s="5077"/>
      <c r="CK161" s="5077"/>
      <c r="CL161" s="5089">
        <f t="shared" si="108"/>
        <v>0</v>
      </c>
      <c r="CM161" s="5089">
        <f t="shared" si="109"/>
        <v>0</v>
      </c>
    </row>
    <row r="162" spans="1:91" ht="15" customHeight="1">
      <c r="A162" s="6128"/>
      <c r="B162" s="4612" t="s">
        <v>119</v>
      </c>
      <c r="C162" s="5302">
        <f t="shared" si="82"/>
        <v>0</v>
      </c>
      <c r="D162" s="5279">
        <f t="shared" si="104"/>
        <v>0</v>
      </c>
      <c r="E162" s="5280">
        <f t="shared" si="104"/>
        <v>0</v>
      </c>
      <c r="F162" s="4575"/>
      <c r="G162" s="5090"/>
      <c r="H162" s="4575"/>
      <c r="I162" s="5090"/>
      <c r="J162" s="4575"/>
      <c r="K162" s="5090"/>
      <c r="L162" s="4575"/>
      <c r="M162" s="5090"/>
      <c r="N162" s="4575"/>
      <c r="O162" s="5090"/>
      <c r="P162" s="4575"/>
      <c r="Q162" s="5090"/>
      <c r="R162" s="4575"/>
      <c r="S162" s="5090"/>
      <c r="T162" s="4575"/>
      <c r="U162" s="5090"/>
      <c r="V162" s="4575"/>
      <c r="W162" s="5090"/>
      <c r="X162" s="4575"/>
      <c r="Y162" s="5090"/>
      <c r="Z162" s="4575"/>
      <c r="AA162" s="5090"/>
      <c r="AB162" s="4575"/>
      <c r="AC162" s="5090"/>
      <c r="AD162" s="4575"/>
      <c r="AE162" s="5090"/>
      <c r="AF162" s="4575"/>
      <c r="AG162" s="4603"/>
      <c r="AH162" s="5204"/>
      <c r="AI162" s="4601"/>
      <c r="AJ162" s="3366" t="str">
        <f t="shared" si="105"/>
        <v/>
      </c>
      <c r="CA162" s="5088" t="str">
        <f t="shared" si="106"/>
        <v/>
      </c>
      <c r="CB162" s="5088" t="str">
        <f t="shared" si="107"/>
        <v/>
      </c>
      <c r="CE162" s="5119"/>
      <c r="CF162" s="5119"/>
      <c r="CG162" s="5119"/>
      <c r="CH162" s="5119"/>
      <c r="CI162" s="5119"/>
      <c r="CJ162" s="5077"/>
      <c r="CK162" s="5077"/>
      <c r="CL162" s="5089">
        <f t="shared" si="108"/>
        <v>0</v>
      </c>
      <c r="CM162" s="5089">
        <f t="shared" si="109"/>
        <v>0</v>
      </c>
    </row>
    <row r="163" spans="1:91" ht="15" customHeight="1">
      <c r="A163" s="6129"/>
      <c r="B163" s="2396" t="s">
        <v>211</v>
      </c>
      <c r="C163" s="5303">
        <f t="shared" si="82"/>
        <v>0</v>
      </c>
      <c r="D163" s="5283">
        <f t="shared" si="104"/>
        <v>0</v>
      </c>
      <c r="E163" s="5284">
        <f t="shared" si="104"/>
        <v>0</v>
      </c>
      <c r="F163" s="4580"/>
      <c r="G163" s="5174"/>
      <c r="H163" s="4580"/>
      <c r="I163" s="5174"/>
      <c r="J163" s="4580"/>
      <c r="K163" s="5174"/>
      <c r="L163" s="4580"/>
      <c r="M163" s="5174"/>
      <c r="N163" s="4580"/>
      <c r="O163" s="5174"/>
      <c r="P163" s="4580"/>
      <c r="Q163" s="5174"/>
      <c r="R163" s="4580"/>
      <c r="S163" s="5174"/>
      <c r="T163" s="4580"/>
      <c r="U163" s="5174"/>
      <c r="V163" s="4580"/>
      <c r="W163" s="5174"/>
      <c r="X163" s="4580"/>
      <c r="Y163" s="5174"/>
      <c r="Z163" s="4580"/>
      <c r="AA163" s="5174"/>
      <c r="AB163" s="4580"/>
      <c r="AC163" s="5174"/>
      <c r="AD163" s="4580"/>
      <c r="AE163" s="5174"/>
      <c r="AF163" s="4580"/>
      <c r="AG163" s="4609"/>
      <c r="AH163" s="5209"/>
      <c r="AI163" s="4607"/>
      <c r="AJ163" s="3366" t="str">
        <f t="shared" si="105"/>
        <v/>
      </c>
      <c r="CA163" s="5088" t="str">
        <f t="shared" si="106"/>
        <v/>
      </c>
      <c r="CB163" s="5088" t="str">
        <f t="shared" si="107"/>
        <v/>
      </c>
      <c r="CE163" s="5119"/>
      <c r="CF163" s="5119"/>
      <c r="CG163" s="5119"/>
      <c r="CH163" s="5119"/>
      <c r="CI163" s="5119"/>
      <c r="CJ163" s="5077"/>
      <c r="CK163" s="5077"/>
      <c r="CL163" s="5089">
        <f t="shared" si="108"/>
        <v>0</v>
      </c>
      <c r="CM163" s="5089">
        <f t="shared" si="109"/>
        <v>0</v>
      </c>
    </row>
    <row r="164" spans="1:91" s="5076" customFormat="1" ht="18" customHeight="1">
      <c r="A164" s="5300" t="s">
        <v>4207</v>
      </c>
      <c r="CC164" s="5077"/>
      <c r="CD164" s="5077"/>
      <c r="CE164" s="5077"/>
      <c r="CF164" s="5077"/>
      <c r="CG164" s="5077"/>
      <c r="CH164" s="5077"/>
      <c r="CI164" s="5077"/>
      <c r="CJ164" s="5077"/>
      <c r="CK164" s="5077"/>
      <c r="CL164" s="5077"/>
      <c r="CM164" s="5077"/>
    </row>
    <row r="165" spans="1:91" s="5077" customFormat="1" ht="15" customHeight="1">
      <c r="A165" s="6298" t="s">
        <v>1659</v>
      </c>
      <c r="B165" s="6140" t="s">
        <v>91</v>
      </c>
      <c r="C165" s="6139"/>
      <c r="D165" s="6119"/>
      <c r="E165" s="5710" t="s">
        <v>115</v>
      </c>
      <c r="F165" s="6106"/>
      <c r="G165" s="6106"/>
      <c r="H165" s="6106"/>
      <c r="I165" s="6106"/>
      <c r="J165" s="6106"/>
      <c r="K165" s="6106"/>
      <c r="L165" s="6106"/>
      <c r="M165" s="6106"/>
      <c r="N165" s="6106"/>
      <c r="O165" s="6106"/>
      <c r="P165" s="6106"/>
      <c r="Q165" s="6106"/>
      <c r="R165" s="6106"/>
      <c r="S165" s="6106"/>
      <c r="T165" s="6106"/>
      <c r="U165" s="6106"/>
      <c r="V165" s="6106"/>
      <c r="W165" s="6106"/>
      <c r="X165" s="6106"/>
      <c r="Y165" s="6106"/>
      <c r="Z165" s="6106"/>
      <c r="AA165" s="6106"/>
      <c r="AB165" s="6106"/>
      <c r="AC165" s="6106"/>
      <c r="AD165" s="6106"/>
      <c r="AE165" s="6106"/>
      <c r="AF165" s="6301"/>
      <c r="AG165" s="6119" t="s">
        <v>2252</v>
      </c>
      <c r="AH165" s="6187" t="s">
        <v>50</v>
      </c>
      <c r="AI165" s="6119" t="s">
        <v>51</v>
      </c>
    </row>
    <row r="166" spans="1:91" s="5077" customFormat="1" ht="15" customHeight="1">
      <c r="A166" s="6299"/>
      <c r="B166" s="6114"/>
      <c r="C166" s="6115"/>
      <c r="D166" s="6116"/>
      <c r="E166" s="5710" t="s">
        <v>58</v>
      </c>
      <c r="F166" s="5712"/>
      <c r="G166" s="5710" t="s">
        <v>59</v>
      </c>
      <c r="H166" s="5712"/>
      <c r="I166" s="5707" t="s">
        <v>60</v>
      </c>
      <c r="J166" s="5709"/>
      <c r="K166" s="5707" t="s">
        <v>61</v>
      </c>
      <c r="L166" s="5709"/>
      <c r="M166" s="5707" t="s">
        <v>62</v>
      </c>
      <c r="N166" s="5709"/>
      <c r="O166" s="5707" t="s">
        <v>63</v>
      </c>
      <c r="P166" s="5709"/>
      <c r="Q166" s="5707" t="s">
        <v>64</v>
      </c>
      <c r="R166" s="5709"/>
      <c r="S166" s="5707" t="s">
        <v>65</v>
      </c>
      <c r="T166" s="5709"/>
      <c r="U166" s="5707" t="s">
        <v>66</v>
      </c>
      <c r="V166" s="5709"/>
      <c r="W166" s="5707" t="s">
        <v>67</v>
      </c>
      <c r="X166" s="5709"/>
      <c r="Y166" s="5707" t="s">
        <v>68</v>
      </c>
      <c r="Z166" s="5709"/>
      <c r="AA166" s="5707" t="s">
        <v>69</v>
      </c>
      <c r="AB166" s="5709"/>
      <c r="AC166" s="5707" t="s">
        <v>70</v>
      </c>
      <c r="AD166" s="5709"/>
      <c r="AE166" s="5707" t="s">
        <v>71</v>
      </c>
      <c r="AF166" s="6576"/>
      <c r="AG166" s="6120"/>
      <c r="AH166" s="6600"/>
      <c r="AI166" s="6120"/>
    </row>
    <row r="167" spans="1:91" s="5077" customFormat="1" ht="15" customHeight="1">
      <c r="A167" s="6300"/>
      <c r="B167" s="396" t="s">
        <v>93</v>
      </c>
      <c r="C167" s="1646" t="s">
        <v>72</v>
      </c>
      <c r="D167" s="393" t="s">
        <v>73</v>
      </c>
      <c r="E167" s="1395" t="s">
        <v>72</v>
      </c>
      <c r="F167" s="393" t="s">
        <v>73</v>
      </c>
      <c r="G167" s="1395" t="s">
        <v>72</v>
      </c>
      <c r="H167" s="393" t="s">
        <v>73</v>
      </c>
      <c r="I167" s="1395" t="s">
        <v>72</v>
      </c>
      <c r="J167" s="393" t="s">
        <v>73</v>
      </c>
      <c r="K167" s="1395" t="s">
        <v>72</v>
      </c>
      <c r="L167" s="393" t="s">
        <v>73</v>
      </c>
      <c r="M167" s="1395" t="s">
        <v>72</v>
      </c>
      <c r="N167" s="393" t="s">
        <v>73</v>
      </c>
      <c r="O167" s="1395" t="s">
        <v>72</v>
      </c>
      <c r="P167" s="393" t="s">
        <v>73</v>
      </c>
      <c r="Q167" s="1395" t="s">
        <v>72</v>
      </c>
      <c r="R167" s="393" t="s">
        <v>73</v>
      </c>
      <c r="S167" s="1395" t="s">
        <v>72</v>
      </c>
      <c r="T167" s="393" t="s">
        <v>73</v>
      </c>
      <c r="U167" s="1395" t="s">
        <v>72</v>
      </c>
      <c r="V167" s="393" t="s">
        <v>73</v>
      </c>
      <c r="W167" s="1395" t="s">
        <v>72</v>
      </c>
      <c r="X167" s="393" t="s">
        <v>73</v>
      </c>
      <c r="Y167" s="1395" t="s">
        <v>72</v>
      </c>
      <c r="Z167" s="393" t="s">
        <v>73</v>
      </c>
      <c r="AA167" s="1395" t="s">
        <v>72</v>
      </c>
      <c r="AB167" s="393" t="s">
        <v>73</v>
      </c>
      <c r="AC167" s="1395" t="s">
        <v>72</v>
      </c>
      <c r="AD167" s="393" t="s">
        <v>73</v>
      </c>
      <c r="AE167" s="1395" t="s">
        <v>72</v>
      </c>
      <c r="AF167" s="2305" t="s">
        <v>73</v>
      </c>
      <c r="AG167" s="6116"/>
      <c r="AH167" s="6188"/>
      <c r="AI167" s="6116"/>
    </row>
    <row r="168" spans="1:91" s="5077" customFormat="1" ht="15" customHeight="1">
      <c r="A168" s="2153" t="s">
        <v>4196</v>
      </c>
      <c r="B168" s="5273">
        <f t="shared" ref="B168:B187" si="110">SUM(C168:D168)</f>
        <v>0</v>
      </c>
      <c r="C168" s="5274">
        <f t="shared" ref="C168:D170" si="111">+E168+G168+I168+K168+M168+O168+Q168+S168+U168+W168+Y168+AA168+AC168+AE168</f>
        <v>0</v>
      </c>
      <c r="D168" s="5275">
        <f t="shared" si="111"/>
        <v>0</v>
      </c>
      <c r="E168" s="4570"/>
      <c r="F168" s="5082"/>
      <c r="G168" s="4570"/>
      <c r="H168" s="5082"/>
      <c r="I168" s="4570"/>
      <c r="J168" s="5082"/>
      <c r="K168" s="4570"/>
      <c r="L168" s="5082"/>
      <c r="M168" s="4570"/>
      <c r="N168" s="5082"/>
      <c r="O168" s="4570"/>
      <c r="P168" s="5082"/>
      <c r="Q168" s="4570"/>
      <c r="R168" s="5082"/>
      <c r="S168" s="4570"/>
      <c r="T168" s="5082"/>
      <c r="U168" s="4570"/>
      <c r="V168" s="5082"/>
      <c r="W168" s="4570"/>
      <c r="X168" s="5082"/>
      <c r="Y168" s="4570"/>
      <c r="Z168" s="5082"/>
      <c r="AA168" s="4570"/>
      <c r="AB168" s="5082"/>
      <c r="AC168" s="4570"/>
      <c r="AD168" s="5082"/>
      <c r="AE168" s="4570"/>
      <c r="AF168" s="5304"/>
      <c r="AG168" s="4595"/>
      <c r="AH168" s="4570"/>
      <c r="AI168" s="4595"/>
      <c r="AJ168" s="5077" t="str">
        <f t="shared" si="105"/>
        <v/>
      </c>
      <c r="CA168" s="5088" t="str">
        <f t="shared" ref="CA168:CA170" si="112">IF(AND(B168&gt;0,AH168="")," * No olvide digitar La variable Pueblos Originarios. Digite Cero si no tiene.",IF(AH168&gt;B168," * La variable Pueblos Originarios no puede ser mayor al Total Ambos Sexos.",""))</f>
        <v/>
      </c>
      <c r="CB168" s="5088" t="str">
        <f t="shared" ref="CB168:CB170" si="113">IF(AND(B168&gt;0,AI168="")," * No olvide digitar La variable Migrantes. Digite Cero si no tiene.",IF(AI168&gt;B168," * La variable Migrantes no puede ser mayor al Total Ambos Sexos.",""))</f>
        <v/>
      </c>
      <c r="CL168" s="5089">
        <f t="shared" ref="CL168:CL170" si="114">IF(AND(B168&gt;0,AH168=""),1,IF(AH168&gt;B168,1,0))</f>
        <v>0</v>
      </c>
      <c r="CM168" s="5089">
        <f t="shared" ref="CM168:CM170" si="115">IF(AND(B168&gt;0,AI168=""),1,IF(AI168&gt;B168,1,0))</f>
        <v>0</v>
      </c>
    </row>
    <row r="169" spans="1:91" s="5077" customFormat="1" ht="15" customHeight="1">
      <c r="A169" s="2153" t="s">
        <v>4197</v>
      </c>
      <c r="B169" s="5295">
        <f t="shared" si="110"/>
        <v>0</v>
      </c>
      <c r="C169" s="5296">
        <f t="shared" si="111"/>
        <v>0</v>
      </c>
      <c r="D169" s="5297">
        <f t="shared" si="111"/>
        <v>0</v>
      </c>
      <c r="E169" s="4575"/>
      <c r="F169" s="5090"/>
      <c r="G169" s="4575"/>
      <c r="H169" s="5090"/>
      <c r="I169" s="4575"/>
      <c r="J169" s="5090"/>
      <c r="K169" s="4575"/>
      <c r="L169" s="5090"/>
      <c r="M169" s="4575"/>
      <c r="N169" s="5090"/>
      <c r="O169" s="4575"/>
      <c r="P169" s="5090"/>
      <c r="Q169" s="4575"/>
      <c r="R169" s="5090"/>
      <c r="S169" s="4575"/>
      <c r="T169" s="5090"/>
      <c r="U169" s="4575"/>
      <c r="V169" s="5090"/>
      <c r="W169" s="4575"/>
      <c r="X169" s="5090"/>
      <c r="Y169" s="4575"/>
      <c r="Z169" s="5090"/>
      <c r="AA169" s="4575"/>
      <c r="AB169" s="5090"/>
      <c r="AC169" s="4575"/>
      <c r="AD169" s="5090"/>
      <c r="AE169" s="4575"/>
      <c r="AF169" s="5305"/>
      <c r="AG169" s="4601"/>
      <c r="AH169" s="4575"/>
      <c r="AI169" s="4601"/>
      <c r="AJ169" s="5077" t="str">
        <f t="shared" si="105"/>
        <v/>
      </c>
      <c r="CA169" s="5088" t="str">
        <f t="shared" si="112"/>
        <v/>
      </c>
      <c r="CB169" s="5088" t="str">
        <f t="shared" si="113"/>
        <v/>
      </c>
      <c r="CL169" s="5089">
        <f t="shared" si="114"/>
        <v>0</v>
      </c>
      <c r="CM169" s="5089">
        <f t="shared" si="115"/>
        <v>0</v>
      </c>
    </row>
    <row r="170" spans="1:91" s="5077" customFormat="1" ht="15" customHeight="1">
      <c r="A170" s="2153" t="s">
        <v>4208</v>
      </c>
      <c r="B170" s="5295">
        <f t="shared" si="110"/>
        <v>0</v>
      </c>
      <c r="C170" s="5296">
        <f t="shared" si="111"/>
        <v>0</v>
      </c>
      <c r="D170" s="5297">
        <f t="shared" si="111"/>
        <v>0</v>
      </c>
      <c r="E170" s="5166"/>
      <c r="F170" s="5096"/>
      <c r="G170" s="5166"/>
      <c r="H170" s="5096"/>
      <c r="I170" s="5166"/>
      <c r="J170" s="5096"/>
      <c r="K170" s="5166"/>
      <c r="L170" s="5096"/>
      <c r="M170" s="5166"/>
      <c r="N170" s="5096"/>
      <c r="O170" s="5166"/>
      <c r="P170" s="5096"/>
      <c r="Q170" s="5166"/>
      <c r="R170" s="5096"/>
      <c r="S170" s="5166"/>
      <c r="T170" s="5096"/>
      <c r="U170" s="5166"/>
      <c r="V170" s="5096"/>
      <c r="W170" s="5166"/>
      <c r="X170" s="5096"/>
      <c r="Y170" s="5166"/>
      <c r="Z170" s="5096"/>
      <c r="AA170" s="5166"/>
      <c r="AB170" s="5096"/>
      <c r="AC170" s="5166"/>
      <c r="AD170" s="5096"/>
      <c r="AE170" s="5166"/>
      <c r="AF170" s="5306"/>
      <c r="AG170" s="5213"/>
      <c r="AH170" s="5166"/>
      <c r="AI170" s="5213"/>
      <c r="AJ170" s="5077" t="str">
        <f t="shared" si="105"/>
        <v/>
      </c>
      <c r="CA170" s="5088" t="str">
        <f t="shared" si="112"/>
        <v/>
      </c>
      <c r="CB170" s="5088" t="str">
        <f t="shared" si="113"/>
        <v/>
      </c>
      <c r="CL170" s="5089">
        <f t="shared" si="114"/>
        <v>0</v>
      </c>
      <c r="CM170" s="5089">
        <f t="shared" si="115"/>
        <v>0</v>
      </c>
    </row>
    <row r="171" spans="1:91" s="5077" customFormat="1" ht="15" customHeight="1">
      <c r="A171" s="458" t="s">
        <v>4209</v>
      </c>
      <c r="B171" s="5307"/>
      <c r="C171" s="5308"/>
      <c r="D171" s="5309"/>
      <c r="E171" s="5310"/>
      <c r="F171" s="5311"/>
      <c r="G171" s="5310"/>
      <c r="H171" s="5311"/>
      <c r="I171" s="5310"/>
      <c r="J171" s="5311"/>
      <c r="K171" s="5310"/>
      <c r="L171" s="5311"/>
      <c r="M171" s="5310"/>
      <c r="N171" s="5311"/>
      <c r="O171" s="5310"/>
      <c r="P171" s="5311"/>
      <c r="Q171" s="5310"/>
      <c r="R171" s="5311"/>
      <c r="S171" s="5310"/>
      <c r="T171" s="5311"/>
      <c r="U171" s="5310"/>
      <c r="V171" s="5311"/>
      <c r="W171" s="5310"/>
      <c r="X171" s="5311"/>
      <c r="Y171" s="5310"/>
      <c r="Z171" s="5311"/>
      <c r="AA171" s="5310"/>
      <c r="AB171" s="5311"/>
      <c r="AC171" s="5310"/>
      <c r="AD171" s="5311"/>
      <c r="AE171" s="5310"/>
      <c r="AF171" s="5312"/>
      <c r="AG171" s="5157"/>
      <c r="AH171" s="5310"/>
      <c r="AI171" s="5313"/>
    </row>
    <row r="172" spans="1:91" s="5077" customFormat="1" ht="17.100000000000001" customHeight="1">
      <c r="A172" s="5300" t="s">
        <v>4210</v>
      </c>
    </row>
    <row r="173" spans="1:91" s="5077" customFormat="1" ht="15" customHeight="1">
      <c r="A173" s="6766" t="s">
        <v>2433</v>
      </c>
      <c r="B173" s="6766" t="s">
        <v>4195</v>
      </c>
      <c r="C173" s="6727" t="s">
        <v>4211</v>
      </c>
      <c r="D173" s="6370"/>
      <c r="E173" s="6766" t="s">
        <v>4212</v>
      </c>
      <c r="F173" s="6727" t="s">
        <v>43</v>
      </c>
      <c r="G173" s="6370"/>
      <c r="H173" s="6370"/>
      <c r="I173" s="6370"/>
      <c r="J173" s="6370"/>
      <c r="K173" s="6370"/>
      <c r="L173" s="6370"/>
      <c r="M173" s="6370"/>
      <c r="N173" s="6370"/>
      <c r="O173" s="6370"/>
      <c r="P173" s="6370"/>
      <c r="Q173" s="6370"/>
      <c r="R173" s="6370"/>
      <c r="S173" s="6370"/>
      <c r="T173" s="6371"/>
    </row>
    <row r="174" spans="1:91" s="5077" customFormat="1" ht="21">
      <c r="A174" s="6767"/>
      <c r="B174" s="6767"/>
      <c r="C174" s="1497" t="s">
        <v>4196</v>
      </c>
      <c r="D174" s="1594" t="s">
        <v>4213</v>
      </c>
      <c r="E174" s="6767"/>
      <c r="F174" s="1497" t="s">
        <v>95</v>
      </c>
      <c r="G174" s="1498" t="s">
        <v>96</v>
      </c>
      <c r="H174" s="1498" t="s">
        <v>97</v>
      </c>
      <c r="I174" s="1498" t="s">
        <v>98</v>
      </c>
      <c r="J174" s="1498" t="s">
        <v>2111</v>
      </c>
      <c r="K174" s="1498" t="s">
        <v>100</v>
      </c>
      <c r="L174" s="1498" t="s">
        <v>240</v>
      </c>
      <c r="M174" s="1498" t="s">
        <v>102</v>
      </c>
      <c r="N174" s="1498" t="s">
        <v>241</v>
      </c>
      <c r="O174" s="1498" t="s">
        <v>4214</v>
      </c>
      <c r="P174" s="1498" t="s">
        <v>4215</v>
      </c>
      <c r="Q174" s="1498" t="s">
        <v>4216</v>
      </c>
      <c r="R174" s="1498" t="s">
        <v>243</v>
      </c>
      <c r="S174" s="1498" t="s">
        <v>4217</v>
      </c>
      <c r="T174" s="1594" t="s">
        <v>4218</v>
      </c>
    </row>
    <row r="175" spans="1:91" s="5077" customFormat="1" ht="15" customHeight="1">
      <c r="A175" s="2153" t="s">
        <v>112</v>
      </c>
      <c r="B175" s="2392">
        <f t="shared" si="110"/>
        <v>0</v>
      </c>
      <c r="C175" s="5166"/>
      <c r="D175" s="5298"/>
      <c r="E175" s="2392">
        <f t="shared" ref="E175:E176" si="116">+F175+G175+H175+I175+K175+L175+M175+N175+O175+P175+Q175+R175+S175+T175</f>
        <v>0</v>
      </c>
      <c r="F175" s="4575"/>
      <c r="G175" s="4576"/>
      <c r="H175" s="4576"/>
      <c r="I175" s="4576"/>
      <c r="J175" s="5314"/>
      <c r="K175" s="4576"/>
      <c r="L175" s="4576"/>
      <c r="M175" s="4576"/>
      <c r="N175" s="4576"/>
      <c r="O175" s="4576"/>
      <c r="P175" s="4576"/>
      <c r="Q175" s="4576"/>
      <c r="R175" s="4576"/>
      <c r="S175" s="4576"/>
      <c r="T175" s="4601"/>
    </row>
    <row r="176" spans="1:91" s="5077" customFormat="1" ht="15" customHeight="1">
      <c r="A176" s="2153" t="s">
        <v>78</v>
      </c>
      <c r="B176" s="4998">
        <f t="shared" si="110"/>
        <v>0</v>
      </c>
      <c r="C176" s="4575"/>
      <c r="D176" s="4602"/>
      <c r="E176" s="4612">
        <f t="shared" si="116"/>
        <v>0</v>
      </c>
      <c r="F176" s="4575"/>
      <c r="G176" s="4576"/>
      <c r="H176" s="4576"/>
      <c r="I176" s="4576"/>
      <c r="J176" s="5315"/>
      <c r="K176" s="4576"/>
      <c r="L176" s="4576"/>
      <c r="M176" s="4576"/>
      <c r="N176" s="4576"/>
      <c r="O176" s="4576"/>
      <c r="P176" s="4576"/>
      <c r="Q176" s="4576"/>
      <c r="R176" s="4576"/>
      <c r="S176" s="4576"/>
      <c r="T176" s="4601"/>
    </row>
    <row r="177" spans="1:20" s="5077" customFormat="1" ht="15" customHeight="1">
      <c r="A177" s="2153" t="s">
        <v>119</v>
      </c>
      <c r="B177" s="4998">
        <f t="shared" si="110"/>
        <v>0</v>
      </c>
      <c r="C177" s="4575"/>
      <c r="D177" s="4602"/>
      <c r="E177" s="4612">
        <f>SUM(F177:T177)</f>
        <v>0</v>
      </c>
      <c r="F177" s="4575"/>
      <c r="G177" s="4576"/>
      <c r="H177" s="4576"/>
      <c r="I177" s="4576"/>
      <c r="J177" s="4576"/>
      <c r="K177" s="4576"/>
      <c r="L177" s="4576"/>
      <c r="M177" s="4576"/>
      <c r="N177" s="4576"/>
      <c r="O177" s="4576"/>
      <c r="P177" s="4576"/>
      <c r="Q177" s="4576"/>
      <c r="R177" s="4576"/>
      <c r="S177" s="4576"/>
      <c r="T177" s="4601"/>
    </row>
    <row r="178" spans="1:20" s="5077" customFormat="1" ht="15" customHeight="1">
      <c r="A178" s="453" t="s">
        <v>4219</v>
      </c>
      <c r="B178" s="3509">
        <f t="shared" si="110"/>
        <v>0</v>
      </c>
      <c r="C178" s="4580"/>
      <c r="D178" s="4608"/>
      <c r="E178" s="5232">
        <f>+F178+G178+H178+I178+K178+L178+M178+N178+O178+P178+Q178+R178+S178+T178</f>
        <v>0</v>
      </c>
      <c r="F178" s="4580"/>
      <c r="G178" s="4581"/>
      <c r="H178" s="4581"/>
      <c r="I178" s="4581"/>
      <c r="J178" s="5316"/>
      <c r="K178" s="4581"/>
      <c r="L178" s="4581"/>
      <c r="M178" s="4581"/>
      <c r="N178" s="4581"/>
      <c r="O178" s="4581"/>
      <c r="P178" s="4581"/>
      <c r="Q178" s="4581"/>
      <c r="R178" s="4581"/>
      <c r="S178" s="4581"/>
      <c r="T178" s="4607"/>
    </row>
    <row r="179" spans="1:20" s="5076" customFormat="1" ht="17.100000000000001" customHeight="1">
      <c r="A179" s="5300" t="s">
        <v>4220</v>
      </c>
    </row>
    <row r="180" spans="1:20" s="5077" customFormat="1" ht="15" customHeight="1">
      <c r="A180" s="6298" t="s">
        <v>4221</v>
      </c>
      <c r="B180" s="6049" t="s">
        <v>4222</v>
      </c>
      <c r="C180" s="6060"/>
      <c r="D180" s="6059"/>
      <c r="E180" s="6049" t="s">
        <v>4223</v>
      </c>
      <c r="F180" s="6060"/>
      <c r="G180" s="6059"/>
    </row>
    <row r="181" spans="1:20" s="5077" customFormat="1" ht="15" customHeight="1">
      <c r="A181" s="6300"/>
      <c r="B181" s="2537" t="s">
        <v>93</v>
      </c>
      <c r="C181" s="1497" t="s">
        <v>72</v>
      </c>
      <c r="D181" s="1594" t="s">
        <v>73</v>
      </c>
      <c r="E181" s="2537" t="s">
        <v>93</v>
      </c>
      <c r="F181" s="1497" t="s">
        <v>72</v>
      </c>
      <c r="G181" s="1594" t="s">
        <v>73</v>
      </c>
    </row>
    <row r="182" spans="1:20" s="5077" customFormat="1" ht="15" customHeight="1">
      <c r="A182" s="2153" t="s">
        <v>4224</v>
      </c>
      <c r="B182" s="5317">
        <f t="shared" si="110"/>
        <v>0</v>
      </c>
      <c r="C182" s="5318"/>
      <c r="D182" s="5319"/>
      <c r="E182" s="5317">
        <f t="shared" ref="E182:E183" si="117">SUM(F182:G182)</f>
        <v>0</v>
      </c>
      <c r="F182" s="5318"/>
      <c r="G182" s="5319"/>
    </row>
    <row r="183" spans="1:20" s="5077" customFormat="1" ht="15" customHeight="1">
      <c r="A183" s="453" t="s">
        <v>4225</v>
      </c>
      <c r="B183" s="5320">
        <f t="shared" si="110"/>
        <v>0</v>
      </c>
      <c r="C183" s="5321"/>
      <c r="D183" s="5322"/>
      <c r="E183" s="5320">
        <f t="shared" si="117"/>
        <v>0</v>
      </c>
      <c r="F183" s="5321"/>
      <c r="G183" s="5322"/>
    </row>
    <row r="184" spans="1:20" s="5076" customFormat="1" ht="17.100000000000001" customHeight="1">
      <c r="A184" s="5323" t="s">
        <v>4226</v>
      </c>
    </row>
    <row r="185" spans="1:20">
      <c r="A185" s="6731" t="s">
        <v>236</v>
      </c>
      <c r="B185" s="7273" t="s">
        <v>4195</v>
      </c>
      <c r="C185" s="6396" t="s">
        <v>4227</v>
      </c>
      <c r="D185" s="6390"/>
      <c r="E185" s="6391"/>
      <c r="F185" s="6766" t="s">
        <v>4212</v>
      </c>
      <c r="G185" s="6730" t="s">
        <v>43</v>
      </c>
      <c r="H185" s="6732"/>
      <c r="I185" s="6732"/>
      <c r="J185" s="6732"/>
      <c r="K185" s="6732"/>
      <c r="L185" s="6731"/>
    </row>
    <row r="186" spans="1:20" ht="21">
      <c r="A186" s="6358"/>
      <c r="B186" s="7274"/>
      <c r="C186" s="2340" t="s">
        <v>4228</v>
      </c>
      <c r="D186" s="2341" t="s">
        <v>4197</v>
      </c>
      <c r="E186" s="1641" t="s">
        <v>4229</v>
      </c>
      <c r="F186" s="6767"/>
      <c r="G186" s="5324" t="s">
        <v>239</v>
      </c>
      <c r="H186" s="5048" t="s">
        <v>4230</v>
      </c>
      <c r="I186" s="5048" t="s">
        <v>4231</v>
      </c>
      <c r="J186" s="5048" t="s">
        <v>4232</v>
      </c>
      <c r="K186" s="5048" t="s">
        <v>4233</v>
      </c>
      <c r="L186" s="5325" t="s">
        <v>4234</v>
      </c>
    </row>
    <row r="187" spans="1:20">
      <c r="A187" s="2153" t="s">
        <v>4235</v>
      </c>
      <c r="B187" s="4720">
        <f t="shared" si="110"/>
        <v>0</v>
      </c>
      <c r="C187" s="5166"/>
      <c r="D187" s="5167"/>
      <c r="E187" s="5326"/>
      <c r="F187" s="2392">
        <f t="shared" ref="F187:F189" si="118">SUM(G187:L187)</f>
        <v>0</v>
      </c>
      <c r="G187" s="4570"/>
      <c r="H187" s="4571"/>
      <c r="I187" s="4571"/>
      <c r="J187" s="4571"/>
      <c r="K187" s="4571"/>
      <c r="L187" s="5213"/>
    </row>
    <row r="188" spans="1:20">
      <c r="A188" s="2153" t="s">
        <v>4236</v>
      </c>
      <c r="B188" s="4612">
        <f>SUM(C188:E188)</f>
        <v>0</v>
      </c>
      <c r="C188" s="4575"/>
      <c r="D188" s="4576"/>
      <c r="E188" s="5298"/>
      <c r="F188" s="4612">
        <f t="shared" si="118"/>
        <v>0</v>
      </c>
      <c r="G188" s="4575"/>
      <c r="H188" s="4576"/>
      <c r="I188" s="4576"/>
      <c r="J188" s="4576"/>
      <c r="K188" s="4576"/>
      <c r="L188" s="4601"/>
    </row>
    <row r="189" spans="1:20">
      <c r="A189" s="453" t="s">
        <v>4237</v>
      </c>
      <c r="B189" s="5225">
        <f>SUM(C189:D189)</f>
        <v>0</v>
      </c>
      <c r="C189" s="4580"/>
      <c r="D189" s="4581"/>
      <c r="E189" s="5327"/>
      <c r="F189" s="3509">
        <f t="shared" si="118"/>
        <v>0</v>
      </c>
      <c r="G189" s="4580"/>
      <c r="H189" s="4581"/>
      <c r="I189" s="4581"/>
      <c r="J189" s="4581"/>
      <c r="K189" s="4581"/>
      <c r="L189" s="4607"/>
    </row>
    <row r="190" spans="1:20" s="5076" customFormat="1" ht="17.100000000000001" customHeight="1">
      <c r="A190" s="7272" t="s">
        <v>4238</v>
      </c>
      <c r="B190" s="7272"/>
      <c r="C190" s="7272"/>
    </row>
    <row r="191" spans="1:20" ht="15" customHeight="1">
      <c r="A191" s="6152" t="s">
        <v>4239</v>
      </c>
      <c r="B191" s="6154"/>
      <c r="C191" s="5718" t="s">
        <v>4240</v>
      </c>
      <c r="D191" s="6052" t="s">
        <v>4241</v>
      </c>
      <c r="E191" s="6053"/>
      <c r="F191" s="6053"/>
      <c r="G191" s="6053"/>
      <c r="H191" s="6053"/>
      <c r="I191" s="6053"/>
      <c r="J191" s="6054"/>
      <c r="K191" s="6106" t="s">
        <v>4242</v>
      </c>
      <c r="L191" s="6106"/>
      <c r="M191" s="6106"/>
      <c r="N191" s="5712"/>
    </row>
    <row r="192" spans="1:20" ht="21">
      <c r="A192" s="6155"/>
      <c r="B192" s="6157"/>
      <c r="C192" s="5719"/>
      <c r="D192" s="2340" t="s">
        <v>4228</v>
      </c>
      <c r="E192" s="2341" t="s">
        <v>4243</v>
      </c>
      <c r="F192" s="2341" t="s">
        <v>4244</v>
      </c>
      <c r="G192" s="1641" t="s">
        <v>4245</v>
      </c>
      <c r="H192" s="1640" t="s">
        <v>4212</v>
      </c>
      <c r="I192" s="2340" t="s">
        <v>476</v>
      </c>
      <c r="J192" s="1641" t="s">
        <v>4246</v>
      </c>
      <c r="K192" s="2340" t="s">
        <v>4247</v>
      </c>
      <c r="L192" s="2341" t="s">
        <v>4248</v>
      </c>
      <c r="M192" s="2341" t="s">
        <v>4249</v>
      </c>
      <c r="N192" s="1642" t="s">
        <v>4250</v>
      </c>
    </row>
    <row r="193" spans="1:91" ht="15" customHeight="1">
      <c r="A193" s="6127" t="s">
        <v>4251</v>
      </c>
      <c r="B193" s="446" t="s">
        <v>4252</v>
      </c>
      <c r="C193" s="2392">
        <f>SUM(E193+G193)</f>
        <v>0</v>
      </c>
      <c r="D193" s="5328"/>
      <c r="E193" s="4576"/>
      <c r="F193" s="5314"/>
      <c r="G193" s="4602"/>
      <c r="H193" s="2392">
        <f>+K193+L193+M193</f>
        <v>0</v>
      </c>
      <c r="I193" s="5328"/>
      <c r="J193" s="5329"/>
      <c r="K193" s="4602"/>
      <c r="L193" s="4576"/>
      <c r="M193" s="4576"/>
      <c r="N193" s="5330"/>
    </row>
    <row r="194" spans="1:91" ht="15" customHeight="1">
      <c r="A194" s="6128"/>
      <c r="B194" s="420" t="s">
        <v>4253</v>
      </c>
      <c r="C194" s="4612">
        <f>SUM(D194+E194+G194)</f>
        <v>0</v>
      </c>
      <c r="D194" s="4575"/>
      <c r="E194" s="4576"/>
      <c r="F194" s="5331"/>
      <c r="G194" s="4602"/>
      <c r="H194" s="4612">
        <f t="shared" ref="H194:H195" si="119">SUM(I194:M194)</f>
        <v>0</v>
      </c>
      <c r="I194" s="5166"/>
      <c r="J194" s="5213"/>
      <c r="K194" s="4602"/>
      <c r="L194" s="4576"/>
      <c r="M194" s="4576"/>
      <c r="N194" s="5330"/>
    </row>
    <row r="195" spans="1:91" ht="15" customHeight="1">
      <c r="A195" s="6128"/>
      <c r="B195" s="420" t="s">
        <v>4254</v>
      </c>
      <c r="C195" s="4612">
        <f>+F195+G195</f>
        <v>0</v>
      </c>
      <c r="D195" s="5332"/>
      <c r="E195" s="5331"/>
      <c r="F195" s="4576"/>
      <c r="G195" s="4602"/>
      <c r="H195" s="4612">
        <f t="shared" si="119"/>
        <v>0</v>
      </c>
      <c r="I195" s="4575"/>
      <c r="J195" s="4601"/>
      <c r="K195" s="4602"/>
      <c r="L195" s="4576"/>
      <c r="M195" s="4576"/>
      <c r="N195" s="5326"/>
    </row>
    <row r="196" spans="1:91" ht="15" customHeight="1">
      <c r="A196" s="6129"/>
      <c r="B196" s="4886" t="s">
        <v>4255</v>
      </c>
      <c r="C196" s="2089">
        <f>SUM(D196:G196)</f>
        <v>0</v>
      </c>
      <c r="D196" s="4580"/>
      <c r="E196" s="4581"/>
      <c r="F196" s="4581"/>
      <c r="G196" s="4607"/>
      <c r="H196" s="5232">
        <f>+N196</f>
        <v>0</v>
      </c>
      <c r="I196" s="5333"/>
      <c r="J196" s="5327"/>
      <c r="K196" s="5334"/>
      <c r="L196" s="5335"/>
      <c r="M196" s="5335"/>
      <c r="N196" s="4607"/>
    </row>
    <row r="197" spans="1:91" s="5076" customFormat="1" ht="17.100000000000001" customHeight="1">
      <c r="A197" s="5323" t="s">
        <v>4256</v>
      </c>
    </row>
    <row r="198" spans="1:91" s="5077" customFormat="1" ht="15.75" customHeight="1">
      <c r="A198" s="7285" t="s">
        <v>236</v>
      </c>
      <c r="B198" s="7285" t="s">
        <v>4257</v>
      </c>
      <c r="C198" s="7213" t="s">
        <v>4258</v>
      </c>
      <c r="D198" s="7280" t="s">
        <v>4242</v>
      </c>
      <c r="E198" s="7286"/>
      <c r="F198" s="7280" t="s">
        <v>4259</v>
      </c>
      <c r="G198" s="7281"/>
      <c r="H198" s="7281"/>
      <c r="I198" s="7281"/>
      <c r="J198" s="7281"/>
      <c r="K198" s="7281"/>
      <c r="L198" s="7281"/>
      <c r="M198" s="7281"/>
      <c r="N198" s="7281"/>
      <c r="O198" s="7281"/>
      <c r="P198" s="7281"/>
      <c r="Q198" s="7281"/>
      <c r="R198" s="7281"/>
      <c r="S198" s="7282"/>
      <c r="T198" s="7217" t="s">
        <v>476</v>
      </c>
      <c r="U198" s="7223" t="s">
        <v>81</v>
      </c>
    </row>
    <row r="199" spans="1:91" s="5077" customFormat="1" ht="21">
      <c r="A199" s="7285"/>
      <c r="B199" s="7285"/>
      <c r="C199" s="7215"/>
      <c r="D199" s="1497" t="s">
        <v>4247</v>
      </c>
      <c r="E199" s="1594" t="s">
        <v>4260</v>
      </c>
      <c r="F199" s="5337" t="s">
        <v>551</v>
      </c>
      <c r="G199" s="5338" t="s">
        <v>346</v>
      </c>
      <c r="H199" s="5338" t="s">
        <v>347</v>
      </c>
      <c r="I199" s="5338" t="s">
        <v>108</v>
      </c>
      <c r="J199" s="5338" t="s">
        <v>58</v>
      </c>
      <c r="K199" s="5338" t="s">
        <v>326</v>
      </c>
      <c r="L199" s="5338" t="s">
        <v>60</v>
      </c>
      <c r="M199" s="5338" t="s">
        <v>61</v>
      </c>
      <c r="N199" s="5338" t="s">
        <v>62</v>
      </c>
      <c r="O199" s="5338" t="s">
        <v>63</v>
      </c>
      <c r="P199" s="5338" t="s">
        <v>64</v>
      </c>
      <c r="Q199" s="5338" t="s">
        <v>65</v>
      </c>
      <c r="R199" s="5338" t="s">
        <v>66</v>
      </c>
      <c r="S199" s="5339" t="s">
        <v>67</v>
      </c>
      <c r="T199" s="7219"/>
      <c r="U199" s="7225"/>
    </row>
    <row r="200" spans="1:91" s="5077" customFormat="1" ht="15" customHeight="1">
      <c r="A200" s="4574" t="s">
        <v>4261</v>
      </c>
      <c r="B200" s="4575"/>
      <c r="C200" s="5340">
        <f t="shared" ref="C200:C202" si="120">SUM(D200:S200)</f>
        <v>0</v>
      </c>
      <c r="D200" s="4575"/>
      <c r="E200" s="4602"/>
      <c r="F200" s="4575"/>
      <c r="G200" s="4576"/>
      <c r="H200" s="4576"/>
      <c r="I200" s="4576"/>
      <c r="J200" s="4576"/>
      <c r="K200" s="4576"/>
      <c r="L200" s="4576"/>
      <c r="M200" s="4576"/>
      <c r="N200" s="4576"/>
      <c r="O200" s="4576"/>
      <c r="P200" s="4576"/>
      <c r="Q200" s="4576"/>
      <c r="R200" s="4576"/>
      <c r="S200" s="5305"/>
      <c r="T200" s="5298"/>
      <c r="U200" s="5213"/>
      <c r="V200" s="5077" t="str">
        <f t="shared" ref="V200:V202" si="121">CA200&amp;CB200&amp;CC200&amp;CF200</f>
        <v/>
      </c>
      <c r="CA200" s="5088" t="str">
        <f t="shared" ref="CA200:CA202" si="122">IF(AND(T200="",C200&gt;0)," * No olvide digitar la variable Gestantes. Digite Cero si no tiene.","")</f>
        <v/>
      </c>
      <c r="CB200" s="5088" t="str">
        <f t="shared" ref="CB200:CB202" si="123">IF(AND(U200="",C200&gt;0)," * No olvide digitar la variable Post Parto. Digite Cero si no tiene.","")</f>
        <v/>
      </c>
      <c r="CF200" s="3366"/>
      <c r="CG200" s="3366"/>
      <c r="CH200" s="3366"/>
      <c r="CI200" s="3366"/>
      <c r="CJ200" s="3366"/>
      <c r="CK200" s="5089">
        <f t="shared" ref="CK200:CK202" si="124">IF(AND(T200="",C200&gt;0),1,0)</f>
        <v>0</v>
      </c>
      <c r="CL200" s="5089">
        <f t="shared" ref="CL200:CL202" si="125">IF(AND(U200="",C200&gt;0),1,0)</f>
        <v>0</v>
      </c>
      <c r="CM200" s="5089"/>
    </row>
    <row r="201" spans="1:91" s="5077" customFormat="1" ht="15" customHeight="1">
      <c r="A201" s="4574" t="s">
        <v>4262</v>
      </c>
      <c r="B201" s="4575"/>
      <c r="C201" s="5341">
        <f t="shared" si="120"/>
        <v>0</v>
      </c>
      <c r="D201" s="4575"/>
      <c r="E201" s="4602"/>
      <c r="F201" s="4575"/>
      <c r="G201" s="4576"/>
      <c r="H201" s="4576"/>
      <c r="I201" s="4576"/>
      <c r="J201" s="4576"/>
      <c r="K201" s="4576"/>
      <c r="L201" s="4576"/>
      <c r="M201" s="4576"/>
      <c r="N201" s="4576"/>
      <c r="O201" s="4576"/>
      <c r="P201" s="4576"/>
      <c r="Q201" s="4576"/>
      <c r="R201" s="4576"/>
      <c r="S201" s="5305"/>
      <c r="T201" s="4602"/>
      <c r="U201" s="4601"/>
      <c r="V201" s="5077" t="str">
        <f t="shared" si="121"/>
        <v/>
      </c>
      <c r="CA201" s="5088" t="str">
        <f t="shared" si="122"/>
        <v/>
      </c>
      <c r="CB201" s="5088" t="str">
        <f t="shared" si="123"/>
        <v/>
      </c>
      <c r="CF201" s="3366"/>
      <c r="CG201" s="3366"/>
      <c r="CH201" s="3366"/>
      <c r="CI201" s="3366"/>
      <c r="CJ201" s="3366"/>
      <c r="CK201" s="5089">
        <f t="shared" si="124"/>
        <v>0</v>
      </c>
      <c r="CL201" s="5089">
        <f t="shared" si="125"/>
        <v>0</v>
      </c>
      <c r="CM201" s="5089"/>
    </row>
    <row r="202" spans="1:91" s="5077" customFormat="1" ht="15" customHeight="1">
      <c r="A202" s="4591" t="s">
        <v>4263</v>
      </c>
      <c r="B202" s="4605"/>
      <c r="C202" s="5342">
        <f t="shared" si="120"/>
        <v>0</v>
      </c>
      <c r="D202" s="4580"/>
      <c r="E202" s="4608"/>
      <c r="F202" s="4580"/>
      <c r="G202" s="4581"/>
      <c r="H202" s="4581"/>
      <c r="I202" s="4581"/>
      <c r="J202" s="4581"/>
      <c r="K202" s="4581"/>
      <c r="L202" s="4581"/>
      <c r="M202" s="4581"/>
      <c r="N202" s="4581"/>
      <c r="O202" s="4581"/>
      <c r="P202" s="4581"/>
      <c r="Q202" s="4581"/>
      <c r="R202" s="4581"/>
      <c r="S202" s="5343"/>
      <c r="T202" s="4608"/>
      <c r="U202" s="4607"/>
      <c r="V202" s="5077" t="str">
        <f t="shared" si="121"/>
        <v/>
      </c>
      <c r="CA202" s="5088" t="str">
        <f t="shared" si="122"/>
        <v/>
      </c>
      <c r="CB202" s="5088" t="str">
        <f t="shared" si="123"/>
        <v/>
      </c>
      <c r="CF202" s="3366"/>
      <c r="CG202" s="3366"/>
      <c r="CH202" s="3366"/>
      <c r="CI202" s="3366"/>
      <c r="CJ202" s="3366"/>
      <c r="CK202" s="5089">
        <f t="shared" si="124"/>
        <v>0</v>
      </c>
      <c r="CL202" s="5089">
        <f t="shared" si="125"/>
        <v>0</v>
      </c>
      <c r="CM202" s="5089"/>
    </row>
    <row r="203" spans="1:91" s="5076" customFormat="1" ht="17.100000000000001" customHeight="1">
      <c r="A203" s="7287" t="s">
        <v>4264</v>
      </c>
      <c r="B203" s="7287"/>
      <c r="C203" s="7287"/>
      <c r="D203" s="7287"/>
      <c r="E203" s="7287"/>
      <c r="F203" s="7287"/>
      <c r="G203" s="7287"/>
      <c r="H203" s="7287"/>
      <c r="I203" s="7287"/>
      <c r="J203" s="7287"/>
      <c r="CK203" s="5077"/>
      <c r="CL203" s="5077"/>
      <c r="CM203" s="5077"/>
    </row>
    <row r="204" spans="1:91" ht="15" customHeight="1">
      <c r="A204" s="6494" t="s">
        <v>3359</v>
      </c>
      <c r="B204" s="6494" t="s">
        <v>4265</v>
      </c>
      <c r="C204" s="6049" t="s">
        <v>4242</v>
      </c>
      <c r="D204" s="6059"/>
      <c r="E204" s="6060" t="s">
        <v>4259</v>
      </c>
      <c r="F204" s="6060"/>
      <c r="G204" s="6060"/>
      <c r="H204" s="6060"/>
      <c r="I204" s="6060"/>
      <c r="J204" s="6726"/>
      <c r="K204" s="7283" t="s">
        <v>476</v>
      </c>
      <c r="L204" s="7266" t="s">
        <v>81</v>
      </c>
      <c r="CK204" s="5077"/>
      <c r="CL204" s="5077"/>
      <c r="CM204" s="5077"/>
    </row>
    <row r="205" spans="1:91" ht="21">
      <c r="A205" s="6494"/>
      <c r="B205" s="6494"/>
      <c r="C205" s="1497" t="s">
        <v>4247</v>
      </c>
      <c r="D205" s="1594" t="s">
        <v>4260</v>
      </c>
      <c r="E205" s="2539" t="s">
        <v>551</v>
      </c>
      <c r="F205" s="1498" t="s">
        <v>346</v>
      </c>
      <c r="G205" s="1498" t="s">
        <v>347</v>
      </c>
      <c r="H205" s="1498" t="s">
        <v>108</v>
      </c>
      <c r="I205" s="1498" t="s">
        <v>58</v>
      </c>
      <c r="J205" s="1595" t="s">
        <v>3216</v>
      </c>
      <c r="K205" s="7284"/>
      <c r="L205" s="7267"/>
      <c r="CK205" s="5077"/>
      <c r="CL205" s="5077"/>
      <c r="CM205" s="5077"/>
    </row>
    <row r="206" spans="1:91">
      <c r="A206" s="4574" t="s">
        <v>4266</v>
      </c>
      <c r="B206" s="2152">
        <f t="shared" ref="B206:B207" si="126">SUM(C206:J206)</f>
        <v>0</v>
      </c>
      <c r="C206" s="4575"/>
      <c r="D206" s="5090"/>
      <c r="E206" s="4602"/>
      <c r="F206" s="4576"/>
      <c r="G206" s="4576"/>
      <c r="H206" s="4576"/>
      <c r="I206" s="4576"/>
      <c r="J206" s="5281"/>
      <c r="K206" s="5344"/>
      <c r="L206" s="5256"/>
      <c r="M206" s="3366" t="str">
        <f t="shared" ref="M206:M207" si="127">CA206&amp;CB206</f>
        <v/>
      </c>
      <c r="CA206" s="5088" t="str">
        <f t="shared" ref="CA206:CA207" si="128">IF(AND(K206="",B206&gt;0)," * No olvide digitar la variable Gestantes. Digite Cero si no tiene.","")</f>
        <v/>
      </c>
      <c r="CB206" s="5088" t="str">
        <f t="shared" ref="CB206:CB207" si="129">IF(AND(L206="",B206&gt;0)," * No olvide digitar la variable Post Parto. Digite Cero si no tiene.","")</f>
        <v/>
      </c>
      <c r="CC206" s="5077"/>
      <c r="CK206" s="5089">
        <f t="shared" ref="CK206:CK207" si="130">IF(AND(K206="",B206&gt;0),1,0)</f>
        <v>0</v>
      </c>
      <c r="CL206" s="5089">
        <f t="shared" ref="CL206:CL207" si="131">IF(AND(L206="",B206&gt;0),1,0)</f>
        <v>0</v>
      </c>
      <c r="CM206" s="5077"/>
    </row>
    <row r="207" spans="1:91">
      <c r="A207" s="4591" t="s">
        <v>4267</v>
      </c>
      <c r="B207" s="2047">
        <f t="shared" si="126"/>
        <v>0</v>
      </c>
      <c r="C207" s="4580"/>
      <c r="D207" s="5174"/>
      <c r="E207" s="4608"/>
      <c r="F207" s="4581"/>
      <c r="G207" s="4581"/>
      <c r="H207" s="4581"/>
      <c r="I207" s="4581"/>
      <c r="J207" s="5285"/>
      <c r="K207" s="5345"/>
      <c r="L207" s="5346"/>
      <c r="M207" s="3366" t="str">
        <f t="shared" si="127"/>
        <v/>
      </c>
      <c r="CA207" s="5088" t="str">
        <f t="shared" si="128"/>
        <v/>
      </c>
      <c r="CB207" s="5088" t="str">
        <f t="shared" si="129"/>
        <v/>
      </c>
      <c r="CC207" s="5077"/>
      <c r="CK207" s="5089">
        <f t="shared" si="130"/>
        <v>0</v>
      </c>
      <c r="CL207" s="5089">
        <f t="shared" si="131"/>
        <v>0</v>
      </c>
      <c r="CM207" s="5077"/>
    </row>
    <row r="208" spans="1:91" s="5076" customFormat="1" ht="17.100000000000001" customHeight="1">
      <c r="A208" s="7287" t="s">
        <v>4268</v>
      </c>
      <c r="B208" s="7287"/>
      <c r="C208" s="7287"/>
      <c r="D208" s="7287"/>
      <c r="E208" s="7287"/>
      <c r="F208" s="7287"/>
      <c r="G208" s="7287"/>
    </row>
    <row r="209" spans="1:7" ht="15" customHeight="1">
      <c r="A209" s="6176" t="s">
        <v>3251</v>
      </c>
      <c r="B209" s="6176" t="s">
        <v>4195</v>
      </c>
      <c r="C209" s="5707" t="s">
        <v>4259</v>
      </c>
      <c r="D209" s="5708"/>
      <c r="E209" s="5708"/>
      <c r="F209" s="5708"/>
      <c r="G209" s="5709"/>
    </row>
    <row r="210" spans="1:7" ht="15" customHeight="1">
      <c r="A210" s="6178"/>
      <c r="B210" s="6178"/>
      <c r="C210" s="1395" t="s">
        <v>364</v>
      </c>
      <c r="D210" s="1396" t="s">
        <v>347</v>
      </c>
      <c r="E210" s="1646" t="s">
        <v>108</v>
      </c>
      <c r="F210" s="1646" t="s">
        <v>58</v>
      </c>
      <c r="G210" s="1584" t="s">
        <v>59</v>
      </c>
    </row>
    <row r="211" spans="1:7" ht="15" customHeight="1">
      <c r="A211" s="5347" t="s">
        <v>4269</v>
      </c>
      <c r="B211" s="5348">
        <f>SUM(C211:G211)</f>
        <v>0</v>
      </c>
      <c r="C211" s="5349"/>
      <c r="D211" s="5350"/>
      <c r="E211" s="5350"/>
      <c r="F211" s="5351"/>
      <c r="G211" s="5352"/>
    </row>
    <row r="212" spans="1:7" s="5076" customFormat="1" ht="18" customHeight="1">
      <c r="A212" s="7272" t="s">
        <v>4270</v>
      </c>
      <c r="B212" s="7272"/>
      <c r="C212" s="7272"/>
      <c r="D212" s="7272"/>
    </row>
    <row r="213" spans="1:7">
      <c r="A213" s="6298" t="s">
        <v>4271</v>
      </c>
      <c r="B213" s="5707" t="s">
        <v>3692</v>
      </c>
      <c r="C213" s="5708"/>
      <c r="D213" s="5709"/>
    </row>
    <row r="214" spans="1:7">
      <c r="A214" s="6299"/>
      <c r="B214" s="391" t="s">
        <v>3695</v>
      </c>
      <c r="C214" s="5710" t="s">
        <v>1661</v>
      </c>
      <c r="D214" s="5712"/>
    </row>
    <row r="215" spans="1:7">
      <c r="A215" s="6300"/>
      <c r="B215" s="1574" t="s">
        <v>3867</v>
      </c>
      <c r="C215" s="1395" t="s">
        <v>3839</v>
      </c>
      <c r="D215" s="393" t="s">
        <v>2606</v>
      </c>
    </row>
    <row r="216" spans="1:7" ht="15" customHeight="1">
      <c r="A216" s="2266" t="s">
        <v>3926</v>
      </c>
      <c r="B216" s="5195"/>
      <c r="C216" s="5353"/>
      <c r="D216" s="5354"/>
    </row>
    <row r="236" spans="1:2" ht="15" hidden="1" customHeight="1">
      <c r="A236" s="5355">
        <f>SUM(B11:B15,B19:B23,B28:B29,B35:B89,C95:C103,B109:B111,B116:B117,B123:B125,C130:C139,C141:C150,C156:C163,B168:B170,B175:B178,E175:E178,B182:B183,E182:E183,B187:B189,F187:F189,C193:C196,H193:H196,B200:B202,C200:C202,B206:B207,B211,B216:D216)</f>
        <v>0</v>
      </c>
      <c r="B236" s="5356">
        <f>SUM(CI11:CR207)</f>
        <v>0</v>
      </c>
    </row>
  </sheetData>
  <sheetProtection algorithmName="SHA-512" hashValue="VcGieRihow3QI9hOKI2UlWGzZOlqzkJZ1MjD9Rb4ejDUn0vtMYRreB/PQ1Gi7lNhJRvymFSk27SH8wuAp2Z6lw==" saltValue="QrtJw6+/QBQimmOZaER1Cg==" spinCount="100000" sheet="1" objects="1" scenarios="1"/>
  <mergeCells count="217">
    <mergeCell ref="AD154:AE154"/>
    <mergeCell ref="AF154:AG154"/>
    <mergeCell ref="A209:A210"/>
    <mergeCell ref="B209:B210"/>
    <mergeCell ref="C209:G209"/>
    <mergeCell ref="A213:A215"/>
    <mergeCell ref="B213:D213"/>
    <mergeCell ref="C214:D214"/>
    <mergeCell ref="F198:S198"/>
    <mergeCell ref="T198:T199"/>
    <mergeCell ref="U198:U199"/>
    <mergeCell ref="A204:A205"/>
    <mergeCell ref="B204:B205"/>
    <mergeCell ref="C204:D204"/>
    <mergeCell ref="E204:J204"/>
    <mergeCell ref="K204:K205"/>
    <mergeCell ref="L204:L205"/>
    <mergeCell ref="A198:A199"/>
    <mergeCell ref="B198:B199"/>
    <mergeCell ref="C198:C199"/>
    <mergeCell ref="D198:E198"/>
    <mergeCell ref="A212:D212"/>
    <mergeCell ref="A208:G208"/>
    <mergeCell ref="A203:J203"/>
    <mergeCell ref="AF128:AG128"/>
    <mergeCell ref="AH128:AI128"/>
    <mergeCell ref="AJ128:AK128"/>
    <mergeCell ref="AL128:AM128"/>
    <mergeCell ref="A130:A140"/>
    <mergeCell ref="A141:A151"/>
    <mergeCell ref="A153:A155"/>
    <mergeCell ref="B153:B155"/>
    <mergeCell ref="C153:E154"/>
    <mergeCell ref="F153:AG153"/>
    <mergeCell ref="AH153:AH155"/>
    <mergeCell ref="AI153:AI155"/>
    <mergeCell ref="F154:G154"/>
    <mergeCell ref="H154:I154"/>
    <mergeCell ref="J154:K154"/>
    <mergeCell ref="L154:M154"/>
    <mergeCell ref="N154:O154"/>
    <mergeCell ref="P154:Q154"/>
    <mergeCell ref="R154:S154"/>
    <mergeCell ref="T154:U154"/>
    <mergeCell ref="V154:W154"/>
    <mergeCell ref="X154:Y154"/>
    <mergeCell ref="Z154:AA154"/>
    <mergeCell ref="AB154:AC154"/>
    <mergeCell ref="W107:W108"/>
    <mergeCell ref="A113:D113"/>
    <mergeCell ref="A114:A115"/>
    <mergeCell ref="B114:D114"/>
    <mergeCell ref="E114:L114"/>
    <mergeCell ref="M114:M115"/>
    <mergeCell ref="N114:N115"/>
    <mergeCell ref="O114:O115"/>
    <mergeCell ref="P114:P115"/>
    <mergeCell ref="Q114:Q115"/>
    <mergeCell ref="R114:R115"/>
    <mergeCell ref="S114:S115"/>
    <mergeCell ref="T114:T115"/>
    <mergeCell ref="A104:B104"/>
    <mergeCell ref="A106:D106"/>
    <mergeCell ref="A107:A108"/>
    <mergeCell ref="B107:D107"/>
    <mergeCell ref="E107:P107"/>
    <mergeCell ref="Q107:Q108"/>
    <mergeCell ref="R107:R108"/>
    <mergeCell ref="S107:S108"/>
    <mergeCell ref="T107:T108"/>
    <mergeCell ref="AR32:AR34"/>
    <mergeCell ref="AS32:AS34"/>
    <mergeCell ref="C33:S33"/>
    <mergeCell ref="T33:U33"/>
    <mergeCell ref="Z33:AD33"/>
    <mergeCell ref="AE33:AI33"/>
    <mergeCell ref="A91:E91"/>
    <mergeCell ref="A92:B94"/>
    <mergeCell ref="C92:E93"/>
    <mergeCell ref="F92:AM92"/>
    <mergeCell ref="AN92:AO93"/>
    <mergeCell ref="AP92:AP94"/>
    <mergeCell ref="AQ92:AQ94"/>
    <mergeCell ref="AR92:AR94"/>
    <mergeCell ref="AS92:AS94"/>
    <mergeCell ref="F93:G93"/>
    <mergeCell ref="H93:I93"/>
    <mergeCell ref="J93:K93"/>
    <mergeCell ref="L93:M93"/>
    <mergeCell ref="N93:O93"/>
    <mergeCell ref="P93:Q93"/>
    <mergeCell ref="R93:S93"/>
    <mergeCell ref="T93:U93"/>
    <mergeCell ref="V93:W93"/>
    <mergeCell ref="A190:C190"/>
    <mergeCell ref="A191:B192"/>
    <mergeCell ref="C191:C192"/>
    <mergeCell ref="D191:J191"/>
    <mergeCell ref="K191:N191"/>
    <mergeCell ref="A193:A196"/>
    <mergeCell ref="A165:A167"/>
    <mergeCell ref="B165:D166"/>
    <mergeCell ref="E165:AF165"/>
    <mergeCell ref="A173:A174"/>
    <mergeCell ref="B173:B174"/>
    <mergeCell ref="C173:D173"/>
    <mergeCell ref="E173:E174"/>
    <mergeCell ref="F173:T173"/>
    <mergeCell ref="A180:A181"/>
    <mergeCell ref="B180:D180"/>
    <mergeCell ref="E180:G180"/>
    <mergeCell ref="A185:A186"/>
    <mergeCell ref="B185:B186"/>
    <mergeCell ref="C185:E185"/>
    <mergeCell ref="F185:F186"/>
    <mergeCell ref="G185:L185"/>
    <mergeCell ref="AI165:AI167"/>
    <mergeCell ref="U166:V166"/>
    <mergeCell ref="W166:X166"/>
    <mergeCell ref="Y166:Z166"/>
    <mergeCell ref="AA166:AB166"/>
    <mergeCell ref="AC166:AD166"/>
    <mergeCell ref="AE166:AF166"/>
    <mergeCell ref="A156:A159"/>
    <mergeCell ref="A160:A163"/>
    <mergeCell ref="AG165:AG167"/>
    <mergeCell ref="AH165:AH167"/>
    <mergeCell ref="E166:F166"/>
    <mergeCell ref="G166:H166"/>
    <mergeCell ref="I166:J166"/>
    <mergeCell ref="K166:L166"/>
    <mergeCell ref="M166:N166"/>
    <mergeCell ref="O166:P166"/>
    <mergeCell ref="Q166:R166"/>
    <mergeCell ref="S166:T166"/>
    <mergeCell ref="A127:A129"/>
    <mergeCell ref="B127:B129"/>
    <mergeCell ref="F127:AM127"/>
    <mergeCell ref="AN127:AN129"/>
    <mergeCell ref="AP127:AP129"/>
    <mergeCell ref="AQ127:AQ129"/>
    <mergeCell ref="AR127:AR129"/>
    <mergeCell ref="AS127:AS129"/>
    <mergeCell ref="A126:B126"/>
    <mergeCell ref="C127:E128"/>
    <mergeCell ref="AO127:AO129"/>
    <mergeCell ref="F128:G128"/>
    <mergeCell ref="H128:I128"/>
    <mergeCell ref="J128:K128"/>
    <mergeCell ref="L128:M128"/>
    <mergeCell ref="N128:O128"/>
    <mergeCell ref="P128:Q128"/>
    <mergeCell ref="R128:S128"/>
    <mergeCell ref="T128:U128"/>
    <mergeCell ref="V128:W128"/>
    <mergeCell ref="X128:Y128"/>
    <mergeCell ref="Z128:AA128"/>
    <mergeCell ref="AB128:AC128"/>
    <mergeCell ref="AD128:AE128"/>
    <mergeCell ref="AT92:AT94"/>
    <mergeCell ref="AU92:AU94"/>
    <mergeCell ref="X93:Y93"/>
    <mergeCell ref="Z93:AA93"/>
    <mergeCell ref="AB93:AC93"/>
    <mergeCell ref="AD93:AE93"/>
    <mergeCell ref="AF93:AG93"/>
    <mergeCell ref="AH93:AI93"/>
    <mergeCell ref="AJ93:AK93"/>
    <mergeCell ref="AL93:AM93"/>
    <mergeCell ref="AQ32:AQ34"/>
    <mergeCell ref="T26:U26"/>
    <mergeCell ref="V26:V27"/>
    <mergeCell ref="W26:W27"/>
    <mergeCell ref="A30:L30"/>
    <mergeCell ref="Y121:Y122"/>
    <mergeCell ref="Z121:Z122"/>
    <mergeCell ref="AA121:AA122"/>
    <mergeCell ref="U107:U108"/>
    <mergeCell ref="V107:V108"/>
    <mergeCell ref="A119:B119"/>
    <mergeCell ref="A120:B120"/>
    <mergeCell ref="A121:A122"/>
    <mergeCell ref="B121:B122"/>
    <mergeCell ref="C121:S121"/>
    <mergeCell ref="T121:U121"/>
    <mergeCell ref="V121:V122"/>
    <mergeCell ref="W121:W122"/>
    <mergeCell ref="X121:X122"/>
    <mergeCell ref="X26:Y26"/>
    <mergeCell ref="A31:L31"/>
    <mergeCell ref="A32:A34"/>
    <mergeCell ref="B32:B34"/>
    <mergeCell ref="C32:U32"/>
    <mergeCell ref="V9:V10"/>
    <mergeCell ref="W9:W10"/>
    <mergeCell ref="X9:X10"/>
    <mergeCell ref="Y9:Y10"/>
    <mergeCell ref="Z9:Z10"/>
    <mergeCell ref="AM32:AM34"/>
    <mergeCell ref="AN32:AN34"/>
    <mergeCell ref="AO32:AO34"/>
    <mergeCell ref="AP32:AP34"/>
    <mergeCell ref="V32:W33"/>
    <mergeCell ref="X32:Y33"/>
    <mergeCell ref="Z32:AI32"/>
    <mergeCell ref="AJ32:AL33"/>
    <mergeCell ref="A6:S6"/>
    <mergeCell ref="A8:C8"/>
    <mergeCell ref="A9:A10"/>
    <mergeCell ref="B9:B10"/>
    <mergeCell ref="C9:S9"/>
    <mergeCell ref="T9:U9"/>
    <mergeCell ref="A17:D17"/>
    <mergeCell ref="A25:L25"/>
    <mergeCell ref="A26:A27"/>
    <mergeCell ref="B26:B27"/>
    <mergeCell ref="C26:S26"/>
  </mergeCells>
  <dataValidations count="7">
    <dataValidation allowBlank="1" prompt="Valor no Permitido" sqref="CC28:CD29 CA27:CB29 CC27 CK27:CM27 CE27:CJ29" xr:uid="{00000000-0002-0000-1900-000000000000}"/>
    <dataValidation type="whole" operator="greaterThanOrEqual" allowBlank="1" showInputMessage="1" showErrorMessage="1" sqref="F130:AS139 AF35:AS89 F95:AU103 C11:Z15 C116:T117 F141:AS150 F156:AI163 C123:AA125 E168:AI171 C175:D178 F175:T178 C182:D183 F182:G183 C187:E189 G187:L189 D200:U202 I193:N196 B200:B202 C206:L207 C211:G211 D193:G196 B216:D216 AA35:AD89" xr:uid="{00D50059-0038-4350-9877-0040004D005A}">
      <formula1>0</formula1>
    </dataValidation>
    <dataValidation type="whole" operator="greaterThanOrEqual" allowBlank="1" showInputMessage="1" showErrorMessage="1" errorTitle="Error" error="Favor Ingrese sólo Números." sqref="C28:Y29 C35:Y89" xr:uid="{00570073-0060-44EB-9E8C-0013003E0077}">
      <formula1>0</formula1>
    </dataValidation>
    <dataValidation type="whole" allowBlank="1" showInputMessage="1" showErrorMessage="1" sqref="C19:E23" xr:uid="{00150045-0006-4AC9-B765-00B000E70003}">
      <formula1>0</formula1>
      <formula2>9.99999999999999E+37</formula2>
    </dataValidation>
    <dataValidation type="whole" allowBlank="1" showInputMessage="1" showErrorMessage="1" sqref="D96" xr:uid="{003500ED-00F6-427A-9400-004400BB00AD}">
      <formula1>0</formula1>
      <formula2>9.99999999999999E+33</formula2>
    </dataValidation>
    <dataValidation type="whole" allowBlank="1" showInputMessage="1" showErrorMessage="1" sqref="B171:D171" xr:uid="{008D004E-000F-4134-82C8-007F00FD0088}">
      <formula1>0</formula1>
      <formula2>9.99999999999999E+41</formula2>
    </dataValidation>
    <dataValidation type="whole" operator="equal" allowBlank="1" showInputMessage="1" showErrorMessage="1" sqref="B109:W112" xr:uid="{002A008F-00C4-4E50-AC20-00160047008D}">
      <formula1>0</formula1>
    </dataValidation>
  </dataValidations>
  <pageMargins left="0.7" right="0.7" top="0.75" bottom="0.75" header="0.3" footer="0.3"/>
  <pageSetup paperSize="9" orientation="portrait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Hoja27"/>
  <dimension ref="A1:CO981"/>
  <sheetViews>
    <sheetView showGridLines="0" workbookViewId="0"/>
  </sheetViews>
  <sheetFormatPr baseColWidth="10" defaultColWidth="14.42578125" defaultRowHeight="15"/>
  <cols>
    <col min="1" max="1" width="51.28515625" customWidth="1"/>
    <col min="2" max="2" width="35.42578125" customWidth="1"/>
    <col min="3" max="3" width="46.5703125" customWidth="1"/>
    <col min="4" max="4" width="16.7109375" customWidth="1"/>
    <col min="5" max="5" width="14.42578125" customWidth="1"/>
    <col min="6" max="40" width="12.7109375" customWidth="1"/>
    <col min="41" max="41" width="14" customWidth="1"/>
    <col min="42" max="44" width="12.140625" customWidth="1"/>
    <col min="45" max="45" width="12.42578125" customWidth="1"/>
    <col min="46" max="46" width="10.7109375" customWidth="1"/>
    <col min="47" max="47" width="14.5703125" customWidth="1"/>
    <col min="48" max="48" width="10.7109375" customWidth="1"/>
    <col min="49" max="49" width="14.140625" customWidth="1"/>
    <col min="50" max="50" width="10.7109375" customWidth="1"/>
    <col min="51" max="51" width="11.42578125" customWidth="1"/>
    <col min="52" max="54" width="10.7109375" customWidth="1"/>
    <col min="55" max="55" width="14.28515625" customWidth="1"/>
    <col min="56" max="57" width="14.140625" customWidth="1"/>
    <col min="77" max="78" width="14.42578125" customWidth="1"/>
    <col min="79" max="79" width="20.28515625" hidden="1" customWidth="1"/>
    <col min="80" max="93" width="14.42578125" hidden="1" customWidth="1"/>
    <col min="94" max="95" width="14.42578125" customWidth="1"/>
  </cols>
  <sheetData>
    <row r="1" spans="1:91">
      <c r="A1" s="378" t="s">
        <v>37</v>
      </c>
    </row>
    <row r="2" spans="1:91">
      <c r="A2" s="378" t="str">
        <f>CONCATENATE("COMUNA: ",NOMBRE!B2, " (",NOMBRE!C2,NOMBRE!D2,NOMBRE!E2,NOMBRE!F2,NOMBRE!G2,")")</f>
        <v>COMUNA: MAIPU (13119)</v>
      </c>
    </row>
    <row r="3" spans="1:91">
      <c r="A3" s="378" t="str">
        <f>CONCATENATE("ESTABLECIMIENTO/ESTRATEGIA: ", NOMBRE!B3, " (",NOMBRE!C3,NOMBRE!D3,NOMBRE!E3,NOMBRE!F3,NOMBRE!G3,NOMBRE!H3,")")</f>
        <v>ESTABLECIMIENTO/ESTRATEGIA: CESFAM DR. CARLOS GODOY (111380)</v>
      </c>
    </row>
    <row r="4" spans="1:91">
      <c r="A4" s="378" t="str">
        <f>CONCATENATE("MES: ",NOMBRE!B6, " (",NOMBRE!C6,NOMBRE!D6,")")</f>
        <v>MES: MARZO (03)</v>
      </c>
    </row>
    <row r="5" spans="1:91">
      <c r="A5" s="4499" t="str">
        <f>CONCATENATE("AÑO: ",NOMBRE!B7)</f>
        <v>AÑO: 2026</v>
      </c>
    </row>
    <row r="6" spans="1:91" s="5357" customFormat="1" ht="18" customHeight="1">
      <c r="A6" s="5704" t="s">
        <v>4272</v>
      </c>
      <c r="B6" s="5704"/>
      <c r="C6" s="5704"/>
      <c r="D6" s="5704"/>
      <c r="E6" s="5704"/>
      <c r="F6" s="5704"/>
      <c r="G6" s="5704"/>
      <c r="H6" s="5704"/>
      <c r="I6" s="5704"/>
      <c r="J6" s="5704"/>
      <c r="K6" s="5704"/>
      <c r="L6" s="5704"/>
      <c r="M6" s="5704"/>
      <c r="N6" s="5704"/>
      <c r="O6" s="5704"/>
      <c r="P6" s="5704"/>
      <c r="Q6" s="5704"/>
      <c r="R6" s="5704"/>
      <c r="S6" s="5704"/>
      <c r="T6" s="5704"/>
      <c r="U6" s="5704"/>
      <c r="V6" s="5704"/>
      <c r="W6" s="5704"/>
      <c r="X6" s="5704"/>
      <c r="Y6" s="5704"/>
      <c r="Z6" s="5704"/>
      <c r="AA6" s="5704"/>
      <c r="AB6" s="5704"/>
      <c r="AC6" s="5358"/>
      <c r="AD6" s="5358"/>
      <c r="AE6" s="5358"/>
      <c r="AF6" s="5358"/>
      <c r="AG6" s="5358"/>
      <c r="AH6" s="5358"/>
      <c r="AI6" s="5358"/>
      <c r="AJ6" s="5358"/>
      <c r="AK6" s="5358"/>
      <c r="AL6" s="5358"/>
      <c r="AM6" s="5358"/>
      <c r="AN6" s="5358"/>
      <c r="AO6" s="5358"/>
      <c r="AP6" s="5358"/>
      <c r="AQ6" s="5358"/>
      <c r="AR6" s="5358"/>
    </row>
    <row r="7" spans="1:91">
      <c r="A7" s="2007"/>
      <c r="E7" s="380"/>
      <c r="F7" s="380"/>
      <c r="G7" s="380"/>
      <c r="H7" s="380"/>
      <c r="I7" s="380"/>
      <c r="J7" s="380"/>
      <c r="K7" s="380"/>
      <c r="L7" s="380"/>
      <c r="M7" s="380"/>
    </row>
    <row r="8" spans="1:91" ht="17.100000000000001" customHeight="1">
      <c r="A8" s="7305" t="s">
        <v>4273</v>
      </c>
      <c r="B8" s="7305"/>
      <c r="C8" s="7305"/>
      <c r="D8" s="1645"/>
      <c r="E8" s="1645"/>
      <c r="F8" s="1645"/>
      <c r="G8" s="2391"/>
      <c r="H8" s="2391"/>
      <c r="I8" s="2391"/>
      <c r="J8" s="2391"/>
      <c r="K8" s="2391"/>
      <c r="L8" s="2391"/>
      <c r="M8" s="2391"/>
      <c r="N8" s="2391"/>
      <c r="O8" s="2391"/>
      <c r="P8" s="2391"/>
      <c r="Q8" s="2391"/>
      <c r="R8" s="2391"/>
      <c r="S8" s="2391"/>
      <c r="T8" s="2391"/>
      <c r="U8" s="2391"/>
      <c r="V8" s="2391"/>
      <c r="W8" s="2391"/>
      <c r="X8" s="2391"/>
      <c r="Y8" s="2391"/>
      <c r="Z8" s="2391"/>
      <c r="AA8" s="2391"/>
      <c r="AB8" s="2391"/>
      <c r="AC8" s="2391"/>
      <c r="AD8" s="2391"/>
      <c r="AE8" s="2391"/>
      <c r="AF8" s="2391"/>
      <c r="AG8" s="2391"/>
      <c r="AH8" s="2391"/>
      <c r="AI8" s="2391"/>
      <c r="AJ8" s="2391"/>
      <c r="AK8" s="2391"/>
      <c r="AL8" s="2391"/>
      <c r="AM8" s="2391"/>
      <c r="AN8" s="2391"/>
      <c r="AO8" s="2391"/>
      <c r="AP8" s="2391"/>
      <c r="AQ8" s="2391"/>
      <c r="AR8" s="2391"/>
      <c r="AS8" s="2391"/>
      <c r="AT8" s="2391"/>
      <c r="AU8" s="5359"/>
      <c r="AV8" s="5359"/>
    </row>
    <row r="9" spans="1:91" ht="15" customHeight="1">
      <c r="A9" s="7306" t="s">
        <v>4274</v>
      </c>
      <c r="B9" s="7307"/>
      <c r="C9" s="7308"/>
      <c r="D9" s="6478" t="s">
        <v>91</v>
      </c>
      <c r="E9" s="6479"/>
      <c r="F9" s="6473"/>
      <c r="G9" s="7312" t="s">
        <v>43</v>
      </c>
      <c r="H9" s="5708"/>
      <c r="I9" s="5708"/>
      <c r="J9" s="5708"/>
      <c r="K9" s="5708"/>
      <c r="L9" s="5708"/>
      <c r="M9" s="5708"/>
      <c r="N9" s="5708"/>
      <c r="O9" s="5708"/>
      <c r="P9" s="5708"/>
      <c r="Q9" s="5708"/>
      <c r="R9" s="5708"/>
      <c r="S9" s="5708"/>
      <c r="T9" s="5708"/>
      <c r="U9" s="5708"/>
      <c r="V9" s="5708"/>
      <c r="W9" s="5708"/>
      <c r="X9" s="5708"/>
      <c r="Y9" s="5708"/>
      <c r="Z9" s="5708"/>
      <c r="AA9" s="5708"/>
      <c r="AB9" s="5708"/>
      <c r="AC9" s="5708"/>
      <c r="AD9" s="5708"/>
      <c r="AE9" s="5708"/>
      <c r="AF9" s="5708"/>
      <c r="AG9" s="5708"/>
      <c r="AH9" s="5708"/>
      <c r="AI9" s="5708"/>
      <c r="AJ9" s="5708"/>
      <c r="AK9" s="5708"/>
      <c r="AL9" s="5708"/>
      <c r="AM9" s="5708"/>
      <c r="AN9" s="6576"/>
      <c r="AO9" s="6139" t="s">
        <v>343</v>
      </c>
      <c r="AP9" s="5718" t="s">
        <v>51</v>
      </c>
      <c r="AQ9" s="6139" t="s">
        <v>48</v>
      </c>
      <c r="AR9" s="5718" t="s">
        <v>49</v>
      </c>
      <c r="CA9" s="1645"/>
      <c r="CB9" s="1645"/>
      <c r="CC9" s="1645"/>
      <c r="CD9" s="5360"/>
      <c r="CE9" s="5360"/>
      <c r="CJ9" s="1645"/>
      <c r="CK9" s="6166"/>
      <c r="CL9" s="7315"/>
      <c r="CM9" s="7315"/>
    </row>
    <row r="10" spans="1:91" ht="15" customHeight="1">
      <c r="A10" s="7309"/>
      <c r="B10" s="7310"/>
      <c r="C10" s="7311"/>
      <c r="D10" s="6476"/>
      <c r="E10" s="6480"/>
      <c r="F10" s="6354"/>
      <c r="G10" s="7313" t="s">
        <v>1390</v>
      </c>
      <c r="H10" s="5712"/>
      <c r="I10" s="5710" t="s">
        <v>1391</v>
      </c>
      <c r="J10" s="5712"/>
      <c r="K10" s="5710" t="s">
        <v>4275</v>
      </c>
      <c r="L10" s="5712"/>
      <c r="M10" s="5710" t="s">
        <v>58</v>
      </c>
      <c r="N10" s="5712"/>
      <c r="O10" s="5710" t="s">
        <v>59</v>
      </c>
      <c r="P10" s="5712"/>
      <c r="Q10" s="5710" t="s">
        <v>1003</v>
      </c>
      <c r="R10" s="5712"/>
      <c r="S10" s="5710" t="s">
        <v>656</v>
      </c>
      <c r="T10" s="5712"/>
      <c r="U10" s="5710" t="s">
        <v>62</v>
      </c>
      <c r="V10" s="5712"/>
      <c r="W10" s="5710" t="s">
        <v>63</v>
      </c>
      <c r="X10" s="5712"/>
      <c r="Y10" s="5710" t="s">
        <v>1004</v>
      </c>
      <c r="Z10" s="5712"/>
      <c r="AA10" s="5710" t="s">
        <v>65</v>
      </c>
      <c r="AB10" s="5712"/>
      <c r="AC10" s="5710" t="s">
        <v>66</v>
      </c>
      <c r="AD10" s="5712"/>
      <c r="AE10" s="5710" t="s">
        <v>67</v>
      </c>
      <c r="AF10" s="5712"/>
      <c r="AG10" s="5710" t="s">
        <v>68</v>
      </c>
      <c r="AH10" s="5712"/>
      <c r="AI10" s="5710" t="s">
        <v>69</v>
      </c>
      <c r="AJ10" s="5712"/>
      <c r="AK10" s="5710" t="s">
        <v>70</v>
      </c>
      <c r="AL10" s="5712"/>
      <c r="AM10" s="5707" t="s">
        <v>1468</v>
      </c>
      <c r="AN10" s="6576"/>
      <c r="AO10" s="6166"/>
      <c r="AP10" s="6110"/>
      <c r="AQ10" s="6166"/>
      <c r="AR10" s="6110"/>
      <c r="CA10" s="1645"/>
      <c r="CB10" s="1645"/>
      <c r="CC10" s="1645"/>
      <c r="CD10" s="5360"/>
      <c r="CE10" s="5360"/>
      <c r="CJ10" s="1645"/>
      <c r="CK10" s="6166"/>
      <c r="CL10" s="7315"/>
      <c r="CM10" s="7315"/>
    </row>
    <row r="11" spans="1:91" ht="45.75" customHeight="1">
      <c r="A11" s="7309"/>
      <c r="B11" s="7310"/>
      <c r="C11" s="7311"/>
      <c r="D11" s="2414" t="s">
        <v>93</v>
      </c>
      <c r="E11" s="5361" t="s">
        <v>72</v>
      </c>
      <c r="F11" s="2411" t="s">
        <v>73</v>
      </c>
      <c r="G11" s="5362" t="s">
        <v>72</v>
      </c>
      <c r="H11" s="393" t="s">
        <v>73</v>
      </c>
      <c r="I11" s="1395" t="s">
        <v>72</v>
      </c>
      <c r="J11" s="393" t="s">
        <v>73</v>
      </c>
      <c r="K11" s="1395" t="s">
        <v>72</v>
      </c>
      <c r="L11" s="393" t="s">
        <v>73</v>
      </c>
      <c r="M11" s="1395" t="s">
        <v>72</v>
      </c>
      <c r="N11" s="393" t="s">
        <v>73</v>
      </c>
      <c r="O11" s="1395" t="s">
        <v>72</v>
      </c>
      <c r="P11" s="393" t="s">
        <v>73</v>
      </c>
      <c r="Q11" s="1395" t="s">
        <v>72</v>
      </c>
      <c r="R11" s="393" t="s">
        <v>73</v>
      </c>
      <c r="S11" s="1395" t="s">
        <v>72</v>
      </c>
      <c r="T11" s="393" t="s">
        <v>73</v>
      </c>
      <c r="U11" s="1395" t="s">
        <v>72</v>
      </c>
      <c r="V11" s="393" t="s">
        <v>73</v>
      </c>
      <c r="W11" s="1395" t="s">
        <v>72</v>
      </c>
      <c r="X11" s="393" t="s">
        <v>73</v>
      </c>
      <c r="Y11" s="1395" t="s">
        <v>72</v>
      </c>
      <c r="Z11" s="393" t="s">
        <v>73</v>
      </c>
      <c r="AA11" s="1395" t="s">
        <v>72</v>
      </c>
      <c r="AB11" s="393" t="s">
        <v>73</v>
      </c>
      <c r="AC11" s="1395" t="s">
        <v>72</v>
      </c>
      <c r="AD11" s="393" t="s">
        <v>73</v>
      </c>
      <c r="AE11" s="1395" t="s">
        <v>72</v>
      </c>
      <c r="AF11" s="393" t="s">
        <v>73</v>
      </c>
      <c r="AG11" s="1395" t="s">
        <v>72</v>
      </c>
      <c r="AH11" s="393" t="s">
        <v>73</v>
      </c>
      <c r="AI11" s="1395" t="s">
        <v>72</v>
      </c>
      <c r="AJ11" s="393" t="s">
        <v>73</v>
      </c>
      <c r="AK11" s="1395" t="s">
        <v>72</v>
      </c>
      <c r="AL11" s="393" t="s">
        <v>73</v>
      </c>
      <c r="AM11" s="1395" t="s">
        <v>72</v>
      </c>
      <c r="AN11" s="2305" t="s">
        <v>73</v>
      </c>
      <c r="AO11" s="6115"/>
      <c r="AP11" s="5719" t="s">
        <v>73</v>
      </c>
      <c r="AQ11" s="6115"/>
      <c r="AR11" s="5719"/>
      <c r="CA11" s="1645"/>
      <c r="CB11" s="1645"/>
      <c r="CC11" s="1645"/>
      <c r="CD11" s="5360"/>
      <c r="CE11" s="5360"/>
      <c r="CJ11" s="1645"/>
      <c r="CK11" s="6166"/>
      <c r="CL11" s="7315"/>
      <c r="CM11" s="7315"/>
    </row>
    <row r="12" spans="1:91" ht="15" customHeight="1">
      <c r="A12" s="7299" t="s">
        <v>4276</v>
      </c>
      <c r="B12" s="7302" t="s">
        <v>4277</v>
      </c>
      <c r="C12" s="2291" t="s">
        <v>4278</v>
      </c>
      <c r="D12" s="5363">
        <f t="shared" ref="D12:D34" si="0">SUM(E12:F12)</f>
        <v>0</v>
      </c>
      <c r="E12" s="5364">
        <f t="shared" ref="E12:E34" si="1">+G12+I12+K12+M12+O12+Q12+S12+U12+W12++Y12+AA12+AC12+AE12+AG12+AI12+AK12+AM12</f>
        <v>0</v>
      </c>
      <c r="F12" s="5365">
        <f t="shared" ref="F12:F34" si="2">+H12+J12+L12+N12+P12+R12+T12+V12+X12++Z12+AB12+AD12+AF12+AH12+AJ12+AL12+AN12</f>
        <v>0</v>
      </c>
      <c r="G12" s="2420"/>
      <c r="H12" s="5366"/>
      <c r="I12" s="2420"/>
      <c r="J12" s="5366"/>
      <c r="K12" s="2420"/>
      <c r="L12" s="5366"/>
      <c r="M12" s="2420"/>
      <c r="N12" s="5366"/>
      <c r="O12" s="5367"/>
      <c r="P12" s="5366"/>
      <c r="Q12" s="5368"/>
      <c r="R12" s="5366"/>
      <c r="S12" s="5368"/>
      <c r="T12" s="5366"/>
      <c r="U12" s="5368"/>
      <c r="V12" s="5366"/>
      <c r="W12" s="2420"/>
      <c r="X12" s="5366"/>
      <c r="Y12" s="2420"/>
      <c r="Z12" s="5366"/>
      <c r="AA12" s="2420"/>
      <c r="AB12" s="5366"/>
      <c r="AC12" s="2420"/>
      <c r="AD12" s="5366"/>
      <c r="AE12" s="2420"/>
      <c r="AF12" s="5366"/>
      <c r="AG12" s="2420"/>
      <c r="AH12" s="5366"/>
      <c r="AI12" s="2420"/>
      <c r="AJ12" s="5366"/>
      <c r="AK12" s="2420"/>
      <c r="AL12" s="5366"/>
      <c r="AM12" s="2420"/>
      <c r="AN12" s="5369"/>
      <c r="AO12" s="5370"/>
      <c r="AP12" s="5371"/>
      <c r="AQ12" s="5370"/>
      <c r="AR12" s="5371"/>
      <c r="AS12" t="str">
        <f t="shared" ref="AS12:AS34" si="3">CA12&amp;CB12&amp;CC12&amp;CD12&amp;CE12</f>
        <v/>
      </c>
      <c r="CA12" s="418" t="str">
        <f t="shared" ref="CA12:CA34" si="4">IF(AND($D12&lt;&gt;0,AO12="")," *No olvide ingresar la variable "&amp;AO$9&amp;""&amp;". Digite Cero si no tiene.  ",IF(AO12&gt;$D12," *La variable "&amp;AO$9&amp;""&amp;" no debe ser mayor al Total Ambos Sexos. ",""))</f>
        <v/>
      </c>
      <c r="CB12" s="418" t="str">
        <f t="shared" ref="CB12:CB34" si="5">IF(AND($D12&lt;&gt;0,AP12="")," *No olvide ingresar la variable "&amp;AP$9&amp;""&amp;". Digite Cero si no tiene. ",IF(AP12&gt;$D12," *La variable "&amp;AP$9&amp;""&amp;" no debe ser mayor al Total Ambos Sexos. ",""))</f>
        <v/>
      </c>
      <c r="CC12" s="418" t="str">
        <f t="shared" ref="CC12:CC34" si="6">IF(AND($D12&lt;&gt;0,AQ12="")," *No olvide ingresar la variable "&amp;AQ$9&amp;""&amp;". Digite Cero si no tiene. ",IF(AQ12&gt;$D12," *La variable "&amp;AQ$9&amp;""&amp;" no debe ser mayor al Total Ambos Sexos. ",""))</f>
        <v/>
      </c>
      <c r="CD12" s="418" t="str">
        <f t="shared" ref="CD12:CD34" si="7">IF(AND($D12&lt;&gt;0,AR12="")," *No olvide ingresar la variable "&amp;AR$9&amp;""&amp;". Digite Cero si no tiene. ",IF(AR12&gt;$D12," *La variable "&amp;AR$9&amp;""&amp;" no debe ser mayor al Total Ambos Sexos. ",""))</f>
        <v/>
      </c>
      <c r="CJ12" s="3416">
        <f t="shared" ref="CJ12:CJ34" si="8">IF(AND($D12&lt;&gt;0,AO12=""),1,IF(AO12&gt;$D12,1,0))</f>
        <v>0</v>
      </c>
      <c r="CK12" s="3416">
        <f t="shared" ref="CK12:CK34" si="9">IF(AND($D12&lt;&gt;0,AP12=""),1,IF(AP12&gt;$D12,1,0))</f>
        <v>0</v>
      </c>
      <c r="CL12" s="3416">
        <f t="shared" ref="CL12:CL34" si="10">IF(AND($D12&lt;&gt;0,AQ12=""),1,IF(AQ12&gt;$D12,1,0))</f>
        <v>0</v>
      </c>
      <c r="CM12" s="3416">
        <f t="shared" ref="CM12:CM34" si="11">IF(AND($D12&lt;&gt;0,AR12=""),1,IF(AR12&gt;$D12,1,0))</f>
        <v>0</v>
      </c>
    </row>
    <row r="13" spans="1:91" ht="15" customHeight="1">
      <c r="A13" s="7300"/>
      <c r="B13" s="7303"/>
      <c r="C13" s="3530" t="s">
        <v>4279</v>
      </c>
      <c r="D13" s="5372">
        <f t="shared" si="0"/>
        <v>0</v>
      </c>
      <c r="E13" s="5373">
        <f t="shared" si="1"/>
        <v>0</v>
      </c>
      <c r="F13" s="5374">
        <f t="shared" si="2"/>
        <v>0</v>
      </c>
      <c r="G13" s="5375"/>
      <c r="H13" s="5376"/>
      <c r="I13" s="5375"/>
      <c r="J13" s="5376"/>
      <c r="K13" s="5375"/>
      <c r="L13" s="5376"/>
      <c r="M13" s="5375"/>
      <c r="N13" s="5376"/>
      <c r="O13" s="5377"/>
      <c r="P13" s="5376"/>
      <c r="Q13" s="5377"/>
      <c r="R13" s="5376"/>
      <c r="S13" s="5377"/>
      <c r="T13" s="5376"/>
      <c r="U13" s="5377"/>
      <c r="V13" s="5376"/>
      <c r="W13" s="5375"/>
      <c r="X13" s="5376"/>
      <c r="Y13" s="5375"/>
      <c r="Z13" s="5376"/>
      <c r="AA13" s="5375"/>
      <c r="AB13" s="5376"/>
      <c r="AC13" s="5375"/>
      <c r="AD13" s="5376"/>
      <c r="AE13" s="5375"/>
      <c r="AF13" s="5376"/>
      <c r="AG13" s="5375"/>
      <c r="AH13" s="5376"/>
      <c r="AI13" s="5375"/>
      <c r="AJ13" s="5376"/>
      <c r="AK13" s="5375"/>
      <c r="AL13" s="5376"/>
      <c r="AM13" s="5375"/>
      <c r="AN13" s="5378"/>
      <c r="AO13" s="5379"/>
      <c r="AP13" s="5380"/>
      <c r="AQ13" s="5379"/>
      <c r="AR13" s="5380"/>
      <c r="AS13" t="str">
        <f t="shared" si="3"/>
        <v/>
      </c>
      <c r="CA13" s="418" t="str">
        <f t="shared" si="4"/>
        <v/>
      </c>
      <c r="CB13" s="418" t="str">
        <f t="shared" si="5"/>
        <v/>
      </c>
      <c r="CC13" s="418" t="str">
        <f t="shared" si="6"/>
        <v/>
      </c>
      <c r="CD13" s="418" t="str">
        <f t="shared" si="7"/>
        <v/>
      </c>
      <c r="CJ13" s="3416">
        <f t="shared" si="8"/>
        <v>0</v>
      </c>
      <c r="CK13" s="3416">
        <f t="shared" si="9"/>
        <v>0</v>
      </c>
      <c r="CL13" s="3416">
        <f t="shared" si="10"/>
        <v>0</v>
      </c>
      <c r="CM13" s="3416">
        <f t="shared" si="11"/>
        <v>0</v>
      </c>
    </row>
    <row r="14" spans="1:91" ht="15" customHeight="1">
      <c r="A14" s="7300"/>
      <c r="B14" s="7302" t="s">
        <v>4280</v>
      </c>
      <c r="C14" s="5381" t="s">
        <v>4281</v>
      </c>
      <c r="D14" s="5382">
        <f t="shared" si="0"/>
        <v>0</v>
      </c>
      <c r="E14" s="5382">
        <f t="shared" si="1"/>
        <v>0</v>
      </c>
      <c r="F14" s="5383">
        <f t="shared" si="2"/>
        <v>0</v>
      </c>
      <c r="G14" s="2457"/>
      <c r="H14" s="2458"/>
      <c r="I14" s="2457"/>
      <c r="J14" s="2458"/>
      <c r="K14" s="2457"/>
      <c r="L14" s="2458"/>
      <c r="M14" s="2457"/>
      <c r="N14" s="2458"/>
      <c r="O14" s="5384"/>
      <c r="P14" s="2458"/>
      <c r="Q14" s="5384"/>
      <c r="R14" s="2458"/>
      <c r="S14" s="5384"/>
      <c r="T14" s="2458"/>
      <c r="U14" s="5384"/>
      <c r="V14" s="2458"/>
      <c r="W14" s="2457"/>
      <c r="X14" s="2458"/>
      <c r="Y14" s="2457"/>
      <c r="Z14" s="2458"/>
      <c r="AA14" s="2457"/>
      <c r="AB14" s="2458"/>
      <c r="AC14" s="2457"/>
      <c r="AD14" s="2458"/>
      <c r="AE14" s="2457"/>
      <c r="AF14" s="2458"/>
      <c r="AG14" s="2457"/>
      <c r="AH14" s="2458"/>
      <c r="AI14" s="2457"/>
      <c r="AJ14" s="2458"/>
      <c r="AK14" s="2457"/>
      <c r="AL14" s="2458"/>
      <c r="AM14" s="2457"/>
      <c r="AN14" s="2459"/>
      <c r="AO14" s="5385"/>
      <c r="AP14" s="5386"/>
      <c r="AQ14" s="5385"/>
      <c r="AR14" s="5386"/>
      <c r="AS14" t="str">
        <f t="shared" si="3"/>
        <v/>
      </c>
      <c r="CA14" s="418" t="str">
        <f t="shared" si="4"/>
        <v/>
      </c>
      <c r="CB14" s="418" t="str">
        <f t="shared" si="5"/>
        <v/>
      </c>
      <c r="CC14" s="418" t="str">
        <f t="shared" si="6"/>
        <v/>
      </c>
      <c r="CD14" s="418" t="str">
        <f t="shared" si="7"/>
        <v/>
      </c>
      <c r="CJ14" s="3416">
        <f t="shared" si="8"/>
        <v>0</v>
      </c>
      <c r="CK14" s="3416">
        <f t="shared" si="9"/>
        <v>0</v>
      </c>
      <c r="CL14" s="3416">
        <f t="shared" si="10"/>
        <v>0</v>
      </c>
      <c r="CM14" s="3416">
        <f t="shared" si="11"/>
        <v>0</v>
      </c>
    </row>
    <row r="15" spans="1:91" ht="15" customHeight="1">
      <c r="A15" s="7300"/>
      <c r="B15" s="7304"/>
      <c r="C15" s="5387" t="s">
        <v>4282</v>
      </c>
      <c r="D15" s="5363">
        <f t="shared" si="0"/>
        <v>0</v>
      </c>
      <c r="E15" s="5363">
        <f t="shared" si="1"/>
        <v>0</v>
      </c>
      <c r="F15" s="5365">
        <f t="shared" si="2"/>
        <v>0</v>
      </c>
      <c r="G15" s="5388"/>
      <c r="H15" s="5366"/>
      <c r="I15" s="5388"/>
      <c r="J15" s="5366"/>
      <c r="K15" s="5388"/>
      <c r="L15" s="5366"/>
      <c r="M15" s="5388"/>
      <c r="N15" s="5366"/>
      <c r="O15" s="5368"/>
      <c r="P15" s="5366"/>
      <c r="Q15" s="5368"/>
      <c r="R15" s="5366"/>
      <c r="S15" s="5368"/>
      <c r="T15" s="5366"/>
      <c r="U15" s="5368"/>
      <c r="V15" s="5366"/>
      <c r="W15" s="5388"/>
      <c r="X15" s="5366"/>
      <c r="Y15" s="5388"/>
      <c r="Z15" s="5366"/>
      <c r="AA15" s="5388"/>
      <c r="AB15" s="5366"/>
      <c r="AC15" s="5388"/>
      <c r="AD15" s="5366"/>
      <c r="AE15" s="5388"/>
      <c r="AF15" s="5366"/>
      <c r="AG15" s="5388"/>
      <c r="AH15" s="5366"/>
      <c r="AI15" s="5388"/>
      <c r="AJ15" s="5366"/>
      <c r="AK15" s="5388"/>
      <c r="AL15" s="5366"/>
      <c r="AM15" s="5388"/>
      <c r="AN15" s="5369"/>
      <c r="AO15" s="5370"/>
      <c r="AP15" s="5371"/>
      <c r="AQ15" s="5370"/>
      <c r="AR15" s="5371"/>
      <c r="AS15" t="str">
        <f t="shared" si="3"/>
        <v/>
      </c>
      <c r="CA15" s="418" t="str">
        <f t="shared" si="4"/>
        <v/>
      </c>
      <c r="CB15" s="418" t="str">
        <f t="shared" si="5"/>
        <v/>
      </c>
      <c r="CC15" s="418" t="str">
        <f t="shared" si="6"/>
        <v/>
      </c>
      <c r="CD15" s="418" t="str">
        <f t="shared" si="7"/>
        <v/>
      </c>
      <c r="CJ15" s="3416">
        <f t="shared" si="8"/>
        <v>0</v>
      </c>
      <c r="CK15" s="3416">
        <f t="shared" si="9"/>
        <v>0</v>
      </c>
      <c r="CL15" s="3416">
        <f t="shared" si="10"/>
        <v>0</v>
      </c>
      <c r="CM15" s="3416">
        <f t="shared" si="11"/>
        <v>0</v>
      </c>
    </row>
    <row r="16" spans="1:91" ht="15" customHeight="1">
      <c r="A16" s="7300"/>
      <c r="B16" s="7304"/>
      <c r="C16" s="5387" t="s">
        <v>4283</v>
      </c>
      <c r="D16" s="5363">
        <f t="shared" si="0"/>
        <v>0</v>
      </c>
      <c r="E16" s="5363">
        <f t="shared" si="1"/>
        <v>0</v>
      </c>
      <c r="F16" s="5365">
        <f t="shared" si="2"/>
        <v>0</v>
      </c>
      <c r="G16" s="5388"/>
      <c r="H16" s="5366"/>
      <c r="I16" s="5388"/>
      <c r="J16" s="5366"/>
      <c r="K16" s="5388"/>
      <c r="L16" s="5366"/>
      <c r="M16" s="5388"/>
      <c r="N16" s="5366"/>
      <c r="O16" s="5368"/>
      <c r="P16" s="5366"/>
      <c r="Q16" s="5368"/>
      <c r="R16" s="5366"/>
      <c r="S16" s="5368"/>
      <c r="T16" s="5366"/>
      <c r="U16" s="5368"/>
      <c r="V16" s="5366"/>
      <c r="W16" s="5388"/>
      <c r="X16" s="5366"/>
      <c r="Y16" s="5388"/>
      <c r="Z16" s="5366"/>
      <c r="AA16" s="5388"/>
      <c r="AB16" s="5366"/>
      <c r="AC16" s="5388"/>
      <c r="AD16" s="5366"/>
      <c r="AE16" s="5388"/>
      <c r="AF16" s="5366"/>
      <c r="AG16" s="5388"/>
      <c r="AH16" s="5366"/>
      <c r="AI16" s="5388"/>
      <c r="AJ16" s="5366"/>
      <c r="AK16" s="5388"/>
      <c r="AL16" s="5366"/>
      <c r="AM16" s="5388"/>
      <c r="AN16" s="5369"/>
      <c r="AO16" s="5370"/>
      <c r="AP16" s="5371"/>
      <c r="AQ16" s="5370"/>
      <c r="AR16" s="5371"/>
      <c r="AS16" t="str">
        <f t="shared" si="3"/>
        <v/>
      </c>
      <c r="CA16" s="418" t="str">
        <f t="shared" si="4"/>
        <v/>
      </c>
      <c r="CB16" s="418" t="str">
        <f t="shared" si="5"/>
        <v/>
      </c>
      <c r="CC16" s="418" t="str">
        <f t="shared" si="6"/>
        <v/>
      </c>
      <c r="CD16" s="418" t="str">
        <f t="shared" si="7"/>
        <v/>
      </c>
      <c r="CJ16" s="3416">
        <f t="shared" si="8"/>
        <v>0</v>
      </c>
      <c r="CK16" s="3416">
        <f t="shared" si="9"/>
        <v>0</v>
      </c>
      <c r="CL16" s="3416">
        <f t="shared" si="10"/>
        <v>0</v>
      </c>
      <c r="CM16" s="3416">
        <f t="shared" si="11"/>
        <v>0</v>
      </c>
    </row>
    <row r="17" spans="1:91" ht="15" customHeight="1">
      <c r="A17" s="7300"/>
      <c r="B17" s="7304"/>
      <c r="C17" s="5387" t="s">
        <v>4284</v>
      </c>
      <c r="D17" s="5363">
        <f t="shared" si="0"/>
        <v>0</v>
      </c>
      <c r="E17" s="5363">
        <f t="shared" si="1"/>
        <v>0</v>
      </c>
      <c r="F17" s="5365">
        <f t="shared" si="2"/>
        <v>0</v>
      </c>
      <c r="G17" s="5388"/>
      <c r="H17" s="5366"/>
      <c r="I17" s="5388"/>
      <c r="J17" s="5366"/>
      <c r="K17" s="5388"/>
      <c r="L17" s="5366"/>
      <c r="M17" s="5388"/>
      <c r="N17" s="5366"/>
      <c r="O17" s="5368"/>
      <c r="P17" s="5366"/>
      <c r="Q17" s="5368"/>
      <c r="R17" s="5366"/>
      <c r="S17" s="5368"/>
      <c r="T17" s="5366"/>
      <c r="U17" s="5368"/>
      <c r="V17" s="5366"/>
      <c r="W17" s="5388"/>
      <c r="X17" s="5366"/>
      <c r="Y17" s="5388"/>
      <c r="Z17" s="5366"/>
      <c r="AA17" s="5388"/>
      <c r="AB17" s="5366"/>
      <c r="AC17" s="5388"/>
      <c r="AD17" s="5366"/>
      <c r="AE17" s="5388"/>
      <c r="AF17" s="5366"/>
      <c r="AG17" s="5388"/>
      <c r="AH17" s="5366"/>
      <c r="AI17" s="5388"/>
      <c r="AJ17" s="5366"/>
      <c r="AK17" s="5388"/>
      <c r="AL17" s="5366"/>
      <c r="AM17" s="5388"/>
      <c r="AN17" s="5369"/>
      <c r="AO17" s="5370"/>
      <c r="AP17" s="5371"/>
      <c r="AQ17" s="5370"/>
      <c r="AR17" s="5371"/>
      <c r="AS17" t="str">
        <f t="shared" si="3"/>
        <v/>
      </c>
      <c r="CA17" s="418" t="str">
        <f t="shared" si="4"/>
        <v/>
      </c>
      <c r="CB17" s="418" t="str">
        <f t="shared" si="5"/>
        <v/>
      </c>
      <c r="CC17" s="418" t="str">
        <f t="shared" si="6"/>
        <v/>
      </c>
      <c r="CD17" s="418" t="str">
        <f t="shared" si="7"/>
        <v/>
      </c>
      <c r="CJ17" s="3416">
        <f t="shared" si="8"/>
        <v>0</v>
      </c>
      <c r="CK17" s="3416">
        <f t="shared" si="9"/>
        <v>0</v>
      </c>
      <c r="CL17" s="3416">
        <f t="shared" si="10"/>
        <v>0</v>
      </c>
      <c r="CM17" s="3416">
        <f t="shared" si="11"/>
        <v>0</v>
      </c>
    </row>
    <row r="18" spans="1:91" ht="15" customHeight="1">
      <c r="A18" s="7300"/>
      <c r="B18" s="7304"/>
      <c r="C18" s="5387" t="s">
        <v>4285</v>
      </c>
      <c r="D18" s="5363">
        <f t="shared" si="0"/>
        <v>0</v>
      </c>
      <c r="E18" s="5363">
        <f t="shared" si="1"/>
        <v>0</v>
      </c>
      <c r="F18" s="5365">
        <f t="shared" si="2"/>
        <v>0</v>
      </c>
      <c r="G18" s="5388"/>
      <c r="H18" s="5366"/>
      <c r="I18" s="5388"/>
      <c r="J18" s="5366"/>
      <c r="K18" s="5388"/>
      <c r="L18" s="5366"/>
      <c r="M18" s="5388"/>
      <c r="N18" s="5366"/>
      <c r="O18" s="5368"/>
      <c r="P18" s="5366"/>
      <c r="Q18" s="5368"/>
      <c r="R18" s="5366"/>
      <c r="S18" s="5368"/>
      <c r="T18" s="5366"/>
      <c r="U18" s="5368"/>
      <c r="V18" s="5366"/>
      <c r="W18" s="5388"/>
      <c r="X18" s="5366"/>
      <c r="Y18" s="5388"/>
      <c r="Z18" s="5366"/>
      <c r="AA18" s="5388"/>
      <c r="AB18" s="5366"/>
      <c r="AC18" s="5388"/>
      <c r="AD18" s="5366"/>
      <c r="AE18" s="5388"/>
      <c r="AF18" s="5366"/>
      <c r="AG18" s="5388"/>
      <c r="AH18" s="5366"/>
      <c r="AI18" s="5388"/>
      <c r="AJ18" s="5366"/>
      <c r="AK18" s="5388"/>
      <c r="AL18" s="5366"/>
      <c r="AM18" s="5388"/>
      <c r="AN18" s="5369"/>
      <c r="AO18" s="5370"/>
      <c r="AP18" s="5371"/>
      <c r="AQ18" s="5370"/>
      <c r="AR18" s="5371"/>
      <c r="AS18" t="str">
        <f t="shared" si="3"/>
        <v/>
      </c>
      <c r="CA18" s="418" t="str">
        <f t="shared" si="4"/>
        <v/>
      </c>
      <c r="CB18" s="418" t="str">
        <f t="shared" si="5"/>
        <v/>
      </c>
      <c r="CC18" s="418" t="str">
        <f t="shared" si="6"/>
        <v/>
      </c>
      <c r="CD18" s="418" t="str">
        <f t="shared" si="7"/>
        <v/>
      </c>
      <c r="CJ18" s="3416">
        <f t="shared" si="8"/>
        <v>0</v>
      </c>
      <c r="CK18" s="3416">
        <f t="shared" si="9"/>
        <v>0</v>
      </c>
      <c r="CL18" s="3416">
        <f t="shared" si="10"/>
        <v>0</v>
      </c>
      <c r="CM18" s="3416">
        <f t="shared" si="11"/>
        <v>0</v>
      </c>
    </row>
    <row r="19" spans="1:91" ht="15" customHeight="1">
      <c r="A19" s="7300"/>
      <c r="B19" s="7304"/>
      <c r="C19" s="5387" t="s">
        <v>4286</v>
      </c>
      <c r="D19" s="5363">
        <f t="shared" si="0"/>
        <v>0</v>
      </c>
      <c r="E19" s="5363">
        <f t="shared" si="1"/>
        <v>0</v>
      </c>
      <c r="F19" s="5365">
        <f t="shared" si="2"/>
        <v>0</v>
      </c>
      <c r="G19" s="5388"/>
      <c r="H19" s="5366"/>
      <c r="I19" s="5388"/>
      <c r="J19" s="5366"/>
      <c r="K19" s="5388"/>
      <c r="L19" s="5366"/>
      <c r="M19" s="5388"/>
      <c r="N19" s="5366"/>
      <c r="O19" s="5368"/>
      <c r="P19" s="5366"/>
      <c r="Q19" s="5368"/>
      <c r="R19" s="5366"/>
      <c r="S19" s="5368"/>
      <c r="T19" s="5366"/>
      <c r="U19" s="5368"/>
      <c r="V19" s="5366"/>
      <c r="W19" s="5388"/>
      <c r="X19" s="5366"/>
      <c r="Y19" s="5388"/>
      <c r="Z19" s="5366"/>
      <c r="AA19" s="5388"/>
      <c r="AB19" s="5366"/>
      <c r="AC19" s="5388"/>
      <c r="AD19" s="5366"/>
      <c r="AE19" s="5388"/>
      <c r="AF19" s="5366"/>
      <c r="AG19" s="5388"/>
      <c r="AH19" s="5366"/>
      <c r="AI19" s="5388"/>
      <c r="AJ19" s="5366"/>
      <c r="AK19" s="5388"/>
      <c r="AL19" s="5366"/>
      <c r="AM19" s="5388"/>
      <c r="AN19" s="5369"/>
      <c r="AO19" s="5370"/>
      <c r="AP19" s="5371"/>
      <c r="AQ19" s="5370"/>
      <c r="AR19" s="5371"/>
      <c r="AS19" t="str">
        <f t="shared" si="3"/>
        <v/>
      </c>
      <c r="CA19" s="418" t="str">
        <f t="shared" si="4"/>
        <v/>
      </c>
      <c r="CB19" s="418" t="str">
        <f t="shared" si="5"/>
        <v/>
      </c>
      <c r="CC19" s="418" t="str">
        <f t="shared" si="6"/>
        <v/>
      </c>
      <c r="CD19" s="418" t="str">
        <f t="shared" si="7"/>
        <v/>
      </c>
      <c r="CJ19" s="3416">
        <f t="shared" si="8"/>
        <v>0</v>
      </c>
      <c r="CK19" s="3416">
        <f t="shared" si="9"/>
        <v>0</v>
      </c>
      <c r="CL19" s="3416">
        <f t="shared" si="10"/>
        <v>0</v>
      </c>
      <c r="CM19" s="3416">
        <f t="shared" si="11"/>
        <v>0</v>
      </c>
    </row>
    <row r="20" spans="1:91" ht="24.75" customHeight="1">
      <c r="A20" s="7300"/>
      <c r="B20" s="7304"/>
      <c r="C20" s="2508" t="s">
        <v>4287</v>
      </c>
      <c r="D20" s="5363">
        <f t="shared" si="0"/>
        <v>0</v>
      </c>
      <c r="E20" s="5363">
        <f t="shared" si="1"/>
        <v>0</v>
      </c>
      <c r="F20" s="5365">
        <f t="shared" si="2"/>
        <v>0</v>
      </c>
      <c r="G20" s="5388"/>
      <c r="H20" s="5366"/>
      <c r="I20" s="5388"/>
      <c r="J20" s="5366"/>
      <c r="K20" s="5388"/>
      <c r="L20" s="5366"/>
      <c r="M20" s="5388"/>
      <c r="N20" s="5366"/>
      <c r="O20" s="5368"/>
      <c r="P20" s="5366"/>
      <c r="Q20" s="5368"/>
      <c r="R20" s="5366"/>
      <c r="S20" s="5368"/>
      <c r="T20" s="5366"/>
      <c r="U20" s="5368"/>
      <c r="V20" s="5366"/>
      <c r="W20" s="5388"/>
      <c r="X20" s="5366"/>
      <c r="Y20" s="5388"/>
      <c r="Z20" s="5366"/>
      <c r="AA20" s="5388"/>
      <c r="AB20" s="5366"/>
      <c r="AC20" s="5388"/>
      <c r="AD20" s="5366"/>
      <c r="AE20" s="5388"/>
      <c r="AF20" s="5366"/>
      <c r="AG20" s="5388"/>
      <c r="AH20" s="5366"/>
      <c r="AI20" s="5388"/>
      <c r="AJ20" s="5366"/>
      <c r="AK20" s="5388"/>
      <c r="AL20" s="5366"/>
      <c r="AM20" s="5388"/>
      <c r="AN20" s="5369"/>
      <c r="AO20" s="5370"/>
      <c r="AP20" s="5371"/>
      <c r="AQ20" s="5370"/>
      <c r="AR20" s="5371"/>
      <c r="AS20" t="str">
        <f t="shared" si="3"/>
        <v/>
      </c>
      <c r="CA20" s="418" t="str">
        <f t="shared" si="4"/>
        <v/>
      </c>
      <c r="CB20" s="418" t="str">
        <f t="shared" si="5"/>
        <v/>
      </c>
      <c r="CC20" s="418" t="str">
        <f t="shared" si="6"/>
        <v/>
      </c>
      <c r="CD20" s="418" t="str">
        <f t="shared" si="7"/>
        <v/>
      </c>
      <c r="CJ20" s="3416">
        <f t="shared" si="8"/>
        <v>0</v>
      </c>
      <c r="CK20" s="3416">
        <f t="shared" si="9"/>
        <v>0</v>
      </c>
      <c r="CL20" s="3416">
        <f t="shared" si="10"/>
        <v>0</v>
      </c>
      <c r="CM20" s="3416">
        <f t="shared" si="11"/>
        <v>0</v>
      </c>
    </row>
    <row r="21" spans="1:91" ht="23.25" customHeight="1">
      <c r="A21" s="7300"/>
      <c r="B21" s="7304"/>
      <c r="C21" s="2508" t="s">
        <v>4288</v>
      </c>
      <c r="D21" s="5363">
        <f t="shared" si="0"/>
        <v>0</v>
      </c>
      <c r="E21" s="5363">
        <f t="shared" si="1"/>
        <v>0</v>
      </c>
      <c r="F21" s="5365">
        <f t="shared" si="2"/>
        <v>0</v>
      </c>
      <c r="G21" s="5388"/>
      <c r="H21" s="5366"/>
      <c r="I21" s="5388"/>
      <c r="J21" s="5366"/>
      <c r="K21" s="5388"/>
      <c r="L21" s="5366"/>
      <c r="M21" s="5388"/>
      <c r="N21" s="5366"/>
      <c r="O21" s="5368"/>
      <c r="P21" s="5366"/>
      <c r="Q21" s="5368"/>
      <c r="R21" s="5366"/>
      <c r="S21" s="5368"/>
      <c r="T21" s="5366"/>
      <c r="U21" s="5368"/>
      <c r="V21" s="5366"/>
      <c r="W21" s="5388"/>
      <c r="X21" s="5366"/>
      <c r="Y21" s="5388"/>
      <c r="Z21" s="5366"/>
      <c r="AA21" s="5388"/>
      <c r="AB21" s="5366"/>
      <c r="AC21" s="5388"/>
      <c r="AD21" s="5366"/>
      <c r="AE21" s="5388"/>
      <c r="AF21" s="5366"/>
      <c r="AG21" s="5388"/>
      <c r="AH21" s="5366"/>
      <c r="AI21" s="5388"/>
      <c r="AJ21" s="5366"/>
      <c r="AK21" s="5388"/>
      <c r="AL21" s="5366"/>
      <c r="AM21" s="5388"/>
      <c r="AN21" s="5369"/>
      <c r="AO21" s="5370"/>
      <c r="AP21" s="5371"/>
      <c r="AQ21" s="5370"/>
      <c r="AR21" s="5371"/>
      <c r="AS21" t="str">
        <f t="shared" si="3"/>
        <v/>
      </c>
      <c r="CA21" s="418" t="str">
        <f t="shared" si="4"/>
        <v/>
      </c>
      <c r="CB21" s="418" t="str">
        <f t="shared" si="5"/>
        <v/>
      </c>
      <c r="CC21" s="418" t="str">
        <f t="shared" si="6"/>
        <v/>
      </c>
      <c r="CD21" s="418" t="str">
        <f t="shared" si="7"/>
        <v/>
      </c>
      <c r="CJ21" s="3416">
        <f t="shared" si="8"/>
        <v>0</v>
      </c>
      <c r="CK21" s="3416">
        <f t="shared" si="9"/>
        <v>0</v>
      </c>
      <c r="CL21" s="3416">
        <f t="shared" si="10"/>
        <v>0</v>
      </c>
      <c r="CM21" s="3416">
        <f t="shared" si="11"/>
        <v>0</v>
      </c>
    </row>
    <row r="22" spans="1:91" ht="15" customHeight="1">
      <c r="A22" s="7300"/>
      <c r="B22" s="7304"/>
      <c r="C22" s="5387" t="s">
        <v>4289</v>
      </c>
      <c r="D22" s="5363">
        <f t="shared" si="0"/>
        <v>0</v>
      </c>
      <c r="E22" s="5363">
        <f t="shared" si="1"/>
        <v>0</v>
      </c>
      <c r="F22" s="5365">
        <f t="shared" si="2"/>
        <v>0</v>
      </c>
      <c r="G22" s="5388"/>
      <c r="H22" s="5366"/>
      <c r="I22" s="5388"/>
      <c r="J22" s="5366"/>
      <c r="K22" s="5388"/>
      <c r="L22" s="5366"/>
      <c r="M22" s="5388"/>
      <c r="N22" s="5366"/>
      <c r="O22" s="5368"/>
      <c r="P22" s="5366"/>
      <c r="Q22" s="5368"/>
      <c r="R22" s="5366"/>
      <c r="S22" s="5368"/>
      <c r="T22" s="5366"/>
      <c r="U22" s="5368"/>
      <c r="V22" s="5366"/>
      <c r="W22" s="5388"/>
      <c r="X22" s="5366"/>
      <c r="Y22" s="5388"/>
      <c r="Z22" s="5366"/>
      <c r="AA22" s="5388"/>
      <c r="AB22" s="5366"/>
      <c r="AC22" s="5388"/>
      <c r="AD22" s="5366"/>
      <c r="AE22" s="5388"/>
      <c r="AF22" s="5366"/>
      <c r="AG22" s="5388"/>
      <c r="AH22" s="5366"/>
      <c r="AI22" s="5388"/>
      <c r="AJ22" s="5366"/>
      <c r="AK22" s="5388"/>
      <c r="AL22" s="5366"/>
      <c r="AM22" s="5388"/>
      <c r="AN22" s="5369"/>
      <c r="AO22" s="5370"/>
      <c r="AP22" s="5371"/>
      <c r="AQ22" s="5370"/>
      <c r="AR22" s="5371"/>
      <c r="AS22" t="str">
        <f t="shared" si="3"/>
        <v/>
      </c>
      <c r="CA22" s="418" t="str">
        <f t="shared" si="4"/>
        <v/>
      </c>
      <c r="CB22" s="418" t="str">
        <f t="shared" si="5"/>
        <v/>
      </c>
      <c r="CC22" s="418" t="str">
        <f t="shared" si="6"/>
        <v/>
      </c>
      <c r="CD22" s="418" t="str">
        <f t="shared" si="7"/>
        <v/>
      </c>
      <c r="CJ22" s="3416">
        <f t="shared" si="8"/>
        <v>0</v>
      </c>
      <c r="CK22" s="3416">
        <f t="shared" si="9"/>
        <v>0</v>
      </c>
      <c r="CL22" s="3416">
        <f t="shared" si="10"/>
        <v>0</v>
      </c>
      <c r="CM22" s="3416">
        <f t="shared" si="11"/>
        <v>0</v>
      </c>
    </row>
    <row r="23" spans="1:91" ht="15" customHeight="1">
      <c r="A23" s="7301"/>
      <c r="B23" s="7303"/>
      <c r="C23" s="5389" t="s">
        <v>4290</v>
      </c>
      <c r="D23" s="5372">
        <f t="shared" si="0"/>
        <v>0</v>
      </c>
      <c r="E23" s="5373">
        <f t="shared" si="1"/>
        <v>0</v>
      </c>
      <c r="F23" s="5374">
        <f t="shared" si="2"/>
        <v>0</v>
      </c>
      <c r="G23" s="5375"/>
      <c r="H23" s="5376"/>
      <c r="I23" s="5375"/>
      <c r="J23" s="5376"/>
      <c r="K23" s="5375"/>
      <c r="L23" s="5376"/>
      <c r="M23" s="5375"/>
      <c r="N23" s="5376"/>
      <c r="O23" s="5377"/>
      <c r="P23" s="5376"/>
      <c r="Q23" s="5377"/>
      <c r="R23" s="5376"/>
      <c r="S23" s="5377"/>
      <c r="T23" s="5376"/>
      <c r="U23" s="5377"/>
      <c r="V23" s="5376"/>
      <c r="W23" s="5375"/>
      <c r="X23" s="5376"/>
      <c r="Y23" s="5375"/>
      <c r="Z23" s="5376"/>
      <c r="AA23" s="5375"/>
      <c r="AB23" s="5376"/>
      <c r="AC23" s="5375"/>
      <c r="AD23" s="5376"/>
      <c r="AE23" s="5375"/>
      <c r="AF23" s="5376"/>
      <c r="AG23" s="5375"/>
      <c r="AH23" s="5376"/>
      <c r="AI23" s="5375"/>
      <c r="AJ23" s="5376"/>
      <c r="AK23" s="5375"/>
      <c r="AL23" s="5376"/>
      <c r="AM23" s="5375"/>
      <c r="AN23" s="5378"/>
      <c r="AO23" s="5379"/>
      <c r="AP23" s="5380"/>
      <c r="AQ23" s="5379"/>
      <c r="AR23" s="5380"/>
      <c r="AS23" t="str">
        <f t="shared" si="3"/>
        <v/>
      </c>
      <c r="CA23" s="418" t="str">
        <f t="shared" si="4"/>
        <v/>
      </c>
      <c r="CB23" s="418" t="str">
        <f t="shared" si="5"/>
        <v/>
      </c>
      <c r="CC23" s="418" t="str">
        <f t="shared" si="6"/>
        <v/>
      </c>
      <c r="CD23" s="418" t="str">
        <f t="shared" si="7"/>
        <v/>
      </c>
      <c r="CJ23" s="3416">
        <f t="shared" si="8"/>
        <v>0</v>
      </c>
      <c r="CK23" s="3416">
        <f t="shared" si="9"/>
        <v>0</v>
      </c>
      <c r="CL23" s="3416">
        <f t="shared" si="10"/>
        <v>0</v>
      </c>
      <c r="CM23" s="3416">
        <f t="shared" si="11"/>
        <v>0</v>
      </c>
    </row>
    <row r="24" spans="1:91" ht="15" customHeight="1">
      <c r="A24" s="6722" t="s">
        <v>798</v>
      </c>
      <c r="B24" s="6722" t="s">
        <v>4277</v>
      </c>
      <c r="C24" s="2291" t="s">
        <v>4291</v>
      </c>
      <c r="D24" s="5382">
        <f t="shared" si="0"/>
        <v>0</v>
      </c>
      <c r="E24" s="5382">
        <f t="shared" si="1"/>
        <v>0</v>
      </c>
      <c r="F24" s="5383">
        <f t="shared" si="2"/>
        <v>0</v>
      </c>
      <c r="G24" s="2457"/>
      <c r="H24" s="2458"/>
      <c r="I24" s="2457"/>
      <c r="J24" s="2458"/>
      <c r="K24" s="2457"/>
      <c r="L24" s="2458"/>
      <c r="M24" s="2457"/>
      <c r="N24" s="2458"/>
      <c r="O24" s="5384"/>
      <c r="P24" s="2458"/>
      <c r="Q24" s="5384"/>
      <c r="R24" s="2458"/>
      <c r="S24" s="5384"/>
      <c r="T24" s="2458"/>
      <c r="U24" s="5384"/>
      <c r="V24" s="2458"/>
      <c r="W24" s="2457"/>
      <c r="X24" s="2458"/>
      <c r="Y24" s="2457"/>
      <c r="Z24" s="2458"/>
      <c r="AA24" s="2457"/>
      <c r="AB24" s="2458"/>
      <c r="AC24" s="2457"/>
      <c r="AD24" s="2458"/>
      <c r="AE24" s="2457"/>
      <c r="AF24" s="2458"/>
      <c r="AG24" s="2457"/>
      <c r="AH24" s="2458"/>
      <c r="AI24" s="2457"/>
      <c r="AJ24" s="2458"/>
      <c r="AK24" s="2457"/>
      <c r="AL24" s="2458"/>
      <c r="AM24" s="2457"/>
      <c r="AN24" s="2459"/>
      <c r="AO24" s="5385"/>
      <c r="AP24" s="5386"/>
      <c r="AQ24" s="5385"/>
      <c r="AR24" s="5386"/>
      <c r="AS24" t="str">
        <f t="shared" si="3"/>
        <v/>
      </c>
      <c r="CA24" s="418" t="str">
        <f t="shared" si="4"/>
        <v/>
      </c>
      <c r="CB24" s="418" t="str">
        <f t="shared" si="5"/>
        <v/>
      </c>
      <c r="CC24" s="418" t="str">
        <f t="shared" si="6"/>
        <v/>
      </c>
      <c r="CD24" s="418" t="str">
        <f t="shared" si="7"/>
        <v/>
      </c>
      <c r="CJ24" s="3416">
        <f t="shared" si="8"/>
        <v>0</v>
      </c>
      <c r="CK24" s="3416">
        <f t="shared" si="9"/>
        <v>0</v>
      </c>
      <c r="CL24" s="3416">
        <f t="shared" si="10"/>
        <v>0</v>
      </c>
      <c r="CM24" s="3416">
        <f t="shared" si="11"/>
        <v>0</v>
      </c>
    </row>
    <row r="25" spans="1:91" ht="15" customHeight="1">
      <c r="A25" s="6723"/>
      <c r="B25" s="6723"/>
      <c r="C25" s="3836" t="s">
        <v>4292</v>
      </c>
      <c r="D25" s="5363">
        <f t="shared" si="0"/>
        <v>0</v>
      </c>
      <c r="E25" s="5363">
        <f t="shared" si="1"/>
        <v>0</v>
      </c>
      <c r="F25" s="5365">
        <f t="shared" si="2"/>
        <v>0</v>
      </c>
      <c r="G25" s="5388"/>
      <c r="H25" s="5366"/>
      <c r="I25" s="5388"/>
      <c r="J25" s="5366"/>
      <c r="K25" s="5388"/>
      <c r="L25" s="5366"/>
      <c r="M25" s="5388"/>
      <c r="N25" s="5366"/>
      <c r="O25" s="5368"/>
      <c r="P25" s="5366"/>
      <c r="Q25" s="5368"/>
      <c r="R25" s="5366"/>
      <c r="S25" s="5368"/>
      <c r="T25" s="5366"/>
      <c r="U25" s="5368"/>
      <c r="V25" s="5366"/>
      <c r="W25" s="5388"/>
      <c r="X25" s="5366"/>
      <c r="Y25" s="5388"/>
      <c r="Z25" s="5366"/>
      <c r="AA25" s="5388"/>
      <c r="AB25" s="5366"/>
      <c r="AC25" s="5388"/>
      <c r="AD25" s="5366"/>
      <c r="AE25" s="5388"/>
      <c r="AF25" s="5366"/>
      <c r="AG25" s="5388"/>
      <c r="AH25" s="5366"/>
      <c r="AI25" s="5388"/>
      <c r="AJ25" s="5366"/>
      <c r="AK25" s="5388"/>
      <c r="AL25" s="5366"/>
      <c r="AM25" s="5388"/>
      <c r="AN25" s="5369"/>
      <c r="AO25" s="5370"/>
      <c r="AP25" s="5371"/>
      <c r="AQ25" s="5370"/>
      <c r="AR25" s="5371"/>
      <c r="AS25" t="str">
        <f t="shared" si="3"/>
        <v/>
      </c>
      <c r="CA25" s="418" t="str">
        <f t="shared" si="4"/>
        <v/>
      </c>
      <c r="CB25" s="418" t="str">
        <f t="shared" si="5"/>
        <v/>
      </c>
      <c r="CC25" s="418" t="str">
        <f t="shared" si="6"/>
        <v/>
      </c>
      <c r="CD25" s="418" t="str">
        <f t="shared" si="7"/>
        <v/>
      </c>
      <c r="CJ25" s="3416">
        <f t="shared" si="8"/>
        <v>0</v>
      </c>
      <c r="CK25" s="3416">
        <f t="shared" si="9"/>
        <v>0</v>
      </c>
      <c r="CL25" s="3416">
        <f t="shared" si="10"/>
        <v>0</v>
      </c>
      <c r="CM25" s="3416">
        <f t="shared" si="11"/>
        <v>0</v>
      </c>
    </row>
    <row r="26" spans="1:91" ht="15" customHeight="1">
      <c r="A26" s="6723"/>
      <c r="B26" s="6723"/>
      <c r="C26" s="3836" t="s">
        <v>4293</v>
      </c>
      <c r="D26" s="5363">
        <f t="shared" si="0"/>
        <v>0</v>
      </c>
      <c r="E26" s="5363">
        <f t="shared" si="1"/>
        <v>0</v>
      </c>
      <c r="F26" s="5365">
        <f t="shared" si="2"/>
        <v>0</v>
      </c>
      <c r="G26" s="5388"/>
      <c r="H26" s="5366"/>
      <c r="I26" s="5388"/>
      <c r="J26" s="5366"/>
      <c r="K26" s="5388"/>
      <c r="L26" s="5366"/>
      <c r="M26" s="5388"/>
      <c r="N26" s="5366"/>
      <c r="O26" s="5368"/>
      <c r="P26" s="5366"/>
      <c r="Q26" s="5368"/>
      <c r="R26" s="5366"/>
      <c r="S26" s="5368"/>
      <c r="T26" s="5366"/>
      <c r="U26" s="5368"/>
      <c r="V26" s="5366"/>
      <c r="W26" s="5388"/>
      <c r="X26" s="5366"/>
      <c r="Y26" s="5388"/>
      <c r="Z26" s="5366"/>
      <c r="AA26" s="5388"/>
      <c r="AB26" s="5366"/>
      <c r="AC26" s="5388"/>
      <c r="AD26" s="5366"/>
      <c r="AE26" s="5388"/>
      <c r="AF26" s="5366"/>
      <c r="AG26" s="5388"/>
      <c r="AH26" s="5366"/>
      <c r="AI26" s="5388"/>
      <c r="AJ26" s="5366"/>
      <c r="AK26" s="5388"/>
      <c r="AL26" s="5366"/>
      <c r="AM26" s="5388"/>
      <c r="AN26" s="5369"/>
      <c r="AO26" s="5370"/>
      <c r="AP26" s="5371"/>
      <c r="AQ26" s="5370"/>
      <c r="AR26" s="5371"/>
      <c r="AS26" t="str">
        <f t="shared" si="3"/>
        <v/>
      </c>
      <c r="CA26" s="418" t="str">
        <f t="shared" si="4"/>
        <v/>
      </c>
      <c r="CB26" s="418" t="str">
        <f t="shared" si="5"/>
        <v/>
      </c>
      <c r="CC26" s="418" t="str">
        <f t="shared" si="6"/>
        <v/>
      </c>
      <c r="CD26" s="418" t="str">
        <f t="shared" si="7"/>
        <v/>
      </c>
      <c r="CJ26" s="3416">
        <f t="shared" si="8"/>
        <v>0</v>
      </c>
      <c r="CK26" s="3416">
        <f t="shared" si="9"/>
        <v>0</v>
      </c>
      <c r="CL26" s="3416">
        <f t="shared" si="10"/>
        <v>0</v>
      </c>
      <c r="CM26" s="3416">
        <f t="shared" si="11"/>
        <v>0</v>
      </c>
    </row>
    <row r="27" spans="1:91" ht="15" customHeight="1">
      <c r="A27" s="6723"/>
      <c r="B27" s="6723"/>
      <c r="C27" s="3836" t="s">
        <v>4294</v>
      </c>
      <c r="D27" s="5363">
        <f t="shared" si="0"/>
        <v>0</v>
      </c>
      <c r="E27" s="5363">
        <f t="shared" si="1"/>
        <v>0</v>
      </c>
      <c r="F27" s="5365">
        <f t="shared" si="2"/>
        <v>0</v>
      </c>
      <c r="G27" s="5388"/>
      <c r="H27" s="5366"/>
      <c r="I27" s="5388"/>
      <c r="J27" s="5366"/>
      <c r="K27" s="5388"/>
      <c r="L27" s="5366"/>
      <c r="M27" s="5388"/>
      <c r="N27" s="5366"/>
      <c r="O27" s="5368"/>
      <c r="P27" s="5366"/>
      <c r="Q27" s="5368"/>
      <c r="R27" s="5366"/>
      <c r="S27" s="5368"/>
      <c r="T27" s="5366"/>
      <c r="U27" s="5368"/>
      <c r="V27" s="5366"/>
      <c r="W27" s="5388"/>
      <c r="X27" s="5366"/>
      <c r="Y27" s="5388"/>
      <c r="Z27" s="5366"/>
      <c r="AA27" s="5388"/>
      <c r="AB27" s="5366"/>
      <c r="AC27" s="5388"/>
      <c r="AD27" s="5366"/>
      <c r="AE27" s="5388"/>
      <c r="AF27" s="5366"/>
      <c r="AG27" s="5388"/>
      <c r="AH27" s="5366"/>
      <c r="AI27" s="5388"/>
      <c r="AJ27" s="5366"/>
      <c r="AK27" s="5388"/>
      <c r="AL27" s="5366"/>
      <c r="AM27" s="5388"/>
      <c r="AN27" s="5369"/>
      <c r="AO27" s="5370"/>
      <c r="AP27" s="5371"/>
      <c r="AQ27" s="5370"/>
      <c r="AR27" s="5371"/>
      <c r="AS27" t="str">
        <f t="shared" si="3"/>
        <v/>
      </c>
      <c r="CA27" s="418" t="str">
        <f t="shared" si="4"/>
        <v/>
      </c>
      <c r="CB27" s="418" t="str">
        <f t="shared" si="5"/>
        <v/>
      </c>
      <c r="CC27" s="418" t="str">
        <f t="shared" si="6"/>
        <v/>
      </c>
      <c r="CD27" s="418" t="str">
        <f t="shared" si="7"/>
        <v/>
      </c>
      <c r="CJ27" s="3416">
        <f t="shared" si="8"/>
        <v>0</v>
      </c>
      <c r="CK27" s="3416">
        <f t="shared" si="9"/>
        <v>0</v>
      </c>
      <c r="CL27" s="3416">
        <f t="shared" si="10"/>
        <v>0</v>
      </c>
      <c r="CM27" s="3416">
        <f t="shared" si="11"/>
        <v>0</v>
      </c>
    </row>
    <row r="28" spans="1:91" ht="15" customHeight="1">
      <c r="A28" s="6723"/>
      <c r="B28" s="6723"/>
      <c r="C28" s="3836" t="s">
        <v>4295</v>
      </c>
      <c r="D28" s="5363">
        <f t="shared" si="0"/>
        <v>0</v>
      </c>
      <c r="E28" s="5363">
        <f t="shared" si="1"/>
        <v>0</v>
      </c>
      <c r="F28" s="5365">
        <f t="shared" si="2"/>
        <v>0</v>
      </c>
      <c r="G28" s="5388"/>
      <c r="H28" s="5366"/>
      <c r="I28" s="5388"/>
      <c r="J28" s="5366"/>
      <c r="K28" s="5388"/>
      <c r="L28" s="5366"/>
      <c r="M28" s="5388"/>
      <c r="N28" s="5366"/>
      <c r="O28" s="5368"/>
      <c r="P28" s="5366"/>
      <c r="Q28" s="5368"/>
      <c r="R28" s="5366"/>
      <c r="S28" s="5368"/>
      <c r="T28" s="5366"/>
      <c r="U28" s="5368"/>
      <c r="V28" s="5366"/>
      <c r="W28" s="5388"/>
      <c r="X28" s="5366"/>
      <c r="Y28" s="5388"/>
      <c r="Z28" s="5366"/>
      <c r="AA28" s="5388"/>
      <c r="AB28" s="5366"/>
      <c r="AC28" s="5388"/>
      <c r="AD28" s="5366"/>
      <c r="AE28" s="5388"/>
      <c r="AF28" s="5366"/>
      <c r="AG28" s="5388"/>
      <c r="AH28" s="5366"/>
      <c r="AI28" s="5388"/>
      <c r="AJ28" s="5366"/>
      <c r="AK28" s="5388"/>
      <c r="AL28" s="5366"/>
      <c r="AM28" s="5388"/>
      <c r="AN28" s="5369"/>
      <c r="AO28" s="5370"/>
      <c r="AP28" s="5371"/>
      <c r="AQ28" s="5370"/>
      <c r="AR28" s="5371"/>
      <c r="AS28" t="str">
        <f t="shared" si="3"/>
        <v/>
      </c>
      <c r="CA28" s="418" t="str">
        <f t="shared" si="4"/>
        <v/>
      </c>
      <c r="CB28" s="418" t="str">
        <f t="shared" si="5"/>
        <v/>
      </c>
      <c r="CC28" s="418" t="str">
        <f t="shared" si="6"/>
        <v/>
      </c>
      <c r="CD28" s="418" t="str">
        <f t="shared" si="7"/>
        <v/>
      </c>
      <c r="CJ28" s="3416">
        <f t="shared" si="8"/>
        <v>0</v>
      </c>
      <c r="CK28" s="3416">
        <f t="shared" si="9"/>
        <v>0</v>
      </c>
      <c r="CL28" s="3416">
        <f t="shared" si="10"/>
        <v>0</v>
      </c>
      <c r="CM28" s="3416">
        <f t="shared" si="11"/>
        <v>0</v>
      </c>
    </row>
    <row r="29" spans="1:91" ht="15" customHeight="1">
      <c r="A29" s="6723"/>
      <c r="B29" s="6724"/>
      <c r="C29" s="3530" t="s">
        <v>4296</v>
      </c>
      <c r="D29" s="5372">
        <f t="shared" si="0"/>
        <v>0</v>
      </c>
      <c r="E29" s="5373">
        <f t="shared" si="1"/>
        <v>0</v>
      </c>
      <c r="F29" s="5374">
        <f t="shared" si="2"/>
        <v>0</v>
      </c>
      <c r="G29" s="5375"/>
      <c r="H29" s="5376"/>
      <c r="I29" s="5375"/>
      <c r="J29" s="5376"/>
      <c r="K29" s="5375"/>
      <c r="L29" s="5376"/>
      <c r="M29" s="5375"/>
      <c r="N29" s="5376"/>
      <c r="O29" s="5377"/>
      <c r="P29" s="5376"/>
      <c r="Q29" s="5377"/>
      <c r="R29" s="5376"/>
      <c r="S29" s="5377"/>
      <c r="T29" s="5376"/>
      <c r="U29" s="5377"/>
      <c r="V29" s="5376"/>
      <c r="W29" s="5375"/>
      <c r="X29" s="5376"/>
      <c r="Y29" s="5375"/>
      <c r="Z29" s="5376"/>
      <c r="AA29" s="5375"/>
      <c r="AB29" s="5376"/>
      <c r="AC29" s="5375"/>
      <c r="AD29" s="5376"/>
      <c r="AE29" s="5375"/>
      <c r="AF29" s="5376"/>
      <c r="AG29" s="5375"/>
      <c r="AH29" s="5376"/>
      <c r="AI29" s="5375"/>
      <c r="AJ29" s="5376"/>
      <c r="AK29" s="5375"/>
      <c r="AL29" s="5376"/>
      <c r="AM29" s="5375"/>
      <c r="AN29" s="5378"/>
      <c r="AO29" s="5379"/>
      <c r="AP29" s="5380"/>
      <c r="AQ29" s="5379"/>
      <c r="AR29" s="5380"/>
      <c r="AS29" t="str">
        <f t="shared" si="3"/>
        <v/>
      </c>
      <c r="CA29" s="418" t="str">
        <f t="shared" si="4"/>
        <v/>
      </c>
      <c r="CB29" s="418" t="str">
        <f t="shared" si="5"/>
        <v/>
      </c>
      <c r="CC29" s="418" t="str">
        <f t="shared" si="6"/>
        <v/>
      </c>
      <c r="CD29" s="418" t="str">
        <f t="shared" si="7"/>
        <v/>
      </c>
      <c r="CJ29" s="3416">
        <f t="shared" si="8"/>
        <v>0</v>
      </c>
      <c r="CK29" s="3416">
        <f t="shared" si="9"/>
        <v>0</v>
      </c>
      <c r="CL29" s="3416">
        <f t="shared" si="10"/>
        <v>0</v>
      </c>
      <c r="CM29" s="3416">
        <f t="shared" si="11"/>
        <v>0</v>
      </c>
    </row>
    <row r="30" spans="1:91" ht="15" customHeight="1">
      <c r="A30" s="6723"/>
      <c r="B30" s="6722" t="s">
        <v>4280</v>
      </c>
      <c r="C30" s="2291" t="s">
        <v>4291</v>
      </c>
      <c r="D30" s="5382">
        <f t="shared" si="0"/>
        <v>0</v>
      </c>
      <c r="E30" s="5382">
        <f t="shared" si="1"/>
        <v>0</v>
      </c>
      <c r="F30" s="5383">
        <f t="shared" si="2"/>
        <v>0</v>
      </c>
      <c r="G30" s="2457"/>
      <c r="H30" s="2458"/>
      <c r="I30" s="2457"/>
      <c r="J30" s="2458"/>
      <c r="K30" s="2457"/>
      <c r="L30" s="2458"/>
      <c r="M30" s="2457"/>
      <c r="N30" s="2458"/>
      <c r="O30" s="5384"/>
      <c r="P30" s="2458"/>
      <c r="Q30" s="5384"/>
      <c r="R30" s="2458"/>
      <c r="S30" s="5384"/>
      <c r="T30" s="2458"/>
      <c r="U30" s="5384"/>
      <c r="V30" s="2458"/>
      <c r="W30" s="2457"/>
      <c r="X30" s="2458"/>
      <c r="Y30" s="2457"/>
      <c r="Z30" s="2458"/>
      <c r="AA30" s="2457"/>
      <c r="AB30" s="2458"/>
      <c r="AC30" s="2457"/>
      <c r="AD30" s="2458"/>
      <c r="AE30" s="2457"/>
      <c r="AF30" s="2458"/>
      <c r="AG30" s="2457"/>
      <c r="AH30" s="2458"/>
      <c r="AI30" s="2457"/>
      <c r="AJ30" s="2458"/>
      <c r="AK30" s="2457"/>
      <c r="AL30" s="2458"/>
      <c r="AM30" s="2457"/>
      <c r="AN30" s="2459"/>
      <c r="AO30" s="5385"/>
      <c r="AP30" s="5386"/>
      <c r="AQ30" s="5385"/>
      <c r="AR30" s="5386"/>
      <c r="AS30" t="str">
        <f t="shared" si="3"/>
        <v/>
      </c>
      <c r="CA30" s="418" t="str">
        <f t="shared" si="4"/>
        <v/>
      </c>
      <c r="CB30" s="418" t="str">
        <f t="shared" si="5"/>
        <v/>
      </c>
      <c r="CC30" s="418" t="str">
        <f t="shared" si="6"/>
        <v/>
      </c>
      <c r="CD30" s="418" t="str">
        <f t="shared" si="7"/>
        <v/>
      </c>
      <c r="CJ30" s="3416">
        <f t="shared" si="8"/>
        <v>0</v>
      </c>
      <c r="CK30" s="3416">
        <f t="shared" si="9"/>
        <v>0</v>
      </c>
      <c r="CL30" s="3416">
        <f t="shared" si="10"/>
        <v>0</v>
      </c>
      <c r="CM30" s="3416">
        <f t="shared" si="11"/>
        <v>0</v>
      </c>
    </row>
    <row r="31" spans="1:91" ht="21.75" customHeight="1">
      <c r="A31" s="6723"/>
      <c r="B31" s="6723"/>
      <c r="C31" s="3836" t="s">
        <v>4292</v>
      </c>
      <c r="D31" s="5363">
        <f t="shared" si="0"/>
        <v>0</v>
      </c>
      <c r="E31" s="5363">
        <f t="shared" si="1"/>
        <v>0</v>
      </c>
      <c r="F31" s="5365">
        <f t="shared" si="2"/>
        <v>0</v>
      </c>
      <c r="G31" s="5388"/>
      <c r="H31" s="5366"/>
      <c r="I31" s="5388"/>
      <c r="J31" s="5366"/>
      <c r="K31" s="5388"/>
      <c r="L31" s="5366"/>
      <c r="M31" s="5388"/>
      <c r="N31" s="5366"/>
      <c r="O31" s="5368"/>
      <c r="P31" s="5366"/>
      <c r="Q31" s="5368"/>
      <c r="R31" s="5366"/>
      <c r="S31" s="5368"/>
      <c r="T31" s="5366"/>
      <c r="U31" s="5368"/>
      <c r="V31" s="5366"/>
      <c r="W31" s="5388"/>
      <c r="X31" s="5366"/>
      <c r="Y31" s="5388"/>
      <c r="Z31" s="5366"/>
      <c r="AA31" s="5388"/>
      <c r="AB31" s="5366"/>
      <c r="AC31" s="5388"/>
      <c r="AD31" s="5366"/>
      <c r="AE31" s="5388"/>
      <c r="AF31" s="5366"/>
      <c r="AG31" s="5388"/>
      <c r="AH31" s="5366"/>
      <c r="AI31" s="5388"/>
      <c r="AJ31" s="5366"/>
      <c r="AK31" s="5388"/>
      <c r="AL31" s="5366"/>
      <c r="AM31" s="5388"/>
      <c r="AN31" s="5369"/>
      <c r="AO31" s="5370"/>
      <c r="AP31" s="5371"/>
      <c r="AQ31" s="5370"/>
      <c r="AR31" s="5371"/>
      <c r="AS31" t="str">
        <f t="shared" si="3"/>
        <v/>
      </c>
      <c r="CA31" s="418" t="str">
        <f t="shared" si="4"/>
        <v/>
      </c>
      <c r="CB31" s="418" t="str">
        <f t="shared" si="5"/>
        <v/>
      </c>
      <c r="CC31" s="418" t="str">
        <f t="shared" si="6"/>
        <v/>
      </c>
      <c r="CD31" s="418" t="str">
        <f t="shared" si="7"/>
        <v/>
      </c>
      <c r="CJ31" s="3416">
        <f t="shared" si="8"/>
        <v>0</v>
      </c>
      <c r="CK31" s="3416">
        <f t="shared" si="9"/>
        <v>0</v>
      </c>
      <c r="CL31" s="3416">
        <f t="shared" si="10"/>
        <v>0</v>
      </c>
      <c r="CM31" s="3416">
        <f t="shared" si="11"/>
        <v>0</v>
      </c>
    </row>
    <row r="32" spans="1:91" ht="15" customHeight="1">
      <c r="A32" s="6723"/>
      <c r="B32" s="6723"/>
      <c r="C32" s="3836" t="s">
        <v>4293</v>
      </c>
      <c r="D32" s="5363">
        <f t="shared" si="0"/>
        <v>0</v>
      </c>
      <c r="E32" s="5363">
        <f t="shared" si="1"/>
        <v>0</v>
      </c>
      <c r="F32" s="5365">
        <f t="shared" si="2"/>
        <v>0</v>
      </c>
      <c r="G32" s="5388"/>
      <c r="H32" s="5366"/>
      <c r="I32" s="5388"/>
      <c r="J32" s="5366"/>
      <c r="K32" s="5388"/>
      <c r="L32" s="5366"/>
      <c r="M32" s="5388"/>
      <c r="N32" s="5366"/>
      <c r="O32" s="5368"/>
      <c r="P32" s="5366"/>
      <c r="Q32" s="5368"/>
      <c r="R32" s="5366"/>
      <c r="S32" s="5368"/>
      <c r="T32" s="5366"/>
      <c r="U32" s="5368"/>
      <c r="V32" s="5366"/>
      <c r="W32" s="5388"/>
      <c r="X32" s="5366"/>
      <c r="Y32" s="5388"/>
      <c r="Z32" s="5366"/>
      <c r="AA32" s="5388"/>
      <c r="AB32" s="5366"/>
      <c r="AC32" s="5388"/>
      <c r="AD32" s="5366"/>
      <c r="AE32" s="5388"/>
      <c r="AF32" s="5366"/>
      <c r="AG32" s="5388"/>
      <c r="AH32" s="5366"/>
      <c r="AI32" s="5388"/>
      <c r="AJ32" s="5366"/>
      <c r="AK32" s="5388"/>
      <c r="AL32" s="5366"/>
      <c r="AM32" s="5388"/>
      <c r="AN32" s="5369"/>
      <c r="AO32" s="5370"/>
      <c r="AP32" s="5371"/>
      <c r="AQ32" s="5370"/>
      <c r="AR32" s="5371"/>
      <c r="AS32" t="str">
        <f t="shared" si="3"/>
        <v/>
      </c>
      <c r="CA32" s="418" t="str">
        <f t="shared" si="4"/>
        <v/>
      </c>
      <c r="CB32" s="418" t="str">
        <f t="shared" si="5"/>
        <v/>
      </c>
      <c r="CC32" s="418" t="str">
        <f t="shared" si="6"/>
        <v/>
      </c>
      <c r="CD32" s="418" t="str">
        <f t="shared" si="7"/>
        <v/>
      </c>
      <c r="CJ32" s="3416">
        <f t="shared" si="8"/>
        <v>0</v>
      </c>
      <c r="CK32" s="3416">
        <f t="shared" si="9"/>
        <v>0</v>
      </c>
      <c r="CL32" s="3416">
        <f t="shared" si="10"/>
        <v>0</v>
      </c>
      <c r="CM32" s="3416">
        <f t="shared" si="11"/>
        <v>0</v>
      </c>
    </row>
    <row r="33" spans="1:93" ht="15" customHeight="1">
      <c r="A33" s="6723"/>
      <c r="B33" s="6723"/>
      <c r="C33" s="3836" t="s">
        <v>4295</v>
      </c>
      <c r="D33" s="5363">
        <f t="shared" si="0"/>
        <v>0</v>
      </c>
      <c r="E33" s="5363">
        <f t="shared" si="1"/>
        <v>0</v>
      </c>
      <c r="F33" s="5365">
        <f t="shared" si="2"/>
        <v>0</v>
      </c>
      <c r="G33" s="5388"/>
      <c r="H33" s="5366"/>
      <c r="I33" s="5388"/>
      <c r="J33" s="5366"/>
      <c r="K33" s="5388"/>
      <c r="L33" s="5366"/>
      <c r="M33" s="5388"/>
      <c r="N33" s="5366"/>
      <c r="O33" s="5368"/>
      <c r="P33" s="5366"/>
      <c r="Q33" s="5368"/>
      <c r="R33" s="5366"/>
      <c r="S33" s="5368"/>
      <c r="T33" s="5366"/>
      <c r="U33" s="5368"/>
      <c r="V33" s="5366"/>
      <c r="W33" s="5388"/>
      <c r="X33" s="5366"/>
      <c r="Y33" s="5388"/>
      <c r="Z33" s="5366"/>
      <c r="AA33" s="5388"/>
      <c r="AB33" s="5366"/>
      <c r="AC33" s="5388"/>
      <c r="AD33" s="5366"/>
      <c r="AE33" s="5388"/>
      <c r="AF33" s="5366"/>
      <c r="AG33" s="5388"/>
      <c r="AH33" s="5366"/>
      <c r="AI33" s="5388"/>
      <c r="AJ33" s="5366"/>
      <c r="AK33" s="5388"/>
      <c r="AL33" s="5366"/>
      <c r="AM33" s="5388"/>
      <c r="AN33" s="5369"/>
      <c r="AO33" s="5370"/>
      <c r="AP33" s="5371"/>
      <c r="AQ33" s="5370"/>
      <c r="AR33" s="5371"/>
      <c r="AS33" t="str">
        <f t="shared" si="3"/>
        <v/>
      </c>
      <c r="CA33" s="418" t="str">
        <f t="shared" si="4"/>
        <v/>
      </c>
      <c r="CB33" s="418" t="str">
        <f t="shared" si="5"/>
        <v/>
      </c>
      <c r="CC33" s="418" t="str">
        <f t="shared" si="6"/>
        <v/>
      </c>
      <c r="CD33" s="418" t="str">
        <f t="shared" si="7"/>
        <v/>
      </c>
      <c r="CJ33" s="3416">
        <f t="shared" si="8"/>
        <v>0</v>
      </c>
      <c r="CK33" s="3416">
        <f t="shared" si="9"/>
        <v>0</v>
      </c>
      <c r="CL33" s="3416">
        <f t="shared" si="10"/>
        <v>0</v>
      </c>
      <c r="CM33" s="3416">
        <f t="shared" si="11"/>
        <v>0</v>
      </c>
    </row>
    <row r="34" spans="1:93" ht="15" customHeight="1">
      <c r="A34" s="6724"/>
      <c r="B34" s="6724"/>
      <c r="C34" s="3530" t="s">
        <v>4296</v>
      </c>
      <c r="D34" s="5372">
        <f t="shared" si="0"/>
        <v>0</v>
      </c>
      <c r="E34" s="5373">
        <f t="shared" si="1"/>
        <v>0</v>
      </c>
      <c r="F34" s="5374">
        <f t="shared" si="2"/>
        <v>0</v>
      </c>
      <c r="G34" s="5375"/>
      <c r="H34" s="5376"/>
      <c r="I34" s="5375"/>
      <c r="J34" s="5376"/>
      <c r="K34" s="5375"/>
      <c r="L34" s="5376"/>
      <c r="M34" s="5375"/>
      <c r="N34" s="5376"/>
      <c r="O34" s="5377"/>
      <c r="P34" s="5376"/>
      <c r="Q34" s="5377"/>
      <c r="R34" s="5376"/>
      <c r="S34" s="5377"/>
      <c r="T34" s="5376"/>
      <c r="U34" s="5377"/>
      <c r="V34" s="5376"/>
      <c r="W34" s="5375"/>
      <c r="X34" s="5376"/>
      <c r="Y34" s="5375"/>
      <c r="Z34" s="5376"/>
      <c r="AA34" s="5375"/>
      <c r="AB34" s="5376"/>
      <c r="AC34" s="5375"/>
      <c r="AD34" s="5376"/>
      <c r="AE34" s="5375"/>
      <c r="AF34" s="5376"/>
      <c r="AG34" s="5375"/>
      <c r="AH34" s="5376"/>
      <c r="AI34" s="5375"/>
      <c r="AJ34" s="5376"/>
      <c r="AK34" s="5375"/>
      <c r="AL34" s="5376"/>
      <c r="AM34" s="5375"/>
      <c r="AN34" s="5378"/>
      <c r="AO34" s="5379"/>
      <c r="AP34" s="5380"/>
      <c r="AQ34" s="5379"/>
      <c r="AR34" s="5380"/>
      <c r="AS34" t="str">
        <f t="shared" si="3"/>
        <v/>
      </c>
      <c r="CA34" s="418" t="str">
        <f t="shared" si="4"/>
        <v/>
      </c>
      <c r="CB34" s="418" t="str">
        <f t="shared" si="5"/>
        <v/>
      </c>
      <c r="CC34" s="418" t="str">
        <f t="shared" si="6"/>
        <v/>
      </c>
      <c r="CD34" s="418" t="str">
        <f t="shared" si="7"/>
        <v/>
      </c>
      <c r="CJ34" s="3416">
        <f t="shared" si="8"/>
        <v>0</v>
      </c>
      <c r="CK34" s="3416">
        <f t="shared" si="9"/>
        <v>0</v>
      </c>
      <c r="CL34" s="3416">
        <f t="shared" si="10"/>
        <v>0</v>
      </c>
      <c r="CM34" s="3416">
        <f t="shared" si="11"/>
        <v>0</v>
      </c>
    </row>
    <row r="35" spans="1:93" ht="17.100000000000001" customHeight="1">
      <c r="A35" s="1389" t="s">
        <v>4297</v>
      </c>
    </row>
    <row r="36" spans="1:93" ht="15" customHeight="1">
      <c r="A36" s="6492" t="s">
        <v>1420</v>
      </c>
      <c r="B36" s="7317" t="s">
        <v>1124</v>
      </c>
      <c r="C36" s="6478" t="s">
        <v>91</v>
      </c>
      <c r="D36" s="6281"/>
      <c r="E36" s="7135"/>
      <c r="F36" s="7312" t="s">
        <v>115</v>
      </c>
      <c r="G36" s="5708"/>
      <c r="H36" s="5708"/>
      <c r="I36" s="5708"/>
      <c r="J36" s="5708"/>
      <c r="K36" s="5708"/>
      <c r="L36" s="5708"/>
      <c r="M36" s="5708"/>
      <c r="N36" s="5708"/>
      <c r="O36" s="5708"/>
      <c r="P36" s="5708"/>
      <c r="Q36" s="5708"/>
      <c r="R36" s="5708"/>
      <c r="S36" s="5708"/>
      <c r="T36" s="5708"/>
      <c r="U36" s="5708"/>
      <c r="V36" s="5708"/>
      <c r="W36" s="5708"/>
      <c r="X36" s="5708"/>
      <c r="Y36" s="5708"/>
      <c r="Z36" s="5708"/>
      <c r="AA36" s="5708"/>
      <c r="AB36" s="5708"/>
      <c r="AC36" s="5708"/>
      <c r="AD36" s="5708"/>
      <c r="AE36" s="5708"/>
      <c r="AF36" s="5708"/>
      <c r="AG36" s="5708"/>
      <c r="AH36" s="5708"/>
      <c r="AI36" s="6445"/>
      <c r="AJ36" s="6732" t="s">
        <v>4298</v>
      </c>
      <c r="AK36" s="6732"/>
      <c r="AL36" s="6732"/>
      <c r="AM36" s="6732"/>
      <c r="AN36" s="6732"/>
      <c r="AO36" s="6732"/>
      <c r="AP36" s="6732"/>
      <c r="AQ36" s="6732"/>
      <c r="AR36" s="6732"/>
      <c r="AS36" s="6731"/>
      <c r="AT36" s="7320" t="s">
        <v>4299</v>
      </c>
      <c r="AU36" s="7321"/>
      <c r="AV36" s="6494" t="s">
        <v>4300</v>
      </c>
      <c r="AW36" s="6494"/>
    </row>
    <row r="37" spans="1:93" ht="15" customHeight="1">
      <c r="A37" s="6492"/>
      <c r="B37" s="6379"/>
      <c r="C37" s="6353"/>
      <c r="D37" s="7319"/>
      <c r="E37" s="7136"/>
      <c r="F37" s="7313" t="s">
        <v>1390</v>
      </c>
      <c r="G37" s="5712"/>
      <c r="H37" s="5710" t="s">
        <v>1391</v>
      </c>
      <c r="I37" s="5712"/>
      <c r="J37" s="5710" t="s">
        <v>108</v>
      </c>
      <c r="K37" s="5712"/>
      <c r="L37" s="5710" t="s">
        <v>4301</v>
      </c>
      <c r="M37" s="5712"/>
      <c r="N37" s="5710" t="s">
        <v>4302</v>
      </c>
      <c r="O37" s="5712"/>
      <c r="P37" s="5710" t="s">
        <v>1003</v>
      </c>
      <c r="Q37" s="5712"/>
      <c r="R37" s="5710" t="s">
        <v>656</v>
      </c>
      <c r="S37" s="5712"/>
      <c r="T37" s="5710" t="s">
        <v>62</v>
      </c>
      <c r="U37" s="5712"/>
      <c r="V37" s="5710" t="s">
        <v>4303</v>
      </c>
      <c r="W37" s="5712"/>
      <c r="X37" s="5710" t="s">
        <v>1004</v>
      </c>
      <c r="Y37" s="5712"/>
      <c r="Z37" s="5710" t="s">
        <v>65</v>
      </c>
      <c r="AA37" s="5712"/>
      <c r="AB37" s="5710" t="s">
        <v>66</v>
      </c>
      <c r="AC37" s="5712"/>
      <c r="AD37" s="5710" t="s">
        <v>67</v>
      </c>
      <c r="AE37" s="5712"/>
      <c r="AF37" s="5710" t="s">
        <v>68</v>
      </c>
      <c r="AG37" s="5712"/>
      <c r="AH37" s="5710" t="s">
        <v>4304</v>
      </c>
      <c r="AI37" s="7314"/>
      <c r="AJ37" s="6733"/>
      <c r="AK37" s="6733"/>
      <c r="AL37" s="6733"/>
      <c r="AM37" s="6733"/>
      <c r="AN37" s="6733"/>
      <c r="AO37" s="6733"/>
      <c r="AP37" s="6733"/>
      <c r="AQ37" s="6733"/>
      <c r="AR37" s="6733"/>
      <c r="AS37" s="6358"/>
      <c r="AT37" s="7322"/>
      <c r="AU37" s="7323"/>
      <c r="AV37" s="6494"/>
      <c r="AW37" s="6494"/>
      <c r="CC37" s="5390"/>
    </row>
    <row r="38" spans="1:93" ht="33.75" customHeight="1">
      <c r="A38" s="6492"/>
      <c r="B38" s="7318"/>
      <c r="C38" s="2414" t="s">
        <v>93</v>
      </c>
      <c r="D38" s="5361" t="s">
        <v>72</v>
      </c>
      <c r="E38" s="2411" t="s">
        <v>73</v>
      </c>
      <c r="F38" s="5362" t="s">
        <v>72</v>
      </c>
      <c r="G38" s="393" t="s">
        <v>73</v>
      </c>
      <c r="H38" s="1395" t="s">
        <v>72</v>
      </c>
      <c r="I38" s="393" t="s">
        <v>73</v>
      </c>
      <c r="J38" s="1395" t="s">
        <v>72</v>
      </c>
      <c r="K38" s="393" t="s">
        <v>73</v>
      </c>
      <c r="L38" s="1395" t="s">
        <v>72</v>
      </c>
      <c r="M38" s="393" t="s">
        <v>73</v>
      </c>
      <c r="N38" s="1395" t="s">
        <v>72</v>
      </c>
      <c r="O38" s="393" t="s">
        <v>73</v>
      </c>
      <c r="P38" s="1395" t="s">
        <v>72</v>
      </c>
      <c r="Q38" s="393" t="s">
        <v>73</v>
      </c>
      <c r="R38" s="1395" t="s">
        <v>72</v>
      </c>
      <c r="S38" s="393" t="s">
        <v>73</v>
      </c>
      <c r="T38" s="1395" t="s">
        <v>72</v>
      </c>
      <c r="U38" s="393" t="s">
        <v>73</v>
      </c>
      <c r="V38" s="1395" t="s">
        <v>72</v>
      </c>
      <c r="W38" s="393" t="s">
        <v>73</v>
      </c>
      <c r="X38" s="1395" t="s">
        <v>72</v>
      </c>
      <c r="Y38" s="393" t="s">
        <v>73</v>
      </c>
      <c r="Z38" s="1395" t="s">
        <v>72</v>
      </c>
      <c r="AA38" s="393" t="s">
        <v>73</v>
      </c>
      <c r="AB38" s="1395" t="s">
        <v>72</v>
      </c>
      <c r="AC38" s="393" t="s">
        <v>73</v>
      </c>
      <c r="AD38" s="1395" t="s">
        <v>72</v>
      </c>
      <c r="AE38" s="393" t="s">
        <v>73</v>
      </c>
      <c r="AF38" s="1395" t="s">
        <v>72</v>
      </c>
      <c r="AG38" s="393" t="s">
        <v>73</v>
      </c>
      <c r="AH38" s="1395" t="s">
        <v>72</v>
      </c>
      <c r="AI38" s="393" t="s">
        <v>73</v>
      </c>
      <c r="AJ38" s="5391" t="s">
        <v>78</v>
      </c>
      <c r="AK38" s="5392" t="s">
        <v>112</v>
      </c>
      <c r="AL38" s="5392" t="s">
        <v>1471</v>
      </c>
      <c r="AM38" s="5393" t="s">
        <v>113</v>
      </c>
      <c r="AN38" s="5392" t="s">
        <v>1065</v>
      </c>
      <c r="AO38" s="5392" t="s">
        <v>4305</v>
      </c>
      <c r="AP38" s="5392" t="s">
        <v>119</v>
      </c>
      <c r="AQ38" s="5392" t="s">
        <v>526</v>
      </c>
      <c r="AR38" s="5393" t="s">
        <v>1068</v>
      </c>
      <c r="AS38" s="5393" t="s">
        <v>1066</v>
      </c>
      <c r="AT38" s="1497" t="s">
        <v>72</v>
      </c>
      <c r="AU38" s="1594" t="s">
        <v>73</v>
      </c>
      <c r="AV38" s="1497" t="s">
        <v>4306</v>
      </c>
      <c r="AW38" s="1594" t="s">
        <v>4307</v>
      </c>
      <c r="BU38" s="5390"/>
      <c r="BW38" s="5390"/>
      <c r="BX38" s="5394"/>
      <c r="BY38" s="5394"/>
      <c r="BZ38" s="7316"/>
      <c r="CA38" s="7316"/>
      <c r="CB38" s="5394"/>
      <c r="CC38" s="5394"/>
      <c r="CD38" s="5394"/>
    </row>
    <row r="39" spans="1:93" ht="15" customHeight="1">
      <c r="A39" s="6492" t="s">
        <v>4308</v>
      </c>
      <c r="B39" s="5395" t="s">
        <v>4309</v>
      </c>
      <c r="C39" s="5396">
        <f t="shared" ref="C39:C51" si="12">SUM(D39:E39)</f>
        <v>0</v>
      </c>
      <c r="D39" s="5364">
        <f t="shared" ref="D39:D51" si="13">+F39+H39+J39+L39+N39+P39+R39+T39+V39+X39+Z39+AB39+AD39+AF39+AH39</f>
        <v>0</v>
      </c>
      <c r="E39" s="5365">
        <f t="shared" ref="E39:E51" si="14">+G39+I39+K39+M39+O39+Q39+S39+U39+W39+Y39+AA39+AC39+AE39+AG39+AI39</f>
        <v>0</v>
      </c>
      <c r="F39" s="2420"/>
      <c r="G39" s="5366"/>
      <c r="H39" s="2420"/>
      <c r="I39" s="5366"/>
      <c r="J39" s="2420"/>
      <c r="K39" s="5366"/>
      <c r="L39" s="2420"/>
      <c r="M39" s="5366"/>
      <c r="N39" s="2420"/>
      <c r="O39" s="5366"/>
      <c r="P39" s="2420"/>
      <c r="Q39" s="5366"/>
      <c r="R39" s="2420"/>
      <c r="S39" s="5366"/>
      <c r="T39" s="2420"/>
      <c r="U39" s="5366"/>
      <c r="V39" s="2420"/>
      <c r="W39" s="5366"/>
      <c r="X39" s="2420"/>
      <c r="Y39" s="5366"/>
      <c r="Z39" s="2420"/>
      <c r="AA39" s="5366"/>
      <c r="AB39" s="2420"/>
      <c r="AC39" s="5366"/>
      <c r="AD39" s="2420"/>
      <c r="AE39" s="5366"/>
      <c r="AF39" s="2420"/>
      <c r="AG39" s="5366"/>
      <c r="AH39" s="2420"/>
      <c r="AI39" s="5366"/>
      <c r="AJ39" s="5397"/>
      <c r="AK39" s="5397"/>
      <c r="AL39" s="5397"/>
      <c r="AM39" s="5397"/>
      <c r="AN39" s="5397"/>
      <c r="AO39" s="5397"/>
      <c r="AP39" s="5397"/>
      <c r="AQ39" s="5397"/>
      <c r="AR39" s="5397"/>
      <c r="AS39" s="5397"/>
      <c r="AT39" s="5398"/>
      <c r="AU39" s="5399"/>
      <c r="AV39" s="5400"/>
      <c r="AW39" s="5401"/>
      <c r="AX39" t="str">
        <f t="shared" ref="AX39:AX51" si="15">CA39&amp;CB39&amp;CC39&amp;CD39&amp;CE39&amp;CF39</f>
        <v/>
      </c>
      <c r="CA39" s="1708" t="str">
        <f t="array" ref="CA39">IF(AND($C39&lt;&gt;0,AJ39:AS39=""),"* No olvide ingresar la variable "&amp;AJ$36&amp;""&amp;". Digite CERO si no tiene. ","")</f>
        <v/>
      </c>
      <c r="CB39" s="418" t="str">
        <f t="shared" ref="CB39:CB51" si="16">IF((AJ39+AK39+AL39+AM39+AN39+AO39+AP39+AQ39+AR39+AS39)&lt;$C39," * La suma del TOTAL Ambos Sexos no puede ser Mayor a la suma de las variables de "&amp;AJ$36&amp;""&amp;"","")</f>
        <v/>
      </c>
      <c r="CC39" s="418" t="str">
        <f>IF(AND($D39&lt;&gt;0,$AT39=""),"* No olvide ingresar la variable "&amp;AT$36&amp;""&amp;" Hombres. Digite CERO si no tiene. ",IF(AT39&gt;$D39," * La variable "&amp;AT$36&amp;""&amp;" Hombres no debe ser mayor al Total Hombres. ",""))</f>
        <v/>
      </c>
      <c r="CD39" s="418" t="str">
        <f t="shared" ref="CD39:CD41" si="17">IF(AND($E39&lt;&gt;0,AU39=""),"* No olvide ingresar la variable "&amp;AT$36&amp;""&amp;" Mujeres. Digite CERO si no tiene. ",IF(AU39&gt;$E39," * La variable "&amp;AT$36&amp;""&amp;" Mujeres no debe ser mayor al Total Mujeres. ",""))</f>
        <v/>
      </c>
      <c r="CE39" s="418" t="str">
        <f t="shared" ref="CE39:CE51" si="18">IF(AND($F39+$G39+$H39+$I39+$J39+$K39+$L39+$M39&lt;&gt;0,AV39=""),"* No olvide ingresar la variable "&amp;AV$36&amp;""&amp;" 0-19 años. Digite CERO si no tiene. ",IF(AV39&gt;$F39+$G39+$H39+$I39+$J39+$K39+$L39+$M39,"* La variable "&amp;AV$36&amp;""&amp;" 0-19 años no debe ser mayor a la suma de los Rangos Etarios de 0-19 años. ",""))</f>
        <v/>
      </c>
      <c r="CF39" s="418" t="str">
        <f t="shared" ref="CF39:CF51" si="19">IF(AND($N39+$O39+$P39+$Q39+$R39+$S39+$T39+$U39+$V39+$W39+$X39+$Y39+$Z39+$AA39+$AB39+$AC39+$AD39+$AE39+$AF39+$AG39+$AH39+$AI39&lt;&gt;0,AW39=""),"* No olvide ingresar la variable "&amp;AV$36&amp;""&amp;" 20 años y más. Digite CERO si no tiene.  ",IF(AW39&gt;$N39+$O39+$P39+$Q39+$R39+$S39+$T39+$U39+$V39+$W39+$X39+$Y39+$Z39+$AA39+$AB39+$AC39+$AD39+$AE39+$AF39+$AG39+$AH39+$AI39,"* La variable "&amp;AV$36&amp;""&amp;" 20 años y más no debe ser mayor a la suma de los Rangos Etarios de 20 y más años. ",""))</f>
        <v/>
      </c>
      <c r="CJ39" s="3416">
        <f t="array" ref="CJ39">IF(AND($C39&lt;&gt;0,AJ39:AS39=""),1,0)</f>
        <v>0</v>
      </c>
      <c r="CK39" s="3389">
        <f t="shared" ref="CK39:CK51" si="20">IF((AJ39+AK39+AL39+AM39+AN39+AO39+AP39+AQ39+AR39+AS39)&lt;$C39,1,0)</f>
        <v>0</v>
      </c>
      <c r="CL39" s="3389">
        <f t="shared" ref="CL39:CL41" si="21">IF(AND($D39&lt;&gt;0,$AT39=""),1,IF(AT39&gt;D39,1,0))</f>
        <v>0</v>
      </c>
      <c r="CM39" s="3389">
        <f t="shared" ref="CM39:CM41" si="22">IF(AND($E39&lt;&gt;0,$AU39=""),1,IF($AU39&gt;$E39,1,0))</f>
        <v>0</v>
      </c>
      <c r="CN39" s="3389">
        <f t="shared" ref="CN39:CN51" si="23">IF(AND($F39+$G39+$H39+$I39+$J39+$K39+$L39+$M39&lt;&gt;0,$AV39=""),1,IF($AV39&gt;$F39+$G39+$H39+$I39+$J39+$K39+$L39+$M39,1,0))</f>
        <v>0</v>
      </c>
      <c r="CO39" s="3389">
        <f t="shared" ref="CO39:CO51" si="24">IF(AND($N39+$O39+$P39+$Q39+$R39+$S39+$T39+$U39+$V39+$W39+$X39+$Y39+$Z39+$AA39+$AB39+$AC39+$AD39+$AE39+$AF39+$AG39+$AH39+$AI39&lt;&gt;0,$AW39=""),1,IF($AW39&gt;$N39+$O39+$P39+$Q39+$R39+$S39+$T39+$U39+$V39+$W39+$X39+$Y39+$Z39+$AA39+$AB39+$AC39+$AD39+$AE39+$AF39+$AG39+$AH39+$AI39,1,0))</f>
        <v>0</v>
      </c>
    </row>
    <row r="40" spans="1:93" ht="15" customHeight="1">
      <c r="A40" s="6492"/>
      <c r="B40" s="5402" t="s">
        <v>4310</v>
      </c>
      <c r="C40" s="5396">
        <f t="shared" si="12"/>
        <v>0</v>
      </c>
      <c r="D40" s="5363">
        <f t="shared" si="13"/>
        <v>0</v>
      </c>
      <c r="E40" s="5365">
        <f t="shared" si="14"/>
        <v>0</v>
      </c>
      <c r="F40" s="5388"/>
      <c r="G40" s="5366"/>
      <c r="H40" s="5388"/>
      <c r="I40" s="5366"/>
      <c r="J40" s="5388"/>
      <c r="K40" s="5366"/>
      <c r="L40" s="5388"/>
      <c r="M40" s="5366"/>
      <c r="N40" s="5388"/>
      <c r="O40" s="5366"/>
      <c r="P40" s="5388"/>
      <c r="Q40" s="5366"/>
      <c r="R40" s="5388"/>
      <c r="S40" s="5366"/>
      <c r="T40" s="5388"/>
      <c r="U40" s="5366"/>
      <c r="V40" s="5388"/>
      <c r="W40" s="5366"/>
      <c r="X40" s="5388"/>
      <c r="Y40" s="5366"/>
      <c r="Z40" s="5388"/>
      <c r="AA40" s="5366"/>
      <c r="AB40" s="5388"/>
      <c r="AC40" s="5366"/>
      <c r="AD40" s="5388"/>
      <c r="AE40" s="5366"/>
      <c r="AF40" s="5388"/>
      <c r="AG40" s="5366"/>
      <c r="AH40" s="5388"/>
      <c r="AI40" s="5366"/>
      <c r="AJ40" s="5397"/>
      <c r="AK40" s="5397"/>
      <c r="AL40" s="5397"/>
      <c r="AM40" s="5397"/>
      <c r="AN40" s="5397"/>
      <c r="AO40" s="5397"/>
      <c r="AP40" s="5397"/>
      <c r="AQ40" s="5397"/>
      <c r="AR40" s="5397"/>
      <c r="AS40" s="5397"/>
      <c r="AT40" s="5398"/>
      <c r="AU40" s="5399"/>
      <c r="AV40" s="5398"/>
      <c r="AW40" s="5403"/>
      <c r="AX40" t="str">
        <f t="shared" si="15"/>
        <v/>
      </c>
      <c r="BU40" t="str">
        <f t="shared" ref="BU40:BU51" si="25">IF(CJ40=1," * La suma de Atenciones por profesional no debe ser mayor al Total.","")</f>
        <v/>
      </c>
      <c r="CA40" s="1708" t="str">
        <f t="array" ref="CA40">IF(AND($C40&lt;&gt;0,AJ40:AS40=""),"* No olvide ingresar la variable "&amp;AJ$36&amp;""&amp;". Digite CERO si no tiene. ","")</f>
        <v/>
      </c>
      <c r="CB40" s="418" t="str">
        <f t="shared" si="16"/>
        <v/>
      </c>
      <c r="CC40" s="418" t="str">
        <f t="shared" ref="CC40:CC41" si="26">IF(AND($D40&lt;&gt;0,AT40=""),"* No olvide ingresar la variable "&amp;AT$36&amp;""&amp;" Hombres. Digite CERO si no tiene. ",IF(AT40&gt;$D40," * La variable "&amp;AT$36&amp;""&amp;" Hombres no debe ser mayor al Total Hombres. ",""))</f>
        <v/>
      </c>
      <c r="CD40" s="418" t="str">
        <f t="shared" si="17"/>
        <v/>
      </c>
      <c r="CE40" s="418" t="str">
        <f t="shared" si="18"/>
        <v/>
      </c>
      <c r="CF40" s="418" t="str">
        <f t="shared" si="19"/>
        <v/>
      </c>
      <c r="CJ40" s="3416">
        <f t="array" ref="CJ40">IF(AND($C40&lt;&gt;0,AJ40:AS40=""),1,0)</f>
        <v>0</v>
      </c>
      <c r="CK40" s="3389">
        <f t="shared" si="20"/>
        <v>0</v>
      </c>
      <c r="CL40" s="3389">
        <f t="shared" si="21"/>
        <v>0</v>
      </c>
      <c r="CM40" s="3389">
        <f t="shared" si="22"/>
        <v>0</v>
      </c>
      <c r="CN40" s="3389">
        <f t="shared" si="23"/>
        <v>0</v>
      </c>
      <c r="CO40" s="3389">
        <f t="shared" si="24"/>
        <v>0</v>
      </c>
    </row>
    <row r="41" spans="1:93" ht="23.25" customHeight="1">
      <c r="A41" s="6492"/>
      <c r="B41" s="5404" t="s">
        <v>4311</v>
      </c>
      <c r="C41" s="5405">
        <f t="shared" si="12"/>
        <v>0</v>
      </c>
      <c r="D41" s="5406">
        <f t="shared" si="13"/>
        <v>0</v>
      </c>
      <c r="E41" s="5407">
        <f t="shared" si="14"/>
        <v>0</v>
      </c>
      <c r="F41" s="2440"/>
      <c r="G41" s="5408"/>
      <c r="H41" s="2440"/>
      <c r="I41" s="5408"/>
      <c r="J41" s="2440"/>
      <c r="K41" s="5408"/>
      <c r="L41" s="2440"/>
      <c r="M41" s="5408"/>
      <c r="N41" s="2440"/>
      <c r="O41" s="5408"/>
      <c r="P41" s="2440"/>
      <c r="Q41" s="5408"/>
      <c r="R41" s="2440"/>
      <c r="S41" s="5408"/>
      <c r="T41" s="2440"/>
      <c r="U41" s="5408"/>
      <c r="V41" s="2440"/>
      <c r="W41" s="5408"/>
      <c r="X41" s="2440"/>
      <c r="Y41" s="5408"/>
      <c r="Z41" s="2440"/>
      <c r="AA41" s="5408"/>
      <c r="AB41" s="2440"/>
      <c r="AC41" s="5408"/>
      <c r="AD41" s="2440"/>
      <c r="AE41" s="5408"/>
      <c r="AF41" s="2440"/>
      <c r="AG41" s="5408"/>
      <c r="AH41" s="2440"/>
      <c r="AI41" s="5408"/>
      <c r="AJ41" s="5409"/>
      <c r="AK41" s="5409"/>
      <c r="AL41" s="5409"/>
      <c r="AM41" s="5409"/>
      <c r="AN41" s="5409"/>
      <c r="AO41" s="5409"/>
      <c r="AP41" s="5409"/>
      <c r="AQ41" s="5409"/>
      <c r="AR41" s="5409"/>
      <c r="AS41" s="5409"/>
      <c r="AT41" s="5410"/>
      <c r="AU41" s="5411"/>
      <c r="AV41" s="5410"/>
      <c r="AW41" s="5412"/>
      <c r="AX41" t="str">
        <f t="shared" si="15"/>
        <v/>
      </c>
      <c r="BU41" t="str">
        <f t="shared" si="25"/>
        <v/>
      </c>
      <c r="CA41" s="1708" t="str">
        <f t="array" ref="CA41">IF(AND($C41&lt;&gt;0,AJ41:AS41=""),"* No olvide ingresar la variable "&amp;AJ$36&amp;""&amp;". Digite CERO si no tiene. ","")</f>
        <v/>
      </c>
      <c r="CB41" s="418" t="str">
        <f t="shared" si="16"/>
        <v/>
      </c>
      <c r="CC41" s="418" t="str">
        <f t="shared" si="26"/>
        <v/>
      </c>
      <c r="CD41" s="418" t="str">
        <f t="shared" si="17"/>
        <v/>
      </c>
      <c r="CE41" s="418" t="str">
        <f t="shared" si="18"/>
        <v/>
      </c>
      <c r="CF41" s="418" t="str">
        <f t="shared" si="19"/>
        <v/>
      </c>
      <c r="CJ41" s="3416">
        <f t="array" ref="CJ41">IF(AND($C41&lt;&gt;0,AJ41:AS41=""),1,0)</f>
        <v>0</v>
      </c>
      <c r="CK41" s="3389">
        <f t="shared" si="20"/>
        <v>0</v>
      </c>
      <c r="CL41" s="3389">
        <f t="shared" si="21"/>
        <v>0</v>
      </c>
      <c r="CM41" s="3389">
        <f t="shared" si="22"/>
        <v>0</v>
      </c>
      <c r="CN41" s="3389">
        <f t="shared" si="23"/>
        <v>0</v>
      </c>
      <c r="CO41" s="3389">
        <f t="shared" si="24"/>
        <v>0</v>
      </c>
    </row>
    <row r="42" spans="1:93" ht="15" customHeight="1">
      <c r="A42" s="6492" t="s">
        <v>4312</v>
      </c>
      <c r="B42" s="5413" t="s">
        <v>4313</v>
      </c>
      <c r="C42" s="5414">
        <f t="shared" si="12"/>
        <v>0</v>
      </c>
      <c r="D42" s="5382">
        <f t="shared" si="13"/>
        <v>0</v>
      </c>
      <c r="E42" s="5383">
        <f t="shared" si="14"/>
        <v>0</v>
      </c>
      <c r="F42" s="2457"/>
      <c r="G42" s="2458"/>
      <c r="H42" s="2457"/>
      <c r="I42" s="2458"/>
      <c r="J42" s="2457"/>
      <c r="K42" s="2458"/>
      <c r="L42" s="2457"/>
      <c r="M42" s="2458"/>
      <c r="N42" s="2457"/>
      <c r="O42" s="2458"/>
      <c r="P42" s="2457"/>
      <c r="Q42" s="2458"/>
      <c r="R42" s="2457"/>
      <c r="S42" s="2458"/>
      <c r="T42" s="2457"/>
      <c r="U42" s="2458"/>
      <c r="V42" s="2457"/>
      <c r="W42" s="2458"/>
      <c r="X42" s="2457"/>
      <c r="Y42" s="2458"/>
      <c r="Z42" s="2457"/>
      <c r="AA42" s="2458"/>
      <c r="AB42" s="2457"/>
      <c r="AC42" s="2458"/>
      <c r="AD42" s="2457"/>
      <c r="AE42" s="2458"/>
      <c r="AF42" s="2457"/>
      <c r="AG42" s="2458"/>
      <c r="AH42" s="2457"/>
      <c r="AI42" s="2458"/>
      <c r="AJ42" s="5415"/>
      <c r="AK42" s="5415"/>
      <c r="AL42" s="5415"/>
      <c r="AM42" s="5415"/>
      <c r="AN42" s="5415"/>
      <c r="AO42" s="5415"/>
      <c r="AP42" s="5415"/>
      <c r="AQ42" s="5415"/>
      <c r="AR42" s="5415"/>
      <c r="AS42" s="5415"/>
      <c r="AT42" s="5416"/>
      <c r="AU42" s="5417"/>
      <c r="AV42" s="5418"/>
      <c r="AW42" s="5419"/>
      <c r="AX42" t="str">
        <f t="shared" si="15"/>
        <v/>
      </c>
      <c r="BU42" t="str">
        <f t="shared" si="25"/>
        <v/>
      </c>
      <c r="CA42" s="1708" t="str">
        <f t="array" ref="CA42">IF(AND($C42&lt;&gt;0,AJ42:AS42=""),"* No olvide ingresar la variable "&amp;AJ$36&amp;""&amp;". Digite CERO si no tiene. ","")</f>
        <v/>
      </c>
      <c r="CB42" s="418" t="str">
        <f t="shared" si="16"/>
        <v/>
      </c>
      <c r="CC42" s="5420"/>
      <c r="CD42" s="5420"/>
      <c r="CE42" s="418" t="str">
        <f t="shared" si="18"/>
        <v/>
      </c>
      <c r="CF42" s="418" t="str">
        <f t="shared" si="19"/>
        <v/>
      </c>
      <c r="CJ42" s="3416">
        <f t="array" ref="CJ42">IF(AND($C42&lt;&gt;0,AJ42:AS42=""),1,0)</f>
        <v>0</v>
      </c>
      <c r="CK42" s="3389">
        <f t="shared" si="20"/>
        <v>0</v>
      </c>
      <c r="CL42" s="4717"/>
      <c r="CM42" s="4717"/>
      <c r="CN42" s="3389">
        <f t="shared" si="23"/>
        <v>0</v>
      </c>
      <c r="CO42" s="3389">
        <f t="shared" si="24"/>
        <v>0</v>
      </c>
    </row>
    <row r="43" spans="1:93" ht="15" customHeight="1">
      <c r="A43" s="6492"/>
      <c r="B43" s="3503" t="s">
        <v>4314</v>
      </c>
      <c r="C43" s="5421">
        <f t="shared" si="12"/>
        <v>0</v>
      </c>
      <c r="D43" s="5373">
        <f t="shared" si="13"/>
        <v>0</v>
      </c>
      <c r="E43" s="5374">
        <f t="shared" si="14"/>
        <v>0</v>
      </c>
      <c r="F43" s="5375"/>
      <c r="G43" s="5376"/>
      <c r="H43" s="5375"/>
      <c r="I43" s="5376"/>
      <c r="J43" s="5375"/>
      <c r="K43" s="5376"/>
      <c r="L43" s="5375"/>
      <c r="M43" s="5376"/>
      <c r="N43" s="5375"/>
      <c r="O43" s="5376"/>
      <c r="P43" s="5375"/>
      <c r="Q43" s="5376"/>
      <c r="R43" s="5375"/>
      <c r="S43" s="5376"/>
      <c r="T43" s="5375"/>
      <c r="U43" s="5376"/>
      <c r="V43" s="5375"/>
      <c r="W43" s="5376"/>
      <c r="X43" s="5375"/>
      <c r="Y43" s="5376"/>
      <c r="Z43" s="5375"/>
      <c r="AA43" s="5376"/>
      <c r="AB43" s="5375"/>
      <c r="AC43" s="5376"/>
      <c r="AD43" s="5375"/>
      <c r="AE43" s="5376"/>
      <c r="AF43" s="5375"/>
      <c r="AG43" s="5376"/>
      <c r="AH43" s="5375"/>
      <c r="AI43" s="5376"/>
      <c r="AJ43" s="5422"/>
      <c r="AK43" s="5422"/>
      <c r="AL43" s="5422"/>
      <c r="AM43" s="5422"/>
      <c r="AN43" s="5422"/>
      <c r="AO43" s="5422"/>
      <c r="AP43" s="5422"/>
      <c r="AQ43" s="5422"/>
      <c r="AR43" s="5422"/>
      <c r="AS43" s="5422"/>
      <c r="AT43" s="5423"/>
      <c r="AU43" s="5424"/>
      <c r="AV43" s="5425"/>
      <c r="AW43" s="5426"/>
      <c r="AX43" t="str">
        <f t="shared" si="15"/>
        <v/>
      </c>
      <c r="BU43" t="str">
        <f t="shared" si="25"/>
        <v/>
      </c>
      <c r="CA43" s="1708" t="str">
        <f t="array" ref="CA43">IF(AND($C43&lt;&gt;0,AJ43:AS43=""),"* No olvide ingresar la variable "&amp;AJ$36&amp;""&amp;". Digite CERO si no tiene. ","")</f>
        <v/>
      </c>
      <c r="CB43" s="418" t="str">
        <f t="shared" si="16"/>
        <v/>
      </c>
      <c r="CC43" s="5420"/>
      <c r="CD43" s="5420"/>
      <c r="CE43" s="418" t="str">
        <f t="shared" si="18"/>
        <v/>
      </c>
      <c r="CF43" s="418" t="str">
        <f t="shared" si="19"/>
        <v/>
      </c>
      <c r="CJ43" s="3416">
        <f t="array" ref="CJ43">IF(AND($C43&lt;&gt;0,AJ43:AS43=""),1,0)</f>
        <v>0</v>
      </c>
      <c r="CK43" s="3389">
        <f t="shared" si="20"/>
        <v>0</v>
      </c>
      <c r="CL43" s="4717"/>
      <c r="CM43" s="4717"/>
      <c r="CN43" s="3389">
        <f t="shared" si="23"/>
        <v>0</v>
      </c>
      <c r="CO43" s="3389">
        <f t="shared" si="24"/>
        <v>0</v>
      </c>
    </row>
    <row r="44" spans="1:93" ht="15" customHeight="1">
      <c r="A44" s="6722" t="s">
        <v>4315</v>
      </c>
      <c r="B44" s="5427" t="s">
        <v>4316</v>
      </c>
      <c r="C44" s="5414">
        <f t="shared" si="12"/>
        <v>0</v>
      </c>
      <c r="D44" s="5382">
        <f t="shared" si="13"/>
        <v>0</v>
      </c>
      <c r="E44" s="5383">
        <f t="shared" si="14"/>
        <v>0</v>
      </c>
      <c r="F44" s="2457"/>
      <c r="G44" s="2458"/>
      <c r="H44" s="2457"/>
      <c r="I44" s="2458"/>
      <c r="J44" s="2457"/>
      <c r="K44" s="2458"/>
      <c r="L44" s="2457"/>
      <c r="M44" s="2458"/>
      <c r="N44" s="2457"/>
      <c r="O44" s="2458"/>
      <c r="P44" s="2457"/>
      <c r="Q44" s="2458"/>
      <c r="R44" s="2457"/>
      <c r="S44" s="2458"/>
      <c r="T44" s="2457"/>
      <c r="U44" s="2458"/>
      <c r="V44" s="2457"/>
      <c r="W44" s="2458"/>
      <c r="X44" s="2457"/>
      <c r="Y44" s="2458"/>
      <c r="Z44" s="2457"/>
      <c r="AA44" s="2458"/>
      <c r="AB44" s="2457"/>
      <c r="AC44" s="2458"/>
      <c r="AD44" s="2457"/>
      <c r="AE44" s="2458"/>
      <c r="AF44" s="2457"/>
      <c r="AG44" s="2458"/>
      <c r="AH44" s="2457"/>
      <c r="AI44" s="2458"/>
      <c r="AJ44" s="5397"/>
      <c r="AK44" s="5415"/>
      <c r="AL44" s="5428"/>
      <c r="AM44" s="5415"/>
      <c r="AN44" s="5415"/>
      <c r="AO44" s="5415"/>
      <c r="AP44" s="5415"/>
      <c r="AQ44" s="5415"/>
      <c r="AR44" s="5415"/>
      <c r="AS44" s="5428"/>
      <c r="AT44" s="5416"/>
      <c r="AU44" s="5417"/>
      <c r="AV44" s="5429"/>
      <c r="AW44" s="5430"/>
      <c r="AX44" t="str">
        <f t="shared" si="15"/>
        <v/>
      </c>
      <c r="BU44" t="str">
        <f t="shared" si="25"/>
        <v/>
      </c>
      <c r="CA44" s="1708" t="str">
        <f t="array" ref="CA44">IF(AND($C44&lt;&gt;0,AJ44:AS44=""),"* No olvide ingresar la variable "&amp;AJ$36&amp;""&amp;". Digite CERO si no tiene. ","")</f>
        <v/>
      </c>
      <c r="CB44" s="418" t="str">
        <f t="shared" si="16"/>
        <v/>
      </c>
      <c r="CC44" s="5420"/>
      <c r="CD44" s="5420"/>
      <c r="CE44" s="418" t="str">
        <f t="shared" si="18"/>
        <v/>
      </c>
      <c r="CF44" s="418" t="str">
        <f t="shared" si="19"/>
        <v/>
      </c>
      <c r="CJ44" s="3416">
        <f t="array" ref="CJ44">IF(AND($C44&lt;&gt;0,AJ44:AS44=""),1,0)</f>
        <v>0</v>
      </c>
      <c r="CK44" s="3389">
        <f t="shared" si="20"/>
        <v>0</v>
      </c>
      <c r="CL44" s="4717"/>
      <c r="CM44" s="4717"/>
      <c r="CN44" s="3389">
        <f t="shared" si="23"/>
        <v>0</v>
      </c>
      <c r="CO44" s="3389">
        <f t="shared" si="24"/>
        <v>0</v>
      </c>
    </row>
    <row r="45" spans="1:93" ht="15" customHeight="1">
      <c r="A45" s="6723"/>
      <c r="B45" s="5431" t="s">
        <v>4317</v>
      </c>
      <c r="C45" s="5396">
        <f t="shared" si="12"/>
        <v>0</v>
      </c>
      <c r="D45" s="5363">
        <f t="shared" si="13"/>
        <v>0</v>
      </c>
      <c r="E45" s="5365">
        <f t="shared" si="14"/>
        <v>0</v>
      </c>
      <c r="F45" s="5388"/>
      <c r="G45" s="5366"/>
      <c r="H45" s="5388"/>
      <c r="I45" s="5366"/>
      <c r="J45" s="5388"/>
      <c r="K45" s="5366"/>
      <c r="L45" s="5388"/>
      <c r="M45" s="5366"/>
      <c r="N45" s="5388"/>
      <c r="O45" s="5366"/>
      <c r="P45" s="5388"/>
      <c r="Q45" s="5366"/>
      <c r="R45" s="5388"/>
      <c r="S45" s="5366"/>
      <c r="T45" s="5388"/>
      <c r="U45" s="5366"/>
      <c r="V45" s="5388"/>
      <c r="W45" s="5366"/>
      <c r="X45" s="5388"/>
      <c r="Y45" s="5366"/>
      <c r="Z45" s="5388"/>
      <c r="AA45" s="5366"/>
      <c r="AB45" s="5388"/>
      <c r="AC45" s="5366"/>
      <c r="AD45" s="5388"/>
      <c r="AE45" s="5366"/>
      <c r="AF45" s="5388"/>
      <c r="AG45" s="5366"/>
      <c r="AH45" s="5388"/>
      <c r="AI45" s="5366"/>
      <c r="AJ45" s="5397"/>
      <c r="AK45" s="5397"/>
      <c r="AL45" s="5432"/>
      <c r="AM45" s="5397"/>
      <c r="AN45" s="5415"/>
      <c r="AO45" s="5415"/>
      <c r="AP45" s="5415"/>
      <c r="AQ45" s="5415"/>
      <c r="AR45" s="5415"/>
      <c r="AS45" s="5432"/>
      <c r="AT45" s="5433"/>
      <c r="AU45" s="5434"/>
      <c r="AV45" s="5435"/>
      <c r="AW45" s="5436"/>
      <c r="AX45" t="str">
        <f t="shared" si="15"/>
        <v/>
      </c>
      <c r="BU45" t="str">
        <f t="shared" si="25"/>
        <v/>
      </c>
      <c r="CA45" s="1708" t="str">
        <f t="array" ref="CA45">IF(AND($C45&lt;&gt;0,AJ45:AS45=""),"* No olvide ingresar la variable "&amp;AJ$36&amp;""&amp;". Digite CERO si no tiene. ","")</f>
        <v/>
      </c>
      <c r="CB45" s="418" t="str">
        <f t="shared" si="16"/>
        <v/>
      </c>
      <c r="CC45" s="5420"/>
      <c r="CD45" s="5420"/>
      <c r="CE45" s="418" t="str">
        <f t="shared" si="18"/>
        <v/>
      </c>
      <c r="CF45" s="418" t="str">
        <f t="shared" si="19"/>
        <v/>
      </c>
      <c r="CJ45" s="3416">
        <f t="array" ref="CJ45">IF(AND($C45&lt;&gt;0,AJ45:AS45=""),1,0)</f>
        <v>0</v>
      </c>
      <c r="CK45" s="3389">
        <f t="shared" si="20"/>
        <v>0</v>
      </c>
      <c r="CL45" s="4717"/>
      <c r="CM45" s="4717"/>
      <c r="CN45" s="3389">
        <f t="shared" si="23"/>
        <v>0</v>
      </c>
      <c r="CO45" s="3389">
        <f t="shared" si="24"/>
        <v>0</v>
      </c>
    </row>
    <row r="46" spans="1:93" ht="15" customHeight="1">
      <c r="A46" s="6723"/>
      <c r="B46" s="5431" t="s">
        <v>4318</v>
      </c>
      <c r="C46" s="5396">
        <f t="shared" si="12"/>
        <v>0</v>
      </c>
      <c r="D46" s="5363">
        <f t="shared" si="13"/>
        <v>0</v>
      </c>
      <c r="E46" s="5365">
        <f t="shared" si="14"/>
        <v>0</v>
      </c>
      <c r="F46" s="5388"/>
      <c r="G46" s="5366"/>
      <c r="H46" s="5388"/>
      <c r="I46" s="5366"/>
      <c r="J46" s="5388"/>
      <c r="K46" s="5366"/>
      <c r="L46" s="5388"/>
      <c r="M46" s="5366"/>
      <c r="N46" s="5388"/>
      <c r="O46" s="5366"/>
      <c r="P46" s="5388"/>
      <c r="Q46" s="5366"/>
      <c r="R46" s="5388"/>
      <c r="S46" s="5366"/>
      <c r="T46" s="5388"/>
      <c r="U46" s="5366"/>
      <c r="V46" s="5388"/>
      <c r="W46" s="5366"/>
      <c r="X46" s="5388"/>
      <c r="Y46" s="5366"/>
      <c r="Z46" s="5388"/>
      <c r="AA46" s="5366"/>
      <c r="AB46" s="5388"/>
      <c r="AC46" s="5366"/>
      <c r="AD46" s="5388"/>
      <c r="AE46" s="5366"/>
      <c r="AF46" s="5388"/>
      <c r="AG46" s="5366"/>
      <c r="AH46" s="5388"/>
      <c r="AI46" s="5366"/>
      <c r="AJ46" s="5397"/>
      <c r="AK46" s="5397"/>
      <c r="AL46" s="5397"/>
      <c r="AM46" s="5397"/>
      <c r="AN46" s="5397"/>
      <c r="AO46" s="5397"/>
      <c r="AP46" s="5397"/>
      <c r="AQ46" s="5397"/>
      <c r="AR46" s="5397"/>
      <c r="AS46" s="5397"/>
      <c r="AT46" s="5433"/>
      <c r="AU46" s="5434"/>
      <c r="AV46" s="5435"/>
      <c r="AW46" s="5436"/>
      <c r="AX46" t="str">
        <f t="shared" si="15"/>
        <v/>
      </c>
      <c r="BU46" t="str">
        <f t="shared" si="25"/>
        <v/>
      </c>
      <c r="CA46" s="1708" t="str">
        <f t="array" ref="CA46">IF(AND($C46&lt;&gt;0,AJ46:AS46=""),"* No olvide ingresar la variable "&amp;AJ$36&amp;""&amp;". Digite CERO si no tiene. ","")</f>
        <v/>
      </c>
      <c r="CB46" s="418" t="str">
        <f t="shared" si="16"/>
        <v/>
      </c>
      <c r="CC46" s="5420"/>
      <c r="CD46" s="5420"/>
      <c r="CE46" s="418" t="str">
        <f t="shared" si="18"/>
        <v/>
      </c>
      <c r="CF46" s="418" t="str">
        <f t="shared" si="19"/>
        <v/>
      </c>
      <c r="CJ46" s="3416">
        <f t="array" ref="CJ46">IF(AND($C46&lt;&gt;0,AJ46:AS46=""),1,0)</f>
        <v>0</v>
      </c>
      <c r="CK46" s="3389">
        <f t="shared" si="20"/>
        <v>0</v>
      </c>
      <c r="CL46" s="4717"/>
      <c r="CM46" s="4717"/>
      <c r="CN46" s="3389">
        <f t="shared" si="23"/>
        <v>0</v>
      </c>
      <c r="CO46" s="3389">
        <f t="shared" si="24"/>
        <v>0</v>
      </c>
    </row>
    <row r="47" spans="1:93" ht="15" customHeight="1">
      <c r="A47" s="6724"/>
      <c r="B47" s="5437" t="s">
        <v>649</v>
      </c>
      <c r="C47" s="5421">
        <f t="shared" si="12"/>
        <v>0</v>
      </c>
      <c r="D47" s="5373">
        <f t="shared" si="13"/>
        <v>0</v>
      </c>
      <c r="E47" s="5374">
        <f t="shared" si="14"/>
        <v>0</v>
      </c>
      <c r="F47" s="5375"/>
      <c r="G47" s="5376"/>
      <c r="H47" s="5375"/>
      <c r="I47" s="5376"/>
      <c r="J47" s="5375"/>
      <c r="K47" s="5376"/>
      <c r="L47" s="5375"/>
      <c r="M47" s="5376"/>
      <c r="N47" s="5375"/>
      <c r="O47" s="5376"/>
      <c r="P47" s="5375"/>
      <c r="Q47" s="5376"/>
      <c r="R47" s="5375"/>
      <c r="S47" s="5376"/>
      <c r="T47" s="5375"/>
      <c r="U47" s="5376"/>
      <c r="V47" s="5375"/>
      <c r="W47" s="5376"/>
      <c r="X47" s="5375"/>
      <c r="Y47" s="5376"/>
      <c r="Z47" s="5375"/>
      <c r="AA47" s="5376"/>
      <c r="AB47" s="5375"/>
      <c r="AC47" s="5376"/>
      <c r="AD47" s="5375"/>
      <c r="AE47" s="5376"/>
      <c r="AF47" s="5375"/>
      <c r="AG47" s="5376"/>
      <c r="AH47" s="5375"/>
      <c r="AI47" s="5376"/>
      <c r="AJ47" s="5422"/>
      <c r="AK47" s="5422"/>
      <c r="AL47" s="5422"/>
      <c r="AM47" s="5422"/>
      <c r="AN47" s="5422"/>
      <c r="AO47" s="5422"/>
      <c r="AP47" s="5422"/>
      <c r="AQ47" s="5422"/>
      <c r="AR47" s="5422"/>
      <c r="AS47" s="5422"/>
      <c r="AT47" s="5423"/>
      <c r="AU47" s="5424"/>
      <c r="AV47" s="5425"/>
      <c r="AW47" s="5426"/>
      <c r="AX47" t="str">
        <f t="shared" si="15"/>
        <v/>
      </c>
      <c r="CA47" s="1708" t="str">
        <f t="array" ref="CA47">IF(AND($C47&lt;&gt;0,AJ47:AS47=""),"* No olvide ingresar la variable "&amp;AJ$36&amp;""&amp;". Digite CERO si no tiene. ","")</f>
        <v/>
      </c>
      <c r="CB47" s="418" t="str">
        <f t="shared" si="16"/>
        <v/>
      </c>
      <c r="CC47" s="5420"/>
      <c r="CD47" s="5420"/>
      <c r="CE47" s="418" t="str">
        <f t="shared" si="18"/>
        <v/>
      </c>
      <c r="CF47" s="418" t="str">
        <f t="shared" si="19"/>
        <v/>
      </c>
      <c r="CJ47" s="3416">
        <f t="array" ref="CJ47">IF(AND($C47&lt;&gt;0,AJ47:AS47=""),1,0)</f>
        <v>0</v>
      </c>
      <c r="CK47" s="3389">
        <f t="shared" si="20"/>
        <v>0</v>
      </c>
      <c r="CL47" s="4717"/>
      <c r="CM47" s="4717"/>
      <c r="CN47" s="3389">
        <f t="shared" si="23"/>
        <v>0</v>
      </c>
      <c r="CO47" s="3389">
        <f t="shared" si="24"/>
        <v>0</v>
      </c>
    </row>
    <row r="48" spans="1:93" ht="15" customHeight="1">
      <c r="A48" s="6492" t="s">
        <v>4319</v>
      </c>
      <c r="B48" s="5438" t="s">
        <v>4320</v>
      </c>
      <c r="C48" s="5414">
        <f t="shared" si="12"/>
        <v>0</v>
      </c>
      <c r="D48" s="5382">
        <f t="shared" si="13"/>
        <v>0</v>
      </c>
      <c r="E48" s="5383">
        <f t="shared" si="14"/>
        <v>0</v>
      </c>
      <c r="F48" s="2457"/>
      <c r="G48" s="2458"/>
      <c r="H48" s="2457"/>
      <c r="I48" s="2458"/>
      <c r="J48" s="2457"/>
      <c r="K48" s="2458"/>
      <c r="L48" s="2457"/>
      <c r="M48" s="2458"/>
      <c r="N48" s="2457"/>
      <c r="O48" s="2458"/>
      <c r="P48" s="2457"/>
      <c r="Q48" s="2458"/>
      <c r="R48" s="2457"/>
      <c r="S48" s="2458"/>
      <c r="T48" s="2457"/>
      <c r="U48" s="2458"/>
      <c r="V48" s="2457"/>
      <c r="W48" s="2458"/>
      <c r="X48" s="2457"/>
      <c r="Y48" s="2458"/>
      <c r="Z48" s="2457"/>
      <c r="AA48" s="2458"/>
      <c r="AB48" s="2457"/>
      <c r="AC48" s="2458"/>
      <c r="AD48" s="2457"/>
      <c r="AE48" s="2458"/>
      <c r="AF48" s="2457"/>
      <c r="AG48" s="2458"/>
      <c r="AH48" s="2457"/>
      <c r="AI48" s="2458"/>
      <c r="AJ48" s="5415"/>
      <c r="AK48" s="5415"/>
      <c r="AL48" s="5415"/>
      <c r="AM48" s="5415"/>
      <c r="AN48" s="5415"/>
      <c r="AO48" s="5415"/>
      <c r="AP48" s="5415"/>
      <c r="AQ48" s="5415"/>
      <c r="AR48" s="5415"/>
      <c r="AS48" s="5415"/>
      <c r="AT48" s="5416"/>
      <c r="AU48" s="5417"/>
      <c r="AV48" s="5429"/>
      <c r="AW48" s="5430"/>
      <c r="AX48" t="str">
        <f t="shared" si="15"/>
        <v/>
      </c>
      <c r="BU48" t="str">
        <f t="shared" si="25"/>
        <v/>
      </c>
      <c r="CA48" s="1708" t="str">
        <f t="array" ref="CA48">IF(AND($C48&lt;&gt;0,AJ48:AS48=""),"* No olvide ingresar la variable "&amp;AJ$36&amp;""&amp;". Digite CERO si no tiene. ","")</f>
        <v/>
      </c>
      <c r="CB48" s="418" t="str">
        <f t="shared" si="16"/>
        <v/>
      </c>
      <c r="CC48" s="5420"/>
      <c r="CD48" s="5420"/>
      <c r="CE48" s="418" t="str">
        <f t="shared" si="18"/>
        <v/>
      </c>
      <c r="CF48" s="418" t="str">
        <f t="shared" si="19"/>
        <v/>
      </c>
      <c r="CJ48" s="3416">
        <f t="array" ref="CJ48">IF(AND($C48&lt;&gt;0,AJ48:AS48=""),1,0)</f>
        <v>0</v>
      </c>
      <c r="CK48" s="3389">
        <f t="shared" si="20"/>
        <v>0</v>
      </c>
      <c r="CL48" s="4717"/>
      <c r="CM48" s="4717"/>
      <c r="CN48" s="3389">
        <f t="shared" si="23"/>
        <v>0</v>
      </c>
      <c r="CO48" s="3389">
        <f t="shared" si="24"/>
        <v>0</v>
      </c>
    </row>
    <row r="49" spans="1:93" ht="15" customHeight="1">
      <c r="A49" s="6722"/>
      <c r="B49" s="5439" t="s">
        <v>4317</v>
      </c>
      <c r="C49" s="5421">
        <f t="shared" si="12"/>
        <v>0</v>
      </c>
      <c r="D49" s="5373">
        <f t="shared" si="13"/>
        <v>0</v>
      </c>
      <c r="E49" s="5374">
        <f t="shared" si="14"/>
        <v>0</v>
      </c>
      <c r="F49" s="5375"/>
      <c r="G49" s="5376"/>
      <c r="H49" s="5375"/>
      <c r="I49" s="5376"/>
      <c r="J49" s="5375"/>
      <c r="K49" s="5376"/>
      <c r="L49" s="5375"/>
      <c r="M49" s="5376"/>
      <c r="N49" s="5375"/>
      <c r="O49" s="5376"/>
      <c r="P49" s="5375"/>
      <c r="Q49" s="5376"/>
      <c r="R49" s="5375"/>
      <c r="S49" s="5376"/>
      <c r="T49" s="5375"/>
      <c r="U49" s="5376"/>
      <c r="V49" s="5375"/>
      <c r="W49" s="5376"/>
      <c r="X49" s="5375"/>
      <c r="Y49" s="5376"/>
      <c r="Z49" s="5375"/>
      <c r="AA49" s="5376"/>
      <c r="AB49" s="5375"/>
      <c r="AC49" s="5376"/>
      <c r="AD49" s="5375"/>
      <c r="AE49" s="5376"/>
      <c r="AF49" s="5375"/>
      <c r="AG49" s="5376"/>
      <c r="AH49" s="5375"/>
      <c r="AI49" s="5376"/>
      <c r="AJ49" s="5422"/>
      <c r="AK49" s="5422"/>
      <c r="AL49" s="5422"/>
      <c r="AM49" s="5422"/>
      <c r="AN49" s="5422"/>
      <c r="AO49" s="5422"/>
      <c r="AP49" s="5422"/>
      <c r="AQ49" s="5422"/>
      <c r="AR49" s="5422"/>
      <c r="AS49" s="5422"/>
      <c r="AT49" s="5423"/>
      <c r="AU49" s="5424"/>
      <c r="AV49" s="5425"/>
      <c r="AW49" s="5426"/>
      <c r="AX49" t="str">
        <f t="shared" si="15"/>
        <v/>
      </c>
      <c r="BU49" t="str">
        <f t="shared" si="25"/>
        <v/>
      </c>
      <c r="CA49" s="1708" t="str">
        <f t="array" ref="CA49">IF(AND($C49&lt;&gt;0,AJ49:AS49=""),"* No olvide ingresar la variable "&amp;AJ$36&amp;""&amp;". Digite CERO si no tiene. ","")</f>
        <v/>
      </c>
      <c r="CB49" s="418" t="str">
        <f t="shared" si="16"/>
        <v/>
      </c>
      <c r="CC49" s="5420"/>
      <c r="CD49" s="5420"/>
      <c r="CE49" s="418" t="str">
        <f t="shared" si="18"/>
        <v/>
      </c>
      <c r="CF49" s="418" t="str">
        <f t="shared" si="19"/>
        <v/>
      </c>
      <c r="CJ49" s="3416">
        <f t="array" ref="CJ49">IF(AND($C49&lt;&gt;0,AJ49:AS49=""),1,0)</f>
        <v>0</v>
      </c>
      <c r="CK49" s="3389">
        <f t="shared" si="20"/>
        <v>0</v>
      </c>
      <c r="CL49" s="4717"/>
      <c r="CM49" s="4717"/>
      <c r="CN49" s="3389">
        <f t="shared" si="23"/>
        <v>0</v>
      </c>
      <c r="CO49" s="3389">
        <f t="shared" si="24"/>
        <v>0</v>
      </c>
    </row>
    <row r="50" spans="1:93" ht="15" customHeight="1">
      <c r="A50" s="6492" t="s">
        <v>608</v>
      </c>
      <c r="B50" s="5440" t="s">
        <v>4321</v>
      </c>
      <c r="C50" s="5414">
        <f t="shared" si="12"/>
        <v>0</v>
      </c>
      <c r="D50" s="5382">
        <f t="shared" si="13"/>
        <v>0</v>
      </c>
      <c r="E50" s="5383">
        <f t="shared" si="14"/>
        <v>0</v>
      </c>
      <c r="F50" s="2457"/>
      <c r="G50" s="2458"/>
      <c r="H50" s="2457"/>
      <c r="I50" s="2458"/>
      <c r="J50" s="2457"/>
      <c r="K50" s="2458"/>
      <c r="L50" s="2457"/>
      <c r="M50" s="2458"/>
      <c r="N50" s="2457"/>
      <c r="O50" s="2458"/>
      <c r="P50" s="2457"/>
      <c r="Q50" s="2458"/>
      <c r="R50" s="2457"/>
      <c r="S50" s="2458"/>
      <c r="T50" s="2457"/>
      <c r="U50" s="2458"/>
      <c r="V50" s="2457"/>
      <c r="W50" s="2458"/>
      <c r="X50" s="2457"/>
      <c r="Y50" s="2458"/>
      <c r="Z50" s="2457"/>
      <c r="AA50" s="2458"/>
      <c r="AB50" s="2457"/>
      <c r="AC50" s="2458"/>
      <c r="AD50" s="2457"/>
      <c r="AE50" s="2458"/>
      <c r="AF50" s="2457"/>
      <c r="AG50" s="2458"/>
      <c r="AH50" s="2457"/>
      <c r="AI50" s="2458"/>
      <c r="AJ50" s="5415"/>
      <c r="AK50" s="5415"/>
      <c r="AL50" s="5415"/>
      <c r="AM50" s="5415"/>
      <c r="AN50" s="5415"/>
      <c r="AO50" s="5415"/>
      <c r="AP50" s="5415"/>
      <c r="AQ50" s="5415"/>
      <c r="AR50" s="5415"/>
      <c r="AS50" s="5415"/>
      <c r="AT50" s="5416"/>
      <c r="AU50" s="5417"/>
      <c r="AV50" s="5429"/>
      <c r="AW50" s="5430"/>
      <c r="AX50" t="str">
        <f t="shared" si="15"/>
        <v/>
      </c>
      <c r="BU50" t="str">
        <f t="shared" si="25"/>
        <v/>
      </c>
      <c r="CA50" s="1708" t="str">
        <f t="array" ref="CA50">IF(AND($C50&lt;&gt;0,AJ50:AS50=""),"* No olvide ingresar la variable "&amp;AJ$36&amp;""&amp;". Digite CERO si no tiene. ","")</f>
        <v/>
      </c>
      <c r="CB50" s="418" t="str">
        <f t="shared" si="16"/>
        <v/>
      </c>
      <c r="CC50" s="5420"/>
      <c r="CD50" s="5420"/>
      <c r="CE50" s="418" t="str">
        <f t="shared" si="18"/>
        <v/>
      </c>
      <c r="CF50" s="418" t="str">
        <f t="shared" si="19"/>
        <v/>
      </c>
      <c r="CJ50" s="3416">
        <f t="array" ref="CJ50">IF(AND($C50&lt;&gt;0,AJ50:AS50=""),1,0)</f>
        <v>0</v>
      </c>
      <c r="CK50" s="3389">
        <f t="shared" si="20"/>
        <v>0</v>
      </c>
      <c r="CL50" s="4717"/>
      <c r="CM50" s="4717"/>
      <c r="CN50" s="3389">
        <f t="shared" si="23"/>
        <v>0</v>
      </c>
      <c r="CO50" s="3389">
        <f t="shared" si="24"/>
        <v>0</v>
      </c>
    </row>
    <row r="51" spans="1:93" ht="15" customHeight="1">
      <c r="A51" s="6492"/>
      <c r="B51" s="3503" t="s">
        <v>4322</v>
      </c>
      <c r="C51" s="5441">
        <f t="shared" si="12"/>
        <v>0</v>
      </c>
      <c r="D51" s="5442">
        <f t="shared" si="13"/>
        <v>0</v>
      </c>
      <c r="E51" s="5443">
        <f t="shared" si="14"/>
        <v>0</v>
      </c>
      <c r="F51" s="2440"/>
      <c r="G51" s="5408"/>
      <c r="H51" s="2440"/>
      <c r="I51" s="5408"/>
      <c r="J51" s="2440"/>
      <c r="K51" s="5408"/>
      <c r="L51" s="2440"/>
      <c r="M51" s="5408"/>
      <c r="N51" s="2440"/>
      <c r="O51" s="5408"/>
      <c r="P51" s="2440"/>
      <c r="Q51" s="5408"/>
      <c r="R51" s="2440"/>
      <c r="S51" s="5408"/>
      <c r="T51" s="2440"/>
      <c r="U51" s="5408"/>
      <c r="V51" s="2440"/>
      <c r="W51" s="5408"/>
      <c r="X51" s="2440"/>
      <c r="Y51" s="5408"/>
      <c r="Z51" s="2440"/>
      <c r="AA51" s="5408"/>
      <c r="AB51" s="2440"/>
      <c r="AC51" s="5408"/>
      <c r="AD51" s="2440"/>
      <c r="AE51" s="5408"/>
      <c r="AF51" s="2440"/>
      <c r="AG51" s="5408"/>
      <c r="AH51" s="2440"/>
      <c r="AI51" s="5408"/>
      <c r="AJ51" s="5409"/>
      <c r="AK51" s="5409"/>
      <c r="AL51" s="5409"/>
      <c r="AM51" s="5409"/>
      <c r="AN51" s="5409"/>
      <c r="AO51" s="5409"/>
      <c r="AP51" s="5409"/>
      <c r="AQ51" s="5409"/>
      <c r="AR51" s="5409"/>
      <c r="AS51" s="5409"/>
      <c r="AT51" s="5444"/>
      <c r="AU51" s="5445"/>
      <c r="AV51" s="5410"/>
      <c r="AW51" s="5412"/>
      <c r="AX51" t="str">
        <f t="shared" si="15"/>
        <v/>
      </c>
      <c r="BU51" t="str">
        <f t="shared" si="25"/>
        <v/>
      </c>
      <c r="CA51" s="1708" t="str">
        <f t="array" ref="CA51">IF(AND($C51&lt;&gt;0,AJ51:AS51=""),"* No olvide ingresar la variable "&amp;AJ$36&amp;""&amp;". Digite CERO si no tiene. ","")</f>
        <v/>
      </c>
      <c r="CB51" s="418" t="str">
        <f t="shared" si="16"/>
        <v/>
      </c>
      <c r="CC51" s="5420"/>
      <c r="CD51" s="5420"/>
      <c r="CE51" s="418" t="str">
        <f t="shared" si="18"/>
        <v/>
      </c>
      <c r="CF51" s="418" t="str">
        <f t="shared" si="19"/>
        <v/>
      </c>
      <c r="CJ51" s="3416">
        <f t="array" ref="CJ51">IF(AND($C51&lt;&gt;0,AJ51:AS51=""),1,0)</f>
        <v>0</v>
      </c>
      <c r="CK51" s="3389">
        <f t="shared" si="20"/>
        <v>0</v>
      </c>
      <c r="CL51" s="4717"/>
      <c r="CM51" s="4717"/>
      <c r="CN51" s="3389">
        <f t="shared" si="23"/>
        <v>0</v>
      </c>
      <c r="CO51" s="3389">
        <f t="shared" si="24"/>
        <v>0</v>
      </c>
    </row>
    <row r="52" spans="1:93" ht="17.100000000000001" customHeight="1">
      <c r="A52" s="1389" t="s">
        <v>4323</v>
      </c>
      <c r="B52" s="5446"/>
      <c r="C52" s="5446"/>
      <c r="D52" s="5446"/>
      <c r="E52" s="5446"/>
      <c r="F52" s="5446"/>
      <c r="K52" s="5446"/>
    </row>
    <row r="53" spans="1:93" ht="15" customHeight="1">
      <c r="A53" s="6494" t="s">
        <v>4324</v>
      </c>
      <c r="B53" s="3450" t="s">
        <v>3669</v>
      </c>
      <c r="C53" s="2470" t="s">
        <v>3348</v>
      </c>
      <c r="D53" s="2473" t="s">
        <v>4325</v>
      </c>
      <c r="K53" s="5446"/>
    </row>
    <row r="54" spans="1:93" ht="15" customHeight="1">
      <c r="A54" s="6494"/>
      <c r="B54" s="5447" t="s">
        <v>4326</v>
      </c>
      <c r="C54" s="5448"/>
      <c r="D54" s="5449"/>
      <c r="J54" s="5446"/>
    </row>
    <row r="55" spans="1:93" ht="15" customHeight="1">
      <c r="A55" s="6494"/>
      <c r="B55" s="5450" t="s">
        <v>4327</v>
      </c>
      <c r="C55" s="5451"/>
      <c r="D55" s="5452"/>
      <c r="J55" s="5446"/>
    </row>
    <row r="56" spans="1:93" ht="15" customHeight="1">
      <c r="A56" s="6494"/>
      <c r="B56" s="5453" t="s">
        <v>947</v>
      </c>
      <c r="C56" s="5454">
        <f>SUM(C54:C55)</f>
        <v>0</v>
      </c>
      <c r="D56" s="5455">
        <f>SUM(D54:D55)</f>
        <v>0</v>
      </c>
      <c r="F56" s="5456"/>
      <c r="G56" s="5456"/>
      <c r="H56" s="5456"/>
      <c r="I56" s="5456"/>
      <c r="J56" s="5456"/>
      <c r="K56" s="5456"/>
      <c r="L56" s="5456"/>
      <c r="M56" s="5456"/>
      <c r="N56" s="5456"/>
      <c r="O56" s="5456"/>
      <c r="P56" s="5456"/>
      <c r="Q56" s="5456"/>
      <c r="R56" s="5456"/>
      <c r="S56" s="5456"/>
      <c r="T56" s="5456"/>
      <c r="U56" s="5456"/>
      <c r="V56" s="5456"/>
      <c r="W56" s="5456"/>
      <c r="X56" s="5456"/>
      <c r="Y56" s="5456"/>
      <c r="Z56" s="5456"/>
      <c r="AA56" s="5456"/>
      <c r="AB56" s="5456"/>
      <c r="AC56" s="5456"/>
      <c r="AD56" s="5456"/>
      <c r="AE56" s="5456"/>
      <c r="AF56" s="5456"/>
      <c r="AG56" s="5456"/>
      <c r="AH56" s="5456"/>
      <c r="AI56" s="5456"/>
      <c r="AJ56" s="5456"/>
      <c r="AK56" s="5456"/>
      <c r="AL56" s="5456"/>
      <c r="AM56" s="5456"/>
      <c r="AN56" s="5456"/>
      <c r="AO56" s="5456"/>
      <c r="AP56" s="5456"/>
      <c r="AQ56" s="5456"/>
      <c r="AR56" s="5456"/>
      <c r="AS56" s="5456"/>
      <c r="AT56" s="5456"/>
      <c r="AU56" s="5456"/>
      <c r="AV56" s="5456"/>
      <c r="AW56" s="5456"/>
      <c r="AX56" s="5456"/>
      <c r="AY56" s="5456"/>
      <c r="AZ56" s="5456"/>
      <c r="BA56" s="5456"/>
      <c r="BB56" s="5456"/>
      <c r="BC56" s="5456"/>
      <c r="BD56" s="5456"/>
    </row>
    <row r="57" spans="1:93" s="5456" customFormat="1" ht="17.100000000000001" customHeight="1">
      <c r="A57" s="1389" t="s">
        <v>4328</v>
      </c>
      <c r="G57" s="1587"/>
      <c r="H57" s="5457"/>
      <c r="I57" s="1587"/>
      <c r="J57" s="1587"/>
      <c r="K57" s="1587"/>
      <c r="L57" s="1587"/>
      <c r="M57" s="1587"/>
      <c r="N57" s="1587"/>
      <c r="O57" s="1587"/>
      <c r="P57" s="1587"/>
      <c r="Q57" s="1587"/>
      <c r="R57" s="1587"/>
      <c r="S57" s="1587"/>
      <c r="T57" s="1587"/>
      <c r="U57" s="1587"/>
      <c r="V57" s="1587"/>
      <c r="W57" s="1587"/>
      <c r="X57" s="1587"/>
      <c r="Y57" s="1587"/>
      <c r="Z57" s="1587"/>
      <c r="AA57" s="1587"/>
      <c r="AB57" s="1587"/>
      <c r="AC57" s="1587"/>
      <c r="AD57" s="1587"/>
      <c r="AE57" s="1587"/>
      <c r="AF57" s="1587"/>
      <c r="AG57" s="1587"/>
      <c r="AH57" s="1587"/>
      <c r="AI57" s="1587"/>
      <c r="AJ57" s="1587"/>
      <c r="AK57" s="1587"/>
      <c r="AL57" s="1587"/>
      <c r="AM57" s="1587"/>
      <c r="AN57" s="1587"/>
      <c r="AO57" s="1587"/>
      <c r="AP57" s="1587"/>
      <c r="AQ57" s="1587"/>
      <c r="AR57" s="1587"/>
      <c r="AS57" s="1587"/>
      <c r="AT57" s="1587"/>
      <c r="AU57" s="1587"/>
      <c r="AV57" s="1587"/>
      <c r="AW57" s="1587"/>
      <c r="AX57" s="1587"/>
      <c r="AY57" s="1587"/>
      <c r="AZ57" s="1587"/>
      <c r="BA57" s="1587"/>
      <c r="BB57" s="1587"/>
      <c r="BC57" s="1587"/>
      <c r="BD57" s="1587"/>
      <c r="BE57" s="1587"/>
    </row>
    <row r="58" spans="1:93" s="1587" customFormat="1">
      <c r="A58" s="7288" t="s">
        <v>4329</v>
      </c>
      <c r="B58" s="6492" t="s">
        <v>4330</v>
      </c>
      <c r="C58" s="6492"/>
      <c r="D58" s="6492"/>
      <c r="E58" s="6727" t="s">
        <v>4331</v>
      </c>
      <c r="F58" s="6371"/>
    </row>
    <row r="59" spans="1:93" s="1587" customFormat="1" ht="27" customHeight="1">
      <c r="A59" s="7290"/>
      <c r="B59" s="5458" t="s">
        <v>3669</v>
      </c>
      <c r="C59" s="5459" t="s">
        <v>4332</v>
      </c>
      <c r="D59" s="5459" t="s">
        <v>4333</v>
      </c>
      <c r="E59" s="5460" t="s">
        <v>4332</v>
      </c>
      <c r="F59" s="5461" t="s">
        <v>2624</v>
      </c>
    </row>
    <row r="60" spans="1:93" s="1587" customFormat="1">
      <c r="A60" s="6730" t="s">
        <v>4334</v>
      </c>
      <c r="B60" s="5447" t="s">
        <v>4335</v>
      </c>
      <c r="C60" s="5462"/>
      <c r="D60" s="5463"/>
      <c r="E60" s="5464"/>
      <c r="F60" s="5449"/>
    </row>
    <row r="61" spans="1:93" s="1587" customFormat="1">
      <c r="A61" s="6357"/>
      <c r="B61" s="5450" t="s">
        <v>4336</v>
      </c>
      <c r="C61" s="5465"/>
      <c r="D61" s="5466"/>
      <c r="E61" s="5467"/>
      <c r="F61" s="5452"/>
    </row>
    <row r="62" spans="1:93" s="1587" customFormat="1">
      <c r="A62" s="6730" t="s">
        <v>4337</v>
      </c>
      <c r="B62" s="5381" t="s">
        <v>4335</v>
      </c>
      <c r="C62" s="5462"/>
      <c r="D62" s="5463"/>
      <c r="E62" s="5468"/>
      <c r="F62" s="5469"/>
    </row>
    <row r="63" spans="1:93" s="1587" customFormat="1">
      <c r="A63" s="6357"/>
      <c r="B63" s="5450" t="s">
        <v>4336</v>
      </c>
      <c r="C63" s="5465"/>
      <c r="D63" s="5466"/>
      <c r="E63" s="5470"/>
      <c r="F63" s="5471"/>
    </row>
    <row r="64" spans="1:93" s="1587" customFormat="1">
      <c r="A64" s="6730" t="s">
        <v>4338</v>
      </c>
      <c r="B64" s="5447" t="s">
        <v>4335</v>
      </c>
      <c r="C64" s="5462"/>
      <c r="D64" s="5463"/>
      <c r="E64" s="5464"/>
      <c r="F64" s="5449"/>
      <c r="BD64" s="1470"/>
      <c r="BE64" s="1470"/>
    </row>
    <row r="65" spans="1:57" s="1470" customFormat="1">
      <c r="A65" s="6357"/>
      <c r="B65" s="5453" t="s">
        <v>4336</v>
      </c>
      <c r="C65" s="5465"/>
      <c r="D65" s="5466"/>
      <c r="E65" s="5472"/>
      <c r="F65" s="5452"/>
      <c r="G65" s="1587"/>
      <c r="H65" s="1587"/>
      <c r="I65" s="1587"/>
      <c r="J65" s="1587"/>
      <c r="K65" s="1587"/>
      <c r="L65" s="1587"/>
      <c r="M65" s="1587"/>
      <c r="N65" s="1587"/>
      <c r="O65" s="1587"/>
      <c r="P65" s="1587"/>
      <c r="Q65" s="1587"/>
      <c r="R65" s="1587"/>
      <c r="S65" s="1587"/>
      <c r="T65" s="1587"/>
      <c r="U65" s="1587"/>
      <c r="V65" s="1587"/>
      <c r="W65" s="1587"/>
      <c r="X65" s="1587"/>
      <c r="Y65" s="1587"/>
      <c r="Z65" s="1587"/>
      <c r="AA65" s="1587"/>
      <c r="AB65" s="1587"/>
      <c r="AC65" s="1587"/>
      <c r="AD65" s="1587"/>
      <c r="AE65" s="1587"/>
      <c r="AF65" s="1587"/>
      <c r="AG65" s="1587"/>
      <c r="AH65" s="1587"/>
      <c r="AI65" s="1587"/>
      <c r="AJ65" s="1587"/>
      <c r="AK65" s="1587"/>
      <c r="AL65" s="1587"/>
      <c r="AM65" s="1587"/>
      <c r="AN65" s="1587"/>
      <c r="AO65" s="1587"/>
      <c r="AP65" s="1587"/>
      <c r="AQ65" s="1587"/>
      <c r="AR65" s="1587"/>
      <c r="AS65" s="1587"/>
      <c r="AT65" s="1587"/>
      <c r="AU65" s="1587"/>
      <c r="AV65" s="1587"/>
      <c r="AW65" s="1587"/>
      <c r="AX65" s="1587"/>
      <c r="AY65" s="1587"/>
      <c r="AZ65" s="1587"/>
      <c r="BA65" s="1587"/>
      <c r="BB65" s="1587"/>
      <c r="BC65" s="1587"/>
      <c r="BD65" s="1587"/>
      <c r="BE65" s="1587"/>
    </row>
    <row r="66" spans="1:57" s="1587" customFormat="1">
      <c r="A66" s="6730" t="s">
        <v>4339</v>
      </c>
      <c r="B66" s="5447" t="s">
        <v>4335</v>
      </c>
      <c r="C66" s="5462"/>
      <c r="D66" s="5463"/>
      <c r="E66" s="5464"/>
      <c r="F66" s="5449"/>
    </row>
    <row r="67" spans="1:57" s="1587" customFormat="1">
      <c r="A67" s="6357"/>
      <c r="B67" s="5450" t="s">
        <v>4336</v>
      </c>
      <c r="C67" s="5465"/>
      <c r="D67" s="5466"/>
      <c r="E67" s="5472"/>
      <c r="F67" s="5452"/>
    </row>
    <row r="68" spans="1:57" s="1587" customFormat="1" ht="17.100000000000001" customHeight="1">
      <c r="A68" s="1389" t="s">
        <v>4340</v>
      </c>
      <c r="C68" s="5457"/>
      <c r="D68" s="5457"/>
      <c r="E68" s="5457"/>
      <c r="F68" s="5457"/>
      <c r="G68" s="5457"/>
      <c r="I68" s="5457"/>
    </row>
    <row r="69" spans="1:57" s="1587" customFormat="1">
      <c r="A69" s="7288" t="s">
        <v>4341</v>
      </c>
      <c r="B69" s="7291" t="s">
        <v>4342</v>
      </c>
      <c r="C69" s="7292"/>
      <c r="D69" s="7292"/>
      <c r="E69" s="7292"/>
      <c r="F69" s="7292"/>
      <c r="G69" s="7293"/>
      <c r="H69" s="6727" t="s">
        <v>1079</v>
      </c>
      <c r="I69" s="6370"/>
      <c r="J69" s="6370"/>
      <c r="K69" s="6371"/>
      <c r="L69" s="5360"/>
      <c r="M69" s="5360"/>
    </row>
    <row r="70" spans="1:57" s="1587" customFormat="1" ht="26.25" customHeight="1">
      <c r="A70" s="7289"/>
      <c r="B70" s="7288" t="s">
        <v>4343</v>
      </c>
      <c r="C70" s="7294"/>
      <c r="D70" s="7295" t="s">
        <v>4344</v>
      </c>
      <c r="E70" s="7296"/>
      <c r="F70" s="7295" t="s">
        <v>4345</v>
      </c>
      <c r="G70" s="7296"/>
      <c r="H70" s="7297" t="s">
        <v>72</v>
      </c>
      <c r="I70" s="7298"/>
      <c r="J70" s="7297" t="s">
        <v>73</v>
      </c>
      <c r="K70" s="7298"/>
      <c r="L70" s="1470"/>
      <c r="M70" s="1470"/>
    </row>
    <row r="71" spans="1:57" s="1587" customFormat="1" ht="24.75" customHeight="1">
      <c r="A71" s="7290"/>
      <c r="B71" s="5473" t="s">
        <v>4335</v>
      </c>
      <c r="C71" s="5474" t="s">
        <v>4336</v>
      </c>
      <c r="D71" s="5475" t="s">
        <v>4335</v>
      </c>
      <c r="E71" s="5476" t="s">
        <v>4336</v>
      </c>
      <c r="F71" s="5475" t="s">
        <v>4335</v>
      </c>
      <c r="G71" s="5476" t="s">
        <v>4336</v>
      </c>
      <c r="H71" s="5477" t="s">
        <v>4346</v>
      </c>
      <c r="I71" s="1547" t="s">
        <v>734</v>
      </c>
      <c r="J71" s="5477" t="s">
        <v>4346</v>
      </c>
      <c r="K71" s="1547" t="s">
        <v>734</v>
      </c>
      <c r="L71" s="1470"/>
      <c r="M71" s="1470"/>
    </row>
    <row r="72" spans="1:57" s="1587" customFormat="1">
      <c r="A72" s="5381" t="s">
        <v>4347</v>
      </c>
      <c r="B72" s="1451"/>
      <c r="C72" s="5478"/>
      <c r="D72" s="5479"/>
      <c r="E72" s="5469"/>
      <c r="F72" s="5480"/>
      <c r="G72" s="5481"/>
      <c r="H72" s="5480"/>
      <c r="I72" s="5481"/>
      <c r="J72" s="1622"/>
      <c r="K72" s="1451"/>
      <c r="L72" s="1470"/>
      <c r="M72" s="1470"/>
    </row>
    <row r="73" spans="1:57" s="1587" customFormat="1">
      <c r="A73" s="5453" t="s">
        <v>4348</v>
      </c>
      <c r="B73" s="1416"/>
      <c r="C73" s="5482"/>
      <c r="D73" s="5483"/>
      <c r="E73" s="1416"/>
      <c r="F73" s="5483"/>
      <c r="G73" s="1416"/>
      <c r="H73" s="5483"/>
      <c r="I73" s="1416"/>
      <c r="J73" s="5484"/>
      <c r="K73" s="1416"/>
      <c r="L73" s="1470"/>
      <c r="M73" s="1470"/>
    </row>
    <row r="74" spans="1:57" s="1587" customFormat="1">
      <c r="A74" s="5485" t="s">
        <v>4349</v>
      </c>
      <c r="B74" s="5486">
        <f>SUM(B72:B73)</f>
        <v>0</v>
      </c>
      <c r="C74" s="5486">
        <f t="shared" ref="C74:K74" si="27">SUM(C72:C73)</f>
        <v>0</v>
      </c>
      <c r="D74" s="5487">
        <f t="shared" si="27"/>
        <v>0</v>
      </c>
      <c r="E74" s="5488">
        <f t="shared" si="27"/>
        <v>0</v>
      </c>
      <c r="F74" s="5487">
        <f t="shared" si="27"/>
        <v>0</v>
      </c>
      <c r="G74" s="5488">
        <f t="shared" si="27"/>
        <v>0</v>
      </c>
      <c r="H74" s="5487">
        <f>SUM(H72:H73)</f>
        <v>0</v>
      </c>
      <c r="I74" s="5488">
        <f t="shared" si="27"/>
        <v>0</v>
      </c>
      <c r="J74" s="5489">
        <f t="shared" si="27"/>
        <v>0</v>
      </c>
      <c r="K74" s="5488">
        <f t="shared" si="27"/>
        <v>0</v>
      </c>
      <c r="L74" s="1470"/>
      <c r="M74" s="1470"/>
    </row>
    <row r="75" spans="1:57" s="1587" customFormat="1">
      <c r="A75"/>
      <c r="B75"/>
      <c r="C75"/>
      <c r="D75"/>
      <c r="E75"/>
      <c r="F75"/>
      <c r="G75"/>
      <c r="H75"/>
      <c r="I75"/>
      <c r="J75"/>
      <c r="K75"/>
    </row>
    <row r="76" spans="1:57" ht="15.75" customHeight="1"/>
    <row r="77" spans="1:57" ht="15.75" customHeight="1"/>
    <row r="78" spans="1:57" ht="15.75" customHeight="1"/>
    <row r="79" spans="1:57" ht="15.75" customHeight="1"/>
    <row r="80" spans="1:57" ht="15.75" customHeight="1"/>
    <row r="81" customFormat="1" ht="15.75" customHeight="1"/>
    <row r="82" customFormat="1" ht="15.75" customHeight="1"/>
    <row r="83" customFormat="1" ht="15.75" customHeight="1"/>
    <row r="84" customFormat="1" ht="15.75" customHeight="1"/>
    <row r="85" customFormat="1" ht="15.75" customHeight="1"/>
    <row r="86" customFormat="1" ht="15.75" customHeight="1"/>
    <row r="87" customFormat="1" ht="15.75" customHeight="1"/>
    <row r="88" customFormat="1" ht="15.75" customHeight="1"/>
    <row r="89" customFormat="1" ht="15.75" customHeight="1"/>
    <row r="90" customFormat="1" ht="15.75" customHeight="1"/>
    <row r="91" customFormat="1" ht="15.75" customHeight="1"/>
    <row r="92" customFormat="1" ht="15.75" customHeight="1"/>
    <row r="93" customFormat="1" ht="15.75" customHeight="1"/>
    <row r="94" customFormat="1" ht="15.75" customHeight="1"/>
    <row r="95" customFormat="1" ht="15.75" customHeight="1"/>
    <row r="96" customFormat="1" ht="15.75" customHeight="1"/>
    <row r="97" spans="1:2" ht="15.75" customHeight="1"/>
    <row r="98" spans="1:2" ht="15.75" customHeight="1"/>
    <row r="99" spans="1:2" ht="15.75" customHeight="1"/>
    <row r="100" spans="1:2" ht="15.75" customHeight="1"/>
    <row r="101" spans="1:2" ht="15.75" hidden="1" customHeight="1">
      <c r="A101" s="460">
        <f>SUM(D12:D34,C39:C51,C54:D55,C60:F67,B72:K73)</f>
        <v>0</v>
      </c>
      <c r="B101" s="460">
        <f>SUM(CI12:CO51)</f>
        <v>0</v>
      </c>
    </row>
    <row r="102" spans="1:2" ht="15.75" customHeight="1"/>
    <row r="103" spans="1:2" ht="15.75" customHeight="1"/>
    <row r="104" spans="1:2" ht="15.75" customHeight="1"/>
    <row r="105" spans="1:2" ht="15.75" customHeight="1"/>
    <row r="106" spans="1:2" ht="15.75" customHeight="1"/>
    <row r="107" spans="1:2" ht="15.75" customHeight="1"/>
    <row r="108" spans="1:2" ht="15.75" customHeight="1"/>
    <row r="109" spans="1:2" ht="15.75" customHeight="1"/>
    <row r="110" spans="1:2" ht="15.75" customHeight="1"/>
    <row r="111" spans="1:2" ht="15.75" customHeight="1"/>
    <row r="112" spans="1:2" ht="15.75" customHeight="1"/>
    <row r="113" customFormat="1" ht="15.75" customHeight="1"/>
    <row r="114" customFormat="1" ht="15.75" customHeight="1"/>
    <row r="115" customFormat="1" ht="15.75" customHeight="1"/>
    <row r="116" customFormat="1" ht="15.75" customHeight="1"/>
    <row r="117" customFormat="1" ht="15.75" customHeight="1"/>
    <row r="118" customFormat="1" ht="15.75" customHeight="1"/>
    <row r="119" customFormat="1" ht="15.75" customHeight="1"/>
    <row r="120" customFormat="1" ht="15.75" customHeight="1"/>
    <row r="121" customFormat="1" ht="15.75" customHeight="1"/>
    <row r="122" customFormat="1" ht="15.75" customHeight="1"/>
    <row r="123" customFormat="1" ht="15.75" customHeight="1"/>
    <row r="124" customFormat="1" ht="15.75" customHeight="1"/>
    <row r="125" customFormat="1" ht="15.75" customHeight="1"/>
    <row r="126" customFormat="1" ht="15.75" customHeight="1"/>
    <row r="127" customFormat="1" ht="15.75" customHeight="1"/>
    <row r="128" customFormat="1" ht="15.75" customHeight="1"/>
    <row r="129" customFormat="1" ht="15.75" customHeight="1"/>
    <row r="130" customFormat="1" ht="15.75" customHeight="1"/>
    <row r="131" customFormat="1" ht="15.75" customHeight="1"/>
    <row r="132" customFormat="1" ht="15.75" customHeight="1"/>
    <row r="133" customFormat="1" ht="15.75" customHeight="1"/>
    <row r="134" customFormat="1" ht="15.75" customHeight="1"/>
    <row r="135" customFormat="1" ht="15.75" customHeight="1"/>
    <row r="136" customFormat="1" ht="15.75" customHeight="1"/>
    <row r="137" customFormat="1" ht="15.75" customHeight="1"/>
    <row r="138" customFormat="1" ht="15.75" customHeight="1"/>
    <row r="139" customFormat="1" ht="15.75" customHeight="1"/>
    <row r="140" customFormat="1" ht="15.75" customHeight="1"/>
    <row r="141" customFormat="1" ht="15.75" customHeight="1"/>
    <row r="142" customFormat="1" ht="15.75" customHeight="1"/>
    <row r="143" customFormat="1" ht="15.75" customHeight="1"/>
    <row r="144" customFormat="1" ht="15.75" customHeight="1"/>
    <row r="145" customFormat="1" ht="15.75" customHeight="1"/>
    <row r="146" customFormat="1" ht="15.75" customHeight="1"/>
    <row r="147" customFormat="1" ht="15.75" customHeight="1"/>
    <row r="148" customFormat="1" ht="15.75" customHeight="1"/>
    <row r="149" customFormat="1" ht="15.75" customHeight="1"/>
    <row r="150" customFormat="1" ht="15.75" customHeight="1"/>
    <row r="151" customFormat="1" ht="15.75" customHeight="1"/>
    <row r="152" customFormat="1" ht="15.75" customHeight="1"/>
    <row r="153" customFormat="1" ht="15.75" customHeight="1"/>
    <row r="154" customFormat="1" ht="15.75" customHeight="1"/>
    <row r="155" customFormat="1" ht="15.75" customHeight="1"/>
    <row r="156" customFormat="1" ht="15.75" customHeight="1"/>
    <row r="157" customFormat="1" ht="15.75" customHeight="1"/>
    <row r="158" customFormat="1" ht="15.75" customHeight="1"/>
    <row r="159" customFormat="1" ht="15.75" customHeight="1"/>
    <row r="160" customFormat="1" ht="15.75" customHeight="1"/>
    <row r="161" customFormat="1" ht="15.75" customHeight="1"/>
    <row r="162" customFormat="1" ht="15.75" customHeight="1"/>
    <row r="163" customFormat="1" ht="15.75" customHeight="1"/>
    <row r="164" customFormat="1" ht="15.75" customHeight="1"/>
    <row r="165" customFormat="1" ht="15.75" customHeight="1"/>
    <row r="166" customFormat="1" ht="15.75" customHeight="1"/>
    <row r="167" customFormat="1" ht="15.75" customHeight="1"/>
    <row r="168" customFormat="1" ht="15.75" customHeight="1"/>
    <row r="169" customFormat="1" ht="15.75" customHeight="1"/>
    <row r="170" customFormat="1" ht="15.75" customHeight="1"/>
    <row r="171" customFormat="1" ht="15.75" customHeight="1"/>
    <row r="172" customFormat="1" ht="15.75" customHeight="1"/>
    <row r="173" customFormat="1" ht="15.75" customHeight="1"/>
    <row r="174" customFormat="1" ht="15.75" customHeight="1"/>
    <row r="175" customFormat="1" ht="15.75" customHeight="1"/>
    <row r="176" customFormat="1" ht="15.75" customHeight="1"/>
    <row r="177" customFormat="1" ht="15.75" customHeight="1"/>
    <row r="178" customFormat="1" ht="15.75" customHeight="1"/>
    <row r="179" customFormat="1" ht="15.75" customHeight="1"/>
    <row r="180" customFormat="1" ht="15.75" customHeight="1"/>
    <row r="181" customFormat="1" ht="15.75" customHeight="1"/>
    <row r="182" customFormat="1" ht="15.75" customHeight="1"/>
    <row r="183" customFormat="1" ht="15.75" customHeight="1"/>
    <row r="184" customFormat="1" ht="15.75" customHeight="1"/>
    <row r="185" customFormat="1" ht="15.75" customHeight="1"/>
    <row r="186" customFormat="1" ht="15.75" customHeight="1"/>
    <row r="187" customFormat="1" ht="15.75" customHeight="1"/>
    <row r="188" customFormat="1" ht="15.75" customHeight="1"/>
    <row r="189" customFormat="1" ht="15.75" customHeight="1"/>
    <row r="190" customFormat="1" ht="15.75" customHeight="1"/>
    <row r="191" customFormat="1" ht="15.75" customHeight="1"/>
    <row r="192" customFormat="1" ht="15.75" customHeight="1"/>
    <row r="193" customFormat="1" ht="15.75" customHeight="1"/>
    <row r="194" customFormat="1" ht="15.75" customHeight="1"/>
    <row r="195" customFormat="1" ht="15.75" customHeight="1"/>
    <row r="196" customFormat="1" ht="15.75" customHeight="1"/>
    <row r="197" customFormat="1" ht="15.75" customHeight="1"/>
    <row r="198" customFormat="1" ht="15.75" customHeight="1"/>
    <row r="199" customFormat="1" ht="15.75" customHeight="1"/>
    <row r="200" customFormat="1" ht="15.75" customHeight="1"/>
    <row r="201" customFormat="1" ht="15.75" customHeight="1"/>
    <row r="202" customFormat="1" ht="15.75" customHeight="1"/>
    <row r="203" customFormat="1" ht="15.75" customHeight="1"/>
    <row r="204" customFormat="1" ht="15.75" customHeight="1"/>
    <row r="205" customFormat="1" ht="15.75" customHeight="1"/>
    <row r="206" customFormat="1" ht="15.75" customHeight="1"/>
    <row r="207" customFormat="1" ht="15.75" customHeight="1"/>
    <row r="208" customFormat="1" ht="15.75" customHeight="1"/>
    <row r="209" customFormat="1" ht="15.75" customHeight="1"/>
    <row r="210" customFormat="1" ht="15.75" customHeight="1"/>
    <row r="211" customFormat="1" ht="15.75" customHeight="1"/>
    <row r="212" customFormat="1" ht="15.75" customHeight="1"/>
    <row r="213" customFormat="1" ht="15.75" customHeight="1"/>
    <row r="214" customFormat="1" ht="15.75" customHeight="1"/>
    <row r="215" customFormat="1" ht="15.75" customHeight="1"/>
    <row r="216" customFormat="1" ht="15.75" customHeight="1"/>
    <row r="217" customFormat="1" ht="15.75" customHeight="1"/>
    <row r="218" customFormat="1" ht="15.75" customHeight="1"/>
    <row r="219" customFormat="1" ht="15.75" customHeight="1"/>
    <row r="220" customFormat="1" ht="15.75" customHeight="1"/>
    <row r="221" customFormat="1" ht="15.75" customHeight="1"/>
    <row r="222" customFormat="1" ht="15.75" customHeight="1"/>
    <row r="223" customFormat="1" ht="15.75" customHeight="1"/>
    <row r="224" customFormat="1" ht="15.75" customHeight="1"/>
    <row r="225" customFormat="1" ht="15.75" customHeight="1"/>
    <row r="226" customFormat="1" ht="15.75" customHeight="1"/>
    <row r="227" customFormat="1" ht="15.75" customHeight="1"/>
    <row r="228" customFormat="1" ht="15.75" customHeight="1"/>
    <row r="229" customFormat="1" ht="15.75" customHeight="1"/>
    <row r="230" customFormat="1" ht="15.75" customHeight="1"/>
    <row r="231" customFormat="1" ht="15.75" customHeight="1"/>
    <row r="232" customFormat="1" ht="15.75" customHeight="1"/>
    <row r="233" customFormat="1" ht="15.75" customHeight="1"/>
    <row r="234" customFormat="1" ht="15.75" customHeight="1"/>
    <row r="235" customFormat="1" ht="15.75" customHeight="1"/>
    <row r="236" customFormat="1" ht="15.75" customHeight="1"/>
    <row r="237" customFormat="1" ht="15.75" customHeight="1"/>
    <row r="238" customFormat="1" ht="15.75" customHeight="1"/>
    <row r="239" customFormat="1" ht="15.75" customHeight="1"/>
    <row r="240" customFormat="1" ht="15.75" customHeight="1"/>
    <row r="241" customFormat="1" ht="15.75" customHeight="1"/>
    <row r="242" customFormat="1" ht="15.75" customHeight="1"/>
    <row r="243" customFormat="1" ht="15.75" customHeight="1"/>
    <row r="244" customFormat="1" ht="15.75" customHeight="1"/>
    <row r="245" customFormat="1" ht="15.75" customHeight="1"/>
    <row r="246" customFormat="1" ht="15.75" customHeight="1"/>
    <row r="247" customFormat="1" ht="15.75" customHeight="1"/>
    <row r="248" customFormat="1" ht="15.75" customHeight="1"/>
    <row r="249" customFormat="1" ht="15.75" customHeight="1"/>
    <row r="250" customFormat="1" ht="15.75" customHeight="1"/>
    <row r="251" customFormat="1" ht="15.75" customHeight="1"/>
    <row r="252" customFormat="1" ht="15.75" customHeight="1"/>
    <row r="253" customFormat="1" ht="15.75" customHeight="1"/>
    <row r="254" customFormat="1" ht="15.75" customHeight="1"/>
    <row r="255" customFormat="1" ht="15.75" customHeight="1"/>
    <row r="256" customFormat="1" ht="15.75" customHeight="1"/>
    <row r="257" customFormat="1" ht="15.75" customHeight="1"/>
    <row r="258" customFormat="1" ht="15.75" customHeight="1"/>
    <row r="259" customFormat="1" ht="15.75" customHeight="1"/>
    <row r="260" customFormat="1" ht="15.75" customHeight="1"/>
    <row r="261" customFormat="1" ht="15.75" customHeight="1"/>
    <row r="262" customFormat="1" ht="15.75" customHeight="1"/>
    <row r="263" customFormat="1" ht="15.75" customHeight="1"/>
    <row r="264" customFormat="1" ht="15.75" customHeight="1"/>
    <row r="265" customFormat="1" ht="15.75" customHeight="1"/>
    <row r="266" customFormat="1" ht="15.75" customHeight="1"/>
    <row r="267" customFormat="1" ht="15.75" customHeight="1"/>
    <row r="268" customFormat="1" ht="15.75" customHeight="1"/>
    <row r="269" customFormat="1" ht="15.75" customHeight="1"/>
    <row r="270" customFormat="1" ht="15.75" customHeight="1"/>
    <row r="271" customFormat="1" ht="15.75" customHeight="1"/>
    <row r="272" customFormat="1" ht="15.75" customHeight="1"/>
    <row r="273" customFormat="1" ht="15.75" customHeight="1"/>
    <row r="274" customFormat="1" ht="15.75" customHeight="1"/>
    <row r="275" customFormat="1" ht="15.75" customHeight="1"/>
    <row r="276" customFormat="1" ht="15.75" customHeight="1"/>
    <row r="277" customFormat="1" ht="15.75" customHeight="1"/>
    <row r="278" customFormat="1" ht="15.75" customHeight="1"/>
    <row r="279" customFormat="1" ht="15.75" customHeight="1"/>
    <row r="280" customFormat="1" ht="15.75" customHeight="1"/>
    <row r="281" customFormat="1" ht="15.75" customHeight="1"/>
    <row r="282" customFormat="1" ht="15.75" customHeight="1"/>
    <row r="283" customFormat="1" ht="15.75" customHeight="1"/>
    <row r="284" customFormat="1" ht="15.75" customHeight="1"/>
    <row r="285" customFormat="1" ht="15.75" customHeight="1"/>
    <row r="286" customFormat="1" ht="15.75" customHeight="1"/>
    <row r="287" customFormat="1" ht="15.75" customHeight="1"/>
    <row r="288" customFormat="1" ht="15.75" customHeight="1"/>
    <row r="289" customFormat="1" ht="15.75" customHeight="1"/>
    <row r="290" customFormat="1" ht="15.75" customHeight="1"/>
    <row r="291" customFormat="1" ht="15.75" customHeight="1"/>
    <row r="292" customFormat="1" ht="15.75" customHeight="1"/>
    <row r="293" customFormat="1" ht="15.75" customHeight="1"/>
    <row r="294" customFormat="1" ht="15.75" customHeight="1"/>
    <row r="295" customFormat="1" ht="15.75" customHeight="1"/>
    <row r="296" customFormat="1" ht="15.75" customHeight="1"/>
    <row r="297" customFormat="1" ht="15.75" customHeight="1"/>
    <row r="298" customFormat="1" ht="15.75" customHeight="1"/>
    <row r="299" customFormat="1" ht="15.75" customHeight="1"/>
    <row r="300" customFormat="1" ht="15.75" customHeight="1"/>
    <row r="301" customFormat="1" ht="15.75" customHeight="1"/>
    <row r="302" customFormat="1" ht="15.75" customHeight="1"/>
    <row r="303" customFormat="1" ht="15.75" customHeight="1"/>
    <row r="304" customFormat="1" ht="15.75" customHeight="1"/>
    <row r="305" customFormat="1" ht="15.75" customHeight="1"/>
    <row r="306" customFormat="1" ht="15.75" customHeight="1"/>
    <row r="307" customFormat="1" ht="15.75" customHeight="1"/>
    <row r="308" customFormat="1" ht="15.75" customHeight="1"/>
    <row r="309" customFormat="1" ht="15.75" customHeight="1"/>
    <row r="310" customFormat="1" ht="15.75" customHeight="1"/>
    <row r="311" customFormat="1" ht="15.75" customHeight="1"/>
    <row r="312" customFormat="1" ht="15.75" customHeight="1"/>
    <row r="313" customFormat="1" ht="15.75" customHeight="1"/>
    <row r="314" customFormat="1" ht="15.75" customHeight="1"/>
    <row r="315" customFormat="1" ht="15.75" customHeight="1"/>
    <row r="316" customFormat="1" ht="15.75" customHeight="1"/>
    <row r="317" customFormat="1" ht="15.75" customHeight="1"/>
    <row r="318" customFormat="1" ht="15.75" customHeight="1"/>
    <row r="319" customFormat="1" ht="15.75" customHeight="1"/>
    <row r="320" customFormat="1" ht="15.75" customHeight="1"/>
    <row r="321" customFormat="1" ht="15.75" customHeight="1"/>
    <row r="322" customFormat="1" ht="15.75" customHeight="1"/>
    <row r="323" customFormat="1" ht="15.75" customHeight="1"/>
    <row r="324" customFormat="1" ht="15.75" customHeight="1"/>
    <row r="325" customFormat="1" ht="15.75" customHeight="1"/>
    <row r="326" customFormat="1" ht="15.75" customHeight="1"/>
    <row r="327" customFormat="1" ht="15.75" customHeight="1"/>
    <row r="328" customFormat="1" ht="15.75" customHeight="1"/>
    <row r="329" customFormat="1" ht="15.75" customHeight="1"/>
    <row r="330" customFormat="1" ht="15.75" customHeight="1"/>
    <row r="331" customFormat="1" ht="15.75" customHeight="1"/>
    <row r="332" customFormat="1" ht="15.75" customHeight="1"/>
    <row r="333" customFormat="1" ht="15.75" customHeight="1"/>
    <row r="334" customFormat="1" ht="15.75" customHeight="1"/>
    <row r="335" customFormat="1" ht="15.75" customHeight="1"/>
    <row r="336" customFormat="1" ht="15.75" customHeight="1"/>
    <row r="337" customFormat="1" ht="15.75" customHeight="1"/>
    <row r="338" customFormat="1" ht="15.75" customHeight="1"/>
    <row r="339" customFormat="1" ht="15.75" customHeight="1"/>
    <row r="340" customFormat="1" ht="15.75" customHeight="1"/>
    <row r="341" customFormat="1" ht="15.75" customHeight="1"/>
    <row r="342" customFormat="1" ht="15.75" customHeight="1"/>
    <row r="343" customFormat="1" ht="15.75" customHeight="1"/>
    <row r="344" customFormat="1" ht="15.75" customHeight="1"/>
    <row r="345" customFormat="1" ht="15.75" customHeight="1"/>
    <row r="346" customFormat="1" ht="15.75" customHeight="1"/>
    <row r="347" customFormat="1" ht="15.75" customHeight="1"/>
    <row r="348" customFormat="1" ht="15.75" customHeight="1"/>
    <row r="349" customFormat="1" ht="15.75" customHeight="1"/>
    <row r="350" customFormat="1" ht="15.75" customHeight="1"/>
    <row r="351" customFormat="1" ht="15.75" customHeight="1"/>
    <row r="352" customFormat="1" ht="15.75" customHeight="1"/>
    <row r="353" customFormat="1" ht="15.75" customHeight="1"/>
    <row r="354" customFormat="1" ht="15.75" customHeight="1"/>
    <row r="355" customFormat="1" ht="15.75" customHeight="1"/>
    <row r="356" customFormat="1" ht="15.75" customHeight="1"/>
    <row r="357" customFormat="1" ht="15.75" customHeight="1"/>
    <row r="358" customFormat="1" ht="15.75" customHeight="1"/>
    <row r="359" customFormat="1" ht="15.75" customHeight="1"/>
    <row r="360" customFormat="1" ht="15.75" customHeight="1"/>
    <row r="361" customFormat="1" ht="15.75" customHeight="1"/>
    <row r="362" customFormat="1" ht="15.75" customHeight="1"/>
    <row r="363" customFormat="1" ht="15.75" customHeight="1"/>
    <row r="364" customFormat="1" ht="15.75" customHeight="1"/>
    <row r="365" customFormat="1" ht="15.75" customHeight="1"/>
    <row r="366" customFormat="1" ht="15.75" customHeight="1"/>
    <row r="367" customFormat="1" ht="15.75" customHeight="1"/>
    <row r="368" customFormat="1" ht="15.75" customHeight="1"/>
    <row r="369" customFormat="1" ht="15.75" customHeight="1"/>
    <row r="370" customFormat="1" ht="15.75" customHeight="1"/>
    <row r="371" customFormat="1" ht="15.75" customHeight="1"/>
    <row r="372" customFormat="1" ht="15.75" customHeight="1"/>
    <row r="373" customFormat="1" ht="15.75" customHeight="1"/>
    <row r="374" customFormat="1" ht="15.75" customHeight="1"/>
    <row r="375" customFormat="1" ht="15.75" customHeight="1"/>
    <row r="376" customFormat="1" ht="15.75" customHeight="1"/>
    <row r="377" customFormat="1" ht="15.75" customHeight="1"/>
    <row r="378" customFormat="1" ht="15.75" customHeight="1"/>
    <row r="379" customFormat="1" ht="15.75" customHeight="1"/>
    <row r="380" customFormat="1" ht="15.75" customHeight="1"/>
    <row r="381" customFormat="1" ht="15.75" customHeight="1"/>
    <row r="382" customFormat="1" ht="15.75" customHeight="1"/>
    <row r="383" customFormat="1" ht="15.75" customHeight="1"/>
    <row r="384" customFormat="1" ht="15.75" customHeight="1"/>
    <row r="385" customFormat="1" ht="15.75" customHeight="1"/>
    <row r="386" customFormat="1" ht="15.75" customHeight="1"/>
    <row r="387" customFormat="1" ht="15.75" customHeight="1"/>
    <row r="388" customFormat="1" ht="15.75" customHeight="1"/>
    <row r="389" customFormat="1" ht="15.75" customHeight="1"/>
    <row r="390" customFormat="1" ht="15.75" customHeight="1"/>
    <row r="391" customFormat="1" ht="15.75" customHeight="1"/>
    <row r="392" customFormat="1" ht="15.75" customHeight="1"/>
    <row r="393" customFormat="1" ht="15.75" customHeight="1"/>
    <row r="394" customFormat="1" ht="15.75" customHeight="1"/>
    <row r="395" customFormat="1" ht="15.75" customHeight="1"/>
    <row r="396" customFormat="1" ht="15.75" customHeight="1"/>
    <row r="397" customFormat="1" ht="15.75" customHeight="1"/>
    <row r="398" customFormat="1" ht="15.75" customHeight="1"/>
    <row r="399" customFormat="1" ht="15.75" customHeight="1"/>
    <row r="400" customFormat="1" ht="15.75" customHeight="1"/>
    <row r="401" customFormat="1" ht="15.75" customHeight="1"/>
    <row r="402" customFormat="1" ht="15.75" customHeight="1"/>
    <row r="403" customFormat="1" ht="15.75" customHeight="1"/>
    <row r="404" customFormat="1" ht="15.75" customHeight="1"/>
    <row r="405" customFormat="1" ht="15.75" customHeight="1"/>
    <row r="406" customFormat="1" ht="15.75" customHeight="1"/>
    <row r="407" customFormat="1" ht="15.75" customHeight="1"/>
    <row r="408" customFormat="1" ht="15.75" customHeight="1"/>
    <row r="409" customFormat="1" ht="15.75" customHeight="1"/>
    <row r="410" customFormat="1" ht="15.75" customHeight="1"/>
    <row r="411" customFormat="1" ht="15.75" customHeight="1"/>
    <row r="412" customFormat="1" ht="15.75" customHeight="1"/>
    <row r="413" customFormat="1" ht="15.75" customHeight="1"/>
    <row r="414" customFormat="1" ht="15.75" customHeight="1"/>
    <row r="415" customFormat="1" ht="15.75" customHeight="1"/>
    <row r="416" customFormat="1" ht="15.75" customHeight="1"/>
    <row r="417" customFormat="1" ht="15.75" customHeight="1"/>
    <row r="418" customFormat="1" ht="15.75" customHeight="1"/>
    <row r="419" customFormat="1" ht="15.75" customHeight="1"/>
    <row r="420" customFormat="1" ht="15.75" customHeight="1"/>
    <row r="421" customFormat="1" ht="15.75" customHeight="1"/>
    <row r="422" customFormat="1" ht="15.75" customHeight="1"/>
    <row r="423" customFormat="1" ht="15.75" customHeight="1"/>
    <row r="424" customFormat="1" ht="15.75" customHeight="1"/>
    <row r="425" customFormat="1" ht="15.75" customHeight="1"/>
    <row r="426" customFormat="1" ht="15.75" customHeight="1"/>
    <row r="427" customFormat="1" ht="15.75" customHeight="1"/>
    <row r="428" customFormat="1" ht="15.75" customHeight="1"/>
    <row r="429" customFormat="1" ht="15.75" customHeight="1"/>
    <row r="430" customFormat="1" ht="15.75" customHeight="1"/>
    <row r="431" customFormat="1" ht="15.75" customHeight="1"/>
    <row r="432" customFormat="1" ht="15.75" customHeight="1"/>
    <row r="433" customFormat="1" ht="15.75" customHeight="1"/>
    <row r="434" customFormat="1" ht="15.75" customHeight="1"/>
    <row r="435" customFormat="1" ht="15.75" customHeight="1"/>
    <row r="436" customFormat="1" ht="15.75" customHeight="1"/>
    <row r="437" customFormat="1" ht="15.75" customHeight="1"/>
    <row r="438" customFormat="1" ht="15.75" customHeight="1"/>
    <row r="439" customFormat="1" ht="15.75" customHeight="1"/>
    <row r="440" customFormat="1" ht="15.75" customHeight="1"/>
    <row r="441" customFormat="1" ht="15.75" customHeight="1"/>
    <row r="442" customFormat="1" ht="15.75" customHeight="1"/>
    <row r="443" customFormat="1" ht="15.75" customHeight="1"/>
    <row r="444" customFormat="1" ht="15.75" customHeight="1"/>
    <row r="445" customFormat="1" ht="15.75" customHeight="1"/>
    <row r="446" customFormat="1" ht="15.75" customHeight="1"/>
    <row r="447" customFormat="1" ht="15.75" customHeight="1"/>
    <row r="448" customFormat="1" ht="15.75" customHeight="1"/>
    <row r="449" customFormat="1" ht="15.75" customHeight="1"/>
    <row r="450" customFormat="1" ht="15.75" customHeight="1"/>
    <row r="451" customFormat="1" ht="15.75" customHeight="1"/>
    <row r="452" customFormat="1" ht="15.75" customHeight="1"/>
    <row r="453" customFormat="1" ht="15.75" customHeight="1"/>
    <row r="454" customFormat="1" ht="15.75" customHeight="1"/>
    <row r="455" customFormat="1" ht="15.75" customHeight="1"/>
    <row r="456" customFormat="1" ht="15.75" customHeight="1"/>
    <row r="457" customFormat="1" ht="15.75" customHeight="1"/>
    <row r="458" customFormat="1" ht="15.75" customHeight="1"/>
    <row r="459" customFormat="1" ht="15.75" customHeight="1"/>
    <row r="460" customFormat="1" ht="15.75" customHeight="1"/>
    <row r="461" customFormat="1" ht="15.75" customHeight="1"/>
    <row r="462" customFormat="1" ht="15.75" customHeight="1"/>
    <row r="463" customFormat="1" ht="15.75" customHeight="1"/>
    <row r="464" customFormat="1" ht="15.75" customHeight="1"/>
    <row r="465" customFormat="1" ht="15.75" customHeight="1"/>
    <row r="466" customFormat="1" ht="15.75" customHeight="1"/>
    <row r="467" customFormat="1" ht="15.75" customHeight="1"/>
    <row r="468" customFormat="1" ht="15.75" customHeight="1"/>
    <row r="469" customFormat="1" ht="15.75" customHeight="1"/>
    <row r="470" customFormat="1" ht="15.75" customHeight="1"/>
    <row r="471" customFormat="1" ht="15.75" customHeight="1"/>
    <row r="472" customFormat="1" ht="15.75" customHeight="1"/>
    <row r="473" customFormat="1" ht="15.75" customHeight="1"/>
    <row r="474" customFormat="1" ht="15.75" customHeight="1"/>
    <row r="475" customFormat="1" ht="15.75" customHeight="1"/>
    <row r="476" customFormat="1" ht="15.75" customHeight="1"/>
    <row r="477" customFormat="1" ht="15.75" customHeight="1"/>
    <row r="478" customFormat="1" ht="15.75" customHeight="1"/>
    <row r="479" customFormat="1" ht="15.75" customHeight="1"/>
    <row r="480" customFormat="1" ht="15.75" customHeight="1"/>
    <row r="481" customFormat="1" ht="15.75" customHeight="1"/>
    <row r="482" customFormat="1" ht="15.75" customHeight="1"/>
    <row r="483" customFormat="1" ht="15.75" customHeight="1"/>
    <row r="484" customFormat="1" ht="15.75" customHeight="1"/>
    <row r="485" customFormat="1" ht="15.75" customHeight="1"/>
    <row r="486" customFormat="1" ht="15.75" customHeight="1"/>
    <row r="487" customFormat="1" ht="15.75" customHeight="1"/>
    <row r="488" customFormat="1" ht="15.75" customHeight="1"/>
    <row r="489" customFormat="1" ht="15.75" customHeight="1"/>
    <row r="490" customFormat="1" ht="15.75" customHeight="1"/>
    <row r="491" customFormat="1" ht="15.75" customHeight="1"/>
    <row r="492" customFormat="1" ht="15.75" customHeight="1"/>
    <row r="493" customFormat="1" ht="15.75" customHeight="1"/>
    <row r="494" customFormat="1" ht="15.75" customHeight="1"/>
    <row r="495" customFormat="1" ht="15.75" customHeight="1"/>
    <row r="496" customFormat="1" ht="15.75" customHeight="1"/>
    <row r="497" customFormat="1" ht="15.75" customHeight="1"/>
    <row r="498" customFormat="1" ht="15.75" customHeight="1"/>
    <row r="499" customFormat="1" ht="15.75" customHeight="1"/>
    <row r="500" customFormat="1" ht="15.75" customHeight="1"/>
    <row r="501" customFormat="1" ht="15.75" customHeight="1"/>
    <row r="502" customFormat="1" ht="15.75" customHeight="1"/>
    <row r="503" customFormat="1" ht="15.75" customHeight="1"/>
    <row r="504" customFormat="1" ht="15.75" customHeight="1"/>
    <row r="505" customFormat="1" ht="15.75" customHeight="1"/>
    <row r="506" customFormat="1" ht="15.75" customHeight="1"/>
    <row r="507" customFormat="1" ht="15.75" customHeight="1"/>
    <row r="508" customFormat="1" ht="15.75" customHeight="1"/>
    <row r="509" customFormat="1" ht="15.75" customHeight="1"/>
    <row r="510" customFormat="1" ht="15.75" customHeight="1"/>
    <row r="511" customFormat="1" ht="15.75" customHeight="1"/>
    <row r="512" customFormat="1" ht="15.75" customHeight="1"/>
    <row r="513" customFormat="1" ht="15.75" customHeight="1"/>
    <row r="514" customFormat="1" ht="15.75" customHeight="1"/>
    <row r="515" customFormat="1" ht="15.75" customHeight="1"/>
    <row r="516" customFormat="1" ht="15.75" customHeight="1"/>
    <row r="517" customFormat="1" ht="15.75" customHeight="1"/>
    <row r="518" customFormat="1" ht="15.75" customHeight="1"/>
    <row r="519" customFormat="1" ht="15.75" customHeight="1"/>
    <row r="520" customFormat="1" ht="15.75" customHeight="1"/>
    <row r="521" customFormat="1" ht="15.75" customHeight="1"/>
    <row r="522" customFormat="1" ht="15.75" customHeight="1"/>
    <row r="523" customFormat="1" ht="15.75" customHeight="1"/>
    <row r="524" customFormat="1" ht="15.75" customHeight="1"/>
    <row r="525" customFormat="1" ht="15.75" customHeight="1"/>
    <row r="526" customFormat="1" ht="15.75" customHeight="1"/>
    <row r="527" customFormat="1" ht="15.75" customHeight="1"/>
    <row r="528" customFormat="1" ht="15.75" customHeight="1"/>
    <row r="529" customFormat="1" ht="15.75" customHeight="1"/>
    <row r="530" customFormat="1" ht="15.75" customHeight="1"/>
    <row r="531" customFormat="1" ht="15.75" customHeight="1"/>
    <row r="532" customFormat="1" ht="15.75" customHeight="1"/>
    <row r="533" customFormat="1" ht="15.75" customHeight="1"/>
    <row r="534" customFormat="1" ht="15.75" customHeight="1"/>
    <row r="535" customFormat="1" ht="15.75" customHeight="1"/>
    <row r="536" customFormat="1" ht="15.75" customHeight="1"/>
    <row r="537" customFormat="1" ht="15.75" customHeight="1"/>
    <row r="538" customFormat="1" ht="15.75" customHeight="1"/>
    <row r="539" customFormat="1" ht="15.75" customHeight="1"/>
    <row r="540" customFormat="1" ht="15.75" customHeight="1"/>
    <row r="541" customFormat="1" ht="15.75" customHeight="1"/>
    <row r="542" customFormat="1" ht="15.75" customHeight="1"/>
    <row r="543" customFormat="1" ht="15.75" customHeight="1"/>
    <row r="544" customFormat="1" ht="15.75" customHeight="1"/>
    <row r="545" customFormat="1" ht="15.75" customHeight="1"/>
    <row r="546" customFormat="1" ht="15.75" customHeight="1"/>
    <row r="547" customFormat="1" ht="15.75" customHeight="1"/>
    <row r="548" customFormat="1" ht="15.75" customHeight="1"/>
    <row r="549" customFormat="1" ht="15.75" customHeight="1"/>
    <row r="550" customFormat="1" ht="15.75" customHeight="1"/>
    <row r="551" customFormat="1" ht="15.75" customHeight="1"/>
    <row r="552" customFormat="1" ht="15.75" customHeight="1"/>
    <row r="553" customFormat="1" ht="15.75" customHeight="1"/>
    <row r="554" customFormat="1" ht="15.75" customHeight="1"/>
    <row r="555" customFormat="1" ht="15.75" customHeight="1"/>
    <row r="556" customFormat="1" ht="15.75" customHeight="1"/>
    <row r="557" customFormat="1" ht="15.75" customHeight="1"/>
    <row r="558" customFormat="1" ht="15.75" customHeight="1"/>
    <row r="559" customFormat="1" ht="15.75" customHeight="1"/>
    <row r="560" customFormat="1" ht="15.75" customHeight="1"/>
    <row r="561" customFormat="1" ht="15.75" customHeight="1"/>
    <row r="562" customFormat="1" ht="15.75" customHeight="1"/>
    <row r="563" customFormat="1" ht="15.75" customHeight="1"/>
    <row r="564" customFormat="1" ht="15.75" customHeight="1"/>
    <row r="565" customFormat="1" ht="15.75" customHeight="1"/>
    <row r="566" customFormat="1" ht="15.75" customHeight="1"/>
    <row r="567" customFormat="1" ht="15.75" customHeight="1"/>
    <row r="568" customFormat="1" ht="15.75" customHeight="1"/>
    <row r="569" customFormat="1" ht="15.75" customHeight="1"/>
    <row r="570" customFormat="1" ht="15.75" customHeight="1"/>
    <row r="571" customFormat="1" ht="15.75" customHeight="1"/>
    <row r="572" customFormat="1" ht="15.75" customHeight="1"/>
    <row r="573" customFormat="1" ht="15.75" customHeight="1"/>
    <row r="574" customFormat="1" ht="15.75" customHeight="1"/>
    <row r="575" customFormat="1" ht="15.75" customHeight="1"/>
    <row r="576" customFormat="1" ht="15.75" customHeight="1"/>
    <row r="577" customFormat="1" ht="15.75" customHeight="1"/>
    <row r="578" customFormat="1" ht="15.75" customHeight="1"/>
    <row r="579" customFormat="1" ht="15.75" customHeight="1"/>
    <row r="580" customFormat="1" ht="15.75" customHeight="1"/>
    <row r="581" customFormat="1" ht="15.75" customHeight="1"/>
    <row r="582" customFormat="1" ht="15.75" customHeight="1"/>
    <row r="583" customFormat="1" ht="15.75" customHeight="1"/>
    <row r="584" customFormat="1" ht="15.75" customHeight="1"/>
    <row r="585" customFormat="1" ht="15.75" customHeight="1"/>
    <row r="586" customFormat="1" ht="15.75" customHeight="1"/>
    <row r="587" customFormat="1" ht="15.75" customHeight="1"/>
    <row r="588" customFormat="1" ht="15.75" customHeight="1"/>
    <row r="589" customFormat="1" ht="15.75" customHeight="1"/>
    <row r="590" customFormat="1" ht="15.75" customHeight="1"/>
    <row r="591" customFormat="1" ht="15.75" customHeight="1"/>
    <row r="592" customFormat="1" ht="15.75" customHeight="1"/>
    <row r="593" customFormat="1" ht="15.75" customHeight="1"/>
    <row r="594" customFormat="1" ht="15.75" customHeight="1"/>
    <row r="595" customFormat="1" ht="15.75" customHeight="1"/>
    <row r="596" customFormat="1" ht="15.75" customHeight="1"/>
    <row r="597" customFormat="1" ht="15.75" customHeight="1"/>
    <row r="598" customFormat="1" ht="15.75" customHeight="1"/>
    <row r="599" customFormat="1" ht="15.75" customHeight="1"/>
    <row r="600" customFormat="1" ht="15.75" customHeight="1"/>
    <row r="601" customFormat="1" ht="15.75" customHeight="1"/>
    <row r="602" customFormat="1" ht="15.75" customHeight="1"/>
    <row r="603" customFormat="1" ht="15.75" customHeight="1"/>
    <row r="604" customFormat="1" ht="15.75" customHeight="1"/>
    <row r="605" customFormat="1" ht="15.75" customHeight="1"/>
    <row r="606" customFormat="1" ht="15.75" customHeight="1"/>
    <row r="607" customFormat="1" ht="15.75" customHeight="1"/>
    <row r="608" customFormat="1" ht="15.75" customHeight="1"/>
    <row r="609" customFormat="1" ht="15.75" customHeight="1"/>
    <row r="610" customFormat="1" ht="15.75" customHeight="1"/>
    <row r="611" customFormat="1" ht="15.75" customHeight="1"/>
    <row r="612" customFormat="1" ht="15.75" customHeight="1"/>
    <row r="613" customFormat="1" ht="15.75" customHeight="1"/>
    <row r="614" customFormat="1" ht="15.75" customHeight="1"/>
    <row r="615" customFormat="1" ht="15.75" customHeight="1"/>
    <row r="616" customFormat="1" ht="15.75" customHeight="1"/>
    <row r="617" customFormat="1" ht="15.75" customHeight="1"/>
    <row r="618" customFormat="1" ht="15.75" customHeight="1"/>
    <row r="619" customFormat="1" ht="15.75" customHeight="1"/>
    <row r="620" customFormat="1" ht="15.75" customHeight="1"/>
    <row r="621" customFormat="1" ht="15.75" customHeight="1"/>
    <row r="622" customFormat="1" ht="15.75" customHeight="1"/>
    <row r="623" customFormat="1" ht="15.75" customHeight="1"/>
    <row r="624" customFormat="1" ht="15.75" customHeight="1"/>
    <row r="625" customFormat="1" ht="15.75" customHeight="1"/>
    <row r="626" customFormat="1" ht="15.75" customHeight="1"/>
    <row r="627" customFormat="1" ht="15.75" customHeight="1"/>
    <row r="628" customFormat="1" ht="15.75" customHeight="1"/>
    <row r="629" customFormat="1" ht="15.75" customHeight="1"/>
    <row r="630" customFormat="1" ht="15.75" customHeight="1"/>
    <row r="631" customFormat="1" ht="15.75" customHeight="1"/>
    <row r="632" customFormat="1" ht="15.75" customHeight="1"/>
    <row r="633" customFormat="1" ht="15.75" customHeight="1"/>
    <row r="634" customFormat="1" ht="15.75" customHeight="1"/>
    <row r="635" customFormat="1" ht="15.75" customHeight="1"/>
    <row r="636" customFormat="1" ht="15.75" customHeight="1"/>
    <row r="637" customFormat="1" ht="15.75" customHeight="1"/>
    <row r="638" customFormat="1" ht="15.75" customHeight="1"/>
    <row r="639" customFormat="1" ht="15.75" customHeight="1"/>
    <row r="640" customFormat="1" ht="15.75" customHeight="1"/>
    <row r="641" customFormat="1" ht="15.75" customHeight="1"/>
    <row r="642" customFormat="1" ht="15.75" customHeight="1"/>
    <row r="643" customFormat="1" ht="15.75" customHeight="1"/>
    <row r="644" customFormat="1" ht="15.75" customHeight="1"/>
    <row r="645" customFormat="1" ht="15.75" customHeight="1"/>
    <row r="646" customFormat="1" ht="15.75" customHeight="1"/>
    <row r="647" customFormat="1" ht="15.75" customHeight="1"/>
    <row r="648" customFormat="1" ht="15.75" customHeight="1"/>
    <row r="649" customFormat="1" ht="15.75" customHeight="1"/>
    <row r="650" customFormat="1" ht="15.75" customHeight="1"/>
    <row r="651" customFormat="1" ht="15.75" customHeight="1"/>
    <row r="652" customFormat="1" ht="15.75" customHeight="1"/>
    <row r="653" customFormat="1" ht="15.75" customHeight="1"/>
    <row r="654" customFormat="1" ht="15.75" customHeight="1"/>
    <row r="655" customFormat="1" ht="15.75" customHeight="1"/>
    <row r="656" customFormat="1" ht="15.75" customHeight="1"/>
    <row r="657" customFormat="1" ht="15.75" customHeight="1"/>
    <row r="658" customFormat="1" ht="15.75" customHeight="1"/>
    <row r="659" customFormat="1" ht="15.75" customHeight="1"/>
    <row r="660" customFormat="1" ht="15.75" customHeight="1"/>
    <row r="661" customFormat="1" ht="15.75" customHeight="1"/>
    <row r="662" customFormat="1" ht="15.75" customHeight="1"/>
    <row r="663" customFormat="1" ht="15.75" customHeight="1"/>
    <row r="664" customFormat="1" ht="15.75" customHeight="1"/>
    <row r="665" customFormat="1" ht="15.75" customHeight="1"/>
    <row r="666" customFormat="1" ht="15.75" customHeight="1"/>
    <row r="667" customFormat="1" ht="15.75" customHeight="1"/>
    <row r="668" customFormat="1" ht="15.75" customHeight="1"/>
    <row r="669" customFormat="1" ht="15.75" customHeight="1"/>
    <row r="670" customFormat="1" ht="15.75" customHeight="1"/>
    <row r="671" customFormat="1" ht="15.75" customHeight="1"/>
    <row r="672" customFormat="1" ht="15.75" customHeight="1"/>
    <row r="673" customFormat="1" ht="15.75" customHeight="1"/>
    <row r="674" customFormat="1" ht="15.75" customHeight="1"/>
    <row r="675" customFormat="1" ht="15.75" customHeight="1"/>
    <row r="676" customFormat="1" ht="15.75" customHeight="1"/>
    <row r="677" customFormat="1" ht="15.75" customHeight="1"/>
    <row r="678" customFormat="1" ht="15.75" customHeight="1"/>
    <row r="679" customFormat="1" ht="15.75" customHeight="1"/>
    <row r="680" customFormat="1" ht="15.75" customHeight="1"/>
    <row r="681" customFormat="1" ht="15.75" customHeight="1"/>
    <row r="682" customFormat="1" ht="15.75" customHeight="1"/>
    <row r="683" customFormat="1" ht="15.75" customHeight="1"/>
    <row r="684" customFormat="1" ht="15.75" customHeight="1"/>
    <row r="685" customFormat="1" ht="15.75" customHeight="1"/>
    <row r="686" customFormat="1" ht="15.75" customHeight="1"/>
    <row r="687" customFormat="1" ht="15.75" customHeight="1"/>
    <row r="688" customFormat="1" ht="15.75" customHeight="1"/>
    <row r="689" customFormat="1" ht="15.75" customHeight="1"/>
    <row r="690" customFormat="1" ht="15.75" customHeight="1"/>
    <row r="691" customFormat="1" ht="15.75" customHeight="1"/>
    <row r="692" customFormat="1" ht="15.75" customHeight="1"/>
    <row r="693" customFormat="1" ht="15.75" customHeight="1"/>
    <row r="694" customFormat="1" ht="15.75" customHeight="1"/>
    <row r="695" customFormat="1" ht="15.75" customHeight="1"/>
    <row r="696" customFormat="1" ht="15.75" customHeight="1"/>
    <row r="697" customFormat="1" ht="15.75" customHeight="1"/>
    <row r="698" customFormat="1" ht="15.75" customHeight="1"/>
    <row r="699" customFormat="1" ht="15.75" customHeight="1"/>
    <row r="700" customFormat="1" ht="15.75" customHeight="1"/>
    <row r="701" customFormat="1" ht="15.75" customHeight="1"/>
    <row r="702" customFormat="1" ht="15.75" customHeight="1"/>
    <row r="703" customFormat="1" ht="15.75" customHeight="1"/>
    <row r="704" customFormat="1" ht="15.75" customHeight="1"/>
    <row r="705" customFormat="1" ht="15.75" customHeight="1"/>
    <row r="706" customFormat="1" ht="15.75" customHeight="1"/>
    <row r="707" customFormat="1" ht="15.75" customHeight="1"/>
    <row r="708" customFormat="1" ht="15.75" customHeight="1"/>
    <row r="709" customFormat="1" ht="15.75" customHeight="1"/>
    <row r="710" customFormat="1" ht="15.75" customHeight="1"/>
    <row r="711" customFormat="1" ht="15.75" customHeight="1"/>
    <row r="712" customFormat="1" ht="15.75" customHeight="1"/>
    <row r="713" customFormat="1" ht="15.75" customHeight="1"/>
    <row r="714" customFormat="1" ht="15.75" customHeight="1"/>
    <row r="715" customFormat="1" ht="15.75" customHeight="1"/>
    <row r="716" customFormat="1" ht="15.75" customHeight="1"/>
    <row r="717" customFormat="1" ht="15.75" customHeight="1"/>
    <row r="718" customFormat="1" ht="15.75" customHeight="1"/>
    <row r="719" customFormat="1" ht="15.75" customHeight="1"/>
    <row r="720" customFormat="1" ht="15.75" customHeight="1"/>
    <row r="721" customFormat="1" ht="15.75" customHeight="1"/>
    <row r="722" customFormat="1" ht="15.75" customHeight="1"/>
    <row r="723" customFormat="1" ht="15.75" customHeight="1"/>
    <row r="724" customFormat="1" ht="15.75" customHeight="1"/>
    <row r="725" customFormat="1" ht="15.75" customHeight="1"/>
    <row r="726" customFormat="1" ht="15.75" customHeight="1"/>
    <row r="727" customFormat="1" ht="15.75" customHeight="1"/>
    <row r="728" customFormat="1" ht="15.75" customHeight="1"/>
    <row r="729" customFormat="1" ht="15.75" customHeight="1"/>
    <row r="730" customFormat="1" ht="15.75" customHeight="1"/>
    <row r="731" customFormat="1" ht="15.75" customHeight="1"/>
    <row r="732" customFormat="1" ht="15.75" customHeight="1"/>
    <row r="733" customFormat="1" ht="15.75" customHeight="1"/>
    <row r="734" customFormat="1" ht="15.75" customHeight="1"/>
    <row r="735" customFormat="1" ht="15.75" customHeight="1"/>
    <row r="736" customFormat="1" ht="15.75" customHeight="1"/>
    <row r="737" customFormat="1" ht="15.75" customHeight="1"/>
    <row r="738" customFormat="1" ht="15.75" customHeight="1"/>
    <row r="739" customFormat="1" ht="15.75" customHeight="1"/>
    <row r="740" customFormat="1" ht="15.75" customHeight="1"/>
    <row r="741" customFormat="1" ht="15.75" customHeight="1"/>
    <row r="742" customFormat="1" ht="15.75" customHeight="1"/>
    <row r="743" customFormat="1" ht="15.75" customHeight="1"/>
    <row r="744" customFormat="1" ht="15.75" customHeight="1"/>
    <row r="745" customFormat="1" ht="15.75" customHeight="1"/>
    <row r="746" customFormat="1" ht="15.75" customHeight="1"/>
    <row r="747" customFormat="1" ht="15.75" customHeight="1"/>
    <row r="748" customFormat="1" ht="15.75" customHeight="1"/>
    <row r="749" customFormat="1" ht="15.75" customHeight="1"/>
    <row r="750" customFormat="1" ht="15.75" customHeight="1"/>
    <row r="751" customFormat="1" ht="15.75" customHeight="1"/>
    <row r="752" customFormat="1" ht="15.75" customHeight="1"/>
    <row r="753" customFormat="1" ht="15.75" customHeight="1"/>
    <row r="754" customFormat="1" ht="15.75" customHeight="1"/>
    <row r="755" customFormat="1" ht="15.75" customHeight="1"/>
    <row r="756" customFormat="1" ht="15.75" customHeight="1"/>
    <row r="757" customFormat="1" ht="15.75" customHeight="1"/>
    <row r="758" customFormat="1" ht="15.75" customHeight="1"/>
    <row r="759" customFormat="1" ht="15.75" customHeight="1"/>
    <row r="760" customFormat="1" ht="15.75" customHeight="1"/>
    <row r="761" customFormat="1" ht="15.75" customHeight="1"/>
    <row r="762" customFormat="1" ht="15.75" customHeight="1"/>
    <row r="763" customFormat="1" ht="15.75" customHeight="1"/>
    <row r="764" customFormat="1" ht="15.75" customHeight="1"/>
    <row r="765" customFormat="1" ht="15.75" customHeight="1"/>
    <row r="766" customFormat="1" ht="15.75" customHeight="1"/>
    <row r="767" customFormat="1" ht="15.75" customHeight="1"/>
    <row r="768" customFormat="1" ht="15.75" customHeight="1"/>
    <row r="769" customFormat="1" ht="15.75" customHeight="1"/>
    <row r="770" customFormat="1" ht="15.75" customHeight="1"/>
    <row r="771" customFormat="1" ht="15.75" customHeight="1"/>
    <row r="772" customFormat="1" ht="15.75" customHeight="1"/>
    <row r="773" customFormat="1" ht="15.75" customHeight="1"/>
    <row r="774" customFormat="1" ht="15.75" customHeight="1"/>
    <row r="775" customFormat="1" ht="15.75" customHeight="1"/>
    <row r="776" customFormat="1" ht="15.75" customHeight="1"/>
    <row r="777" customFormat="1" ht="15.75" customHeight="1"/>
    <row r="778" customFormat="1" ht="15.75" customHeight="1"/>
    <row r="779" customFormat="1" ht="15.75" customHeight="1"/>
    <row r="780" customFormat="1" ht="15.75" customHeight="1"/>
    <row r="781" customFormat="1" ht="15.75" customHeight="1"/>
    <row r="782" customFormat="1" ht="15.75" customHeight="1"/>
    <row r="783" customFormat="1" ht="15.75" customHeight="1"/>
    <row r="784" customFormat="1" ht="15.75" customHeight="1"/>
    <row r="785" customFormat="1" ht="15.75" customHeight="1"/>
    <row r="786" customFormat="1" ht="15.75" customHeight="1"/>
    <row r="787" customFormat="1" ht="15.75" customHeight="1"/>
    <row r="788" customFormat="1" ht="15.75" customHeight="1"/>
    <row r="789" customFormat="1" ht="15.75" customHeight="1"/>
    <row r="790" customFormat="1" ht="15.75" customHeight="1"/>
    <row r="791" customFormat="1" ht="15.75" customHeight="1"/>
    <row r="792" customFormat="1" ht="15.75" customHeight="1"/>
    <row r="793" customFormat="1" ht="15.75" customHeight="1"/>
    <row r="794" customFormat="1" ht="15.75" customHeight="1"/>
    <row r="795" customFormat="1" ht="15.75" customHeight="1"/>
    <row r="796" customFormat="1" ht="15.75" customHeight="1"/>
    <row r="797" customFormat="1" ht="15.75" customHeight="1"/>
    <row r="798" customFormat="1" ht="15.75" customHeight="1"/>
    <row r="799" customFormat="1" ht="15.75" customHeight="1"/>
    <row r="800" customFormat="1" ht="15.75" customHeight="1"/>
    <row r="801" customFormat="1" ht="15.75" customHeight="1"/>
    <row r="802" customFormat="1" ht="15.75" customHeight="1"/>
    <row r="803" customFormat="1" ht="15.75" customHeight="1"/>
    <row r="804" customFormat="1" ht="15.75" customHeight="1"/>
    <row r="805" customFormat="1" ht="15.75" customHeight="1"/>
    <row r="806" customFormat="1" ht="15.75" customHeight="1"/>
    <row r="807" customFormat="1" ht="15.75" customHeight="1"/>
    <row r="808" customFormat="1" ht="15.75" customHeight="1"/>
    <row r="809" customFormat="1" ht="15.75" customHeight="1"/>
    <row r="810" customFormat="1" ht="15.75" customHeight="1"/>
    <row r="811" customFormat="1" ht="15.75" customHeight="1"/>
    <row r="812" customFormat="1" ht="15.75" customHeight="1"/>
    <row r="813" customFormat="1" ht="15.75" customHeight="1"/>
    <row r="814" customFormat="1" ht="15.75" customHeight="1"/>
    <row r="815" customFormat="1" ht="15.75" customHeight="1"/>
    <row r="816" customFormat="1" ht="15.75" customHeight="1"/>
    <row r="817" customFormat="1" ht="15.75" customHeight="1"/>
    <row r="818" customFormat="1" ht="15.75" customHeight="1"/>
    <row r="819" customFormat="1" ht="15.75" customHeight="1"/>
    <row r="820" customFormat="1" ht="15.75" customHeight="1"/>
    <row r="821" customFormat="1" ht="15.75" customHeight="1"/>
    <row r="822" customFormat="1" ht="15.75" customHeight="1"/>
    <row r="823" customFormat="1" ht="15.75" customHeight="1"/>
    <row r="824" customFormat="1" ht="15.75" customHeight="1"/>
    <row r="825" customFormat="1" ht="15.75" customHeight="1"/>
    <row r="826" customFormat="1" ht="15.75" customHeight="1"/>
    <row r="827" customFormat="1" ht="15.75" customHeight="1"/>
    <row r="828" customFormat="1" ht="15.75" customHeight="1"/>
    <row r="829" customFormat="1" ht="15.75" customHeight="1"/>
    <row r="830" customFormat="1" ht="15.75" customHeight="1"/>
    <row r="831" customFormat="1" ht="15.75" customHeight="1"/>
    <row r="832" customFormat="1" ht="15.75" customHeight="1"/>
    <row r="833" customFormat="1" ht="15.75" customHeight="1"/>
    <row r="834" customFormat="1" ht="15.75" customHeight="1"/>
    <row r="835" customFormat="1" ht="15.75" customHeight="1"/>
    <row r="836" customFormat="1" ht="15.75" customHeight="1"/>
    <row r="837" customFormat="1" ht="15.75" customHeight="1"/>
    <row r="838" customFormat="1" ht="15.75" customHeight="1"/>
    <row r="839" customFormat="1" ht="15.75" customHeight="1"/>
    <row r="840" customFormat="1" ht="15.75" customHeight="1"/>
    <row r="841" customFormat="1" ht="15.75" customHeight="1"/>
    <row r="842" customFormat="1" ht="15.75" customHeight="1"/>
    <row r="843" customFormat="1" ht="15.75" customHeight="1"/>
    <row r="844" customFormat="1" ht="15.75" customHeight="1"/>
    <row r="845" customFormat="1" ht="15.75" customHeight="1"/>
    <row r="846" customFormat="1" ht="15.75" customHeight="1"/>
    <row r="847" customFormat="1" ht="15.75" customHeight="1"/>
    <row r="848" customFormat="1" ht="15.75" customHeight="1"/>
    <row r="849" customFormat="1" ht="15.75" customHeight="1"/>
    <row r="850" customFormat="1" ht="15.75" customHeight="1"/>
    <row r="851" customFormat="1" ht="15.75" customHeight="1"/>
    <row r="852" customFormat="1" ht="15.75" customHeight="1"/>
    <row r="853" customFormat="1" ht="15.75" customHeight="1"/>
    <row r="854" customFormat="1" ht="15.75" customHeight="1"/>
    <row r="855" customFormat="1" ht="15.75" customHeight="1"/>
    <row r="856" customFormat="1" ht="15.75" customHeight="1"/>
    <row r="857" customFormat="1" ht="15.75" customHeight="1"/>
    <row r="858" customFormat="1" ht="15.75" customHeight="1"/>
    <row r="859" customFormat="1" ht="15.75" customHeight="1"/>
    <row r="860" customFormat="1" ht="15.75" customHeight="1"/>
    <row r="861" customFormat="1" ht="15.75" customHeight="1"/>
    <row r="862" customFormat="1" ht="15.75" customHeight="1"/>
    <row r="863" customFormat="1" ht="15.75" customHeight="1"/>
    <row r="864" customFormat="1" ht="15.75" customHeight="1"/>
    <row r="865" customFormat="1" ht="15.75" customHeight="1"/>
    <row r="866" customFormat="1" ht="15.75" customHeight="1"/>
    <row r="867" customFormat="1" ht="15.75" customHeight="1"/>
    <row r="868" customFormat="1" ht="15.75" customHeight="1"/>
    <row r="869" customFormat="1" ht="15.75" customHeight="1"/>
    <row r="870" customFormat="1" ht="15.75" customHeight="1"/>
    <row r="871" customFormat="1" ht="15.75" customHeight="1"/>
    <row r="872" customFormat="1" ht="15.75" customHeight="1"/>
    <row r="873" customFormat="1" ht="15.75" customHeight="1"/>
    <row r="874" customFormat="1" ht="15.75" customHeight="1"/>
    <row r="875" customFormat="1" ht="15.75" customHeight="1"/>
    <row r="876" customFormat="1" ht="15.75" customHeight="1"/>
    <row r="877" customFormat="1" ht="15.75" customHeight="1"/>
    <row r="878" customFormat="1" ht="15.75" customHeight="1"/>
    <row r="879" customFormat="1" ht="15.75" customHeight="1"/>
    <row r="880" customFormat="1" ht="15.75" customHeight="1"/>
    <row r="881" customFormat="1" ht="15.75" customHeight="1"/>
    <row r="882" customFormat="1" ht="15.75" customHeight="1"/>
    <row r="883" customFormat="1" ht="15.75" customHeight="1"/>
    <row r="884" customFormat="1" ht="15.75" customHeight="1"/>
    <row r="885" customFormat="1" ht="15.75" customHeight="1"/>
    <row r="886" customFormat="1" ht="15.75" customHeight="1"/>
    <row r="887" customFormat="1" ht="15.75" customHeight="1"/>
    <row r="888" customFormat="1" ht="15.75" customHeight="1"/>
    <row r="889" customFormat="1" ht="15.75" customHeight="1"/>
    <row r="890" customFormat="1" ht="15.75" customHeight="1"/>
    <row r="891" customFormat="1" ht="15.75" customHeight="1"/>
    <row r="892" customFormat="1" ht="15.75" customHeight="1"/>
    <row r="893" customFormat="1" ht="15.75" customHeight="1"/>
    <row r="894" customFormat="1" ht="15.75" customHeight="1"/>
    <row r="895" customFormat="1" ht="15.75" customHeight="1"/>
    <row r="896" customFormat="1" ht="15.75" customHeight="1"/>
    <row r="897" customFormat="1" ht="15.75" customHeight="1"/>
    <row r="898" customFormat="1" ht="15.75" customHeight="1"/>
    <row r="899" customFormat="1" ht="15.75" customHeight="1"/>
    <row r="900" customFormat="1" ht="15.75" customHeight="1"/>
    <row r="901" customFormat="1" ht="15.75" customHeight="1"/>
    <row r="902" customFormat="1" ht="15.75" customHeight="1"/>
    <row r="903" customFormat="1" ht="15.75" customHeight="1"/>
    <row r="904" customFormat="1" ht="15.75" customHeight="1"/>
    <row r="905" customFormat="1" ht="15.75" customHeight="1"/>
    <row r="906" customFormat="1" ht="15.75" customHeight="1"/>
    <row r="907" customFormat="1" ht="15.75" customHeight="1"/>
    <row r="908" customFormat="1" ht="15.75" customHeight="1"/>
    <row r="909" customFormat="1" ht="15.75" customHeight="1"/>
    <row r="910" customFormat="1" ht="15.75" customHeight="1"/>
    <row r="911" customFormat="1" ht="15.75" customHeight="1"/>
    <row r="912" customFormat="1" ht="15.75" customHeight="1"/>
    <row r="913" customFormat="1" ht="15.75" customHeight="1"/>
    <row r="914" customFormat="1" ht="15.75" customHeight="1"/>
    <row r="915" customFormat="1" ht="15.75" customHeight="1"/>
    <row r="916" customFormat="1" ht="15.75" customHeight="1"/>
    <row r="917" customFormat="1" ht="15.75" customHeight="1"/>
    <row r="918" customFormat="1" ht="15.75" customHeight="1"/>
    <row r="919" customFormat="1" ht="15.75" customHeight="1"/>
    <row r="920" customFormat="1" ht="15.75" customHeight="1"/>
    <row r="921" customFormat="1" ht="15.75" customHeight="1"/>
    <row r="922" customFormat="1" ht="15.75" customHeight="1"/>
    <row r="923" customFormat="1" ht="15.75" customHeight="1"/>
    <row r="924" customFormat="1" ht="15.75" customHeight="1"/>
    <row r="925" customFormat="1" ht="15.75" customHeight="1"/>
    <row r="926" customFormat="1" ht="15.75" customHeight="1"/>
    <row r="927" customFormat="1" ht="15.75" customHeight="1"/>
    <row r="928" customFormat="1" ht="15.75" customHeight="1"/>
    <row r="929" customFormat="1" ht="15.75" customHeight="1"/>
    <row r="930" customFormat="1" ht="15.75" customHeight="1"/>
    <row r="931" customFormat="1" ht="15.75" customHeight="1"/>
    <row r="932" customFormat="1" ht="15.75" customHeight="1"/>
    <row r="933" customFormat="1" ht="15.75" customHeight="1"/>
    <row r="934" customFormat="1" ht="15.75" customHeight="1"/>
    <row r="935" customFormat="1" ht="15.75" customHeight="1"/>
    <row r="936" customFormat="1" ht="15.75" customHeight="1"/>
    <row r="937" customFormat="1" ht="15.75" customHeight="1"/>
    <row r="938" customFormat="1" ht="15.75" customHeight="1"/>
    <row r="939" customFormat="1" ht="15.75" customHeight="1"/>
    <row r="940" customFormat="1" ht="15.75" customHeight="1"/>
    <row r="941" customFormat="1" ht="15.75" customHeight="1"/>
    <row r="942" customFormat="1" ht="15.75" customHeight="1"/>
    <row r="943" customFormat="1" ht="15.75" customHeight="1"/>
    <row r="944" customFormat="1" ht="15.75" customHeight="1"/>
    <row r="945" customFormat="1" ht="15.75" customHeight="1"/>
    <row r="946" customFormat="1" ht="15.75" customHeight="1"/>
    <row r="947" customFormat="1" ht="15.75" customHeight="1"/>
    <row r="948" customFormat="1" ht="15.75" customHeight="1"/>
    <row r="949" customFormat="1" ht="15.75" customHeight="1"/>
    <row r="950" customFormat="1" ht="15.75" customHeight="1"/>
    <row r="951" customFormat="1" ht="15.75" customHeight="1"/>
    <row r="952" customFormat="1" ht="15.75" customHeight="1"/>
    <row r="953" customFormat="1" ht="15.75" customHeight="1"/>
    <row r="954" customFormat="1" ht="15.75" customHeight="1"/>
    <row r="955" customFormat="1" ht="15.75" customHeight="1"/>
    <row r="956" customFormat="1" ht="15.75" customHeight="1"/>
    <row r="957" customFormat="1" ht="15.75" customHeight="1"/>
    <row r="958" customFormat="1" ht="15.75" customHeight="1"/>
    <row r="959" customFormat="1" ht="15.75" customHeight="1"/>
    <row r="960" customFormat="1" ht="15.75" customHeight="1"/>
    <row r="961" customFormat="1" ht="15.75" customHeight="1"/>
    <row r="962" customFormat="1" ht="15.75" customHeight="1"/>
    <row r="963" customFormat="1" ht="15.75" customHeight="1"/>
    <row r="964" customFormat="1" ht="15.75" customHeight="1"/>
    <row r="965" customFormat="1" ht="15.75" customHeight="1"/>
    <row r="966" customFormat="1" ht="15.75" customHeight="1"/>
    <row r="967" customFormat="1" ht="15.75" customHeight="1"/>
    <row r="968" customFormat="1" ht="15.75" customHeight="1"/>
    <row r="969" customFormat="1" ht="15.75" customHeight="1"/>
    <row r="970" customFormat="1" ht="15.75" customHeight="1"/>
    <row r="971" customFormat="1" ht="15.75" customHeight="1"/>
    <row r="972" customFormat="1" ht="15.75" customHeight="1"/>
    <row r="973" customFormat="1" ht="15.75" customHeight="1"/>
    <row r="974" customFormat="1" ht="15.75" customHeight="1"/>
    <row r="975" customFormat="1" ht="15.75" customHeight="1"/>
    <row r="976" customFormat="1" ht="15.75" customHeight="1"/>
    <row r="977" customFormat="1" ht="15.75" customHeight="1"/>
    <row r="978" customFormat="1" ht="15.75" customHeight="1"/>
    <row r="979" customFormat="1" ht="15.75" customHeight="1"/>
    <row r="980" customFormat="1" ht="15.75" customHeight="1"/>
    <row r="981" customFormat="1" ht="15.75" customHeight="1"/>
  </sheetData>
  <sheetProtection algorithmName="SHA-512" hashValue="JQYtqwqNGammUZPHjSVRXNGoXiqLdBOBUnADyg+VVJy9UxRP1rossLY1G+ZlPbXQSfQRt90kq6QtnbZGK99gHw==" saltValue="aDjygpsRs1NepsUEae3IVA==" spinCount="100000" sheet="1" objects="1" scenarios="1"/>
  <mergeCells count="79">
    <mergeCell ref="A6:AB6"/>
    <mergeCell ref="BZ38:CA38"/>
    <mergeCell ref="B58:D58"/>
    <mergeCell ref="F36:AI36"/>
    <mergeCell ref="A48:A49"/>
    <mergeCell ref="A50:A51"/>
    <mergeCell ref="A53:A56"/>
    <mergeCell ref="A58:A59"/>
    <mergeCell ref="A36:A38"/>
    <mergeCell ref="B36:B38"/>
    <mergeCell ref="C36:E37"/>
    <mergeCell ref="A39:A41"/>
    <mergeCell ref="A42:A43"/>
    <mergeCell ref="AT36:AU37"/>
    <mergeCell ref="AV36:AW37"/>
    <mergeCell ref="F37:G37"/>
    <mergeCell ref="AJ36:AS37"/>
    <mergeCell ref="AH37:AI37"/>
    <mergeCell ref="CM9:CM11"/>
    <mergeCell ref="AA10:AB10"/>
    <mergeCell ref="AC10:AD10"/>
    <mergeCell ref="CK9:CK11"/>
    <mergeCell ref="CL9:CL11"/>
    <mergeCell ref="AO9:AO11"/>
    <mergeCell ref="AQ9:AQ11"/>
    <mergeCell ref="AR9:AR11"/>
    <mergeCell ref="AP9:AP11"/>
    <mergeCell ref="Z37:AA37"/>
    <mergeCell ref="K10:L10"/>
    <mergeCell ref="M10:N10"/>
    <mergeCell ref="O10:P10"/>
    <mergeCell ref="AB37:AC37"/>
    <mergeCell ref="AD37:AE37"/>
    <mergeCell ref="R37:S37"/>
    <mergeCell ref="T37:U37"/>
    <mergeCell ref="V37:W37"/>
    <mergeCell ref="X37:Y37"/>
    <mergeCell ref="J37:K37"/>
    <mergeCell ref="L37:M37"/>
    <mergeCell ref="N37:O37"/>
    <mergeCell ref="P37:Q37"/>
    <mergeCell ref="A8:C8"/>
    <mergeCell ref="A9:C11"/>
    <mergeCell ref="D9:F10"/>
    <mergeCell ref="G9:AN9"/>
    <mergeCell ref="AG10:AH10"/>
    <mergeCell ref="AI10:AJ10"/>
    <mergeCell ref="AM10:AN10"/>
    <mergeCell ref="AE10:AF10"/>
    <mergeCell ref="AK10:AL10"/>
    <mergeCell ref="Q10:R10"/>
    <mergeCell ref="S10:T10"/>
    <mergeCell ref="U10:V10"/>
    <mergeCell ref="W10:X10"/>
    <mergeCell ref="Y10:Z10"/>
    <mergeCell ref="G10:H10"/>
    <mergeCell ref="I10:J10"/>
    <mergeCell ref="A12:A23"/>
    <mergeCell ref="B12:B13"/>
    <mergeCell ref="B14:B23"/>
    <mergeCell ref="A24:A34"/>
    <mergeCell ref="B24:B29"/>
    <mergeCell ref="B30:B34"/>
    <mergeCell ref="A66:A67"/>
    <mergeCell ref="A69:A71"/>
    <mergeCell ref="B69:G69"/>
    <mergeCell ref="H69:K69"/>
    <mergeCell ref="B70:C70"/>
    <mergeCell ref="D70:E70"/>
    <mergeCell ref="F70:G70"/>
    <mergeCell ref="H70:I70"/>
    <mergeCell ref="J70:K70"/>
    <mergeCell ref="E58:F58"/>
    <mergeCell ref="A60:A61"/>
    <mergeCell ref="A62:A63"/>
    <mergeCell ref="A64:A65"/>
    <mergeCell ref="AF37:AG37"/>
    <mergeCell ref="A44:A47"/>
    <mergeCell ref="H37:I37"/>
  </mergeCells>
  <dataValidations count="5">
    <dataValidation allowBlank="1" prompt="Valor no Permitido" sqref="CJ9:CK11 BB27:BZ34 BA1:XFD7 CO8:XFD8 G37:AI37 BA12:BZ26 A12 C24:C34 CB39:CB51 G7:AP11 CF10:CK11 B7:C7 AS1:AZ34 D7:F35 A35:C35 B39:B41 AJ36 AQ7:AR8 B52:F52 C38:E51 F38:AW38 B36:C36 BE54:XFD56 J54:BD55 K52:XFD53 AX36:BV37 A102:B1048576 AX38:BT51 L76:XFD1048576 A24 AV36 F36:F37 BU39:BV51 AT36 CG39:CG51 G35:CD35 CB38:CL38 BA8:CL8 BX36:CB37 BA9:CC11 CF9:CI9 BV38:BZ38 C75:K1048576 A75:B100 A5:A9 B1:AR5 B44:B51 CD36:CL37 CE12:CM35 CQ9:XFD35 CP36:XFD38 CQ39:XFD51 CK39:CK51" xr:uid="{00000000-0002-0000-1A00-000000000000}"/>
    <dataValidation type="whole" operator="greaterThanOrEqual" allowBlank="1" showErrorMessage="1" error="Sólo ingrese números enteros." prompt="Valor no Permitido" sqref="G12:AR34" xr:uid="{00CC009A-009C-4DCD-9EE1-004100070017}">
      <formula1>0</formula1>
    </dataValidation>
    <dataValidation type="whole" allowBlank="1" showInputMessage="1" showErrorMessage="1" sqref="C54:D55 B72:K73 D60:D67 F60:F67" xr:uid="{0068009E-00B3-4ACB-ACD0-003E00FD0065}">
      <formula1>0</formula1>
      <formula2>9.99999999999999E+43</formula2>
    </dataValidation>
    <dataValidation type="whole" allowBlank="1" showInputMessage="1" showErrorMessage="1" sqref="F39:AW51" xr:uid="{00A5008E-0037-4212-972F-00CC00BE001B}">
      <formula1>0</formula1>
      <formula2>9.99999999999999E+39</formula2>
    </dataValidation>
    <dataValidation type="whole" operator="equal" allowBlank="1" showInputMessage="1" showErrorMessage="1" sqref="C60:C67 E60:E67" xr:uid="{005F009F-00EC-4C89-8B30-00B1003400C2}">
      <formula1>0</formula1>
    </dataValidation>
  </dataValidations>
  <pageMargins left="0.7" right="0.7" top="0.75" bottom="0.75" header="0.3" footer="0.3"/>
  <pageSetup paperSize="9" orientation="portrait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Hoja30"/>
  <dimension ref="A1:CI150"/>
  <sheetViews>
    <sheetView showGridLines="0" workbookViewId="0"/>
  </sheetViews>
  <sheetFormatPr baseColWidth="10" defaultColWidth="11.42578125" defaultRowHeight="15"/>
  <cols>
    <col min="1" max="1" width="34.42578125" customWidth="1"/>
    <col min="2" max="2" width="23.140625" customWidth="1"/>
    <col min="3" max="3" width="15.7109375" customWidth="1"/>
    <col min="4" max="4" width="17.28515625" customWidth="1"/>
    <col min="10" max="10" width="12.7109375" customWidth="1"/>
    <col min="26" max="40" width="11.42578125" style="2549"/>
    <col min="41" max="41" width="10" style="2549" customWidth="1"/>
    <col min="42" max="43" width="11.42578125" style="2549"/>
    <col min="44" max="44" width="7.85546875" style="2549" customWidth="1"/>
    <col min="45" max="47" width="11.42578125" style="2549"/>
    <col min="52" max="52" width="11.42578125" style="2549"/>
    <col min="78" max="78" width="11.42578125" customWidth="1"/>
    <col min="79" max="79" width="11.42578125" hidden="1" customWidth="1"/>
    <col min="80" max="82" width="11.42578125" style="2549" hidden="1" customWidth="1"/>
    <col min="83" max="87" width="11.42578125" hidden="1" customWidth="1"/>
  </cols>
  <sheetData>
    <row r="1" spans="1:87" s="2549" customFormat="1">
      <c r="A1" s="378" t="s">
        <v>37</v>
      </c>
      <c r="B1" s="5490"/>
    </row>
    <row r="2" spans="1:87" s="2549" customFormat="1">
      <c r="A2" s="378" t="str">
        <f>CONCATENATE("COMUNA: ",NOMBRE!B2, " (",NOMBRE!C2,NOMBRE!D2,NOMBRE!E2,NOMBRE!F2,NOMBRE!G2,")")</f>
        <v>COMUNA: MAIPU (13119)</v>
      </c>
      <c r="B2" s="5490"/>
    </row>
    <row r="3" spans="1:87" s="2549" customFormat="1">
      <c r="A3" s="378" t="str">
        <f>CONCATENATE("ESTABLECIMIENTO/ESTRATEGIA: ", NOMBRE!B3, " (",NOMBRE!C3,NOMBRE!D3,NOMBRE!E3,NOMBRE!F3,NOMBRE!G3,NOMBRE!H3,")")</f>
        <v>ESTABLECIMIENTO/ESTRATEGIA: CESFAM DR. CARLOS GODOY (111380)</v>
      </c>
      <c r="B3" s="5490"/>
    </row>
    <row r="4" spans="1:87" s="2549" customFormat="1">
      <c r="A4" s="378" t="str">
        <f>CONCATENATE("MES: ",NOMBRE!B6, " (",NOMBRE!C6,NOMBRE!D6,")")</f>
        <v>MES: MARZO (03)</v>
      </c>
      <c r="B4" s="5490"/>
    </row>
    <row r="5" spans="1:87" s="2549" customFormat="1">
      <c r="A5" s="5490" t="str">
        <f>CONCATENATE("AÑO: ",NOMBRE!B7)</f>
        <v>AÑO: 2026</v>
      </c>
      <c r="B5" s="5490"/>
    </row>
    <row r="6" spans="1:87" s="2549" customFormat="1">
      <c r="A6" s="7370" t="s">
        <v>4350</v>
      </c>
      <c r="B6" s="7370"/>
      <c r="C6" s="7370"/>
      <c r="D6" s="7370"/>
      <c r="E6" s="7370"/>
      <c r="F6" s="7370"/>
      <c r="G6" s="7370"/>
      <c r="H6" s="7370"/>
      <c r="I6" s="7370"/>
      <c r="J6" s="7370"/>
      <c r="K6" s="7370"/>
      <c r="L6" s="7370"/>
      <c r="M6" s="7370"/>
      <c r="N6" s="7370"/>
      <c r="O6" s="7370"/>
      <c r="P6" s="7370"/>
      <c r="Q6" s="7370"/>
      <c r="R6" s="7370"/>
      <c r="S6" s="7370"/>
      <c r="T6" s="7370"/>
      <c r="U6" s="7370"/>
      <c r="V6" s="7370"/>
      <c r="W6" s="7370"/>
    </row>
    <row r="7" spans="1:87" s="2549" customFormat="1"/>
    <row r="8" spans="1:87" s="2549" customFormat="1" ht="17.100000000000001" customHeight="1">
      <c r="A8" s="5491" t="s">
        <v>4351</v>
      </c>
      <c r="B8" s="5491"/>
      <c r="C8" s="5492"/>
      <c r="D8" s="5492"/>
      <c r="E8" s="5492"/>
      <c r="F8" s="5492"/>
      <c r="G8" s="5492"/>
      <c r="H8" s="5492"/>
      <c r="I8" s="5492"/>
      <c r="J8" s="5492"/>
      <c r="K8" s="5492"/>
      <c r="L8" s="5492"/>
      <c r="M8" s="5492"/>
      <c r="N8" s="5492"/>
      <c r="O8" s="5492"/>
      <c r="P8" s="5492"/>
      <c r="Q8" s="5492"/>
      <c r="R8" s="5492"/>
      <c r="S8" s="5492"/>
      <c r="T8" s="5492"/>
      <c r="U8" s="5492"/>
      <c r="V8" s="5492"/>
      <c r="W8" s="5492"/>
      <c r="X8" s="5492"/>
      <c r="Y8" s="5492"/>
      <c r="Z8" s="5492"/>
      <c r="AA8" s="5492"/>
      <c r="AB8" s="5492"/>
      <c r="AC8" s="5492"/>
      <c r="AD8" s="5492"/>
      <c r="AE8" s="5492"/>
      <c r="AF8" s="5492"/>
      <c r="AG8" s="5492"/>
      <c r="AH8" s="5492"/>
      <c r="AI8" s="5492"/>
      <c r="AJ8" s="5492"/>
      <c r="AK8" s="5492"/>
      <c r="AL8" s="5492"/>
      <c r="AM8" s="5492"/>
      <c r="AO8" s="5493"/>
      <c r="AP8" s="5493"/>
      <c r="AQ8" s="5493"/>
      <c r="AR8" s="5493"/>
      <c r="AS8" s="5493"/>
      <c r="AT8" s="5493"/>
      <c r="AU8" s="5493"/>
      <c r="AV8" s="5493"/>
      <c r="AW8" s="5493"/>
      <c r="AX8" s="5493"/>
      <c r="AY8" s="5493"/>
      <c r="AZ8" s="5493"/>
      <c r="BA8" s="5493"/>
      <c r="BB8" s="5493"/>
      <c r="BC8" s="5493"/>
      <c r="BD8" s="5493"/>
      <c r="BE8" s="5493"/>
      <c r="BF8" s="5493"/>
      <c r="BG8" s="5493"/>
      <c r="BH8" s="5493"/>
      <c r="BI8" s="5493"/>
      <c r="BJ8" s="5493"/>
      <c r="BK8" s="5493"/>
      <c r="BL8" s="5493"/>
      <c r="BM8" s="5493"/>
      <c r="BN8" s="5493"/>
      <c r="BO8" s="5493"/>
      <c r="BP8" s="5493"/>
      <c r="BQ8" s="5493"/>
      <c r="BR8" s="5493"/>
      <c r="BS8" s="5493"/>
      <c r="BT8" s="5493"/>
      <c r="BU8" s="5493"/>
      <c r="BV8" s="5493"/>
      <c r="BW8" s="5493"/>
      <c r="BX8" s="5493"/>
      <c r="BY8" s="5493"/>
      <c r="BZ8" s="5493"/>
      <c r="CA8" s="5493"/>
      <c r="CB8" s="5493"/>
      <c r="CC8" s="5493"/>
      <c r="CD8" s="5493"/>
      <c r="CE8" s="5493"/>
      <c r="CF8" s="5493"/>
      <c r="CG8" s="5493"/>
      <c r="CH8" s="5493"/>
      <c r="CI8" s="5493"/>
    </row>
    <row r="9" spans="1:87" s="2549" customFormat="1" ht="17.100000000000001" customHeight="1">
      <c r="A9" s="5491" t="s">
        <v>4352</v>
      </c>
      <c r="B9" s="5491"/>
      <c r="C9" s="5493"/>
      <c r="D9" s="5493"/>
      <c r="E9" s="5493"/>
      <c r="F9" s="5493"/>
      <c r="G9" s="5493"/>
      <c r="H9" s="5493"/>
      <c r="I9" s="5493"/>
      <c r="J9" s="5493"/>
      <c r="K9" s="5493"/>
      <c r="L9" s="5493"/>
      <c r="M9" s="5493"/>
      <c r="N9" s="5493"/>
      <c r="O9" s="5493"/>
      <c r="P9" s="5493"/>
      <c r="Q9" s="5493"/>
      <c r="R9" s="5493"/>
      <c r="S9" s="5493"/>
      <c r="T9" s="5493"/>
      <c r="U9" s="5493"/>
      <c r="V9" s="5493"/>
      <c r="W9" s="5493"/>
      <c r="X9" s="5493"/>
      <c r="Y9" s="5493"/>
      <c r="Z9" s="5493"/>
      <c r="AA9" s="5493"/>
      <c r="AB9" s="5493"/>
      <c r="AC9" s="5493"/>
      <c r="AD9" s="5493"/>
      <c r="AE9" s="5493"/>
      <c r="AF9" s="5493"/>
      <c r="AG9" s="5493"/>
      <c r="AH9" s="5493"/>
      <c r="AI9" s="5493"/>
      <c r="AJ9" s="5493"/>
      <c r="AK9" s="5493"/>
      <c r="AL9" s="5493"/>
      <c r="AM9" s="5493"/>
      <c r="AO9" s="3986"/>
      <c r="AP9" s="3986"/>
      <c r="AQ9" s="3986"/>
      <c r="AR9" s="3986"/>
      <c r="AS9" s="3986"/>
      <c r="AT9" s="3986"/>
      <c r="AU9" s="3986"/>
      <c r="AV9" s="3986"/>
      <c r="AW9" s="3986"/>
      <c r="AX9" s="3986"/>
      <c r="AY9" s="3986"/>
      <c r="AZ9" s="3986"/>
      <c r="BA9" s="3986"/>
      <c r="BB9" s="3986"/>
      <c r="BC9" s="3986"/>
      <c r="BD9" s="3986"/>
      <c r="BE9" s="3986"/>
      <c r="BF9" s="3986"/>
      <c r="BG9" s="3986"/>
      <c r="BH9" s="3986"/>
      <c r="BI9" s="3986"/>
      <c r="BJ9" s="3986"/>
      <c r="BK9" s="3986"/>
      <c r="BL9" s="3986"/>
      <c r="BM9" s="3986"/>
      <c r="BN9" s="3986"/>
      <c r="BO9" s="3986"/>
      <c r="BP9" s="3986"/>
      <c r="BQ9" s="3986"/>
      <c r="BR9" s="3986"/>
      <c r="BS9" s="3986"/>
      <c r="BT9" s="3986"/>
      <c r="BU9" s="3986"/>
      <c r="BV9" s="3986"/>
    </row>
    <row r="10" spans="1:87" s="2549" customFormat="1">
      <c r="A10" s="7371" t="s">
        <v>236</v>
      </c>
      <c r="B10" s="7371" t="s">
        <v>41</v>
      </c>
      <c r="C10" s="7351" t="s">
        <v>475</v>
      </c>
      <c r="D10" s="7351"/>
      <c r="E10" s="7351"/>
      <c r="F10" s="7372" t="s">
        <v>115</v>
      </c>
      <c r="G10" s="7372"/>
      <c r="H10" s="7372"/>
      <c r="I10" s="7372"/>
      <c r="J10" s="7372"/>
      <c r="K10" s="7372"/>
      <c r="L10" s="7372"/>
      <c r="M10" s="7372"/>
      <c r="N10" s="7372"/>
      <c r="O10" s="7372"/>
      <c r="P10" s="7372"/>
      <c r="Q10" s="7372"/>
      <c r="R10" s="7372"/>
      <c r="S10" s="7372"/>
      <c r="T10" s="7372"/>
      <c r="U10" s="7372"/>
      <c r="V10" s="7372"/>
      <c r="W10" s="7372"/>
      <c r="X10" s="7372"/>
      <c r="Y10" s="7372"/>
      <c r="Z10" s="7372"/>
      <c r="AA10" s="7372"/>
      <c r="AB10" s="7372"/>
      <c r="AC10" s="7372"/>
      <c r="AD10" s="7372"/>
      <c r="AE10" s="7372"/>
      <c r="AF10" s="7372"/>
      <c r="AG10" s="7372"/>
      <c r="AH10" s="7372"/>
      <c r="AI10" s="7372"/>
      <c r="AJ10" s="7372"/>
      <c r="AK10" s="7372"/>
      <c r="AL10" s="7372"/>
      <c r="AM10" s="7368"/>
      <c r="AN10" s="6054" t="s">
        <v>50</v>
      </c>
    </row>
    <row r="11" spans="1:87" s="2549" customFormat="1" ht="14.25" customHeight="1">
      <c r="A11" s="7371"/>
      <c r="B11" s="7371"/>
      <c r="C11" s="7351"/>
      <c r="D11" s="7351"/>
      <c r="E11" s="7351"/>
      <c r="F11" s="7367" t="s">
        <v>364</v>
      </c>
      <c r="G11" s="7367"/>
      <c r="H11" s="7367" t="s">
        <v>347</v>
      </c>
      <c r="I11" s="7367"/>
      <c r="J11" s="7367" t="s">
        <v>108</v>
      </c>
      <c r="K11" s="7367"/>
      <c r="L11" s="7367" t="s">
        <v>58</v>
      </c>
      <c r="M11" s="7367"/>
      <c r="N11" s="7367" t="s">
        <v>59</v>
      </c>
      <c r="O11" s="7367"/>
      <c r="P11" s="7367" t="s">
        <v>60</v>
      </c>
      <c r="Q11" s="7367"/>
      <c r="R11" s="7367" t="s">
        <v>61</v>
      </c>
      <c r="S11" s="7367"/>
      <c r="T11" s="7367" t="s">
        <v>62</v>
      </c>
      <c r="U11" s="7367"/>
      <c r="V11" s="7367" t="s">
        <v>63</v>
      </c>
      <c r="W11" s="7367"/>
      <c r="X11" s="7367" t="s">
        <v>64</v>
      </c>
      <c r="Y11" s="7367"/>
      <c r="Z11" s="7367" t="s">
        <v>65</v>
      </c>
      <c r="AA11" s="7367"/>
      <c r="AB11" s="7367" t="s">
        <v>66</v>
      </c>
      <c r="AC11" s="7367"/>
      <c r="AD11" s="7367" t="s">
        <v>67</v>
      </c>
      <c r="AE11" s="7367"/>
      <c r="AF11" s="7367" t="s">
        <v>68</v>
      </c>
      <c r="AG11" s="7367"/>
      <c r="AH11" s="7367" t="s">
        <v>69</v>
      </c>
      <c r="AI11" s="7367"/>
      <c r="AJ11" s="7367" t="s">
        <v>70</v>
      </c>
      <c r="AK11" s="7367"/>
      <c r="AL11" s="7367" t="s">
        <v>71</v>
      </c>
      <c r="AM11" s="7368"/>
      <c r="AN11" s="6054"/>
    </row>
    <row r="12" spans="1:87" s="2549" customFormat="1">
      <c r="A12" s="7371"/>
      <c r="B12" s="7371"/>
      <c r="C12" s="5494" t="s">
        <v>93</v>
      </c>
      <c r="D12" s="5495" t="s">
        <v>72</v>
      </c>
      <c r="E12" s="5496" t="s">
        <v>73</v>
      </c>
      <c r="F12" s="5052" t="s">
        <v>72</v>
      </c>
      <c r="G12" s="5049" t="s">
        <v>73</v>
      </c>
      <c r="H12" s="5052" t="s">
        <v>72</v>
      </c>
      <c r="I12" s="5049" t="s">
        <v>73</v>
      </c>
      <c r="J12" s="5052" t="s">
        <v>72</v>
      </c>
      <c r="K12" s="5049" t="s">
        <v>73</v>
      </c>
      <c r="L12" s="5052" t="s">
        <v>72</v>
      </c>
      <c r="M12" s="5049" t="s">
        <v>73</v>
      </c>
      <c r="N12" s="5052" t="s">
        <v>72</v>
      </c>
      <c r="O12" s="5049" t="s">
        <v>73</v>
      </c>
      <c r="P12" s="5052" t="s">
        <v>72</v>
      </c>
      <c r="Q12" s="5049" t="s">
        <v>73</v>
      </c>
      <c r="R12" s="5052" t="s">
        <v>72</v>
      </c>
      <c r="S12" s="5049" t="s">
        <v>73</v>
      </c>
      <c r="T12" s="5052" t="s">
        <v>72</v>
      </c>
      <c r="U12" s="5049" t="s">
        <v>73</v>
      </c>
      <c r="V12" s="5052" t="s">
        <v>72</v>
      </c>
      <c r="W12" s="5049" t="s">
        <v>73</v>
      </c>
      <c r="X12" s="5052" t="s">
        <v>72</v>
      </c>
      <c r="Y12" s="5049" t="s">
        <v>73</v>
      </c>
      <c r="Z12" s="5052" t="s">
        <v>72</v>
      </c>
      <c r="AA12" s="5049" t="s">
        <v>73</v>
      </c>
      <c r="AB12" s="5052" t="s">
        <v>72</v>
      </c>
      <c r="AC12" s="5049" t="s">
        <v>73</v>
      </c>
      <c r="AD12" s="5052" t="s">
        <v>72</v>
      </c>
      <c r="AE12" s="5049" t="s">
        <v>73</v>
      </c>
      <c r="AF12" s="5052" t="s">
        <v>72</v>
      </c>
      <c r="AG12" s="5049" t="s">
        <v>73</v>
      </c>
      <c r="AH12" s="5052" t="s">
        <v>72</v>
      </c>
      <c r="AI12" s="5049" t="s">
        <v>73</v>
      </c>
      <c r="AJ12" s="5052" t="s">
        <v>72</v>
      </c>
      <c r="AK12" s="5049" t="s">
        <v>73</v>
      </c>
      <c r="AL12" s="5052" t="s">
        <v>72</v>
      </c>
      <c r="AM12" s="5497" t="s">
        <v>73</v>
      </c>
      <c r="AN12" s="6054"/>
    </row>
    <row r="13" spans="1:87">
      <c r="A13" s="7369" t="s">
        <v>4353</v>
      </c>
      <c r="B13" s="5498" t="s">
        <v>1066</v>
      </c>
      <c r="C13" s="2273">
        <f t="shared" ref="C13:C16" si="0">SUM(D13,E13)</f>
        <v>0</v>
      </c>
      <c r="D13" s="5499">
        <f t="shared" ref="D13:E16" si="1">SUM(F13,H13,J13,L13,N13,P13,R13,T13,V13,X13,Z13,AB13,AD13,AF13,AH13,AJ13,AL13)</f>
        <v>0</v>
      </c>
      <c r="E13" s="2275">
        <f t="shared" si="1"/>
        <v>0</v>
      </c>
      <c r="F13" s="1449"/>
      <c r="G13" s="2544"/>
      <c r="H13" s="1449"/>
      <c r="I13" s="2544"/>
      <c r="J13" s="1449"/>
      <c r="K13" s="2544"/>
      <c r="L13" s="1449"/>
      <c r="M13" s="2544"/>
      <c r="N13" s="1449"/>
      <c r="O13" s="2544"/>
      <c r="P13" s="1449"/>
      <c r="Q13" s="2544"/>
      <c r="R13" s="1449"/>
      <c r="S13" s="2544"/>
      <c r="T13" s="1449"/>
      <c r="U13" s="2544"/>
      <c r="V13" s="1449"/>
      <c r="W13" s="2544"/>
      <c r="X13" s="1449"/>
      <c r="Y13" s="2544"/>
      <c r="Z13" s="1449"/>
      <c r="AA13" s="2544"/>
      <c r="AB13" s="1449"/>
      <c r="AC13" s="2544"/>
      <c r="AD13" s="1449"/>
      <c r="AE13" s="2544"/>
      <c r="AF13" s="1449"/>
      <c r="AG13" s="2544"/>
      <c r="AH13" s="1449"/>
      <c r="AI13" s="2544"/>
      <c r="AJ13" s="1449"/>
      <c r="AK13" s="2544"/>
      <c r="AL13" s="1620"/>
      <c r="AM13" s="5500"/>
      <c r="AN13" s="2545"/>
      <c r="AO13" s="5501" t="str">
        <f t="shared" ref="AO13:AO15" si="2">$CA13</f>
        <v/>
      </c>
      <c r="AP13" s="385"/>
      <c r="AQ13" s="385"/>
      <c r="AR13" s="385"/>
      <c r="AS13" s="385"/>
      <c r="AT13" s="385"/>
      <c r="AU13" s="385"/>
      <c r="AV13" s="385"/>
      <c r="AW13" s="385"/>
      <c r="AX13" s="385"/>
      <c r="AY13" s="385"/>
      <c r="AZ13" s="385"/>
      <c r="BA13" s="385"/>
      <c r="BB13" s="385"/>
      <c r="BC13" s="385"/>
      <c r="BD13" s="385"/>
      <c r="BE13" s="385"/>
      <c r="BF13" s="385"/>
      <c r="BG13" s="385"/>
      <c r="BH13" s="385"/>
      <c r="BI13" s="385"/>
      <c r="BJ13" s="385"/>
      <c r="BK13" s="385"/>
      <c r="BL13" s="385"/>
      <c r="BM13" s="385"/>
      <c r="BN13" s="385"/>
      <c r="BO13" s="385"/>
      <c r="BP13" s="385"/>
      <c r="BQ13" s="385"/>
      <c r="BR13" s="385"/>
      <c r="BS13" s="385"/>
      <c r="BT13" s="385"/>
      <c r="BU13" s="385"/>
      <c r="BV13" s="385"/>
      <c r="BW13" s="385"/>
      <c r="BX13" s="385"/>
      <c r="BY13" s="385"/>
      <c r="BZ13" s="385"/>
      <c r="CA13" s="3666" t="str">
        <f t="shared" ref="CA13:CA15" si="3">IF(AND($C13&lt;&gt;0,AN13=""),"* No olvide ingresar la columna Pueblos Originarios, digite CERO si no tiene.  ",IF(AN13&gt;$C13,"* El número de Pueblos Originarios no puede superar el Total Ambos Sexos.  ",""))</f>
        <v/>
      </c>
      <c r="CB13" s="510"/>
      <c r="CC13" s="510"/>
      <c r="CD13" s="510"/>
      <c r="CE13" s="385"/>
      <c r="CF13" s="385"/>
      <c r="CG13" s="385"/>
      <c r="CH13" s="385"/>
      <c r="CI13" s="513">
        <f t="shared" ref="CI13:CI15" si="4">IF(AND($C13&lt;&gt;0,AN13=""),1,IF(AN13&gt;$C13,1,0))</f>
        <v>0</v>
      </c>
    </row>
    <row r="14" spans="1:87" ht="15" customHeight="1">
      <c r="A14" s="7369"/>
      <c r="B14" s="5502" t="s">
        <v>4354</v>
      </c>
      <c r="C14" s="5503">
        <f t="shared" si="0"/>
        <v>0</v>
      </c>
      <c r="D14" s="5504">
        <f t="shared" si="1"/>
        <v>0</v>
      </c>
      <c r="E14" s="4110">
        <f>SUM(G14,I14,K14,M14,O14,Q14,S14,U14,W14,Y14,AA14,AC14,AE14,AG14,AI14,AK14,AM14)</f>
        <v>0</v>
      </c>
      <c r="F14" s="1620"/>
      <c r="G14" s="1610"/>
      <c r="H14" s="1620"/>
      <c r="I14" s="1610"/>
      <c r="J14" s="1620"/>
      <c r="K14" s="1610"/>
      <c r="L14" s="1620"/>
      <c r="M14" s="1610"/>
      <c r="N14" s="1620"/>
      <c r="O14" s="1610"/>
      <c r="P14" s="1620"/>
      <c r="Q14" s="1610"/>
      <c r="R14" s="1620"/>
      <c r="S14" s="1610"/>
      <c r="T14" s="1620"/>
      <c r="U14" s="1610"/>
      <c r="V14" s="1620"/>
      <c r="W14" s="1610"/>
      <c r="X14" s="1620"/>
      <c r="Y14" s="1610"/>
      <c r="Z14" s="1620"/>
      <c r="AA14" s="1610"/>
      <c r="AB14" s="1620"/>
      <c r="AC14" s="1610"/>
      <c r="AD14" s="1620"/>
      <c r="AE14" s="1610"/>
      <c r="AF14" s="1620"/>
      <c r="AG14" s="1610"/>
      <c r="AH14" s="1620"/>
      <c r="AI14" s="1610"/>
      <c r="AJ14" s="1620"/>
      <c r="AK14" s="1610"/>
      <c r="AL14" s="1449"/>
      <c r="AM14" s="5505"/>
      <c r="AN14" s="1610"/>
      <c r="AO14" s="5501" t="str">
        <f t="shared" si="2"/>
        <v/>
      </c>
      <c r="AP14" s="5506"/>
      <c r="AQ14" s="5506"/>
      <c r="AR14" s="5506"/>
      <c r="AS14" s="5506"/>
      <c r="AT14" s="5506"/>
      <c r="AU14" s="5506"/>
      <c r="AV14" s="5506"/>
      <c r="AW14" s="5506"/>
      <c r="AX14" s="5506"/>
      <c r="AY14" s="5506"/>
      <c r="AZ14" s="5506"/>
      <c r="BA14" s="5506"/>
      <c r="BB14" s="5506"/>
      <c r="BC14" s="5506"/>
      <c r="BD14" s="5506"/>
      <c r="BE14" s="5506"/>
      <c r="BF14" s="5506"/>
      <c r="BG14" s="5506"/>
      <c r="BH14" s="5506"/>
      <c r="BI14" s="5506"/>
      <c r="BJ14" s="5506"/>
      <c r="BK14" s="5506"/>
      <c r="BL14" s="5506"/>
      <c r="BM14" s="5506"/>
      <c r="BN14" s="5506"/>
      <c r="BO14" s="5506"/>
      <c r="BP14" s="5506"/>
      <c r="BQ14" s="5506"/>
      <c r="BR14" s="5506"/>
      <c r="BS14" s="5506"/>
      <c r="BT14" s="2832"/>
      <c r="BU14" s="2832"/>
      <c r="BV14" s="385"/>
      <c r="BW14" s="385"/>
      <c r="BX14" s="385"/>
      <c r="BY14" s="385"/>
      <c r="BZ14" s="385"/>
      <c r="CA14" s="3666" t="str">
        <f t="shared" si="3"/>
        <v/>
      </c>
      <c r="CB14" s="510"/>
      <c r="CC14" s="510"/>
      <c r="CD14" s="510"/>
      <c r="CE14" s="385"/>
      <c r="CF14" s="385"/>
      <c r="CG14" s="385"/>
      <c r="CH14" s="385"/>
      <c r="CI14" s="513">
        <f t="shared" si="4"/>
        <v>0</v>
      </c>
    </row>
    <row r="15" spans="1:87" ht="22.5">
      <c r="A15" s="7369"/>
      <c r="B15" s="5507" t="s">
        <v>4355</v>
      </c>
      <c r="C15" s="2278">
        <f t="shared" si="0"/>
        <v>0</v>
      </c>
      <c r="D15" s="5508">
        <f t="shared" si="1"/>
        <v>0</v>
      </c>
      <c r="E15" s="2280">
        <f t="shared" si="1"/>
        <v>0</v>
      </c>
      <c r="F15" s="1620"/>
      <c r="G15" s="1610"/>
      <c r="H15" s="1620"/>
      <c r="I15" s="1610"/>
      <c r="J15" s="1620"/>
      <c r="K15" s="1610"/>
      <c r="L15" s="1620"/>
      <c r="M15" s="1610"/>
      <c r="N15" s="1620"/>
      <c r="O15" s="1610"/>
      <c r="P15" s="1620"/>
      <c r="Q15" s="1610"/>
      <c r="R15" s="1620"/>
      <c r="S15" s="1610"/>
      <c r="T15" s="1620"/>
      <c r="U15" s="1610"/>
      <c r="V15" s="1620"/>
      <c r="W15" s="1610"/>
      <c r="X15" s="1620"/>
      <c r="Y15" s="1610"/>
      <c r="Z15" s="1620"/>
      <c r="AA15" s="1610"/>
      <c r="AB15" s="1620"/>
      <c r="AC15" s="1610"/>
      <c r="AD15" s="1620"/>
      <c r="AE15" s="1610"/>
      <c r="AF15" s="1620"/>
      <c r="AG15" s="1610"/>
      <c r="AH15" s="1620"/>
      <c r="AI15" s="1610"/>
      <c r="AJ15" s="1620"/>
      <c r="AK15" s="1610"/>
      <c r="AL15" s="1449"/>
      <c r="AM15" s="5509"/>
      <c r="AN15" s="1610"/>
      <c r="AO15" s="5501" t="str">
        <f t="shared" si="2"/>
        <v/>
      </c>
      <c r="AP15" s="5506"/>
      <c r="AQ15" s="5506"/>
      <c r="AR15" s="5506"/>
      <c r="AS15" s="5506"/>
      <c r="AT15" s="5506"/>
      <c r="AU15" s="5506"/>
      <c r="AV15" s="5506"/>
      <c r="AW15" s="5506"/>
      <c r="AX15" s="5506"/>
      <c r="AY15" s="5506"/>
      <c r="AZ15" s="5506"/>
      <c r="BA15" s="5506"/>
      <c r="BB15" s="5506"/>
      <c r="BC15" s="5506"/>
      <c r="BD15" s="5506"/>
      <c r="BE15" s="5506"/>
      <c r="BF15" s="5506"/>
      <c r="BG15" s="5506"/>
      <c r="BH15" s="5506"/>
      <c r="BI15" s="5506"/>
      <c r="BJ15" s="5506"/>
      <c r="BK15" s="5506"/>
      <c r="BL15" s="5506"/>
      <c r="BM15" s="5506"/>
      <c r="BN15" s="5506"/>
      <c r="BO15" s="5506"/>
      <c r="BP15" s="5506"/>
      <c r="BQ15" s="5506"/>
      <c r="BR15" s="5506"/>
      <c r="BS15" s="5506"/>
      <c r="BT15" s="2832"/>
      <c r="BU15" s="2832"/>
      <c r="BV15" s="385"/>
      <c r="BW15" s="385"/>
      <c r="BX15" s="385"/>
      <c r="BY15" s="385"/>
      <c r="BZ15" s="385"/>
      <c r="CA15" s="3666" t="str">
        <f t="shared" si="3"/>
        <v/>
      </c>
      <c r="CB15" s="510"/>
      <c r="CC15" s="510"/>
      <c r="CD15" s="510"/>
      <c r="CE15" s="385"/>
      <c r="CF15" s="385"/>
      <c r="CG15" s="385"/>
      <c r="CH15" s="385"/>
      <c r="CI15" s="513">
        <f t="shared" si="4"/>
        <v>0</v>
      </c>
    </row>
    <row r="16" spans="1:87" ht="15" customHeight="1">
      <c r="A16" s="6727" t="s">
        <v>91</v>
      </c>
      <c r="B16" s="6727"/>
      <c r="C16" s="1743">
        <f t="shared" si="0"/>
        <v>0</v>
      </c>
      <c r="D16" s="2310">
        <f t="shared" si="1"/>
        <v>0</v>
      </c>
      <c r="E16" s="1745">
        <f t="shared" si="1"/>
        <v>0</v>
      </c>
      <c r="F16" s="401">
        <f>SUM(F13:F15)</f>
        <v>0</v>
      </c>
      <c r="G16" s="392">
        <f t="shared" ref="G16:AM16" si="5">SUM(G13:G15)</f>
        <v>0</v>
      </c>
      <c r="H16" s="401">
        <f>SUM(H13:H15)</f>
        <v>0</v>
      </c>
      <c r="I16" s="392">
        <f t="shared" si="5"/>
        <v>0</v>
      </c>
      <c r="J16" s="401">
        <f t="shared" si="5"/>
        <v>0</v>
      </c>
      <c r="K16" s="403">
        <f>SUM(K13:K15)</f>
        <v>0</v>
      </c>
      <c r="L16" s="401">
        <f t="shared" si="5"/>
        <v>0</v>
      </c>
      <c r="M16" s="403">
        <f t="shared" si="5"/>
        <v>0</v>
      </c>
      <c r="N16" s="401">
        <f t="shared" si="5"/>
        <v>0</v>
      </c>
      <c r="O16" s="403">
        <f t="shared" si="5"/>
        <v>0</v>
      </c>
      <c r="P16" s="401">
        <f t="shared" si="5"/>
        <v>0</v>
      </c>
      <c r="Q16" s="403">
        <f t="shared" si="5"/>
        <v>0</v>
      </c>
      <c r="R16" s="401">
        <f t="shared" si="5"/>
        <v>0</v>
      </c>
      <c r="S16" s="403">
        <f t="shared" si="5"/>
        <v>0</v>
      </c>
      <c r="T16" s="401">
        <f t="shared" si="5"/>
        <v>0</v>
      </c>
      <c r="U16" s="403">
        <f t="shared" si="5"/>
        <v>0</v>
      </c>
      <c r="V16" s="401">
        <f t="shared" si="5"/>
        <v>0</v>
      </c>
      <c r="W16" s="403">
        <f t="shared" si="5"/>
        <v>0</v>
      </c>
      <c r="X16" s="401">
        <f t="shared" si="5"/>
        <v>0</v>
      </c>
      <c r="Y16" s="403">
        <f t="shared" si="5"/>
        <v>0</v>
      </c>
      <c r="Z16" s="2157">
        <f t="shared" si="5"/>
        <v>0</v>
      </c>
      <c r="AA16" s="2161">
        <f t="shared" si="5"/>
        <v>0</v>
      </c>
      <c r="AB16" s="2157">
        <f t="shared" si="5"/>
        <v>0</v>
      </c>
      <c r="AC16" s="2161">
        <f t="shared" si="5"/>
        <v>0</v>
      </c>
      <c r="AD16" s="2157">
        <f t="shared" si="5"/>
        <v>0</v>
      </c>
      <c r="AE16" s="2161">
        <f t="shared" si="5"/>
        <v>0</v>
      </c>
      <c r="AF16" s="2157">
        <f t="shared" si="5"/>
        <v>0</v>
      </c>
      <c r="AG16" s="2161">
        <f t="shared" si="5"/>
        <v>0</v>
      </c>
      <c r="AH16" s="2157">
        <f t="shared" si="5"/>
        <v>0</v>
      </c>
      <c r="AI16" s="2161">
        <f t="shared" si="5"/>
        <v>0</v>
      </c>
      <c r="AJ16" s="2157">
        <f t="shared" si="5"/>
        <v>0</v>
      </c>
      <c r="AK16" s="2161">
        <f t="shared" si="5"/>
        <v>0</v>
      </c>
      <c r="AL16" s="5005">
        <f t="shared" si="5"/>
        <v>0</v>
      </c>
      <c r="AM16" s="5510">
        <f t="shared" si="5"/>
        <v>0</v>
      </c>
      <c r="AN16" s="4777">
        <f>SUM(AN13:AN15)</f>
        <v>0</v>
      </c>
      <c r="AV16" s="2549"/>
      <c r="AW16" s="2549"/>
      <c r="AX16" s="2549"/>
      <c r="AY16" s="2549"/>
      <c r="BA16" s="2549"/>
      <c r="BB16" s="2549"/>
      <c r="BC16" s="2549"/>
      <c r="BD16" s="2549"/>
      <c r="BE16" s="2549"/>
      <c r="BF16" s="2549"/>
      <c r="BG16" s="2549"/>
      <c r="BH16" s="2549"/>
      <c r="BI16" s="2549"/>
      <c r="BJ16" s="2549"/>
      <c r="BK16" s="2549"/>
      <c r="BL16" s="2549"/>
      <c r="BM16" s="2549"/>
      <c r="BN16" s="2549"/>
      <c r="BO16" s="2549"/>
      <c r="BP16" s="2549"/>
      <c r="BQ16" s="2549"/>
      <c r="BR16" s="2549"/>
      <c r="BS16" s="2549"/>
      <c r="BT16" s="2549"/>
      <c r="BU16" s="2549"/>
      <c r="BV16" s="2549"/>
      <c r="BW16" s="2549"/>
      <c r="BX16" s="2549"/>
      <c r="BY16" s="2549"/>
      <c r="BZ16" s="2549"/>
      <c r="CA16" s="5511"/>
      <c r="CE16" s="2549"/>
      <c r="CF16" s="2549"/>
      <c r="CG16" s="2549"/>
      <c r="CH16" s="2549"/>
      <c r="CI16" s="2549"/>
    </row>
    <row r="17" spans="1:87" ht="17.100000000000001" customHeight="1">
      <c r="A17" s="1468" t="s">
        <v>4356</v>
      </c>
      <c r="B17" s="385"/>
      <c r="C17" s="1493"/>
      <c r="D17" s="1493"/>
      <c r="E17" s="439"/>
      <c r="F17" s="439"/>
      <c r="G17" s="439"/>
      <c r="H17" s="439"/>
      <c r="I17" s="439"/>
      <c r="J17" s="439"/>
      <c r="K17" s="439"/>
      <c r="L17" s="439"/>
      <c r="M17" s="439"/>
      <c r="N17" s="439"/>
      <c r="O17" s="439"/>
      <c r="P17" s="439"/>
      <c r="Q17" s="5506"/>
      <c r="R17" s="5506"/>
      <c r="S17" s="5506"/>
      <c r="T17" s="5506"/>
      <c r="U17" s="5506"/>
      <c r="V17" s="5506"/>
      <c r="W17" s="5506"/>
      <c r="X17" s="5506"/>
      <c r="Y17" s="5506"/>
      <c r="Z17" s="5506"/>
      <c r="AA17" s="5506"/>
      <c r="AB17" s="5506"/>
      <c r="AC17" s="5506"/>
      <c r="AD17" s="5506"/>
      <c r="AE17" s="5506"/>
      <c r="AF17" s="5506"/>
      <c r="AG17" s="5506"/>
      <c r="AH17" s="5506"/>
      <c r="AI17" s="5506"/>
      <c r="AJ17" s="5506"/>
      <c r="AK17" s="5506"/>
      <c r="AL17" s="5506"/>
      <c r="AM17" s="5506"/>
      <c r="AO17" s="5506"/>
      <c r="AP17" s="5506"/>
      <c r="AQ17" s="5506"/>
      <c r="AR17" s="5506"/>
      <c r="AS17" s="5506"/>
      <c r="AT17" s="5506"/>
      <c r="AU17" s="5506"/>
      <c r="AV17" s="5506"/>
      <c r="AW17" s="5506"/>
      <c r="AX17" s="5506"/>
      <c r="AY17" s="5506"/>
      <c r="AZ17" s="5506"/>
      <c r="BA17" s="5506"/>
      <c r="BB17" s="5506"/>
      <c r="BC17" s="5506"/>
      <c r="BD17" s="5506"/>
      <c r="BE17" s="5506"/>
      <c r="BF17" s="5506"/>
      <c r="BG17" s="5506"/>
      <c r="BH17" s="5506"/>
      <c r="BI17" s="5506"/>
      <c r="BJ17" s="5506"/>
      <c r="BK17" s="5506"/>
      <c r="BL17" s="5506"/>
      <c r="BM17" s="5506"/>
      <c r="BN17" s="5506"/>
      <c r="BO17" s="5506"/>
      <c r="BP17" s="5506"/>
      <c r="BQ17" s="5506"/>
      <c r="BR17" s="5506"/>
      <c r="BS17" s="5506"/>
      <c r="BT17" s="5506"/>
      <c r="BU17" s="5506"/>
      <c r="BV17" s="5506"/>
      <c r="BW17" s="5506"/>
      <c r="BX17" s="5506"/>
      <c r="BY17" s="5506"/>
      <c r="BZ17" s="5506"/>
      <c r="CA17" s="5493"/>
      <c r="CB17" s="5506"/>
      <c r="CC17" s="5506"/>
      <c r="CD17" s="5506"/>
      <c r="CE17" s="5506"/>
      <c r="CF17" s="5506"/>
      <c r="CG17" s="5506"/>
      <c r="CH17" s="5506"/>
      <c r="CI17" s="5506"/>
    </row>
    <row r="18" spans="1:87" ht="15" customHeight="1">
      <c r="A18" s="6766" t="s">
        <v>4357</v>
      </c>
      <c r="B18" s="6722" t="s">
        <v>1421</v>
      </c>
      <c r="C18" s="5710" t="s">
        <v>4358</v>
      </c>
      <c r="D18" s="6106"/>
      <c r="E18" s="6106"/>
      <c r="F18" s="5712"/>
      <c r="G18" s="6142" t="s">
        <v>4359</v>
      </c>
      <c r="H18" s="6142"/>
      <c r="I18" s="6142"/>
      <c r="J18" s="6142"/>
      <c r="K18" s="6142"/>
      <c r="L18" s="2549"/>
      <c r="M18" s="2549"/>
      <c r="N18" s="2549"/>
      <c r="O18" s="2549"/>
      <c r="P18" s="2549"/>
      <c r="Q18" s="2549"/>
      <c r="R18" s="2549"/>
      <c r="S18" s="2549"/>
      <c r="T18" s="2549"/>
      <c r="U18" s="2549"/>
      <c r="V18" s="2549"/>
      <c r="W18" s="2549"/>
      <c r="X18" s="2549"/>
      <c r="Y18" s="2549"/>
      <c r="AV18" s="2549"/>
      <c r="AW18" s="2549"/>
      <c r="AX18" s="2549"/>
      <c r="AY18" s="2549"/>
      <c r="BA18" s="2549"/>
      <c r="BB18" s="2549"/>
      <c r="BC18" s="2549"/>
      <c r="BD18" s="2549"/>
      <c r="BE18" s="2549"/>
      <c r="BF18" s="2549"/>
      <c r="BG18" s="2549"/>
      <c r="BH18" s="2549"/>
      <c r="BI18" s="2549"/>
      <c r="BJ18" s="2549"/>
      <c r="BK18" s="2549"/>
      <c r="BL18" s="2549"/>
      <c r="BM18" s="2549"/>
      <c r="BN18" s="2549"/>
      <c r="BO18" s="2549"/>
      <c r="BP18" s="2549"/>
      <c r="BQ18" s="2549"/>
      <c r="BR18" s="2549"/>
      <c r="BS18" s="2549"/>
      <c r="BT18" s="2549"/>
      <c r="BU18" s="2549"/>
      <c r="BV18" s="2549"/>
      <c r="BW18" s="2549"/>
      <c r="BX18" s="2549"/>
      <c r="BY18" s="2549"/>
      <c r="BZ18" s="2549"/>
      <c r="CA18" s="5511"/>
      <c r="CE18" s="2549"/>
      <c r="CF18" s="2549"/>
      <c r="CG18" s="2549"/>
      <c r="CH18" s="2549"/>
      <c r="CI18" s="2549"/>
    </row>
    <row r="19" spans="1:87" ht="15" customHeight="1">
      <c r="A19" s="6766"/>
      <c r="B19" s="6722"/>
      <c r="C19" s="6345" t="s">
        <v>4360</v>
      </c>
      <c r="D19" s="6670" t="s">
        <v>4361</v>
      </c>
      <c r="E19" s="6670" t="s">
        <v>4362</v>
      </c>
      <c r="F19" s="5712" t="s">
        <v>4363</v>
      </c>
      <c r="G19" s="6345" t="s">
        <v>4364</v>
      </c>
      <c r="H19" s="6670" t="s">
        <v>4365</v>
      </c>
      <c r="I19" s="6670" t="s">
        <v>4366</v>
      </c>
      <c r="J19" s="6670" t="s">
        <v>4367</v>
      </c>
      <c r="K19" s="5712" t="s">
        <v>4368</v>
      </c>
      <c r="L19" s="2549"/>
      <c r="M19" s="2549"/>
      <c r="N19" s="2549"/>
      <c r="O19" s="2549"/>
      <c r="P19" s="2549"/>
      <c r="Q19" s="2549"/>
      <c r="R19" s="2549"/>
      <c r="S19" s="2549"/>
      <c r="T19" s="2549"/>
      <c r="U19" s="2549"/>
      <c r="V19" s="2549"/>
      <c r="W19" s="2549"/>
      <c r="X19" s="2549"/>
      <c r="Y19" s="2549"/>
      <c r="AV19" s="2549"/>
      <c r="AW19" s="2549"/>
      <c r="AX19" s="2549"/>
      <c r="AY19" s="2549"/>
      <c r="BA19" s="2549"/>
      <c r="BB19" s="2549"/>
      <c r="BC19" s="2549"/>
      <c r="BD19" s="2549"/>
      <c r="BE19" s="2549"/>
      <c r="BF19" s="2549"/>
      <c r="BG19" s="2549"/>
      <c r="BH19" s="2549"/>
      <c r="BI19" s="2549"/>
      <c r="BJ19" s="2549"/>
      <c r="BK19" s="2549"/>
      <c r="BL19" s="2549"/>
      <c r="BM19" s="2549"/>
      <c r="BN19" s="2549"/>
      <c r="BO19" s="2549"/>
      <c r="BP19" s="2549"/>
      <c r="BQ19" s="2549"/>
      <c r="BR19" s="2549"/>
      <c r="BS19" s="2549"/>
      <c r="BT19" s="2549"/>
      <c r="BU19" s="2549"/>
      <c r="BV19" s="2549"/>
      <c r="BW19" s="2549"/>
      <c r="BX19" s="2549"/>
      <c r="BY19" s="2549"/>
      <c r="BZ19" s="2549"/>
      <c r="CA19" s="5511"/>
      <c r="CE19" s="2549"/>
      <c r="CF19" s="2549"/>
      <c r="CG19" s="2549"/>
      <c r="CH19" s="2549"/>
      <c r="CI19" s="2549"/>
    </row>
    <row r="20" spans="1:87" ht="19.5" customHeight="1">
      <c r="A20" s="6766"/>
      <c r="B20" s="6722"/>
      <c r="C20" s="6345"/>
      <c r="D20" s="6670"/>
      <c r="E20" s="6670"/>
      <c r="F20" s="5712"/>
      <c r="G20" s="6345"/>
      <c r="H20" s="6670"/>
      <c r="I20" s="6670"/>
      <c r="J20" s="6670"/>
      <c r="K20" s="5712"/>
      <c r="L20" s="2549"/>
      <c r="M20" s="2549"/>
      <c r="N20" s="2549"/>
      <c r="O20" s="2549"/>
      <c r="P20" s="2549"/>
      <c r="Q20" s="2549"/>
      <c r="R20" s="2549"/>
      <c r="S20" s="2549"/>
      <c r="T20" s="2549"/>
      <c r="U20" s="2549"/>
      <c r="V20" s="2549"/>
      <c r="W20" s="2549"/>
      <c r="X20" s="2549"/>
      <c r="Y20" s="2549"/>
      <c r="AV20" s="2549"/>
      <c r="AW20" s="2549"/>
      <c r="AX20" s="2549"/>
      <c r="AY20" s="2549"/>
      <c r="BA20" s="2549"/>
      <c r="BB20" s="2549"/>
      <c r="BC20" s="2549"/>
      <c r="BD20" s="2549"/>
      <c r="BE20" s="2549"/>
      <c r="BF20" s="2549"/>
      <c r="BG20" s="2549"/>
      <c r="BH20" s="2549"/>
      <c r="BI20" s="2549"/>
      <c r="BJ20" s="2549"/>
      <c r="BK20" s="2549"/>
      <c r="BL20" s="2549"/>
      <c r="BM20" s="2549"/>
      <c r="BN20" s="2549"/>
      <c r="BO20" s="2549"/>
      <c r="BP20" s="2549"/>
      <c r="BQ20" s="2549"/>
      <c r="BR20" s="2549"/>
      <c r="BS20" s="2549"/>
      <c r="BT20" s="2549"/>
      <c r="BU20" s="2549"/>
      <c r="BV20" s="2549"/>
      <c r="BW20" s="2549"/>
      <c r="BX20" s="2549"/>
      <c r="BY20" s="2549"/>
      <c r="BZ20" s="2549"/>
      <c r="CA20" s="5511"/>
      <c r="CE20" s="2549"/>
      <c r="CF20" s="2549"/>
      <c r="CG20" s="2549"/>
      <c r="CH20" s="2549"/>
      <c r="CI20" s="2549"/>
    </row>
    <row r="21" spans="1:87" ht="16.5" customHeight="1">
      <c r="A21" s="3548" t="s">
        <v>4369</v>
      </c>
      <c r="B21" s="5512">
        <f>SUM(D21:K21)</f>
        <v>0</v>
      </c>
      <c r="C21" s="5513"/>
      <c r="D21" s="1426"/>
      <c r="E21" s="1426"/>
      <c r="F21" s="1436"/>
      <c r="G21" s="1424"/>
      <c r="H21" s="1426"/>
      <c r="I21" s="1426"/>
      <c r="J21" s="1426"/>
      <c r="K21" s="1436"/>
      <c r="L21" s="2549"/>
      <c r="M21" s="2549"/>
      <c r="N21" s="2549"/>
      <c r="O21" s="2549"/>
      <c r="P21" s="2549"/>
      <c r="Q21" s="2549"/>
      <c r="R21" s="2549"/>
      <c r="S21" s="2549"/>
      <c r="T21" s="2549"/>
      <c r="U21" s="2549"/>
      <c r="V21" s="2549"/>
      <c r="W21" s="2549"/>
      <c r="X21" s="2549"/>
      <c r="Y21" s="2549"/>
      <c r="AV21" s="2549"/>
      <c r="AW21" s="2549"/>
      <c r="AX21" s="2549"/>
      <c r="AY21" s="2549"/>
      <c r="BA21" s="2549"/>
      <c r="BB21" s="2549"/>
      <c r="BC21" s="2549"/>
      <c r="BD21" s="2549"/>
      <c r="BE21" s="2549"/>
      <c r="BF21" s="2549"/>
      <c r="BG21" s="2549"/>
      <c r="BH21" s="2549"/>
      <c r="BI21" s="2549"/>
      <c r="BJ21" s="2549"/>
      <c r="BK21" s="2549"/>
      <c r="BL21" s="2549"/>
      <c r="BM21" s="2549"/>
      <c r="BN21" s="2549"/>
      <c r="BO21" s="2549"/>
      <c r="BP21" s="2549"/>
      <c r="BQ21" s="2549"/>
      <c r="BR21" s="2549"/>
      <c r="BS21" s="2549"/>
      <c r="BT21" s="2549"/>
      <c r="BU21" s="2549"/>
      <c r="BV21" s="2549"/>
      <c r="BW21" s="2549"/>
      <c r="BX21" s="2549"/>
      <c r="BY21" s="2549"/>
      <c r="BZ21" s="2549"/>
      <c r="CA21" s="5511"/>
      <c r="CE21" s="2549"/>
      <c r="CF21" s="2549"/>
      <c r="CG21" s="2549"/>
      <c r="CH21" s="2549"/>
      <c r="CI21" s="2549"/>
    </row>
    <row r="22" spans="1:87">
      <c r="A22" s="3549" t="s">
        <v>4370</v>
      </c>
      <c r="B22" s="5514">
        <f t="shared" ref="B22:B23" si="6">SUM(C22:K22)</f>
        <v>0</v>
      </c>
      <c r="C22" s="1440"/>
      <c r="D22" s="1442"/>
      <c r="E22" s="1442"/>
      <c r="F22" s="1452"/>
      <c r="G22" s="1440"/>
      <c r="H22" s="1442"/>
      <c r="I22" s="1442"/>
      <c r="J22" s="1442"/>
      <c r="K22" s="1452"/>
      <c r="L22" s="2549"/>
      <c r="M22" s="2549"/>
      <c r="N22" s="2549"/>
      <c r="O22" s="2549"/>
      <c r="P22" s="2549"/>
      <c r="Q22" s="2549"/>
      <c r="R22" s="2549"/>
      <c r="S22" s="2549"/>
      <c r="T22" s="2549"/>
      <c r="U22" s="2549"/>
      <c r="V22" s="2549"/>
      <c r="W22" s="2549"/>
      <c r="X22" s="2549"/>
      <c r="Y22" s="2549"/>
      <c r="AV22" s="2549"/>
      <c r="AW22" s="2549"/>
      <c r="AX22" s="2549"/>
      <c r="AY22" s="2549"/>
      <c r="BA22" s="2549"/>
      <c r="BB22" s="2549"/>
      <c r="BC22" s="2549"/>
      <c r="BD22" s="2549"/>
      <c r="BE22" s="2549"/>
      <c r="BF22" s="2549"/>
      <c r="BG22" s="2549"/>
      <c r="BH22" s="2549"/>
      <c r="BI22" s="2549"/>
      <c r="BJ22" s="2549"/>
      <c r="BK22" s="2549"/>
      <c r="BL22" s="2549"/>
      <c r="BM22" s="2549"/>
      <c r="BN22" s="2549"/>
      <c r="BO22" s="2549"/>
      <c r="BP22" s="2549"/>
      <c r="BQ22" s="2549"/>
      <c r="BR22" s="2549"/>
      <c r="BS22" s="2549"/>
      <c r="BT22" s="2549"/>
      <c r="BU22" s="2549"/>
      <c r="BV22" s="2549"/>
      <c r="BW22" s="2549"/>
      <c r="BX22" s="2549"/>
      <c r="BY22" s="2549"/>
      <c r="BZ22" s="2549"/>
      <c r="CA22" s="5511"/>
      <c r="CE22" s="2549"/>
      <c r="CF22" s="2549"/>
      <c r="CG22" s="2549"/>
      <c r="CH22" s="2549"/>
      <c r="CI22" s="2549"/>
    </row>
    <row r="23" spans="1:87">
      <c r="A23" s="4886" t="s">
        <v>4371</v>
      </c>
      <c r="B23" s="5515">
        <f t="shared" si="6"/>
        <v>0</v>
      </c>
      <c r="C23" s="1440"/>
      <c r="D23" s="1442"/>
      <c r="E23" s="1442"/>
      <c r="F23" s="1452"/>
      <c r="G23" s="1440"/>
      <c r="H23" s="1442"/>
      <c r="I23" s="1442"/>
      <c r="J23" s="1442"/>
      <c r="K23" s="1692"/>
      <c r="L23" s="2549"/>
      <c r="M23" s="2549"/>
      <c r="N23" s="2549"/>
      <c r="O23" s="2549"/>
      <c r="P23" s="2549"/>
      <c r="Q23" s="2549"/>
      <c r="R23" s="2549"/>
      <c r="S23" s="2549"/>
      <c r="T23" s="2549"/>
      <c r="U23" s="2549"/>
      <c r="V23" s="2549"/>
      <c r="W23" s="2549"/>
      <c r="X23" s="2549"/>
      <c r="Y23" s="2549"/>
      <c r="AV23" s="2549"/>
      <c r="AW23" s="2549"/>
      <c r="AX23" s="2549"/>
      <c r="AY23" s="2549"/>
      <c r="BA23" s="2549"/>
      <c r="BB23" s="2549"/>
      <c r="BC23" s="2549"/>
      <c r="BD23" s="2549"/>
      <c r="BE23" s="2549"/>
      <c r="BF23" s="2549"/>
      <c r="BG23" s="2549"/>
      <c r="BH23" s="2549"/>
      <c r="BI23" s="2549"/>
      <c r="BJ23" s="2549"/>
      <c r="BK23" s="2549"/>
      <c r="BL23" s="2549"/>
      <c r="BM23" s="2549"/>
      <c r="BN23" s="2549"/>
      <c r="BO23" s="2549"/>
      <c r="BP23" s="2549"/>
      <c r="BQ23" s="2549"/>
      <c r="BR23" s="2549"/>
      <c r="BS23" s="2549"/>
      <c r="BT23" s="2549"/>
      <c r="BU23" s="2549"/>
      <c r="BV23" s="2549"/>
      <c r="BW23" s="2549"/>
      <c r="BX23" s="2549"/>
      <c r="BY23" s="2549"/>
      <c r="BZ23" s="2549"/>
      <c r="CA23" s="5511"/>
      <c r="CE23" s="2549"/>
      <c r="CF23" s="2549"/>
      <c r="CG23" s="2549"/>
      <c r="CH23" s="2549"/>
      <c r="CI23" s="2549"/>
    </row>
    <row r="24" spans="1:87" ht="15" customHeight="1">
      <c r="A24" s="391" t="s">
        <v>91</v>
      </c>
      <c r="B24" s="406">
        <f>SUM(B21:B23)</f>
        <v>0</v>
      </c>
      <c r="C24" s="401">
        <f>SUM(C22:C23)</f>
        <v>0</v>
      </c>
      <c r="D24" s="1501">
        <f t="shared" ref="D24:K24" si="7">SUM(D21:D23)</f>
        <v>0</v>
      </c>
      <c r="E24" s="1501">
        <f t="shared" si="7"/>
        <v>0</v>
      </c>
      <c r="F24" s="392">
        <f t="shared" si="7"/>
        <v>0</v>
      </c>
      <c r="G24" s="401">
        <f t="shared" si="7"/>
        <v>0</v>
      </c>
      <c r="H24" s="1501">
        <f t="shared" si="7"/>
        <v>0</v>
      </c>
      <c r="I24" s="1501">
        <f t="shared" si="7"/>
        <v>0</v>
      </c>
      <c r="J24" s="1501">
        <f t="shared" si="7"/>
        <v>0</v>
      </c>
      <c r="K24" s="392">
        <f t="shared" si="7"/>
        <v>0</v>
      </c>
      <c r="L24" s="2549"/>
      <c r="M24" s="2549"/>
      <c r="N24" s="2549"/>
      <c r="O24" s="2549"/>
      <c r="P24" s="2549"/>
      <c r="Q24" s="2549"/>
      <c r="R24" s="2549"/>
      <c r="S24" s="2549"/>
      <c r="T24" s="2549"/>
      <c r="U24" s="2549"/>
      <c r="V24" s="2549"/>
      <c r="W24" s="2549"/>
      <c r="X24" s="2549"/>
      <c r="Y24" s="2549"/>
      <c r="AV24" s="2549"/>
      <c r="AW24" s="2549"/>
      <c r="AX24" s="2549"/>
      <c r="AY24" s="2549"/>
      <c r="BA24" s="2549"/>
      <c r="BB24" s="2549"/>
      <c r="BC24" s="2549"/>
      <c r="BD24" s="2549"/>
      <c r="BE24" s="2549"/>
      <c r="BF24" s="2549"/>
      <c r="BG24" s="2549"/>
      <c r="BH24" s="2549"/>
      <c r="BI24" s="2549"/>
      <c r="BJ24" s="2549"/>
      <c r="BK24" s="2549"/>
      <c r="BL24" s="2549"/>
      <c r="BM24" s="2549"/>
      <c r="BN24" s="2549"/>
      <c r="BO24" s="2549"/>
      <c r="BP24" s="2549"/>
      <c r="BQ24" s="2549"/>
      <c r="BR24" s="2549"/>
      <c r="BS24" s="2549"/>
      <c r="BT24" s="2549"/>
      <c r="BU24" s="2549"/>
      <c r="BV24" s="2549"/>
      <c r="BW24" s="2549"/>
      <c r="BX24" s="2549"/>
      <c r="BY24" s="2549"/>
      <c r="BZ24" s="2549"/>
      <c r="CA24" s="5511"/>
      <c r="CE24" s="2549"/>
      <c r="CF24" s="2549"/>
      <c r="CG24" s="2549"/>
      <c r="CH24" s="2549"/>
      <c r="CI24" s="2549"/>
    </row>
    <row r="25" spans="1:87" ht="17.100000000000001" customHeight="1">
      <c r="A25" s="2271" t="s">
        <v>4372</v>
      </c>
      <c r="B25" s="2271"/>
      <c r="C25" s="439"/>
      <c r="D25" s="5493"/>
      <c r="E25" s="5493"/>
      <c r="F25" s="5493"/>
      <c r="G25" s="5493"/>
      <c r="H25" s="5493"/>
      <c r="I25" s="5493"/>
      <c r="J25" s="5493"/>
      <c r="K25" s="5493"/>
      <c r="L25" s="5493"/>
      <c r="M25" s="5493"/>
      <c r="N25" s="5493"/>
      <c r="O25" s="5493"/>
      <c r="P25" s="5493"/>
      <c r="Q25" s="5493"/>
      <c r="R25" s="5493"/>
      <c r="S25" s="5493"/>
      <c r="T25" s="5493"/>
      <c r="U25" s="5493"/>
      <c r="V25" s="5493"/>
      <c r="W25" s="5493"/>
      <c r="X25" s="5493"/>
      <c r="Y25" s="5493"/>
      <c r="Z25" s="5493"/>
      <c r="AA25" s="5493"/>
      <c r="AB25" s="5493"/>
      <c r="AC25" s="5493"/>
      <c r="AD25" s="5493"/>
      <c r="AE25" s="5493"/>
      <c r="AF25" s="5493"/>
      <c r="AG25" s="5493"/>
      <c r="AH25" s="5493"/>
      <c r="AI25" s="5493"/>
      <c r="AJ25" s="5493"/>
      <c r="AK25" s="5493"/>
      <c r="AL25" s="5493"/>
      <c r="AM25" s="5493"/>
      <c r="AO25" s="3986"/>
      <c r="AP25" s="3986"/>
      <c r="AQ25" s="3986"/>
      <c r="AR25" s="3986"/>
      <c r="AS25" s="3986"/>
      <c r="AT25" s="3986"/>
      <c r="AU25" s="3986"/>
      <c r="AV25" s="3986"/>
      <c r="AW25" s="3986"/>
      <c r="AX25" s="3986"/>
      <c r="AY25" s="3986"/>
      <c r="AZ25" s="3986"/>
      <c r="BA25" s="1470"/>
      <c r="BB25" s="1470"/>
      <c r="BC25" s="1470"/>
      <c r="BD25" s="1470"/>
      <c r="BE25" s="1470"/>
      <c r="BF25" s="1470"/>
      <c r="BG25" s="1470"/>
      <c r="BH25" s="1470"/>
      <c r="BI25" s="1470"/>
      <c r="BJ25" s="1470"/>
      <c r="BK25" s="1470"/>
      <c r="BL25" s="1470"/>
      <c r="BM25" s="1470"/>
      <c r="BN25" s="1470"/>
      <c r="BO25" s="1470"/>
      <c r="BP25" s="1470"/>
      <c r="BQ25" s="1470"/>
      <c r="BR25" s="1470"/>
      <c r="BS25" s="1470"/>
      <c r="BT25" s="1470"/>
      <c r="BU25" s="1470"/>
      <c r="BV25" s="1470"/>
      <c r="BW25" s="2549"/>
      <c r="BX25" s="2549"/>
      <c r="BY25" s="2549"/>
      <c r="BZ25" s="2549"/>
      <c r="CA25" s="5511"/>
      <c r="CE25" s="2549"/>
      <c r="CF25" s="2549"/>
      <c r="CG25" s="2549"/>
      <c r="CH25" s="2549"/>
      <c r="CI25" s="2549"/>
    </row>
    <row r="26" spans="1:87" ht="21.75" customHeight="1">
      <c r="A26" s="6154" t="s">
        <v>236</v>
      </c>
      <c r="B26" s="6298" t="s">
        <v>41</v>
      </c>
      <c r="C26" s="6709" t="s">
        <v>91</v>
      </c>
      <c r="D26" s="6709"/>
      <c r="E26" s="6709"/>
      <c r="F26" s="6858" t="s">
        <v>115</v>
      </c>
      <c r="G26" s="6859"/>
      <c r="H26" s="6859"/>
      <c r="I26" s="6859"/>
      <c r="J26" s="6859"/>
      <c r="K26" s="6859"/>
      <c r="L26" s="6859"/>
      <c r="M26" s="6859"/>
      <c r="N26" s="6859"/>
      <c r="O26" s="6859"/>
      <c r="P26" s="6859"/>
      <c r="Q26" s="6859"/>
      <c r="R26" s="6859"/>
      <c r="S26" s="6859"/>
      <c r="T26" s="6859"/>
      <c r="U26" s="7365"/>
      <c r="V26" s="7178" t="s">
        <v>4373</v>
      </c>
      <c r="W26" s="7179"/>
      <c r="X26" s="7179"/>
      <c r="Y26" s="7179"/>
      <c r="Z26" s="7179"/>
      <c r="AA26" s="7179"/>
      <c r="AB26" s="7179"/>
      <c r="AC26" s="7179"/>
      <c r="AD26" s="7179"/>
      <c r="AE26" s="7179"/>
      <c r="AF26" s="7179"/>
      <c r="AG26" s="7179"/>
      <c r="AH26" s="7179"/>
      <c r="AI26" s="7366"/>
      <c r="AJ26" s="6391" t="s">
        <v>50</v>
      </c>
      <c r="AQ26" s="3986"/>
      <c r="AR26" s="3986"/>
      <c r="AS26" s="3986"/>
      <c r="AT26" s="3986"/>
      <c r="AU26" s="3986"/>
      <c r="AV26" s="3986"/>
      <c r="AW26" s="3986"/>
      <c r="AX26" s="3986"/>
      <c r="AY26" s="3986"/>
      <c r="AZ26" s="3986"/>
      <c r="BA26" s="1470"/>
      <c r="BB26" s="1470"/>
      <c r="BC26" s="1470"/>
      <c r="BD26" s="1470"/>
      <c r="BE26" s="1470"/>
      <c r="BF26" s="1470"/>
      <c r="BG26" s="1470"/>
      <c r="BH26" s="1470"/>
      <c r="BI26" s="1470"/>
      <c r="BJ26" s="1470"/>
      <c r="BW26" s="2549"/>
      <c r="BX26" s="2549"/>
      <c r="BY26" s="2549"/>
      <c r="BZ26" s="2549"/>
      <c r="CA26" s="5511"/>
      <c r="CE26" s="2549"/>
      <c r="CF26" s="2549"/>
      <c r="CG26" s="2549"/>
      <c r="CH26" s="2549"/>
      <c r="CI26" s="2549"/>
    </row>
    <row r="27" spans="1:87" ht="28.5" customHeight="1">
      <c r="A27" s="6154"/>
      <c r="B27" s="6298"/>
      <c r="C27" s="6709"/>
      <c r="D27" s="6709"/>
      <c r="E27" s="6709"/>
      <c r="F27" s="7358" t="s">
        <v>3936</v>
      </c>
      <c r="G27" s="7359"/>
      <c r="H27" s="7358" t="s">
        <v>4374</v>
      </c>
      <c r="I27" s="7360"/>
      <c r="J27" s="7359" t="s">
        <v>1521</v>
      </c>
      <c r="K27" s="7360"/>
      <c r="L27" s="7358" t="s">
        <v>1522</v>
      </c>
      <c r="M27" s="7360"/>
      <c r="N27" s="7358" t="s">
        <v>1523</v>
      </c>
      <c r="O27" s="7360"/>
      <c r="P27" s="7358" t="s">
        <v>1524</v>
      </c>
      <c r="Q27" s="7360"/>
      <c r="R27" s="7358" t="s">
        <v>1525</v>
      </c>
      <c r="S27" s="7360"/>
      <c r="T27" s="6372" t="s">
        <v>966</v>
      </c>
      <c r="U27" s="7361"/>
      <c r="V27" s="5712" t="s">
        <v>4360</v>
      </c>
      <c r="W27" s="6137"/>
      <c r="X27" s="6494" t="s">
        <v>4361</v>
      </c>
      <c r="Y27" s="6494"/>
      <c r="Z27" s="6494"/>
      <c r="AA27" s="7363" t="s">
        <v>4365</v>
      </c>
      <c r="AB27" s="7363"/>
      <c r="AC27" s="7363"/>
      <c r="AD27" s="7363" t="s">
        <v>4368</v>
      </c>
      <c r="AE27" s="7363"/>
      <c r="AF27" s="7363"/>
      <c r="AG27" s="7367" t="s">
        <v>4375</v>
      </c>
      <c r="AH27" s="7367"/>
      <c r="AI27" s="7368"/>
      <c r="AJ27" s="6592"/>
      <c r="AK27" s="3986"/>
      <c r="AL27" s="3986"/>
      <c r="AM27" s="3986"/>
      <c r="AN27" s="3986"/>
      <c r="AO27" s="3986"/>
      <c r="AP27" s="3986"/>
      <c r="AQ27" s="3986"/>
      <c r="AR27" s="3986"/>
      <c r="AS27" s="3986"/>
      <c r="AT27" s="3986"/>
      <c r="AU27" s="3986"/>
      <c r="AV27" s="1470"/>
      <c r="AW27" s="1470"/>
      <c r="AX27" s="1470"/>
      <c r="AY27" s="1470"/>
      <c r="AZ27" s="3986"/>
      <c r="BA27" s="1470"/>
      <c r="BB27" s="1470"/>
      <c r="BC27" s="1470"/>
      <c r="BD27" s="1470"/>
      <c r="BW27" s="2549"/>
      <c r="BX27" s="2549"/>
      <c r="BY27" s="2549"/>
      <c r="BZ27" s="2549"/>
      <c r="CA27" s="5511"/>
      <c r="CE27" s="2549"/>
      <c r="CF27" s="2549"/>
      <c r="CG27" s="2549"/>
      <c r="CH27" s="2549"/>
      <c r="CI27" s="2549"/>
    </row>
    <row r="28" spans="1:87" ht="21.75" customHeight="1">
      <c r="A28" s="6154"/>
      <c r="B28" s="6298"/>
      <c r="C28" s="396" t="s">
        <v>93</v>
      </c>
      <c r="D28" s="397" t="s">
        <v>72</v>
      </c>
      <c r="E28" s="390" t="s">
        <v>73</v>
      </c>
      <c r="F28" s="396" t="s">
        <v>72</v>
      </c>
      <c r="G28" s="390" t="s">
        <v>73</v>
      </c>
      <c r="H28" s="396" t="s">
        <v>72</v>
      </c>
      <c r="I28" s="390" t="s">
        <v>73</v>
      </c>
      <c r="J28" s="397" t="s">
        <v>72</v>
      </c>
      <c r="K28" s="389" t="s">
        <v>73</v>
      </c>
      <c r="L28" s="396" t="s">
        <v>72</v>
      </c>
      <c r="M28" s="390" t="s">
        <v>73</v>
      </c>
      <c r="N28" s="396" t="s">
        <v>72</v>
      </c>
      <c r="O28" s="390" t="s">
        <v>73</v>
      </c>
      <c r="P28" s="396" t="s">
        <v>72</v>
      </c>
      <c r="Q28" s="390" t="s">
        <v>73</v>
      </c>
      <c r="R28" s="396" t="s">
        <v>72</v>
      </c>
      <c r="S28" s="390" t="s">
        <v>73</v>
      </c>
      <c r="T28" s="396" t="s">
        <v>72</v>
      </c>
      <c r="U28" s="1392" t="s">
        <v>73</v>
      </c>
      <c r="V28" s="1396" t="s">
        <v>4370</v>
      </c>
      <c r="W28" s="2473" t="s">
        <v>4371</v>
      </c>
      <c r="X28" s="1497" t="s">
        <v>4369</v>
      </c>
      <c r="Y28" s="1498" t="s">
        <v>4370</v>
      </c>
      <c r="Z28" s="5336" t="s">
        <v>4371</v>
      </c>
      <c r="AA28" s="5337" t="s">
        <v>4369</v>
      </c>
      <c r="AB28" s="5338" t="s">
        <v>4370</v>
      </c>
      <c r="AC28" s="5336" t="s">
        <v>4371</v>
      </c>
      <c r="AD28" s="5337" t="s">
        <v>4369</v>
      </c>
      <c r="AE28" s="5338" t="s">
        <v>4370</v>
      </c>
      <c r="AF28" s="5336" t="s">
        <v>4371</v>
      </c>
      <c r="AG28" s="5337" t="s">
        <v>4369</v>
      </c>
      <c r="AH28" s="5338" t="s">
        <v>4370</v>
      </c>
      <c r="AI28" s="5516" t="s">
        <v>4371</v>
      </c>
      <c r="AJ28" s="6393"/>
      <c r="AK28" s="3986"/>
      <c r="AL28" s="3986"/>
      <c r="AM28" s="3986"/>
      <c r="AN28" s="3986"/>
      <c r="AO28" s="3986"/>
      <c r="AP28" s="3986"/>
      <c r="AQ28" s="3986"/>
      <c r="AR28" s="3986"/>
      <c r="AS28" s="3986"/>
      <c r="AT28" s="3986"/>
      <c r="AU28" s="3986"/>
      <c r="AV28" s="1470"/>
      <c r="AW28" s="1470"/>
      <c r="AX28" s="1470"/>
      <c r="AY28" s="1470"/>
      <c r="AZ28" s="3986"/>
      <c r="BA28" s="1470"/>
      <c r="BB28" s="1470"/>
      <c r="BC28" s="1470"/>
      <c r="BD28" s="1470"/>
      <c r="BW28" s="2549"/>
      <c r="BX28" s="2549"/>
      <c r="BY28" s="2549"/>
      <c r="BZ28" s="2549"/>
      <c r="CA28" s="5511"/>
      <c r="CE28" s="2549"/>
      <c r="CF28" s="2549"/>
      <c r="CG28" s="2549"/>
      <c r="CH28" s="2549"/>
      <c r="CI28" s="2549"/>
    </row>
    <row r="29" spans="1:87" ht="15" customHeight="1">
      <c r="A29" s="7364" t="s">
        <v>4376</v>
      </c>
      <c r="B29" s="5517" t="s">
        <v>4377</v>
      </c>
      <c r="C29" s="3967">
        <f t="shared" ref="C29:C33" si="8">SUM(D29,E29)</f>
        <v>0</v>
      </c>
      <c r="D29" s="4713">
        <f t="shared" ref="D29:E50" si="9">SUM(F29,H29,J29,L29,N29,P29,R29,T29)</f>
        <v>0</v>
      </c>
      <c r="E29" s="3984">
        <f>SUM(G29,I29,K29,M29,O29,Q29,S29,U29)</f>
        <v>0</v>
      </c>
      <c r="F29" s="413"/>
      <c r="G29" s="2261"/>
      <c r="H29" s="413"/>
      <c r="I29" s="412"/>
      <c r="J29" s="411"/>
      <c r="K29" s="3665"/>
      <c r="L29" s="413"/>
      <c r="M29" s="412"/>
      <c r="N29" s="413"/>
      <c r="O29" s="412"/>
      <c r="P29" s="413"/>
      <c r="Q29" s="412"/>
      <c r="R29" s="413"/>
      <c r="S29" s="412"/>
      <c r="T29" s="413"/>
      <c r="U29" s="414"/>
      <c r="V29" s="423"/>
      <c r="W29" s="424"/>
      <c r="X29" s="448"/>
      <c r="Y29" s="3398"/>
      <c r="Z29" s="3398"/>
      <c r="AA29" s="448"/>
      <c r="AB29" s="3398"/>
      <c r="AC29" s="3398"/>
      <c r="AD29" s="448"/>
      <c r="AE29" s="3398"/>
      <c r="AF29" s="3398"/>
      <c r="AG29" s="448"/>
      <c r="AH29" s="3398"/>
      <c r="AI29" s="450"/>
      <c r="AJ29" s="3391"/>
      <c r="AK29" s="5501" t="str">
        <f t="shared" ref="AK29:AK71" si="10">$CA29</f>
        <v/>
      </c>
      <c r="AL29" s="385"/>
      <c r="AM29" s="385"/>
      <c r="AN29" s="385"/>
      <c r="AO29" s="385"/>
      <c r="AP29" s="385"/>
      <c r="AQ29" s="385"/>
      <c r="AR29" s="385"/>
      <c r="AS29" s="385"/>
      <c r="AT29" s="385"/>
      <c r="AU29" s="385"/>
      <c r="AV29" s="385"/>
      <c r="AW29" s="385"/>
      <c r="AX29" s="385"/>
      <c r="AY29" s="385"/>
      <c r="AZ29" s="385"/>
      <c r="BA29" s="385"/>
      <c r="BB29" s="385"/>
      <c r="BC29" s="385"/>
      <c r="BD29" s="385"/>
      <c r="BE29" s="385"/>
      <c r="BF29" s="385"/>
      <c r="BG29" s="385"/>
      <c r="BH29" s="385"/>
      <c r="BI29" s="385"/>
      <c r="BJ29" s="385"/>
      <c r="BK29" s="385"/>
      <c r="BL29" s="385"/>
      <c r="BM29" s="385"/>
      <c r="BN29" s="385"/>
      <c r="BO29" s="385"/>
      <c r="BP29" s="385"/>
      <c r="BQ29" s="385"/>
      <c r="BR29" s="385"/>
      <c r="BS29" s="385"/>
      <c r="BT29" s="385"/>
      <c r="BU29" s="385"/>
      <c r="BV29" s="385"/>
      <c r="CA29" s="3666" t="str">
        <f t="shared" ref="CA29:CA33" si="11">IF(AND($C29&lt;&gt;0,AJ29=""),"* No olvide ingresar la columna Pueblos Originarios, digite CERO si no tiene.  ",IF(AJ29&gt;$C29,"* El número de Pueblos Originarios no puede superar el Total  Ambos Sexos.  ",""))</f>
        <v/>
      </c>
      <c r="CB29" s="510"/>
      <c r="CC29" s="510"/>
      <c r="CD29" s="510"/>
      <c r="CE29" s="385"/>
      <c r="CF29" s="385"/>
      <c r="CG29" s="385"/>
      <c r="CH29" s="385"/>
      <c r="CI29" s="513">
        <f t="shared" ref="CI29:CI49" si="12">IF(AND($C29&lt;&gt;0,AJ29=""),1,IF(AJ29&gt;$C29,1,0))</f>
        <v>0</v>
      </c>
    </row>
    <row r="30" spans="1:87">
      <c r="A30" s="7364"/>
      <c r="B30" s="5518" t="s">
        <v>1066</v>
      </c>
      <c r="C30" s="3971">
        <f t="shared" si="8"/>
        <v>0</v>
      </c>
      <c r="D30" s="4713">
        <f t="shared" si="9"/>
        <v>0</v>
      </c>
      <c r="E30" s="3984">
        <f t="shared" si="9"/>
        <v>0</v>
      </c>
      <c r="F30" s="425"/>
      <c r="G30" s="2231"/>
      <c r="H30" s="425"/>
      <c r="I30" s="424"/>
      <c r="J30" s="423"/>
      <c r="K30" s="3588"/>
      <c r="L30" s="425"/>
      <c r="M30" s="424"/>
      <c r="N30" s="425"/>
      <c r="O30" s="424"/>
      <c r="P30" s="425"/>
      <c r="Q30" s="424"/>
      <c r="R30" s="425"/>
      <c r="S30" s="424"/>
      <c r="T30" s="425"/>
      <c r="U30" s="426"/>
      <c r="V30" s="423"/>
      <c r="W30" s="424"/>
      <c r="X30" s="425"/>
      <c r="Y30" s="3376"/>
      <c r="Z30" s="3376"/>
      <c r="AA30" s="425"/>
      <c r="AB30" s="3376"/>
      <c r="AC30" s="3376"/>
      <c r="AD30" s="425"/>
      <c r="AE30" s="3376"/>
      <c r="AF30" s="3376"/>
      <c r="AG30" s="425"/>
      <c r="AH30" s="3376"/>
      <c r="AI30" s="426"/>
      <c r="AJ30" s="3392"/>
      <c r="AK30" s="5501" t="str">
        <f t="shared" si="10"/>
        <v/>
      </c>
      <c r="AL30" s="385"/>
      <c r="AM30" s="385"/>
      <c r="AN30" s="385"/>
      <c r="AO30" s="385"/>
      <c r="AP30" s="385"/>
      <c r="AQ30" s="385"/>
      <c r="AR30" s="385"/>
      <c r="AS30" s="385"/>
      <c r="AT30" s="385"/>
      <c r="AU30" s="385"/>
      <c r="AV30" s="385"/>
      <c r="AW30" s="385"/>
      <c r="AX30" s="385"/>
      <c r="AY30" s="385"/>
      <c r="AZ30" s="385"/>
      <c r="BA30" s="385"/>
      <c r="BB30" s="385"/>
      <c r="BC30" s="385"/>
      <c r="BD30" s="385"/>
      <c r="BE30" s="385"/>
      <c r="BF30" s="385"/>
      <c r="BG30" s="385"/>
      <c r="BH30" s="385"/>
      <c r="BI30" s="385"/>
      <c r="BJ30" s="385"/>
      <c r="BK30" s="385"/>
      <c r="BL30" s="385"/>
      <c r="BM30" s="385"/>
      <c r="BN30" s="385"/>
      <c r="BO30" s="385"/>
      <c r="BP30" s="385"/>
      <c r="BQ30" s="385"/>
      <c r="BR30" s="385"/>
      <c r="BS30" s="385"/>
      <c r="BT30" s="385"/>
      <c r="BU30" s="385"/>
      <c r="BV30" s="385"/>
      <c r="CA30" s="3666" t="str">
        <f t="shared" si="11"/>
        <v/>
      </c>
      <c r="CB30" s="510"/>
      <c r="CC30" s="510"/>
      <c r="CD30" s="510"/>
      <c r="CE30" s="385"/>
      <c r="CF30" s="385"/>
      <c r="CG30" s="385"/>
      <c r="CH30" s="385"/>
      <c r="CI30" s="513">
        <f t="shared" si="12"/>
        <v>0</v>
      </c>
    </row>
    <row r="31" spans="1:87">
      <c r="A31" s="7364"/>
      <c r="B31" s="5518" t="s">
        <v>4378</v>
      </c>
      <c r="C31" s="3971">
        <f t="shared" si="8"/>
        <v>0</v>
      </c>
      <c r="D31" s="4713">
        <f t="shared" si="9"/>
        <v>0</v>
      </c>
      <c r="E31" s="3984">
        <f t="shared" si="9"/>
        <v>0</v>
      </c>
      <c r="F31" s="425"/>
      <c r="G31" s="2231"/>
      <c r="H31" s="425"/>
      <c r="I31" s="424"/>
      <c r="J31" s="423"/>
      <c r="K31" s="3588"/>
      <c r="L31" s="425"/>
      <c r="M31" s="424"/>
      <c r="N31" s="425"/>
      <c r="O31" s="424"/>
      <c r="P31" s="425"/>
      <c r="Q31" s="424"/>
      <c r="R31" s="425"/>
      <c r="S31" s="424"/>
      <c r="T31" s="425"/>
      <c r="U31" s="426"/>
      <c r="V31" s="423"/>
      <c r="W31" s="424"/>
      <c r="X31" s="425"/>
      <c r="Y31" s="3376"/>
      <c r="Z31" s="3376"/>
      <c r="AA31" s="425"/>
      <c r="AB31" s="3376"/>
      <c r="AC31" s="3376"/>
      <c r="AD31" s="425"/>
      <c r="AE31" s="3376"/>
      <c r="AF31" s="3376"/>
      <c r="AG31" s="425"/>
      <c r="AH31" s="3376"/>
      <c r="AI31" s="426"/>
      <c r="AJ31" s="3392"/>
      <c r="AK31" s="5501" t="str">
        <f t="shared" si="10"/>
        <v/>
      </c>
      <c r="AL31" s="385"/>
      <c r="AM31" s="385"/>
      <c r="AN31" s="385"/>
      <c r="AO31" s="385"/>
      <c r="AP31" s="385"/>
      <c r="AQ31" s="385"/>
      <c r="AR31" s="385"/>
      <c r="AS31" s="385"/>
      <c r="AT31" s="385"/>
      <c r="AU31" s="385"/>
      <c r="AV31" s="385"/>
      <c r="AW31" s="385"/>
      <c r="AX31" s="385"/>
      <c r="AY31" s="385"/>
      <c r="AZ31" s="385"/>
      <c r="BA31" s="385"/>
      <c r="BB31" s="385"/>
      <c r="BC31" s="385"/>
      <c r="BD31" s="385"/>
      <c r="BE31" s="385"/>
      <c r="BF31" s="385"/>
      <c r="BG31" s="385"/>
      <c r="BH31" s="385"/>
      <c r="BI31" s="385"/>
      <c r="BJ31" s="385"/>
      <c r="BK31" s="385"/>
      <c r="BL31" s="385"/>
      <c r="BM31" s="385"/>
      <c r="BN31" s="385"/>
      <c r="BO31" s="385"/>
      <c r="BP31" s="385"/>
      <c r="BQ31" s="385"/>
      <c r="BR31" s="385"/>
      <c r="BS31" s="385"/>
      <c r="BT31" s="385"/>
      <c r="BU31" s="385"/>
      <c r="BV31" s="385"/>
      <c r="CA31" s="3666" t="str">
        <f t="shared" si="11"/>
        <v/>
      </c>
      <c r="CB31" s="510"/>
      <c r="CC31" s="510"/>
      <c r="CD31" s="510"/>
      <c r="CE31" s="385"/>
      <c r="CF31" s="385"/>
      <c r="CG31" s="385"/>
      <c r="CH31" s="385"/>
      <c r="CI31" s="513">
        <f t="shared" si="12"/>
        <v>0</v>
      </c>
    </row>
    <row r="32" spans="1:87">
      <c r="A32" s="7364"/>
      <c r="B32" s="5519" t="s">
        <v>4379</v>
      </c>
      <c r="C32" s="4004">
        <f t="shared" si="8"/>
        <v>0</v>
      </c>
      <c r="D32" s="4081">
        <f t="shared" si="9"/>
        <v>0</v>
      </c>
      <c r="E32" s="3980">
        <f t="shared" si="9"/>
        <v>0</v>
      </c>
      <c r="F32" s="432"/>
      <c r="G32" s="2235"/>
      <c r="H32" s="432"/>
      <c r="I32" s="433"/>
      <c r="J32" s="3385"/>
      <c r="K32" s="3385"/>
      <c r="L32" s="432"/>
      <c r="M32" s="433"/>
      <c r="N32" s="432"/>
      <c r="O32" s="433"/>
      <c r="P32" s="432"/>
      <c r="Q32" s="433"/>
      <c r="R32" s="432"/>
      <c r="S32" s="433"/>
      <c r="T32" s="432"/>
      <c r="U32" s="445"/>
      <c r="V32" s="3385"/>
      <c r="W32" s="433"/>
      <c r="X32" s="3419"/>
      <c r="Y32" s="3420"/>
      <c r="Z32" s="3420"/>
      <c r="AA32" s="3419"/>
      <c r="AB32" s="3420"/>
      <c r="AC32" s="3420"/>
      <c r="AD32" s="3419"/>
      <c r="AE32" s="3420"/>
      <c r="AF32" s="3420"/>
      <c r="AG32" s="3419"/>
      <c r="AH32" s="3420"/>
      <c r="AI32" s="3573"/>
      <c r="AJ32" s="3680"/>
      <c r="AK32" s="5501" t="str">
        <f t="shared" si="10"/>
        <v/>
      </c>
      <c r="AL32" s="385"/>
      <c r="AM32" s="385"/>
      <c r="AN32" s="385"/>
      <c r="AO32" s="385"/>
      <c r="AP32" s="385"/>
      <c r="AQ32" s="385"/>
      <c r="AR32" s="385"/>
      <c r="AS32" s="385"/>
      <c r="AT32" s="385"/>
      <c r="AU32" s="385"/>
      <c r="AV32" s="385"/>
      <c r="AW32" s="385"/>
      <c r="AX32" s="385"/>
      <c r="AY32" s="385"/>
      <c r="AZ32" s="385"/>
      <c r="BA32" s="385"/>
      <c r="BB32" s="385"/>
      <c r="BC32" s="385"/>
      <c r="BD32" s="385"/>
      <c r="BE32" s="385"/>
      <c r="BF32" s="385"/>
      <c r="BG32" s="385"/>
      <c r="BH32" s="385"/>
      <c r="BI32" s="385"/>
      <c r="BJ32" s="385"/>
      <c r="BK32" s="385"/>
      <c r="BL32" s="385"/>
      <c r="BM32" s="385"/>
      <c r="BN32" s="385"/>
      <c r="BO32" s="385"/>
      <c r="BP32" s="385"/>
      <c r="BQ32" s="385"/>
      <c r="BR32" s="385"/>
      <c r="BS32" s="385"/>
      <c r="BT32" s="385"/>
      <c r="BU32" s="385"/>
      <c r="BV32" s="385"/>
      <c r="CA32" s="3666" t="str">
        <f t="shared" si="11"/>
        <v/>
      </c>
      <c r="CB32" s="510"/>
      <c r="CC32" s="510"/>
      <c r="CD32" s="510"/>
      <c r="CE32" s="385"/>
      <c r="CF32" s="385"/>
      <c r="CG32" s="385"/>
      <c r="CH32" s="385"/>
      <c r="CI32" s="513">
        <f t="shared" si="12"/>
        <v>0</v>
      </c>
    </row>
    <row r="33" spans="1:87">
      <c r="A33" s="7364"/>
      <c r="B33" s="4587" t="s">
        <v>4380</v>
      </c>
      <c r="C33" s="3981">
        <f t="shared" si="8"/>
        <v>0</v>
      </c>
      <c r="D33" s="4719">
        <f t="shared" si="9"/>
        <v>0</v>
      </c>
      <c r="E33" s="3988">
        <f t="shared" si="9"/>
        <v>0</v>
      </c>
      <c r="F33" s="413"/>
      <c r="G33" s="2261"/>
      <c r="H33" s="413"/>
      <c r="I33" s="412"/>
      <c r="J33" s="411"/>
      <c r="K33" s="411"/>
      <c r="L33" s="413"/>
      <c r="M33" s="412"/>
      <c r="N33" s="413"/>
      <c r="O33" s="412"/>
      <c r="P33" s="413"/>
      <c r="Q33" s="412"/>
      <c r="R33" s="413"/>
      <c r="S33" s="412"/>
      <c r="T33" s="413"/>
      <c r="U33" s="414"/>
      <c r="V33" s="5520"/>
      <c r="W33" s="2269"/>
      <c r="X33" s="2256"/>
      <c r="Y33" s="2257"/>
      <c r="Z33" s="2257"/>
      <c r="AA33" s="2256"/>
      <c r="AB33" s="2257"/>
      <c r="AC33" s="2269"/>
      <c r="AD33" s="2268"/>
      <c r="AE33" s="2257"/>
      <c r="AF33" s="2269"/>
      <c r="AG33" s="2268"/>
      <c r="AH33" s="2257"/>
      <c r="AI33" s="5521"/>
      <c r="AJ33" s="2259"/>
      <c r="AK33" s="5501" t="str">
        <f t="shared" si="10"/>
        <v/>
      </c>
      <c r="AL33" s="385"/>
      <c r="AM33" s="385"/>
      <c r="AN33" s="385"/>
      <c r="AO33" s="385"/>
      <c r="AP33" s="385"/>
      <c r="AQ33" s="385"/>
      <c r="AR33" s="385"/>
      <c r="AS33" s="385"/>
      <c r="AT33" s="385"/>
      <c r="AU33" s="385"/>
      <c r="AV33" s="385"/>
      <c r="AW33" s="385"/>
      <c r="AX33" s="385"/>
      <c r="AY33" s="385"/>
      <c r="AZ33" s="385"/>
      <c r="BA33" s="385"/>
      <c r="BB33" s="385"/>
      <c r="BC33" s="385"/>
      <c r="BD33" s="385"/>
      <c r="BE33" s="385"/>
      <c r="BF33" s="385"/>
      <c r="BG33" s="385"/>
      <c r="BH33" s="385"/>
      <c r="BI33" s="385"/>
      <c r="BJ33" s="385"/>
      <c r="BK33" s="385"/>
      <c r="BL33" s="385"/>
      <c r="BM33" s="385"/>
      <c r="BN33" s="385"/>
      <c r="BO33" s="385"/>
      <c r="BP33" s="385"/>
      <c r="BQ33" s="385"/>
      <c r="BR33" s="385"/>
      <c r="BS33" s="385"/>
      <c r="BT33" s="385"/>
      <c r="BU33" s="385"/>
      <c r="BV33" s="385"/>
      <c r="CA33" s="3666" t="str">
        <f t="shared" si="11"/>
        <v/>
      </c>
      <c r="CB33" s="510"/>
      <c r="CC33" s="510"/>
      <c r="CD33" s="510"/>
      <c r="CE33" s="385"/>
      <c r="CF33" s="385"/>
      <c r="CG33" s="385"/>
      <c r="CH33" s="385"/>
      <c r="CI33" s="513">
        <f t="shared" si="12"/>
        <v>0</v>
      </c>
    </row>
    <row r="34" spans="1:87">
      <c r="A34" s="5710" t="s">
        <v>91</v>
      </c>
      <c r="B34" s="5710"/>
      <c r="C34" s="4075">
        <f>SUM(C29:C33)</f>
        <v>0</v>
      </c>
      <c r="D34" s="5035">
        <f t="shared" si="9"/>
        <v>0</v>
      </c>
      <c r="E34" s="5034">
        <f>SUM(G34,I34,K34,M34,O34,Q34,S34,U34)</f>
        <v>0</v>
      </c>
      <c r="F34" s="2238">
        <f>SUM(F29:F33)</f>
        <v>0</v>
      </c>
      <c r="G34" s="2243">
        <f t="shared" ref="G34:U34" si="13">SUM(G29:G33)</f>
        <v>0</v>
      </c>
      <c r="H34" s="2238">
        <f t="shared" si="13"/>
        <v>0</v>
      </c>
      <c r="I34" s="2918">
        <f t="shared" si="13"/>
        <v>0</v>
      </c>
      <c r="J34" s="2243">
        <f t="shared" si="13"/>
        <v>0</v>
      </c>
      <c r="K34" s="2243">
        <f t="shared" si="13"/>
        <v>0</v>
      </c>
      <c r="L34" s="2238">
        <f t="shared" si="13"/>
        <v>0</v>
      </c>
      <c r="M34" s="2243">
        <f t="shared" si="13"/>
        <v>0</v>
      </c>
      <c r="N34" s="2238">
        <f t="shared" si="13"/>
        <v>0</v>
      </c>
      <c r="O34" s="2243">
        <f t="shared" si="13"/>
        <v>0</v>
      </c>
      <c r="P34" s="2238">
        <f t="shared" si="13"/>
        <v>0</v>
      </c>
      <c r="Q34" s="2243">
        <f t="shared" si="13"/>
        <v>0</v>
      </c>
      <c r="R34" s="2238">
        <f t="shared" si="13"/>
        <v>0</v>
      </c>
      <c r="S34" s="2243">
        <f t="shared" si="13"/>
        <v>0</v>
      </c>
      <c r="T34" s="2238">
        <f t="shared" si="13"/>
        <v>0</v>
      </c>
      <c r="U34" s="2969">
        <f t="shared" si="13"/>
        <v>0</v>
      </c>
      <c r="V34" s="5522"/>
      <c r="W34" s="5523"/>
      <c r="X34" s="5522"/>
      <c r="Y34" s="5523"/>
      <c r="Z34" s="5524"/>
      <c r="AA34" s="5523"/>
      <c r="AB34" s="5523"/>
      <c r="AC34" s="5524"/>
      <c r="AD34" s="5523"/>
      <c r="AE34" s="5523"/>
      <c r="AF34" s="5524"/>
      <c r="AG34" s="5523"/>
      <c r="AH34" s="5523"/>
      <c r="AI34" s="5525"/>
      <c r="AJ34" s="5526">
        <f>SUM(AJ29:AJ33)</f>
        <v>0</v>
      </c>
      <c r="AV34" s="2549"/>
      <c r="AW34" s="2549"/>
      <c r="AX34" s="2549"/>
      <c r="AY34" s="2549"/>
      <c r="BA34" s="2549"/>
      <c r="BB34" s="2549"/>
      <c r="BC34" s="2549"/>
      <c r="BD34" s="2549"/>
      <c r="BE34" s="2549"/>
      <c r="BF34" s="2549"/>
      <c r="BG34" s="2549"/>
      <c r="BH34" s="2549"/>
      <c r="BI34" s="2549"/>
      <c r="BJ34" s="2549"/>
      <c r="BK34" s="2549"/>
      <c r="BL34" s="2549"/>
      <c r="BM34" s="2549"/>
      <c r="BN34" s="2549"/>
      <c r="BO34" s="2549"/>
      <c r="BP34" s="2549"/>
      <c r="BQ34" s="2549"/>
      <c r="BR34" s="2549"/>
      <c r="BS34" s="2549"/>
      <c r="BT34" s="2549"/>
      <c r="BU34" s="2549"/>
      <c r="BV34" s="2549"/>
      <c r="BW34" s="2549"/>
      <c r="BX34" s="2549"/>
      <c r="BY34" s="2549"/>
      <c r="BZ34" s="2549"/>
      <c r="CA34" s="5511"/>
      <c r="CE34" s="2549"/>
      <c r="CF34" s="2549"/>
      <c r="CG34" s="2549"/>
      <c r="CH34" s="2549"/>
      <c r="CI34" s="2549"/>
    </row>
    <row r="35" spans="1:87">
      <c r="A35" s="6142" t="s">
        <v>4381</v>
      </c>
      <c r="B35" s="5498" t="s">
        <v>4378</v>
      </c>
      <c r="C35" s="3967">
        <f t="shared" ref="C35:C39" si="14">SUM(D35,E35)</f>
        <v>0</v>
      </c>
      <c r="D35" s="4713">
        <f t="shared" si="9"/>
        <v>0</v>
      </c>
      <c r="E35" s="3984">
        <f t="shared" si="9"/>
        <v>0</v>
      </c>
      <c r="F35" s="425"/>
      <c r="G35" s="2231"/>
      <c r="H35" s="425"/>
      <c r="I35" s="2231"/>
      <c r="J35" s="423"/>
      <c r="K35" s="2231"/>
      <c r="L35" s="425"/>
      <c r="M35" s="2231"/>
      <c r="N35" s="425"/>
      <c r="O35" s="2231"/>
      <c r="P35" s="425"/>
      <c r="Q35" s="2231"/>
      <c r="R35" s="425"/>
      <c r="S35" s="2231"/>
      <c r="T35" s="425"/>
      <c r="U35" s="3412"/>
      <c r="V35" s="411"/>
      <c r="W35" s="2261"/>
      <c r="X35" s="448"/>
      <c r="Y35" s="3398"/>
      <c r="Z35" s="3398"/>
      <c r="AA35" s="448"/>
      <c r="AB35" s="3398"/>
      <c r="AC35" s="3398"/>
      <c r="AD35" s="448"/>
      <c r="AE35" s="3398"/>
      <c r="AF35" s="449"/>
      <c r="AG35" s="2307"/>
      <c r="AH35" s="3398"/>
      <c r="AI35" s="450"/>
      <c r="AJ35" s="3391"/>
      <c r="AK35" s="5501" t="str">
        <f t="shared" si="10"/>
        <v/>
      </c>
      <c r="AL35" s="385"/>
      <c r="AM35" s="385"/>
      <c r="AN35" s="385"/>
      <c r="AO35" s="385"/>
      <c r="AP35" s="385"/>
      <c r="AQ35" s="385"/>
      <c r="AR35" s="385"/>
      <c r="AS35" s="385"/>
      <c r="AT35" s="385"/>
      <c r="AU35" s="385"/>
      <c r="AV35" s="385"/>
      <c r="AW35" s="385"/>
      <c r="AX35" s="385"/>
      <c r="AY35" s="385"/>
      <c r="AZ35" s="385"/>
      <c r="BA35" s="385"/>
      <c r="BB35" s="385"/>
      <c r="BC35" s="385"/>
      <c r="BD35" s="385"/>
      <c r="BE35" s="385"/>
      <c r="BF35" s="385"/>
      <c r="BG35" s="385"/>
      <c r="BH35" s="385"/>
      <c r="BI35" s="385"/>
      <c r="BJ35" s="385"/>
      <c r="BK35" s="385"/>
      <c r="BL35" s="385"/>
      <c r="BM35" s="385"/>
      <c r="BN35" s="385"/>
      <c r="BO35" s="385"/>
      <c r="BP35" s="385"/>
      <c r="BQ35" s="385"/>
      <c r="BR35" s="385"/>
      <c r="BS35" s="385"/>
      <c r="BT35" s="385"/>
      <c r="BU35" s="385"/>
      <c r="BV35" s="385"/>
      <c r="CA35" s="3666" t="str">
        <f t="shared" ref="CA35:CA49" si="15">IF(AND($C35&lt;&gt;0,AJ35=""),"* No olvide ingresar la columna Pueblos Originarios, digite CERO si no tiene.  ",IF(AJ35&gt;$C35,"* El número de Pueblos Originarios no puede superar el Total Ambos Sexos.  ",""))</f>
        <v/>
      </c>
      <c r="CB35" s="510"/>
      <c r="CC35" s="510"/>
      <c r="CD35" s="510"/>
      <c r="CE35" s="385"/>
      <c r="CF35" s="385"/>
      <c r="CG35" s="385"/>
      <c r="CH35" s="385"/>
      <c r="CI35" s="513">
        <f t="shared" si="12"/>
        <v>0</v>
      </c>
    </row>
    <row r="36" spans="1:87">
      <c r="A36" s="6142"/>
      <c r="B36" s="5502" t="s">
        <v>4382</v>
      </c>
      <c r="C36" s="3971">
        <f t="shared" si="14"/>
        <v>0</v>
      </c>
      <c r="D36" s="4713">
        <f t="shared" si="9"/>
        <v>0</v>
      </c>
      <c r="E36" s="3984">
        <f t="shared" si="9"/>
        <v>0</v>
      </c>
      <c r="F36" s="425"/>
      <c r="G36" s="2231"/>
      <c r="H36" s="425"/>
      <c r="I36" s="2231"/>
      <c r="J36" s="423"/>
      <c r="K36" s="2231"/>
      <c r="L36" s="425"/>
      <c r="M36" s="2231"/>
      <c r="N36" s="425"/>
      <c r="O36" s="2231"/>
      <c r="P36" s="425"/>
      <c r="Q36" s="2231"/>
      <c r="R36" s="425"/>
      <c r="S36" s="2231"/>
      <c r="T36" s="425"/>
      <c r="U36" s="3412"/>
      <c r="V36" s="423"/>
      <c r="W36" s="2231"/>
      <c r="X36" s="425"/>
      <c r="Y36" s="3376"/>
      <c r="Z36" s="3376"/>
      <c r="AA36" s="425"/>
      <c r="AB36" s="3376"/>
      <c r="AC36" s="3376"/>
      <c r="AD36" s="425"/>
      <c r="AE36" s="3376"/>
      <c r="AF36" s="3376"/>
      <c r="AG36" s="425"/>
      <c r="AH36" s="3376"/>
      <c r="AI36" s="426"/>
      <c r="AJ36" s="3392"/>
      <c r="AK36" s="5501" t="str">
        <f t="shared" si="10"/>
        <v/>
      </c>
      <c r="AL36" s="385"/>
      <c r="AM36" s="385"/>
      <c r="AN36" s="385"/>
      <c r="AO36" s="385"/>
      <c r="AP36" s="385"/>
      <c r="AQ36" s="385"/>
      <c r="AR36" s="385"/>
      <c r="AS36" s="385"/>
      <c r="AT36" s="385"/>
      <c r="AU36" s="385"/>
      <c r="AV36" s="385"/>
      <c r="AW36" s="385"/>
      <c r="AX36" s="385"/>
      <c r="AY36" s="385"/>
      <c r="AZ36" s="385"/>
      <c r="BA36" s="385"/>
      <c r="BB36" s="385"/>
      <c r="BC36" s="385"/>
      <c r="BD36" s="385"/>
      <c r="BE36" s="385"/>
      <c r="BF36" s="385"/>
      <c r="BG36" s="385"/>
      <c r="BH36" s="385"/>
      <c r="BI36" s="385"/>
      <c r="BJ36" s="385"/>
      <c r="BK36" s="385"/>
      <c r="BL36" s="385"/>
      <c r="BM36" s="385"/>
      <c r="BN36" s="385"/>
      <c r="BO36" s="385"/>
      <c r="BP36" s="385"/>
      <c r="BQ36" s="385"/>
      <c r="BR36" s="385"/>
      <c r="BS36" s="385"/>
      <c r="BT36" s="385"/>
      <c r="BU36" s="385"/>
      <c r="BV36" s="385"/>
      <c r="CA36" s="3666" t="str">
        <f t="shared" si="15"/>
        <v/>
      </c>
      <c r="CB36" s="510"/>
      <c r="CC36" s="510"/>
      <c r="CD36" s="510"/>
      <c r="CE36" s="385"/>
      <c r="CF36" s="385"/>
      <c r="CG36" s="385"/>
      <c r="CH36" s="385"/>
      <c r="CI36" s="513">
        <f t="shared" si="12"/>
        <v>0</v>
      </c>
    </row>
    <row r="37" spans="1:87">
      <c r="A37" s="6142"/>
      <c r="B37" s="5502" t="s">
        <v>4383</v>
      </c>
      <c r="C37" s="3971">
        <f t="shared" si="14"/>
        <v>0</v>
      </c>
      <c r="D37" s="4713">
        <f t="shared" si="9"/>
        <v>0</v>
      </c>
      <c r="E37" s="3984">
        <f t="shared" si="9"/>
        <v>0</v>
      </c>
      <c r="F37" s="425"/>
      <c r="G37" s="2231"/>
      <c r="H37" s="425"/>
      <c r="I37" s="2231"/>
      <c r="J37" s="423"/>
      <c r="K37" s="2231"/>
      <c r="L37" s="425"/>
      <c r="M37" s="2231"/>
      <c r="N37" s="425"/>
      <c r="O37" s="2231"/>
      <c r="P37" s="425"/>
      <c r="Q37" s="2231"/>
      <c r="R37" s="425"/>
      <c r="S37" s="2231"/>
      <c r="T37" s="425"/>
      <c r="U37" s="3412"/>
      <c r="V37" s="423"/>
      <c r="W37" s="2231"/>
      <c r="X37" s="425"/>
      <c r="Y37" s="3376"/>
      <c r="Z37" s="3376"/>
      <c r="AA37" s="425"/>
      <c r="AB37" s="3376"/>
      <c r="AC37" s="3376"/>
      <c r="AD37" s="425"/>
      <c r="AE37" s="3376"/>
      <c r="AF37" s="3376"/>
      <c r="AG37" s="425"/>
      <c r="AH37" s="3376"/>
      <c r="AI37" s="426"/>
      <c r="AJ37" s="3392"/>
      <c r="AK37" s="5501" t="str">
        <f t="shared" si="10"/>
        <v/>
      </c>
      <c r="AL37" s="385"/>
      <c r="AM37" s="385"/>
      <c r="AN37" s="385"/>
      <c r="AO37" s="385"/>
      <c r="AP37" s="385"/>
      <c r="AQ37" s="385"/>
      <c r="AR37" s="385"/>
      <c r="AS37" s="385"/>
      <c r="AT37" s="385"/>
      <c r="AU37" s="385"/>
      <c r="AV37" s="385"/>
      <c r="AW37" s="385"/>
      <c r="AX37" s="385"/>
      <c r="AY37" s="385"/>
      <c r="AZ37" s="385"/>
      <c r="BA37" s="385"/>
      <c r="BB37" s="385"/>
      <c r="BC37" s="385"/>
      <c r="BD37" s="385"/>
      <c r="BE37" s="385"/>
      <c r="BF37" s="385"/>
      <c r="BG37" s="385"/>
      <c r="BH37" s="385"/>
      <c r="BI37" s="385"/>
      <c r="BJ37" s="385"/>
      <c r="BK37" s="385"/>
      <c r="BL37" s="385"/>
      <c r="BM37" s="385"/>
      <c r="BN37" s="385"/>
      <c r="BO37" s="385"/>
      <c r="BP37" s="385"/>
      <c r="BQ37" s="385"/>
      <c r="BR37" s="385"/>
      <c r="BS37" s="385"/>
      <c r="BT37" s="385"/>
      <c r="BU37" s="385"/>
      <c r="BV37" s="385"/>
      <c r="CA37" s="3666" t="str">
        <f t="shared" si="15"/>
        <v/>
      </c>
      <c r="CB37" s="510"/>
      <c r="CC37" s="510"/>
      <c r="CD37" s="510"/>
      <c r="CE37" s="385"/>
      <c r="CF37" s="385"/>
      <c r="CG37" s="385"/>
      <c r="CH37" s="385"/>
      <c r="CI37" s="513">
        <f t="shared" si="12"/>
        <v>0</v>
      </c>
    </row>
    <row r="38" spans="1:87">
      <c r="A38" s="6142"/>
      <c r="B38" s="5502" t="s">
        <v>1066</v>
      </c>
      <c r="C38" s="3971">
        <f t="shared" si="14"/>
        <v>0</v>
      </c>
      <c r="D38" s="4713">
        <f t="shared" si="9"/>
        <v>0</v>
      </c>
      <c r="E38" s="3984">
        <f t="shared" si="9"/>
        <v>0</v>
      </c>
      <c r="F38" s="425"/>
      <c r="G38" s="2231"/>
      <c r="H38" s="425"/>
      <c r="I38" s="2231"/>
      <c r="J38" s="423"/>
      <c r="K38" s="2231"/>
      <c r="L38" s="425"/>
      <c r="M38" s="2231"/>
      <c r="N38" s="425"/>
      <c r="O38" s="2231"/>
      <c r="P38" s="425"/>
      <c r="Q38" s="2231"/>
      <c r="R38" s="425"/>
      <c r="S38" s="2231"/>
      <c r="T38" s="425"/>
      <c r="U38" s="3412"/>
      <c r="V38" s="423"/>
      <c r="W38" s="2231"/>
      <c r="X38" s="425"/>
      <c r="Y38" s="3376"/>
      <c r="Z38" s="3376"/>
      <c r="AA38" s="425"/>
      <c r="AB38" s="3376"/>
      <c r="AC38" s="3376"/>
      <c r="AD38" s="425"/>
      <c r="AE38" s="3376"/>
      <c r="AF38" s="3376"/>
      <c r="AG38" s="3419"/>
      <c r="AH38" s="3376"/>
      <c r="AI38" s="426"/>
      <c r="AJ38" s="3680"/>
      <c r="AK38" s="5501" t="str">
        <f t="shared" si="10"/>
        <v/>
      </c>
      <c r="AL38" s="385"/>
      <c r="AM38" s="385"/>
      <c r="AN38" s="385"/>
      <c r="AO38" s="385"/>
      <c r="AP38" s="385"/>
      <c r="AQ38" s="385"/>
      <c r="AR38" s="385"/>
      <c r="AS38" s="385"/>
      <c r="AT38" s="385"/>
      <c r="AU38" s="385"/>
      <c r="AV38" s="385"/>
      <c r="AW38" s="385"/>
      <c r="AX38" s="385"/>
      <c r="AY38" s="385"/>
      <c r="AZ38" s="385"/>
      <c r="BA38" s="385"/>
      <c r="BB38" s="385"/>
      <c r="BC38" s="385"/>
      <c r="BD38" s="385"/>
      <c r="BE38" s="385"/>
      <c r="BF38" s="385"/>
      <c r="BG38" s="385"/>
      <c r="BH38" s="385"/>
      <c r="BI38" s="385"/>
      <c r="BJ38" s="385"/>
      <c r="BK38" s="385"/>
      <c r="BL38" s="385"/>
      <c r="BM38" s="385"/>
      <c r="BN38" s="385"/>
      <c r="BO38" s="385"/>
      <c r="BP38" s="385"/>
      <c r="BQ38" s="385"/>
      <c r="BR38" s="385"/>
      <c r="BS38" s="385"/>
      <c r="BT38" s="385"/>
      <c r="BU38" s="385"/>
      <c r="BV38" s="385"/>
      <c r="CA38" s="3666" t="str">
        <f t="shared" si="15"/>
        <v/>
      </c>
      <c r="CB38" s="510"/>
      <c r="CC38" s="510"/>
      <c r="CD38" s="510"/>
      <c r="CE38" s="385"/>
      <c r="CF38" s="385"/>
      <c r="CG38" s="385"/>
      <c r="CH38" s="385"/>
      <c r="CI38" s="513">
        <f t="shared" si="12"/>
        <v>0</v>
      </c>
    </row>
    <row r="39" spans="1:87">
      <c r="A39" s="6142"/>
      <c r="B39" s="5502" t="s">
        <v>1065</v>
      </c>
      <c r="C39" s="4004">
        <f t="shared" si="14"/>
        <v>0</v>
      </c>
      <c r="D39" s="4719">
        <f t="shared" si="9"/>
        <v>0</v>
      </c>
      <c r="E39" s="3988">
        <f t="shared" si="9"/>
        <v>0</v>
      </c>
      <c r="F39" s="425"/>
      <c r="G39" s="2231"/>
      <c r="H39" s="425"/>
      <c r="I39" s="2231"/>
      <c r="J39" s="423"/>
      <c r="K39" s="2231"/>
      <c r="L39" s="425"/>
      <c r="M39" s="2231"/>
      <c r="N39" s="425"/>
      <c r="O39" s="2231"/>
      <c r="P39" s="425"/>
      <c r="Q39" s="2231"/>
      <c r="R39" s="425"/>
      <c r="S39" s="2231"/>
      <c r="T39" s="425"/>
      <c r="U39" s="426"/>
      <c r="V39" s="423"/>
      <c r="W39" s="2231"/>
      <c r="X39" s="425"/>
      <c r="Y39" s="3376"/>
      <c r="Z39" s="3376"/>
      <c r="AA39" s="425"/>
      <c r="AB39" s="3376"/>
      <c r="AC39" s="3376"/>
      <c r="AD39" s="425"/>
      <c r="AE39" s="3376"/>
      <c r="AF39" s="3376"/>
      <c r="AG39" s="432"/>
      <c r="AH39" s="3370"/>
      <c r="AI39" s="414"/>
      <c r="AJ39" s="3393"/>
      <c r="AK39" s="5501" t="str">
        <f t="shared" si="10"/>
        <v/>
      </c>
      <c r="AL39" s="385"/>
      <c r="AM39" s="385"/>
      <c r="AN39" s="385"/>
      <c r="AO39" s="385"/>
      <c r="AP39" s="385"/>
      <c r="AQ39" s="385"/>
      <c r="AR39" s="385"/>
      <c r="AS39" s="385"/>
      <c r="AT39" s="385"/>
      <c r="AU39" s="385"/>
      <c r="AV39" s="385"/>
      <c r="AW39" s="385"/>
      <c r="AX39" s="385"/>
      <c r="AY39" s="385"/>
      <c r="AZ39" s="385"/>
      <c r="BA39" s="385"/>
      <c r="BB39" s="385"/>
      <c r="BC39" s="385"/>
      <c r="BD39" s="385"/>
      <c r="BE39" s="385"/>
      <c r="BF39" s="385"/>
      <c r="BG39" s="385"/>
      <c r="BH39" s="385"/>
      <c r="BI39" s="385"/>
      <c r="BJ39" s="385"/>
      <c r="BK39" s="385"/>
      <c r="BL39" s="385"/>
      <c r="BM39" s="385"/>
      <c r="BN39" s="385"/>
      <c r="BO39" s="385"/>
      <c r="BP39" s="385"/>
      <c r="BQ39" s="385"/>
      <c r="BR39" s="385"/>
      <c r="BS39" s="385"/>
      <c r="BT39" s="385"/>
      <c r="BU39" s="385"/>
      <c r="BV39" s="385"/>
      <c r="CA39" s="3666" t="str">
        <f t="shared" si="15"/>
        <v/>
      </c>
      <c r="CB39" s="510"/>
      <c r="CC39" s="510"/>
      <c r="CD39" s="510"/>
      <c r="CE39" s="385"/>
      <c r="CF39" s="385"/>
      <c r="CG39" s="385"/>
      <c r="CH39" s="385"/>
      <c r="CI39" s="513">
        <f t="shared" si="12"/>
        <v>0</v>
      </c>
    </row>
    <row r="40" spans="1:87">
      <c r="A40" s="5710" t="s">
        <v>91</v>
      </c>
      <c r="B40" s="5710"/>
      <c r="C40" s="4075">
        <f>SUM(C35:C39)</f>
        <v>0</v>
      </c>
      <c r="D40" s="5035">
        <f t="shared" si="9"/>
        <v>0</v>
      </c>
      <c r="E40" s="5034">
        <f t="shared" si="9"/>
        <v>0</v>
      </c>
      <c r="F40" s="2238">
        <f t="shared" ref="F40:U46" si="16">SUM(F35:F39)</f>
        <v>0</v>
      </c>
      <c r="G40" s="2243">
        <f t="shared" si="16"/>
        <v>0</v>
      </c>
      <c r="H40" s="2238">
        <f t="shared" si="16"/>
        <v>0</v>
      </c>
      <c r="I40" s="2918">
        <f t="shared" si="16"/>
        <v>0</v>
      </c>
      <c r="J40" s="2243">
        <f t="shared" si="16"/>
        <v>0</v>
      </c>
      <c r="K40" s="2243">
        <f t="shared" si="16"/>
        <v>0</v>
      </c>
      <c r="L40" s="2238">
        <f t="shared" si="16"/>
        <v>0</v>
      </c>
      <c r="M40" s="2243">
        <f t="shared" si="16"/>
        <v>0</v>
      </c>
      <c r="N40" s="2238">
        <f t="shared" si="16"/>
        <v>0</v>
      </c>
      <c r="O40" s="2243">
        <f t="shared" si="16"/>
        <v>0</v>
      </c>
      <c r="P40" s="2238">
        <f t="shared" si="16"/>
        <v>0</v>
      </c>
      <c r="Q40" s="2243">
        <f>SUM(Q35:Q39)</f>
        <v>0</v>
      </c>
      <c r="R40" s="2238">
        <f>SUM(R35:R39)</f>
        <v>0</v>
      </c>
      <c r="S40" s="2243">
        <f t="shared" si="16"/>
        <v>0</v>
      </c>
      <c r="T40" s="2238">
        <f t="shared" si="16"/>
        <v>0</v>
      </c>
      <c r="U40" s="2969">
        <f t="shared" si="16"/>
        <v>0</v>
      </c>
      <c r="V40" s="5523"/>
      <c r="W40" s="5523"/>
      <c r="X40" s="5522"/>
      <c r="Y40" s="5523"/>
      <c r="Z40" s="5524"/>
      <c r="AA40" s="5523"/>
      <c r="AB40" s="5523"/>
      <c r="AC40" s="5524"/>
      <c r="AD40" s="5523"/>
      <c r="AE40" s="5523"/>
      <c r="AF40" s="5524"/>
      <c r="AG40" s="5523"/>
      <c r="AH40" s="5523"/>
      <c r="AI40" s="5524"/>
      <c r="AJ40" s="5526">
        <f>SUM(AJ35:AJ39)</f>
        <v>0</v>
      </c>
      <c r="AV40" s="2549"/>
      <c r="AW40" s="2549"/>
      <c r="AX40" s="2549"/>
      <c r="AY40" s="2549"/>
      <c r="BA40" s="2549"/>
      <c r="BB40" s="2549"/>
      <c r="BC40" s="2549"/>
      <c r="BD40" s="2549"/>
      <c r="BE40" s="2549"/>
      <c r="BF40" s="2549"/>
      <c r="BG40" s="2549"/>
      <c r="BH40" s="2549"/>
      <c r="BI40" s="2549"/>
      <c r="BJ40" s="2549"/>
      <c r="BK40" s="2549"/>
      <c r="BL40" s="2549"/>
      <c r="BW40" s="2549"/>
      <c r="BX40" s="2549"/>
      <c r="BY40" s="2549"/>
      <c r="BZ40" s="2549"/>
      <c r="CA40" s="5511"/>
      <c r="CE40" s="2549"/>
      <c r="CF40" s="2549"/>
      <c r="CG40" s="2549"/>
      <c r="CH40" s="2549"/>
      <c r="CI40" s="2549"/>
    </row>
    <row r="41" spans="1:87">
      <c r="A41" s="6137" t="s">
        <v>4384</v>
      </c>
      <c r="B41" s="5498" t="s">
        <v>4378</v>
      </c>
      <c r="C41" s="3971">
        <f t="shared" ref="C41:C49" si="17">SUM(D41,E41)</f>
        <v>0</v>
      </c>
      <c r="D41" s="4713">
        <f t="shared" si="9"/>
        <v>0</v>
      </c>
      <c r="E41" s="3984">
        <f t="shared" si="9"/>
        <v>0</v>
      </c>
      <c r="F41" s="425"/>
      <c r="G41" s="2231"/>
      <c r="H41" s="425"/>
      <c r="I41" s="2231"/>
      <c r="J41" s="423"/>
      <c r="K41" s="2231"/>
      <c r="L41" s="425"/>
      <c r="M41" s="2231"/>
      <c r="N41" s="425"/>
      <c r="O41" s="2231"/>
      <c r="P41" s="425"/>
      <c r="Q41" s="2231"/>
      <c r="R41" s="425"/>
      <c r="S41" s="2231"/>
      <c r="T41" s="425"/>
      <c r="U41" s="426"/>
      <c r="V41" s="423"/>
      <c r="W41" s="2231"/>
      <c r="X41" s="448"/>
      <c r="Y41" s="3398"/>
      <c r="Z41" s="3398"/>
      <c r="AA41" s="448"/>
      <c r="AB41" s="3398"/>
      <c r="AC41" s="449"/>
      <c r="AD41" s="2307"/>
      <c r="AE41" s="3398"/>
      <c r="AF41" s="449"/>
      <c r="AG41" s="2307"/>
      <c r="AH41" s="3398"/>
      <c r="AI41" s="450"/>
      <c r="AJ41" s="3391"/>
      <c r="AK41" s="5501" t="str">
        <f t="shared" si="10"/>
        <v/>
      </c>
      <c r="AL41" s="385"/>
      <c r="AM41" s="385"/>
      <c r="AN41" s="385"/>
      <c r="AO41" s="385"/>
      <c r="AP41" s="385"/>
      <c r="AQ41" s="385"/>
      <c r="AR41" s="385"/>
      <c r="AS41" s="385"/>
      <c r="AT41" s="385"/>
      <c r="AU41" s="385"/>
      <c r="AV41" s="385"/>
      <c r="AW41" s="385"/>
      <c r="AX41" s="385"/>
      <c r="AY41" s="385"/>
      <c r="AZ41" s="385"/>
      <c r="BA41" s="385"/>
      <c r="BB41" s="385"/>
      <c r="BC41" s="385"/>
      <c r="BD41" s="385"/>
      <c r="BE41" s="385"/>
      <c r="BF41" s="385"/>
      <c r="BG41" s="385"/>
      <c r="BH41" s="385"/>
      <c r="BI41" s="385"/>
      <c r="BJ41" s="385"/>
      <c r="BK41" s="385"/>
      <c r="BL41" s="385"/>
      <c r="BM41" s="385"/>
      <c r="BN41" s="385"/>
      <c r="BO41" s="385"/>
      <c r="BP41" s="385"/>
      <c r="BQ41" s="385"/>
      <c r="BR41" s="385"/>
      <c r="BS41" s="385"/>
      <c r="BT41" s="385"/>
      <c r="BU41" s="385"/>
      <c r="BV41" s="385"/>
      <c r="CA41" s="3666" t="str">
        <f t="shared" si="15"/>
        <v/>
      </c>
      <c r="CB41" s="510"/>
      <c r="CC41" s="510"/>
      <c r="CD41" s="510"/>
      <c r="CE41" s="385"/>
      <c r="CF41" s="385"/>
      <c r="CG41" s="385"/>
      <c r="CH41" s="385"/>
      <c r="CI41" s="513">
        <f t="shared" si="12"/>
        <v>0</v>
      </c>
    </row>
    <row r="42" spans="1:87">
      <c r="A42" s="6137"/>
      <c r="B42" s="5502" t="s">
        <v>4382</v>
      </c>
      <c r="C42" s="3971">
        <f t="shared" si="17"/>
        <v>0</v>
      </c>
      <c r="D42" s="4713">
        <f t="shared" si="9"/>
        <v>0</v>
      </c>
      <c r="E42" s="3984">
        <f t="shared" si="9"/>
        <v>0</v>
      </c>
      <c r="F42" s="425"/>
      <c r="G42" s="2231"/>
      <c r="H42" s="425"/>
      <c r="I42" s="2231"/>
      <c r="J42" s="423"/>
      <c r="K42" s="2231"/>
      <c r="L42" s="425"/>
      <c r="M42" s="2231"/>
      <c r="N42" s="425"/>
      <c r="O42" s="2231"/>
      <c r="P42" s="425"/>
      <c r="Q42" s="2231"/>
      <c r="R42" s="425"/>
      <c r="S42" s="2231"/>
      <c r="T42" s="425"/>
      <c r="U42" s="3412"/>
      <c r="V42" s="423"/>
      <c r="W42" s="2231"/>
      <c r="X42" s="425"/>
      <c r="Y42" s="3376"/>
      <c r="Z42" s="3376"/>
      <c r="AA42" s="425"/>
      <c r="AB42" s="3376"/>
      <c r="AC42" s="424"/>
      <c r="AD42" s="423"/>
      <c r="AE42" s="3376"/>
      <c r="AF42" s="424"/>
      <c r="AG42" s="423"/>
      <c r="AH42" s="3376"/>
      <c r="AI42" s="426"/>
      <c r="AJ42" s="3392"/>
      <c r="AK42" s="5501" t="str">
        <f t="shared" si="10"/>
        <v/>
      </c>
      <c r="AL42" s="385"/>
      <c r="AM42" s="385"/>
      <c r="AN42" s="385"/>
      <c r="AO42" s="385"/>
      <c r="AP42" s="385"/>
      <c r="AQ42" s="385"/>
      <c r="AR42" s="385"/>
      <c r="AS42" s="385"/>
      <c r="AT42" s="385"/>
      <c r="AU42" s="385"/>
      <c r="AV42" s="385"/>
      <c r="AW42" s="385"/>
      <c r="AX42" s="385"/>
      <c r="AY42" s="385"/>
      <c r="AZ42" s="385"/>
      <c r="BA42" s="385"/>
      <c r="BB42" s="385"/>
      <c r="BC42" s="385"/>
      <c r="BD42" s="385"/>
      <c r="BE42" s="385"/>
      <c r="BF42" s="385"/>
      <c r="BG42" s="385"/>
      <c r="BH42" s="385"/>
      <c r="BI42" s="385"/>
      <c r="BJ42" s="385"/>
      <c r="BK42" s="385"/>
      <c r="BL42" s="385"/>
      <c r="BM42" s="385"/>
      <c r="BN42" s="385"/>
      <c r="BO42" s="385"/>
      <c r="BP42" s="385"/>
      <c r="BQ42" s="385"/>
      <c r="BR42" s="385"/>
      <c r="BS42" s="385"/>
      <c r="BT42" s="385"/>
      <c r="BU42" s="385"/>
      <c r="BV42" s="385"/>
      <c r="CA42" s="3666" t="str">
        <f t="shared" si="15"/>
        <v/>
      </c>
      <c r="CB42" s="510"/>
      <c r="CC42" s="510"/>
      <c r="CD42" s="510"/>
      <c r="CE42" s="385"/>
      <c r="CF42" s="385"/>
      <c r="CG42" s="385"/>
      <c r="CH42" s="385"/>
      <c r="CI42" s="513">
        <f t="shared" si="12"/>
        <v>0</v>
      </c>
    </row>
    <row r="43" spans="1:87">
      <c r="A43" s="6137"/>
      <c r="B43" s="5502" t="s">
        <v>4383</v>
      </c>
      <c r="C43" s="3971">
        <f t="shared" si="17"/>
        <v>0</v>
      </c>
      <c r="D43" s="4713">
        <f t="shared" si="9"/>
        <v>0</v>
      </c>
      <c r="E43" s="3984">
        <f t="shared" si="9"/>
        <v>0</v>
      </c>
      <c r="F43" s="425"/>
      <c r="G43" s="2231"/>
      <c r="H43" s="425"/>
      <c r="I43" s="2231"/>
      <c r="J43" s="423"/>
      <c r="K43" s="2231"/>
      <c r="L43" s="425"/>
      <c r="M43" s="2231"/>
      <c r="N43" s="425"/>
      <c r="O43" s="2231"/>
      <c r="P43" s="425"/>
      <c r="Q43" s="2231"/>
      <c r="R43" s="425"/>
      <c r="S43" s="2231"/>
      <c r="T43" s="425"/>
      <c r="U43" s="3412"/>
      <c r="V43" s="423"/>
      <c r="W43" s="2231"/>
      <c r="X43" s="425"/>
      <c r="Y43" s="3376"/>
      <c r="Z43" s="3376"/>
      <c r="AA43" s="425"/>
      <c r="AB43" s="3376"/>
      <c r="AC43" s="424"/>
      <c r="AD43" s="423"/>
      <c r="AE43" s="3376"/>
      <c r="AF43" s="424"/>
      <c r="AG43" s="423"/>
      <c r="AH43" s="3376"/>
      <c r="AI43" s="426"/>
      <c r="AJ43" s="3392"/>
      <c r="AK43" s="5501" t="str">
        <f t="shared" si="10"/>
        <v/>
      </c>
      <c r="AL43" s="385"/>
      <c r="AM43" s="385"/>
      <c r="AN43" s="385"/>
      <c r="AO43" s="385"/>
      <c r="AP43" s="385"/>
      <c r="AQ43" s="385"/>
      <c r="AR43" s="385"/>
      <c r="AS43" s="385"/>
      <c r="AT43" s="385"/>
      <c r="AU43" s="385"/>
      <c r="AV43" s="385"/>
      <c r="AW43" s="385"/>
      <c r="AX43" s="385"/>
      <c r="AY43" s="385"/>
      <c r="AZ43" s="385"/>
      <c r="BA43" s="385"/>
      <c r="BB43" s="385"/>
      <c r="BC43" s="385"/>
      <c r="BD43" s="385"/>
      <c r="BE43" s="385"/>
      <c r="BF43" s="385"/>
      <c r="BG43" s="385"/>
      <c r="BH43" s="385"/>
      <c r="BI43" s="385"/>
      <c r="BJ43" s="385"/>
      <c r="BK43" s="385"/>
      <c r="BL43" s="385"/>
      <c r="BM43" s="385"/>
      <c r="BN43" s="385"/>
      <c r="BO43" s="385"/>
      <c r="BP43" s="385"/>
      <c r="BQ43" s="385"/>
      <c r="BR43" s="385"/>
      <c r="BS43" s="385"/>
      <c r="BT43" s="385"/>
      <c r="BU43" s="385"/>
      <c r="BV43" s="385"/>
      <c r="CA43" s="3666" t="str">
        <f t="shared" si="15"/>
        <v/>
      </c>
      <c r="CB43" s="510"/>
      <c r="CC43" s="510"/>
      <c r="CD43" s="510"/>
      <c r="CE43" s="385"/>
      <c r="CF43" s="385"/>
      <c r="CG43" s="385"/>
      <c r="CH43" s="385"/>
      <c r="CI43" s="513">
        <f t="shared" si="12"/>
        <v>0</v>
      </c>
    </row>
    <row r="44" spans="1:87">
      <c r="A44" s="6137"/>
      <c r="B44" s="5502" t="s">
        <v>1066</v>
      </c>
      <c r="C44" s="3971">
        <f t="shared" si="17"/>
        <v>0</v>
      </c>
      <c r="D44" s="4713">
        <f t="shared" si="9"/>
        <v>0</v>
      </c>
      <c r="E44" s="3984">
        <f t="shared" si="9"/>
        <v>0</v>
      </c>
      <c r="F44" s="425"/>
      <c r="G44" s="2231"/>
      <c r="H44" s="425"/>
      <c r="I44" s="2231"/>
      <c r="J44" s="423"/>
      <c r="K44" s="2231"/>
      <c r="L44" s="425"/>
      <c r="M44" s="2231"/>
      <c r="N44" s="425"/>
      <c r="O44" s="2231"/>
      <c r="P44" s="425"/>
      <c r="Q44" s="2231"/>
      <c r="R44" s="425"/>
      <c r="S44" s="2231"/>
      <c r="T44" s="425"/>
      <c r="U44" s="3412"/>
      <c r="V44" s="423"/>
      <c r="W44" s="2231"/>
      <c r="X44" s="425"/>
      <c r="Y44" s="3376"/>
      <c r="Z44" s="3376"/>
      <c r="AA44" s="425"/>
      <c r="AB44" s="3376"/>
      <c r="AC44" s="424"/>
      <c r="AD44" s="423"/>
      <c r="AE44" s="3376"/>
      <c r="AF44" s="424"/>
      <c r="AG44" s="423"/>
      <c r="AH44" s="3376"/>
      <c r="AI44" s="426"/>
      <c r="AJ44" s="3392"/>
      <c r="AK44" s="5501" t="str">
        <f t="shared" si="10"/>
        <v/>
      </c>
      <c r="AL44" s="385"/>
      <c r="AM44" s="385"/>
      <c r="AN44" s="385"/>
      <c r="AO44" s="385"/>
      <c r="AP44" s="385"/>
      <c r="AQ44" s="385"/>
      <c r="AR44" s="385"/>
      <c r="AS44" s="385"/>
      <c r="AT44" s="385"/>
      <c r="AU44" s="385"/>
      <c r="AV44" s="385"/>
      <c r="AW44" s="385"/>
      <c r="AX44" s="385"/>
      <c r="AY44" s="385"/>
      <c r="AZ44" s="385"/>
      <c r="BA44" s="385"/>
      <c r="BB44" s="385"/>
      <c r="BC44" s="385"/>
      <c r="BD44" s="385"/>
      <c r="BE44" s="385"/>
      <c r="BF44" s="385"/>
      <c r="BG44" s="385"/>
      <c r="BH44" s="385"/>
      <c r="BI44" s="385"/>
      <c r="BJ44" s="385"/>
      <c r="BK44" s="385"/>
      <c r="BL44" s="385"/>
      <c r="BM44" s="385"/>
      <c r="BN44" s="385"/>
      <c r="BO44" s="385"/>
      <c r="BP44" s="385"/>
      <c r="BQ44" s="385"/>
      <c r="BR44" s="385"/>
      <c r="BS44" s="385"/>
      <c r="BT44" s="385"/>
      <c r="BU44" s="385"/>
      <c r="BV44" s="385"/>
      <c r="CA44" s="3666" t="str">
        <f t="shared" si="15"/>
        <v/>
      </c>
      <c r="CB44" s="510"/>
      <c r="CC44" s="510"/>
      <c r="CD44" s="510"/>
      <c r="CE44" s="385"/>
      <c r="CF44" s="385"/>
      <c r="CG44" s="385"/>
      <c r="CH44" s="385"/>
      <c r="CI44" s="513">
        <f t="shared" si="12"/>
        <v>0</v>
      </c>
    </row>
    <row r="45" spans="1:87">
      <c r="A45" s="6137"/>
      <c r="B45" s="5502" t="s">
        <v>1065</v>
      </c>
      <c r="C45" s="5527">
        <f t="shared" si="17"/>
        <v>0</v>
      </c>
      <c r="D45" s="4719">
        <f t="shared" si="9"/>
        <v>0</v>
      </c>
      <c r="E45" s="3988">
        <f t="shared" si="9"/>
        <v>0</v>
      </c>
      <c r="F45" s="425"/>
      <c r="G45" s="2231"/>
      <c r="H45" s="425"/>
      <c r="I45" s="2231"/>
      <c r="J45" s="423"/>
      <c r="K45" s="2231"/>
      <c r="L45" s="425"/>
      <c r="M45" s="2231"/>
      <c r="N45" s="425"/>
      <c r="O45" s="2231"/>
      <c r="P45" s="425"/>
      <c r="Q45" s="2231"/>
      <c r="R45" s="425"/>
      <c r="S45" s="2231"/>
      <c r="T45" s="425"/>
      <c r="U45" s="3412"/>
      <c r="V45" s="423"/>
      <c r="W45" s="2231"/>
      <c r="X45" s="425"/>
      <c r="Y45" s="3376"/>
      <c r="Z45" s="3376"/>
      <c r="AA45" s="425"/>
      <c r="AB45" s="3376"/>
      <c r="AC45" s="424"/>
      <c r="AD45" s="423"/>
      <c r="AE45" s="3376"/>
      <c r="AF45" s="424"/>
      <c r="AG45" s="423"/>
      <c r="AH45" s="3376"/>
      <c r="AI45" s="426"/>
      <c r="AJ45" s="3392"/>
      <c r="AK45" s="5501" t="str">
        <f t="shared" si="10"/>
        <v/>
      </c>
      <c r="AL45" s="385"/>
      <c r="AM45" s="385"/>
      <c r="AN45" s="385"/>
      <c r="AO45" s="385"/>
      <c r="AP45" s="385"/>
      <c r="AQ45" s="385"/>
      <c r="AR45" s="385"/>
      <c r="AS45" s="385"/>
      <c r="AT45" s="385"/>
      <c r="AU45" s="385"/>
      <c r="AV45" s="385"/>
      <c r="AW45" s="385"/>
      <c r="AX45" s="385"/>
      <c r="AY45" s="385"/>
      <c r="AZ45" s="385"/>
      <c r="BA45" s="385"/>
      <c r="BB45" s="385"/>
      <c r="BC45" s="385"/>
      <c r="BD45" s="385"/>
      <c r="BE45" s="385"/>
      <c r="BF45" s="385"/>
      <c r="BG45" s="385"/>
      <c r="BH45" s="385"/>
      <c r="BI45" s="385"/>
      <c r="BJ45" s="385"/>
      <c r="BK45" s="385"/>
      <c r="BL45" s="385"/>
      <c r="BM45" s="385"/>
      <c r="BN45" s="385"/>
      <c r="BO45" s="385"/>
      <c r="BP45" s="385"/>
      <c r="BQ45" s="385"/>
      <c r="BR45" s="385"/>
      <c r="BS45" s="385"/>
      <c r="BT45" s="385"/>
      <c r="BU45" s="385"/>
      <c r="BV45" s="385"/>
      <c r="CA45" s="3666" t="str">
        <f t="shared" si="15"/>
        <v/>
      </c>
      <c r="CB45" s="510"/>
      <c r="CC45" s="510"/>
      <c r="CD45" s="510"/>
      <c r="CE45" s="385"/>
      <c r="CF45" s="385"/>
      <c r="CG45" s="385"/>
      <c r="CH45" s="385"/>
      <c r="CI45" s="513">
        <f t="shared" si="12"/>
        <v>0</v>
      </c>
    </row>
    <row r="46" spans="1:87">
      <c r="A46" s="5710" t="s">
        <v>91</v>
      </c>
      <c r="B46" s="5710"/>
      <c r="C46" s="4075">
        <f t="shared" si="17"/>
        <v>0</v>
      </c>
      <c r="D46" s="5035">
        <f t="shared" si="9"/>
        <v>0</v>
      </c>
      <c r="E46" s="5034">
        <f t="shared" si="9"/>
        <v>0</v>
      </c>
      <c r="F46" s="2238">
        <f t="shared" si="16"/>
        <v>0</v>
      </c>
      <c r="G46" s="2243">
        <f t="shared" si="16"/>
        <v>0</v>
      </c>
      <c r="H46" s="2238">
        <f t="shared" si="16"/>
        <v>0</v>
      </c>
      <c r="I46" s="2918">
        <f t="shared" si="16"/>
        <v>0</v>
      </c>
      <c r="J46" s="2243">
        <f t="shared" si="16"/>
        <v>0</v>
      </c>
      <c r="K46" s="2243">
        <f t="shared" si="16"/>
        <v>0</v>
      </c>
      <c r="L46" s="2238">
        <f t="shared" si="16"/>
        <v>0</v>
      </c>
      <c r="M46" s="2243">
        <f t="shared" si="16"/>
        <v>0</v>
      </c>
      <c r="N46" s="2238">
        <f t="shared" si="16"/>
        <v>0</v>
      </c>
      <c r="O46" s="2243">
        <f t="shared" si="16"/>
        <v>0</v>
      </c>
      <c r="P46" s="2238">
        <f t="shared" si="16"/>
        <v>0</v>
      </c>
      <c r="Q46" s="2243">
        <f t="shared" si="16"/>
        <v>0</v>
      </c>
      <c r="R46" s="2238">
        <f t="shared" si="16"/>
        <v>0</v>
      </c>
      <c r="S46" s="2243">
        <f t="shared" si="16"/>
        <v>0</v>
      </c>
      <c r="T46" s="2238">
        <f t="shared" ref="T46:U46" si="18">SUM(T41:T45)</f>
        <v>0</v>
      </c>
      <c r="U46" s="5528">
        <f t="shared" si="18"/>
        <v>0</v>
      </c>
      <c r="V46" s="5522"/>
      <c r="W46" s="5523"/>
      <c r="X46" s="5523"/>
      <c r="Y46" s="5523"/>
      <c r="Z46" s="5524"/>
      <c r="AA46" s="5523"/>
      <c r="AB46" s="5523"/>
      <c r="AC46" s="5524"/>
      <c r="AD46" s="5523"/>
      <c r="AE46" s="5523"/>
      <c r="AF46" s="5524"/>
      <c r="AG46" s="5523"/>
      <c r="AH46" s="5523"/>
      <c r="AI46" s="5524"/>
      <c r="AJ46" s="5526">
        <f>SUM(AJ41:AJ45)</f>
        <v>0</v>
      </c>
      <c r="AV46" s="2549"/>
      <c r="AW46" s="2549"/>
      <c r="AX46" s="2549"/>
      <c r="AY46" s="2549"/>
      <c r="BA46" s="2549"/>
      <c r="BB46" s="2549"/>
      <c r="BC46" s="2549"/>
      <c r="BD46" s="2549"/>
      <c r="BE46" s="2549"/>
      <c r="BF46" s="2549"/>
      <c r="BG46" s="2549"/>
      <c r="BH46" s="2549"/>
      <c r="BI46" s="2549"/>
      <c r="BJ46" s="2549"/>
      <c r="BK46" s="2549"/>
      <c r="BL46" s="2549"/>
      <c r="BW46" s="2549"/>
      <c r="BX46" s="2549"/>
      <c r="BY46" s="2549"/>
      <c r="BZ46" s="2549"/>
      <c r="CA46" s="5511"/>
      <c r="CE46" s="2549"/>
      <c r="CF46" s="2549"/>
      <c r="CG46" s="2549"/>
      <c r="CH46" s="2549"/>
      <c r="CI46" s="2549"/>
    </row>
    <row r="47" spans="1:87">
      <c r="A47" s="6137" t="s">
        <v>4385</v>
      </c>
      <c r="B47" s="5498" t="s">
        <v>4378</v>
      </c>
      <c r="C47" s="3971">
        <f t="shared" si="17"/>
        <v>0</v>
      </c>
      <c r="D47" s="4713">
        <f t="shared" si="9"/>
        <v>0</v>
      </c>
      <c r="E47" s="3984">
        <f t="shared" si="9"/>
        <v>0</v>
      </c>
      <c r="F47" s="425"/>
      <c r="G47" s="2231"/>
      <c r="H47" s="425"/>
      <c r="I47" s="2231"/>
      <c r="J47" s="423"/>
      <c r="K47" s="2231"/>
      <c r="L47" s="425"/>
      <c r="M47" s="2231"/>
      <c r="N47" s="425"/>
      <c r="O47" s="2231"/>
      <c r="P47" s="425"/>
      <c r="Q47" s="2231"/>
      <c r="R47" s="425"/>
      <c r="S47" s="2231"/>
      <c r="T47" s="425"/>
      <c r="U47" s="3412"/>
      <c r="V47" s="423"/>
      <c r="W47" s="2231"/>
      <c r="X47" s="425"/>
      <c r="Y47" s="3376"/>
      <c r="Z47" s="3398"/>
      <c r="AA47" s="448"/>
      <c r="AB47" s="3398"/>
      <c r="AC47" s="3398"/>
      <c r="AD47" s="448"/>
      <c r="AE47" s="3398"/>
      <c r="AF47" s="3398"/>
      <c r="AG47" s="448"/>
      <c r="AH47" s="3398"/>
      <c r="AI47" s="450"/>
      <c r="AJ47" s="3391"/>
      <c r="AK47" s="5501" t="str">
        <f t="shared" si="10"/>
        <v/>
      </c>
      <c r="AL47" s="385"/>
      <c r="AM47" s="385"/>
      <c r="AN47" s="385"/>
      <c r="AO47" s="385"/>
      <c r="AP47" s="385"/>
      <c r="AQ47" s="385"/>
      <c r="AR47" s="385"/>
      <c r="AS47" s="385"/>
      <c r="AT47" s="385"/>
      <c r="AU47" s="385"/>
      <c r="AV47" s="385"/>
      <c r="AW47" s="385"/>
      <c r="AX47" s="385"/>
      <c r="AY47" s="385"/>
      <c r="AZ47" s="385"/>
      <c r="BA47" s="385"/>
      <c r="BB47" s="385"/>
      <c r="BC47" s="385"/>
      <c r="BD47" s="385"/>
      <c r="BE47" s="385"/>
      <c r="BF47" s="385"/>
      <c r="BG47" s="385"/>
      <c r="BH47" s="385"/>
      <c r="BI47" s="385"/>
      <c r="BJ47" s="385"/>
      <c r="BK47" s="385"/>
      <c r="BL47" s="385"/>
      <c r="BM47" s="385"/>
      <c r="BN47" s="385"/>
      <c r="BO47" s="385"/>
      <c r="BP47" s="385"/>
      <c r="BQ47" s="385"/>
      <c r="BR47" s="385"/>
      <c r="BS47" s="385"/>
      <c r="BT47" s="385"/>
      <c r="BU47" s="385"/>
      <c r="BV47" s="385"/>
      <c r="CA47" s="3666" t="str">
        <f t="shared" si="15"/>
        <v/>
      </c>
      <c r="CB47" s="510"/>
      <c r="CC47" s="510"/>
      <c r="CD47" s="510"/>
      <c r="CE47" s="385"/>
      <c r="CF47" s="385"/>
      <c r="CG47" s="385"/>
      <c r="CH47" s="385"/>
      <c r="CI47" s="513">
        <f t="shared" si="12"/>
        <v>0</v>
      </c>
    </row>
    <row r="48" spans="1:87">
      <c r="A48" s="6137"/>
      <c r="B48" s="5502" t="s">
        <v>4382</v>
      </c>
      <c r="C48" s="3971">
        <f t="shared" si="17"/>
        <v>0</v>
      </c>
      <c r="D48" s="4713">
        <f t="shared" si="9"/>
        <v>0</v>
      </c>
      <c r="E48" s="3984">
        <f t="shared" si="9"/>
        <v>0</v>
      </c>
      <c r="F48" s="425"/>
      <c r="G48" s="2231"/>
      <c r="H48" s="425"/>
      <c r="I48" s="2231"/>
      <c r="J48" s="423"/>
      <c r="K48" s="2231"/>
      <c r="L48" s="425"/>
      <c r="M48" s="2231"/>
      <c r="N48" s="425"/>
      <c r="O48" s="2231"/>
      <c r="P48" s="425"/>
      <c r="Q48" s="2231"/>
      <c r="R48" s="425"/>
      <c r="S48" s="2231"/>
      <c r="T48" s="425"/>
      <c r="U48" s="3412"/>
      <c r="V48" s="423"/>
      <c r="W48" s="2231"/>
      <c r="X48" s="425"/>
      <c r="Y48" s="3376"/>
      <c r="Z48" s="3376"/>
      <c r="AA48" s="425"/>
      <c r="AB48" s="3376"/>
      <c r="AC48" s="3376"/>
      <c r="AD48" s="425"/>
      <c r="AE48" s="3376"/>
      <c r="AF48" s="3376"/>
      <c r="AG48" s="425"/>
      <c r="AH48" s="3376"/>
      <c r="AI48" s="426"/>
      <c r="AJ48" s="3392"/>
      <c r="AK48" s="5501" t="str">
        <f t="shared" si="10"/>
        <v/>
      </c>
      <c r="AL48" s="385"/>
      <c r="AM48" s="385"/>
      <c r="AN48" s="385"/>
      <c r="AO48" s="385"/>
      <c r="AP48" s="385"/>
      <c r="AQ48" s="385"/>
      <c r="AR48" s="385"/>
      <c r="AS48" s="385"/>
      <c r="AT48" s="385"/>
      <c r="AU48" s="385"/>
      <c r="AV48" s="385"/>
      <c r="AW48" s="385"/>
      <c r="AX48" s="385"/>
      <c r="AY48" s="385"/>
      <c r="AZ48" s="385"/>
      <c r="BA48" s="385"/>
      <c r="BB48" s="385"/>
      <c r="BC48" s="385"/>
      <c r="BD48" s="385"/>
      <c r="BE48" s="385"/>
      <c r="BF48" s="385"/>
      <c r="BG48" s="385"/>
      <c r="BH48" s="385"/>
      <c r="BI48" s="385"/>
      <c r="BJ48" s="385"/>
      <c r="BK48" s="385"/>
      <c r="BL48" s="385"/>
      <c r="BM48" s="385"/>
      <c r="BN48" s="385"/>
      <c r="BO48" s="385"/>
      <c r="BP48" s="385"/>
      <c r="BQ48" s="385"/>
      <c r="BR48" s="385"/>
      <c r="BS48" s="385"/>
      <c r="BT48" s="385"/>
      <c r="BU48" s="385"/>
      <c r="BV48" s="385"/>
      <c r="CA48" s="3666" t="str">
        <f t="shared" si="15"/>
        <v/>
      </c>
      <c r="CB48" s="510"/>
      <c r="CC48" s="510"/>
      <c r="CD48" s="510"/>
      <c r="CE48" s="385"/>
      <c r="CF48" s="385"/>
      <c r="CG48" s="385"/>
      <c r="CH48" s="385"/>
      <c r="CI48" s="513">
        <f t="shared" si="12"/>
        <v>0</v>
      </c>
    </row>
    <row r="49" spans="1:87">
      <c r="A49" s="6137"/>
      <c r="B49" s="5502" t="s">
        <v>4383</v>
      </c>
      <c r="C49" s="3971">
        <f t="shared" si="17"/>
        <v>0</v>
      </c>
      <c r="D49" s="4719">
        <f t="shared" si="9"/>
        <v>0</v>
      </c>
      <c r="E49" s="3988">
        <f t="shared" si="9"/>
        <v>0</v>
      </c>
      <c r="F49" s="425"/>
      <c r="G49" s="2231"/>
      <c r="H49" s="425"/>
      <c r="I49" s="2231"/>
      <c r="J49" s="423"/>
      <c r="K49" s="2231"/>
      <c r="L49" s="425"/>
      <c r="M49" s="2231"/>
      <c r="N49" s="425"/>
      <c r="O49" s="2231"/>
      <c r="P49" s="425"/>
      <c r="Q49" s="2231"/>
      <c r="R49" s="425"/>
      <c r="S49" s="2231"/>
      <c r="T49" s="425"/>
      <c r="U49" s="3412"/>
      <c r="V49" s="423"/>
      <c r="W49" s="2231"/>
      <c r="X49" s="425"/>
      <c r="Y49" s="3376"/>
      <c r="Z49" s="3376"/>
      <c r="AA49" s="425"/>
      <c r="AB49" s="3376"/>
      <c r="AC49" s="3376"/>
      <c r="AD49" s="425"/>
      <c r="AE49" s="3376"/>
      <c r="AF49" s="3376"/>
      <c r="AG49" s="425"/>
      <c r="AH49" s="3376"/>
      <c r="AI49" s="426"/>
      <c r="AJ49" s="3393"/>
      <c r="AK49" s="5501" t="str">
        <f t="shared" si="10"/>
        <v/>
      </c>
      <c r="AL49" s="385"/>
      <c r="AM49" s="385"/>
      <c r="AN49" s="385"/>
      <c r="AO49" s="385"/>
      <c r="AP49" s="385"/>
      <c r="AQ49" s="385"/>
      <c r="AR49" s="385"/>
      <c r="AS49" s="385"/>
      <c r="AT49" s="385"/>
      <c r="AU49" s="385"/>
      <c r="AV49" s="385"/>
      <c r="AW49" s="385"/>
      <c r="AX49" s="385"/>
      <c r="AY49" s="385"/>
      <c r="AZ49" s="385"/>
      <c r="BA49" s="385"/>
      <c r="BB49" s="385"/>
      <c r="BC49" s="385"/>
      <c r="BD49" s="385"/>
      <c r="BE49" s="385"/>
      <c r="BF49" s="385"/>
      <c r="BG49" s="385"/>
      <c r="BH49" s="385"/>
      <c r="BI49" s="385"/>
      <c r="BJ49" s="385"/>
      <c r="BK49" s="385"/>
      <c r="BL49" s="385"/>
      <c r="BM49" s="385"/>
      <c r="BN49" s="385"/>
      <c r="BO49" s="385"/>
      <c r="BP49" s="385"/>
      <c r="BQ49" s="385"/>
      <c r="BR49" s="385"/>
      <c r="BS49" s="385"/>
      <c r="BT49" s="385"/>
      <c r="BU49" s="385"/>
      <c r="BV49" s="385"/>
      <c r="CA49" s="3666" t="str">
        <f t="shared" si="15"/>
        <v/>
      </c>
      <c r="CB49" s="510"/>
      <c r="CC49" s="510"/>
      <c r="CD49" s="510"/>
      <c r="CE49" s="385"/>
      <c r="CF49" s="385"/>
      <c r="CG49" s="385"/>
      <c r="CH49" s="385"/>
      <c r="CI49" s="513">
        <f t="shared" si="12"/>
        <v>0</v>
      </c>
    </row>
    <row r="50" spans="1:87" ht="15" customHeight="1">
      <c r="A50" s="5707" t="s">
        <v>91</v>
      </c>
      <c r="B50" s="5707"/>
      <c r="C50" s="4075">
        <f t="shared" ref="C50:U50" si="19">SUM(C47:C49)</f>
        <v>0</v>
      </c>
      <c r="D50" s="5035">
        <f t="shared" si="9"/>
        <v>0</v>
      </c>
      <c r="E50" s="5034">
        <f t="shared" si="9"/>
        <v>0</v>
      </c>
      <c r="F50" s="2238">
        <f>SUM(F47:F49)</f>
        <v>0</v>
      </c>
      <c r="G50" s="2243">
        <f>SUM(G47:G49)</f>
        <v>0</v>
      </c>
      <c r="H50" s="2238">
        <f>SUM(H47:H49)</f>
        <v>0</v>
      </c>
      <c r="I50" s="2918">
        <f>SUM(I47:I49)</f>
        <v>0</v>
      </c>
      <c r="J50" s="2243">
        <f t="shared" si="19"/>
        <v>0</v>
      </c>
      <c r="K50" s="2243">
        <f t="shared" si="19"/>
        <v>0</v>
      </c>
      <c r="L50" s="2238">
        <f t="shared" si="19"/>
        <v>0</v>
      </c>
      <c r="M50" s="2243">
        <f t="shared" si="19"/>
        <v>0</v>
      </c>
      <c r="N50" s="2238">
        <f t="shared" si="19"/>
        <v>0</v>
      </c>
      <c r="O50" s="2243">
        <f t="shared" si="19"/>
        <v>0</v>
      </c>
      <c r="P50" s="2238">
        <f t="shared" si="19"/>
        <v>0</v>
      </c>
      <c r="Q50" s="2243">
        <f t="shared" si="19"/>
        <v>0</v>
      </c>
      <c r="R50" s="2238">
        <f t="shared" si="19"/>
        <v>0</v>
      </c>
      <c r="S50" s="2243">
        <f t="shared" si="19"/>
        <v>0</v>
      </c>
      <c r="T50" s="2238">
        <f t="shared" si="19"/>
        <v>0</v>
      </c>
      <c r="U50" s="5528">
        <f t="shared" si="19"/>
        <v>0</v>
      </c>
      <c r="V50" s="5522"/>
      <c r="W50" s="5523"/>
      <c r="X50" s="5522"/>
      <c r="Y50" s="5523"/>
      <c r="Z50" s="5524"/>
      <c r="AA50" s="5523"/>
      <c r="AB50" s="5523"/>
      <c r="AC50" s="5524"/>
      <c r="AD50" s="5523"/>
      <c r="AE50" s="5523"/>
      <c r="AF50" s="5524"/>
      <c r="AG50" s="5523"/>
      <c r="AH50" s="5523"/>
      <c r="AI50" s="5525"/>
      <c r="AJ50" s="5529">
        <f>SUM(AJ47:AJ49)</f>
        <v>0</v>
      </c>
      <c r="AK50" s="3986"/>
      <c r="AL50" s="3986"/>
      <c r="AM50" s="3986"/>
      <c r="AN50" s="3986"/>
      <c r="AO50" s="3986"/>
      <c r="AP50" s="3986"/>
      <c r="AQ50" s="3986"/>
      <c r="AR50" s="3986"/>
      <c r="AS50" s="3986"/>
      <c r="AT50" s="3986"/>
      <c r="AU50" s="3986"/>
      <c r="AV50" s="3986"/>
      <c r="AW50" s="3986"/>
      <c r="AX50" s="3986"/>
      <c r="AY50" s="3986"/>
      <c r="AZ50" s="3986"/>
      <c r="BA50" s="3986"/>
      <c r="BB50" s="3986"/>
      <c r="BC50" s="3986"/>
      <c r="BD50" s="3986"/>
      <c r="BE50" s="3986"/>
      <c r="BF50" s="3986"/>
      <c r="BG50" s="3986"/>
      <c r="BH50" s="3986"/>
      <c r="BI50" s="3986"/>
      <c r="BJ50" s="3986"/>
      <c r="BK50" s="3986"/>
      <c r="BL50" s="3986"/>
      <c r="BM50" s="1470"/>
      <c r="BN50" s="1470"/>
      <c r="BO50" s="1470"/>
      <c r="BP50" s="1470"/>
      <c r="BQ50" s="1470"/>
      <c r="BR50" s="1470"/>
      <c r="BS50" s="1470"/>
      <c r="BT50" s="1470"/>
      <c r="BW50" s="2549"/>
      <c r="BX50" s="2549"/>
      <c r="BY50" s="2549"/>
      <c r="BZ50" s="2549"/>
      <c r="CA50" s="2549"/>
      <c r="CE50" s="3986"/>
      <c r="CF50" s="3986"/>
      <c r="CG50" s="3986"/>
      <c r="CH50" s="3986"/>
      <c r="CI50" s="3986"/>
    </row>
    <row r="51" spans="1:87" s="2549" customFormat="1" ht="17.100000000000001" customHeight="1">
      <c r="A51" s="2271" t="s">
        <v>4386</v>
      </c>
      <c r="B51" s="2271"/>
      <c r="C51" s="5493"/>
      <c r="D51" s="5493"/>
      <c r="E51" s="5493"/>
      <c r="F51" s="5493"/>
      <c r="G51" s="5493"/>
      <c r="H51" s="5493"/>
      <c r="I51" s="5493"/>
      <c r="J51" s="5493"/>
      <c r="K51" s="5493"/>
      <c r="L51" s="5493"/>
      <c r="M51" s="5493"/>
      <c r="N51" s="5493"/>
      <c r="O51" s="5493"/>
      <c r="P51" s="5493"/>
      <c r="Q51" s="5493"/>
      <c r="R51" s="5493"/>
      <c r="S51" s="5493"/>
      <c r="T51" s="5493"/>
      <c r="U51" s="5493"/>
      <c r="V51" s="5493"/>
      <c r="W51" s="5493"/>
      <c r="X51" s="5493"/>
      <c r="Y51" s="5493"/>
      <c r="Z51" s="5493"/>
      <c r="AA51" s="5493"/>
      <c r="AB51" s="5493"/>
      <c r="AC51" s="5493"/>
      <c r="AD51" s="5493"/>
      <c r="AE51" s="5493"/>
      <c r="AF51" s="5493"/>
      <c r="AG51" s="5493"/>
      <c r="AH51" s="5493"/>
      <c r="AI51" s="5493"/>
      <c r="AJ51" s="5493"/>
      <c r="AK51" s="5493"/>
      <c r="AL51" s="5493"/>
      <c r="AM51" s="5493"/>
      <c r="AO51" s="3986"/>
      <c r="AP51" s="3986"/>
      <c r="AQ51" s="3986"/>
      <c r="AR51" s="3986"/>
      <c r="AS51" s="3986"/>
      <c r="AT51" s="3986"/>
      <c r="AU51" s="3986"/>
      <c r="AV51" s="3986"/>
      <c r="AW51" s="3986"/>
      <c r="AX51" s="3986"/>
      <c r="AY51" s="3986"/>
      <c r="AZ51" s="3986"/>
      <c r="BA51" s="3986"/>
      <c r="BB51" s="3986"/>
      <c r="BC51" s="3986"/>
      <c r="BD51" s="3986"/>
      <c r="BE51" s="3986"/>
      <c r="BF51" s="3986"/>
      <c r="BG51" s="3986"/>
      <c r="BH51" s="3986"/>
      <c r="BI51" s="3986"/>
      <c r="BJ51" s="3986"/>
      <c r="BK51" s="3986"/>
      <c r="BL51" s="3986"/>
      <c r="BM51" s="1470"/>
      <c r="BN51" s="1470"/>
      <c r="BO51" s="1470"/>
      <c r="BP51" s="1470"/>
      <c r="BQ51" s="1470"/>
      <c r="BR51" s="1470"/>
      <c r="BS51" s="1470"/>
      <c r="BT51" s="1470"/>
      <c r="BU51" s="1470"/>
      <c r="BV51" s="1470"/>
      <c r="BW51" s="3986"/>
      <c r="BX51" s="3986"/>
      <c r="BY51" s="3986"/>
      <c r="BZ51" s="3986"/>
      <c r="CA51" s="3986"/>
      <c r="CB51" s="3986"/>
      <c r="CC51" s="3986"/>
      <c r="CD51" s="3986"/>
      <c r="CE51" s="3986"/>
      <c r="CF51" s="3986"/>
      <c r="CG51" s="3986"/>
      <c r="CH51" s="3986"/>
      <c r="CI51" s="3986"/>
    </row>
    <row r="52" spans="1:87" ht="15" customHeight="1">
      <c r="A52" s="6298" t="s">
        <v>296</v>
      </c>
      <c r="B52" s="6709" t="s">
        <v>91</v>
      </c>
      <c r="C52" s="6709"/>
      <c r="D52" s="6709"/>
      <c r="E52" s="6586" t="s">
        <v>115</v>
      </c>
      <c r="F52" s="6574"/>
      <c r="G52" s="6574"/>
      <c r="H52" s="6574"/>
      <c r="I52" s="6574"/>
      <c r="J52" s="6574"/>
      <c r="K52" s="6574"/>
      <c r="L52" s="6574"/>
      <c r="M52" s="6574"/>
      <c r="N52" s="6574"/>
      <c r="O52" s="6574"/>
      <c r="P52" s="6574"/>
      <c r="Q52" s="6574"/>
      <c r="R52" s="6574"/>
      <c r="S52" s="6574"/>
      <c r="T52" s="6893"/>
      <c r="U52" s="6139" t="s">
        <v>4360</v>
      </c>
      <c r="V52" s="6119"/>
      <c r="W52" s="6068" t="s">
        <v>4361</v>
      </c>
      <c r="X52" s="6069"/>
      <c r="Y52" s="6070"/>
      <c r="Z52" s="7345" t="s">
        <v>4365</v>
      </c>
      <c r="AA52" s="7346"/>
      <c r="AB52" s="7347"/>
      <c r="AC52" s="7345" t="s">
        <v>4368</v>
      </c>
      <c r="AD52" s="7346"/>
      <c r="AE52" s="7347"/>
      <c r="AF52" s="7351" t="s">
        <v>4375</v>
      </c>
      <c r="AG52" s="7150"/>
      <c r="AH52" s="7352"/>
      <c r="AI52" s="6391" t="s">
        <v>50</v>
      </c>
      <c r="AJ52" s="7362"/>
      <c r="AM52" s="3986"/>
      <c r="AO52" s="3986"/>
      <c r="AP52" s="3986"/>
      <c r="AQ52" s="3986"/>
      <c r="AR52" s="3986"/>
      <c r="AS52" s="3986"/>
      <c r="AT52" s="3986"/>
      <c r="AU52" s="3986"/>
      <c r="AV52" s="3986"/>
      <c r="AW52" s="3986"/>
      <c r="AX52" s="3986"/>
      <c r="AY52" s="3986"/>
      <c r="AZ52" s="3986"/>
      <c r="BA52" s="3986"/>
      <c r="BB52" s="3986"/>
      <c r="BC52" s="3986"/>
      <c r="BD52" s="3986"/>
      <c r="BE52" s="3986"/>
      <c r="BF52" s="3986"/>
      <c r="BG52" s="3986"/>
      <c r="BH52" s="3986"/>
      <c r="BI52" s="3986"/>
      <c r="BJ52" s="3986"/>
      <c r="BK52" s="3986"/>
      <c r="BL52" s="3986"/>
      <c r="BM52" s="1470"/>
      <c r="BN52" s="1470"/>
      <c r="BO52" s="1470"/>
      <c r="BP52" s="1470"/>
      <c r="BQ52" s="1470"/>
      <c r="BR52" s="1470"/>
      <c r="BS52" s="1470"/>
      <c r="BT52" s="1470"/>
      <c r="BU52" s="1470"/>
      <c r="BV52" s="1470"/>
      <c r="BW52" s="3986"/>
      <c r="BX52" s="3986"/>
      <c r="BY52" s="3986"/>
      <c r="BZ52" s="3986"/>
      <c r="CA52" s="3986"/>
      <c r="CB52" s="3986"/>
      <c r="CC52" s="3986"/>
      <c r="CD52" s="3986"/>
      <c r="CE52" s="3986"/>
      <c r="CF52" s="3986"/>
      <c r="CG52" s="3986"/>
      <c r="CH52" s="3986"/>
      <c r="CI52" s="3986"/>
    </row>
    <row r="53" spans="1:87">
      <c r="A53" s="6298"/>
      <c r="B53" s="6709"/>
      <c r="C53" s="6709"/>
      <c r="D53" s="6709"/>
      <c r="E53" s="7358" t="s">
        <v>3936</v>
      </c>
      <c r="F53" s="7359"/>
      <c r="G53" s="7358" t="s">
        <v>4374</v>
      </c>
      <c r="H53" s="7360"/>
      <c r="I53" s="7359" t="s">
        <v>1521</v>
      </c>
      <c r="J53" s="7360"/>
      <c r="K53" s="7358" t="s">
        <v>1522</v>
      </c>
      <c r="L53" s="7360"/>
      <c r="M53" s="7358" t="s">
        <v>1523</v>
      </c>
      <c r="N53" s="7360"/>
      <c r="O53" s="7358" t="s">
        <v>1524</v>
      </c>
      <c r="P53" s="7360"/>
      <c r="Q53" s="7358" t="s">
        <v>1525</v>
      </c>
      <c r="R53" s="7360"/>
      <c r="S53" s="6372" t="s">
        <v>966</v>
      </c>
      <c r="T53" s="7361"/>
      <c r="U53" s="6115"/>
      <c r="V53" s="6116"/>
      <c r="W53" s="6074"/>
      <c r="X53" s="6075"/>
      <c r="Y53" s="6076"/>
      <c r="Z53" s="7348"/>
      <c r="AA53" s="7349"/>
      <c r="AB53" s="7350"/>
      <c r="AC53" s="7348"/>
      <c r="AD53" s="7349"/>
      <c r="AE53" s="7350"/>
      <c r="AF53" s="7353"/>
      <c r="AG53" s="7354"/>
      <c r="AH53" s="7355"/>
      <c r="AI53" s="6592"/>
      <c r="AJ53" s="7362"/>
      <c r="AM53" s="3986"/>
      <c r="AO53" s="3986"/>
      <c r="AP53" s="3986"/>
      <c r="AQ53" s="3986"/>
      <c r="AR53" s="3986"/>
      <c r="AS53" s="3986"/>
      <c r="AT53" s="3986"/>
      <c r="AU53" s="3986"/>
      <c r="AV53" s="3986"/>
      <c r="AW53" s="3986"/>
      <c r="AX53" s="3986"/>
      <c r="AY53" s="3986"/>
      <c r="AZ53" s="3986"/>
      <c r="BA53" s="3986"/>
      <c r="BB53" s="3986"/>
      <c r="BC53" s="3986"/>
      <c r="BD53" s="3986"/>
      <c r="BE53" s="3986"/>
      <c r="BF53" s="3986"/>
      <c r="BG53" s="3986"/>
      <c r="BH53" s="3986"/>
      <c r="BI53" s="3986"/>
      <c r="BJ53" s="3986"/>
      <c r="BK53" s="3986"/>
      <c r="BL53" s="3986"/>
      <c r="BM53" s="3986"/>
      <c r="BN53" s="3986"/>
      <c r="BO53" s="3986"/>
      <c r="BP53" s="3986"/>
      <c r="BQ53" s="3986"/>
      <c r="BR53" s="3986"/>
      <c r="BS53" s="3986"/>
      <c r="BT53" s="3986"/>
      <c r="BU53" s="3986"/>
      <c r="BV53" s="3986"/>
      <c r="BW53" s="3986"/>
      <c r="BX53" s="3986"/>
      <c r="BY53" s="3986"/>
      <c r="BZ53" s="3986"/>
      <c r="CA53" s="3986"/>
      <c r="CB53" s="3986"/>
      <c r="CC53" s="3986"/>
      <c r="CD53" s="3986"/>
      <c r="CE53" s="3986"/>
      <c r="CF53" s="3986"/>
      <c r="CG53" s="3986"/>
      <c r="CH53" s="3986"/>
      <c r="CI53" s="3986"/>
    </row>
    <row r="54" spans="1:87" ht="21">
      <c r="A54" s="6298"/>
      <c r="B54" s="396" t="s">
        <v>93</v>
      </c>
      <c r="C54" s="1397" t="s">
        <v>72</v>
      </c>
      <c r="D54" s="390" t="s">
        <v>73</v>
      </c>
      <c r="E54" s="396" t="s">
        <v>72</v>
      </c>
      <c r="F54" s="390" t="s">
        <v>73</v>
      </c>
      <c r="G54" s="396" t="s">
        <v>72</v>
      </c>
      <c r="H54" s="390" t="s">
        <v>73</v>
      </c>
      <c r="I54" s="396" t="s">
        <v>72</v>
      </c>
      <c r="J54" s="390" t="s">
        <v>73</v>
      </c>
      <c r="K54" s="396" t="s">
        <v>72</v>
      </c>
      <c r="L54" s="390" t="s">
        <v>73</v>
      </c>
      <c r="M54" s="396" t="s">
        <v>72</v>
      </c>
      <c r="N54" s="390" t="s">
        <v>73</v>
      </c>
      <c r="O54" s="396" t="s">
        <v>72</v>
      </c>
      <c r="P54" s="390" t="s">
        <v>73</v>
      </c>
      <c r="Q54" s="396" t="s">
        <v>72</v>
      </c>
      <c r="R54" s="390" t="s">
        <v>73</v>
      </c>
      <c r="S54" s="396" t="s">
        <v>72</v>
      </c>
      <c r="T54" s="1392" t="s">
        <v>73</v>
      </c>
      <c r="U54" s="1396" t="s">
        <v>4370</v>
      </c>
      <c r="V54" s="3452" t="s">
        <v>4371</v>
      </c>
      <c r="W54" s="1497" t="s">
        <v>4369</v>
      </c>
      <c r="X54" s="1498" t="s">
        <v>4370</v>
      </c>
      <c r="Y54" s="1592" t="s">
        <v>4371</v>
      </c>
      <c r="Z54" s="5337" t="s">
        <v>4369</v>
      </c>
      <c r="AA54" s="5338" t="s">
        <v>4370</v>
      </c>
      <c r="AB54" s="5053" t="s">
        <v>4371</v>
      </c>
      <c r="AC54" s="5337" t="s">
        <v>4369</v>
      </c>
      <c r="AD54" s="5338" t="s">
        <v>4370</v>
      </c>
      <c r="AE54" s="5053" t="s">
        <v>4371</v>
      </c>
      <c r="AF54" s="5337" t="s">
        <v>4369</v>
      </c>
      <c r="AG54" s="5338" t="s">
        <v>4370</v>
      </c>
      <c r="AH54" s="5516" t="s">
        <v>4371</v>
      </c>
      <c r="AI54" s="6592"/>
      <c r="AJ54" s="7362"/>
      <c r="AM54" s="3986"/>
      <c r="AO54" s="3986"/>
      <c r="AP54" s="3986"/>
      <c r="AQ54" s="3986"/>
      <c r="AR54" s="3986"/>
      <c r="AS54" s="3986"/>
      <c r="AT54" s="3986"/>
      <c r="AU54" s="3986"/>
      <c r="AV54" s="3986"/>
      <c r="AW54" s="3986"/>
      <c r="AX54" s="3986"/>
      <c r="AY54" s="3986"/>
      <c r="AZ54" s="3986"/>
      <c r="BA54" s="3986"/>
      <c r="BB54" s="3986"/>
      <c r="BC54" s="3986"/>
      <c r="BD54" s="3986"/>
      <c r="BE54" s="3986"/>
      <c r="BF54" s="3986"/>
      <c r="BG54" s="3986"/>
      <c r="BH54" s="3986"/>
      <c r="BI54" s="3986"/>
      <c r="BJ54" s="3986"/>
      <c r="BK54" s="3986"/>
      <c r="BL54" s="3986"/>
      <c r="BM54" s="3986"/>
      <c r="BN54" s="3986"/>
      <c r="BO54" s="3986"/>
      <c r="BP54" s="3986"/>
      <c r="BQ54" s="3986"/>
      <c r="BR54" s="3986"/>
      <c r="BS54" s="3986"/>
      <c r="BT54" s="3986"/>
      <c r="BU54" s="3986"/>
      <c r="BV54" s="3986"/>
      <c r="BW54" s="3986"/>
      <c r="BX54" s="3986"/>
      <c r="BY54" s="3986"/>
      <c r="BZ54" s="3986"/>
      <c r="CA54" s="3986"/>
      <c r="CB54" s="3986"/>
      <c r="CC54" s="3986"/>
      <c r="CD54" s="3986"/>
      <c r="CE54" s="3986"/>
      <c r="CF54" s="3986"/>
      <c r="CG54" s="3986"/>
      <c r="CH54" s="3986"/>
      <c r="CI54" s="3986"/>
    </row>
    <row r="55" spans="1:87">
      <c r="A55" s="3916" t="s">
        <v>4387</v>
      </c>
      <c r="B55" s="3967">
        <f t="shared" ref="B55:B58" si="20">SUM(C55,D55)</f>
        <v>0</v>
      </c>
      <c r="C55" s="3968">
        <f t="shared" ref="C55:D57" si="21">SUM(E55,G55,I55,K55,M55,O55,Q55,S55)</f>
        <v>0</v>
      </c>
      <c r="D55" s="3969">
        <f t="shared" si="21"/>
        <v>0</v>
      </c>
      <c r="E55" s="425"/>
      <c r="F55" s="2231"/>
      <c r="G55" s="425"/>
      <c r="H55" s="2231"/>
      <c r="I55" s="425"/>
      <c r="J55" s="2231"/>
      <c r="K55" s="425"/>
      <c r="L55" s="2231"/>
      <c r="M55" s="425"/>
      <c r="N55" s="2231"/>
      <c r="O55" s="425"/>
      <c r="P55" s="2231"/>
      <c r="Q55" s="425"/>
      <c r="R55" s="2231"/>
      <c r="S55" s="425"/>
      <c r="T55" s="3412"/>
      <c r="U55" s="2307"/>
      <c r="V55" s="2229"/>
      <c r="W55" s="2307"/>
      <c r="X55" s="3398"/>
      <c r="Y55" s="2229"/>
      <c r="Z55" s="448"/>
      <c r="AA55" s="3398"/>
      <c r="AB55" s="3398"/>
      <c r="AC55" s="448"/>
      <c r="AD55" s="3398"/>
      <c r="AE55" s="3398"/>
      <c r="AF55" s="448"/>
      <c r="AG55" s="3398"/>
      <c r="AH55" s="450"/>
      <c r="AI55" s="2229"/>
      <c r="AJ55" s="5501" t="str">
        <f t="shared" ref="AJ55:AJ57" si="22">$CA55</f>
        <v/>
      </c>
      <c r="AK55" s="385"/>
      <c r="AL55" s="385"/>
      <c r="AM55" s="385"/>
      <c r="AN55" s="385"/>
      <c r="AO55" s="385"/>
      <c r="AP55" s="385"/>
      <c r="AQ55" s="385"/>
      <c r="AR55" s="385"/>
      <c r="AS55" s="385"/>
      <c r="AT55" s="385"/>
      <c r="AU55" s="385"/>
      <c r="AV55" s="385"/>
      <c r="AW55" s="385"/>
      <c r="AX55" s="385"/>
      <c r="AY55" s="385"/>
      <c r="AZ55" s="385"/>
      <c r="BA55" s="385"/>
      <c r="BB55" s="385"/>
      <c r="BC55" s="385"/>
      <c r="BD55" s="385"/>
      <c r="BE55" s="385"/>
      <c r="BF55" s="385"/>
      <c r="BG55" s="385"/>
      <c r="BH55" s="385"/>
      <c r="BI55" s="385"/>
      <c r="BJ55" s="385"/>
      <c r="BK55" s="385"/>
      <c r="BL55" s="385"/>
      <c r="BM55" s="385"/>
      <c r="BN55" s="385"/>
      <c r="BO55" s="385"/>
      <c r="BP55" s="385"/>
      <c r="BQ55" s="385"/>
      <c r="BR55" s="385"/>
      <c r="BS55" s="385"/>
      <c r="BT55" s="385"/>
      <c r="BU55" s="385"/>
      <c r="CA55" s="3666" t="str">
        <f t="shared" ref="CA55:CA57" si="23">IF(AND($B55&lt;&gt;0,AI55=""),"* No olvide ingresar la columna Pueblos Originarios, digite CERO si no tiene.  ",IF(AI55&gt;$B55,"* El número de Pueblos Originarios no puede superar el Total Ambos Sexos.  ",""))</f>
        <v/>
      </c>
      <c r="CB55" s="3986"/>
      <c r="CC55" s="3986"/>
      <c r="CD55" s="3986"/>
      <c r="CE55" s="3986"/>
      <c r="CF55" s="3986"/>
      <c r="CG55" s="3986"/>
      <c r="CH55" s="3986"/>
      <c r="CI55" s="513">
        <f t="shared" ref="CI55:CI57" si="24">IF(AND($B55&lt;&gt;0,AI55=""),1,IF(AI55&gt;$B55,1,0))</f>
        <v>0</v>
      </c>
    </row>
    <row r="56" spans="1:87">
      <c r="A56" s="4681" t="s">
        <v>1073</v>
      </c>
      <c r="B56" s="3971">
        <f t="shared" si="20"/>
        <v>0</v>
      </c>
      <c r="C56" s="4713">
        <f t="shared" si="21"/>
        <v>0</v>
      </c>
      <c r="D56" s="3984">
        <f t="shared" si="21"/>
        <v>0</v>
      </c>
      <c r="E56" s="425"/>
      <c r="F56" s="2231"/>
      <c r="G56" s="425"/>
      <c r="H56" s="2231"/>
      <c r="I56" s="425"/>
      <c r="J56" s="2231"/>
      <c r="K56" s="425"/>
      <c r="L56" s="2231"/>
      <c r="M56" s="425"/>
      <c r="N56" s="2231"/>
      <c r="O56" s="425"/>
      <c r="P56" s="2231"/>
      <c r="Q56" s="425"/>
      <c r="R56" s="2231"/>
      <c r="S56" s="425"/>
      <c r="T56" s="3412"/>
      <c r="U56" s="423"/>
      <c r="V56" s="2231"/>
      <c r="W56" s="423"/>
      <c r="X56" s="3376"/>
      <c r="Y56" s="2231"/>
      <c r="Z56" s="425"/>
      <c r="AA56" s="3376"/>
      <c r="AB56" s="3376"/>
      <c r="AC56" s="425"/>
      <c r="AD56" s="3376"/>
      <c r="AE56" s="3376"/>
      <c r="AF56" s="425"/>
      <c r="AG56" s="3376"/>
      <c r="AH56" s="426"/>
      <c r="AI56" s="2231"/>
      <c r="AJ56" s="5501" t="str">
        <f t="shared" si="22"/>
        <v/>
      </c>
      <c r="AM56" s="3986"/>
      <c r="AO56" s="3986"/>
      <c r="AP56" s="3986"/>
      <c r="AQ56" s="3986"/>
      <c r="AR56" s="3986"/>
      <c r="AS56" s="3986"/>
      <c r="AT56" s="3986"/>
      <c r="AU56" s="3986"/>
      <c r="AV56" s="3986"/>
      <c r="AW56" s="3986"/>
      <c r="AX56" s="3986"/>
      <c r="AY56" s="3986"/>
      <c r="AZ56" s="3986"/>
      <c r="BA56" s="3986"/>
      <c r="BB56" s="3986"/>
      <c r="BC56" s="3986"/>
      <c r="BD56" s="3986"/>
      <c r="BE56" s="3986"/>
      <c r="BF56" s="3986"/>
      <c r="BG56" s="3986"/>
      <c r="BH56" s="3986"/>
      <c r="BI56" s="3986"/>
      <c r="BJ56" s="3986"/>
      <c r="BK56" s="3986"/>
      <c r="BL56" s="3986"/>
      <c r="BM56" s="3986"/>
      <c r="BN56" s="3986"/>
      <c r="BO56" s="3986"/>
      <c r="BP56" s="3986"/>
      <c r="BQ56" s="3986"/>
      <c r="BR56" s="3986"/>
      <c r="BS56" s="3986"/>
      <c r="BT56" s="3986"/>
      <c r="BU56" s="3986"/>
      <c r="BV56" s="3986"/>
      <c r="BW56" s="3986"/>
      <c r="BX56" s="3986"/>
      <c r="BY56" s="3986"/>
      <c r="BZ56" s="3986"/>
      <c r="CA56" s="3666" t="str">
        <f t="shared" si="23"/>
        <v/>
      </c>
      <c r="CB56" s="3986"/>
      <c r="CC56" s="3986"/>
      <c r="CD56" s="3986"/>
      <c r="CE56" s="3986"/>
      <c r="CF56" s="3986"/>
      <c r="CG56" s="3986"/>
      <c r="CH56" s="3986"/>
      <c r="CI56" s="513">
        <f t="shared" si="24"/>
        <v>0</v>
      </c>
    </row>
    <row r="57" spans="1:87">
      <c r="A57" s="3917" t="s">
        <v>4388</v>
      </c>
      <c r="B57" s="3971">
        <f t="shared" si="20"/>
        <v>0</v>
      </c>
      <c r="C57" s="3982">
        <f t="shared" si="21"/>
        <v>0</v>
      </c>
      <c r="D57" s="4713">
        <f t="shared" si="21"/>
        <v>0</v>
      </c>
      <c r="E57" s="3419"/>
      <c r="F57" s="3422"/>
      <c r="G57" s="3419"/>
      <c r="H57" s="3422"/>
      <c r="I57" s="3419"/>
      <c r="J57" s="3422"/>
      <c r="K57" s="3419"/>
      <c r="L57" s="3422"/>
      <c r="M57" s="3419"/>
      <c r="N57" s="3422"/>
      <c r="O57" s="3419"/>
      <c r="P57" s="3422"/>
      <c r="Q57" s="3419"/>
      <c r="R57" s="3422"/>
      <c r="S57" s="3419"/>
      <c r="T57" s="3425"/>
      <c r="U57" s="3385"/>
      <c r="V57" s="2235"/>
      <c r="W57" s="3385"/>
      <c r="X57" s="3384"/>
      <c r="Y57" s="2235"/>
      <c r="Z57" s="432"/>
      <c r="AA57" s="3384"/>
      <c r="AB57" s="3384"/>
      <c r="AC57" s="432"/>
      <c r="AD57" s="3384"/>
      <c r="AE57" s="3384"/>
      <c r="AF57" s="432"/>
      <c r="AG57" s="3384"/>
      <c r="AH57" s="445"/>
      <c r="AI57" s="2235"/>
      <c r="AJ57" s="5501" t="str">
        <f t="shared" si="22"/>
        <v/>
      </c>
      <c r="AM57" s="3986"/>
      <c r="AO57" s="3986"/>
      <c r="AP57" s="3986"/>
      <c r="AQ57" s="3986"/>
      <c r="AR57" s="3986"/>
      <c r="AS57" s="3986"/>
      <c r="AT57" s="3986"/>
      <c r="AU57" s="3986"/>
      <c r="AV57" s="3986"/>
      <c r="AW57" s="3986"/>
      <c r="AX57" s="3986"/>
      <c r="AY57" s="3986"/>
      <c r="AZ57" s="3986"/>
      <c r="BA57" s="3986"/>
      <c r="BB57" s="3986"/>
      <c r="BC57" s="3986"/>
      <c r="BD57" s="3986"/>
      <c r="BE57" s="3986"/>
      <c r="BF57" s="3986"/>
      <c r="BG57" s="3986"/>
      <c r="BH57" s="3986"/>
      <c r="BI57" s="3986"/>
      <c r="BJ57" s="3986"/>
      <c r="BK57" s="3986"/>
      <c r="BL57" s="3986"/>
      <c r="BM57" s="3986"/>
      <c r="BN57" s="3986"/>
      <c r="BO57" s="3986"/>
      <c r="BP57" s="3986"/>
      <c r="BQ57" s="3986"/>
      <c r="BR57" s="3986"/>
      <c r="BS57" s="3986"/>
      <c r="BT57" s="3986"/>
      <c r="BU57" s="3986"/>
      <c r="BV57" s="3986"/>
      <c r="BW57" s="3986"/>
      <c r="BX57" s="3986"/>
      <c r="BY57" s="3986"/>
      <c r="BZ57" s="3986"/>
      <c r="CA57" s="3666" t="str">
        <f t="shared" si="23"/>
        <v/>
      </c>
      <c r="CB57" s="3986"/>
      <c r="CC57" s="3986"/>
      <c r="CD57" s="3986"/>
      <c r="CE57" s="3986"/>
      <c r="CF57" s="3986"/>
      <c r="CG57" s="3986"/>
      <c r="CH57" s="3986"/>
      <c r="CI57" s="513">
        <f t="shared" si="24"/>
        <v>0</v>
      </c>
    </row>
    <row r="58" spans="1:87">
      <c r="A58" s="1963" t="s">
        <v>91</v>
      </c>
      <c r="B58" s="4075">
        <f t="shared" si="20"/>
        <v>0</v>
      </c>
      <c r="C58" s="5035">
        <f t="shared" ref="C58:T58" si="25">SUM(C55:C57)</f>
        <v>0</v>
      </c>
      <c r="D58" s="5035">
        <f t="shared" si="25"/>
        <v>0</v>
      </c>
      <c r="E58" s="2238">
        <f t="shared" si="25"/>
        <v>0</v>
      </c>
      <c r="F58" s="2243">
        <f t="shared" si="25"/>
        <v>0</v>
      </c>
      <c r="G58" s="2238">
        <f t="shared" si="25"/>
        <v>0</v>
      </c>
      <c r="H58" s="2243">
        <f t="shared" si="25"/>
        <v>0</v>
      </c>
      <c r="I58" s="2238">
        <f t="shared" si="25"/>
        <v>0</v>
      </c>
      <c r="J58" s="2243">
        <f t="shared" si="25"/>
        <v>0</v>
      </c>
      <c r="K58" s="2238">
        <f t="shared" si="25"/>
        <v>0</v>
      </c>
      <c r="L58" s="2241">
        <f t="shared" si="25"/>
        <v>0</v>
      </c>
      <c r="M58" s="2238">
        <f t="shared" si="25"/>
        <v>0</v>
      </c>
      <c r="N58" s="2918">
        <f t="shared" si="25"/>
        <v>0</v>
      </c>
      <c r="O58" s="2238">
        <f t="shared" si="25"/>
        <v>0</v>
      </c>
      <c r="P58" s="2918">
        <f t="shared" si="25"/>
        <v>0</v>
      </c>
      <c r="Q58" s="2238">
        <f t="shared" si="25"/>
        <v>0</v>
      </c>
      <c r="R58" s="2918">
        <f t="shared" si="25"/>
        <v>0</v>
      </c>
      <c r="S58" s="2240">
        <f t="shared" si="25"/>
        <v>0</v>
      </c>
      <c r="T58" s="5528">
        <f t="shared" si="25"/>
        <v>0</v>
      </c>
      <c r="U58" s="5523"/>
      <c r="V58" s="5523"/>
      <c r="W58" s="5523"/>
      <c r="X58" s="5523"/>
      <c r="Y58" s="5524"/>
      <c r="Z58" s="5522"/>
      <c r="AA58" s="5523"/>
      <c r="AB58" s="5524"/>
      <c r="AC58" s="5522"/>
      <c r="AD58" s="5523"/>
      <c r="AE58" s="5524"/>
      <c r="AF58" s="5522"/>
      <c r="AG58" s="5523"/>
      <c r="AH58" s="5525"/>
      <c r="AI58" s="5529">
        <f>SUM(AI55:AI57)</f>
        <v>0</v>
      </c>
      <c r="AJ58" s="3986"/>
      <c r="AK58" s="3986"/>
      <c r="AL58" s="3986"/>
      <c r="AM58" s="3986"/>
      <c r="AN58" s="3986"/>
      <c r="AO58" s="3986"/>
      <c r="AP58" s="3986"/>
      <c r="AQ58" s="3986"/>
      <c r="AR58" s="3986"/>
      <c r="AS58" s="3986"/>
      <c r="AT58" s="3986"/>
      <c r="AU58" s="3986"/>
      <c r="AV58" s="3986"/>
      <c r="AW58" s="3986"/>
      <c r="AX58" s="3986"/>
      <c r="AY58" s="3986"/>
      <c r="AZ58" s="3986"/>
      <c r="BA58" s="3986"/>
      <c r="BB58" s="3986"/>
      <c r="BC58" s="3986"/>
      <c r="BD58" s="3986"/>
      <c r="BE58" s="3986"/>
      <c r="BF58" s="3986"/>
      <c r="BG58" s="3986"/>
      <c r="BH58" s="3986"/>
      <c r="BI58" s="3986"/>
      <c r="BJ58" s="3986"/>
      <c r="BK58" s="3986"/>
      <c r="BL58" s="3986"/>
      <c r="BM58" s="3986"/>
      <c r="BN58" s="3986"/>
      <c r="BO58" s="3986"/>
      <c r="BP58" s="3986"/>
      <c r="BQ58" s="3986"/>
      <c r="BR58" s="3986"/>
      <c r="BS58" s="3986"/>
      <c r="BT58" s="3986"/>
      <c r="BU58" s="3986"/>
      <c r="BV58" s="3986"/>
      <c r="BW58" s="3986"/>
      <c r="BX58" s="2549"/>
      <c r="BY58" s="2549"/>
      <c r="BZ58" s="2549"/>
      <c r="CA58" s="2549"/>
      <c r="CE58" s="2549"/>
      <c r="CF58" s="2549"/>
      <c r="CG58" s="2549"/>
      <c r="CH58" s="2549"/>
      <c r="CI58" s="2549"/>
    </row>
    <row r="59" spans="1:87" ht="17.100000000000001" customHeight="1">
      <c r="A59" s="2271" t="s">
        <v>4389</v>
      </c>
      <c r="B59" s="2271"/>
      <c r="C59" s="5493"/>
      <c r="D59" s="5493"/>
      <c r="E59" s="5493"/>
      <c r="F59" s="5493"/>
      <c r="G59" s="5493" t="s">
        <v>16</v>
      </c>
      <c r="H59" s="5493"/>
      <c r="I59" s="5493"/>
      <c r="J59" s="5493"/>
      <c r="K59" s="5493"/>
      <c r="L59" s="5493"/>
      <c r="M59" s="5493"/>
      <c r="N59" s="5493"/>
      <c r="O59" s="5493"/>
      <c r="P59" s="5493"/>
      <c r="Q59" s="5493"/>
      <c r="R59" s="5493"/>
      <c r="S59" s="5493"/>
      <c r="T59" s="5493"/>
      <c r="U59" s="5493"/>
      <c r="V59" s="5493"/>
      <c r="W59" s="5493"/>
      <c r="X59" s="5493"/>
      <c r="Y59" s="5493"/>
      <c r="Z59" s="5493"/>
      <c r="AA59" s="5493"/>
      <c r="AB59" s="5493"/>
      <c r="AC59" s="5493"/>
      <c r="AD59" s="5493"/>
      <c r="AE59" s="5493"/>
      <c r="AF59" s="5493"/>
      <c r="AG59" s="5493"/>
      <c r="AH59" s="5493"/>
      <c r="AI59" s="5493"/>
      <c r="AJ59" s="5493"/>
      <c r="AK59" s="5493"/>
      <c r="AL59" s="5493"/>
      <c r="AM59" s="5493"/>
      <c r="AV59" s="2549"/>
      <c r="AW59" s="2549"/>
      <c r="AX59" s="2549"/>
      <c r="AY59" s="2549"/>
      <c r="BA59" s="2549"/>
      <c r="BB59" s="2549"/>
      <c r="BC59" s="2549"/>
      <c r="BD59" s="2549"/>
      <c r="BE59" s="2549"/>
      <c r="BF59" s="2549"/>
      <c r="BG59" s="2549"/>
      <c r="BH59" s="2549"/>
      <c r="BI59" s="2549"/>
      <c r="BJ59" s="2549"/>
      <c r="BK59" s="2549"/>
      <c r="BL59" s="2549"/>
      <c r="BM59" s="2549"/>
      <c r="BN59" s="2549"/>
      <c r="BO59" s="2549"/>
      <c r="BP59" s="2549"/>
      <c r="BQ59" s="2549"/>
      <c r="BR59" s="2549"/>
      <c r="BS59" s="2549"/>
      <c r="BT59" s="2549"/>
      <c r="BU59" s="2549"/>
      <c r="BV59" s="2549"/>
      <c r="BW59" s="2549"/>
      <c r="BX59" s="2549"/>
      <c r="BY59" s="2549"/>
      <c r="BZ59" s="2549"/>
      <c r="CA59" s="2549"/>
      <c r="CE59" s="2549"/>
      <c r="CF59" s="2549"/>
      <c r="CG59" s="2549"/>
      <c r="CH59" s="2549"/>
      <c r="CI59" s="2549"/>
    </row>
    <row r="60" spans="1:87" ht="17.100000000000001" customHeight="1">
      <c r="A60" s="2271" t="s">
        <v>4390</v>
      </c>
      <c r="B60" s="2271"/>
      <c r="C60" s="5493"/>
      <c r="D60" s="5493"/>
      <c r="E60" s="5493"/>
      <c r="F60" s="5493"/>
      <c r="G60" s="5493"/>
      <c r="H60" s="5493"/>
      <c r="I60" s="5493"/>
      <c r="J60" s="5493"/>
      <c r="K60" s="5493"/>
      <c r="L60" s="5493"/>
      <c r="M60" s="5493"/>
      <c r="N60" s="5493"/>
      <c r="O60" s="5493"/>
      <c r="P60" s="5493"/>
      <c r="Q60" s="5493"/>
      <c r="R60" s="5493"/>
      <c r="S60" s="5493"/>
      <c r="T60" s="5493"/>
      <c r="U60" s="5493"/>
      <c r="V60" s="5493"/>
      <c r="W60" s="5493"/>
      <c r="X60" s="5493"/>
      <c r="Y60" s="5493"/>
      <c r="Z60" s="5493"/>
      <c r="AA60" s="5493"/>
      <c r="AB60" s="5493"/>
      <c r="AC60" s="5493"/>
      <c r="AD60" s="5493"/>
      <c r="AE60" s="5493"/>
      <c r="AF60" s="5493"/>
      <c r="AG60" s="5493"/>
      <c r="AH60" s="5493"/>
      <c r="AI60" s="5493"/>
      <c r="AJ60" s="5493"/>
      <c r="AK60" s="5493"/>
      <c r="AL60" s="5493"/>
      <c r="AM60" s="5493"/>
      <c r="AV60" s="2549"/>
      <c r="AW60" s="2549"/>
      <c r="AX60" s="2549"/>
      <c r="AY60" s="2549"/>
      <c r="BA60" s="2549"/>
      <c r="BB60" s="2549"/>
      <c r="BC60" s="2549"/>
      <c r="BD60" s="2549"/>
      <c r="BE60" s="2549"/>
      <c r="BF60" s="2549"/>
      <c r="BG60" s="2549"/>
      <c r="BH60" s="2549"/>
      <c r="BI60" s="2549"/>
      <c r="BJ60" s="2549"/>
      <c r="BK60" s="2549"/>
      <c r="BL60" s="2549"/>
      <c r="BM60" s="2549"/>
      <c r="BN60" s="2549"/>
      <c r="BO60" s="2549"/>
      <c r="BP60" s="2549"/>
      <c r="BQ60" s="2549"/>
      <c r="BR60" s="2549"/>
      <c r="BS60" s="2549"/>
      <c r="BT60" s="2549"/>
      <c r="BU60" s="2549"/>
      <c r="BV60" s="2549"/>
      <c r="BW60" s="2549"/>
      <c r="BX60" s="2549"/>
      <c r="BY60" s="2549"/>
      <c r="BZ60" s="2549"/>
      <c r="CA60" s="2549"/>
      <c r="CE60" s="2549"/>
      <c r="CF60" s="2549"/>
      <c r="CG60" s="2549"/>
      <c r="CH60" s="2549"/>
      <c r="CI60" s="2549"/>
    </row>
    <row r="61" spans="1:87">
      <c r="A61" s="6298" t="s">
        <v>3368</v>
      </c>
      <c r="B61" s="6154" t="s">
        <v>41</v>
      </c>
      <c r="C61" s="6152" t="s">
        <v>91</v>
      </c>
      <c r="D61" s="6152"/>
      <c r="E61" s="6152"/>
      <c r="F61" s="6586" t="s">
        <v>115</v>
      </c>
      <c r="G61" s="6574"/>
      <c r="H61" s="6574"/>
      <c r="I61" s="6574"/>
      <c r="J61" s="6574"/>
      <c r="K61" s="6574"/>
      <c r="L61" s="6574"/>
      <c r="M61" s="6574"/>
      <c r="N61" s="6574"/>
      <c r="O61" s="6574"/>
      <c r="P61" s="6574"/>
      <c r="Q61" s="6574"/>
      <c r="R61" s="6574"/>
      <c r="S61" s="6574"/>
      <c r="T61" s="6574"/>
      <c r="U61" s="6893"/>
      <c r="V61" s="6139" t="s">
        <v>4360</v>
      </c>
      <c r="W61" s="6119"/>
      <c r="X61" s="6068" t="s">
        <v>4361</v>
      </c>
      <c r="Y61" s="6069"/>
      <c r="Z61" s="6070"/>
      <c r="AA61" s="7345" t="s">
        <v>4365</v>
      </c>
      <c r="AB61" s="7346"/>
      <c r="AC61" s="7347"/>
      <c r="AD61" s="7345" t="s">
        <v>4368</v>
      </c>
      <c r="AE61" s="7346"/>
      <c r="AF61" s="7347"/>
      <c r="AG61" s="7351" t="s">
        <v>4375</v>
      </c>
      <c r="AH61" s="7150"/>
      <c r="AI61" s="7352"/>
      <c r="AJ61" s="6391" t="s">
        <v>50</v>
      </c>
      <c r="AK61" s="5530"/>
      <c r="AL61" s="5531"/>
      <c r="AO61" s="3986"/>
      <c r="AQ61" s="3986"/>
      <c r="AR61" s="3986"/>
      <c r="AV61" s="2549"/>
      <c r="AW61" s="2549"/>
      <c r="AX61" s="2549"/>
      <c r="AY61" s="2549"/>
      <c r="BA61" s="2549"/>
      <c r="BB61" s="2549"/>
      <c r="BC61" s="2549"/>
      <c r="BD61" s="2549"/>
      <c r="BE61" s="2549"/>
      <c r="BF61" s="2549"/>
      <c r="BG61" s="2549"/>
      <c r="BH61" s="2549"/>
      <c r="BI61" s="2549"/>
      <c r="BJ61" s="2549"/>
      <c r="BK61" s="2549"/>
      <c r="BL61" s="2549"/>
      <c r="BM61" s="2549"/>
      <c r="BN61" s="2549"/>
      <c r="BO61" s="2549"/>
      <c r="BP61" s="2549"/>
      <c r="BQ61" s="2549"/>
      <c r="BR61" s="2549"/>
      <c r="BS61" s="2549"/>
      <c r="BT61" s="2549"/>
      <c r="BU61" s="2549"/>
      <c r="BV61" s="2549"/>
      <c r="BW61" s="2549"/>
      <c r="BX61" s="2549"/>
      <c r="BY61" s="2549"/>
      <c r="BZ61" s="2549"/>
      <c r="CA61" s="2549"/>
      <c r="CE61" s="2549"/>
      <c r="CF61" s="2549"/>
      <c r="CG61" s="2549"/>
      <c r="CH61" s="2549"/>
      <c r="CI61" s="2549"/>
    </row>
    <row r="62" spans="1:87">
      <c r="A62" s="6299"/>
      <c r="B62" s="6154"/>
      <c r="C62" s="6152"/>
      <c r="D62" s="6152"/>
      <c r="E62" s="6152"/>
      <c r="F62" s="7358" t="s">
        <v>3936</v>
      </c>
      <c r="G62" s="7359"/>
      <c r="H62" s="7358" t="s">
        <v>4374</v>
      </c>
      <c r="I62" s="7360"/>
      <c r="J62" s="7359" t="s">
        <v>1521</v>
      </c>
      <c r="K62" s="7360"/>
      <c r="L62" s="7358" t="s">
        <v>1522</v>
      </c>
      <c r="M62" s="7360"/>
      <c r="N62" s="7358" t="s">
        <v>1523</v>
      </c>
      <c r="O62" s="7360"/>
      <c r="P62" s="7358" t="s">
        <v>1524</v>
      </c>
      <c r="Q62" s="7360"/>
      <c r="R62" s="7358" t="s">
        <v>1525</v>
      </c>
      <c r="S62" s="7360"/>
      <c r="T62" s="6372" t="s">
        <v>966</v>
      </c>
      <c r="U62" s="7361"/>
      <c r="V62" s="6115"/>
      <c r="W62" s="6116"/>
      <c r="X62" s="6074"/>
      <c r="Y62" s="6075"/>
      <c r="Z62" s="6076"/>
      <c r="AA62" s="7348"/>
      <c r="AB62" s="7349"/>
      <c r="AC62" s="7350"/>
      <c r="AD62" s="7348"/>
      <c r="AE62" s="7349"/>
      <c r="AF62" s="7350"/>
      <c r="AG62" s="7353"/>
      <c r="AH62" s="7354"/>
      <c r="AI62" s="7355"/>
      <c r="AJ62" s="6391"/>
      <c r="AK62" s="5532"/>
      <c r="AL62" s="5531"/>
      <c r="AM62" s="3986"/>
      <c r="AV62" s="2549"/>
      <c r="AW62" s="2549"/>
      <c r="AX62" s="2549"/>
      <c r="AY62" s="2549"/>
      <c r="BA62" s="2549"/>
      <c r="BB62" s="2549"/>
      <c r="BC62" s="2549"/>
      <c r="BD62" s="2549"/>
      <c r="BE62" s="2549"/>
      <c r="BF62" s="2549"/>
      <c r="BG62" s="2549"/>
      <c r="BH62" s="2549"/>
      <c r="BI62" s="2549"/>
      <c r="BJ62" s="2549"/>
      <c r="BK62" s="2549"/>
      <c r="BL62" s="2549"/>
      <c r="BM62" s="2549"/>
      <c r="BN62" s="2549"/>
      <c r="BO62" s="2549"/>
      <c r="BP62" s="2549"/>
      <c r="BQ62" s="2549"/>
      <c r="BR62" s="2549"/>
      <c r="BS62" s="2549"/>
      <c r="BT62" s="2549"/>
      <c r="BU62" s="2549"/>
      <c r="BV62" s="2549"/>
      <c r="BW62" s="2549"/>
      <c r="BX62" s="2549"/>
      <c r="BY62" s="2549"/>
      <c r="BZ62" s="2549"/>
      <c r="CA62" s="2549"/>
      <c r="CE62" s="2549"/>
      <c r="CF62" s="2549"/>
      <c r="CG62" s="2549"/>
      <c r="CH62" s="2549"/>
      <c r="CI62" s="2549"/>
    </row>
    <row r="63" spans="1:87" ht="21">
      <c r="A63" s="6300"/>
      <c r="B63" s="6154"/>
      <c r="C63" s="396" t="s">
        <v>93</v>
      </c>
      <c r="D63" s="397" t="s">
        <v>72</v>
      </c>
      <c r="E63" s="1962" t="s">
        <v>73</v>
      </c>
      <c r="F63" s="1666" t="s">
        <v>72</v>
      </c>
      <c r="G63" s="1962" t="s">
        <v>73</v>
      </c>
      <c r="H63" s="4062" t="s">
        <v>72</v>
      </c>
      <c r="I63" s="1961" t="s">
        <v>73</v>
      </c>
      <c r="J63" s="1666" t="s">
        <v>72</v>
      </c>
      <c r="K63" s="1962" t="s">
        <v>73</v>
      </c>
      <c r="L63" s="4062" t="s">
        <v>72</v>
      </c>
      <c r="M63" s="1961" t="s">
        <v>73</v>
      </c>
      <c r="N63" s="1666" t="s">
        <v>72</v>
      </c>
      <c r="O63" s="1962" t="s">
        <v>73</v>
      </c>
      <c r="P63" s="4062" t="s">
        <v>72</v>
      </c>
      <c r="Q63" s="1961" t="s">
        <v>73</v>
      </c>
      <c r="R63" s="1666" t="s">
        <v>72</v>
      </c>
      <c r="S63" s="1962" t="s">
        <v>73</v>
      </c>
      <c r="T63" s="4062" t="s">
        <v>72</v>
      </c>
      <c r="U63" s="2316" t="s">
        <v>73</v>
      </c>
      <c r="V63" s="1396" t="s">
        <v>4370</v>
      </c>
      <c r="W63" s="3452" t="s">
        <v>4371</v>
      </c>
      <c r="X63" s="1497" t="s">
        <v>4369</v>
      </c>
      <c r="Y63" s="1498" t="s">
        <v>4370</v>
      </c>
      <c r="Z63" s="5053" t="s">
        <v>4371</v>
      </c>
      <c r="AA63" s="5337" t="s">
        <v>4369</v>
      </c>
      <c r="AB63" s="5338" t="s">
        <v>4370</v>
      </c>
      <c r="AC63" s="5053" t="s">
        <v>4371</v>
      </c>
      <c r="AD63" s="5337" t="s">
        <v>4369</v>
      </c>
      <c r="AE63" s="5338" t="s">
        <v>4370</v>
      </c>
      <c r="AF63" s="5053" t="s">
        <v>4371</v>
      </c>
      <c r="AG63" s="5337" t="s">
        <v>4369</v>
      </c>
      <c r="AH63" s="5338" t="s">
        <v>4370</v>
      </c>
      <c r="AI63" s="5516" t="s">
        <v>4371</v>
      </c>
      <c r="AJ63" s="6391"/>
      <c r="AK63" s="5532"/>
      <c r="AL63" s="5531"/>
      <c r="AM63" s="3986"/>
      <c r="AV63" s="2549"/>
      <c r="AW63" s="2549"/>
      <c r="AX63" s="2549"/>
      <c r="AY63" s="2549"/>
      <c r="BA63" s="2549"/>
      <c r="BB63" s="2549"/>
      <c r="BC63" s="2549"/>
      <c r="BD63" s="2549"/>
      <c r="BE63" s="2549"/>
      <c r="BF63" s="2549"/>
      <c r="BG63" s="2549"/>
      <c r="BH63" s="2549"/>
      <c r="BI63" s="2549"/>
      <c r="BJ63" s="2549"/>
      <c r="BK63" s="2549"/>
      <c r="BL63" s="2549"/>
      <c r="BM63" s="2549"/>
      <c r="BN63" s="2549"/>
      <c r="BO63" s="2549"/>
      <c r="BP63" s="2549"/>
      <c r="BQ63" s="2549"/>
      <c r="BR63" s="2549"/>
      <c r="BS63" s="2549"/>
      <c r="BT63" s="2549"/>
      <c r="BU63" s="2549"/>
      <c r="BV63" s="2549"/>
      <c r="BW63" s="2549"/>
      <c r="BX63" s="2549"/>
      <c r="BY63" s="2549"/>
      <c r="BZ63" s="2549"/>
      <c r="CA63" s="2549"/>
      <c r="CE63" s="2549"/>
      <c r="CF63" s="2549"/>
      <c r="CG63" s="2549"/>
      <c r="CH63" s="2549"/>
      <c r="CI63" s="2549"/>
    </row>
    <row r="64" spans="1:87">
      <c r="A64" s="6722" t="s">
        <v>4391</v>
      </c>
      <c r="B64" s="1403" t="s">
        <v>4377</v>
      </c>
      <c r="C64" s="2393">
        <f t="shared" ref="C64:C94" si="26">SUM(D64:E64)</f>
        <v>0</v>
      </c>
      <c r="D64" s="3453">
        <f t="shared" ref="D64:E71" si="27">SUM(F64,H64,J64,L64,N64,P64,R64,T64)</f>
        <v>0</v>
      </c>
      <c r="E64" s="1736">
        <f t="shared" si="27"/>
        <v>0</v>
      </c>
      <c r="F64" s="1425"/>
      <c r="G64" s="1436"/>
      <c r="H64" s="1425"/>
      <c r="I64" s="1427"/>
      <c r="J64" s="1424"/>
      <c r="K64" s="1676"/>
      <c r="L64" s="1425"/>
      <c r="M64" s="1427"/>
      <c r="N64" s="1424"/>
      <c r="O64" s="1676"/>
      <c r="P64" s="1425"/>
      <c r="Q64" s="1427"/>
      <c r="R64" s="1424"/>
      <c r="S64" s="1676"/>
      <c r="T64" s="1425"/>
      <c r="U64" s="1428"/>
      <c r="V64" s="1425"/>
      <c r="W64" s="1676"/>
      <c r="X64" s="425"/>
      <c r="Y64" s="3376"/>
      <c r="Z64" s="1676"/>
      <c r="AA64" s="425"/>
      <c r="AB64" s="3376"/>
      <c r="AC64" s="1676"/>
      <c r="AD64" s="425"/>
      <c r="AE64" s="3376"/>
      <c r="AF64" s="1676"/>
      <c r="AG64" s="425"/>
      <c r="AH64" s="3376"/>
      <c r="AI64" s="1428"/>
      <c r="AJ64" s="3391"/>
      <c r="AK64" s="5501" t="str">
        <f t="shared" si="10"/>
        <v/>
      </c>
      <c r="AL64" s="385"/>
      <c r="AM64" s="417"/>
      <c r="AN64" s="417"/>
      <c r="AO64" s="417"/>
      <c r="AP64" s="417"/>
      <c r="AQ64" s="385"/>
      <c r="AR64" s="385"/>
      <c r="AS64" s="385"/>
      <c r="AT64" s="385"/>
      <c r="AU64" s="385"/>
      <c r="AV64" s="385"/>
      <c r="AW64" s="385"/>
      <c r="AX64" s="385"/>
      <c r="AY64" s="385"/>
      <c r="AZ64" s="385"/>
      <c r="BA64" s="385"/>
      <c r="BB64" s="385"/>
      <c r="BC64" s="385"/>
      <c r="BD64" s="385"/>
      <c r="BE64" s="385"/>
      <c r="BF64" s="385"/>
      <c r="BG64" s="385"/>
      <c r="BH64" s="385"/>
      <c r="BI64" s="385"/>
      <c r="BJ64" s="385"/>
      <c r="BK64" s="385"/>
      <c r="BL64" s="385"/>
      <c r="BM64" s="385"/>
      <c r="BN64" s="385"/>
      <c r="BO64" s="385"/>
      <c r="BP64" s="385"/>
      <c r="BQ64" s="385"/>
      <c r="BR64" s="385"/>
      <c r="BS64" s="385"/>
      <c r="BT64" s="385"/>
      <c r="BU64" s="385"/>
      <c r="BV64" s="385"/>
      <c r="CA64" s="3666" t="str">
        <f t="shared" ref="CA64:CA71" si="28">IF(AND($C64&lt;&gt;0,AJ64=""),"* No olvide ingresar la columna Pueblos Originarios, digite CERO si no tiene.  ",IF(AJ64&gt;$C64,"* El número de Pueblos Originarios no puede superar el Total Ambos Sexos.  ",""))</f>
        <v/>
      </c>
      <c r="CB64" s="510"/>
      <c r="CC64" s="510"/>
      <c r="CD64" s="510"/>
      <c r="CE64" s="385"/>
      <c r="CF64" s="385"/>
      <c r="CG64" s="385"/>
      <c r="CH64" s="385"/>
      <c r="CI64" s="513">
        <f t="shared" ref="CI64:CI71" si="29">IF(AND($C64&lt;&gt;0,AJ64=""),1,IF(AJ64&gt;$C64,1,0))</f>
        <v>0</v>
      </c>
    </row>
    <row r="65" spans="1:87">
      <c r="A65" s="6724"/>
      <c r="B65" s="3607" t="s">
        <v>4379</v>
      </c>
      <c r="C65" s="1751">
        <f t="shared" si="26"/>
        <v>0</v>
      </c>
      <c r="D65" s="3574">
        <f t="shared" si="27"/>
        <v>0</v>
      </c>
      <c r="E65" s="1757">
        <f t="shared" si="27"/>
        <v>0</v>
      </c>
      <c r="F65" s="1456"/>
      <c r="G65" s="1467"/>
      <c r="H65" s="1456"/>
      <c r="I65" s="1458"/>
      <c r="J65" s="1455"/>
      <c r="K65" s="1684"/>
      <c r="L65" s="1456"/>
      <c r="M65" s="1458"/>
      <c r="N65" s="1455"/>
      <c r="O65" s="1684"/>
      <c r="P65" s="1456"/>
      <c r="Q65" s="1458"/>
      <c r="R65" s="1455"/>
      <c r="S65" s="1684"/>
      <c r="T65" s="1455"/>
      <c r="U65" s="1459"/>
      <c r="V65" s="1714"/>
      <c r="W65" s="1684"/>
      <c r="X65" s="432"/>
      <c r="Y65" s="3384"/>
      <c r="Z65" s="1684"/>
      <c r="AA65" s="432"/>
      <c r="AB65" s="3384"/>
      <c r="AC65" s="1684"/>
      <c r="AD65" s="432"/>
      <c r="AE65" s="3384"/>
      <c r="AF65" s="1684"/>
      <c r="AG65" s="432"/>
      <c r="AH65" s="3384"/>
      <c r="AI65" s="1459"/>
      <c r="AJ65" s="3680"/>
      <c r="AK65" s="5501" t="str">
        <f t="shared" si="10"/>
        <v/>
      </c>
      <c r="AL65" s="385"/>
      <c r="AM65" s="385"/>
      <c r="AN65" s="385"/>
      <c r="AO65" s="385"/>
      <c r="AP65" s="385"/>
      <c r="AQ65" s="385"/>
      <c r="AR65" s="385"/>
      <c r="AS65" s="385"/>
      <c r="AT65" s="385"/>
      <c r="AU65" s="385"/>
      <c r="AV65" s="385"/>
      <c r="AW65" s="385"/>
      <c r="AX65" s="385"/>
      <c r="AY65" s="385"/>
      <c r="AZ65" s="385"/>
      <c r="BA65" s="385"/>
      <c r="BB65" s="385"/>
      <c r="BC65" s="385"/>
      <c r="BD65" s="385"/>
      <c r="BE65" s="385"/>
      <c r="BF65" s="385"/>
      <c r="BG65" s="385"/>
      <c r="BH65" s="385"/>
      <c r="BI65" s="385"/>
      <c r="BJ65" s="385"/>
      <c r="BK65" s="385"/>
      <c r="BL65" s="385"/>
      <c r="BM65" s="385"/>
      <c r="BN65" s="385"/>
      <c r="BO65" s="385"/>
      <c r="BP65" s="385"/>
      <c r="BQ65" s="385"/>
      <c r="BR65" s="385"/>
      <c r="BS65" s="385"/>
      <c r="BT65" s="385"/>
      <c r="BU65" s="385"/>
      <c r="BV65" s="385"/>
      <c r="CA65" s="3666" t="str">
        <f t="shared" si="28"/>
        <v/>
      </c>
      <c r="CB65" s="510"/>
      <c r="CC65" s="510"/>
      <c r="CD65" s="510"/>
      <c r="CE65" s="385"/>
      <c r="CF65" s="385"/>
      <c r="CG65" s="385"/>
      <c r="CH65" s="385"/>
      <c r="CI65" s="513">
        <f t="shared" si="29"/>
        <v>0</v>
      </c>
    </row>
    <row r="66" spans="1:87">
      <c r="A66" s="6722" t="s">
        <v>4392</v>
      </c>
      <c r="B66" s="1422" t="s">
        <v>4377</v>
      </c>
      <c r="C66" s="2393">
        <f t="shared" si="26"/>
        <v>0</v>
      </c>
      <c r="D66" s="3453">
        <f t="shared" si="27"/>
        <v>0</v>
      </c>
      <c r="E66" s="1736">
        <f t="shared" si="27"/>
        <v>0</v>
      </c>
      <c r="F66" s="1881"/>
      <c r="G66" s="1523"/>
      <c r="H66" s="1881"/>
      <c r="I66" s="2355"/>
      <c r="J66" s="1517"/>
      <c r="K66" s="1821"/>
      <c r="L66" s="1881"/>
      <c r="M66" s="2355"/>
      <c r="N66" s="1517"/>
      <c r="O66" s="1821"/>
      <c r="P66" s="1881"/>
      <c r="Q66" s="2355"/>
      <c r="R66" s="1517"/>
      <c r="S66" s="1821"/>
      <c r="T66" s="1881"/>
      <c r="U66" s="3015"/>
      <c r="V66" s="1881"/>
      <c r="W66" s="1821"/>
      <c r="X66" s="413"/>
      <c r="Y66" s="3370"/>
      <c r="Z66" s="1821"/>
      <c r="AA66" s="413"/>
      <c r="AB66" s="3370"/>
      <c r="AC66" s="1821"/>
      <c r="AD66" s="413"/>
      <c r="AE66" s="3370"/>
      <c r="AF66" s="1821"/>
      <c r="AG66" s="413"/>
      <c r="AH66" s="3370"/>
      <c r="AI66" s="3015"/>
      <c r="AJ66" s="4557"/>
      <c r="AK66" s="5501" t="str">
        <f t="shared" si="10"/>
        <v/>
      </c>
      <c r="AL66" s="385"/>
      <c r="AM66" s="385"/>
      <c r="AN66" s="385"/>
      <c r="AO66" s="385"/>
      <c r="AP66" s="385"/>
      <c r="AQ66" s="385"/>
      <c r="AR66" s="385"/>
      <c r="AS66" s="385"/>
      <c r="AT66" s="385"/>
      <c r="AU66" s="385"/>
      <c r="AV66" s="385"/>
      <c r="AW66" s="385"/>
      <c r="AX66" s="385"/>
      <c r="AY66" s="385"/>
      <c r="AZ66" s="385"/>
      <c r="BA66" s="385"/>
      <c r="BB66" s="385"/>
      <c r="BC66" s="385"/>
      <c r="BD66" s="385"/>
      <c r="BE66" s="385"/>
      <c r="BF66" s="385"/>
      <c r="BG66" s="385"/>
      <c r="BH66" s="385"/>
      <c r="BI66" s="385"/>
      <c r="BJ66" s="385"/>
      <c r="BK66" s="385"/>
      <c r="BL66" s="385"/>
      <c r="BM66" s="385"/>
      <c r="BN66" s="385"/>
      <c r="BO66" s="385"/>
      <c r="BP66" s="385"/>
      <c r="BQ66" s="385"/>
      <c r="BR66" s="385"/>
      <c r="BS66" s="385"/>
      <c r="BT66" s="385"/>
      <c r="BU66" s="385"/>
      <c r="BV66" s="385"/>
      <c r="CA66" s="3666" t="str">
        <f t="shared" si="28"/>
        <v/>
      </c>
      <c r="CB66" s="510"/>
      <c r="CC66" s="510"/>
      <c r="CD66" s="510"/>
      <c r="CE66" s="385"/>
      <c r="CF66" s="385"/>
      <c r="CG66" s="385"/>
      <c r="CH66" s="385"/>
      <c r="CI66" s="513">
        <f t="shared" si="29"/>
        <v>0</v>
      </c>
    </row>
    <row r="67" spans="1:87">
      <c r="A67" s="6723"/>
      <c r="B67" s="1512" t="s">
        <v>1066</v>
      </c>
      <c r="C67" s="3591">
        <f t="shared" si="26"/>
        <v>0</v>
      </c>
      <c r="D67" s="4046">
        <f t="shared" si="27"/>
        <v>0</v>
      </c>
      <c r="E67" s="1753">
        <f t="shared" si="27"/>
        <v>0</v>
      </c>
      <c r="F67" s="1826"/>
      <c r="G67" s="1692"/>
      <c r="H67" s="1826"/>
      <c r="I67" s="2352"/>
      <c r="J67" s="1485"/>
      <c r="K67" s="1824"/>
      <c r="L67" s="1826"/>
      <c r="M67" s="2352"/>
      <c r="N67" s="1485"/>
      <c r="O67" s="1824"/>
      <c r="P67" s="1826"/>
      <c r="Q67" s="2352"/>
      <c r="R67" s="1485"/>
      <c r="S67" s="1824"/>
      <c r="T67" s="1826"/>
      <c r="U67" s="1486"/>
      <c r="V67" s="1826"/>
      <c r="W67" s="1824"/>
      <c r="X67" s="425"/>
      <c r="Y67" s="3376"/>
      <c r="Z67" s="1824"/>
      <c r="AA67" s="425"/>
      <c r="AB67" s="3376"/>
      <c r="AC67" s="1824"/>
      <c r="AD67" s="425"/>
      <c r="AE67" s="3376"/>
      <c r="AF67" s="1824"/>
      <c r="AG67" s="425"/>
      <c r="AH67" s="3376"/>
      <c r="AI67" s="1486"/>
      <c r="AJ67" s="4559"/>
      <c r="AK67" s="5501" t="str">
        <f t="shared" si="10"/>
        <v/>
      </c>
      <c r="AL67" s="385"/>
      <c r="AM67" s="385"/>
      <c r="AN67" s="385"/>
      <c r="AO67" s="385"/>
      <c r="AP67" s="385"/>
      <c r="AQ67" s="385"/>
      <c r="AR67" s="385"/>
      <c r="AS67" s="385"/>
      <c r="AT67" s="385"/>
      <c r="AU67" s="385"/>
      <c r="AV67" s="385"/>
      <c r="AW67" s="385"/>
      <c r="AX67" s="385"/>
      <c r="AY67" s="385"/>
      <c r="AZ67" s="385"/>
      <c r="BA67" s="385"/>
      <c r="BB67" s="385"/>
      <c r="BC67" s="385"/>
      <c r="BD67" s="385"/>
      <c r="BE67" s="385"/>
      <c r="BF67" s="385"/>
      <c r="BG67" s="385"/>
      <c r="BH67" s="385"/>
      <c r="BI67" s="385"/>
      <c r="BJ67" s="385"/>
      <c r="BK67" s="385"/>
      <c r="BL67" s="385"/>
      <c r="BM67" s="385"/>
      <c r="BN67" s="385"/>
      <c r="BO67" s="385"/>
      <c r="BP67" s="385"/>
      <c r="BQ67" s="385"/>
      <c r="BR67" s="385"/>
      <c r="BS67" s="385"/>
      <c r="BT67" s="385"/>
      <c r="BU67" s="385"/>
      <c r="BV67" s="385"/>
      <c r="CA67" s="3666" t="str">
        <f t="shared" si="28"/>
        <v/>
      </c>
      <c r="CB67" s="510"/>
      <c r="CC67" s="510"/>
      <c r="CD67" s="510"/>
      <c r="CE67" s="385"/>
      <c r="CF67" s="385"/>
      <c r="CG67" s="385"/>
      <c r="CH67" s="385"/>
      <c r="CI67" s="513">
        <f t="shared" si="29"/>
        <v>0</v>
      </c>
    </row>
    <row r="68" spans="1:87">
      <c r="A68" s="6724"/>
      <c r="B68" s="1527" t="s">
        <v>4378</v>
      </c>
      <c r="C68" s="1773">
        <f t="shared" si="26"/>
        <v>0</v>
      </c>
      <c r="D68" s="3649">
        <f t="shared" si="27"/>
        <v>0</v>
      </c>
      <c r="E68" s="1757">
        <f t="shared" si="27"/>
        <v>0</v>
      </c>
      <c r="F68" s="1455"/>
      <c r="G68" s="1467"/>
      <c r="H68" s="1456"/>
      <c r="I68" s="1458"/>
      <c r="J68" s="1455"/>
      <c r="K68" s="1684"/>
      <c r="L68" s="1456"/>
      <c r="M68" s="1458"/>
      <c r="N68" s="1455"/>
      <c r="O68" s="1684"/>
      <c r="P68" s="1456"/>
      <c r="Q68" s="1458"/>
      <c r="R68" s="1455"/>
      <c r="S68" s="1684"/>
      <c r="T68" s="1456"/>
      <c r="U68" s="1459"/>
      <c r="V68" s="1456"/>
      <c r="W68" s="1684"/>
      <c r="X68" s="432"/>
      <c r="Y68" s="3384"/>
      <c r="Z68" s="1684"/>
      <c r="AA68" s="432"/>
      <c r="AB68" s="3384"/>
      <c r="AC68" s="1684"/>
      <c r="AD68" s="432"/>
      <c r="AE68" s="3384"/>
      <c r="AF68" s="1684"/>
      <c r="AG68" s="432"/>
      <c r="AH68" s="3384"/>
      <c r="AI68" s="1459"/>
      <c r="AJ68" s="1661"/>
      <c r="AK68" s="5501" t="str">
        <f t="shared" si="10"/>
        <v/>
      </c>
      <c r="AL68" s="385"/>
      <c r="AM68" s="385"/>
      <c r="AN68" s="385"/>
      <c r="AO68" s="385"/>
      <c r="AP68" s="385"/>
      <c r="AQ68" s="385"/>
      <c r="AR68" s="385"/>
      <c r="AS68" s="385"/>
      <c r="AT68" s="385"/>
      <c r="AU68" s="385"/>
      <c r="AV68" s="385"/>
      <c r="AW68" s="385"/>
      <c r="AX68" s="385"/>
      <c r="AY68" s="385"/>
      <c r="AZ68" s="385"/>
      <c r="BA68" s="385"/>
      <c r="BB68" s="385"/>
      <c r="BC68" s="385"/>
      <c r="BD68" s="385"/>
      <c r="BE68" s="385"/>
      <c r="BF68" s="385"/>
      <c r="BG68" s="385"/>
      <c r="BH68" s="385"/>
      <c r="BI68" s="385"/>
      <c r="BJ68" s="385"/>
      <c r="BK68" s="385"/>
      <c r="BL68" s="385"/>
      <c r="BM68" s="385"/>
      <c r="BN68" s="385"/>
      <c r="BO68" s="385"/>
      <c r="BP68" s="385"/>
      <c r="BQ68" s="385"/>
      <c r="BR68" s="385"/>
      <c r="BS68" s="385"/>
      <c r="BT68" s="385"/>
      <c r="BU68" s="385"/>
      <c r="BV68" s="385"/>
      <c r="CA68" s="3666" t="str">
        <f t="shared" si="28"/>
        <v/>
      </c>
      <c r="CB68" s="510"/>
      <c r="CC68" s="510"/>
      <c r="CD68" s="510"/>
      <c r="CE68" s="385"/>
      <c r="CF68" s="385"/>
      <c r="CG68" s="385"/>
      <c r="CH68" s="385"/>
      <c r="CI68" s="513">
        <f t="shared" si="29"/>
        <v>0</v>
      </c>
    </row>
    <row r="69" spans="1:87">
      <c r="A69" s="5718" t="s">
        <v>4393</v>
      </c>
      <c r="B69" s="1422" t="s">
        <v>4377</v>
      </c>
      <c r="C69" s="5533">
        <f t="shared" si="26"/>
        <v>0</v>
      </c>
      <c r="D69" s="5534">
        <f t="shared" si="27"/>
        <v>0</v>
      </c>
      <c r="E69" s="1736">
        <f t="shared" si="27"/>
        <v>0</v>
      </c>
      <c r="F69" s="2307"/>
      <c r="G69" s="412"/>
      <c r="H69" s="2307"/>
      <c r="I69" s="412"/>
      <c r="J69" s="2307"/>
      <c r="K69" s="412"/>
      <c r="L69" s="2307"/>
      <c r="M69" s="412"/>
      <c r="N69" s="2307"/>
      <c r="O69" s="412"/>
      <c r="P69" s="2307"/>
      <c r="Q69" s="412"/>
      <c r="R69" s="2307"/>
      <c r="S69" s="412"/>
      <c r="T69" s="2307"/>
      <c r="U69" s="414"/>
      <c r="V69" s="1881"/>
      <c r="W69" s="1821"/>
      <c r="X69" s="413"/>
      <c r="Y69" s="3370"/>
      <c r="Z69" s="1821"/>
      <c r="AA69" s="413"/>
      <c r="AB69" s="3370"/>
      <c r="AC69" s="1821"/>
      <c r="AD69" s="413"/>
      <c r="AE69" s="3370"/>
      <c r="AF69" s="1821"/>
      <c r="AG69" s="413"/>
      <c r="AH69" s="3370"/>
      <c r="AI69" s="3015"/>
      <c r="AJ69" s="1523"/>
      <c r="AK69" s="5501" t="str">
        <f t="shared" si="10"/>
        <v/>
      </c>
      <c r="AL69" s="385"/>
      <c r="AM69" s="385"/>
      <c r="AN69" s="385"/>
      <c r="AO69" s="385"/>
      <c r="AP69" s="385"/>
      <c r="AQ69" s="385"/>
      <c r="AR69" s="385"/>
      <c r="AS69" s="385"/>
      <c r="AT69" s="385"/>
      <c r="AU69" s="385"/>
      <c r="AV69" s="385"/>
      <c r="AW69" s="385"/>
      <c r="AX69" s="385"/>
      <c r="AY69" s="385"/>
      <c r="AZ69" s="385"/>
      <c r="BA69" s="385"/>
      <c r="BB69" s="385"/>
      <c r="BC69" s="385"/>
      <c r="BD69" s="385"/>
      <c r="BE69" s="385"/>
      <c r="BF69" s="385"/>
      <c r="BG69" s="385"/>
      <c r="BH69" s="385"/>
      <c r="BI69" s="385"/>
      <c r="BJ69" s="385"/>
      <c r="BK69" s="385"/>
      <c r="BL69" s="385"/>
      <c r="BM69" s="385"/>
      <c r="BN69" s="385"/>
      <c r="BO69" s="385"/>
      <c r="BP69" s="385"/>
      <c r="BQ69" s="385"/>
      <c r="BR69" s="385"/>
      <c r="BS69" s="385"/>
      <c r="BT69" s="385"/>
      <c r="BU69" s="385"/>
      <c r="BV69" s="385"/>
      <c r="CA69" s="3666" t="str">
        <f t="shared" si="28"/>
        <v/>
      </c>
      <c r="CB69" s="510"/>
      <c r="CC69" s="510"/>
      <c r="CD69" s="510"/>
      <c r="CE69" s="385"/>
      <c r="CF69" s="385"/>
      <c r="CG69" s="385"/>
      <c r="CH69" s="385"/>
      <c r="CI69" s="513">
        <f t="shared" si="29"/>
        <v>0</v>
      </c>
    </row>
    <row r="70" spans="1:87">
      <c r="A70" s="5718"/>
      <c r="B70" s="1512" t="s">
        <v>1066</v>
      </c>
      <c r="C70" s="4709">
        <f t="shared" si="26"/>
        <v>0</v>
      </c>
      <c r="D70" s="4099">
        <f t="shared" ref="D70:D86" si="30">SUM(F70,H70,J70,L70,N70,P70,R70,T70,)</f>
        <v>0</v>
      </c>
      <c r="E70" s="1753">
        <f t="shared" si="27"/>
        <v>0</v>
      </c>
      <c r="F70" s="423"/>
      <c r="G70" s="424"/>
      <c r="H70" s="423"/>
      <c r="I70" s="424"/>
      <c r="J70" s="423"/>
      <c r="K70" s="424"/>
      <c r="L70" s="423"/>
      <c r="M70" s="424"/>
      <c r="N70" s="423"/>
      <c r="O70" s="424"/>
      <c r="P70" s="423"/>
      <c r="Q70" s="424"/>
      <c r="R70" s="423"/>
      <c r="S70" s="424"/>
      <c r="T70" s="423"/>
      <c r="U70" s="426"/>
      <c r="V70" s="1826"/>
      <c r="W70" s="1824"/>
      <c r="X70" s="425"/>
      <c r="Y70" s="3376"/>
      <c r="Z70" s="1824"/>
      <c r="AA70" s="425"/>
      <c r="AB70" s="3376"/>
      <c r="AC70" s="1824"/>
      <c r="AD70" s="425"/>
      <c r="AE70" s="3376"/>
      <c r="AF70" s="1824"/>
      <c r="AG70" s="425"/>
      <c r="AH70" s="3376"/>
      <c r="AI70" s="1486"/>
      <c r="AJ70" s="1692"/>
      <c r="AK70" s="5501" t="str">
        <f t="shared" si="10"/>
        <v/>
      </c>
      <c r="AL70" s="385"/>
      <c r="AM70" s="385"/>
      <c r="AN70" s="385"/>
      <c r="AO70" s="385"/>
      <c r="AP70" s="385"/>
      <c r="AQ70" s="385"/>
      <c r="AR70" s="385"/>
      <c r="AS70" s="385"/>
      <c r="AT70" s="385"/>
      <c r="AU70" s="385"/>
      <c r="AV70" s="385"/>
      <c r="AW70" s="385"/>
      <c r="AX70" s="385"/>
      <c r="AY70" s="385"/>
      <c r="AZ70" s="385"/>
      <c r="BA70" s="385"/>
      <c r="BB70" s="385"/>
      <c r="BC70" s="385"/>
      <c r="BD70" s="385"/>
      <c r="BE70" s="385"/>
      <c r="BF70" s="385"/>
      <c r="BG70" s="385"/>
      <c r="BH70" s="385"/>
      <c r="BI70" s="385"/>
      <c r="BJ70" s="385"/>
      <c r="BK70" s="385"/>
      <c r="BL70" s="385"/>
      <c r="BM70" s="385"/>
      <c r="BN70" s="385"/>
      <c r="BO70" s="385"/>
      <c r="BP70" s="385"/>
      <c r="BQ70" s="385"/>
      <c r="BR70" s="385"/>
      <c r="BS70" s="385"/>
      <c r="BT70" s="385"/>
      <c r="BU70" s="385"/>
      <c r="BV70" s="385"/>
      <c r="CA70" s="3666" t="str">
        <f t="shared" si="28"/>
        <v/>
      </c>
      <c r="CB70" s="510"/>
      <c r="CC70" s="510"/>
      <c r="CD70" s="510"/>
      <c r="CE70" s="385"/>
      <c r="CF70" s="385"/>
      <c r="CG70" s="385"/>
      <c r="CH70" s="385"/>
      <c r="CI70" s="513">
        <f t="shared" si="29"/>
        <v>0</v>
      </c>
    </row>
    <row r="71" spans="1:87">
      <c r="A71" s="6137"/>
      <c r="B71" s="5535" t="s">
        <v>4378</v>
      </c>
      <c r="C71" s="4111">
        <f t="shared" si="26"/>
        <v>0</v>
      </c>
      <c r="D71" s="4103">
        <f t="shared" si="30"/>
        <v>0</v>
      </c>
      <c r="E71" s="1757">
        <f t="shared" si="27"/>
        <v>0</v>
      </c>
      <c r="F71" s="432"/>
      <c r="G71" s="433"/>
      <c r="H71" s="3385"/>
      <c r="I71" s="433"/>
      <c r="J71" s="3385"/>
      <c r="K71" s="433"/>
      <c r="L71" s="3385"/>
      <c r="M71" s="433"/>
      <c r="N71" s="3385"/>
      <c r="O71" s="433"/>
      <c r="P71" s="3385"/>
      <c r="Q71" s="433"/>
      <c r="R71" s="3385"/>
      <c r="S71" s="433"/>
      <c r="T71" s="3385"/>
      <c r="U71" s="445"/>
      <c r="V71" s="1456"/>
      <c r="W71" s="1684"/>
      <c r="X71" s="432"/>
      <c r="Y71" s="3384"/>
      <c r="Z71" s="1684"/>
      <c r="AA71" s="432"/>
      <c r="AB71" s="3384"/>
      <c r="AC71" s="1684"/>
      <c r="AD71" s="432"/>
      <c r="AE71" s="3384"/>
      <c r="AF71" s="1684"/>
      <c r="AG71" s="432"/>
      <c r="AH71" s="3384"/>
      <c r="AI71" s="1459"/>
      <c r="AJ71" s="1467"/>
      <c r="AK71" s="5501" t="str">
        <f t="shared" si="10"/>
        <v/>
      </c>
      <c r="AL71" s="385"/>
      <c r="AM71" s="385"/>
      <c r="AN71" s="385"/>
      <c r="AO71" s="385"/>
      <c r="AP71" s="385"/>
      <c r="AQ71" s="385"/>
      <c r="AR71" s="385"/>
      <c r="AS71" s="385"/>
      <c r="AT71" s="385"/>
      <c r="AU71" s="385"/>
      <c r="AV71" s="385"/>
      <c r="AW71" s="385"/>
      <c r="AX71" s="385"/>
      <c r="AY71" s="385"/>
      <c r="AZ71" s="385"/>
      <c r="BA71" s="385"/>
      <c r="BB71" s="385"/>
      <c r="BC71" s="385"/>
      <c r="BD71" s="385"/>
      <c r="BE71" s="385"/>
      <c r="BF71" s="385"/>
      <c r="BG71" s="385"/>
      <c r="BH71" s="385"/>
      <c r="BI71" s="385"/>
      <c r="BJ71" s="385"/>
      <c r="BK71" s="385"/>
      <c r="BL71" s="385"/>
      <c r="BM71" s="385"/>
      <c r="BN71" s="385"/>
      <c r="BO71" s="385"/>
      <c r="BP71" s="385"/>
      <c r="BQ71" s="385"/>
      <c r="BR71" s="385"/>
      <c r="BS71" s="385"/>
      <c r="BT71" s="385"/>
      <c r="BU71" s="385"/>
      <c r="BV71" s="385"/>
      <c r="CA71" s="3666" t="str">
        <f t="shared" si="28"/>
        <v/>
      </c>
      <c r="CB71" s="510"/>
      <c r="CC71" s="510"/>
      <c r="CD71" s="510"/>
      <c r="CE71" s="385"/>
      <c r="CF71" s="385"/>
      <c r="CG71" s="385"/>
      <c r="CH71" s="385"/>
      <c r="CI71" s="513">
        <f t="shared" si="29"/>
        <v>0</v>
      </c>
    </row>
    <row r="72" spans="1:87" ht="17.100000000000001" customHeight="1">
      <c r="A72" s="2102" t="s">
        <v>4394</v>
      </c>
      <c r="B72" s="2271"/>
      <c r="C72" s="5493"/>
      <c r="D72" s="5493"/>
      <c r="E72" s="5493"/>
      <c r="F72" s="5493"/>
      <c r="G72" s="5493"/>
      <c r="H72" s="5493"/>
      <c r="I72" s="5493"/>
      <c r="J72" s="5493"/>
      <c r="K72" s="5493"/>
      <c r="L72" s="5493"/>
      <c r="M72" s="5493"/>
      <c r="N72" s="5493"/>
      <c r="O72" s="5493"/>
      <c r="P72" s="5493"/>
      <c r="Q72" s="5493"/>
      <c r="R72" s="5493"/>
      <c r="S72" s="5493"/>
      <c r="T72" s="5493"/>
      <c r="U72" s="5493"/>
      <c r="V72" s="5493"/>
      <c r="W72" s="5493"/>
      <c r="X72" s="5493"/>
      <c r="Y72" s="5493"/>
      <c r="Z72" s="5493"/>
      <c r="AA72" s="5493"/>
      <c r="AB72" s="5493"/>
      <c r="AC72" s="5493"/>
      <c r="AD72" s="5493"/>
      <c r="AE72" s="5493"/>
      <c r="AF72" s="5493"/>
      <c r="AG72" s="5493"/>
      <c r="AH72" s="5493"/>
      <c r="AI72" s="5493"/>
      <c r="AJ72" s="5493"/>
      <c r="AK72" s="5493"/>
      <c r="AL72" s="5493"/>
      <c r="AM72" s="5493"/>
      <c r="AV72" s="2549"/>
      <c r="AW72" s="2549"/>
      <c r="AX72" s="2549"/>
      <c r="AY72" s="2549"/>
      <c r="BA72" s="2549"/>
      <c r="BB72" s="2549"/>
      <c r="BC72" s="2549"/>
      <c r="BD72" s="2549"/>
      <c r="BE72" s="2549"/>
      <c r="BF72" s="2549"/>
      <c r="BG72" s="2549"/>
      <c r="BH72" s="2549"/>
      <c r="BI72" s="2549"/>
      <c r="BJ72" s="2549"/>
      <c r="BK72" s="2549"/>
      <c r="BL72" s="2549"/>
      <c r="BM72" s="2549"/>
      <c r="BN72" s="2549"/>
      <c r="BO72" s="2549"/>
      <c r="BP72" s="2549"/>
      <c r="BQ72" s="2549"/>
      <c r="BR72" s="2549"/>
      <c r="BS72" s="2549"/>
      <c r="BT72" s="2549"/>
      <c r="BU72" s="2549"/>
      <c r="BV72" s="2549"/>
      <c r="BW72" s="2549"/>
      <c r="BX72" s="2549"/>
      <c r="BY72" s="2549"/>
      <c r="BZ72" s="2549"/>
      <c r="CA72" s="2549"/>
      <c r="CE72" s="2549"/>
      <c r="CF72" s="2549"/>
      <c r="CG72" s="2549"/>
      <c r="CH72" s="2549"/>
      <c r="CI72" s="2549"/>
    </row>
    <row r="73" spans="1:87">
      <c r="A73" s="5705" t="s">
        <v>4395</v>
      </c>
      <c r="B73" s="5705" t="s">
        <v>1192</v>
      </c>
      <c r="C73" s="5705" t="s">
        <v>2623</v>
      </c>
      <c r="D73" s="7356" t="s">
        <v>2624</v>
      </c>
      <c r="E73" s="6441" t="s">
        <v>4373</v>
      </c>
      <c r="F73" s="6441"/>
      <c r="G73" s="6441"/>
      <c r="H73" s="6441"/>
      <c r="I73" s="7178"/>
      <c r="J73" s="5493"/>
      <c r="K73" s="5493"/>
      <c r="L73" s="5493"/>
      <c r="M73" s="5493"/>
      <c r="N73" s="5493"/>
      <c r="O73" s="5493"/>
      <c r="P73" s="5493"/>
      <c r="Q73" s="5493"/>
      <c r="R73" s="5493"/>
      <c r="S73" s="5493"/>
      <c r="T73" s="5493"/>
      <c r="U73" s="5493"/>
      <c r="V73" s="5493"/>
      <c r="W73" s="5493"/>
      <c r="X73" s="5493"/>
      <c r="Y73" s="5493"/>
      <c r="Z73" s="5493"/>
      <c r="AA73" s="5493"/>
      <c r="AB73" s="5493"/>
      <c r="AC73" s="5493"/>
      <c r="AD73" s="5493"/>
      <c r="AE73" s="5493"/>
      <c r="AF73" s="5493"/>
      <c r="AG73" s="5493"/>
      <c r="AH73" s="5493"/>
      <c r="AI73" s="5493"/>
      <c r="AJ73" s="5493"/>
      <c r="AK73" s="5493"/>
      <c r="AL73" s="5493"/>
      <c r="AM73" s="5493"/>
      <c r="AV73" s="2549"/>
      <c r="AW73" s="2549"/>
      <c r="AX73" s="2549"/>
      <c r="AY73" s="2549"/>
      <c r="BA73" s="2549"/>
      <c r="BB73" s="2549"/>
      <c r="BC73" s="2549"/>
      <c r="BD73" s="2549"/>
      <c r="BE73" s="2549"/>
      <c r="BF73" s="2549"/>
      <c r="BG73" s="2549"/>
      <c r="BH73" s="2549"/>
      <c r="BI73" s="2549"/>
      <c r="BJ73" s="2549"/>
      <c r="BK73" s="2549"/>
      <c r="BL73" s="2549"/>
      <c r="BM73" s="2549"/>
      <c r="BN73" s="2549"/>
      <c r="BO73" s="2549"/>
      <c r="BP73" s="2549"/>
      <c r="BQ73" s="2549"/>
      <c r="BR73" s="2549"/>
      <c r="BS73" s="2549"/>
      <c r="BT73" s="2549"/>
      <c r="BU73" s="2549"/>
      <c r="BV73" s="2549"/>
      <c r="BW73" s="2549"/>
      <c r="BX73" s="2549"/>
      <c r="BY73" s="2549"/>
      <c r="BZ73" s="2549"/>
      <c r="CA73" s="2549"/>
      <c r="CE73" s="2549"/>
      <c r="CF73" s="2549"/>
      <c r="CG73" s="2549"/>
      <c r="CH73" s="2549"/>
      <c r="CI73" s="2549"/>
    </row>
    <row r="74" spans="1:87" ht="63.75" customHeight="1">
      <c r="A74" s="5706"/>
      <c r="B74" s="5706"/>
      <c r="C74" s="5706"/>
      <c r="D74" s="7357"/>
      <c r="E74" s="5536" t="s">
        <v>4360</v>
      </c>
      <c r="F74" s="3697" t="s">
        <v>4361</v>
      </c>
      <c r="G74" s="3697" t="s">
        <v>4365</v>
      </c>
      <c r="H74" s="3697" t="s">
        <v>4368</v>
      </c>
      <c r="I74" s="1644" t="s">
        <v>4375</v>
      </c>
      <c r="J74" s="2549"/>
      <c r="K74" s="5119"/>
      <c r="L74" s="5119"/>
      <c r="M74" s="2549"/>
      <c r="N74" s="5119"/>
      <c r="O74" s="5119"/>
      <c r="P74" s="2549"/>
      <c r="Q74" s="5537"/>
      <c r="R74" s="5537"/>
      <c r="S74" s="3986"/>
      <c r="T74" s="3986"/>
      <c r="U74" s="3986"/>
      <c r="V74" s="3986"/>
      <c r="W74" s="3986"/>
      <c r="X74" s="3986"/>
      <c r="Y74" s="3986"/>
      <c r="Z74" s="3986"/>
      <c r="AA74" s="3986"/>
      <c r="AB74" s="3986"/>
      <c r="AC74" s="3986"/>
      <c r="AD74" s="3986"/>
      <c r="AE74" s="3986"/>
      <c r="AF74" s="3986"/>
      <c r="AG74" s="3986"/>
      <c r="AH74" s="3986"/>
      <c r="AI74" s="3986"/>
      <c r="AJ74" s="3986"/>
      <c r="AK74" s="3986"/>
      <c r="AL74" s="3986"/>
      <c r="AM74" s="3986"/>
      <c r="AV74" s="2549"/>
      <c r="AW74" s="2549"/>
      <c r="AX74" s="2549"/>
      <c r="AY74" s="2549"/>
      <c r="BA74" s="2549"/>
      <c r="BB74" s="2549"/>
      <c r="BC74" s="2549"/>
      <c r="BD74" s="2549"/>
      <c r="BE74" s="2549"/>
      <c r="BF74" s="2549"/>
      <c r="BG74" s="2549"/>
      <c r="BH74" s="2549"/>
      <c r="BI74" s="2549"/>
      <c r="BJ74" s="2549"/>
      <c r="BK74" s="2549"/>
      <c r="BL74" s="2549"/>
      <c r="BM74" s="2549"/>
      <c r="BN74" s="2549"/>
      <c r="BO74" s="2549"/>
      <c r="BP74" s="2549"/>
      <c r="BQ74" s="2549"/>
      <c r="BR74" s="2549"/>
      <c r="BS74" s="2549"/>
      <c r="BT74" s="2549"/>
      <c r="BU74" s="2549"/>
      <c r="BV74" s="2549"/>
      <c r="BW74" s="2549"/>
      <c r="BX74" s="2549"/>
      <c r="BY74" s="2549"/>
      <c r="BZ74" s="2549"/>
      <c r="CA74" s="2549"/>
      <c r="CE74" s="2549"/>
      <c r="CF74" s="2549"/>
      <c r="CG74" s="2549"/>
      <c r="CH74" s="2549"/>
      <c r="CI74" s="2549"/>
    </row>
    <row r="75" spans="1:87" ht="12.75" customHeight="1">
      <c r="A75" s="5705" t="s">
        <v>1099</v>
      </c>
      <c r="B75" s="1403" t="s">
        <v>4377</v>
      </c>
      <c r="C75" s="452"/>
      <c r="D75" s="3511"/>
      <c r="E75" s="3428"/>
      <c r="F75" s="3398"/>
      <c r="G75" s="3398"/>
      <c r="H75" s="3398"/>
      <c r="I75" s="2229"/>
      <c r="J75" s="5119"/>
      <c r="K75" s="5119"/>
      <c r="L75" s="5119"/>
      <c r="M75" s="5119"/>
      <c r="N75" s="5119"/>
      <c r="O75" s="5119"/>
      <c r="P75" s="5537"/>
      <c r="Q75" s="5537"/>
      <c r="R75" s="5537"/>
      <c r="S75" s="3986"/>
      <c r="T75" s="3986"/>
      <c r="U75" s="3986"/>
      <c r="V75" s="3986"/>
      <c r="W75" s="3986"/>
      <c r="X75" s="3986"/>
      <c r="Y75" s="3986"/>
      <c r="Z75" s="3986"/>
      <c r="AA75" s="3986"/>
      <c r="AB75" s="3986"/>
      <c r="AC75" s="3986"/>
      <c r="AD75" s="3986"/>
      <c r="AE75" s="3986"/>
      <c r="AF75" s="3986"/>
      <c r="AG75" s="3986"/>
      <c r="AH75" s="3986"/>
      <c r="AI75" s="3986"/>
      <c r="AJ75" s="3986"/>
      <c r="AK75" s="3986"/>
      <c r="AV75" s="2549"/>
      <c r="AW75" s="2549"/>
      <c r="AX75" s="2549"/>
      <c r="AY75" s="2549"/>
      <c r="BA75" s="2549"/>
      <c r="BB75" s="2549"/>
      <c r="BC75" s="2549"/>
      <c r="BD75" s="2549"/>
      <c r="BE75" s="2549"/>
      <c r="BF75" s="2549"/>
      <c r="BG75" s="2549"/>
      <c r="BH75" s="2549"/>
      <c r="BI75" s="2549"/>
      <c r="BJ75" s="2549"/>
      <c r="BK75" s="2549"/>
      <c r="BL75" s="2549"/>
      <c r="BM75" s="2549"/>
      <c r="BN75" s="2549"/>
      <c r="BO75" s="2549"/>
      <c r="BP75" s="2549"/>
      <c r="BQ75" s="2549"/>
      <c r="BR75" s="2549"/>
      <c r="BS75" s="2549"/>
      <c r="BT75" s="2549"/>
      <c r="BU75" s="2549"/>
      <c r="BV75" s="2549"/>
      <c r="BW75" s="2549"/>
      <c r="BX75" s="2549"/>
      <c r="BY75" s="2549"/>
      <c r="BZ75" s="2549"/>
      <c r="CA75" s="2549"/>
      <c r="CE75" s="2549"/>
      <c r="CF75" s="2549"/>
      <c r="CG75" s="2549"/>
      <c r="CH75" s="2549"/>
      <c r="CI75" s="2549"/>
    </row>
    <row r="76" spans="1:87">
      <c r="A76" s="5705"/>
      <c r="B76" s="3607" t="s">
        <v>4379</v>
      </c>
      <c r="C76" s="3592"/>
      <c r="D76" s="3640"/>
      <c r="E76" s="3421"/>
      <c r="F76" s="3420"/>
      <c r="G76" s="3420"/>
      <c r="H76" s="3420"/>
      <c r="I76" s="3422"/>
      <c r="J76" s="3986"/>
      <c r="K76" s="3986"/>
      <c r="L76" s="3986"/>
      <c r="M76" s="3986"/>
      <c r="N76" s="3986"/>
      <c r="O76" s="3986"/>
      <c r="P76" s="3986"/>
      <c r="Q76" s="3986"/>
      <c r="R76" s="3986"/>
      <c r="S76" s="3986"/>
      <c r="T76" s="3986"/>
      <c r="U76" s="3986"/>
      <c r="V76" s="3986"/>
      <c r="W76" s="3986"/>
      <c r="X76" s="3986"/>
      <c r="Y76" s="3986"/>
      <c r="Z76" s="3986"/>
      <c r="AA76" s="3986"/>
      <c r="AB76" s="3986"/>
      <c r="AC76" s="3986"/>
      <c r="AD76" s="3986"/>
      <c r="AE76" s="3986"/>
      <c r="AF76" s="3986"/>
      <c r="AG76" s="3986"/>
      <c r="AH76" s="3986"/>
      <c r="AI76" s="3986"/>
      <c r="AJ76" s="3986"/>
      <c r="AK76" s="3986"/>
      <c r="AV76" s="2549"/>
      <c r="AW76" s="2549"/>
      <c r="AX76" s="2549"/>
      <c r="AY76" s="2549"/>
      <c r="BA76" s="2549"/>
      <c r="BB76" s="2549"/>
      <c r="BC76" s="2549"/>
      <c r="BD76" s="2549"/>
      <c r="BE76" s="2549"/>
      <c r="BF76" s="2549"/>
      <c r="BG76" s="2549"/>
      <c r="BH76" s="2549"/>
      <c r="BI76" s="2549"/>
      <c r="BJ76" s="2549"/>
      <c r="BK76" s="2549"/>
      <c r="BL76" s="2549"/>
      <c r="BM76" s="2549"/>
      <c r="BN76" s="2549"/>
      <c r="BO76" s="2549"/>
      <c r="BP76" s="2549"/>
      <c r="BQ76" s="2549"/>
      <c r="BR76" s="2549"/>
      <c r="BS76" s="2549"/>
      <c r="BT76" s="2549"/>
      <c r="BU76" s="2549"/>
      <c r="BV76" s="2549"/>
      <c r="BW76" s="2549"/>
      <c r="BX76" s="2549"/>
      <c r="BY76" s="2549"/>
      <c r="BZ76" s="2549"/>
      <c r="CA76" s="2549"/>
      <c r="CE76" s="2549"/>
      <c r="CF76" s="2549"/>
      <c r="CG76" s="2549"/>
      <c r="CH76" s="2549"/>
      <c r="CI76" s="2549"/>
    </row>
    <row r="77" spans="1:87">
      <c r="A77" s="5705" t="s">
        <v>1098</v>
      </c>
      <c r="B77" s="1403" t="s">
        <v>4377</v>
      </c>
      <c r="C77" s="452"/>
      <c r="D77" s="3511"/>
      <c r="E77" s="3428"/>
      <c r="F77" s="3398"/>
      <c r="G77" s="3398"/>
      <c r="H77" s="3398"/>
      <c r="I77" s="2229"/>
      <c r="J77" s="3986"/>
      <c r="K77" s="3986"/>
      <c r="L77" s="3986"/>
      <c r="M77" s="3986"/>
      <c r="N77" s="3986"/>
      <c r="O77" s="3986"/>
      <c r="P77" s="3986"/>
      <c r="Q77" s="3986"/>
      <c r="R77" s="3986"/>
      <c r="S77" s="3986"/>
      <c r="T77" s="3986"/>
      <c r="U77" s="3986"/>
      <c r="V77" s="3986"/>
      <c r="W77" s="3986"/>
      <c r="X77" s="3986"/>
      <c r="Y77" s="3986"/>
      <c r="Z77" s="3986"/>
      <c r="AA77" s="3986"/>
      <c r="AB77" s="3986"/>
      <c r="AC77" s="3986"/>
      <c r="AD77" s="3986"/>
      <c r="AE77" s="3986"/>
      <c r="AF77" s="3986"/>
      <c r="AG77" s="3986"/>
      <c r="AH77" s="3986"/>
      <c r="AI77" s="3986"/>
      <c r="AJ77" s="3986"/>
      <c r="AK77" s="3986"/>
      <c r="AV77" s="2549"/>
      <c r="AW77" s="2549"/>
      <c r="AX77" s="2549"/>
      <c r="AY77" s="2549"/>
      <c r="BA77" s="2549"/>
      <c r="BB77" s="2549"/>
      <c r="BC77" s="2549"/>
      <c r="BD77" s="2549"/>
      <c r="BE77" s="2549"/>
      <c r="BF77" s="2549"/>
      <c r="BG77" s="2549"/>
      <c r="BH77" s="2549"/>
      <c r="BI77" s="2549"/>
      <c r="BJ77" s="2549"/>
      <c r="BK77" s="2549"/>
      <c r="BL77" s="2549"/>
      <c r="BM77" s="2549"/>
      <c r="BN77" s="2549"/>
      <c r="BO77" s="2549"/>
      <c r="BP77" s="2549"/>
      <c r="BQ77" s="2549"/>
      <c r="BR77" s="2549"/>
      <c r="BS77" s="2549"/>
      <c r="BT77" s="2549"/>
      <c r="BU77" s="2549"/>
      <c r="BV77" s="2549"/>
      <c r="BW77" s="2549"/>
      <c r="BX77" s="2549"/>
      <c r="BY77" s="2549"/>
      <c r="BZ77" s="2549"/>
      <c r="CA77" s="2549"/>
      <c r="CE77" s="2549"/>
      <c r="CF77" s="2549"/>
      <c r="CG77" s="2549"/>
      <c r="CH77" s="2549"/>
      <c r="CI77" s="2549"/>
    </row>
    <row r="78" spans="1:87">
      <c r="A78" s="7149"/>
      <c r="B78" s="1505" t="s">
        <v>4379</v>
      </c>
      <c r="C78" s="438"/>
      <c r="D78" s="3516"/>
      <c r="E78" s="3386"/>
      <c r="F78" s="3384"/>
      <c r="G78" s="3384"/>
      <c r="H78" s="3384"/>
      <c r="I78" s="2235"/>
      <c r="J78" s="3986"/>
      <c r="K78" s="3986"/>
      <c r="L78" s="3986"/>
      <c r="M78" s="3986"/>
      <c r="N78" s="3986"/>
      <c r="O78" s="3986"/>
      <c r="P78" s="3986"/>
      <c r="Q78" s="3986"/>
      <c r="R78" s="3986"/>
      <c r="S78" s="3986"/>
      <c r="T78" s="3986"/>
      <c r="U78" s="3986"/>
      <c r="V78" s="3986"/>
      <c r="W78" s="3986"/>
      <c r="X78" s="3986"/>
      <c r="Y78" s="3986"/>
      <c r="Z78" s="3986"/>
      <c r="AA78" s="3986"/>
      <c r="AB78" s="3986"/>
      <c r="AC78" s="3986"/>
      <c r="AD78" s="3986"/>
      <c r="AE78" s="3986"/>
      <c r="AF78" s="3986"/>
      <c r="AG78" s="3986"/>
      <c r="AH78" s="3986"/>
      <c r="AI78" s="3986"/>
      <c r="AJ78" s="3986"/>
      <c r="AK78" s="3986"/>
      <c r="AV78" s="2549"/>
      <c r="AW78" s="2549"/>
      <c r="AX78" s="2549"/>
      <c r="AY78" s="2549"/>
      <c r="BA78" s="2549"/>
      <c r="BB78" s="2549"/>
      <c r="BC78" s="2549"/>
      <c r="BD78" s="2549"/>
      <c r="BE78" s="2549"/>
      <c r="BF78" s="2549"/>
      <c r="BG78" s="2549"/>
      <c r="BH78" s="2549"/>
      <c r="BI78" s="2549"/>
      <c r="BJ78" s="2549"/>
      <c r="BK78" s="2549"/>
      <c r="BL78" s="2549"/>
      <c r="BM78" s="2549"/>
      <c r="BN78" s="2549"/>
      <c r="BO78" s="2549"/>
      <c r="BP78" s="2549"/>
      <c r="BQ78" s="2549"/>
      <c r="BR78" s="2549"/>
      <c r="BS78" s="2549"/>
      <c r="BT78" s="2549"/>
      <c r="BU78" s="2549"/>
      <c r="BV78" s="2549"/>
      <c r="BW78" s="2549"/>
      <c r="BX78" s="2549"/>
      <c r="BY78" s="2549"/>
      <c r="BZ78" s="2549"/>
      <c r="CA78" s="2549"/>
      <c r="CE78" s="2549"/>
      <c r="CF78" s="2549"/>
      <c r="CG78" s="2549"/>
      <c r="CH78" s="2549"/>
      <c r="CI78" s="2549"/>
    </row>
    <row r="79" spans="1:87">
      <c r="A79" s="7343" t="s">
        <v>1072</v>
      </c>
      <c r="B79" s="2900" t="s">
        <v>1066</v>
      </c>
      <c r="C79" s="416"/>
      <c r="D79" s="3515"/>
      <c r="E79" s="3430"/>
      <c r="F79" s="3370"/>
      <c r="G79" s="3370"/>
      <c r="H79" s="3370"/>
      <c r="I79" s="2261"/>
      <c r="J79" s="3986"/>
      <c r="K79" s="3986"/>
      <c r="L79" s="3986"/>
      <c r="M79" s="3986"/>
      <c r="N79" s="3986"/>
      <c r="O79" s="3986"/>
      <c r="P79" s="3986"/>
      <c r="Q79" s="3986"/>
      <c r="R79" s="3986"/>
      <c r="S79" s="3986"/>
      <c r="T79" s="3986"/>
      <c r="U79" s="3986"/>
      <c r="V79" s="3986"/>
      <c r="W79" s="3986"/>
      <c r="X79" s="3986"/>
      <c r="Y79" s="3986"/>
      <c r="Z79" s="3986"/>
      <c r="AA79" s="3986"/>
      <c r="AB79" s="3986"/>
      <c r="AC79" s="3986"/>
      <c r="AD79" s="3986"/>
      <c r="AE79" s="3986"/>
      <c r="AF79" s="3986"/>
      <c r="AG79" s="3986"/>
      <c r="AH79" s="3986"/>
      <c r="AI79" s="3986"/>
      <c r="AJ79" s="3986"/>
      <c r="AK79" s="3986"/>
      <c r="AV79" s="2549"/>
      <c r="AW79" s="2549"/>
      <c r="AX79" s="2549"/>
      <c r="AY79" s="2549"/>
      <c r="BA79" s="2549"/>
      <c r="BB79" s="2549"/>
      <c r="BC79" s="2549"/>
      <c r="BD79" s="2549"/>
      <c r="BE79" s="2549"/>
      <c r="BF79" s="2549"/>
      <c r="BG79" s="2549"/>
      <c r="BH79" s="2549"/>
      <c r="BI79" s="2549"/>
      <c r="BJ79" s="2549"/>
      <c r="BK79" s="2549"/>
      <c r="BL79" s="2549"/>
      <c r="BM79" s="2549"/>
      <c r="BN79" s="2549"/>
      <c r="BO79" s="2549"/>
      <c r="BP79" s="2549"/>
      <c r="BQ79" s="2549"/>
      <c r="BR79" s="2549"/>
      <c r="BS79" s="2549"/>
      <c r="BT79" s="2549"/>
      <c r="BU79" s="2549"/>
      <c r="BV79" s="2549"/>
      <c r="BW79" s="2549"/>
      <c r="BX79" s="2549"/>
      <c r="BY79" s="2549"/>
      <c r="BZ79" s="2549"/>
      <c r="CA79" s="2549"/>
      <c r="CE79" s="2549"/>
      <c r="CF79" s="2549"/>
      <c r="CG79" s="2549"/>
      <c r="CH79" s="2549"/>
      <c r="CI79" s="2549"/>
    </row>
    <row r="80" spans="1:87">
      <c r="A80" s="7344"/>
      <c r="B80" s="2850" t="s">
        <v>4377</v>
      </c>
      <c r="C80" s="443"/>
      <c r="D80" s="3634"/>
      <c r="E80" s="3372"/>
      <c r="F80" s="3376"/>
      <c r="G80" s="3376"/>
      <c r="H80" s="3376"/>
      <c r="I80" s="2231"/>
      <c r="J80" s="3986"/>
      <c r="K80" s="3986"/>
      <c r="L80" s="3986"/>
      <c r="M80" s="3986"/>
      <c r="N80" s="3986"/>
      <c r="O80" s="3986"/>
      <c r="P80" s="3986"/>
      <c r="Q80" s="3986"/>
      <c r="R80" s="3986"/>
      <c r="S80" s="3986"/>
      <c r="T80" s="3986"/>
      <c r="U80" s="3986"/>
      <c r="V80" s="3986"/>
      <c r="W80" s="3986"/>
      <c r="X80" s="3986"/>
      <c r="Y80" s="3986"/>
      <c r="Z80" s="3986"/>
      <c r="AA80" s="3986"/>
      <c r="AB80" s="3986"/>
      <c r="AC80" s="3986"/>
      <c r="AD80" s="3986"/>
      <c r="AE80" s="3986"/>
      <c r="AF80" s="3986"/>
      <c r="AG80" s="3986"/>
      <c r="AH80" s="3986"/>
      <c r="AI80" s="3986"/>
      <c r="AJ80" s="3986"/>
      <c r="AK80" s="3986"/>
      <c r="AV80" s="2549"/>
      <c r="AW80" s="2549"/>
      <c r="AX80" s="2549"/>
      <c r="AY80" s="2549"/>
      <c r="BA80" s="2549"/>
      <c r="BB80" s="2549"/>
      <c r="BC80" s="2549"/>
      <c r="BD80" s="2549"/>
      <c r="BE80" s="2549"/>
      <c r="BF80" s="2549"/>
      <c r="BG80" s="2549"/>
      <c r="BH80" s="2549"/>
      <c r="BI80" s="2549"/>
      <c r="BJ80" s="2549"/>
      <c r="BK80" s="2549"/>
      <c r="BL80" s="2549"/>
      <c r="BM80" s="2549"/>
      <c r="BN80" s="2549"/>
      <c r="BO80" s="2549"/>
      <c r="BP80" s="2549"/>
      <c r="BQ80" s="2549"/>
      <c r="BR80" s="2549"/>
      <c r="BS80" s="2549"/>
      <c r="BT80" s="2549"/>
      <c r="BU80" s="2549"/>
      <c r="BV80" s="2549"/>
      <c r="BW80" s="2549"/>
      <c r="BX80" s="2549"/>
      <c r="BY80" s="2549"/>
      <c r="BZ80" s="2549"/>
      <c r="CA80" s="2549"/>
      <c r="CE80" s="2549"/>
      <c r="CF80" s="2549"/>
      <c r="CG80" s="2549"/>
      <c r="CH80" s="2549"/>
      <c r="CI80" s="2549"/>
    </row>
    <row r="81" spans="1:87">
      <c r="A81" s="7344"/>
      <c r="B81" s="5538" t="s">
        <v>4378</v>
      </c>
      <c r="C81" s="438"/>
      <c r="D81" s="3516"/>
      <c r="E81" s="3386"/>
      <c r="F81" s="3384"/>
      <c r="G81" s="3384"/>
      <c r="H81" s="3384"/>
      <c r="I81" s="2235"/>
      <c r="J81" s="3986"/>
      <c r="K81" s="3986"/>
      <c r="L81" s="3986"/>
      <c r="M81" s="3986"/>
      <c r="N81" s="3986"/>
      <c r="O81" s="3986"/>
      <c r="P81" s="3986"/>
      <c r="Q81" s="3986"/>
      <c r="R81" s="3986"/>
      <c r="S81" s="3986"/>
      <c r="T81" s="3986"/>
      <c r="U81" s="3986"/>
      <c r="V81" s="3986"/>
      <c r="W81" s="3986"/>
      <c r="X81" s="3986"/>
      <c r="Y81" s="3986"/>
      <c r="Z81" s="3986"/>
      <c r="AA81" s="3986"/>
      <c r="AB81" s="3986"/>
      <c r="AC81" s="3986"/>
      <c r="AD81" s="3986"/>
      <c r="AE81" s="3986"/>
      <c r="AF81" s="3986"/>
      <c r="AG81" s="3986"/>
      <c r="AH81" s="3986"/>
      <c r="AI81" s="3986"/>
      <c r="AJ81" s="3986"/>
      <c r="AK81" s="3986"/>
      <c r="AV81" s="2549"/>
      <c r="AW81" s="2549"/>
      <c r="AX81" s="2549"/>
      <c r="AY81" s="2549"/>
      <c r="BA81" s="2549"/>
      <c r="BB81" s="2549"/>
      <c r="BC81" s="2549"/>
      <c r="BD81" s="2549"/>
      <c r="BE81" s="2549"/>
      <c r="BF81" s="2549"/>
      <c r="BG81" s="2549"/>
      <c r="BH81" s="2549"/>
      <c r="BI81" s="2549"/>
      <c r="BJ81" s="2549"/>
      <c r="BK81" s="2549"/>
      <c r="BL81" s="2549"/>
      <c r="BM81" s="2549"/>
      <c r="BN81" s="2549"/>
      <c r="BO81" s="2549"/>
      <c r="BP81" s="2549"/>
      <c r="BQ81" s="2549"/>
      <c r="BR81" s="2549"/>
      <c r="BS81" s="2549"/>
      <c r="BT81" s="2549"/>
      <c r="BU81" s="2549"/>
      <c r="BV81" s="2549"/>
      <c r="BW81" s="2549"/>
      <c r="BX81" s="2549"/>
      <c r="BY81" s="2549"/>
      <c r="BZ81" s="2549"/>
      <c r="CA81" s="2549"/>
      <c r="CE81" s="2549"/>
      <c r="CF81" s="2549"/>
      <c r="CG81" s="2549"/>
      <c r="CH81" s="2549"/>
      <c r="CI81" s="2549"/>
    </row>
    <row r="82" spans="1:87" ht="17.100000000000001" customHeight="1">
      <c r="A82" s="2162" t="s">
        <v>4396</v>
      </c>
      <c r="B82" s="2162"/>
      <c r="C82" s="2832"/>
      <c r="D82" s="2832"/>
      <c r="E82" s="5493"/>
      <c r="F82" s="5493"/>
      <c r="G82" s="5493"/>
      <c r="H82" s="5493"/>
      <c r="I82" s="5493"/>
      <c r="J82" s="5493"/>
      <c r="K82" s="5493"/>
      <c r="L82" s="5493"/>
      <c r="M82" s="5493"/>
      <c r="N82" s="5493"/>
      <c r="O82" s="5493"/>
      <c r="P82" s="5493"/>
      <c r="Q82" s="5493"/>
      <c r="R82" s="5493"/>
      <c r="S82" s="5493"/>
      <c r="T82" s="5493"/>
      <c r="U82" s="5493"/>
      <c r="V82" s="5493"/>
      <c r="W82" s="3986"/>
      <c r="X82" s="3986"/>
      <c r="Y82" s="3986"/>
      <c r="Z82" s="3986"/>
      <c r="AA82" s="3986"/>
      <c r="AB82" s="3986"/>
      <c r="AC82" s="3986"/>
      <c r="AD82" s="3986"/>
      <c r="AE82" s="3986"/>
      <c r="AF82" s="3986"/>
      <c r="AG82" s="3986"/>
      <c r="AH82" s="3986"/>
      <c r="AI82" s="3986"/>
      <c r="AJ82" s="3986"/>
      <c r="AK82" s="5493"/>
      <c r="AV82" s="2549"/>
      <c r="AW82" s="2549"/>
      <c r="AX82" s="2549"/>
      <c r="AY82" s="2549"/>
      <c r="BA82" s="2549"/>
      <c r="BB82" s="2549"/>
      <c r="BC82" s="2549"/>
      <c r="BD82" s="2549"/>
      <c r="BE82" s="2549"/>
      <c r="BF82" s="2549"/>
      <c r="BG82" s="2549"/>
      <c r="BH82" s="2549"/>
      <c r="BI82" s="2549"/>
      <c r="BJ82" s="2549"/>
      <c r="BK82" s="2549"/>
      <c r="BL82" s="2549"/>
      <c r="BM82" s="2549"/>
      <c r="BN82" s="2549"/>
      <c r="BO82" s="2549"/>
      <c r="BP82" s="2549"/>
      <c r="BQ82" s="2549"/>
      <c r="BR82" s="2549"/>
      <c r="BS82" s="2549"/>
      <c r="BT82" s="2549"/>
      <c r="BU82" s="2549"/>
      <c r="BV82" s="2549"/>
      <c r="BW82" s="2549"/>
      <c r="BX82" s="2549"/>
      <c r="BY82" s="2549"/>
      <c r="BZ82" s="2549"/>
      <c r="CA82" s="2549"/>
      <c r="CE82" s="2549"/>
      <c r="CF82" s="2549"/>
      <c r="CG82" s="2549"/>
      <c r="CH82" s="2549"/>
      <c r="CI82" s="2549"/>
    </row>
    <row r="83" spans="1:87" ht="15" customHeight="1">
      <c r="A83" s="6583" t="s">
        <v>4397</v>
      </c>
      <c r="B83" s="5705" t="s">
        <v>41</v>
      </c>
      <c r="C83" s="6486" t="s">
        <v>91</v>
      </c>
      <c r="D83" s="6486"/>
      <c r="E83" s="6486"/>
      <c r="F83" s="6586" t="s">
        <v>115</v>
      </c>
      <c r="G83" s="6574"/>
      <c r="H83" s="6574"/>
      <c r="I83" s="6574"/>
      <c r="J83" s="6574"/>
      <c r="K83" s="6574"/>
      <c r="L83" s="6574"/>
      <c r="M83" s="6574"/>
      <c r="N83" s="6574"/>
      <c r="O83" s="6574"/>
      <c r="P83" s="6574"/>
      <c r="Q83" s="6574"/>
      <c r="R83" s="6574"/>
      <c r="S83" s="6574"/>
      <c r="T83" s="6574"/>
      <c r="U83" s="6893"/>
      <c r="V83" s="6119" t="s">
        <v>50</v>
      </c>
      <c r="W83" s="3986"/>
      <c r="X83" s="3986"/>
      <c r="Y83" s="3986"/>
      <c r="Z83" s="3986"/>
      <c r="AA83" s="3986"/>
      <c r="AB83" s="3986"/>
      <c r="AC83" s="3986"/>
      <c r="AD83" s="3986"/>
      <c r="AE83" s="3986"/>
      <c r="AF83" s="3986"/>
      <c r="AG83" s="3986"/>
      <c r="AH83" s="3986"/>
      <c r="AI83" s="3986"/>
      <c r="AJ83" s="3986"/>
      <c r="AK83" s="5532"/>
      <c r="AV83" s="2549"/>
      <c r="AW83" s="2549"/>
      <c r="AX83" s="2549"/>
      <c r="AY83" s="2549"/>
      <c r="BA83" s="2549"/>
      <c r="BB83" s="2549"/>
      <c r="BC83" s="2549"/>
      <c r="BD83" s="2549"/>
      <c r="BE83" s="2549"/>
      <c r="BF83" s="2549"/>
      <c r="BG83" s="2549"/>
      <c r="BH83" s="2549"/>
      <c r="BI83" s="2549"/>
      <c r="BJ83" s="2549"/>
      <c r="BK83" s="2549"/>
      <c r="BL83" s="2549"/>
      <c r="BM83" s="2549"/>
      <c r="BN83" s="2549"/>
      <c r="BO83" s="2549"/>
      <c r="BP83" s="2549"/>
      <c r="BQ83" s="2549"/>
      <c r="BR83" s="2549"/>
      <c r="BS83" s="2549"/>
      <c r="BT83" s="2549"/>
      <c r="BU83" s="2549"/>
      <c r="BV83" s="2549"/>
      <c r="BW83" s="2549"/>
      <c r="BX83" s="2549"/>
      <c r="BY83" s="2549"/>
      <c r="BZ83" s="2549"/>
      <c r="CA83" s="2549"/>
      <c r="CE83" s="2549"/>
      <c r="CF83" s="2549"/>
      <c r="CG83" s="2549"/>
      <c r="CH83" s="2549"/>
      <c r="CI83" s="2549"/>
    </row>
    <row r="84" spans="1:87" ht="21" customHeight="1">
      <c r="A84" s="6583"/>
      <c r="B84" s="6581"/>
      <c r="C84" s="6486"/>
      <c r="D84" s="6486"/>
      <c r="E84" s="6486"/>
      <c r="F84" s="6140" t="s">
        <v>3936</v>
      </c>
      <c r="G84" s="6140"/>
      <c r="H84" s="5707" t="s">
        <v>4374</v>
      </c>
      <c r="I84" s="5707"/>
      <c r="J84" s="5710" t="s">
        <v>1521</v>
      </c>
      <c r="K84" s="5710"/>
      <c r="L84" s="6140" t="s">
        <v>1522</v>
      </c>
      <c r="M84" s="6140"/>
      <c r="N84" s="6140" t="s">
        <v>1523</v>
      </c>
      <c r="O84" s="6140"/>
      <c r="P84" s="5707" t="s">
        <v>1524</v>
      </c>
      <c r="Q84" s="5707"/>
      <c r="R84" s="6152" t="s">
        <v>1525</v>
      </c>
      <c r="S84" s="6152"/>
      <c r="T84" s="5707" t="s">
        <v>966</v>
      </c>
      <c r="U84" s="7076"/>
      <c r="V84" s="6120"/>
      <c r="W84" s="3986"/>
      <c r="X84" s="3986"/>
      <c r="Y84" s="3986"/>
      <c r="Z84" s="3986"/>
      <c r="AA84" s="3986"/>
      <c r="AB84" s="3986"/>
      <c r="AC84" s="3986"/>
      <c r="AD84" s="3986"/>
      <c r="AV84" s="2549"/>
      <c r="AW84" s="2549"/>
      <c r="AX84" s="2549"/>
      <c r="AY84" s="2549"/>
      <c r="BA84" s="2549"/>
      <c r="BB84" s="2549"/>
      <c r="BC84" s="2549"/>
      <c r="BD84" s="2549"/>
      <c r="BE84" s="2549"/>
      <c r="BF84" s="2549"/>
      <c r="BG84" s="2549"/>
      <c r="BH84" s="2549"/>
      <c r="BI84" s="2549"/>
      <c r="BJ84" s="2549"/>
      <c r="BK84" s="2549"/>
      <c r="BL84" s="2549"/>
      <c r="BM84" s="2549"/>
      <c r="BN84" s="2549"/>
      <c r="BO84" s="2549"/>
      <c r="BP84" s="2549"/>
      <c r="BQ84" s="2549"/>
      <c r="BR84" s="2549"/>
      <c r="BS84" s="2549"/>
      <c r="BT84" s="2549"/>
      <c r="BU84" s="2549"/>
      <c r="BV84" s="2549"/>
      <c r="BW84" s="2549"/>
      <c r="BX84" s="2549"/>
      <c r="BY84" s="2549"/>
      <c r="BZ84" s="2549"/>
      <c r="CA84" s="2549"/>
      <c r="CE84" s="2549"/>
      <c r="CF84" s="2549"/>
      <c r="CG84" s="2549"/>
      <c r="CH84" s="2549"/>
      <c r="CI84" s="2549"/>
    </row>
    <row r="85" spans="1:87">
      <c r="A85" s="6583"/>
      <c r="B85" s="5706"/>
      <c r="C85" s="4093" t="s">
        <v>93</v>
      </c>
      <c r="D85" s="4094" t="s">
        <v>72</v>
      </c>
      <c r="E85" s="4095" t="s">
        <v>73</v>
      </c>
      <c r="F85" s="396" t="s">
        <v>72</v>
      </c>
      <c r="G85" s="398" t="s">
        <v>73</v>
      </c>
      <c r="H85" s="397" t="s">
        <v>72</v>
      </c>
      <c r="I85" s="398" t="s">
        <v>73</v>
      </c>
      <c r="J85" s="397" t="s">
        <v>72</v>
      </c>
      <c r="K85" s="398" t="s">
        <v>73</v>
      </c>
      <c r="L85" s="397" t="s">
        <v>72</v>
      </c>
      <c r="M85" s="398" t="s">
        <v>73</v>
      </c>
      <c r="N85" s="397" t="s">
        <v>72</v>
      </c>
      <c r="O85" s="398" t="s">
        <v>73</v>
      </c>
      <c r="P85" s="397" t="s">
        <v>72</v>
      </c>
      <c r="Q85" s="398" t="s">
        <v>73</v>
      </c>
      <c r="R85" s="397" t="s">
        <v>72</v>
      </c>
      <c r="S85" s="398" t="s">
        <v>73</v>
      </c>
      <c r="T85" s="397" t="s">
        <v>72</v>
      </c>
      <c r="U85" s="399" t="s">
        <v>73</v>
      </c>
      <c r="V85" s="6116"/>
      <c r="W85" s="3986"/>
      <c r="X85" s="3986"/>
      <c r="Y85" s="3986"/>
      <c r="Z85" s="3986"/>
      <c r="AA85" s="3986"/>
      <c r="AB85" s="3986"/>
      <c r="AC85" s="3986"/>
      <c r="AD85" s="3986"/>
      <c r="AV85" s="2549"/>
      <c r="AW85" s="2549"/>
      <c r="AX85" s="2549"/>
      <c r="AY85" s="2549"/>
      <c r="BA85" s="2549"/>
      <c r="BB85" s="2549"/>
      <c r="BC85" s="2549"/>
      <c r="BD85" s="2549"/>
      <c r="BE85" s="2549"/>
      <c r="BF85" s="2549"/>
      <c r="BG85" s="2549"/>
      <c r="BH85" s="2549"/>
      <c r="BI85" s="2549"/>
      <c r="BJ85" s="2549"/>
      <c r="BK85" s="2549"/>
      <c r="BL85" s="2549"/>
      <c r="BM85" s="2549"/>
      <c r="BN85" s="2549"/>
      <c r="BO85" s="2549"/>
      <c r="BP85" s="2549"/>
      <c r="BQ85" s="2549"/>
      <c r="BR85" s="2549"/>
      <c r="BS85" s="2549"/>
      <c r="BT85" s="2549"/>
      <c r="BU85" s="2549"/>
      <c r="BV85" s="2549"/>
      <c r="BW85" s="2549"/>
      <c r="BX85" s="2549"/>
      <c r="BY85" s="2549"/>
      <c r="BZ85" s="2549"/>
      <c r="CA85" s="2549"/>
      <c r="CE85" s="3986"/>
      <c r="CF85" s="3986"/>
      <c r="CG85" s="3986"/>
      <c r="CH85" s="3986"/>
      <c r="CI85" s="3986"/>
    </row>
    <row r="86" spans="1:87" ht="15" customHeight="1">
      <c r="A86" s="5705" t="s">
        <v>4398</v>
      </c>
      <c r="B86" s="4096" t="s">
        <v>4377</v>
      </c>
      <c r="C86" s="3225">
        <f t="shared" si="26"/>
        <v>0</v>
      </c>
      <c r="D86" s="5534">
        <f t="shared" si="30"/>
        <v>0</v>
      </c>
      <c r="E86" s="2275">
        <f t="shared" ref="E86:E94" si="31">SUM(G86,I86,K86,M86,O86,Q86,S86,U86)</f>
        <v>0</v>
      </c>
      <c r="F86" s="3566"/>
      <c r="G86" s="3397"/>
      <c r="H86" s="3566"/>
      <c r="I86" s="3397"/>
      <c r="J86" s="3566"/>
      <c r="K86" s="3397"/>
      <c r="L86" s="3566"/>
      <c r="M86" s="3397"/>
      <c r="N86" s="3566"/>
      <c r="O86" s="3397"/>
      <c r="P86" s="3566"/>
      <c r="Q86" s="3397"/>
      <c r="R86" s="3566"/>
      <c r="S86" s="3397"/>
      <c r="T86" s="3566"/>
      <c r="U86" s="3565"/>
      <c r="V86" s="3563"/>
      <c r="W86" s="5501" t="str">
        <f t="shared" ref="W86:W94" si="32">$CA86</f>
        <v/>
      </c>
      <c r="X86" s="417"/>
      <c r="Y86" s="385"/>
      <c r="Z86" s="385"/>
      <c r="AA86" s="385"/>
      <c r="AB86" s="385"/>
      <c r="AC86" s="385"/>
      <c r="AD86" s="385"/>
      <c r="AE86" s="385"/>
      <c r="AF86" s="385"/>
      <c r="AG86" s="385"/>
      <c r="AH86" s="385"/>
      <c r="AI86" s="385"/>
      <c r="AJ86" s="385"/>
      <c r="AK86" s="385"/>
      <c r="AL86" s="385"/>
      <c r="AM86" s="385"/>
      <c r="AN86" s="385"/>
      <c r="AO86" s="385"/>
      <c r="AP86" s="385"/>
      <c r="AQ86" s="385"/>
      <c r="AR86" s="385"/>
      <c r="AS86" s="385"/>
      <c r="AT86" s="385"/>
      <c r="AU86" s="385"/>
      <c r="AV86" s="385"/>
      <c r="AW86" s="385"/>
      <c r="AX86" s="385"/>
      <c r="AY86" s="385"/>
      <c r="AZ86" s="385"/>
      <c r="BA86" s="385"/>
      <c r="BB86" s="385"/>
      <c r="BC86" s="385"/>
      <c r="BD86" s="385"/>
      <c r="BE86" s="385"/>
      <c r="BF86" s="385"/>
      <c r="BG86" s="385"/>
      <c r="BH86" s="385"/>
      <c r="BY86" s="3986"/>
      <c r="BZ86" s="3986"/>
      <c r="CA86" s="3666" t="str">
        <f t="shared" ref="CA86:CA94" si="33">IF(AND($C86&lt;&gt;0,V86=""),"* No olvide ingresar la columna Pueblos Originarios, digite CERO si no tiene.  ",IF(V86&gt;$C86,"* El número de Pueblos Originarios no puede superar el Total Ambos Sexos.  ",""))</f>
        <v/>
      </c>
      <c r="CB86" s="510"/>
      <c r="CC86" s="510"/>
      <c r="CD86" s="510"/>
      <c r="CE86" s="385"/>
      <c r="CF86" s="385"/>
      <c r="CG86" s="385"/>
      <c r="CH86" s="385"/>
      <c r="CI86" s="513">
        <f t="shared" ref="CI86:CI94" si="34">IF(AND($C86&lt;&gt;0,V86=""),1,IF(V86&gt;$C86,1,0))</f>
        <v>0</v>
      </c>
    </row>
    <row r="87" spans="1:87" ht="15" customHeight="1">
      <c r="A87" s="7340"/>
      <c r="B87" s="5539" t="s">
        <v>1066</v>
      </c>
      <c r="C87" s="5540">
        <f t="shared" si="26"/>
        <v>0</v>
      </c>
      <c r="D87" s="4097">
        <f t="shared" ref="D87:D94" si="35">SUM(F87,H87,J87,L87,N87,P87,R87,T87)</f>
        <v>0</v>
      </c>
      <c r="E87" s="4110">
        <f t="shared" si="31"/>
        <v>0</v>
      </c>
      <c r="F87" s="3424"/>
      <c r="G87" s="3441"/>
      <c r="H87" s="3424"/>
      <c r="I87" s="3441"/>
      <c r="J87" s="3424"/>
      <c r="K87" s="3441"/>
      <c r="L87" s="3424"/>
      <c r="M87" s="3441"/>
      <c r="N87" s="3424"/>
      <c r="O87" s="3441"/>
      <c r="P87" s="3424"/>
      <c r="Q87" s="3441"/>
      <c r="R87" s="3424"/>
      <c r="S87" s="3441"/>
      <c r="T87" s="3424"/>
      <c r="U87" s="3573"/>
      <c r="V87" s="3422"/>
      <c r="W87" s="5501" t="str">
        <f t="shared" si="32"/>
        <v/>
      </c>
      <c r="X87" s="385"/>
      <c r="Y87" s="385"/>
      <c r="Z87" s="385"/>
      <c r="AA87" s="385"/>
      <c r="AB87" s="385"/>
      <c r="AC87" s="385"/>
      <c r="AD87" s="385"/>
      <c r="AE87" s="385"/>
      <c r="AF87" s="385"/>
      <c r="AG87" s="385"/>
      <c r="AH87" s="385"/>
      <c r="AI87" s="385"/>
      <c r="AJ87" s="385"/>
      <c r="AK87" s="385"/>
      <c r="AL87" s="385"/>
      <c r="AM87" s="385"/>
      <c r="AN87" s="385"/>
      <c r="AO87" s="385"/>
      <c r="AP87" s="385"/>
      <c r="AQ87" s="385"/>
      <c r="AR87" s="385"/>
      <c r="AS87" s="385"/>
      <c r="AT87" s="385"/>
      <c r="AU87" s="385"/>
      <c r="AV87" s="385"/>
      <c r="AW87" s="385"/>
      <c r="AX87" s="385"/>
      <c r="AY87" s="385"/>
      <c r="AZ87" s="385"/>
      <c r="BA87" s="385"/>
      <c r="BB87" s="385"/>
      <c r="BC87" s="385"/>
      <c r="BD87" s="385"/>
      <c r="BE87" s="385"/>
      <c r="BF87" s="385"/>
      <c r="BG87" s="385"/>
      <c r="BH87" s="385"/>
      <c r="BY87" s="3986"/>
      <c r="BZ87" s="3986"/>
      <c r="CA87" s="3666" t="str">
        <f t="shared" si="33"/>
        <v/>
      </c>
      <c r="CB87" s="510"/>
      <c r="CC87" s="510"/>
      <c r="CD87" s="510"/>
      <c r="CE87" s="385"/>
      <c r="CF87" s="385"/>
      <c r="CG87" s="385"/>
      <c r="CH87" s="385"/>
      <c r="CI87" s="513">
        <f t="shared" si="34"/>
        <v>0</v>
      </c>
    </row>
    <row r="88" spans="1:87" ht="15" customHeight="1">
      <c r="A88" s="7149"/>
      <c r="B88" s="5541" t="s">
        <v>4378</v>
      </c>
      <c r="C88" s="3233">
        <f t="shared" si="26"/>
        <v>0</v>
      </c>
      <c r="D88" s="4103">
        <f t="shared" si="35"/>
        <v>0</v>
      </c>
      <c r="E88" s="3538">
        <f t="shared" si="31"/>
        <v>0</v>
      </c>
      <c r="F88" s="3385"/>
      <c r="G88" s="433"/>
      <c r="H88" s="3385"/>
      <c r="I88" s="433"/>
      <c r="J88" s="3385"/>
      <c r="K88" s="433"/>
      <c r="L88" s="3385"/>
      <c r="M88" s="433"/>
      <c r="N88" s="3385"/>
      <c r="O88" s="433"/>
      <c r="P88" s="3385"/>
      <c r="Q88" s="433"/>
      <c r="R88" s="3385"/>
      <c r="S88" s="433"/>
      <c r="T88" s="3385"/>
      <c r="U88" s="445"/>
      <c r="V88" s="2235"/>
      <c r="W88" s="5501" t="str">
        <f t="shared" si="32"/>
        <v/>
      </c>
      <c r="X88" s="385"/>
      <c r="Y88" s="385"/>
      <c r="Z88" s="385"/>
      <c r="AA88" s="385"/>
      <c r="AB88" s="385"/>
      <c r="AC88" s="385"/>
      <c r="AD88" s="385"/>
      <c r="AE88" s="385"/>
      <c r="AF88" s="385"/>
      <c r="AG88" s="385"/>
      <c r="AH88" s="385"/>
      <c r="AI88" s="385"/>
      <c r="AJ88" s="385"/>
      <c r="AK88" s="385"/>
      <c r="AL88" s="385"/>
      <c r="AM88" s="385"/>
      <c r="AN88" s="385"/>
      <c r="AO88" s="385"/>
      <c r="AP88" s="385"/>
      <c r="AQ88" s="385"/>
      <c r="AR88" s="385"/>
      <c r="AS88" s="385"/>
      <c r="AT88" s="385"/>
      <c r="AU88" s="385"/>
      <c r="AV88" s="385"/>
      <c r="AW88" s="385"/>
      <c r="AX88" s="385"/>
      <c r="AY88" s="385"/>
      <c r="AZ88" s="385"/>
      <c r="BA88" s="385"/>
      <c r="BB88" s="385"/>
      <c r="BC88" s="385"/>
      <c r="BD88" s="385"/>
      <c r="BE88" s="385"/>
      <c r="BF88" s="385"/>
      <c r="BG88" s="385"/>
      <c r="BH88" s="385"/>
      <c r="BY88" s="3986"/>
      <c r="BZ88" s="3986"/>
      <c r="CA88" s="3666" t="str">
        <f t="shared" si="33"/>
        <v/>
      </c>
      <c r="CB88" s="510"/>
      <c r="CC88" s="510"/>
      <c r="CD88" s="510"/>
      <c r="CE88" s="385"/>
      <c r="CF88" s="385"/>
      <c r="CG88" s="385"/>
      <c r="CH88" s="385"/>
      <c r="CI88" s="513">
        <f t="shared" si="34"/>
        <v>0</v>
      </c>
    </row>
    <row r="89" spans="1:87" ht="15" customHeight="1">
      <c r="A89" s="5705" t="s">
        <v>4399</v>
      </c>
      <c r="B89" s="4096" t="s">
        <v>4377</v>
      </c>
      <c r="C89" s="3225">
        <f t="shared" si="26"/>
        <v>0</v>
      </c>
      <c r="D89" s="5534">
        <f t="shared" si="35"/>
        <v>0</v>
      </c>
      <c r="E89" s="2275">
        <f t="shared" si="31"/>
        <v>0</v>
      </c>
      <c r="F89" s="3566"/>
      <c r="G89" s="3397"/>
      <c r="H89" s="3566"/>
      <c r="I89" s="3397"/>
      <c r="J89" s="3566"/>
      <c r="K89" s="3397"/>
      <c r="L89" s="3566"/>
      <c r="M89" s="3397"/>
      <c r="N89" s="3566"/>
      <c r="O89" s="3397"/>
      <c r="P89" s="3566"/>
      <c r="Q89" s="3397"/>
      <c r="R89" s="3566"/>
      <c r="S89" s="3397"/>
      <c r="T89" s="3566"/>
      <c r="U89" s="3565"/>
      <c r="V89" s="3563"/>
      <c r="W89" s="5501" t="str">
        <f t="shared" si="32"/>
        <v/>
      </c>
      <c r="X89" s="385"/>
      <c r="Y89" s="385"/>
      <c r="Z89" s="385"/>
      <c r="AA89" s="385"/>
      <c r="AB89" s="385"/>
      <c r="AC89" s="385"/>
      <c r="AD89" s="385"/>
      <c r="AE89" s="385"/>
      <c r="AF89" s="385"/>
      <c r="AG89" s="385"/>
      <c r="AH89" s="385"/>
      <c r="AI89" s="385"/>
      <c r="AJ89" s="385"/>
      <c r="AK89" s="385"/>
      <c r="AL89" s="385"/>
      <c r="AM89" s="385"/>
      <c r="AN89" s="385"/>
      <c r="AO89" s="385"/>
      <c r="AP89" s="385"/>
      <c r="AQ89" s="385"/>
      <c r="AR89" s="385"/>
      <c r="AS89" s="385"/>
      <c r="AT89" s="385"/>
      <c r="AU89" s="385"/>
      <c r="AV89" s="385"/>
      <c r="AW89" s="385"/>
      <c r="AX89" s="385"/>
      <c r="AY89" s="385"/>
      <c r="AZ89" s="385"/>
      <c r="BA89" s="385"/>
      <c r="BB89" s="385"/>
      <c r="BC89" s="385"/>
      <c r="BD89" s="385"/>
      <c r="BE89" s="385"/>
      <c r="BF89" s="385"/>
      <c r="BG89" s="385"/>
      <c r="BH89" s="385"/>
      <c r="BY89" s="3986"/>
      <c r="BZ89" s="3986"/>
      <c r="CA89" s="3666" t="str">
        <f t="shared" si="33"/>
        <v/>
      </c>
      <c r="CB89" s="510"/>
      <c r="CC89" s="510"/>
      <c r="CD89" s="510"/>
      <c r="CE89" s="385"/>
      <c r="CF89" s="385"/>
      <c r="CG89" s="385"/>
      <c r="CH89" s="385"/>
      <c r="CI89" s="513">
        <f t="shared" si="34"/>
        <v>0</v>
      </c>
    </row>
    <row r="90" spans="1:87" ht="15" customHeight="1">
      <c r="A90" s="7340"/>
      <c r="B90" s="2059" t="s">
        <v>1066</v>
      </c>
      <c r="C90" s="5540">
        <f t="shared" si="26"/>
        <v>0</v>
      </c>
      <c r="D90" s="4097">
        <f t="shared" si="35"/>
        <v>0</v>
      </c>
      <c r="E90" s="4110">
        <f t="shared" si="31"/>
        <v>0</v>
      </c>
      <c r="F90" s="3424"/>
      <c r="G90" s="3441"/>
      <c r="H90" s="3424"/>
      <c r="I90" s="3441"/>
      <c r="J90" s="3424"/>
      <c r="K90" s="3441"/>
      <c r="L90" s="3424"/>
      <c r="M90" s="3441"/>
      <c r="N90" s="3424"/>
      <c r="O90" s="3441"/>
      <c r="P90" s="3424"/>
      <c r="Q90" s="3441"/>
      <c r="R90" s="3424"/>
      <c r="S90" s="3441"/>
      <c r="T90" s="3424"/>
      <c r="U90" s="3573"/>
      <c r="V90" s="3422"/>
      <c r="W90" s="5501" t="str">
        <f t="shared" si="32"/>
        <v/>
      </c>
      <c r="X90" s="385"/>
      <c r="Y90" s="385"/>
      <c r="Z90" s="385"/>
      <c r="AA90" s="385"/>
      <c r="AB90" s="385"/>
      <c r="AC90" s="385"/>
      <c r="AD90" s="385"/>
      <c r="AE90" s="385"/>
      <c r="AF90" s="385"/>
      <c r="AG90" s="385"/>
      <c r="AH90" s="385"/>
      <c r="AI90" s="385"/>
      <c r="AJ90" s="385"/>
      <c r="AK90" s="385"/>
      <c r="AL90" s="385"/>
      <c r="AM90" s="385"/>
      <c r="AN90" s="385"/>
      <c r="AO90" s="385"/>
      <c r="AP90" s="385"/>
      <c r="AQ90" s="385"/>
      <c r="AR90" s="385"/>
      <c r="AS90" s="385"/>
      <c r="AT90" s="385"/>
      <c r="AU90" s="385"/>
      <c r="AV90" s="385"/>
      <c r="AW90" s="385"/>
      <c r="AX90" s="385"/>
      <c r="AY90" s="385"/>
      <c r="AZ90" s="385"/>
      <c r="BA90" s="385"/>
      <c r="BB90" s="385"/>
      <c r="BC90" s="385"/>
      <c r="BD90" s="385"/>
      <c r="BE90" s="385"/>
      <c r="BF90" s="385"/>
      <c r="BG90" s="385"/>
      <c r="BH90" s="385"/>
      <c r="BY90" s="3986"/>
      <c r="BZ90" s="3986"/>
      <c r="CA90" s="3666" t="str">
        <f t="shared" si="33"/>
        <v/>
      </c>
      <c r="CB90" s="510"/>
      <c r="CC90" s="510"/>
      <c r="CD90" s="510"/>
      <c r="CE90" s="385"/>
      <c r="CF90" s="385"/>
      <c r="CG90" s="385"/>
      <c r="CH90" s="385"/>
      <c r="CI90" s="513">
        <f t="shared" si="34"/>
        <v>0</v>
      </c>
    </row>
    <row r="91" spans="1:87" ht="15" customHeight="1">
      <c r="A91" s="7149"/>
      <c r="B91" s="4080" t="s">
        <v>4378</v>
      </c>
      <c r="C91" s="3233">
        <f t="shared" si="26"/>
        <v>0</v>
      </c>
      <c r="D91" s="4103">
        <f t="shared" si="35"/>
        <v>0</v>
      </c>
      <c r="E91" s="3538">
        <f t="shared" si="31"/>
        <v>0</v>
      </c>
      <c r="F91" s="3385"/>
      <c r="G91" s="433"/>
      <c r="H91" s="3385"/>
      <c r="I91" s="433"/>
      <c r="J91" s="3385"/>
      <c r="K91" s="433"/>
      <c r="L91" s="3385"/>
      <c r="M91" s="433"/>
      <c r="N91" s="3385"/>
      <c r="O91" s="433"/>
      <c r="P91" s="3385"/>
      <c r="Q91" s="433"/>
      <c r="R91" s="3385"/>
      <c r="S91" s="433"/>
      <c r="T91" s="3385"/>
      <c r="U91" s="445"/>
      <c r="V91" s="2235"/>
      <c r="W91" s="5501" t="str">
        <f t="shared" si="32"/>
        <v/>
      </c>
      <c r="X91" s="385"/>
      <c r="Y91" s="385"/>
      <c r="Z91" s="385"/>
      <c r="AA91" s="385"/>
      <c r="AB91" s="385"/>
      <c r="AC91" s="385"/>
      <c r="AD91" s="385"/>
      <c r="AE91" s="385"/>
      <c r="AF91" s="385"/>
      <c r="AG91" s="385"/>
      <c r="AH91" s="385"/>
      <c r="AI91" s="385"/>
      <c r="AJ91" s="385"/>
      <c r="AK91" s="385"/>
      <c r="AL91" s="385"/>
      <c r="AM91" s="385"/>
      <c r="AN91" s="385"/>
      <c r="AO91" s="385"/>
      <c r="AP91" s="385"/>
      <c r="AQ91" s="385"/>
      <c r="AR91" s="385"/>
      <c r="AS91" s="385"/>
      <c r="AT91" s="385"/>
      <c r="AU91" s="385"/>
      <c r="AV91" s="385"/>
      <c r="AW91" s="385"/>
      <c r="AX91" s="385"/>
      <c r="AY91" s="385"/>
      <c r="AZ91" s="385"/>
      <c r="BA91" s="385"/>
      <c r="BB91" s="385"/>
      <c r="BC91" s="385"/>
      <c r="BD91" s="385"/>
      <c r="BE91" s="385"/>
      <c r="BF91" s="385"/>
      <c r="BG91" s="385"/>
      <c r="BH91" s="385"/>
      <c r="BY91" s="3986"/>
      <c r="BZ91" s="3986"/>
      <c r="CA91" s="3666" t="str">
        <f t="shared" si="33"/>
        <v/>
      </c>
      <c r="CB91" s="510"/>
      <c r="CC91" s="510"/>
      <c r="CD91" s="510"/>
      <c r="CE91" s="385"/>
      <c r="CF91" s="385"/>
      <c r="CG91" s="385"/>
      <c r="CH91" s="385"/>
      <c r="CI91" s="513">
        <f t="shared" si="34"/>
        <v>0</v>
      </c>
    </row>
    <row r="92" spans="1:87" ht="15" customHeight="1">
      <c r="A92" s="6581" t="s">
        <v>4400</v>
      </c>
      <c r="B92" s="5542" t="s">
        <v>4377</v>
      </c>
      <c r="C92" s="2932">
        <f t="shared" si="26"/>
        <v>0</v>
      </c>
      <c r="D92" s="4097">
        <f t="shared" si="35"/>
        <v>0</v>
      </c>
      <c r="E92" s="4110">
        <f t="shared" si="31"/>
        <v>0</v>
      </c>
      <c r="F92" s="3600"/>
      <c r="G92" s="3637"/>
      <c r="H92" s="3600"/>
      <c r="I92" s="3637"/>
      <c r="J92" s="3600"/>
      <c r="K92" s="3637"/>
      <c r="L92" s="3600"/>
      <c r="M92" s="3637"/>
      <c r="N92" s="3600"/>
      <c r="O92" s="3637"/>
      <c r="P92" s="3600"/>
      <c r="Q92" s="3637"/>
      <c r="R92" s="3600"/>
      <c r="S92" s="3637"/>
      <c r="T92" s="3600"/>
      <c r="U92" s="3688"/>
      <c r="V92" s="3396"/>
      <c r="W92" s="5501" t="str">
        <f t="shared" si="32"/>
        <v/>
      </c>
      <c r="X92" s="385"/>
      <c r="Y92" s="385"/>
      <c r="Z92" s="385"/>
      <c r="AA92" s="385"/>
      <c r="AB92" s="385"/>
      <c r="AC92" s="385"/>
      <c r="AD92" s="385"/>
      <c r="AE92" s="385"/>
      <c r="AF92" s="385"/>
      <c r="AG92" s="385"/>
      <c r="AH92" s="385"/>
      <c r="AI92" s="385"/>
      <c r="AJ92" s="385"/>
      <c r="AK92" s="385"/>
      <c r="AL92" s="385"/>
      <c r="AM92" s="385"/>
      <c r="AN92" s="385"/>
      <c r="AO92" s="385"/>
      <c r="AP92" s="385"/>
      <c r="AQ92" s="385"/>
      <c r="AR92" s="385"/>
      <c r="AS92" s="385"/>
      <c r="AT92" s="385"/>
      <c r="AU92" s="385"/>
      <c r="AV92" s="385"/>
      <c r="AW92" s="385"/>
      <c r="AX92" s="385"/>
      <c r="AY92" s="385"/>
      <c r="AZ92" s="385"/>
      <c r="BA92" s="385"/>
      <c r="BB92" s="385"/>
      <c r="BC92" s="385"/>
      <c r="BD92" s="385"/>
      <c r="BE92" s="385"/>
      <c r="BF92" s="385"/>
      <c r="BG92" s="385"/>
      <c r="BH92" s="385"/>
      <c r="BY92" s="3986"/>
      <c r="BZ92" s="3986"/>
      <c r="CA92" s="3666" t="str">
        <f t="shared" si="33"/>
        <v/>
      </c>
      <c r="CB92" s="510"/>
      <c r="CC92" s="510"/>
      <c r="CD92" s="510"/>
      <c r="CE92" s="385"/>
      <c r="CF92" s="385"/>
      <c r="CG92" s="385"/>
      <c r="CH92" s="385"/>
      <c r="CI92" s="513">
        <f t="shared" si="34"/>
        <v>0</v>
      </c>
    </row>
    <row r="93" spans="1:87" ht="15" customHeight="1">
      <c r="A93" s="6581"/>
      <c r="B93" s="2059" t="s">
        <v>1066</v>
      </c>
      <c r="C93" s="5540">
        <f t="shared" si="26"/>
        <v>0</v>
      </c>
      <c r="D93" s="4097">
        <f t="shared" si="35"/>
        <v>0</v>
      </c>
      <c r="E93" s="4110">
        <f t="shared" si="31"/>
        <v>0</v>
      </c>
      <c r="F93" s="3424"/>
      <c r="G93" s="3441"/>
      <c r="H93" s="3424"/>
      <c r="I93" s="3441"/>
      <c r="J93" s="3424"/>
      <c r="K93" s="3441"/>
      <c r="L93" s="3424"/>
      <c r="M93" s="3441"/>
      <c r="N93" s="3424"/>
      <c r="O93" s="3441"/>
      <c r="P93" s="3424"/>
      <c r="Q93" s="3441"/>
      <c r="R93" s="3424"/>
      <c r="S93" s="3441"/>
      <c r="T93" s="3424"/>
      <c r="U93" s="3573"/>
      <c r="V93" s="3422"/>
      <c r="W93" s="5501" t="str">
        <f t="shared" si="32"/>
        <v/>
      </c>
      <c r="X93" s="385"/>
      <c r="Y93" s="385"/>
      <c r="Z93" s="385"/>
      <c r="AA93" s="385"/>
      <c r="AB93" s="385"/>
      <c r="AC93" s="385"/>
      <c r="AD93" s="385"/>
      <c r="AE93" s="385"/>
      <c r="AF93" s="385"/>
      <c r="AG93" s="385"/>
      <c r="AH93" s="385"/>
      <c r="AI93" s="385"/>
      <c r="AJ93" s="385"/>
      <c r="AK93" s="385"/>
      <c r="AL93" s="385"/>
      <c r="AM93" s="385"/>
      <c r="AN93" s="385"/>
      <c r="AO93" s="385"/>
      <c r="AP93" s="385"/>
      <c r="AQ93" s="385"/>
      <c r="AR93" s="385"/>
      <c r="AS93" s="385"/>
      <c r="AT93" s="385"/>
      <c r="AU93" s="385"/>
      <c r="AV93" s="385"/>
      <c r="AW93" s="385"/>
      <c r="AX93" s="385"/>
      <c r="AY93" s="385"/>
      <c r="AZ93" s="385"/>
      <c r="BA93" s="385"/>
      <c r="BB93" s="385"/>
      <c r="BC93" s="385"/>
      <c r="BD93" s="385"/>
      <c r="BE93" s="385"/>
      <c r="BF93" s="385"/>
      <c r="BG93" s="385"/>
      <c r="BH93" s="385"/>
      <c r="BY93" s="3986"/>
      <c r="BZ93" s="3986"/>
      <c r="CA93" s="3666" t="str">
        <f t="shared" si="33"/>
        <v/>
      </c>
      <c r="CB93" s="510"/>
      <c r="CC93" s="510"/>
      <c r="CD93" s="510"/>
      <c r="CE93" s="385"/>
      <c r="CF93" s="385"/>
      <c r="CG93" s="385"/>
      <c r="CH93" s="385"/>
      <c r="CI93" s="513">
        <f t="shared" si="34"/>
        <v>0</v>
      </c>
    </row>
    <row r="94" spans="1:87" ht="15" customHeight="1">
      <c r="A94" s="5706"/>
      <c r="B94" s="5541" t="s">
        <v>4378</v>
      </c>
      <c r="C94" s="3233">
        <f t="shared" si="26"/>
        <v>0</v>
      </c>
      <c r="D94" s="4103">
        <f t="shared" si="35"/>
        <v>0</v>
      </c>
      <c r="E94" s="3538">
        <f t="shared" si="31"/>
        <v>0</v>
      </c>
      <c r="F94" s="3424"/>
      <c r="G94" s="3441"/>
      <c r="H94" s="3424"/>
      <c r="I94" s="433"/>
      <c r="J94" s="3385"/>
      <c r="K94" s="433"/>
      <c r="L94" s="3385"/>
      <c r="M94" s="433"/>
      <c r="N94" s="3385"/>
      <c r="O94" s="433"/>
      <c r="P94" s="3385"/>
      <c r="Q94" s="433"/>
      <c r="R94" s="3385"/>
      <c r="S94" s="433"/>
      <c r="T94" s="3385"/>
      <c r="U94" s="445"/>
      <c r="V94" s="2235"/>
      <c r="W94" s="5501" t="str">
        <f t="shared" si="32"/>
        <v/>
      </c>
      <c r="X94" s="385"/>
      <c r="Y94" s="385"/>
      <c r="Z94" s="385"/>
      <c r="AA94" s="385"/>
      <c r="AB94" s="385"/>
      <c r="AC94" s="385"/>
      <c r="AD94" s="385"/>
      <c r="AE94" s="385"/>
      <c r="AF94" s="385"/>
      <c r="AG94" s="385"/>
      <c r="AH94" s="385"/>
      <c r="AI94" s="385"/>
      <c r="AJ94" s="385"/>
      <c r="AK94" s="385"/>
      <c r="AL94" s="385"/>
      <c r="AM94" s="385"/>
      <c r="AN94" s="385"/>
      <c r="AO94" s="385"/>
      <c r="AP94" s="385"/>
      <c r="AQ94" s="385"/>
      <c r="AR94" s="385"/>
      <c r="AS94" s="385"/>
      <c r="AT94" s="385"/>
      <c r="AU94" s="385"/>
      <c r="AV94" s="385"/>
      <c r="AW94" s="385"/>
      <c r="AX94" s="385"/>
      <c r="AY94" s="385"/>
      <c r="AZ94" s="385"/>
      <c r="BA94" s="385"/>
      <c r="BB94" s="385"/>
      <c r="BC94" s="385"/>
      <c r="BD94" s="385"/>
      <c r="BE94" s="385"/>
      <c r="BF94" s="385"/>
      <c r="BG94" s="385"/>
      <c r="BH94" s="385"/>
      <c r="BY94" s="3986"/>
      <c r="BZ94" s="3986"/>
      <c r="CA94" s="3666" t="str">
        <f t="shared" si="33"/>
        <v/>
      </c>
      <c r="CB94" s="510"/>
      <c r="CC94" s="510"/>
      <c r="CD94" s="510"/>
      <c r="CE94" s="385"/>
      <c r="CF94" s="385"/>
      <c r="CG94" s="385"/>
      <c r="CH94" s="385"/>
      <c r="CI94" s="513">
        <f t="shared" si="34"/>
        <v>0</v>
      </c>
    </row>
    <row r="95" spans="1:87" ht="17.100000000000001" customHeight="1">
      <c r="A95" s="7341" t="s">
        <v>4401</v>
      </c>
      <c r="B95" s="7342"/>
      <c r="C95" s="7342"/>
      <c r="D95" s="7342"/>
      <c r="E95" s="7342"/>
      <c r="F95" s="7342"/>
      <c r="G95" s="7342"/>
      <c r="H95" s="7342"/>
      <c r="I95" s="5543"/>
      <c r="J95" s="5543"/>
      <c r="K95" s="5543"/>
      <c r="L95" s="5543"/>
      <c r="M95" s="5543"/>
      <c r="N95" s="5543"/>
      <c r="O95" s="5543"/>
      <c r="P95" s="5543"/>
      <c r="Q95" s="5543"/>
      <c r="R95" s="5543"/>
      <c r="S95" s="5446"/>
      <c r="T95" s="5446"/>
      <c r="U95" s="5446"/>
      <c r="V95" s="5446"/>
      <c r="W95" s="5543"/>
      <c r="X95" s="5543"/>
      <c r="Y95" s="5543"/>
      <c r="Z95" s="5543"/>
      <c r="AA95" s="5543"/>
      <c r="AB95" s="5543"/>
      <c r="AC95" s="5543"/>
      <c r="AD95" s="5543"/>
      <c r="AE95" s="5543"/>
      <c r="AF95" s="5543"/>
      <c r="AG95" s="5543"/>
      <c r="AH95" s="5543"/>
      <c r="AI95" s="5543"/>
      <c r="AJ95" s="5543"/>
      <c r="AK95" s="5543"/>
      <c r="AL95" s="5543"/>
      <c r="AM95" s="5543"/>
      <c r="AO95" s="5543"/>
      <c r="AP95" s="5543"/>
      <c r="AQ95" s="5543"/>
      <c r="AR95" s="5543"/>
      <c r="AS95" s="5543"/>
      <c r="AT95" s="5543"/>
      <c r="AU95" s="5543"/>
      <c r="AV95" s="5543"/>
      <c r="AW95" s="5543"/>
      <c r="AX95" s="5543"/>
      <c r="AY95" s="5543"/>
      <c r="AZ95" s="5543"/>
      <c r="BA95" s="5543"/>
      <c r="BB95" s="5543"/>
      <c r="BC95" s="5543"/>
      <c r="BD95" s="5543"/>
      <c r="BE95" s="5543"/>
      <c r="BF95" s="5543"/>
      <c r="BG95" s="5543"/>
      <c r="BH95" s="5543"/>
      <c r="BI95" s="5543"/>
      <c r="BJ95" s="5543"/>
      <c r="BK95" s="5543"/>
      <c r="BL95" s="5543"/>
      <c r="BM95" s="5543"/>
      <c r="BN95" s="5543"/>
      <c r="BO95" s="5543"/>
      <c r="BP95" s="5543"/>
      <c r="BQ95" s="5543"/>
      <c r="BR95" s="5543"/>
      <c r="BS95" s="5543"/>
      <c r="BT95" s="5543"/>
      <c r="BU95" s="5543"/>
      <c r="BV95" s="5543"/>
      <c r="BW95" s="5543"/>
      <c r="BX95" s="5543"/>
      <c r="BY95" s="5543"/>
      <c r="BZ95" s="5543"/>
      <c r="CA95" s="5543"/>
      <c r="CB95" s="5543"/>
      <c r="CC95" s="5543"/>
      <c r="CD95" s="5543"/>
      <c r="CE95" s="5543"/>
      <c r="CF95" s="5543"/>
      <c r="CG95" s="5543"/>
      <c r="CH95" s="5543"/>
      <c r="CI95" s="5543"/>
    </row>
    <row r="96" spans="1:87" ht="25.5" customHeight="1">
      <c r="A96" s="5544" t="s">
        <v>4397</v>
      </c>
      <c r="B96" s="2290" t="s">
        <v>1680</v>
      </c>
      <c r="C96" s="3696" t="s">
        <v>4378</v>
      </c>
      <c r="D96" s="2471" t="s">
        <v>4382</v>
      </c>
      <c r="E96" s="3697" t="s">
        <v>4377</v>
      </c>
      <c r="F96" s="1644" t="s">
        <v>1066</v>
      </c>
      <c r="G96" s="5537"/>
      <c r="H96" s="5543"/>
      <c r="I96" s="5543"/>
      <c r="J96" s="5543"/>
      <c r="K96" s="5543"/>
      <c r="L96" s="5543"/>
      <c r="M96" s="5543"/>
      <c r="N96" s="5543"/>
      <c r="O96" s="5543"/>
      <c r="P96" s="5543"/>
      <c r="Q96" s="5543"/>
      <c r="R96" s="5543"/>
      <c r="S96" s="5543"/>
      <c r="T96" s="5543"/>
      <c r="U96" s="5543"/>
      <c r="V96" s="5543"/>
      <c r="W96" s="5543"/>
      <c r="X96" s="5543"/>
      <c r="Y96" s="5543"/>
      <c r="Z96" s="5543"/>
      <c r="AA96" s="5543"/>
      <c r="AB96" s="5543"/>
      <c r="AC96" s="5543"/>
      <c r="AD96" s="5543"/>
      <c r="AE96" s="5543"/>
      <c r="AF96" s="5543"/>
      <c r="AG96" s="5543"/>
      <c r="AH96" s="5543"/>
      <c r="AI96" s="5543"/>
      <c r="AJ96" s="5543"/>
      <c r="AK96" s="5543"/>
      <c r="AL96" s="5543"/>
      <c r="AN96" s="5543"/>
      <c r="AO96" s="5543"/>
      <c r="AP96" s="5543"/>
      <c r="AQ96" s="5543"/>
      <c r="AR96" s="5543"/>
      <c r="AS96" s="5543"/>
      <c r="AT96" s="5543"/>
      <c r="AU96" s="5543"/>
      <c r="AV96" s="5543"/>
      <c r="AW96" s="5543"/>
      <c r="AX96" s="5543"/>
      <c r="AY96" s="5543"/>
      <c r="AZ96" s="5543"/>
      <c r="BA96" s="5543"/>
      <c r="BB96" s="5543"/>
      <c r="BC96" s="5543"/>
      <c r="BD96" s="5543"/>
      <c r="BE96" s="5543"/>
      <c r="BF96" s="5543"/>
      <c r="BG96" s="5543"/>
      <c r="BH96" s="5543"/>
      <c r="BI96" s="5543"/>
      <c r="BJ96" s="5543"/>
      <c r="BK96" s="5543"/>
      <c r="BL96" s="5543"/>
      <c r="BM96" s="5543"/>
      <c r="BN96" s="5543"/>
      <c r="BO96" s="5543"/>
      <c r="BP96" s="5543"/>
      <c r="BQ96" s="5543"/>
      <c r="BR96" s="5543"/>
      <c r="BS96" s="5543"/>
      <c r="BT96" s="5543"/>
      <c r="BU96" s="5543"/>
      <c r="BV96" s="5543"/>
      <c r="BW96" s="5543"/>
      <c r="BX96" s="5543"/>
      <c r="BY96" s="5543"/>
      <c r="BZ96" s="5543"/>
      <c r="CA96" s="5543"/>
      <c r="CB96" s="5543"/>
      <c r="CC96" s="5543"/>
      <c r="CD96" s="5543"/>
      <c r="CE96" s="5543"/>
      <c r="CF96" s="5543"/>
      <c r="CG96" s="5543"/>
      <c r="CH96" s="5543"/>
      <c r="CI96" s="5543"/>
    </row>
    <row r="97" spans="1:87" ht="15" customHeight="1">
      <c r="A97" s="2540" t="s">
        <v>4402</v>
      </c>
      <c r="B97" s="3476">
        <f t="shared" ref="B97:B99" si="36">SUM(C97:F97)</f>
        <v>0</v>
      </c>
      <c r="C97" s="5545"/>
      <c r="D97" s="5546"/>
      <c r="E97" s="5547"/>
      <c r="F97" s="5548"/>
      <c r="M97" s="5543"/>
      <c r="N97" s="5543"/>
      <c r="O97" s="5543"/>
      <c r="P97" s="5543"/>
      <c r="Q97" s="5543"/>
      <c r="R97" s="5543"/>
      <c r="S97" s="5543"/>
      <c r="T97" s="5543"/>
      <c r="U97" s="5543"/>
      <c r="V97" s="5543"/>
      <c r="W97" s="5543"/>
      <c r="X97" s="5543"/>
      <c r="Y97" s="5543"/>
      <c r="Z97" s="5543"/>
      <c r="AA97" s="5543"/>
      <c r="AB97" s="5543"/>
      <c r="AC97" s="5543"/>
      <c r="AD97" s="5543"/>
      <c r="AE97" s="5543"/>
      <c r="AF97" s="5543"/>
      <c r="AG97" s="5543"/>
      <c r="AH97" s="5543"/>
      <c r="AI97" s="5543"/>
      <c r="AJ97" s="5543"/>
      <c r="AK97" s="5543"/>
      <c r="AL97" s="5543"/>
      <c r="AN97" s="5543"/>
      <c r="AO97" s="5543"/>
      <c r="AP97" s="5543"/>
      <c r="AQ97" s="5543"/>
      <c r="AR97" s="5543"/>
      <c r="AS97" s="5543"/>
      <c r="AT97" s="5543"/>
      <c r="AU97" s="5543"/>
      <c r="AV97" s="5543"/>
      <c r="AW97" s="5543"/>
      <c r="AX97" s="5543"/>
      <c r="AY97" s="5543"/>
      <c r="AZ97" s="5543"/>
      <c r="BA97" s="5543"/>
      <c r="BB97" s="5543"/>
      <c r="BC97" s="5543"/>
      <c r="BD97" s="5543"/>
      <c r="BE97" s="5543"/>
      <c r="BF97" s="5543"/>
      <c r="BG97" s="5543"/>
      <c r="BH97" s="5543"/>
      <c r="BI97" s="5543"/>
      <c r="BJ97" s="5543"/>
      <c r="BK97" s="5543"/>
      <c r="BL97" s="5543"/>
      <c r="BM97" s="5543"/>
      <c r="BN97" s="5543"/>
      <c r="BO97" s="5543"/>
      <c r="BP97" s="5543"/>
      <c r="BQ97" s="5543"/>
      <c r="BR97" s="5543"/>
      <c r="BS97" s="5543"/>
      <c r="BT97" s="5543"/>
      <c r="BU97" s="5543"/>
      <c r="BV97" s="5543"/>
      <c r="BW97" s="5543"/>
      <c r="BX97" s="5543"/>
      <c r="BY97" s="5543"/>
      <c r="BZ97" s="5543"/>
      <c r="CA97" s="5543"/>
      <c r="CB97" s="5543"/>
      <c r="CC97" s="5543"/>
      <c r="CD97" s="5543"/>
      <c r="CE97" s="5543"/>
      <c r="CF97" s="5543"/>
      <c r="CG97" s="5543"/>
      <c r="CH97" s="5543"/>
      <c r="CI97" s="5543"/>
    </row>
    <row r="98" spans="1:87" ht="15" customHeight="1">
      <c r="A98" s="3549" t="s">
        <v>4403</v>
      </c>
      <c r="B98" s="3551">
        <f t="shared" si="36"/>
        <v>0</v>
      </c>
      <c r="C98" s="5545"/>
      <c r="D98" s="5546"/>
      <c r="E98" s="5546"/>
      <c r="F98" s="5549"/>
      <c r="M98" s="5543"/>
      <c r="N98" s="5543"/>
      <c r="O98" s="5543"/>
      <c r="P98" s="5543"/>
      <c r="Q98" s="5543"/>
      <c r="R98" s="5543"/>
      <c r="S98" s="5543"/>
      <c r="T98" s="5543"/>
      <c r="U98" s="5543"/>
      <c r="V98" s="5543"/>
      <c r="W98" s="5543"/>
      <c r="X98" s="5543"/>
      <c r="Y98" s="5543"/>
      <c r="Z98" s="5543"/>
      <c r="AA98" s="5543"/>
      <c r="AB98" s="5543"/>
      <c r="AC98" s="5543"/>
      <c r="AD98" s="5543"/>
      <c r="AE98" s="5543"/>
      <c r="AF98" s="5543"/>
      <c r="AG98" s="5543"/>
      <c r="AH98" s="5543"/>
      <c r="AI98" s="5543"/>
      <c r="AJ98" s="5543"/>
      <c r="AK98" s="5543"/>
      <c r="AL98" s="5543"/>
      <c r="AN98" s="5543"/>
      <c r="AO98" s="5543"/>
      <c r="AP98" s="5543"/>
      <c r="AQ98" s="5543"/>
      <c r="AR98" s="5543"/>
      <c r="AS98" s="5543"/>
      <c r="AT98" s="5543"/>
      <c r="AU98" s="5543"/>
      <c r="AV98" s="5543"/>
      <c r="AW98" s="5543"/>
      <c r="AX98" s="5543"/>
      <c r="AY98" s="5543"/>
      <c r="AZ98" s="5543"/>
      <c r="BA98" s="5543"/>
      <c r="BB98" s="5543"/>
      <c r="BC98" s="5543"/>
      <c r="BD98" s="5543"/>
      <c r="BE98" s="5543"/>
      <c r="BF98" s="5543"/>
      <c r="BG98" s="5543"/>
      <c r="BH98" s="5543"/>
      <c r="BI98" s="5543"/>
      <c r="BJ98" s="5543"/>
      <c r="BK98" s="5543"/>
      <c r="BL98" s="5543"/>
      <c r="BM98" s="5543"/>
      <c r="BN98" s="5543"/>
      <c r="BO98" s="5543"/>
      <c r="BP98" s="5543"/>
      <c r="BQ98" s="5543"/>
      <c r="BR98" s="5543"/>
      <c r="BS98" s="5543"/>
      <c r="BT98" s="5543"/>
      <c r="BU98" s="5543"/>
      <c r="BV98" s="5543"/>
      <c r="BW98" s="5543"/>
      <c r="BX98" s="5543"/>
      <c r="BY98" s="5543"/>
      <c r="BZ98" s="5543"/>
      <c r="CA98" s="5543"/>
      <c r="CB98" s="5543"/>
      <c r="CC98" s="5543"/>
      <c r="CD98" s="5543"/>
      <c r="CE98" s="5543"/>
      <c r="CF98" s="5543"/>
      <c r="CG98" s="5543"/>
      <c r="CH98" s="5543"/>
      <c r="CI98" s="5543"/>
    </row>
    <row r="99" spans="1:87" ht="15" customHeight="1">
      <c r="A99" s="3489" t="s">
        <v>4404</v>
      </c>
      <c r="B99" s="3553">
        <f t="shared" si="36"/>
        <v>0</v>
      </c>
      <c r="C99" s="5550"/>
      <c r="D99" s="5551"/>
      <c r="E99" s="5551"/>
      <c r="F99" s="5552"/>
      <c r="M99" s="5543"/>
      <c r="N99" s="5543"/>
      <c r="O99" s="5543"/>
      <c r="P99" s="5543"/>
      <c r="Q99" s="5543"/>
      <c r="R99" s="5543"/>
      <c r="S99" s="5543"/>
      <c r="T99" s="5543"/>
      <c r="U99" s="5543"/>
      <c r="V99" s="5543"/>
      <c r="W99" s="5543"/>
      <c r="X99" s="5543"/>
      <c r="Y99" s="5543"/>
      <c r="Z99" s="5543"/>
      <c r="AA99" s="5543"/>
      <c r="AB99" s="5543"/>
      <c r="AC99" s="5543"/>
      <c r="AD99" s="5543"/>
      <c r="AE99" s="5543"/>
      <c r="AF99" s="5543"/>
      <c r="AG99" s="5543"/>
      <c r="AH99" s="5543"/>
      <c r="AI99" s="5543"/>
      <c r="AJ99" s="5543"/>
      <c r="AK99" s="5543"/>
      <c r="AM99" s="5543"/>
      <c r="AN99" s="5543"/>
      <c r="AO99" s="5543"/>
      <c r="AP99" s="5543"/>
      <c r="AQ99" s="5543"/>
      <c r="AR99" s="5543"/>
      <c r="AS99" s="5543"/>
      <c r="AT99" s="5543"/>
      <c r="AU99" s="5543"/>
      <c r="AV99" s="5543"/>
      <c r="AW99" s="5543"/>
      <c r="AX99" s="5543"/>
      <c r="AY99" s="5543"/>
      <c r="AZ99" s="5543"/>
      <c r="BA99" s="5543"/>
      <c r="BB99" s="5543"/>
      <c r="BC99" s="5543"/>
      <c r="BD99" s="5543"/>
      <c r="BE99" s="5543"/>
      <c r="BF99" s="5543"/>
      <c r="BG99" s="5543"/>
      <c r="BH99" s="5543"/>
      <c r="BI99" s="5543"/>
      <c r="BJ99" s="5543"/>
      <c r="BK99" s="5543"/>
      <c r="BL99" s="5543"/>
      <c r="BM99" s="5543"/>
      <c r="BN99" s="5543"/>
      <c r="BO99" s="5543"/>
      <c r="BP99" s="5543"/>
      <c r="BQ99" s="5543"/>
      <c r="BR99" s="5543"/>
      <c r="BS99" s="5543"/>
      <c r="BT99" s="5543"/>
      <c r="BU99" s="5543"/>
      <c r="BV99" s="5543"/>
      <c r="BW99" s="5543"/>
      <c r="BX99" s="5543"/>
      <c r="BY99" s="5543"/>
      <c r="BZ99" s="5543"/>
      <c r="CA99" s="5543"/>
      <c r="CB99" s="5543"/>
      <c r="CC99" s="5543"/>
      <c r="CD99" s="5543"/>
      <c r="CE99" s="2549"/>
      <c r="CF99" s="2549"/>
      <c r="CG99" s="2549"/>
      <c r="CH99" s="2549"/>
      <c r="CI99" s="2549"/>
    </row>
    <row r="100" spans="1:87" ht="17.100000000000001" customHeight="1">
      <c r="A100" s="7330" t="s">
        <v>4405</v>
      </c>
      <c r="B100" s="7331"/>
      <c r="C100" s="7331"/>
      <c r="D100" s="7330"/>
      <c r="E100" s="5493"/>
      <c r="F100" s="5493"/>
      <c r="G100" s="5493"/>
      <c r="H100" s="5493"/>
      <c r="I100" s="5493"/>
      <c r="J100" s="5493"/>
      <c r="K100" s="5493"/>
      <c r="L100" s="5493"/>
      <c r="M100" s="5493"/>
      <c r="N100" s="5493"/>
      <c r="O100" s="5493"/>
      <c r="P100" s="5493"/>
      <c r="Q100" s="5493"/>
      <c r="R100" s="5493"/>
      <c r="S100" s="5493"/>
      <c r="T100" s="5493"/>
      <c r="U100" s="5493"/>
      <c r="V100" s="5493"/>
      <c r="W100" s="5493"/>
      <c r="X100" s="5493"/>
      <c r="Y100" s="5493"/>
      <c r="Z100" s="5493"/>
      <c r="AA100" s="5493"/>
      <c r="AB100" s="5493"/>
      <c r="AC100" s="5493"/>
      <c r="AD100" s="5493"/>
      <c r="AE100" s="5493"/>
      <c r="AF100" s="5493"/>
      <c r="AG100" s="5493"/>
      <c r="AH100" s="5493"/>
      <c r="AI100" s="5493"/>
      <c r="AJ100" s="5493"/>
      <c r="AK100" s="5493"/>
      <c r="AL100" s="5493"/>
      <c r="AM100" s="5493"/>
      <c r="AV100" s="2549"/>
      <c r="AW100" s="2549"/>
      <c r="AX100" s="2549"/>
      <c r="AY100" s="2549"/>
      <c r="BA100" s="2549"/>
      <c r="BB100" s="2549"/>
      <c r="BC100" s="2549"/>
      <c r="BD100" s="2549"/>
      <c r="BE100" s="2549"/>
      <c r="BF100" s="2549"/>
      <c r="BG100" s="2549"/>
      <c r="BH100" s="2549"/>
      <c r="BI100" s="2549"/>
      <c r="BJ100" s="2549"/>
      <c r="BK100" s="2549"/>
      <c r="BL100" s="2549"/>
      <c r="BM100" s="2549"/>
      <c r="BN100" s="2549"/>
      <c r="BO100" s="2549"/>
      <c r="BP100" s="2549"/>
      <c r="BQ100" s="2549"/>
      <c r="BR100" s="2549"/>
      <c r="BS100" s="2549"/>
      <c r="BT100" s="2549"/>
      <c r="BU100" s="2549"/>
      <c r="BV100" s="2549"/>
      <c r="BW100" s="2549"/>
      <c r="BX100" s="2549"/>
      <c r="BY100" s="2549"/>
      <c r="BZ100" s="2549"/>
      <c r="CA100" s="2549"/>
      <c r="CE100" s="2549"/>
      <c r="CF100" s="2549"/>
      <c r="CG100" s="2549"/>
      <c r="CH100" s="2549"/>
      <c r="CI100" s="2549"/>
    </row>
    <row r="101" spans="1:87" ht="21" customHeight="1">
      <c r="A101" s="6622" t="s">
        <v>1124</v>
      </c>
      <c r="B101" s="7332" t="s">
        <v>2623</v>
      </c>
      <c r="C101" s="7332" t="s">
        <v>2624</v>
      </c>
      <c r="D101" s="6586" t="s">
        <v>115</v>
      </c>
      <c r="E101" s="6574"/>
      <c r="F101" s="6574"/>
      <c r="G101" s="6574"/>
      <c r="H101" s="6574"/>
      <c r="I101" s="6574"/>
      <c r="J101" s="6574"/>
      <c r="K101" s="6574"/>
      <c r="L101" s="6574"/>
      <c r="M101" s="6574"/>
      <c r="N101" s="6574"/>
      <c r="O101" s="6574"/>
      <c r="P101" s="6574"/>
      <c r="Q101" s="6574"/>
      <c r="R101" s="6574"/>
      <c r="S101" s="6893"/>
      <c r="T101" s="7333" t="s">
        <v>4406</v>
      </c>
      <c r="U101" s="7334"/>
      <c r="V101" s="7334"/>
      <c r="W101" s="7334"/>
      <c r="X101" s="7335"/>
      <c r="Y101" s="6119" t="s">
        <v>50</v>
      </c>
      <c r="Z101" s="3986"/>
      <c r="AA101" s="3986"/>
      <c r="AB101" s="3986"/>
      <c r="AC101" s="3986"/>
      <c r="AD101" s="3986"/>
      <c r="AV101" s="2549"/>
      <c r="AW101" s="2549"/>
      <c r="AX101" s="2549"/>
      <c r="AY101" s="2549"/>
      <c r="BA101" s="2549"/>
      <c r="BB101" s="2549"/>
      <c r="BC101" s="2549"/>
      <c r="BD101" s="2549"/>
      <c r="BE101" s="2549"/>
      <c r="BF101" s="2549"/>
      <c r="BG101" s="2549"/>
      <c r="BH101" s="2549"/>
      <c r="BI101" s="2549"/>
      <c r="BJ101" s="2549"/>
      <c r="BK101" s="2549"/>
      <c r="BL101" s="2549"/>
      <c r="BM101" s="2549"/>
      <c r="BN101" s="2549"/>
      <c r="BO101" s="2549"/>
      <c r="BP101" s="2549"/>
      <c r="BQ101" s="2549"/>
      <c r="BR101" s="2549"/>
      <c r="BS101" s="2549"/>
      <c r="BT101" s="2549"/>
      <c r="BU101" s="2549"/>
      <c r="BV101" s="2549"/>
      <c r="BW101" s="2549"/>
      <c r="BX101" s="2549"/>
      <c r="BY101" s="2549"/>
      <c r="BZ101" s="2549"/>
      <c r="CA101" s="2549"/>
      <c r="CE101" s="2549"/>
      <c r="CF101" s="2549"/>
      <c r="CG101" s="2549"/>
      <c r="CH101" s="2549"/>
      <c r="CI101" s="2549"/>
    </row>
    <row r="102" spans="1:87" ht="47.25" customHeight="1">
      <c r="A102" s="6624"/>
      <c r="B102" s="6581"/>
      <c r="C102" s="6581"/>
      <c r="D102" s="6049" t="s">
        <v>3936</v>
      </c>
      <c r="E102" s="6060"/>
      <c r="F102" s="6049" t="s">
        <v>4374</v>
      </c>
      <c r="G102" s="6059"/>
      <c r="H102" s="6060" t="s">
        <v>1521</v>
      </c>
      <c r="I102" s="6059"/>
      <c r="J102" s="6049" t="s">
        <v>1522</v>
      </c>
      <c r="K102" s="6059"/>
      <c r="L102" s="6049" t="s">
        <v>1523</v>
      </c>
      <c r="M102" s="6059"/>
      <c r="N102" s="6049" t="s">
        <v>1524</v>
      </c>
      <c r="O102" s="6059"/>
      <c r="P102" s="6049" t="s">
        <v>1525</v>
      </c>
      <c r="Q102" s="6059"/>
      <c r="R102" s="6494" t="s">
        <v>966</v>
      </c>
      <c r="S102" s="6737"/>
      <c r="T102" s="7328" t="s">
        <v>4360</v>
      </c>
      <c r="U102" s="7336" t="s">
        <v>4361</v>
      </c>
      <c r="V102" s="7336" t="s">
        <v>4365</v>
      </c>
      <c r="W102" s="7336" t="s">
        <v>4368</v>
      </c>
      <c r="X102" s="7338" t="s">
        <v>4375</v>
      </c>
      <c r="Y102" s="6119"/>
      <c r="Z102" s="3986"/>
      <c r="AA102" s="3986"/>
      <c r="AB102" s="3986"/>
      <c r="AV102" s="2549"/>
      <c r="AW102" s="2549"/>
      <c r="AX102" s="2549"/>
      <c r="AY102" s="2549"/>
      <c r="BA102" s="2549"/>
      <c r="BB102" s="2549"/>
      <c r="BC102" s="2549"/>
      <c r="BD102" s="2549"/>
      <c r="BE102" s="2549"/>
      <c r="BF102" s="2549"/>
      <c r="BG102" s="2549"/>
      <c r="BH102" s="2549"/>
      <c r="BI102" s="2549"/>
      <c r="BJ102" s="2549"/>
      <c r="BK102" s="2549"/>
      <c r="BL102" s="2549"/>
      <c r="BM102" s="2549"/>
      <c r="BN102" s="2549"/>
      <c r="BO102" s="2549"/>
      <c r="BP102" s="2549"/>
      <c r="BQ102" s="2549"/>
      <c r="BR102" s="2549"/>
      <c r="BS102" s="2549"/>
      <c r="BT102" s="2549"/>
      <c r="BU102" s="2549"/>
      <c r="BV102" s="2549"/>
      <c r="BW102" s="2549"/>
      <c r="BX102" s="2549"/>
      <c r="BY102" s="2549"/>
      <c r="BZ102" s="2549"/>
      <c r="CA102" s="2549"/>
      <c r="CE102" s="2549"/>
      <c r="CF102" s="2549"/>
      <c r="CG102" s="2549"/>
      <c r="CH102" s="2549"/>
    </row>
    <row r="103" spans="1:87">
      <c r="A103" s="6626"/>
      <c r="B103" s="5706"/>
      <c r="C103" s="5706"/>
      <c r="D103" s="1666" t="s">
        <v>72</v>
      </c>
      <c r="E103" s="1962" t="s">
        <v>73</v>
      </c>
      <c r="F103" s="4062" t="s">
        <v>72</v>
      </c>
      <c r="G103" s="1961" t="s">
        <v>73</v>
      </c>
      <c r="H103" s="1666" t="s">
        <v>72</v>
      </c>
      <c r="I103" s="1962" t="s">
        <v>73</v>
      </c>
      <c r="J103" s="4062" t="s">
        <v>72</v>
      </c>
      <c r="K103" s="1961" t="s">
        <v>73</v>
      </c>
      <c r="L103" s="1666" t="s">
        <v>72</v>
      </c>
      <c r="M103" s="1962" t="s">
        <v>73</v>
      </c>
      <c r="N103" s="4062" t="s">
        <v>72</v>
      </c>
      <c r="O103" s="1961" t="s">
        <v>73</v>
      </c>
      <c r="P103" s="1666" t="s">
        <v>72</v>
      </c>
      <c r="Q103" s="1962" t="s">
        <v>73</v>
      </c>
      <c r="R103" s="4062" t="s">
        <v>72</v>
      </c>
      <c r="S103" s="1392" t="s">
        <v>73</v>
      </c>
      <c r="T103" s="7329"/>
      <c r="U103" s="7337"/>
      <c r="V103" s="7337"/>
      <c r="W103" s="7337"/>
      <c r="X103" s="7339"/>
      <c r="Y103" s="6119"/>
      <c r="Z103" s="3986"/>
      <c r="AA103" s="3986"/>
      <c r="AB103" s="3986"/>
      <c r="AV103" s="2549"/>
      <c r="AW103" s="2549"/>
      <c r="AX103" s="2549"/>
      <c r="AY103" s="2549"/>
      <c r="BA103" s="2549"/>
      <c r="BB103" s="2549"/>
      <c r="BC103" s="2549"/>
      <c r="BD103" s="2549"/>
      <c r="BE103" s="2549"/>
      <c r="BF103" s="2549"/>
      <c r="BG103" s="2549"/>
      <c r="BH103" s="2549"/>
      <c r="BI103" s="2549"/>
      <c r="BJ103" s="2549"/>
      <c r="BK103" s="2549"/>
      <c r="BL103" s="2549"/>
      <c r="BM103" s="2549"/>
      <c r="BN103" s="2549"/>
      <c r="BO103" s="2549"/>
      <c r="BP103" s="2549"/>
      <c r="BQ103" s="2549"/>
      <c r="BR103" s="2549"/>
      <c r="BS103" s="2549"/>
      <c r="BT103" s="2549"/>
      <c r="BU103" s="2549"/>
      <c r="BV103" s="2549"/>
      <c r="BW103" s="2549"/>
      <c r="BX103" s="2549"/>
      <c r="BY103" s="2549"/>
      <c r="BZ103" s="2549"/>
      <c r="CA103" s="2549"/>
      <c r="CE103" s="2549"/>
      <c r="CF103" s="2549"/>
      <c r="CG103" s="2549"/>
      <c r="CH103" s="2549"/>
      <c r="CI103" s="2549"/>
    </row>
    <row r="104" spans="1:87">
      <c r="A104" s="4083" t="s">
        <v>4407</v>
      </c>
      <c r="B104" s="2246"/>
      <c r="C104" s="452"/>
      <c r="D104" s="448"/>
      <c r="E104" s="449"/>
      <c r="F104" s="448"/>
      <c r="G104" s="449"/>
      <c r="H104" s="448"/>
      <c r="I104" s="449"/>
      <c r="J104" s="448"/>
      <c r="K104" s="449"/>
      <c r="L104" s="448"/>
      <c r="M104" s="449"/>
      <c r="N104" s="448"/>
      <c r="O104" s="449"/>
      <c r="P104" s="448"/>
      <c r="Q104" s="449"/>
      <c r="R104" s="448"/>
      <c r="S104" s="450"/>
      <c r="T104" s="3428"/>
      <c r="U104" s="3398"/>
      <c r="V104" s="3398"/>
      <c r="W104" s="3398"/>
      <c r="X104" s="3429"/>
      <c r="Y104" s="2229"/>
      <c r="Z104" s="5501" t="str">
        <f t="shared" ref="Z104:Z105" si="37">$CA104</f>
        <v/>
      </c>
      <c r="AA104" s="385"/>
      <c r="AB104" s="385"/>
      <c r="AC104"/>
      <c r="AD104"/>
      <c r="AE104"/>
      <c r="AF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 s="385"/>
      <c r="AV104" s="385"/>
      <c r="AW104" s="385"/>
      <c r="AX104" s="385"/>
      <c r="AY104" s="385"/>
      <c r="AZ104" s="385"/>
      <c r="BA104" s="385"/>
      <c r="BB104" s="385"/>
      <c r="BC104" s="385"/>
      <c r="BD104" s="385"/>
      <c r="BE104" s="385"/>
      <c r="BF104" s="385"/>
      <c r="BG104" s="385"/>
      <c r="BH104" s="385"/>
      <c r="BI104" s="385"/>
      <c r="BJ104" s="385"/>
      <c r="BK104" s="385"/>
      <c r="CA104" s="3666" t="str">
        <f t="shared" ref="CA104:CA105" si="38">IF(AND($C104&lt;&gt;0,Y104=""),"* No olvide ingresar la columna Pueblos Originarios, digite CERO si no tiene.  ",IF(Y104&gt;$C104,"* El número de Pueblos Originarios no puede superar el N° de Participantes  ",""))</f>
        <v/>
      </c>
      <c r="CB104" s="3986"/>
      <c r="CC104" s="3986"/>
      <c r="CE104" s="2549"/>
      <c r="CF104" s="2549"/>
      <c r="CG104" s="2549"/>
      <c r="CH104" s="2549"/>
      <c r="CI104" s="513">
        <f t="shared" ref="CI104:CI105" si="39">IF(AND($C104&lt;&gt;0,Y104=""),1,IF(Y104&gt;$C104,1,0))</f>
        <v>0</v>
      </c>
    </row>
    <row r="105" spans="1:87" ht="15" customHeight="1">
      <c r="A105" s="2098" t="s">
        <v>4408</v>
      </c>
      <c r="B105" s="3578"/>
      <c r="C105" s="438"/>
      <c r="D105" s="432"/>
      <c r="E105" s="433"/>
      <c r="F105" s="432"/>
      <c r="G105" s="433"/>
      <c r="H105" s="432"/>
      <c r="I105" s="433"/>
      <c r="J105" s="432"/>
      <c r="K105" s="433"/>
      <c r="L105" s="432"/>
      <c r="M105" s="433"/>
      <c r="N105" s="432"/>
      <c r="O105" s="433"/>
      <c r="P105" s="432"/>
      <c r="Q105" s="433"/>
      <c r="R105" s="432"/>
      <c r="S105" s="445"/>
      <c r="T105" s="3386"/>
      <c r="U105" s="3384"/>
      <c r="V105" s="3384"/>
      <c r="W105" s="3384"/>
      <c r="X105" s="3425"/>
      <c r="Y105" s="2235"/>
      <c r="Z105" s="5501" t="str">
        <f t="shared" si="37"/>
        <v/>
      </c>
      <c r="AA105" s="385"/>
      <c r="AB105" s="385"/>
      <c r="AC105"/>
      <c r="AD105"/>
      <c r="AE105"/>
      <c r="AF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 s="385"/>
      <c r="AV105" s="385"/>
      <c r="AW105" s="385"/>
      <c r="AX105" s="385"/>
      <c r="AY105" s="385"/>
      <c r="AZ105" s="385"/>
      <c r="BA105" s="385"/>
      <c r="BB105" s="385"/>
      <c r="BC105" s="385"/>
      <c r="BD105" s="385"/>
      <c r="BE105" s="385"/>
      <c r="BF105" s="385"/>
      <c r="BG105" s="385"/>
      <c r="BH105" s="385"/>
      <c r="BI105" s="385"/>
      <c r="BJ105" s="385"/>
      <c r="BK105" s="385"/>
      <c r="CA105" s="3666" t="str">
        <f t="shared" si="38"/>
        <v/>
      </c>
      <c r="CB105" s="3986"/>
      <c r="CC105" s="3986"/>
      <c r="CE105" s="2549"/>
      <c r="CF105" s="2549"/>
      <c r="CG105" s="2549"/>
      <c r="CH105" s="2549"/>
      <c r="CI105" s="513">
        <f t="shared" si="39"/>
        <v>0</v>
      </c>
    </row>
    <row r="106" spans="1:87" ht="17.100000000000001" customHeight="1">
      <c r="A106" s="7324" t="s">
        <v>4409</v>
      </c>
      <c r="B106" s="7324"/>
      <c r="C106" s="7324"/>
      <c r="D106" s="7324"/>
      <c r="E106" s="5553"/>
      <c r="F106" s="5553"/>
      <c r="G106" s="5553"/>
      <c r="H106" s="5553"/>
      <c r="I106" s="5553"/>
      <c r="J106" s="5553"/>
      <c r="K106" s="5553"/>
      <c r="L106" s="5553"/>
      <c r="M106" s="5553"/>
      <c r="N106" s="5553"/>
      <c r="O106" s="5553"/>
      <c r="P106" s="5553"/>
      <c r="Q106" s="5553"/>
      <c r="R106" s="5553"/>
      <c r="S106" s="5553"/>
      <c r="T106" s="5553"/>
      <c r="U106" s="5553"/>
      <c r="V106" s="5553"/>
      <c r="W106" s="5553"/>
      <c r="X106" s="5553"/>
      <c r="Y106" s="5553"/>
      <c r="Z106" s="5553"/>
      <c r="AA106" s="5553"/>
      <c r="AB106" s="5553"/>
      <c r="AC106" s="5553"/>
      <c r="AD106" s="5553"/>
      <c r="AE106" s="5553"/>
      <c r="AF106" s="5553"/>
      <c r="AG106" s="5553"/>
      <c r="AH106" s="5553"/>
      <c r="AI106" s="5553"/>
      <c r="AJ106" s="5553"/>
      <c r="AK106" s="5553"/>
      <c r="AL106" s="5553"/>
      <c r="AM106" s="5553"/>
      <c r="AV106" s="2549"/>
      <c r="AW106" s="2549"/>
      <c r="AX106" s="2549"/>
      <c r="AY106" s="2549"/>
      <c r="BA106" s="2549"/>
      <c r="BB106" s="2549"/>
      <c r="BC106" s="2549"/>
      <c r="BD106" s="2549"/>
      <c r="BE106" s="2549"/>
      <c r="BF106" s="2549"/>
      <c r="BG106" s="2549"/>
      <c r="BH106" s="2549"/>
      <c r="BI106" s="2549"/>
      <c r="BJ106" s="2549"/>
      <c r="BK106" s="2549"/>
      <c r="BL106" s="2549"/>
      <c r="BM106" s="2549"/>
      <c r="BN106" s="2549"/>
      <c r="BO106" s="2549"/>
      <c r="BP106" s="2549"/>
      <c r="BQ106" s="2549"/>
      <c r="BR106" s="2549"/>
      <c r="BS106" s="2549"/>
      <c r="BT106" s="2549"/>
      <c r="BU106" s="2549"/>
      <c r="BV106" s="2549"/>
      <c r="BW106" s="2549"/>
      <c r="BX106" s="2549"/>
      <c r="BY106" s="2549"/>
      <c r="BZ106" s="2549"/>
      <c r="CA106" s="2549"/>
      <c r="CE106" s="5543"/>
      <c r="CF106" s="5543"/>
      <c r="CG106" s="5543"/>
      <c r="CH106" s="5543"/>
      <c r="CI106" s="5543"/>
    </row>
    <row r="107" spans="1:87" ht="31.5">
      <c r="A107" s="3495" t="s">
        <v>1124</v>
      </c>
      <c r="B107" s="5067" t="s">
        <v>1125</v>
      </c>
      <c r="C107" s="2551" t="s">
        <v>4410</v>
      </c>
      <c r="D107" s="1589" t="s">
        <v>4411</v>
      </c>
      <c r="E107" s="5543"/>
      <c r="F107" s="5543"/>
      <c r="G107" s="5543"/>
      <c r="H107" s="5543"/>
      <c r="I107" s="5543"/>
      <c r="J107" s="5543"/>
      <c r="K107" s="5543"/>
      <c r="L107" s="5543"/>
      <c r="M107" s="5543"/>
      <c r="N107" s="5543"/>
      <c r="O107" s="5543"/>
      <c r="P107" s="5543"/>
      <c r="Q107" s="5543"/>
      <c r="R107" s="5543"/>
      <c r="S107" s="5543"/>
      <c r="T107" s="5543"/>
      <c r="U107" s="5543"/>
      <c r="V107" s="5543"/>
      <c r="W107" s="5543"/>
      <c r="X107" s="5543"/>
      <c r="Y107" s="5543"/>
      <c r="Z107" s="5543"/>
      <c r="AA107" s="5543"/>
      <c r="AB107" s="5543"/>
      <c r="AC107" s="5543"/>
      <c r="AD107" s="5543"/>
      <c r="AE107" s="5543"/>
      <c r="AF107" s="5543"/>
      <c r="AG107" s="5543"/>
      <c r="AH107" s="5543"/>
      <c r="AI107" s="5543"/>
      <c r="AJ107" s="5543"/>
      <c r="AK107" s="5543"/>
      <c r="AL107" s="5543"/>
      <c r="AM107" s="5543"/>
      <c r="AO107" s="3986"/>
      <c r="AP107" s="3986"/>
      <c r="AQ107" s="3986"/>
      <c r="AR107" s="3986"/>
      <c r="AS107" s="3986"/>
      <c r="AT107" s="3986"/>
      <c r="AU107" s="5543"/>
      <c r="AV107" s="5543"/>
      <c r="AW107" s="5543"/>
      <c r="AX107" s="5543"/>
      <c r="AY107" s="5543"/>
      <c r="AZ107" s="5543"/>
      <c r="BA107" s="5543"/>
      <c r="BB107" s="3986"/>
      <c r="BC107" s="5543"/>
      <c r="BD107" s="5543"/>
      <c r="BE107" s="5543"/>
      <c r="BF107" s="5543"/>
      <c r="BG107" s="5543"/>
      <c r="BH107" s="5543"/>
      <c r="BI107" s="5543"/>
      <c r="BJ107" s="5543"/>
      <c r="BK107" s="5543"/>
      <c r="BL107" s="5543"/>
      <c r="BM107" s="5543"/>
      <c r="BN107" s="5543"/>
      <c r="BO107" s="5543"/>
      <c r="BP107" s="5543"/>
      <c r="BQ107" s="5543"/>
      <c r="BR107" s="5543"/>
      <c r="BS107" s="5543"/>
      <c r="BT107" s="5543"/>
      <c r="BU107" s="5543"/>
      <c r="BV107" s="5543"/>
      <c r="BW107" s="5543"/>
      <c r="BX107" s="5543"/>
      <c r="BY107" s="5543"/>
      <c r="BZ107" s="5543"/>
      <c r="CA107" s="5543"/>
      <c r="CB107" s="5543"/>
      <c r="CC107" s="5543"/>
      <c r="CD107" s="5543"/>
      <c r="CE107" s="5543"/>
      <c r="CF107" s="5543"/>
      <c r="CG107" s="5543"/>
      <c r="CH107" s="5543"/>
      <c r="CI107" s="5543"/>
    </row>
    <row r="108" spans="1:87" ht="15" customHeight="1">
      <c r="A108" s="3502" t="s">
        <v>1128</v>
      </c>
      <c r="B108" s="5554"/>
      <c r="C108" s="1608"/>
      <c r="D108" s="2545"/>
      <c r="H108" s="5543"/>
      <c r="I108" s="5543"/>
      <c r="J108" s="5543"/>
      <c r="K108" s="5543"/>
      <c r="L108" s="5543"/>
      <c r="M108" s="5543"/>
      <c r="N108" s="5543"/>
      <c r="O108" s="5543"/>
      <c r="P108" s="5543"/>
      <c r="Q108" s="5543"/>
      <c r="R108" s="5543"/>
      <c r="S108" s="5543"/>
      <c r="T108" s="5543"/>
      <c r="U108" s="5543"/>
      <c r="V108" s="5543"/>
      <c r="W108" s="5543"/>
      <c r="X108" s="5543"/>
      <c r="Y108" s="5543"/>
      <c r="Z108" s="5543"/>
      <c r="AA108" s="5543"/>
      <c r="AB108" s="5543"/>
      <c r="AC108" s="5543"/>
      <c r="AD108" s="5543"/>
      <c r="AE108" s="5543"/>
      <c r="AF108" s="5543"/>
      <c r="AG108" s="5543"/>
      <c r="AH108" s="5543"/>
      <c r="AI108" s="5543"/>
      <c r="AJ108" s="5543"/>
      <c r="AK108" s="5543"/>
      <c r="AL108" s="5543"/>
      <c r="AM108" s="5543"/>
      <c r="AO108" s="3986"/>
      <c r="AP108" s="3986"/>
      <c r="AQ108" s="3986"/>
      <c r="AR108" s="3986"/>
      <c r="AS108" s="3986"/>
      <c r="AT108" s="3986"/>
      <c r="AU108" s="5543"/>
      <c r="AV108" s="5543"/>
      <c r="AW108" s="5543"/>
      <c r="AX108" s="5543"/>
      <c r="AY108" s="5543"/>
      <c r="AZ108" s="5543"/>
      <c r="BA108" s="5543"/>
      <c r="BB108" s="3986"/>
      <c r="BC108" s="5543"/>
      <c r="BD108" s="5543"/>
      <c r="BE108" s="5543"/>
      <c r="BF108" s="5543"/>
      <c r="BG108" s="5543"/>
      <c r="BH108" s="5543"/>
      <c r="BI108" s="5543"/>
      <c r="BJ108" s="5543"/>
      <c r="BK108" s="5543"/>
      <c r="BL108" s="5543"/>
      <c r="BM108" s="5543"/>
      <c r="BN108" s="5543"/>
      <c r="BO108" s="5543"/>
      <c r="BP108" s="5543"/>
      <c r="BQ108" s="5543"/>
      <c r="BR108" s="5543"/>
      <c r="BS108" s="5543"/>
      <c r="BT108" s="5543"/>
      <c r="BU108" s="5543"/>
      <c r="BV108" s="5543"/>
      <c r="BW108" s="5543"/>
      <c r="BX108" s="5543"/>
      <c r="BY108" s="5543"/>
      <c r="BZ108" s="5543"/>
      <c r="CA108" s="5543"/>
      <c r="CB108" s="5543"/>
      <c r="CC108" s="5543"/>
      <c r="CD108" s="5543"/>
      <c r="CE108" s="5543"/>
      <c r="CF108" s="5543"/>
      <c r="CG108" s="5543"/>
      <c r="CH108" s="5543"/>
      <c r="CI108" s="5543"/>
    </row>
    <row r="109" spans="1:87" ht="23.1" customHeight="1">
      <c r="A109" s="3836" t="s">
        <v>1129</v>
      </c>
      <c r="B109" s="5555"/>
      <c r="C109" s="1620"/>
      <c r="D109" s="1623"/>
      <c r="H109" s="5543"/>
      <c r="I109" s="5543"/>
      <c r="J109" s="5543"/>
      <c r="K109" s="5543"/>
      <c r="L109" s="5543"/>
      <c r="M109" s="5543"/>
      <c r="N109" s="5543"/>
      <c r="O109" s="5543"/>
      <c r="P109" s="5543"/>
      <c r="Q109" s="5543"/>
      <c r="R109" s="5543"/>
      <c r="S109" s="5543"/>
      <c r="T109" s="5543"/>
      <c r="U109" s="5543"/>
      <c r="V109" s="5543"/>
      <c r="W109" s="5543"/>
      <c r="X109" s="5543"/>
      <c r="Y109" s="5543"/>
      <c r="Z109" s="5543"/>
      <c r="AA109" s="5543"/>
      <c r="AB109" s="5543"/>
      <c r="AC109" s="5543"/>
      <c r="AD109" s="5543"/>
      <c r="AE109" s="5543"/>
      <c r="AF109" s="5543"/>
      <c r="AG109" s="5543"/>
      <c r="AH109" s="5543"/>
      <c r="AI109" s="5543"/>
      <c r="AJ109" s="5543"/>
      <c r="AK109" s="5543"/>
      <c r="AL109" s="5543"/>
      <c r="AM109" s="5543"/>
      <c r="AO109" s="3986"/>
      <c r="AP109" s="3986"/>
      <c r="AQ109" s="3986"/>
      <c r="AR109" s="3986"/>
      <c r="AS109" s="3986"/>
      <c r="AT109" s="3986"/>
      <c r="AU109" s="5543"/>
      <c r="AV109" s="5543"/>
      <c r="AW109" s="5543"/>
      <c r="AX109" s="5543"/>
      <c r="AY109" s="5543"/>
      <c r="AZ109" s="5543"/>
      <c r="BA109" s="5543"/>
      <c r="BB109" s="3986"/>
      <c r="BC109" s="5543"/>
      <c r="BD109" s="5543"/>
      <c r="BE109" s="5543"/>
      <c r="BF109" s="5543"/>
      <c r="BG109" s="5543"/>
      <c r="BH109" s="5543"/>
      <c r="BI109" s="5543"/>
      <c r="BJ109" s="5543"/>
      <c r="BK109" s="5543"/>
      <c r="BL109" s="5543"/>
      <c r="BM109" s="5543"/>
      <c r="BN109" s="5543"/>
      <c r="BO109" s="5543"/>
      <c r="BP109" s="5543"/>
      <c r="BQ109" s="5543"/>
      <c r="BR109" s="5543"/>
      <c r="BS109" s="5543"/>
      <c r="BT109" s="5543"/>
      <c r="BU109" s="5543"/>
      <c r="BV109" s="5543"/>
      <c r="BW109" s="5543"/>
      <c r="BX109" s="5543"/>
      <c r="BY109" s="5543"/>
      <c r="BZ109" s="5543"/>
      <c r="CA109" s="5543"/>
      <c r="CB109" s="5543"/>
      <c r="CC109" s="5543"/>
      <c r="CD109" s="5543"/>
      <c r="CE109" s="5543"/>
      <c r="CF109" s="5543"/>
      <c r="CG109" s="5543"/>
      <c r="CH109" s="5543"/>
      <c r="CI109" s="5543"/>
    </row>
    <row r="110" spans="1:87" ht="23.1" customHeight="1">
      <c r="A110" s="3836" t="s">
        <v>1130</v>
      </c>
      <c r="B110" s="5555"/>
      <c r="C110" s="1620"/>
      <c r="D110" s="1610"/>
      <c r="H110" s="5543"/>
      <c r="I110" s="5543"/>
      <c r="J110" s="5543"/>
      <c r="K110" s="5543"/>
      <c r="L110" s="5543"/>
      <c r="M110" s="5543"/>
      <c r="N110" s="5543"/>
      <c r="O110" s="5543"/>
      <c r="P110" s="5543"/>
      <c r="Q110" s="5543"/>
      <c r="R110" s="5543"/>
      <c r="S110" s="5543"/>
      <c r="T110" s="5543"/>
      <c r="U110" s="5543"/>
      <c r="V110" s="5543"/>
      <c r="W110" s="5543"/>
      <c r="X110" s="5543"/>
      <c r="Y110" s="5543"/>
      <c r="Z110" s="5543"/>
      <c r="AA110" s="5543"/>
      <c r="AB110" s="5543"/>
      <c r="AC110" s="5543"/>
      <c r="AD110" s="5543"/>
      <c r="AE110" s="5543"/>
      <c r="AF110" s="5543"/>
      <c r="AG110" s="5543"/>
      <c r="AH110" s="5543"/>
      <c r="AI110" s="5543"/>
      <c r="AJ110" s="5543"/>
      <c r="AK110" s="5543"/>
      <c r="AL110" s="5543"/>
      <c r="AM110" s="5543"/>
      <c r="AO110" s="3986"/>
      <c r="AP110" s="3986"/>
      <c r="AQ110" s="3986"/>
      <c r="AR110" s="3986"/>
      <c r="AS110" s="3986"/>
      <c r="AT110" s="3986"/>
      <c r="AU110" s="5543"/>
      <c r="AV110" s="5543"/>
      <c r="AW110" s="5543"/>
      <c r="AX110" s="5543"/>
      <c r="AY110" s="5543"/>
      <c r="AZ110" s="5543"/>
      <c r="BA110" s="5543"/>
      <c r="BB110" s="3986"/>
      <c r="BC110" s="5543"/>
      <c r="BD110" s="5543"/>
      <c r="BE110" s="5543"/>
      <c r="BF110" s="5543"/>
      <c r="BG110" s="5543"/>
      <c r="BH110" s="5543"/>
      <c r="BI110" s="5543"/>
      <c r="BJ110" s="5543"/>
      <c r="BK110" s="5543"/>
      <c r="BL110" s="5543"/>
      <c r="BM110" s="5543"/>
      <c r="BN110" s="5543"/>
      <c r="BO110" s="5543"/>
      <c r="BP110" s="5543"/>
      <c r="BQ110" s="5543"/>
      <c r="BR110" s="5543"/>
      <c r="BS110" s="5543"/>
      <c r="BT110" s="5543"/>
      <c r="BU110" s="5543"/>
      <c r="BV110" s="5543"/>
      <c r="BW110" s="5543"/>
      <c r="BX110" s="5543"/>
      <c r="BY110" s="5543"/>
      <c r="BZ110" s="5543"/>
      <c r="CA110" s="5543"/>
      <c r="CB110" s="5543"/>
      <c r="CC110" s="5543"/>
      <c r="CD110" s="5543"/>
      <c r="CE110" s="2549"/>
      <c r="CF110" s="2549"/>
      <c r="CG110" s="2549"/>
      <c r="CH110" s="2549"/>
      <c r="CI110" s="2549"/>
    </row>
    <row r="111" spans="1:87" ht="23.1" customHeight="1">
      <c r="A111" s="5556" t="s">
        <v>4412</v>
      </c>
      <c r="B111" s="5555"/>
      <c r="C111" s="1620"/>
      <c r="D111" s="1610"/>
      <c r="H111" s="5543"/>
      <c r="I111" s="5543"/>
      <c r="J111" s="5543"/>
      <c r="K111" s="5543"/>
      <c r="L111" s="5543"/>
      <c r="M111" s="5543"/>
      <c r="N111" s="5543"/>
      <c r="O111" s="5543"/>
      <c r="P111" s="5543"/>
      <c r="Q111" s="5543"/>
      <c r="R111" s="5543"/>
      <c r="S111" s="5543"/>
      <c r="T111" s="5543"/>
      <c r="U111" s="5543"/>
      <c r="V111" s="5543"/>
      <c r="W111" s="5543"/>
      <c r="X111" s="5543"/>
      <c r="Y111" s="5543"/>
      <c r="Z111" s="5543"/>
      <c r="AA111" s="5543"/>
      <c r="AB111" s="5543"/>
      <c r="AC111" s="5543"/>
      <c r="AD111" s="5543"/>
      <c r="AE111" s="5543"/>
      <c r="AF111" s="5543"/>
      <c r="AG111" s="5543"/>
      <c r="AH111" s="5543"/>
      <c r="AI111" s="5543"/>
      <c r="AJ111" s="5543"/>
      <c r="AK111" s="5543"/>
      <c r="AL111" s="5543"/>
      <c r="AM111" s="5543"/>
      <c r="AV111" s="2549"/>
      <c r="AW111" s="2549"/>
      <c r="AX111" s="2549"/>
      <c r="AY111" s="2549"/>
      <c r="BA111" s="2549"/>
      <c r="BB111" s="2549"/>
      <c r="BC111" s="2549"/>
      <c r="BD111" s="2549"/>
      <c r="BE111" s="2549"/>
      <c r="BF111" s="2549"/>
      <c r="BG111" s="2549"/>
      <c r="BH111" s="2549"/>
      <c r="BI111" s="2549"/>
      <c r="BJ111" s="2549"/>
      <c r="BK111" s="2549"/>
      <c r="BL111" s="2549"/>
      <c r="BM111" s="2549"/>
      <c r="BN111" s="2549"/>
      <c r="BO111" s="2549"/>
      <c r="BP111" s="2549"/>
      <c r="BQ111" s="2549"/>
      <c r="BR111" s="2549"/>
      <c r="BS111" s="2549"/>
      <c r="BT111" s="2549"/>
      <c r="BU111" s="2549"/>
      <c r="BV111" s="2549"/>
      <c r="BW111" s="2549"/>
      <c r="BX111" s="2549"/>
      <c r="BY111" s="2549"/>
      <c r="BZ111" s="2549"/>
      <c r="CA111" s="2549"/>
      <c r="CE111" s="5543"/>
      <c r="CF111" s="5543"/>
      <c r="CG111" s="5543"/>
      <c r="CH111" s="5543"/>
      <c r="CI111" s="5543"/>
    </row>
    <row r="112" spans="1:87" ht="23.1" customHeight="1">
      <c r="A112" s="5557" t="s">
        <v>4413</v>
      </c>
      <c r="B112" s="5558"/>
      <c r="C112" s="1629"/>
      <c r="D112" s="1631"/>
      <c r="H112" s="5543"/>
      <c r="I112" s="5543"/>
      <c r="J112" s="5543"/>
      <c r="K112" s="5543"/>
      <c r="L112" s="5543"/>
      <c r="M112" s="5543"/>
      <c r="N112" s="5543"/>
      <c r="O112" s="5543"/>
      <c r="P112" s="5543"/>
      <c r="Q112" s="5543"/>
      <c r="R112" s="5543"/>
      <c r="S112" s="5543"/>
      <c r="T112" s="5543"/>
      <c r="U112" s="5543"/>
      <c r="V112" s="5543"/>
      <c r="W112" s="5543"/>
      <c r="X112" s="5543"/>
      <c r="Y112" s="5543"/>
      <c r="Z112" s="5543"/>
      <c r="AA112" s="5543"/>
      <c r="AB112" s="5543"/>
      <c r="AC112" s="5543"/>
      <c r="AD112" s="5543"/>
      <c r="AE112" s="5543"/>
      <c r="AF112" s="5543"/>
      <c r="AG112" s="5543"/>
      <c r="AH112" s="5543"/>
      <c r="AI112" s="5543"/>
      <c r="AJ112" s="5543"/>
      <c r="AK112" s="5543"/>
      <c r="AL112" s="5543"/>
      <c r="AM112" s="5543"/>
      <c r="AO112" s="5543"/>
      <c r="AP112" s="5543"/>
      <c r="AQ112" s="5543"/>
      <c r="AR112" s="5543"/>
      <c r="AS112" s="5543"/>
      <c r="AT112" s="5543"/>
      <c r="AU112" s="5543"/>
      <c r="AV112" s="5543"/>
      <c r="AW112" s="5543"/>
      <c r="AX112" s="5543"/>
      <c r="AY112" s="5543"/>
      <c r="AZ112" s="5543"/>
      <c r="BA112" s="5543"/>
      <c r="BB112" s="5543"/>
      <c r="BC112" s="5543"/>
      <c r="BD112" s="5543"/>
      <c r="BE112" s="5543"/>
      <c r="BF112" s="5543"/>
      <c r="BG112" s="5543"/>
      <c r="BH112" s="5543"/>
      <c r="BI112" s="5543"/>
      <c r="BJ112" s="5543"/>
      <c r="BK112" s="5543"/>
      <c r="BL112" s="5543"/>
      <c r="BM112" s="5543"/>
      <c r="BN112" s="5543"/>
      <c r="BO112" s="5543"/>
      <c r="BP112" s="5543"/>
      <c r="BQ112" s="5543"/>
      <c r="BR112" s="5543"/>
      <c r="BS112" s="5543"/>
      <c r="BT112" s="5543"/>
      <c r="BU112" s="5543"/>
      <c r="BV112" s="5543"/>
      <c r="BW112" s="5543"/>
      <c r="BX112" s="5543"/>
      <c r="BY112" s="5543"/>
      <c r="BZ112" s="5543"/>
      <c r="CA112" s="5543"/>
      <c r="CB112" s="5543"/>
      <c r="CC112" s="5543"/>
      <c r="CD112" s="5543"/>
      <c r="CE112" s="5493"/>
      <c r="CF112" s="5493"/>
      <c r="CG112" s="5493"/>
      <c r="CH112" s="5493"/>
      <c r="CI112" s="2549"/>
    </row>
    <row r="113" spans="1:41" ht="17.100000000000001" customHeight="1">
      <c r="A113" s="1389" t="s">
        <v>4414</v>
      </c>
      <c r="B113" s="5493"/>
      <c r="C113" s="5493"/>
      <c r="D113" s="5493"/>
      <c r="E113" s="5493"/>
      <c r="F113" s="5493"/>
      <c r="G113" s="5493"/>
      <c r="H113" s="5493"/>
      <c r="I113" s="5493"/>
      <c r="J113" s="5493"/>
      <c r="K113" s="5493"/>
      <c r="L113" s="5493"/>
      <c r="M113" s="5493"/>
      <c r="N113" s="5493"/>
      <c r="O113" s="5493"/>
      <c r="P113" s="5493"/>
      <c r="Q113" s="5493"/>
      <c r="R113" s="5493"/>
      <c r="S113" s="5493"/>
      <c r="T113" s="5493"/>
      <c r="U113" s="5493"/>
      <c r="V113" s="5493"/>
      <c r="W113" s="5493"/>
      <c r="X113" s="5493"/>
      <c r="Y113" s="5493"/>
      <c r="Z113" s="5493"/>
      <c r="AA113" s="5493"/>
      <c r="AB113" s="5493"/>
      <c r="AC113" s="5493"/>
      <c r="AD113" s="5493"/>
      <c r="AE113" s="5493"/>
      <c r="AF113" s="5493"/>
      <c r="AG113" s="5493"/>
      <c r="AH113" s="5493"/>
      <c r="AI113" s="5493"/>
      <c r="AJ113" s="5493"/>
      <c r="AK113" s="5493"/>
      <c r="AL113" s="5493"/>
      <c r="AM113" s="5493"/>
      <c r="AO113" s="5493"/>
    </row>
    <row r="114" spans="1:41" ht="15" customHeight="1">
      <c r="A114" s="6722" t="s">
        <v>43</v>
      </c>
      <c r="B114" s="7325" t="s">
        <v>4415</v>
      </c>
      <c r="C114" s="6441" t="s">
        <v>4416</v>
      </c>
      <c r="D114" s="6441"/>
      <c r="E114" s="6441"/>
      <c r="F114" s="6441"/>
      <c r="G114" s="7178"/>
      <c r="H114" s="2549"/>
      <c r="I114" s="3986"/>
      <c r="J114" s="3986"/>
      <c r="K114" s="3986"/>
      <c r="L114" s="3986"/>
      <c r="M114" s="3986"/>
      <c r="N114" s="3986"/>
      <c r="O114" s="3986"/>
      <c r="P114" s="3986"/>
      <c r="Q114" s="3986"/>
      <c r="R114" s="3986"/>
      <c r="S114" s="3986"/>
      <c r="T114" s="3986"/>
      <c r="U114" s="3986"/>
      <c r="V114" s="3986"/>
      <c r="W114" s="3986"/>
      <c r="X114" s="3986"/>
      <c r="Y114" s="3986"/>
      <c r="Z114" s="3986"/>
      <c r="AA114" s="3986"/>
      <c r="AB114" s="3986"/>
      <c r="AC114" s="3986"/>
      <c r="AD114" s="3986"/>
      <c r="AE114" s="3986"/>
      <c r="AF114" s="3986"/>
      <c r="AG114" s="3986"/>
      <c r="AH114" s="3986"/>
      <c r="AI114" s="3986"/>
      <c r="AJ114" s="3986"/>
      <c r="AK114" s="3986"/>
      <c r="AL114" s="3986"/>
      <c r="AN114" s="3986"/>
      <c r="AO114" s="3986"/>
    </row>
    <row r="115" spans="1:41">
      <c r="A115" s="6723"/>
      <c r="B115" s="7239"/>
      <c r="C115" s="7326" t="s">
        <v>4417</v>
      </c>
      <c r="D115" s="6816" t="s">
        <v>4418</v>
      </c>
      <c r="E115" s="6816" t="s">
        <v>4365</v>
      </c>
      <c r="F115" s="6816" t="s">
        <v>4368</v>
      </c>
      <c r="G115" s="6583" t="s">
        <v>4375</v>
      </c>
      <c r="H115" s="2549"/>
      <c r="I115" s="3986"/>
      <c r="J115" s="3986"/>
      <c r="K115" s="3986"/>
      <c r="L115" s="3986"/>
      <c r="M115" s="3986"/>
      <c r="N115" s="3986"/>
      <c r="O115" s="3986"/>
      <c r="P115" s="3986"/>
      <c r="Q115" s="3986"/>
      <c r="R115" s="3986"/>
      <c r="S115" s="3986"/>
      <c r="T115" s="3986"/>
      <c r="U115" s="3986"/>
      <c r="V115" s="3986"/>
      <c r="W115" s="3986"/>
      <c r="X115" s="3986"/>
      <c r="Y115" s="3986"/>
      <c r="Z115" s="3986"/>
      <c r="AA115" s="3986"/>
      <c r="AB115" s="3986"/>
      <c r="AC115" s="3986"/>
      <c r="AD115" s="3986"/>
      <c r="AE115" s="3986"/>
      <c r="AF115" s="3986"/>
      <c r="AG115" s="3986"/>
      <c r="AH115" s="3986"/>
      <c r="AI115" s="3986"/>
      <c r="AJ115" s="3986"/>
      <c r="AK115" s="3986"/>
      <c r="AL115" s="3986"/>
      <c r="AN115" s="3986"/>
      <c r="AO115" s="3986"/>
    </row>
    <row r="116" spans="1:41" ht="53.25" customHeight="1">
      <c r="A116" s="6724"/>
      <c r="B116" s="7240"/>
      <c r="C116" s="7327"/>
      <c r="D116" s="6818"/>
      <c r="E116" s="6818"/>
      <c r="F116" s="6818"/>
      <c r="G116" s="6585"/>
      <c r="H116" s="2549"/>
      <c r="I116" s="3986"/>
      <c r="J116" s="3986"/>
      <c r="K116" s="3986"/>
      <c r="L116" s="3986"/>
      <c r="M116" s="3986"/>
      <c r="N116" s="3986"/>
      <c r="O116" s="3986"/>
      <c r="P116" s="3986"/>
      <c r="Q116" s="3986"/>
      <c r="R116" s="3986"/>
      <c r="S116" s="3986"/>
      <c r="T116" s="3986"/>
      <c r="U116" s="3986"/>
      <c r="V116" s="3986"/>
      <c r="W116" s="3986"/>
      <c r="X116" s="3986"/>
      <c r="Y116" s="3986"/>
      <c r="Z116" s="3986"/>
      <c r="AA116" s="3986"/>
      <c r="AB116" s="3986"/>
      <c r="AC116" s="3986"/>
      <c r="AD116" s="3986"/>
      <c r="AE116" s="3986"/>
      <c r="AF116" s="3986"/>
      <c r="AG116" s="3986"/>
      <c r="AH116" s="3986"/>
      <c r="AI116" s="3986"/>
      <c r="AJ116" s="3986"/>
      <c r="AK116" s="3986"/>
      <c r="AL116" s="3986"/>
      <c r="AN116" s="3986"/>
      <c r="AO116" s="3986"/>
    </row>
    <row r="117" spans="1:41" ht="15" customHeight="1">
      <c r="A117" s="5413" t="s">
        <v>3936</v>
      </c>
      <c r="B117" s="5559"/>
      <c r="C117" s="5560"/>
      <c r="D117" s="5561"/>
      <c r="E117" s="5561"/>
      <c r="F117" s="5561"/>
      <c r="G117" s="2545"/>
      <c r="H117" s="2549"/>
      <c r="P117" s="3986"/>
      <c r="Q117" s="3986"/>
      <c r="R117" s="3986"/>
      <c r="S117" s="3986"/>
      <c r="T117" s="3986"/>
      <c r="U117" s="3986"/>
      <c r="V117" s="3986"/>
      <c r="W117" s="3986"/>
      <c r="X117" s="3986"/>
      <c r="Y117" s="3986"/>
      <c r="Z117" s="3986"/>
      <c r="AA117" s="3986"/>
      <c r="AB117" s="3986"/>
      <c r="AC117" s="3986"/>
      <c r="AD117" s="3986"/>
      <c r="AE117" s="3986"/>
      <c r="AF117" s="3986"/>
      <c r="AG117" s="3986"/>
      <c r="AH117" s="3986"/>
      <c r="AI117" s="3986"/>
      <c r="AJ117" s="3986"/>
      <c r="AK117" s="3986"/>
      <c r="AL117" s="3986"/>
      <c r="AN117" s="3986"/>
      <c r="AO117" s="3986"/>
    </row>
    <row r="118" spans="1:41" ht="15" customHeight="1">
      <c r="A118" s="5562" t="s">
        <v>4374</v>
      </c>
      <c r="B118" s="5563"/>
      <c r="C118" s="5564"/>
      <c r="D118" s="5565"/>
      <c r="E118" s="5566"/>
      <c r="F118" s="5565"/>
      <c r="G118" s="1610"/>
      <c r="H118" s="2549"/>
      <c r="P118" s="3986"/>
      <c r="Q118" s="3986"/>
      <c r="R118" s="3986"/>
      <c r="S118" s="3986"/>
      <c r="T118" s="3986"/>
      <c r="U118" s="3986"/>
      <c r="V118" s="3986"/>
      <c r="W118" s="3986"/>
      <c r="X118" s="3986"/>
      <c r="Y118" s="3986"/>
      <c r="Z118" s="3986"/>
      <c r="AA118" s="3986"/>
      <c r="AB118" s="3986"/>
      <c r="AC118" s="3986"/>
      <c r="AD118" s="3986"/>
      <c r="AE118" s="3986"/>
      <c r="AF118" s="3986"/>
      <c r="AG118" s="3986"/>
      <c r="AH118" s="3986"/>
      <c r="AI118" s="3986"/>
      <c r="AJ118" s="3986"/>
      <c r="AK118" s="3986"/>
      <c r="AL118" s="3986"/>
      <c r="AN118" s="3986"/>
      <c r="AO118" s="3986"/>
    </row>
    <row r="119" spans="1:41" ht="15" customHeight="1">
      <c r="A119" s="5567" t="s">
        <v>1521</v>
      </c>
      <c r="B119" s="5563"/>
      <c r="C119" s="5564"/>
      <c r="D119" s="5566"/>
      <c r="E119" s="5566"/>
      <c r="F119" s="5566"/>
      <c r="G119" s="1610"/>
      <c r="H119" s="2549"/>
      <c r="P119" s="3986"/>
      <c r="Q119" s="3986"/>
      <c r="R119" s="3986"/>
      <c r="S119" s="3986"/>
      <c r="T119" s="3986"/>
      <c r="U119" s="3986"/>
      <c r="V119" s="3986"/>
      <c r="W119" s="3986"/>
      <c r="X119" s="3986"/>
      <c r="Y119" s="3986"/>
      <c r="Z119" s="3986"/>
      <c r="AA119" s="3986"/>
      <c r="AB119" s="3986"/>
      <c r="AC119" s="3986"/>
      <c r="AD119" s="3986"/>
      <c r="AE119" s="3986"/>
      <c r="AF119" s="3986"/>
      <c r="AG119" s="3986"/>
      <c r="AH119" s="3986"/>
      <c r="AI119" s="3986"/>
      <c r="AJ119" s="3986"/>
      <c r="AK119" s="3986"/>
      <c r="AL119" s="3986"/>
      <c r="AN119" s="3986"/>
      <c r="AO119" s="3986"/>
    </row>
    <row r="120" spans="1:41" ht="15" customHeight="1">
      <c r="A120" s="5562" t="s">
        <v>1522</v>
      </c>
      <c r="B120" s="5563"/>
      <c r="C120" s="5564"/>
      <c r="D120" s="5566"/>
      <c r="E120" s="5566"/>
      <c r="F120" s="5566"/>
      <c r="G120" s="1610"/>
      <c r="H120" s="2549"/>
      <c r="P120" s="3986"/>
      <c r="Q120" s="3986"/>
      <c r="R120" s="3986"/>
      <c r="S120" s="3986"/>
      <c r="T120" s="3986"/>
      <c r="U120" s="3986"/>
      <c r="V120" s="3986"/>
      <c r="W120" s="3986"/>
      <c r="X120" s="3986"/>
      <c r="Y120" s="3986"/>
      <c r="Z120" s="3986"/>
      <c r="AA120" s="3986"/>
      <c r="AB120" s="3986"/>
      <c r="AC120" s="3986"/>
      <c r="AD120" s="3986"/>
      <c r="AE120" s="3986"/>
      <c r="AF120" s="3986"/>
      <c r="AG120" s="3986"/>
      <c r="AH120" s="3986"/>
      <c r="AI120" s="3986"/>
      <c r="AJ120" s="3986"/>
      <c r="AK120" s="3986"/>
      <c r="AL120" s="3986"/>
      <c r="AN120" s="3986"/>
      <c r="AO120" s="3986"/>
    </row>
    <row r="121" spans="1:41" ht="15" customHeight="1">
      <c r="A121" s="5562" t="s">
        <v>1523</v>
      </c>
      <c r="B121" s="5563"/>
      <c r="C121" s="5564"/>
      <c r="D121" s="5566"/>
      <c r="E121" s="5566"/>
      <c r="F121" s="5566"/>
      <c r="G121" s="1610"/>
      <c r="H121" s="2549"/>
      <c r="P121" s="3986"/>
      <c r="Q121" s="3986"/>
      <c r="R121" s="3986"/>
      <c r="S121" s="3986"/>
      <c r="T121" s="3986"/>
      <c r="U121" s="3986"/>
      <c r="V121" s="3986"/>
      <c r="W121" s="3986"/>
      <c r="X121" s="3986"/>
      <c r="Y121" s="3986"/>
      <c r="Z121" s="3986"/>
      <c r="AA121" s="3986"/>
      <c r="AB121" s="3986"/>
      <c r="AC121" s="3986"/>
      <c r="AD121" s="3986"/>
      <c r="AE121" s="3986"/>
      <c r="AF121" s="3986"/>
      <c r="AG121" s="3986"/>
      <c r="AH121" s="3986"/>
      <c r="AI121" s="3986"/>
      <c r="AJ121" s="3986"/>
      <c r="AK121" s="3986"/>
      <c r="AL121" s="3986"/>
      <c r="AN121" s="3986"/>
      <c r="AO121" s="3986"/>
    </row>
    <row r="122" spans="1:41" ht="15" customHeight="1">
      <c r="A122" s="5562" t="s">
        <v>1524</v>
      </c>
      <c r="B122" s="5563"/>
      <c r="C122" s="5568"/>
      <c r="D122" s="5565"/>
      <c r="E122" s="5565"/>
      <c r="F122" s="5565"/>
      <c r="G122" s="1623"/>
      <c r="H122" s="2549"/>
      <c r="P122" s="3986"/>
      <c r="Q122" s="3986"/>
      <c r="R122" s="3986"/>
      <c r="S122" s="3986"/>
      <c r="T122" s="3986"/>
      <c r="U122" s="3986"/>
      <c r="V122" s="3986"/>
      <c r="W122" s="3986"/>
      <c r="X122" s="3986"/>
      <c r="Y122" s="3986"/>
      <c r="Z122" s="3986"/>
      <c r="AA122" s="3986"/>
      <c r="AB122" s="3986"/>
      <c r="AC122" s="3986"/>
      <c r="AD122" s="3986"/>
      <c r="AE122" s="3986"/>
      <c r="AF122" s="3986"/>
      <c r="AG122" s="3986"/>
      <c r="AH122" s="3986"/>
      <c r="AI122" s="3986"/>
      <c r="AJ122" s="3986"/>
      <c r="AK122" s="3986"/>
      <c r="AL122" s="3986"/>
      <c r="AN122" s="3986"/>
      <c r="AO122" s="3986"/>
    </row>
    <row r="123" spans="1:41" ht="15" customHeight="1">
      <c r="A123" s="5562" t="s">
        <v>1525</v>
      </c>
      <c r="B123" s="5563"/>
      <c r="C123" s="5564"/>
      <c r="D123" s="5566"/>
      <c r="E123" s="5566"/>
      <c r="F123" s="5566"/>
      <c r="G123" s="1610"/>
      <c r="H123" s="2549"/>
      <c r="P123" s="2549"/>
      <c r="Q123" s="2549"/>
      <c r="R123" s="2549"/>
      <c r="S123" s="2549"/>
      <c r="T123" s="2549"/>
      <c r="U123" s="2549"/>
      <c r="V123" s="2549"/>
      <c r="W123" s="2549"/>
      <c r="X123" s="2549"/>
      <c r="Y123" s="2549"/>
    </row>
    <row r="124" spans="1:41" ht="15" customHeight="1">
      <c r="A124" s="5569" t="s">
        <v>966</v>
      </c>
      <c r="B124" s="5570"/>
      <c r="C124" s="5571"/>
      <c r="D124" s="5572"/>
      <c r="E124" s="5573"/>
      <c r="F124" s="5572"/>
      <c r="G124" s="1631"/>
      <c r="H124" s="2549"/>
      <c r="P124" s="2549"/>
      <c r="Q124" s="2549"/>
      <c r="R124" s="2549"/>
      <c r="S124" s="2549"/>
      <c r="T124" s="2549"/>
      <c r="U124" s="2549"/>
      <c r="V124" s="2549"/>
      <c r="W124" s="2549"/>
      <c r="X124" s="2549"/>
      <c r="Y124" s="2549"/>
    </row>
    <row r="125" spans="1:41" ht="15" customHeight="1">
      <c r="A125" s="400" t="s">
        <v>91</v>
      </c>
      <c r="B125" s="5574">
        <f>SUM(B117:B124)</f>
        <v>0</v>
      </c>
      <c r="C125" s="1747">
        <f t="shared" ref="C125:G125" si="40">SUM(C117:C124)</f>
        <v>0</v>
      </c>
      <c r="D125" s="1744">
        <f t="shared" si="40"/>
        <v>0</v>
      </c>
      <c r="E125" s="1744">
        <f t="shared" si="40"/>
        <v>0</v>
      </c>
      <c r="F125" s="1744">
        <f>SUM(F117:F124)</f>
        <v>0</v>
      </c>
      <c r="G125" s="1745">
        <f t="shared" si="40"/>
        <v>0</v>
      </c>
      <c r="H125" s="2549"/>
      <c r="I125" s="2549"/>
      <c r="J125" s="2549"/>
      <c r="K125" s="2549"/>
      <c r="L125" s="2549"/>
      <c r="M125" s="2549"/>
      <c r="N125" s="2549"/>
      <c r="O125" s="2549"/>
      <c r="P125" s="2549"/>
      <c r="Q125" s="2549"/>
      <c r="R125" s="2549"/>
      <c r="S125" s="2549"/>
      <c r="T125" s="2549"/>
      <c r="U125" s="2549"/>
      <c r="V125" s="2549"/>
      <c r="W125" s="2549"/>
      <c r="X125" s="2549"/>
      <c r="Y125" s="2549"/>
    </row>
    <row r="150" spans="1:2" hidden="1">
      <c r="A150" s="5575">
        <f>SUM(C13:C15,B21:B23,C29:C33,C35:C39,C41:C45,C47:C49,B55:B57,C64:C71,C75:I81,C86:C94,B97:B99,B104:X105,B108:D112,B117:G124)</f>
        <v>0</v>
      </c>
      <c r="B150" s="5575">
        <f>SUM(CI13:CI105)</f>
        <v>0</v>
      </c>
    </row>
  </sheetData>
  <sheetProtection algorithmName="SHA-512" hashValue="FaJNtB87ew73FCOFRYbWaPuqaFHJ7mWxserJFeYUi6Pn7E9O4+deIDK5SctryCtLnk9x6PC5UCU+i6t/DYjvOw==" saltValue="Wz/I3rmnJUntQoZVhwJ9Fg==" spinCount="100000" sheet="1" objects="1" scenarios="1"/>
  <protectedRanges>
    <protectedRange sqref="AN13:AN15 AJ29:AJ33 AJ47:AJ49 AJ64:AJ71 AJ41:AJ45 AJ35:AJ39 AI55:AI57" name="Rango1_2_3_1"/>
  </protectedRanges>
  <mergeCells count="158">
    <mergeCell ref="A6:W6"/>
    <mergeCell ref="A10:A12"/>
    <mergeCell ref="B10:B12"/>
    <mergeCell ref="C10:E11"/>
    <mergeCell ref="F10:AM10"/>
    <mergeCell ref="AN10:AN12"/>
    <mergeCell ref="F11:G11"/>
    <mergeCell ref="H11:I11"/>
    <mergeCell ref="J11:K11"/>
    <mergeCell ref="L11:M11"/>
    <mergeCell ref="AL11:AM11"/>
    <mergeCell ref="Z11:AA11"/>
    <mergeCell ref="AB11:AC11"/>
    <mergeCell ref="AD11:AE11"/>
    <mergeCell ref="AF11:AG11"/>
    <mergeCell ref="AH11:AI11"/>
    <mergeCell ref="AJ11:AK11"/>
    <mergeCell ref="N11:O11"/>
    <mergeCell ref="P11:Q11"/>
    <mergeCell ref="R11:S11"/>
    <mergeCell ref="T11:U11"/>
    <mergeCell ref="V11:W11"/>
    <mergeCell ref="X11:Y11"/>
    <mergeCell ref="A13:A15"/>
    <mergeCell ref="A16:B16"/>
    <mergeCell ref="A18:A20"/>
    <mergeCell ref="B18:B20"/>
    <mergeCell ref="C18:F18"/>
    <mergeCell ref="G18:K18"/>
    <mergeCell ref="C19:C20"/>
    <mergeCell ref="D19:D20"/>
    <mergeCell ref="E19:E20"/>
    <mergeCell ref="AJ26:AJ28"/>
    <mergeCell ref="F27:G27"/>
    <mergeCell ref="H27:I27"/>
    <mergeCell ref="J27:K27"/>
    <mergeCell ref="L27:M27"/>
    <mergeCell ref="F19:F20"/>
    <mergeCell ref="G19:G20"/>
    <mergeCell ref="H19:H20"/>
    <mergeCell ref="I19:I20"/>
    <mergeCell ref="J19:J20"/>
    <mergeCell ref="K19:K20"/>
    <mergeCell ref="AG27:AI27"/>
    <mergeCell ref="A40:B40"/>
    <mergeCell ref="A41:A45"/>
    <mergeCell ref="A46:B46"/>
    <mergeCell ref="A47:A49"/>
    <mergeCell ref="A50:B50"/>
    <mergeCell ref="A52:A54"/>
    <mergeCell ref="B52:D53"/>
    <mergeCell ref="AA27:AC27"/>
    <mergeCell ref="AD27:AF27"/>
    <mergeCell ref="A29:A33"/>
    <mergeCell ref="A34:B34"/>
    <mergeCell ref="A35:A39"/>
    <mergeCell ref="N27:O27"/>
    <mergeCell ref="P27:Q27"/>
    <mergeCell ref="R27:S27"/>
    <mergeCell ref="T27:U27"/>
    <mergeCell ref="V27:W27"/>
    <mergeCell ref="X27:Z27"/>
    <mergeCell ref="A26:A28"/>
    <mergeCell ref="B26:B28"/>
    <mergeCell ref="C26:E27"/>
    <mergeCell ref="F26:U26"/>
    <mergeCell ref="V26:AI26"/>
    <mergeCell ref="AI52:AI54"/>
    <mergeCell ref="AJ52:AJ54"/>
    <mergeCell ref="E53:F53"/>
    <mergeCell ref="G53:H53"/>
    <mergeCell ref="I53:J53"/>
    <mergeCell ref="K53:L53"/>
    <mergeCell ref="M53:N53"/>
    <mergeCell ref="O53:P53"/>
    <mergeCell ref="Q53:R53"/>
    <mergeCell ref="S53:T53"/>
    <mergeCell ref="E52:T52"/>
    <mergeCell ref="U52:V53"/>
    <mergeCell ref="W52:Y53"/>
    <mergeCell ref="Z52:AB53"/>
    <mergeCell ref="AC52:AE53"/>
    <mergeCell ref="AF52:AH53"/>
    <mergeCell ref="AJ61:AJ63"/>
    <mergeCell ref="F62:G62"/>
    <mergeCell ref="H62:I62"/>
    <mergeCell ref="J62:K62"/>
    <mergeCell ref="L62:M62"/>
    <mergeCell ref="N62:O62"/>
    <mergeCell ref="P62:Q62"/>
    <mergeCell ref="A61:A63"/>
    <mergeCell ref="B61:B63"/>
    <mergeCell ref="C61:E62"/>
    <mergeCell ref="F61:U61"/>
    <mergeCell ref="V61:W62"/>
    <mergeCell ref="X61:Z62"/>
    <mergeCell ref="R62:S62"/>
    <mergeCell ref="T62:U62"/>
    <mergeCell ref="A64:A65"/>
    <mergeCell ref="A66:A68"/>
    <mergeCell ref="A69:A71"/>
    <mergeCell ref="A73:A74"/>
    <mergeCell ref="B73:B74"/>
    <mergeCell ref="C73:C74"/>
    <mergeCell ref="AA61:AC62"/>
    <mergeCell ref="AD61:AF62"/>
    <mergeCell ref="AG61:AI62"/>
    <mergeCell ref="D73:D74"/>
    <mergeCell ref="E73:I73"/>
    <mergeCell ref="A75:A76"/>
    <mergeCell ref="A77:A78"/>
    <mergeCell ref="A79:A81"/>
    <mergeCell ref="A83:A85"/>
    <mergeCell ref="B83:B85"/>
    <mergeCell ref="C83:E84"/>
    <mergeCell ref="F84:G84"/>
    <mergeCell ref="T84:U84"/>
    <mergeCell ref="R84:S84"/>
    <mergeCell ref="F83:U83"/>
    <mergeCell ref="V83:V85"/>
    <mergeCell ref="A86:A88"/>
    <mergeCell ref="A89:A91"/>
    <mergeCell ref="A92:A94"/>
    <mergeCell ref="A95:H95"/>
    <mergeCell ref="H84:I84"/>
    <mergeCell ref="J84:K84"/>
    <mergeCell ref="L84:M84"/>
    <mergeCell ref="N84:O84"/>
    <mergeCell ref="P84:Q84"/>
    <mergeCell ref="A100:D100"/>
    <mergeCell ref="A101:A103"/>
    <mergeCell ref="B101:B103"/>
    <mergeCell ref="C101:C103"/>
    <mergeCell ref="D101:S101"/>
    <mergeCell ref="T101:X101"/>
    <mergeCell ref="U102:U103"/>
    <mergeCell ref="V102:V103"/>
    <mergeCell ref="W102:W103"/>
    <mergeCell ref="X102:X103"/>
    <mergeCell ref="Y101:Y103"/>
    <mergeCell ref="D102:E102"/>
    <mergeCell ref="F102:G102"/>
    <mergeCell ref="H102:I102"/>
    <mergeCell ref="J102:K102"/>
    <mergeCell ref="L102:M102"/>
    <mergeCell ref="N102:O102"/>
    <mergeCell ref="P102:Q102"/>
    <mergeCell ref="R102:S102"/>
    <mergeCell ref="T102:T103"/>
    <mergeCell ref="A106:D106"/>
    <mergeCell ref="A114:A116"/>
    <mergeCell ref="B114:B116"/>
    <mergeCell ref="C114:G114"/>
    <mergeCell ref="C115:C116"/>
    <mergeCell ref="D115:D116"/>
    <mergeCell ref="E115:E116"/>
    <mergeCell ref="F115:F116"/>
    <mergeCell ref="G115:G116"/>
  </mergeCells>
  <dataValidations count="4">
    <dataValidation type="whole" operator="greaterThanOrEqual" allowBlank="1" showInputMessage="1" showErrorMessage="1" sqref="AI58 B117:G124 F86:V94 C75:I81 C97:F99 F64:AJ71 E55:T57 F58:T58 B108:D112 C21:K23 B104:Y105 F29:U50 AJ29:AJ50 F13:AN15" xr:uid="{002700CE-00A9-49BF-AE77-0034001C0043}">
      <formula1>0</formula1>
    </dataValidation>
    <dataValidation type="whole" allowBlank="1" showInputMessage="1" showErrorMessage="1" sqref="C13:E16 C115 H19:K20 E19:G19 C29:C32 AJ61:AJ63 AJ26 AN10:AN12 AI52:AJ54 B55:B58 F16:AN16 C35:C39 V83 C41:C49 D29:E50 Y101:Y103" xr:uid="{00C10058-00D8-4A65-BB9E-00A300860070}">
      <formula1>0</formula1>
      <formula2>1E+30</formula2>
    </dataValidation>
    <dataValidation type="whole" allowBlank="1" showInputMessage="1" showErrorMessage="1" sqref="V29:AI50" xr:uid="{00A50040-00F9-4AD2-AEB7-00CF0058007B}">
      <formula1>0</formula1>
      <formula2>9.99999999999999E+41</formula2>
    </dataValidation>
    <dataValidation type="whole" allowBlank="1" showInputMessage="1" showErrorMessage="1" sqref="U55:AH58 AI55:AI57" xr:uid="{007F00CC-0020-4D7E-81BF-008B00CC007D}">
      <formula1>0</formula1>
      <formula2>9.99999999999999E+43</formula2>
    </dataValidation>
  </dataValidations>
  <pageMargins left="0.7" right="0.7" top="0.75" bottom="0.75" header="0.3" footer="0.3"/>
  <pageSetup paperSize="9" orientation="portrait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Hoja28"/>
  <dimension ref="C1:EP32"/>
  <sheetViews>
    <sheetView showGridLines="0" workbookViewId="0">
      <selection activeCell="J11" sqref="J11"/>
    </sheetView>
  </sheetViews>
  <sheetFormatPr baseColWidth="10" defaultColWidth="11.42578125" defaultRowHeight="12.75"/>
  <cols>
    <col min="1" max="2" width="1.85546875" style="5576" customWidth="1"/>
    <col min="3" max="3" width="34" style="5576" customWidth="1"/>
    <col min="4" max="4" width="19.42578125" style="5576" customWidth="1"/>
    <col min="5" max="5" width="38.7109375" style="5576" customWidth="1"/>
    <col min="6" max="6" width="27.42578125" style="5576" customWidth="1"/>
    <col min="7" max="15" width="11.42578125" style="5576"/>
    <col min="16" max="146" width="11.42578125" style="5577"/>
    <col min="147" max="16384" width="11.42578125" style="5576"/>
  </cols>
  <sheetData>
    <row r="1" spans="3:5" ht="33" customHeight="1">
      <c r="C1" s="7373" t="s">
        <v>4419</v>
      </c>
      <c r="D1" s="7374"/>
      <c r="E1" s="7375"/>
    </row>
    <row r="2" spans="3:5" ht="42.75" customHeight="1">
      <c r="C2" s="5578" t="str">
        <f>CONCATENATE("ESTABLECIMIENTO: ",NOMBRE!B3," - ",NOMBRE!C3,NOMBRE!D3,NOMBRE!E3,NOMBRE!F3,NOMBRE!G3,NOMBRE!H3,NOMBRE!I3," 
  "," / MES:  ",NOMBRE!B6,"  / AÑO:  ",NOMBRE!B7)</f>
        <v>ESTABLECIMIENTO: CESFAM DR. CARLOS GODOY - 111380 
   / MES:  MARZO  / AÑO:  2026</v>
      </c>
      <c r="D2" s="5577"/>
      <c r="E2" s="5579"/>
    </row>
    <row r="3" spans="3:5" ht="34.5" customHeight="1">
      <c r="C3" s="5580" t="s">
        <v>4420</v>
      </c>
      <c r="D3" s="5580" t="s">
        <v>4421</v>
      </c>
      <c r="E3" s="5581" t="s">
        <v>4422</v>
      </c>
    </row>
    <row r="4" spans="3:5" ht="22.5" customHeight="1">
      <c r="C4" s="5582" t="s">
        <v>4423</v>
      </c>
      <c r="D4" s="5583">
        <f>NOMBRE!A32</f>
        <v>0</v>
      </c>
      <c r="E4" s="5579"/>
    </row>
    <row r="5" spans="3:5" ht="22.5" customHeight="1">
      <c r="C5" s="5582" t="s">
        <v>4424</v>
      </c>
      <c r="D5" s="5584">
        <f>'A01'!B258</f>
        <v>0</v>
      </c>
      <c r="E5" s="5585" t="str">
        <f>IF('A01'!A258=0,"SIN DATOS","")</f>
        <v>SIN DATOS</v>
      </c>
    </row>
    <row r="6" spans="3:5" ht="22.5" customHeight="1">
      <c r="C6" s="5582" t="s">
        <v>4425</v>
      </c>
      <c r="D6" s="5584">
        <f>'A02'!B51</f>
        <v>0</v>
      </c>
      <c r="E6" s="5585" t="str">
        <f>IF('A02'!A51=0,"SIN DATOS","")</f>
        <v>SIN DATOS</v>
      </c>
    </row>
    <row r="7" spans="3:5" ht="22.5" customHeight="1">
      <c r="C7" s="5582" t="s">
        <v>4426</v>
      </c>
      <c r="D7" s="5586">
        <f>'A03'!B278</f>
        <v>0</v>
      </c>
      <c r="E7" s="5585" t="str">
        <f>IF('A03'!A278=0,"SIN DATOS","")</f>
        <v>SIN DATOS</v>
      </c>
    </row>
    <row r="8" spans="3:5" ht="22.5" customHeight="1">
      <c r="C8" s="5582" t="s">
        <v>4427</v>
      </c>
      <c r="D8" s="5584">
        <f>'A04'!A240</f>
        <v>0</v>
      </c>
      <c r="E8" s="5585" t="str">
        <f>IF('A04'!A239=0,"SIN DATOS","")</f>
        <v>SIN DATOS</v>
      </c>
    </row>
    <row r="9" spans="3:5" ht="22.5" customHeight="1">
      <c r="C9" s="5582" t="s">
        <v>4428</v>
      </c>
      <c r="D9" s="5584">
        <f>'A05'!B437</f>
        <v>0</v>
      </c>
      <c r="E9" s="5585" t="str">
        <f>IF('A05'!A437=0,"SIN DATOS","")</f>
        <v>SIN DATOS</v>
      </c>
    </row>
    <row r="10" spans="3:5" ht="22.5" customHeight="1">
      <c r="C10" s="5582" t="s">
        <v>4429</v>
      </c>
      <c r="D10" s="5584">
        <f>'A06'!B205</f>
        <v>0</v>
      </c>
      <c r="E10" s="5585" t="str">
        <f>IF('A06'!A205=0,"SIN DATOS","")</f>
        <v>SIN DATOS</v>
      </c>
    </row>
    <row r="11" spans="3:5" ht="22.5" customHeight="1">
      <c r="C11" s="5582" t="s">
        <v>4430</v>
      </c>
      <c r="D11" s="5584">
        <f>'A07'!B239</f>
        <v>0</v>
      </c>
      <c r="E11" s="5585" t="str">
        <f>IF('A07'!A239=0,"SIN DATOS","")</f>
        <v>SIN DATOS</v>
      </c>
    </row>
    <row r="12" spans="3:5" ht="22.5" customHeight="1">
      <c r="C12" s="5582" t="s">
        <v>4431</v>
      </c>
      <c r="D12" s="5584">
        <f>'A08'!B248</f>
        <v>0</v>
      </c>
      <c r="E12" s="5585" t="str">
        <f>IF('A08'!A248=0,"SIN DATOS","")</f>
        <v>SIN DATOS</v>
      </c>
    </row>
    <row r="13" spans="3:5" ht="22.5" customHeight="1">
      <c r="C13" s="5582" t="s">
        <v>4432</v>
      </c>
      <c r="D13" s="5584">
        <f>'A09'!B385</f>
        <v>0</v>
      </c>
      <c r="E13" s="5585" t="str">
        <f>IF('A09'!A385=0,"SIN DATOS","")</f>
        <v>SIN DATOS</v>
      </c>
    </row>
    <row r="14" spans="3:5" ht="22.5" customHeight="1">
      <c r="C14" s="5582" t="s">
        <v>4433</v>
      </c>
      <c r="D14" s="5584">
        <f>'A11'!B311</f>
        <v>0</v>
      </c>
      <c r="E14" s="5585" t="str">
        <f>IF('A11'!A311=0,"SIN DATOS","")</f>
        <v>SIN DATOS</v>
      </c>
    </row>
    <row r="15" spans="3:5" ht="22.5" customHeight="1">
      <c r="C15" s="5582" t="s">
        <v>4434</v>
      </c>
      <c r="D15" s="5584">
        <f>A11a!B150</f>
        <v>0</v>
      </c>
      <c r="E15" s="5585" t="str">
        <f>IF(A11a!A150=0,"SIN DATOS","")</f>
        <v>SIN DATOS</v>
      </c>
    </row>
    <row r="16" spans="3:5" ht="22.5" customHeight="1">
      <c r="C16" s="5582" t="s">
        <v>4435</v>
      </c>
      <c r="D16" s="5584">
        <f>A19a!B203</f>
        <v>0</v>
      </c>
      <c r="E16" s="5585" t="str">
        <f>IF(A19a!A203=0,"SIN DATOS","")</f>
        <v/>
      </c>
    </row>
    <row r="17" spans="3:5" ht="22.5" customHeight="1">
      <c r="C17" s="5582" t="s">
        <v>4436</v>
      </c>
      <c r="D17" s="5584">
        <f>A19b!B200</f>
        <v>101</v>
      </c>
      <c r="E17" s="5585" t="str">
        <f>IF(A19b!A200=0,"SIN DATOS","")</f>
        <v/>
      </c>
    </row>
    <row r="18" spans="3:5" ht="22.5" customHeight="1">
      <c r="C18" s="5582" t="s">
        <v>4437</v>
      </c>
      <c r="D18" s="5587">
        <f>'A21'!B204</f>
        <v>0</v>
      </c>
      <c r="E18" s="5585" t="str">
        <f>IF('A21'!A204=0,"SIN DATOS","")</f>
        <v>SIN DATOS</v>
      </c>
    </row>
    <row r="19" spans="3:5" ht="22.5" customHeight="1">
      <c r="C19" s="5582" t="s">
        <v>4438</v>
      </c>
      <c r="D19" s="5588">
        <f>'A23'!B215</f>
        <v>0</v>
      </c>
      <c r="E19" s="5585" t="str">
        <f>IF('A23'!A215=0,"SIN DATOS","")</f>
        <v>SIN DATOS</v>
      </c>
    </row>
    <row r="20" spans="3:5" ht="22.5" customHeight="1">
      <c r="C20" s="5582" t="s">
        <v>4439</v>
      </c>
      <c r="D20" s="5587">
        <f>'A24'!B179</f>
        <v>0</v>
      </c>
      <c r="E20" s="5585" t="str">
        <f>IF('A24'!A179=0,"SIN DATOS","")</f>
        <v>SIN DATOS</v>
      </c>
    </row>
    <row r="21" spans="3:5" ht="22.5" customHeight="1">
      <c r="C21" s="5582" t="s">
        <v>4440</v>
      </c>
      <c r="D21" s="5587">
        <f>'A25'!B319</f>
        <v>0</v>
      </c>
      <c r="E21" s="5585" t="str">
        <f>IF('A25'!A319=0,"SIN DATOS","")</f>
        <v>SIN DATOS</v>
      </c>
    </row>
    <row r="22" spans="3:5" ht="22.5" customHeight="1">
      <c r="C22" s="5582" t="s">
        <v>4441</v>
      </c>
      <c r="D22" s="5587">
        <f>'A26'!B150</f>
        <v>0</v>
      </c>
      <c r="E22" s="5585" t="str">
        <f>IF('A26'!A150=0,"SIN DATOS","")</f>
        <v>SIN DATOS</v>
      </c>
    </row>
    <row r="23" spans="3:5" ht="22.5" customHeight="1">
      <c r="C23" s="5582" t="s">
        <v>4442</v>
      </c>
      <c r="D23" s="5587">
        <f>'A27'!B249</f>
        <v>0</v>
      </c>
      <c r="E23" s="5585" t="str">
        <f>IF('A27'!A249=0,"SIN DATOS","")</f>
        <v>SIN DATOS</v>
      </c>
    </row>
    <row r="24" spans="3:5" ht="22.5" customHeight="1">
      <c r="C24" s="5582" t="s">
        <v>4443</v>
      </c>
      <c r="D24" s="5587">
        <f>'A28'!B351</f>
        <v>0</v>
      </c>
      <c r="E24" s="5585" t="str">
        <f>IF('A28'!A351=0,"SIN DATOS","")</f>
        <v>SIN DATOS</v>
      </c>
    </row>
    <row r="25" spans="3:5" ht="22.5" customHeight="1">
      <c r="C25" s="5582" t="s">
        <v>4444</v>
      </c>
      <c r="D25" s="5587">
        <f>'A29'!B205</f>
        <v>0</v>
      </c>
      <c r="E25" s="5585" t="str">
        <f>IF('A29'!A205=0,"SIN DATOS","")</f>
        <v>SIN DATOS</v>
      </c>
    </row>
    <row r="26" spans="3:5" ht="22.5" customHeight="1">
      <c r="C26" s="5582" t="s">
        <v>4445</v>
      </c>
      <c r="D26" s="5587">
        <f>'A30'!B174</f>
        <v>0</v>
      </c>
      <c r="E26" s="5585" t="str">
        <f>IF('A30'!A174=0,"SIN DATOS","")</f>
        <v>SIN DATOS</v>
      </c>
    </row>
    <row r="27" spans="3:5" ht="22.5" customHeight="1">
      <c r="C27" s="5582" t="s">
        <v>4446</v>
      </c>
      <c r="D27" s="5587">
        <f>A30AR!B138</f>
        <v>0</v>
      </c>
      <c r="E27" s="5585" t="str">
        <f>IF(A30AR!A138=0,"SIN DATOS","")</f>
        <v>SIN DATOS</v>
      </c>
    </row>
    <row r="28" spans="3:5" ht="22.5" customHeight="1">
      <c r="C28" s="5582" t="s">
        <v>4447</v>
      </c>
      <c r="D28" s="5587">
        <f>'A31'!B130</f>
        <v>0</v>
      </c>
      <c r="E28" s="5585" t="str">
        <f>IF('A31'!A130=0,"SIN DATOS","")</f>
        <v>SIN DATOS</v>
      </c>
    </row>
    <row r="29" spans="3:5" ht="22.5" customHeight="1">
      <c r="C29" s="5582" t="s">
        <v>4448</v>
      </c>
      <c r="D29" s="5587">
        <f>'A32'!B236</f>
        <v>0</v>
      </c>
      <c r="E29" s="5585" t="str">
        <f>IF('A32'!A236=0,"SIN DATOS","")</f>
        <v>SIN DATOS</v>
      </c>
    </row>
    <row r="30" spans="3:5" ht="22.5" customHeight="1">
      <c r="C30" s="5582" t="s">
        <v>4449</v>
      </c>
      <c r="D30" s="5587">
        <f>'A33'!B101</f>
        <v>0</v>
      </c>
      <c r="E30" s="5585" t="str">
        <f>IF('A33'!A101=0,"SIN DATOS","")</f>
        <v>SIN DATOS</v>
      </c>
    </row>
    <row r="31" spans="3:5" ht="22.5" customHeight="1">
      <c r="C31" s="5582" t="s">
        <v>4450</v>
      </c>
      <c r="D31" s="5587">
        <f>'A34'!B150</f>
        <v>0</v>
      </c>
      <c r="E31" s="5585" t="str">
        <f>IF('A34'!A150=0,"SIN DATOS","")</f>
        <v>SIN DATOS</v>
      </c>
    </row>
    <row r="32" spans="3:5" ht="27.75" customHeight="1">
      <c r="C32" s="5589" t="s">
        <v>91</v>
      </c>
      <c r="D32" s="5590">
        <f>SUM(D4:D31)</f>
        <v>101</v>
      </c>
      <c r="E32" s="5591"/>
    </row>
  </sheetData>
  <sheetProtection algorithmName="SHA-512" hashValue="S/mSLDNi3AGIW77alaBW8Ddxv9NxG+AAioStlNenOnFt0ht1jrc59PmyyWwui/5bEsCP53g1RNWSuNaAbwDIEg==" saltValue="7An5fychUEVxPWSDyHgc0g==" spinCount="100000" sheet="1" objects="1" scenarios="1"/>
  <mergeCells count="1">
    <mergeCell ref="C1:E1"/>
  </mergeCells>
  <dataValidations disablePrompts="1" count="1">
    <dataValidation type="list" allowBlank="1" showInputMessage="1" showErrorMessage="1" sqref="WVA983052:WVA983070 IO5:IO31 SK5:SK31 ACG5:ACG31 AMC5:AMC31 AVY5:AVY31 BFU5:BFU31 BPQ5:BPQ31 BZM5:BZM31 CJI5:CJI31 CTE5:CTE31 DDA5:DDA31 DMW5:DMW31 DWS5:DWS31 EGO5:EGO31 EQK5:EQK31 FAG5:FAG31 FKC5:FKC31 FTY5:FTY31 GDU5:GDU31 GNQ5:GNQ31 GXM5:GXM31 HHI5:HHI31 HRE5:HRE31 IBA5:IBA31 IKW5:IKW31 IUS5:IUS31 JEO5:JEO31 JOK5:JOK31 JYG5:JYG31 KIC5:KIC31 KRY5:KRY31 LBU5:LBU31 LLQ5:LLQ31 LVM5:LVM31 MFI5:MFI31 MPE5:MPE31 MZA5:MZA31 NIW5:NIW31 NSS5:NSS31 OCO5:OCO31 OMK5:OMK31 OWG5:OWG31 PGC5:PGC31 PPY5:PPY31 PZU5:PZU31 QJQ5:QJQ31 QTM5:QTM31 RDI5:RDI31 RNE5:RNE31 RXA5:RXA31 SGW5:SGW31 SQS5:SQS31 TAO5:TAO31 TKK5:TKK31 TUG5:TUG31 UEC5:UEC31 UNY5:UNY31 UXU5:UXU31 VHQ5:VHQ31 VRM5:VRM31 WBI5:WBI31 WLE5:WLE31 WVA5:WVA31 IO65548:IO65566 SK65548:SK65566 ACG65548:ACG65566 AMC65548:AMC65566 AVY65548:AVY65566 BFU65548:BFU65566 BPQ65548:BPQ65566 BZM65548:BZM65566 CJI65548:CJI65566 CTE65548:CTE65566 DDA65548:DDA65566 DMW65548:DMW65566 DWS65548:DWS65566 EGO65548:EGO65566 EQK65548:EQK65566 FAG65548:FAG65566 FKC65548:FKC65566 FTY65548:FTY65566 GDU65548:GDU65566 GNQ65548:GNQ65566 GXM65548:GXM65566 HHI65548:HHI65566 HRE65548:HRE65566 IBA65548:IBA65566 IKW65548:IKW65566 IUS65548:IUS65566 JEO65548:JEO65566 JOK65548:JOK65566 JYG65548:JYG65566 KIC65548:KIC65566 KRY65548:KRY65566 LBU65548:LBU65566 LLQ65548:LLQ65566 LVM65548:LVM65566 MFI65548:MFI65566 MPE65548:MPE65566 MZA65548:MZA65566 NIW65548:NIW65566 NSS65548:NSS65566 OCO65548:OCO65566 OMK65548:OMK65566 OWG65548:OWG65566 PGC65548:PGC65566 PPY65548:PPY65566 PZU65548:PZU65566 QJQ65548:QJQ65566 QTM65548:QTM65566 RDI65548:RDI65566 RNE65548:RNE65566 RXA65548:RXA65566 SGW65548:SGW65566 SQS65548:SQS65566 TAO65548:TAO65566 TKK65548:TKK65566 TUG65548:TUG65566 UEC65548:UEC65566 UNY65548:UNY65566 UXU65548:UXU65566 VHQ65548:VHQ65566 VRM65548:VRM65566 WBI65548:WBI65566 WLE65548:WLE65566 WVA65548:WVA65566 IO131084:IO131102 SK131084:SK131102 ACG131084:ACG131102 AMC131084:AMC131102 AVY131084:AVY131102 BFU131084:BFU131102 BPQ131084:BPQ131102 BZM131084:BZM131102 CJI131084:CJI131102 CTE131084:CTE131102 DDA131084:DDA131102 DMW131084:DMW131102 DWS131084:DWS131102 EGO131084:EGO131102 EQK131084:EQK131102 FAG131084:FAG131102 FKC131084:FKC131102 FTY131084:FTY131102 GDU131084:GDU131102 GNQ131084:GNQ131102 GXM131084:GXM131102 HHI131084:HHI131102 HRE131084:HRE131102 IBA131084:IBA131102 IKW131084:IKW131102 IUS131084:IUS131102 JEO131084:JEO131102 JOK131084:JOK131102 JYG131084:JYG131102 KIC131084:KIC131102 KRY131084:KRY131102 LBU131084:LBU131102 LLQ131084:LLQ131102 LVM131084:LVM131102 MFI131084:MFI131102 MPE131084:MPE131102 MZA131084:MZA131102 NIW131084:NIW131102 NSS131084:NSS131102 OCO131084:OCO131102 OMK131084:OMK131102 OWG131084:OWG131102 PGC131084:PGC131102 PPY131084:PPY131102 PZU131084:PZU131102 QJQ131084:QJQ131102 QTM131084:QTM131102 RDI131084:RDI131102 RNE131084:RNE131102 RXA131084:RXA131102 SGW131084:SGW131102 SQS131084:SQS131102 TAO131084:TAO131102 TKK131084:TKK131102 TUG131084:TUG131102 UEC131084:UEC131102 UNY131084:UNY131102 UXU131084:UXU131102 VHQ131084:VHQ131102 VRM131084:VRM131102 WBI131084:WBI131102 WLE131084:WLE131102 WVA131084:WVA131102 IO196620:IO196638 SK196620:SK196638 ACG196620:ACG196638 AMC196620:AMC196638 AVY196620:AVY196638 BFU196620:BFU196638 BPQ196620:BPQ196638 BZM196620:BZM196638 CJI196620:CJI196638 CTE196620:CTE196638 DDA196620:DDA196638 DMW196620:DMW196638 DWS196620:DWS196638 EGO196620:EGO196638 EQK196620:EQK196638 FAG196620:FAG196638 FKC196620:FKC196638 FTY196620:FTY196638 GDU196620:GDU196638 GNQ196620:GNQ196638 GXM196620:GXM196638 HHI196620:HHI196638 HRE196620:HRE196638 IBA196620:IBA196638 IKW196620:IKW196638 IUS196620:IUS196638 JEO196620:JEO196638 JOK196620:JOK196638 JYG196620:JYG196638 KIC196620:KIC196638 KRY196620:KRY196638 LBU196620:LBU196638 LLQ196620:LLQ196638 LVM196620:LVM196638 MFI196620:MFI196638 MPE196620:MPE196638 MZA196620:MZA196638 NIW196620:NIW196638 NSS196620:NSS196638 OCO196620:OCO196638 OMK196620:OMK196638 OWG196620:OWG196638 PGC196620:PGC196638 PPY196620:PPY196638 PZU196620:PZU196638 QJQ196620:QJQ196638 QTM196620:QTM196638 RDI196620:RDI196638 RNE196620:RNE196638 RXA196620:RXA196638 SGW196620:SGW196638 SQS196620:SQS196638 TAO196620:TAO196638 TKK196620:TKK196638 TUG196620:TUG196638 UEC196620:UEC196638 UNY196620:UNY196638 UXU196620:UXU196638 VHQ196620:VHQ196638 VRM196620:VRM196638 WBI196620:WBI196638 WLE196620:WLE196638 WVA196620:WVA196638 IO262156:IO262174 SK262156:SK262174 ACG262156:ACG262174 AMC262156:AMC262174 AVY262156:AVY262174 BFU262156:BFU262174 BPQ262156:BPQ262174 BZM262156:BZM262174 CJI262156:CJI262174 CTE262156:CTE262174 DDA262156:DDA262174 DMW262156:DMW262174 DWS262156:DWS262174 EGO262156:EGO262174 EQK262156:EQK262174 FAG262156:FAG262174 FKC262156:FKC262174 FTY262156:FTY262174 GDU262156:GDU262174 GNQ262156:GNQ262174 GXM262156:GXM262174 HHI262156:HHI262174 HRE262156:HRE262174 IBA262156:IBA262174 IKW262156:IKW262174 IUS262156:IUS262174 JEO262156:JEO262174 JOK262156:JOK262174 JYG262156:JYG262174 KIC262156:KIC262174 KRY262156:KRY262174 LBU262156:LBU262174 LLQ262156:LLQ262174 LVM262156:LVM262174 MFI262156:MFI262174 MPE262156:MPE262174 MZA262156:MZA262174 NIW262156:NIW262174 NSS262156:NSS262174 OCO262156:OCO262174 OMK262156:OMK262174 OWG262156:OWG262174 PGC262156:PGC262174 PPY262156:PPY262174 PZU262156:PZU262174 QJQ262156:QJQ262174 QTM262156:QTM262174 RDI262156:RDI262174 RNE262156:RNE262174 RXA262156:RXA262174 SGW262156:SGW262174 SQS262156:SQS262174 TAO262156:TAO262174 TKK262156:TKK262174 TUG262156:TUG262174 UEC262156:UEC262174 UNY262156:UNY262174 UXU262156:UXU262174 VHQ262156:VHQ262174 VRM262156:VRM262174 WBI262156:WBI262174 WLE262156:WLE262174 WVA262156:WVA262174 IO327692:IO327710 SK327692:SK327710 ACG327692:ACG327710 AMC327692:AMC327710 AVY327692:AVY327710 BFU327692:BFU327710 BPQ327692:BPQ327710 BZM327692:BZM327710 CJI327692:CJI327710 CTE327692:CTE327710 DDA327692:DDA327710 DMW327692:DMW327710 DWS327692:DWS327710 EGO327692:EGO327710 EQK327692:EQK327710 FAG327692:FAG327710 FKC327692:FKC327710 FTY327692:FTY327710 GDU327692:GDU327710 GNQ327692:GNQ327710 GXM327692:GXM327710 HHI327692:HHI327710 HRE327692:HRE327710 IBA327692:IBA327710 IKW327692:IKW327710 IUS327692:IUS327710 JEO327692:JEO327710 JOK327692:JOK327710 JYG327692:JYG327710 KIC327692:KIC327710 KRY327692:KRY327710 LBU327692:LBU327710 LLQ327692:LLQ327710 LVM327692:LVM327710 MFI327692:MFI327710 MPE327692:MPE327710 MZA327692:MZA327710 NIW327692:NIW327710 NSS327692:NSS327710 OCO327692:OCO327710 OMK327692:OMK327710 OWG327692:OWG327710 PGC327692:PGC327710 PPY327692:PPY327710 PZU327692:PZU327710 QJQ327692:QJQ327710 QTM327692:QTM327710 RDI327692:RDI327710 RNE327692:RNE327710 RXA327692:RXA327710 SGW327692:SGW327710 SQS327692:SQS327710 TAO327692:TAO327710 TKK327692:TKK327710 TUG327692:TUG327710 UEC327692:UEC327710 UNY327692:UNY327710 UXU327692:UXU327710 VHQ327692:VHQ327710 VRM327692:VRM327710 WBI327692:WBI327710 WLE327692:WLE327710 WVA327692:WVA327710 IO393228:IO393246 SK393228:SK393246 ACG393228:ACG393246 AMC393228:AMC393246 AVY393228:AVY393246 BFU393228:BFU393246 BPQ393228:BPQ393246 BZM393228:BZM393246 CJI393228:CJI393246 CTE393228:CTE393246 DDA393228:DDA393246 DMW393228:DMW393246 DWS393228:DWS393246 EGO393228:EGO393246 EQK393228:EQK393246 FAG393228:FAG393246 FKC393228:FKC393246 FTY393228:FTY393246 GDU393228:GDU393246 GNQ393228:GNQ393246 GXM393228:GXM393246 HHI393228:HHI393246 HRE393228:HRE393246 IBA393228:IBA393246 IKW393228:IKW393246 IUS393228:IUS393246 JEO393228:JEO393246 JOK393228:JOK393246 JYG393228:JYG393246 KIC393228:KIC393246 KRY393228:KRY393246 LBU393228:LBU393246 LLQ393228:LLQ393246 LVM393228:LVM393246 MFI393228:MFI393246 MPE393228:MPE393246 MZA393228:MZA393246 NIW393228:NIW393246 NSS393228:NSS393246 OCO393228:OCO393246 OMK393228:OMK393246 OWG393228:OWG393246 PGC393228:PGC393246 PPY393228:PPY393246 PZU393228:PZU393246 QJQ393228:QJQ393246 QTM393228:QTM393246 RDI393228:RDI393246 RNE393228:RNE393246 RXA393228:RXA393246 SGW393228:SGW393246 SQS393228:SQS393246 TAO393228:TAO393246 TKK393228:TKK393246 TUG393228:TUG393246 UEC393228:UEC393246 UNY393228:UNY393246 UXU393228:UXU393246 VHQ393228:VHQ393246 VRM393228:VRM393246 WBI393228:WBI393246 WLE393228:WLE393246 WVA393228:WVA393246 IO458764:IO458782 SK458764:SK458782 ACG458764:ACG458782 AMC458764:AMC458782 AVY458764:AVY458782 BFU458764:BFU458782 BPQ458764:BPQ458782 BZM458764:BZM458782 CJI458764:CJI458782 CTE458764:CTE458782 DDA458764:DDA458782 DMW458764:DMW458782 DWS458764:DWS458782 EGO458764:EGO458782 EQK458764:EQK458782 FAG458764:FAG458782 FKC458764:FKC458782 FTY458764:FTY458782 GDU458764:GDU458782 GNQ458764:GNQ458782 GXM458764:GXM458782 HHI458764:HHI458782 HRE458764:HRE458782 IBA458764:IBA458782 IKW458764:IKW458782 IUS458764:IUS458782 JEO458764:JEO458782 JOK458764:JOK458782 JYG458764:JYG458782 KIC458764:KIC458782 KRY458764:KRY458782 LBU458764:LBU458782 LLQ458764:LLQ458782 LVM458764:LVM458782 MFI458764:MFI458782 MPE458764:MPE458782 MZA458764:MZA458782 NIW458764:NIW458782 NSS458764:NSS458782 OCO458764:OCO458782 OMK458764:OMK458782 OWG458764:OWG458782 PGC458764:PGC458782 PPY458764:PPY458782 PZU458764:PZU458782 QJQ458764:QJQ458782 QTM458764:QTM458782 RDI458764:RDI458782 RNE458764:RNE458782 RXA458764:RXA458782 SGW458764:SGW458782 SQS458764:SQS458782 TAO458764:TAO458782 TKK458764:TKK458782 TUG458764:TUG458782 UEC458764:UEC458782 UNY458764:UNY458782 UXU458764:UXU458782 VHQ458764:VHQ458782 VRM458764:VRM458782 WBI458764:WBI458782 WLE458764:WLE458782 WVA458764:WVA458782 IO524300:IO524318 SK524300:SK524318 ACG524300:ACG524318 AMC524300:AMC524318 AVY524300:AVY524318 BFU524300:BFU524318 BPQ524300:BPQ524318 BZM524300:BZM524318 CJI524300:CJI524318 CTE524300:CTE524318 DDA524300:DDA524318 DMW524300:DMW524318 DWS524300:DWS524318 EGO524300:EGO524318 EQK524300:EQK524318 FAG524300:FAG524318 FKC524300:FKC524318 FTY524300:FTY524318 GDU524300:GDU524318 GNQ524300:GNQ524318 GXM524300:GXM524318 HHI524300:HHI524318 HRE524300:HRE524318 IBA524300:IBA524318 IKW524300:IKW524318 IUS524300:IUS524318 JEO524300:JEO524318 JOK524300:JOK524318 JYG524300:JYG524318 KIC524300:KIC524318 KRY524300:KRY524318 LBU524300:LBU524318 LLQ524300:LLQ524318 LVM524300:LVM524318 MFI524300:MFI524318 MPE524300:MPE524318 MZA524300:MZA524318 NIW524300:NIW524318 NSS524300:NSS524318 OCO524300:OCO524318 OMK524300:OMK524318 OWG524300:OWG524318 PGC524300:PGC524318 PPY524300:PPY524318 PZU524300:PZU524318 QJQ524300:QJQ524318 QTM524300:QTM524318 RDI524300:RDI524318 RNE524300:RNE524318 RXA524300:RXA524318 SGW524300:SGW524318 SQS524300:SQS524318 TAO524300:TAO524318 TKK524300:TKK524318 TUG524300:TUG524318 UEC524300:UEC524318 UNY524300:UNY524318 UXU524300:UXU524318 VHQ524300:VHQ524318 VRM524300:VRM524318 WBI524300:WBI524318 WLE524300:WLE524318 WVA524300:WVA524318 IO589836:IO589854 SK589836:SK589854 ACG589836:ACG589854 AMC589836:AMC589854 AVY589836:AVY589854 BFU589836:BFU589854 BPQ589836:BPQ589854 BZM589836:BZM589854 CJI589836:CJI589854 CTE589836:CTE589854 DDA589836:DDA589854 DMW589836:DMW589854 DWS589836:DWS589854 EGO589836:EGO589854 EQK589836:EQK589854 FAG589836:FAG589854 FKC589836:FKC589854 FTY589836:FTY589854 GDU589836:GDU589854 GNQ589836:GNQ589854 GXM589836:GXM589854 HHI589836:HHI589854 HRE589836:HRE589854 IBA589836:IBA589854 IKW589836:IKW589854 IUS589836:IUS589854 JEO589836:JEO589854 JOK589836:JOK589854 JYG589836:JYG589854 KIC589836:KIC589854 KRY589836:KRY589854 LBU589836:LBU589854 LLQ589836:LLQ589854 LVM589836:LVM589854 MFI589836:MFI589854 MPE589836:MPE589854 MZA589836:MZA589854 NIW589836:NIW589854 NSS589836:NSS589854 OCO589836:OCO589854 OMK589836:OMK589854 OWG589836:OWG589854 PGC589836:PGC589854 PPY589836:PPY589854 PZU589836:PZU589854 QJQ589836:QJQ589854 QTM589836:QTM589854 RDI589836:RDI589854 RNE589836:RNE589854 RXA589836:RXA589854 SGW589836:SGW589854 SQS589836:SQS589854 TAO589836:TAO589854 TKK589836:TKK589854 TUG589836:TUG589854 UEC589836:UEC589854 UNY589836:UNY589854 UXU589836:UXU589854 VHQ589836:VHQ589854 VRM589836:VRM589854 WBI589836:WBI589854 WLE589836:WLE589854 WVA589836:WVA589854 IO655372:IO655390 SK655372:SK655390 ACG655372:ACG655390 AMC655372:AMC655390 AVY655372:AVY655390 BFU655372:BFU655390 BPQ655372:BPQ655390 BZM655372:BZM655390 CJI655372:CJI655390 CTE655372:CTE655390 DDA655372:DDA655390 DMW655372:DMW655390 DWS655372:DWS655390 EGO655372:EGO655390 EQK655372:EQK655390 FAG655372:FAG655390 FKC655372:FKC655390 FTY655372:FTY655390 GDU655372:GDU655390 GNQ655372:GNQ655390 GXM655372:GXM655390 HHI655372:HHI655390 HRE655372:HRE655390 IBA655372:IBA655390 IKW655372:IKW655390 IUS655372:IUS655390 JEO655372:JEO655390 JOK655372:JOK655390 JYG655372:JYG655390 KIC655372:KIC655390 KRY655372:KRY655390 LBU655372:LBU655390 LLQ655372:LLQ655390 LVM655372:LVM655390 MFI655372:MFI655390 MPE655372:MPE655390 MZA655372:MZA655390 NIW655372:NIW655390 NSS655372:NSS655390 OCO655372:OCO655390 OMK655372:OMK655390 OWG655372:OWG655390 PGC655372:PGC655390 PPY655372:PPY655390 PZU655372:PZU655390 QJQ655372:QJQ655390 QTM655372:QTM655390 RDI655372:RDI655390 RNE655372:RNE655390 RXA655372:RXA655390 SGW655372:SGW655390 SQS655372:SQS655390 TAO655372:TAO655390 TKK655372:TKK655390 TUG655372:TUG655390 UEC655372:UEC655390 UNY655372:UNY655390 UXU655372:UXU655390 VHQ655372:VHQ655390 VRM655372:VRM655390 WBI655372:WBI655390 WLE655372:WLE655390 WVA655372:WVA655390 IO720908:IO720926 SK720908:SK720926 ACG720908:ACG720926 AMC720908:AMC720926 AVY720908:AVY720926 BFU720908:BFU720926 BPQ720908:BPQ720926 BZM720908:BZM720926 CJI720908:CJI720926 CTE720908:CTE720926 DDA720908:DDA720926 DMW720908:DMW720926 DWS720908:DWS720926 EGO720908:EGO720926 EQK720908:EQK720926 FAG720908:FAG720926 FKC720908:FKC720926 FTY720908:FTY720926 GDU720908:GDU720926 GNQ720908:GNQ720926 GXM720908:GXM720926 HHI720908:HHI720926 HRE720908:HRE720926 IBA720908:IBA720926 IKW720908:IKW720926 IUS720908:IUS720926 JEO720908:JEO720926 JOK720908:JOK720926 JYG720908:JYG720926 KIC720908:KIC720926 KRY720908:KRY720926 LBU720908:LBU720926 LLQ720908:LLQ720926 LVM720908:LVM720926 MFI720908:MFI720926 MPE720908:MPE720926 MZA720908:MZA720926 NIW720908:NIW720926 NSS720908:NSS720926 OCO720908:OCO720926 OMK720908:OMK720926 OWG720908:OWG720926 PGC720908:PGC720926 PPY720908:PPY720926 PZU720908:PZU720926 QJQ720908:QJQ720926 QTM720908:QTM720926 RDI720908:RDI720926 RNE720908:RNE720926 RXA720908:RXA720926 SGW720908:SGW720926 SQS720908:SQS720926 TAO720908:TAO720926 TKK720908:TKK720926 TUG720908:TUG720926 UEC720908:UEC720926 UNY720908:UNY720926 UXU720908:UXU720926 VHQ720908:VHQ720926 VRM720908:VRM720926 WBI720908:WBI720926 WLE720908:WLE720926 WVA720908:WVA720926 IO786444:IO786462 SK786444:SK786462 ACG786444:ACG786462 AMC786444:AMC786462 AVY786444:AVY786462 BFU786444:BFU786462 BPQ786444:BPQ786462 BZM786444:BZM786462 CJI786444:CJI786462 CTE786444:CTE786462 DDA786444:DDA786462 DMW786444:DMW786462 DWS786444:DWS786462 EGO786444:EGO786462 EQK786444:EQK786462 FAG786444:FAG786462 FKC786444:FKC786462 FTY786444:FTY786462 GDU786444:GDU786462 GNQ786444:GNQ786462 GXM786444:GXM786462 HHI786444:HHI786462 HRE786444:HRE786462 IBA786444:IBA786462 IKW786444:IKW786462 IUS786444:IUS786462 JEO786444:JEO786462 JOK786444:JOK786462 JYG786444:JYG786462 KIC786444:KIC786462 KRY786444:KRY786462 LBU786444:LBU786462 LLQ786444:LLQ786462 LVM786444:LVM786462 MFI786444:MFI786462 MPE786444:MPE786462 MZA786444:MZA786462 NIW786444:NIW786462 NSS786444:NSS786462 OCO786444:OCO786462 OMK786444:OMK786462 OWG786444:OWG786462 PGC786444:PGC786462 PPY786444:PPY786462 PZU786444:PZU786462 QJQ786444:QJQ786462 QTM786444:QTM786462 RDI786444:RDI786462 RNE786444:RNE786462 RXA786444:RXA786462 SGW786444:SGW786462 SQS786444:SQS786462 TAO786444:TAO786462 TKK786444:TKK786462 TUG786444:TUG786462 UEC786444:UEC786462 UNY786444:UNY786462 UXU786444:UXU786462 VHQ786444:VHQ786462 VRM786444:VRM786462 WBI786444:WBI786462 WLE786444:WLE786462 WVA786444:WVA786462 IO851980:IO851998 SK851980:SK851998 ACG851980:ACG851998 AMC851980:AMC851998 AVY851980:AVY851998 BFU851980:BFU851998 BPQ851980:BPQ851998 BZM851980:BZM851998 CJI851980:CJI851998 CTE851980:CTE851998 DDA851980:DDA851998 DMW851980:DMW851998 DWS851980:DWS851998 EGO851980:EGO851998 EQK851980:EQK851998 FAG851980:FAG851998 FKC851980:FKC851998 FTY851980:FTY851998 GDU851980:GDU851998 GNQ851980:GNQ851998 GXM851980:GXM851998 HHI851980:HHI851998 HRE851980:HRE851998 IBA851980:IBA851998 IKW851980:IKW851998 IUS851980:IUS851998 JEO851980:JEO851998 JOK851980:JOK851998 JYG851980:JYG851998 KIC851980:KIC851998 KRY851980:KRY851998 LBU851980:LBU851998 LLQ851980:LLQ851998 LVM851980:LVM851998 MFI851980:MFI851998 MPE851980:MPE851998 MZA851980:MZA851998 NIW851980:NIW851998 NSS851980:NSS851998 OCO851980:OCO851998 OMK851980:OMK851998 OWG851980:OWG851998 PGC851980:PGC851998 PPY851980:PPY851998 PZU851980:PZU851998 QJQ851980:QJQ851998 QTM851980:QTM851998 RDI851980:RDI851998 RNE851980:RNE851998 RXA851980:RXA851998 SGW851980:SGW851998 SQS851980:SQS851998 TAO851980:TAO851998 TKK851980:TKK851998 TUG851980:TUG851998 UEC851980:UEC851998 UNY851980:UNY851998 UXU851980:UXU851998 VHQ851980:VHQ851998 VRM851980:VRM851998 WBI851980:WBI851998 WLE851980:WLE851998 WVA851980:WVA851998 IO917516:IO917534 SK917516:SK917534 ACG917516:ACG917534 AMC917516:AMC917534 AVY917516:AVY917534 BFU917516:BFU917534 BPQ917516:BPQ917534 BZM917516:BZM917534 CJI917516:CJI917534 CTE917516:CTE917534 DDA917516:DDA917534 DMW917516:DMW917534 DWS917516:DWS917534 EGO917516:EGO917534 EQK917516:EQK917534 FAG917516:FAG917534 FKC917516:FKC917534 FTY917516:FTY917534 GDU917516:GDU917534 GNQ917516:GNQ917534 GXM917516:GXM917534 HHI917516:HHI917534 HRE917516:HRE917534 IBA917516:IBA917534 IKW917516:IKW917534 IUS917516:IUS917534 JEO917516:JEO917534 JOK917516:JOK917534 JYG917516:JYG917534 KIC917516:KIC917534 KRY917516:KRY917534 LBU917516:LBU917534 LLQ917516:LLQ917534 LVM917516:LVM917534 MFI917516:MFI917534 MPE917516:MPE917534 MZA917516:MZA917534 NIW917516:NIW917534 NSS917516:NSS917534 OCO917516:OCO917534 OMK917516:OMK917534 OWG917516:OWG917534 PGC917516:PGC917534 PPY917516:PPY917534 PZU917516:PZU917534 QJQ917516:QJQ917534 QTM917516:QTM917534 RDI917516:RDI917534 RNE917516:RNE917534 RXA917516:RXA917534 SGW917516:SGW917534 SQS917516:SQS917534 TAO917516:TAO917534 TKK917516:TKK917534 TUG917516:TUG917534 UEC917516:UEC917534 UNY917516:UNY917534 UXU917516:UXU917534 VHQ917516:VHQ917534 VRM917516:VRM917534 WBI917516:WBI917534 WLE917516:WLE917534 WVA917516:WVA917534 IO983052:IO983070 SK983052:SK983070 ACG983052:ACG983070 AMC983052:AMC983070 AVY983052:AVY983070 BFU983052:BFU983070 BPQ983052:BPQ983070 BZM983052:BZM983070 CJI983052:CJI983070 CTE983052:CTE983070 DDA983052:DDA983070 DMW983052:DMW983070 DWS983052:DWS983070 EGO983052:EGO983070 EQK983052:EQK983070 FAG983052:FAG983070 FKC983052:FKC983070 FTY983052:FTY983070 GDU983052:GDU983070 GNQ983052:GNQ983070 GXM983052:GXM983070 HHI983052:HHI983070 HRE983052:HRE983070 IBA983052:IBA983070 IKW983052:IKW983070 IUS983052:IUS983070 JEO983052:JEO983070 JOK983052:JOK983070 JYG983052:JYG983070 KIC983052:KIC983070 KRY983052:KRY983070 LBU983052:LBU983070 LLQ983052:LLQ983070 LVM983052:LVM983070 MFI983052:MFI983070 MPE983052:MPE983070 MZA983052:MZA983070 NIW983052:NIW983070 NSS983052:NSS983070 OCO983052:OCO983070 OMK983052:OMK983070 OWG983052:OWG983070 PGC983052:PGC983070 PPY983052:PPY983070 PZU983052:PZU983070 QJQ983052:QJQ983070 QTM983052:QTM983070 RDI983052:RDI983070 RNE983052:RNE983070 RXA983052:RXA983070 SGW983052:SGW983070 SQS983052:SQS983070 TAO983052:TAO983070 TKK983052:TKK983070 TUG983052:TUG983070 UEC983052:UEC983070 UNY983052:UNY983070 UXU983052:UXU983070 VHQ983052:VHQ983070 VRM983052:VRM983070 WBI983052:WBI983070 WLE983052:WLE983070" xr:uid="{00AF0008-0073-4587-B92F-003000ED00F1}">
      <formula1>#REF!</formula1>
    </dataValidation>
  </dataValidations>
  <pageMargins left="0.7" right="0.7" top="0.75" bottom="0.75" header="0.3" footer="0.3"/>
  <pageSetup paperSize="9" orientation="portrait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sheetPr codeName="Hoja29"/>
  <dimension ref="A1:F10"/>
  <sheetViews>
    <sheetView showGridLines="0" workbookViewId="0">
      <selection sqref="A1:F1"/>
    </sheetView>
  </sheetViews>
  <sheetFormatPr baseColWidth="10" defaultColWidth="11.42578125" defaultRowHeight="15"/>
  <cols>
    <col min="1" max="1" width="15.7109375" customWidth="1"/>
    <col min="2" max="2" width="43.5703125" customWidth="1"/>
    <col min="3" max="3" width="3.42578125" customWidth="1"/>
    <col min="4" max="4" width="3.7109375" customWidth="1"/>
    <col min="5" max="5" width="25.5703125" customWidth="1"/>
    <col min="6" max="6" width="15.7109375" customWidth="1"/>
  </cols>
  <sheetData>
    <row r="1" spans="1:6" ht="48.75" customHeight="1">
      <c r="A1" s="7376" t="s">
        <v>4451</v>
      </c>
      <c r="B1" s="7377"/>
      <c r="C1" s="7377"/>
      <c r="D1" s="7377"/>
      <c r="E1" s="7377"/>
      <c r="F1" s="7378"/>
    </row>
    <row r="3" spans="1:6">
      <c r="A3" s="5592" t="str">
        <f>CONCATENATE("ESTABLECIMIENTO: ",NOMBRE!B3," - ",NOMBRE!C3,NOMBRE!D3,NOMBRE!E3,NOMBRE!F3,NOMBRE!G3,NOMBRE!H3,NOMBRE!I3," 
  "," / MES:  ",NOMBRE!B6,"  / AÑO:  ",NOMBRE!B7)</f>
        <v>ESTABLECIMIENTO: CESFAM DR. CARLOS GODOY - 111380 
   / MES:  MARZO  / AÑO:  2026</v>
      </c>
    </row>
    <row r="5" spans="1:6" ht="58.5" customHeight="1">
      <c r="B5" s="5593" t="s">
        <v>4452</v>
      </c>
      <c r="E5" s="5593"/>
    </row>
    <row r="7" spans="1:6">
      <c r="B7" s="7379" t="str">
        <f>IF(Control!D32&gt;0,"ANTES DE EJECUTAR LA MACRO REVISE LA HOJA CONTROL, EXISTEN ERRORES","")</f>
        <v>ANTES DE EJECUTAR LA MACRO REVISE LA HOJA CONTROL, EXISTEN ERRORES</v>
      </c>
      <c r="C7" s="7380"/>
      <c r="D7" s="7380"/>
      <c r="E7" s="7381"/>
    </row>
    <row r="8" spans="1:6">
      <c r="B8" s="7382"/>
      <c r="C8" s="7383"/>
      <c r="D8" s="7383"/>
      <c r="E8" s="7384"/>
    </row>
    <row r="10" spans="1:6">
      <c r="B10" s="5594" t="s">
        <v>4453</v>
      </c>
    </row>
  </sheetData>
  <sheetProtection algorithmName="SHA-512" hashValue="alu+6rN+iQU+whJkuDSshiH+L185iEuLZF4uHUUUBXVLD7CwfyxptLeED4WjsVrTcetT8qusUr2In4f/PeUVmg==" saltValue="j5rCRdwFAao3He4BBv4FOg==" spinCount="100000" sheet="1" objects="1" scenarios="1"/>
  <mergeCells count="2">
    <mergeCell ref="A1:F1"/>
    <mergeCell ref="B7:E8"/>
  </mergeCells>
  <pageMargins left="0.7" right="0.7" top="0.75" bottom="0.75" header="0.3" footer="0.3"/>
  <pageSetup paperSize="9" orientation="portrait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30</vt:i4>
      </vt:variant>
    </vt:vector>
  </HeadingPairs>
  <TitlesOfParts>
    <vt:vector size="30" baseType="lpstr">
      <vt:lpstr>NOMBRE</vt:lpstr>
      <vt:lpstr>A01</vt:lpstr>
      <vt:lpstr>A02</vt:lpstr>
      <vt:lpstr>A03</vt:lpstr>
      <vt:lpstr>A04</vt:lpstr>
      <vt:lpstr>A05</vt:lpstr>
      <vt:lpstr>A06</vt:lpstr>
      <vt:lpstr>A07</vt:lpstr>
      <vt:lpstr>A08</vt:lpstr>
      <vt:lpstr>A09</vt:lpstr>
      <vt:lpstr>A11</vt:lpstr>
      <vt:lpstr>A11a</vt:lpstr>
      <vt:lpstr>A19a</vt:lpstr>
      <vt:lpstr>A19b</vt:lpstr>
      <vt:lpstr>A21</vt:lpstr>
      <vt:lpstr>A23</vt:lpstr>
      <vt:lpstr>A24</vt:lpstr>
      <vt:lpstr>A25</vt:lpstr>
      <vt:lpstr>A26</vt:lpstr>
      <vt:lpstr>A27</vt:lpstr>
      <vt:lpstr>A28</vt:lpstr>
      <vt:lpstr>A29</vt:lpstr>
      <vt:lpstr>A30</vt:lpstr>
      <vt:lpstr>A30AR</vt:lpstr>
      <vt:lpstr>A31</vt:lpstr>
      <vt:lpstr>A32</vt:lpstr>
      <vt:lpstr>A33</vt:lpstr>
      <vt:lpstr>A34</vt:lpstr>
      <vt:lpstr>Control</vt:lpstr>
      <vt:lpstr>MACROS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REM</dc:creator>
  <cp:keywords/>
  <dc:description/>
  <cp:lastModifiedBy>Claudio Andres Adaros González</cp:lastModifiedBy>
  <cp:revision>1</cp:revision>
  <dcterms:created xsi:type="dcterms:W3CDTF">2023-04-14T14:34:58Z</dcterms:created>
  <dcterms:modified xsi:type="dcterms:W3CDTF">2026-04-06T13:14:07Z</dcterms:modified>
  <cp:category/>
  <cp:contentStatus/>
</cp:coreProperties>
</file>